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0" yWindow="1110" windowWidth="19050" windowHeight="7755" tabRatio="894"/>
  </bookViews>
  <sheets>
    <sheet name="ImportantDisclosures" sheetId="84" r:id="rId1"/>
    <sheet name="earnings" sheetId="63" r:id="rId2"/>
    <sheet name="BullBaseBear" sheetId="62" r:id="rId3"/>
    <sheet name="MW-Cache" sheetId="55" state="veryHidden" r:id="rId4"/>
    <sheet name="sumry" sheetId="3" r:id="rId5"/>
    <sheet name="SegqtrSales" sheetId="30" r:id="rId6"/>
    <sheet name="intlsales&amp;OM" sheetId="65" r:id="rId7"/>
    <sheet name="qtrSales" sheetId="6" r:id="rId8"/>
    <sheet name="qtrP&amp;L" sheetId="7" r:id="rId9"/>
    <sheet name="yrP&amp;L" sheetId="10" r:id="rId10"/>
    <sheet name="yrSales" sheetId="8" r:id="rId11"/>
    <sheet name="S&amp;D Costs" sheetId="42" r:id="rId12"/>
    <sheet name="squft" sheetId="11" r:id="rId13"/>
    <sheet name="bal" sheetId="12" r:id="rId14"/>
    <sheet name="flow" sheetId="13" r:id="rId15"/>
    <sheet name="dtc" sheetId="14" r:id="rId16"/>
    <sheet name="work" sheetId="15" r:id="rId17"/>
    <sheet name="turn" sheetId="16" r:id="rId18"/>
    <sheet name="__FDSCACHE__" sheetId="9" state="veryHidden" r:id="rId19"/>
    <sheet name="Inv to Sales" sheetId="73" r:id="rId20"/>
    <sheet name="MWA Lease" sheetId="48" r:id="rId21"/>
    <sheet name="Valuation" sheetId="67" r:id="rId22"/>
    <sheet name="DCF" sheetId="72" r:id="rId23"/>
    <sheet name="IndexInformation" sheetId="85" r:id="rId24"/>
    <sheet name="ModPubIndex" sheetId="86" r:id="rId25"/>
  </sheets>
  <functionGroups builtInGroupCount="17"/>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s>
  <definedNames>
    <definedName name="__FDS_HYPERLINK_TOGGLE_STATE__" hidden="1">"ON"</definedName>
    <definedName name="__FDS_UNIQUE_RANGE_ID_GENERATOR_COUNTER" hidden="1">100</definedName>
    <definedName name="__FDS_USED_FOR_REUSING_RANGE_IDS_RECYCLE" localSheetId="20">{1,1,1,1}</definedName>
    <definedName name="_1__FDSAUDITLINK__" localSheetId="1" hidden="1">{"fdsup://directions/FAT Viewer?action=UPDATE&amp;creator=factset&amp;DYN_ARGS=TRUE&amp;DOC_NAME=FAT:FQL_AUDITING_CLIENT_TEMPLATE.FAT&amp;display_string=Audit&amp;VAR:KEY=KNCBSTANQV&amp;VAR:QUERY=RkZfRU5UUlBSX1ZBTF9FQklUREFfT1BFUihBTk4sMCk=&amp;WINDOW=FIRST_POPUP&amp;HEIGHT=450&amp;WIDTH=450&amp;","START_MAXIMIZED=FALSE&amp;VAR:CALENDAR=FIVEDAY&amp;VAR:SYMBOL=WTSLA&amp;VAR:INDEX=0"}</definedName>
    <definedName name="_1__FDSAUDITLINK__" localSheetId="20" hidden="1">{"fdsup://Directions/FactSet Auditing Viewer?action=AUDIT_VALUE&amp;DB=129&amp;ID1=87416110&amp;VALUEID=02101&amp;SDATE=201001&amp;PERIODTYPE=QTR_STD&amp;window=popup_no_bar&amp;width=385&amp;height=120&amp;START_MAXIMIZED=FALSE&amp;creator=factset&amp;display_string=Audit"}</definedName>
    <definedName name="_1__FDSAUDITLINK__" hidden="1">{"fdsup://directions/FAT Viewer?action=UPDATE&amp;creator=factset&amp;DYN_ARGS=TRUE&amp;DOC_NAME=FAT:FQL_AUDITING_CLIENT_TEMPLATE.FAT&amp;display_string=Audit&amp;VAR:KEY=KNCBSTANQV&amp;VAR:QUERY=RkZfRU5UUlBSX1ZBTF9FQklUREFfT1BFUihBTk4sMCk=&amp;WINDOW=FIRST_POPUP&amp;HEIGHT=450&amp;WIDTH=450&amp;","START_MAXIMIZED=FALSE&amp;VAR:CALENDAR=FIVEDAY&amp;VAR:SYMBOL=WTSLA&amp;VAR:INDEX=0"}</definedName>
    <definedName name="_10__FDSAUDITLINK__" localSheetId="1" hidden="1">{"fdsup://directions/FAT Viewer?action=UPDATE&amp;creator=factset&amp;DYN_ARGS=TRUE&amp;DOC_NAME=FAT:FQL_AUDITING_CLIENT_TEMPLATE.FAT&amp;display_string=Audit&amp;VAR:KEY=WTEDQTOPKH&amp;VAR:QUERY=RkZfRU5UUlBSX1ZBTF9FQklUREFfT1BFUihBTk4sMCk=&amp;WINDOW=FIRST_POPUP&amp;HEIGHT=450&amp;WIDTH=450&amp;","START_MAXIMIZED=FALSE&amp;VAR:CALENDAR=FIVEDAY&amp;VAR:SYMBOL=JOSB&amp;VAR:INDEX=0"}</definedName>
    <definedName name="_10__FDSAUDITLINK__" localSheetId="20" hidden="1">{"fdsup://Directions/FactSet Auditing Viewer?action=AUDIT_VALUE&amp;DB=129&amp;ID1=03611510&amp;VALUEID=02101&amp;SDATE=201001&amp;PERIODTYPE=QTR_STD&amp;window=popup_no_bar&amp;width=385&amp;height=120&amp;START_MAXIMIZED=FALSE&amp;creator=factset&amp;display_string=Audit"}</definedName>
    <definedName name="_10__FDSAUDITLINK__" hidden="1">{"fdsup://directions/FAT Viewer?action=UPDATE&amp;creator=factset&amp;DYN_ARGS=TRUE&amp;DOC_NAME=FAT:FQL_AUDITING_CLIENT_TEMPLATE.FAT&amp;display_string=Audit&amp;VAR:KEY=WTEDQTOPKH&amp;VAR:QUERY=RkZfRU5UUlBSX1ZBTF9FQklUREFfT1BFUihBTk4sMCk=&amp;WINDOW=FIRST_POPUP&amp;HEIGHT=450&amp;WIDTH=450&amp;","START_MAXIMIZED=FALSE&amp;VAR:CALENDAR=FIVEDAY&amp;VAR:SYMBOL=JOSB&amp;VAR:INDEX=0"}</definedName>
    <definedName name="_100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100__FDSAUDITLINK__" localSheetId="20" hidden="1">{"fdsup://Directions/FactSet Auditing Viewer?action=AUDIT_VALUE&amp;DB=129&amp;ID1=00786510&amp;VALUEID=13040&amp;SDATE=200901&amp;PERIODTYPE=QTR_STD&amp;window=popup_no_bar&amp;width=385&amp;height=120&amp;START_MAXIMIZED=FALSE&amp;creator=factset&amp;display_string=Audit"}</definedName>
    <definedName name="_100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00__FDSAUDITLINK__" localSheetId="1" hidden="1">{"fdsup://Directions/FactSet Auditing Viewer?action=AUDIT_VALUE&amp;DB=129&amp;ID1=00289620&amp;VALUEID=02101&amp;SDATE=201001&amp;PERIODTYPE=QTR_STD&amp;window=popup_no_bar&amp;width=385&amp;height=120&amp;START_MAXIMIZED=FALSE&amp;creator=factset&amp;display_string=Audit"}</definedName>
    <definedName name="_1000__FDSAUDITLINK__" localSheetId="20" hidden="1">{"fdsup://Directions/FactSet Auditing Viewer?action=AUDIT_VALUE&amp;DB=129&amp;ID1=00289620&amp;VALUEID=02101&amp;SDATE=201001&amp;PERIODTYPE=QTR_STD&amp;window=popup_no_bar&amp;width=385&amp;height=120&amp;START_MAXIMIZED=FALSE&amp;creator=factset&amp;display_string=Audit"}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localSheetId="1" hidden="1">{"fdsup://Directions/FactSet Auditing Viewer?action=AUDIT_VALUE&amp;DB=129&amp;ID1=00289620&amp;VALUEID=13040&amp;SDATE=201001&amp;PERIODTYPE=QTR_STD&amp;window=popup_no_bar&amp;width=385&amp;height=120&amp;START_MAXIMIZED=FALSE&amp;creator=factset&amp;display_string=Audit"}</definedName>
    <definedName name="_1001__FDSAUDITLINK__" localSheetId="20" hidden="1">{"fdsup://Directions/FactSet Auditing Viewer?action=AUDIT_VALUE&amp;DB=129&amp;ID1=00289620&amp;VALUEID=13040&amp;SDATE=201001&amp;PERIODTYPE=QTR_STD&amp;window=popup_no_bar&amp;width=385&amp;height=120&amp;START_MAXIMIZED=FALSE&amp;creator=factset&amp;display_string=Audit"}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localSheetId="1" hidden="1">{"fdsup://Directions/FactSet Auditing Viewer?action=AUDIT_VALUE&amp;DB=129&amp;ID1=87416110&amp;VALUEID=01001&amp;SDATE=200904&amp;PERIODTYPE=QTR_STD&amp;window=popup_no_bar&amp;width=385&amp;height=120&amp;START_MAXIMIZED=FALSE&amp;creator=factset&amp;display_string=Audit"}</definedName>
    <definedName name="_1002__FDSAUDITLINK__" localSheetId="20" hidden="1">{"fdsup://Directions/FactSet Auditing Viewer?action=AUDIT_VALUE&amp;DB=129&amp;ID1=87416110&amp;VALUEID=01001&amp;SDATE=200904&amp;PERIODTYPE=QTR_STD&amp;window=popup_no_bar&amp;width=385&amp;height=120&amp;START_MAXIMIZED=FALSE&amp;creator=factset&amp;display_string=Audit"}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localSheetId="1"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3__FDSAUDITLINK__" localSheetId="20"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localSheetId="1" hidden="1">{"fdsup://Directions/FactSet Auditing Viewer?action=AUDIT_VALUE&amp;DB=129&amp;ID1=46612H40&amp;VALUEID=01001&amp;SDATE=200904&amp;PERIODTYPE=QTR_STD&amp;window=popup_no_bar&amp;width=385&amp;height=120&amp;START_MAXIMIZED=FALSE&amp;creator=factset&amp;display_string=Audit"}</definedName>
    <definedName name="_1004__FDSAUDITLINK__" localSheetId="20" hidden="1">{"fdsup://Directions/FactSet Auditing Viewer?action=AUDIT_VALUE&amp;DB=129&amp;ID1=46612H40&amp;VALUEID=01001&amp;SDATE=200904&amp;PERIODTYPE=QTR_STD&amp;window=popup_no_bar&amp;width=385&amp;height=120&amp;START_MAXIMIZED=FALSE&amp;creator=factset&amp;display_string=Audit"}</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localSheetId="1" hidden="1">{"fdsup://Directions/FactSet Auditing Viewer?action=AUDIT_VALUE&amp;DB=129&amp;ID1=36476010&amp;VALUEID=01001&amp;SDATE=200904&amp;PERIODTYPE=QTR_STD&amp;window=popup_no_bar&amp;width=385&amp;height=120&amp;START_MAXIMIZED=FALSE&amp;creator=factset&amp;display_string=Audit"}</definedName>
    <definedName name="_1005__FDSAUDITLINK__" localSheetId="20" hidden="1">{"fdsup://Directions/FactSet Auditing Viewer?action=AUDIT_VALUE&amp;DB=129&amp;ID1=36476010&amp;VALUEID=01001&amp;SDATE=200904&amp;PERIODTYPE=QTR_STD&amp;window=popup_no_bar&amp;width=385&amp;height=120&amp;START_MAXIMIZED=FALSE&amp;creator=factset&amp;display_string=Audit"}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1006__FDSAUDITLINK__" localSheetId="20" hidden="1">{"fdsup://Directions/FactSet Auditing Viewer?action=AUDIT_VALUE&amp;DB=129&amp;ID1=03611510&amp;VALUEID=01001&amp;SDATE=200904&amp;PERIODTYPE=QTR_STD&amp;window=popup_no_bar&amp;width=385&amp;height=120&amp;START_MAXIMIZED=FALSE&amp;creator=factset&amp;display_string=Audit"}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1007__FDSAUDITLINK__" localSheetId="20" hidden="1">{"fdsup://Directions/FactSet Auditing Viewer?action=AUDIT_VALUE&amp;DB=129&amp;ID1=16890510&amp;VALUEID=01001&amp;SDATE=200904&amp;PERIODTYPE=QTR_STD&amp;window=popup_no_bar&amp;width=385&amp;height=120&amp;START_MAXIMIZED=FALSE&amp;creator=factset&amp;display_string=Audit"}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localSheetId="1" hidden="1">{"fdsup://Directions/FactSet Auditing Viewer?action=AUDIT_VALUE&amp;DB=129&amp;ID1=91704710&amp;VALUEID=01001&amp;SDATE=200904&amp;PERIODTYPE=QTR_STD&amp;window=popup_no_bar&amp;width=385&amp;height=120&amp;START_MAXIMIZED=FALSE&amp;creator=factset&amp;display_string=Audit"}</definedName>
    <definedName name="_1008__FDSAUDITLINK__" localSheetId="20" hidden="1">{"fdsup://Directions/FactSet Auditing Viewer?action=AUDIT_VALUE&amp;DB=129&amp;ID1=91704710&amp;VALUEID=01001&amp;SDATE=200904&amp;PERIODTYPE=QTR_STD&amp;window=popup_no_bar&amp;width=385&amp;height=120&amp;START_MAXIMIZED=FALSE&amp;creator=factset&amp;display_string=Audit"}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localSheetId="1" hidden="1">{"fdsup://Directions/FactSet Auditing Viewer?action=AUDIT_VALUE&amp;DB=129&amp;ID1=02553E10&amp;VALUEID=01001&amp;SDATE=200904&amp;PERIODTYPE=QTR_STD&amp;window=popup_no_bar&amp;width=385&amp;height=120&amp;START_MAXIMIZED=FALSE&amp;creator=factset&amp;display_string=Audit"}</definedName>
    <definedName name="_1009__FDSAUDITLINK__" localSheetId="20" hidden="1">{"fdsup://Directions/FactSet Auditing Viewer?action=AUDIT_VALUE&amp;DB=129&amp;ID1=02553E10&amp;VALUEID=01001&amp;SDATE=200904&amp;PERIODTYPE=QTR_STD&amp;window=popup_no_bar&amp;width=385&amp;height=120&amp;START_MAXIMIZED=FALSE&amp;creator=factset&amp;display_string=Audit"}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101__FDSAUDITLINK__" localSheetId="20" hidden="1">{"fdsup://Directions/FactSet Auditing Viewer?action=AUDIT_VALUE&amp;DB=129&amp;ID1=00289620&amp;VALUEID=13040&amp;SDATE=200901&amp;PERIODTYPE=QTR_STD&amp;window=popup_no_bar&amp;width=385&amp;height=120&amp;START_MAXIMIZED=FALSE&amp;creator=factset&amp;display_string=Audit"}</definedName>
    <definedName name="_101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10__FDSAUDITLINK__" localSheetId="1" hidden="1">{"fdsup://Directions/FactSet Auditing Viewer?action=AUDIT_VALUE&amp;DB=129&amp;ID1=00786510&amp;VALUEID=01001&amp;SDATE=200904&amp;PERIODTYPE=QTR_STD&amp;window=popup_no_bar&amp;width=385&amp;height=120&amp;START_MAXIMIZED=FALSE&amp;creator=factset&amp;display_string=Audit"}</definedName>
    <definedName name="_1010__FDSAUDITLINK__" localSheetId="20" hidden="1">{"fdsup://Directions/FactSet Auditing Viewer?action=AUDIT_VALUE&amp;DB=129&amp;ID1=00786510&amp;VALUEID=01001&amp;SDATE=200904&amp;PERIODTYPE=QTR_STD&amp;window=popup_no_bar&amp;width=385&amp;height=120&amp;START_MAXIMIZED=FALSE&amp;creator=factset&amp;display_string=Audit"}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localSheetId="1" hidden="1">{"fdsup://Directions/FactSet Auditing Viewer?action=AUDIT_VALUE&amp;DB=129&amp;ID1=87416110&amp;VALUEID=02101&amp;SDATE=200903&amp;PERIODTYPE=QTR_STD&amp;window=popup_no_bar&amp;width=385&amp;height=120&amp;START_MAXIMIZED=FALSE&amp;creator=factset&amp;display_string=Audit"}</definedName>
    <definedName name="_1011__FDSAUDITLINK__" localSheetId="20" hidden="1">{"fdsup://Directions/FactSet Auditing Viewer?action=AUDIT_VALUE&amp;DB=129&amp;ID1=87416110&amp;VALUEID=02101&amp;SDATE=200903&amp;PERIODTYPE=QTR_STD&amp;window=popup_no_bar&amp;width=385&amp;height=120&amp;START_MAXIMIZED=FALSE&amp;creator=factset&amp;display_string=Audit"}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localSheetId="1" hidden="1">{"fdsup://Directions/FactSet Auditing Viewer?action=AUDIT_VALUE&amp;DB=129&amp;ID1=87416110&amp;VALUEID=01001&amp;SDATE=200903&amp;PERIODTYPE=QTR_STD&amp;window=popup_no_bar&amp;width=385&amp;height=120&amp;START_MAXIMIZED=FALSE&amp;creator=factset&amp;display_string=Audit"}</definedName>
    <definedName name="_1012__FDSAUDITLINK__" localSheetId="20" hidden="1">{"fdsup://Directions/FactSet Auditing Viewer?action=AUDIT_VALUE&amp;DB=129&amp;ID1=87416110&amp;VALUEID=01001&amp;SDATE=200903&amp;PERIODTYPE=QTR_STD&amp;window=popup_no_bar&amp;width=385&amp;height=120&amp;START_MAXIMIZED=FALSE&amp;creator=factset&amp;display_string=Audit"}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localSheetId="1" hidden="1">{"fdsup://Directions/FactSet Auditing Viewer?action=AUDIT_VALUE&amp;DB=129&amp;ID1=87416110&amp;VALUEID=13040&amp;SDATE=200903&amp;PERIODTYPE=QTR_STD&amp;window=popup_no_bar&amp;width=385&amp;height=120&amp;START_MAXIMIZED=FALSE&amp;creator=factset&amp;display_string=Audit"}</definedName>
    <definedName name="_1013__FDSAUDITLINK__" localSheetId="20" hidden="1">{"fdsup://Directions/FactSet Auditing Viewer?action=AUDIT_VALUE&amp;DB=129&amp;ID1=87416110&amp;VALUEID=13040&amp;SDATE=200903&amp;PERIODTYPE=QTR_STD&amp;window=popup_no_bar&amp;width=385&amp;height=120&amp;START_MAXIMIZED=FALSE&amp;creator=factset&amp;display_string=Audit"}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localSheetId="1"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4__FDSAUDITLINK__" localSheetId="20"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1015__FDSAUDITLINK__" localSheetId="20" hidden="1">{"fdsup://Directions/FactSet Auditing Viewer?action=AUDIT_VALUE&amp;DB=129&amp;ID1=53271610&amp;VALUEID=02101&amp;SDATE=200903&amp;PERIODTYPE=QTR_STD&amp;window=popup_no_bar&amp;width=385&amp;height=120&amp;START_MAXIMIZED=FALSE&amp;creator=factset&amp;display_string=Audit"}</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1016__FDSAUDITLINK__" localSheetId="20" hidden="1">{"fdsup://Directions/FactSet Auditing Viewer?action=AUDIT_VALUE&amp;DB=129&amp;ID1=53271610&amp;VALUEID=01001&amp;SDATE=200903&amp;PERIODTYPE=QTR_STD&amp;window=popup_no_bar&amp;width=385&amp;height=120&amp;START_MAXIMIZED=FALSE&amp;creator=factset&amp;display_string=Audit"}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1017__FDSAUDITLINK__" localSheetId="20" hidden="1">{"fdsup://Directions/FactSet Auditing Viewer?action=AUDIT_VALUE&amp;DB=129&amp;ID1=53271610&amp;VALUEID=13040&amp;SDATE=200903&amp;PERIODTYPE=QTR_STD&amp;window=popup_no_bar&amp;width=385&amp;height=120&amp;START_MAXIMIZED=FALSE&amp;creator=factset&amp;display_string=Audit"}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localSheetId="1" hidden="1">{"fdsup://Directions/FactSet Auditing Viewer?action=AUDIT_VALUE&amp;DB=129&amp;ID1=46612H40&amp;VALUEID=02101&amp;SDATE=200903&amp;PERIODTYPE=QTR_STD&amp;window=popup_no_bar&amp;width=385&amp;height=120&amp;START_MAXIMIZED=FALSE&amp;creator=factset&amp;display_string=Audit"}</definedName>
    <definedName name="_1018__FDSAUDITLINK__" localSheetId="20" hidden="1">{"fdsup://Directions/FactSet Auditing Viewer?action=AUDIT_VALUE&amp;DB=129&amp;ID1=46612H40&amp;VALUEID=02101&amp;SDATE=200903&amp;PERIODTYPE=QTR_STD&amp;window=popup_no_bar&amp;width=385&amp;height=120&amp;START_MAXIMIZED=FALSE&amp;creator=factset&amp;display_string=Audit"}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localSheetId="1" hidden="1">{"fdsup://Directions/FactSet Auditing Viewer?action=AUDIT_VALUE&amp;DB=129&amp;ID1=46612H40&amp;VALUEID=01001&amp;SDATE=200903&amp;PERIODTYPE=QTR_STD&amp;window=popup_no_bar&amp;width=385&amp;height=120&amp;START_MAXIMIZED=FALSE&amp;creator=factset&amp;display_string=Audit"}</definedName>
    <definedName name="_1019__FDSAUDITLINK__" localSheetId="20" hidden="1">{"fdsup://Directions/FactSet Auditing Viewer?action=AUDIT_VALUE&amp;DB=129&amp;ID1=46612H40&amp;VALUEID=01001&amp;SDATE=200903&amp;PERIODTYPE=QTR_STD&amp;window=popup_no_bar&amp;width=385&amp;height=120&amp;START_MAXIMIZED=FALSE&amp;creator=factset&amp;display_string=Audit"}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102__FDSAUDITLINK__" localSheetId="20" hidden="1">{"fdsup://Directions/FactSet Auditing Viewer?action=AUDIT_VALUE&amp;DB=129&amp;ID1=87416110&amp;VALUEID=01001&amp;SDATE=200804&amp;PERIODTYPE=QTR_STD&amp;window=popup_no_bar&amp;width=385&amp;height=120&amp;START_MAXIMIZED=FALSE&amp;creator=factset&amp;display_string=Audit"}</definedName>
    <definedName name="_102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20__FDSAUDITLINK__" localSheetId="1" hidden="1">{"fdsup://Directions/FactSet Auditing Viewer?action=AUDIT_VALUE&amp;DB=129&amp;ID1=46612H40&amp;VALUEID=13040&amp;SDATE=200903&amp;PERIODTYPE=QTR_STD&amp;window=popup_no_bar&amp;width=385&amp;height=120&amp;START_MAXIMIZED=FALSE&amp;creator=factset&amp;display_string=Audit"}</definedName>
    <definedName name="_1020__FDSAUDITLINK__" localSheetId="20" hidden="1">{"fdsup://Directions/FactSet Auditing Viewer?action=AUDIT_VALUE&amp;DB=129&amp;ID1=46612H40&amp;VALUEID=13040&amp;SDATE=200903&amp;PERIODTYPE=QTR_STD&amp;window=popup_no_bar&amp;width=385&amp;height=120&amp;START_MAXIMIZED=FALSE&amp;creator=factset&amp;display_string=Audit"}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localSheetId="1" hidden="1">{"fdsup://Directions/FactSet Auditing Viewer?action=AUDIT_VALUE&amp;DB=129&amp;ID1=36476010&amp;VALUEID=02101&amp;SDATE=200903&amp;PERIODTYPE=QTR_STD&amp;window=popup_no_bar&amp;width=385&amp;height=120&amp;START_MAXIMIZED=FALSE&amp;creator=factset&amp;display_string=Audit"}</definedName>
    <definedName name="_1021__FDSAUDITLINK__" localSheetId="20" hidden="1">{"fdsup://Directions/FactSet Auditing Viewer?action=AUDIT_VALUE&amp;DB=129&amp;ID1=36476010&amp;VALUEID=02101&amp;SDATE=200903&amp;PERIODTYPE=QTR_STD&amp;window=popup_no_bar&amp;width=385&amp;height=120&amp;START_MAXIMIZED=FALSE&amp;creator=factset&amp;display_string=Audit"}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localSheetId="1" hidden="1">{"fdsup://Directions/FactSet Auditing Viewer?action=AUDIT_VALUE&amp;DB=129&amp;ID1=36476010&amp;VALUEID=01001&amp;SDATE=200903&amp;PERIODTYPE=QTR_STD&amp;window=popup_no_bar&amp;width=385&amp;height=120&amp;START_MAXIMIZED=FALSE&amp;creator=factset&amp;display_string=Audit"}</definedName>
    <definedName name="_1022__FDSAUDITLINK__" localSheetId="20" hidden="1">{"fdsup://Directions/FactSet Auditing Viewer?action=AUDIT_VALUE&amp;DB=129&amp;ID1=36476010&amp;VALUEID=01001&amp;SDATE=200903&amp;PERIODTYPE=QTR_STD&amp;window=popup_no_bar&amp;width=385&amp;height=120&amp;START_MAXIMIZED=FALSE&amp;creator=factset&amp;display_string=Audit"}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localSheetId="1" hidden="1">{"fdsup://Directions/FactSet Auditing Viewer?action=AUDIT_VALUE&amp;DB=129&amp;ID1=36476010&amp;VALUEID=13040&amp;SDATE=200903&amp;PERIODTYPE=QTR_STD&amp;window=popup_no_bar&amp;width=385&amp;height=120&amp;START_MAXIMIZED=FALSE&amp;creator=factset&amp;display_string=Audit"}</definedName>
    <definedName name="_1023__FDSAUDITLINK__" localSheetId="20" hidden="1">{"fdsup://Directions/FactSet Auditing Viewer?action=AUDIT_VALUE&amp;DB=129&amp;ID1=36476010&amp;VALUEID=13040&amp;SDATE=200903&amp;PERIODTYPE=QTR_STD&amp;window=popup_no_bar&amp;width=385&amp;height=120&amp;START_MAXIMIZED=FALSE&amp;creator=factset&amp;display_string=Audit"}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1024__FDSAUDITLINK__" localSheetId="20" hidden="1">{"fdsup://Directions/FactSet Auditing Viewer?action=AUDIT_VALUE&amp;DB=129&amp;ID1=03611510&amp;VALUEID=02101&amp;SDATE=200903&amp;PERIODTYPE=QTR_STD&amp;window=popup_no_bar&amp;width=385&amp;height=120&amp;START_MAXIMIZED=FALSE&amp;creator=factset&amp;display_string=Audit"}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1025__FDSAUDITLINK__" localSheetId="20" hidden="1">{"fdsup://Directions/FactSet Auditing Viewer?action=AUDIT_VALUE&amp;DB=129&amp;ID1=03611510&amp;VALUEID=01001&amp;SDATE=200903&amp;PERIODTYPE=QTR_STD&amp;window=popup_no_bar&amp;width=385&amp;height=120&amp;START_MAXIMIZED=FALSE&amp;creator=factset&amp;display_string=Audit"}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1026__FDSAUDITLINK__" localSheetId="20" hidden="1">{"fdsup://Directions/FactSet Auditing Viewer?action=AUDIT_VALUE&amp;DB=129&amp;ID1=03611510&amp;VALUEID=13040&amp;SDATE=200903&amp;PERIODTYPE=QTR_STD&amp;window=popup_no_bar&amp;width=385&amp;height=120&amp;START_MAXIMIZED=FALSE&amp;creator=factset&amp;display_string=Audit"}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1027__FDSAUDITLINK__" localSheetId="20" hidden="1">{"fdsup://Directions/FactSet Auditing Viewer?action=AUDIT_VALUE&amp;DB=129&amp;ID1=16890510&amp;VALUEID=02101&amp;SDATE=200903&amp;PERIODTYPE=QTR_STD&amp;window=popup_no_bar&amp;width=385&amp;height=120&amp;START_MAXIMIZED=FALSE&amp;creator=factset&amp;display_string=Audit"}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1028__FDSAUDITLINK__" localSheetId="20" hidden="1">{"fdsup://Directions/FactSet Auditing Viewer?action=AUDIT_VALUE&amp;DB=129&amp;ID1=16890510&amp;VALUEID=01001&amp;SDATE=200903&amp;PERIODTYPE=QTR_STD&amp;window=popup_no_bar&amp;width=385&amp;height=120&amp;START_MAXIMIZED=FALSE&amp;creator=factset&amp;display_string=Audit"}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localSheetId="1" hidden="1">{"fdsup://Directions/FactSet Auditing Viewer?action=AUDIT_VALUE&amp;DB=129&amp;ID1=91704710&amp;VALUEID=02101&amp;SDATE=200903&amp;PERIODTYPE=QTR_STD&amp;window=popup_no_bar&amp;width=385&amp;height=120&amp;START_MAXIMIZED=FALSE&amp;creator=factset&amp;display_string=Audit"}</definedName>
    <definedName name="_1029__FDSAUDITLINK__" localSheetId="20" hidden="1">{"fdsup://Directions/FactSet Auditing Viewer?action=AUDIT_VALUE&amp;DB=129&amp;ID1=91704710&amp;VALUEID=02101&amp;SDATE=200903&amp;PERIODTYPE=QTR_STD&amp;window=popup_no_bar&amp;width=385&amp;height=120&amp;START_MAXIMIZED=FALSE&amp;creator=factset&amp;display_string=Audit"}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__FDSAUDITLINK__" localSheetId="20"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0__FDSAUDITLINK__" localSheetId="1" hidden="1">{"fdsup://Directions/FactSet Auditing Viewer?action=AUDIT_VALUE&amp;DB=129&amp;ID1=91704710&amp;VALUEID=01001&amp;SDATE=200903&amp;PERIODTYPE=QTR_STD&amp;window=popup_no_bar&amp;width=385&amp;height=120&amp;START_MAXIMIZED=FALSE&amp;creator=factset&amp;display_string=Audit"}</definedName>
    <definedName name="_1030__FDSAUDITLINK__" localSheetId="20" hidden="1">{"fdsup://Directions/FactSet Auditing Viewer?action=AUDIT_VALUE&amp;DB=129&amp;ID1=91704710&amp;VALUEID=01001&amp;SDATE=200903&amp;PERIODTYPE=QTR_STD&amp;window=popup_no_bar&amp;width=385&amp;height=120&amp;START_MAXIMIZED=FALSE&amp;creator=factset&amp;display_string=Audit"}</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localSheetId="1" hidden="1">{"fdsup://Directions/FactSet Auditing Viewer?action=AUDIT_VALUE&amp;DB=129&amp;ID1=91704710&amp;VALUEID=13040&amp;SDATE=200903&amp;PERIODTYPE=QTR_STD&amp;window=popup_no_bar&amp;width=385&amp;height=120&amp;START_MAXIMIZED=FALSE&amp;creator=factset&amp;display_string=Audit"}</definedName>
    <definedName name="_1031__FDSAUDITLINK__" localSheetId="20" hidden="1">{"fdsup://Directions/FactSet Auditing Viewer?action=AUDIT_VALUE&amp;DB=129&amp;ID1=91704710&amp;VALUEID=13040&amp;SDATE=200903&amp;PERIODTYPE=QTR_STD&amp;window=popup_no_bar&amp;width=385&amp;height=120&amp;START_MAXIMIZED=FALSE&amp;creator=factset&amp;display_string=Audit"}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localSheetId="1" hidden="1">{"fdsup://Directions/FactSet Auditing Viewer?action=AUDIT_VALUE&amp;DB=129&amp;ID1=02553E10&amp;VALUEID=02101&amp;SDATE=200903&amp;PERIODTYPE=QTR_STD&amp;window=popup_no_bar&amp;width=385&amp;height=120&amp;START_MAXIMIZED=FALSE&amp;creator=factset&amp;display_string=Audit"}</definedName>
    <definedName name="_1032__FDSAUDITLINK__" localSheetId="20" hidden="1">{"fdsup://Directions/FactSet Auditing Viewer?action=AUDIT_VALUE&amp;DB=129&amp;ID1=02553E10&amp;VALUEID=02101&amp;SDATE=200903&amp;PERIODTYPE=QTR_STD&amp;window=popup_no_bar&amp;width=385&amp;height=120&amp;START_MAXIMIZED=FALSE&amp;creator=factset&amp;display_string=Audit"}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localSheetId="1" hidden="1">{"fdsup://Directions/FactSet Auditing Viewer?action=AUDIT_VALUE&amp;DB=129&amp;ID1=02553E10&amp;VALUEID=01001&amp;SDATE=200903&amp;PERIODTYPE=QTR_STD&amp;window=popup_no_bar&amp;width=385&amp;height=120&amp;START_MAXIMIZED=FALSE&amp;creator=factset&amp;display_string=Audit"}</definedName>
    <definedName name="_1033__FDSAUDITLINK__" localSheetId="20" hidden="1">{"fdsup://Directions/FactSet Auditing Viewer?action=AUDIT_VALUE&amp;DB=129&amp;ID1=02553E10&amp;VALUEID=01001&amp;SDATE=200903&amp;PERIODTYPE=QTR_STD&amp;window=popup_no_bar&amp;width=385&amp;height=120&amp;START_MAXIMIZED=FALSE&amp;creator=factset&amp;display_string=Audit"}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localSheetId="1" hidden="1">{"fdsup://Directions/FactSet Auditing Viewer?action=AUDIT_VALUE&amp;DB=129&amp;ID1=00786510&amp;VALUEID=02101&amp;SDATE=200903&amp;PERIODTYPE=QTR_STD&amp;window=popup_no_bar&amp;width=385&amp;height=120&amp;START_MAXIMIZED=FALSE&amp;creator=factset&amp;display_string=Audit"}</definedName>
    <definedName name="_1034__FDSAUDITLINK__" localSheetId="20" hidden="1">{"fdsup://Directions/FactSet Auditing Viewer?action=AUDIT_VALUE&amp;DB=129&amp;ID1=00786510&amp;VALUEID=02101&amp;SDATE=200903&amp;PERIODTYPE=QTR_STD&amp;window=popup_no_bar&amp;width=385&amp;height=120&amp;START_MAXIMIZED=FALSE&amp;creator=factset&amp;display_string=Audit"}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localSheetId="1" hidden="1">{"fdsup://Directions/FactSet Auditing Viewer?action=AUDIT_VALUE&amp;DB=129&amp;ID1=00786510&amp;VALUEID=01001&amp;SDATE=200903&amp;PERIODTYPE=QTR_STD&amp;window=popup_no_bar&amp;width=385&amp;height=120&amp;START_MAXIMIZED=FALSE&amp;creator=factset&amp;display_string=Audit"}</definedName>
    <definedName name="_1035__FDSAUDITLINK__" localSheetId="20" hidden="1">{"fdsup://Directions/FactSet Auditing Viewer?action=AUDIT_VALUE&amp;DB=129&amp;ID1=00786510&amp;VALUEID=01001&amp;SDATE=200903&amp;PERIODTYPE=QTR_STD&amp;window=popup_no_bar&amp;width=385&amp;height=120&amp;START_MAXIMIZED=FALSE&amp;creator=factset&amp;display_string=Audit"}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localSheetId="1" hidden="1">{"fdsup://Directions/FactSet Auditing Viewer?action=AUDIT_VALUE&amp;DB=129&amp;ID1=00786510&amp;VALUEID=13040&amp;SDATE=200903&amp;PERIODTYPE=QTR_STD&amp;window=popup_no_bar&amp;width=385&amp;height=120&amp;START_MAXIMIZED=FALSE&amp;creator=factset&amp;display_string=Audit"}</definedName>
    <definedName name="_1036__FDSAUDITLINK__" localSheetId="20" hidden="1">{"fdsup://Directions/FactSet Auditing Viewer?action=AUDIT_VALUE&amp;DB=129&amp;ID1=00786510&amp;VALUEID=13040&amp;SDATE=200903&amp;PERIODTYPE=QTR_STD&amp;window=popup_no_bar&amp;width=385&amp;height=120&amp;START_MAXIMIZED=FALSE&amp;creator=factset&amp;display_string=Audit"}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localSheetId="1" hidden="1">{"fdsup://Directions/FactSet Auditing Viewer?action=AUDIT_VALUE&amp;DB=129&amp;ID1=00289620&amp;VALUEID=02101&amp;SDATE=200903&amp;PERIODTYPE=QTR_STD&amp;window=popup_no_bar&amp;width=385&amp;height=120&amp;START_MAXIMIZED=FALSE&amp;creator=factset&amp;display_string=Audit"}</definedName>
    <definedName name="_1037__FDSAUDITLINK__" localSheetId="20" hidden="1">{"fdsup://Directions/FactSet Auditing Viewer?action=AUDIT_VALUE&amp;DB=129&amp;ID1=00289620&amp;VALUEID=02101&amp;SDATE=200903&amp;PERIODTYPE=QTR_STD&amp;window=popup_no_bar&amp;width=385&amp;height=120&amp;START_MAXIMIZED=FALSE&amp;creator=factset&amp;display_string=Audit"}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localSheetId="1" hidden="1">{"fdsup://Directions/FactSet Auditing Viewer?action=AUDIT_VALUE&amp;DB=129&amp;ID1=00289620&amp;VALUEID=01001&amp;SDATE=200903&amp;PERIODTYPE=QTR_STD&amp;window=popup_no_bar&amp;width=385&amp;height=120&amp;START_MAXIMIZED=FALSE&amp;creator=factset&amp;display_string=Audit"}</definedName>
    <definedName name="_1038__FDSAUDITLINK__" localSheetId="20" hidden="1">{"fdsup://Directions/FactSet Auditing Viewer?action=AUDIT_VALUE&amp;DB=129&amp;ID1=00289620&amp;VALUEID=01001&amp;SDATE=200903&amp;PERIODTYPE=QTR_STD&amp;window=popup_no_bar&amp;width=385&amp;height=120&amp;START_MAXIMIZED=FALSE&amp;creator=factset&amp;display_string=Audit"}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localSheetId="1" hidden="1">{"fdsup://Directions/FactSet Auditing Viewer?action=AUDIT_VALUE&amp;DB=129&amp;ID1=00289620&amp;VALUEID=13040&amp;SDATE=200903&amp;PERIODTYPE=QTR_STD&amp;window=popup_no_bar&amp;width=385&amp;height=120&amp;START_MAXIMIZED=FALSE&amp;creator=factset&amp;display_string=Audit"}</definedName>
    <definedName name="_1039__FDSAUDITLINK__" localSheetId="20" hidden="1">{"fdsup://Directions/FactSet Auditing Viewer?action=AUDIT_VALUE&amp;DB=129&amp;ID1=00289620&amp;VALUEID=13040&amp;SDATE=200903&amp;PERIODTYPE=QTR_STD&amp;window=popup_no_bar&amp;width=385&amp;height=120&amp;START_MAXIMIZED=FALSE&amp;creator=factset&amp;display_string=Audit"}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104__FDSAUDITLINK__" localSheetId="20" hidden="1">{"fdsup://Directions/FactSet Auditing Viewer?action=AUDIT_VALUE&amp;DB=129&amp;ID1=46612H40&amp;VALUEID=01001&amp;SDATE=200804&amp;PERIODTYPE=QTR_STD&amp;window=popup_no_bar&amp;width=385&amp;height=120&amp;START_MAXIMIZED=FALSE&amp;creator=factset&amp;display_string=Audit"}</definedName>
    <definedName name="_104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40__FDSAUDITLINK__" localSheetId="1" hidden="1">{"fdsup://Directions/FactSet Auditing Viewer?action=AUDIT_VALUE&amp;DB=129&amp;ID1=87416110&amp;VALUEID=02101&amp;SDATE=200902&amp;PERIODTYPE=QTR_STD&amp;window=popup_no_bar&amp;width=385&amp;height=120&amp;START_MAXIMIZED=FALSE&amp;creator=factset&amp;display_string=Audit"}</definedName>
    <definedName name="_1040__FDSAUDITLINK__" localSheetId="20" hidden="1">{"fdsup://Directions/FactSet Auditing Viewer?action=AUDIT_VALUE&amp;DB=129&amp;ID1=87416110&amp;VALUEID=02101&amp;SDATE=200902&amp;PERIODTYPE=QTR_STD&amp;window=popup_no_bar&amp;width=385&amp;height=120&amp;START_MAXIMIZED=FALSE&amp;creator=factset&amp;display_string=Audit"}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localSheetId="1" hidden="1">{"fdsup://Directions/FactSet Auditing Viewer?action=AUDIT_VALUE&amp;DB=129&amp;ID1=87416110&amp;VALUEID=01001&amp;SDATE=200902&amp;PERIODTYPE=QTR_STD&amp;window=popup_no_bar&amp;width=385&amp;height=120&amp;START_MAXIMIZED=FALSE&amp;creator=factset&amp;display_string=Audit"}</definedName>
    <definedName name="_1041__FDSAUDITLINK__" localSheetId="20" hidden="1">{"fdsup://Directions/FactSet Auditing Viewer?action=AUDIT_VALUE&amp;DB=129&amp;ID1=87416110&amp;VALUEID=01001&amp;SDATE=200902&amp;PERIODTYPE=QTR_STD&amp;window=popup_no_bar&amp;width=385&amp;height=120&amp;START_MAXIMIZED=FALSE&amp;creator=factset&amp;display_string=Audit"}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1042__FDSAUDITLINK__" localSheetId="20" hidden="1">{"fdsup://Directions/FactSet Auditing Viewer?action=AUDIT_VALUE&amp;DB=129&amp;ID1=53271610&amp;VALUEID=02101&amp;SDATE=200902&amp;PERIODTYPE=QTR_STD&amp;window=popup_no_bar&amp;width=385&amp;height=120&amp;START_MAXIMIZED=FALSE&amp;creator=factset&amp;display_string=Audit"}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1043__FDSAUDITLINK__" localSheetId="20" hidden="1">{"fdsup://Directions/FactSet Auditing Viewer?action=AUDIT_VALUE&amp;DB=129&amp;ID1=53271610&amp;VALUEID=01001&amp;SDATE=200902&amp;PERIODTYPE=QTR_STD&amp;window=popup_no_bar&amp;width=385&amp;height=120&amp;START_MAXIMIZED=FALSE&amp;creator=factset&amp;display_string=Audit"}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1044__FDSAUDITLINK__" localSheetId="20" hidden="1">{"fdsup://Directions/FactSet Auditing Viewer?action=AUDIT_VALUE&amp;DB=129&amp;ID1=53271610&amp;VALUEID=13040&amp;SDATE=200902&amp;PERIODTYPE=QTR_STD&amp;window=popup_no_bar&amp;width=385&amp;height=120&amp;START_MAXIMIZED=FALSE&amp;creator=factset&amp;display_string=Audit"}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localSheetId="1" hidden="1">{"fdsup://Directions/FactSet Auditing Viewer?action=AUDIT_VALUE&amp;DB=129&amp;ID1=46612H40&amp;VALUEID=02101&amp;SDATE=200902&amp;PERIODTYPE=QTR_STD&amp;window=popup_no_bar&amp;width=385&amp;height=120&amp;START_MAXIMIZED=FALSE&amp;creator=factset&amp;display_string=Audit"}</definedName>
    <definedName name="_1045__FDSAUDITLINK__" localSheetId="20" hidden="1">{"fdsup://Directions/FactSet Auditing Viewer?action=AUDIT_VALUE&amp;DB=129&amp;ID1=46612H40&amp;VALUEID=02101&amp;SDATE=200902&amp;PERIODTYPE=QTR_STD&amp;window=popup_no_bar&amp;width=385&amp;height=120&amp;START_MAXIMIZED=FALSE&amp;creator=factset&amp;display_string=Audit"}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localSheetId="1" hidden="1">{"fdsup://Directions/FactSet Auditing Viewer?action=AUDIT_VALUE&amp;DB=129&amp;ID1=46612H40&amp;VALUEID=01001&amp;SDATE=200902&amp;PERIODTYPE=QTR_STD&amp;window=popup_no_bar&amp;width=385&amp;height=120&amp;START_MAXIMIZED=FALSE&amp;creator=factset&amp;display_string=Audit"}</definedName>
    <definedName name="_1046__FDSAUDITLINK__" localSheetId="20" hidden="1">{"fdsup://Directions/FactSet Auditing Viewer?action=AUDIT_VALUE&amp;DB=129&amp;ID1=46612H40&amp;VALUEID=01001&amp;SDATE=200902&amp;PERIODTYPE=QTR_STD&amp;window=popup_no_bar&amp;width=385&amp;height=120&amp;START_MAXIMIZED=FALSE&amp;creator=factset&amp;display_string=Audit"}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localSheetId="1" hidden="1">{"fdsup://Directions/FactSet Auditing Viewer?action=AUDIT_VALUE&amp;DB=129&amp;ID1=46612H40&amp;VALUEID=13040&amp;SDATE=200902&amp;PERIODTYPE=QTR_STD&amp;window=popup_no_bar&amp;width=385&amp;height=120&amp;START_MAXIMIZED=FALSE&amp;creator=factset&amp;display_string=Audit"}</definedName>
    <definedName name="_1047__FDSAUDITLINK__" localSheetId="20" hidden="1">{"fdsup://Directions/FactSet Auditing Viewer?action=AUDIT_VALUE&amp;DB=129&amp;ID1=46612H40&amp;VALUEID=13040&amp;SDATE=200902&amp;PERIODTYPE=QTR_STD&amp;window=popup_no_bar&amp;width=385&amp;height=120&amp;START_MAXIMIZED=FALSE&amp;creator=factset&amp;display_string=Audit"}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localSheetId="1" hidden="1">{"fdsup://Directions/FactSet Auditing Viewer?action=AUDIT_VALUE&amp;DB=129&amp;ID1=36476010&amp;VALUEID=02101&amp;SDATE=200902&amp;PERIODTYPE=QTR_STD&amp;window=popup_no_bar&amp;width=385&amp;height=120&amp;START_MAXIMIZED=FALSE&amp;creator=factset&amp;display_string=Audit"}</definedName>
    <definedName name="_1048__FDSAUDITLINK__" localSheetId="20" hidden="1">{"fdsup://Directions/FactSet Auditing Viewer?action=AUDIT_VALUE&amp;DB=129&amp;ID1=36476010&amp;VALUEID=02101&amp;SDATE=200902&amp;PERIODTYPE=QTR_STD&amp;window=popup_no_bar&amp;width=385&amp;height=120&amp;START_MAXIMIZED=FALSE&amp;creator=factset&amp;display_string=Audit"}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localSheetId="1" hidden="1">{"fdsup://Directions/FactSet Auditing Viewer?action=AUDIT_VALUE&amp;DB=129&amp;ID1=36476010&amp;VALUEID=01001&amp;SDATE=200902&amp;PERIODTYPE=QTR_STD&amp;window=popup_no_bar&amp;width=385&amp;height=120&amp;START_MAXIMIZED=FALSE&amp;creator=factset&amp;display_string=Audit"}</definedName>
    <definedName name="_1049__FDSAUDITLINK__" localSheetId="20" hidden="1">{"fdsup://Directions/FactSet Auditing Viewer?action=AUDIT_VALUE&amp;DB=129&amp;ID1=36476010&amp;VALUEID=01001&amp;SDATE=200902&amp;PERIODTYPE=QTR_STD&amp;window=popup_no_bar&amp;width=385&amp;height=120&amp;START_MAXIMIZED=FALSE&amp;creator=factset&amp;display_string=Audit"}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105__FDSAUDITLINK__" localSheetId="20" hidden="1">{"fdsup://Directions/FactSet Auditing Viewer?action=AUDIT_VALUE&amp;DB=129&amp;ID1=46612H40&amp;VALUEID=13040&amp;SDATE=200804&amp;PERIODTYPE=QTR_STD&amp;window=popup_no_bar&amp;width=385&amp;height=120&amp;START_MAXIMIZED=FALSE&amp;creator=factset&amp;display_string=Audit"}</definedName>
    <definedName name="_105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50__FDSAUDITLINK__" localSheetId="1" hidden="1">{"fdsup://Directions/FactSet Auditing Viewer?action=AUDIT_VALUE&amp;DB=129&amp;ID1=36476010&amp;VALUEID=13040&amp;SDATE=200902&amp;PERIODTYPE=QTR_STD&amp;window=popup_no_bar&amp;width=385&amp;height=120&amp;START_MAXIMIZED=FALSE&amp;creator=factset&amp;display_string=Audit"}</definedName>
    <definedName name="_1050__FDSAUDITLINK__" localSheetId="20" hidden="1">{"fdsup://Directions/FactSet Auditing Viewer?action=AUDIT_VALUE&amp;DB=129&amp;ID1=36476010&amp;VALUEID=13040&amp;SDATE=200902&amp;PERIODTYPE=QTR_STD&amp;window=popup_no_bar&amp;width=385&amp;height=120&amp;START_MAXIMIZED=FALSE&amp;creator=factset&amp;display_string=Audit"}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1051__FDSAUDITLINK__" localSheetId="20" hidden="1">{"fdsup://Directions/FactSet Auditing Viewer?action=AUDIT_VALUE&amp;DB=129&amp;ID1=03611510&amp;VALUEID=02101&amp;SDATE=200902&amp;PERIODTYPE=QTR_STD&amp;window=popup_no_bar&amp;width=385&amp;height=120&amp;START_MAXIMIZED=FALSE&amp;creator=factset&amp;display_string=Audit"}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1052__FDSAUDITLINK__" localSheetId="20" hidden="1">{"fdsup://Directions/FactSet Auditing Viewer?action=AUDIT_VALUE&amp;DB=129&amp;ID1=03611510&amp;VALUEID=01001&amp;SDATE=200902&amp;PERIODTYPE=QTR_STD&amp;window=popup_no_bar&amp;width=385&amp;height=120&amp;START_MAXIMIZED=FALSE&amp;creator=factset&amp;display_string=Audit"}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1053__FDSAUDITLINK__" localSheetId="20" hidden="1">{"fdsup://Directions/FactSet Auditing Viewer?action=AUDIT_VALUE&amp;DB=129&amp;ID1=03611510&amp;VALUEID=13040&amp;SDATE=200902&amp;PERIODTYPE=QTR_STD&amp;window=popup_no_bar&amp;width=385&amp;height=120&amp;START_MAXIMIZED=FALSE&amp;creator=factset&amp;display_string=Audit"}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1054__FDSAUDITLINK__" localSheetId="20" hidden="1">{"fdsup://Directions/FactSet Auditing Viewer?action=AUDIT_VALUE&amp;DB=129&amp;ID1=16890510&amp;VALUEID=02101&amp;SDATE=200902&amp;PERIODTYPE=QTR_STD&amp;window=popup_no_bar&amp;width=385&amp;height=120&amp;START_MAXIMIZED=FALSE&amp;creator=factset&amp;display_string=Audit"}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1055__FDSAUDITLINK__" localSheetId="20" hidden="1">{"fdsup://Directions/FactSet Auditing Viewer?action=AUDIT_VALUE&amp;DB=129&amp;ID1=16890510&amp;VALUEID=01001&amp;SDATE=200902&amp;PERIODTYPE=QTR_STD&amp;window=popup_no_bar&amp;width=385&amp;height=120&amp;START_MAXIMIZED=FALSE&amp;creator=factset&amp;display_string=Audit"}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localSheetId="1" hidden="1">{"fdsup://Directions/FactSet Auditing Viewer?action=AUDIT_VALUE&amp;DB=129&amp;ID1=91704710&amp;VALUEID=02101&amp;SDATE=200902&amp;PERIODTYPE=QTR_STD&amp;window=popup_no_bar&amp;width=385&amp;height=120&amp;START_MAXIMIZED=FALSE&amp;creator=factset&amp;display_string=Audit"}</definedName>
    <definedName name="_1056__FDSAUDITLINK__" localSheetId="20" hidden="1">{"fdsup://Directions/FactSet Auditing Viewer?action=AUDIT_VALUE&amp;DB=129&amp;ID1=91704710&amp;VALUEID=02101&amp;SDATE=200902&amp;PERIODTYPE=QTR_STD&amp;window=popup_no_bar&amp;width=385&amp;height=120&amp;START_MAXIMIZED=FALSE&amp;creator=factset&amp;display_string=Audit"}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localSheetId="1" hidden="1">{"fdsup://Directions/FactSet Auditing Viewer?action=AUDIT_VALUE&amp;DB=129&amp;ID1=91704710&amp;VALUEID=01001&amp;SDATE=200902&amp;PERIODTYPE=QTR_STD&amp;window=popup_no_bar&amp;width=385&amp;height=120&amp;START_MAXIMIZED=FALSE&amp;creator=factset&amp;display_string=Audit"}</definedName>
    <definedName name="_1057__FDSAUDITLINK__" localSheetId="20" hidden="1">{"fdsup://Directions/FactSet Auditing Viewer?action=AUDIT_VALUE&amp;DB=129&amp;ID1=91704710&amp;VALUEID=01001&amp;SDATE=200902&amp;PERIODTYPE=QTR_STD&amp;window=popup_no_bar&amp;width=385&amp;height=120&amp;START_MAXIMIZED=FALSE&amp;creator=factset&amp;display_string=Audit"}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localSheetId="1" hidden="1">{"fdsup://Directions/FactSet Auditing Viewer?action=AUDIT_VALUE&amp;DB=129&amp;ID1=02553E10&amp;VALUEID=02101&amp;SDATE=200902&amp;PERIODTYPE=QTR_STD&amp;window=popup_no_bar&amp;width=385&amp;height=120&amp;START_MAXIMIZED=FALSE&amp;creator=factset&amp;display_string=Audit"}</definedName>
    <definedName name="_1058__FDSAUDITLINK__" localSheetId="20" hidden="1">{"fdsup://Directions/FactSet Auditing Viewer?action=AUDIT_VALUE&amp;DB=129&amp;ID1=02553E10&amp;VALUEID=02101&amp;SDATE=200902&amp;PERIODTYPE=QTR_STD&amp;window=popup_no_bar&amp;width=385&amp;height=120&amp;START_MAXIMIZED=FALSE&amp;creator=factset&amp;display_string=Audit"}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localSheetId="1" hidden="1">{"fdsup://Directions/FactSet Auditing Viewer?action=AUDIT_VALUE&amp;DB=129&amp;ID1=02553E10&amp;VALUEID=01001&amp;SDATE=200902&amp;PERIODTYPE=QTR_STD&amp;window=popup_no_bar&amp;width=385&amp;height=120&amp;START_MAXIMIZED=FALSE&amp;creator=factset&amp;display_string=Audit"}</definedName>
    <definedName name="_1059__FDSAUDITLINK__" localSheetId="20" hidden="1">{"fdsup://Directions/FactSet Auditing Viewer?action=AUDIT_VALUE&amp;DB=129&amp;ID1=02553E10&amp;VALUEID=01001&amp;SDATE=200902&amp;PERIODTYPE=QTR_STD&amp;window=popup_no_bar&amp;width=385&amp;height=120&amp;START_MAXIMIZED=FALSE&amp;creator=factset&amp;display_string=Audit"}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106__FDSAUDITLINK__" localSheetId="20" hidden="1">{"fdsup://Directions/FactSet Auditing Viewer?action=AUDIT_VALUE&amp;DB=129&amp;ID1=36476010&amp;VALUEID=01001&amp;SDATE=200804&amp;PERIODTYPE=QTR_STD&amp;window=popup_no_bar&amp;width=385&amp;height=120&amp;START_MAXIMIZED=FALSE&amp;creator=factset&amp;display_string=Audit"}</definedName>
    <definedName name="_106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60__FDSAUDITLINK__" localSheetId="1" hidden="1">{"fdsup://Directions/FactSet Auditing Viewer?action=AUDIT_VALUE&amp;DB=129&amp;ID1=02553E10&amp;VALUEID=13040&amp;SDATE=200902&amp;PERIODTYPE=QTR_STD&amp;window=popup_no_bar&amp;width=385&amp;height=120&amp;START_MAXIMIZED=FALSE&amp;creator=factset&amp;display_string=Audit"}</definedName>
    <definedName name="_1060__FDSAUDITLINK__" localSheetId="20" hidden="1">{"fdsup://Directions/FactSet Auditing Viewer?action=AUDIT_VALUE&amp;DB=129&amp;ID1=02553E10&amp;VALUEID=13040&amp;SDATE=200902&amp;PERIODTYPE=QTR_STD&amp;window=popup_no_bar&amp;width=385&amp;height=120&amp;START_MAXIMIZED=FALSE&amp;creator=factset&amp;display_string=Audit"}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localSheetId="1" hidden="1">{"fdsup://Directions/FactSet Auditing Viewer?action=AUDIT_VALUE&amp;DB=129&amp;ID1=00786510&amp;VALUEID=02101&amp;SDATE=200902&amp;PERIODTYPE=QTR_STD&amp;window=popup_no_bar&amp;width=385&amp;height=120&amp;START_MAXIMIZED=FALSE&amp;creator=factset&amp;display_string=Audit"}</definedName>
    <definedName name="_1061__FDSAUDITLINK__" localSheetId="20" hidden="1">{"fdsup://Directions/FactSet Auditing Viewer?action=AUDIT_VALUE&amp;DB=129&amp;ID1=00786510&amp;VALUEID=02101&amp;SDATE=200902&amp;PERIODTYPE=QTR_STD&amp;window=popup_no_bar&amp;width=385&amp;height=120&amp;START_MAXIMIZED=FALSE&amp;creator=factset&amp;display_string=Audit"}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localSheetId="1" hidden="1">{"fdsup://Directions/FactSet Auditing Viewer?action=AUDIT_VALUE&amp;DB=129&amp;ID1=00786510&amp;VALUEID=01001&amp;SDATE=200902&amp;PERIODTYPE=QTR_STD&amp;window=popup_no_bar&amp;width=385&amp;height=120&amp;START_MAXIMIZED=FALSE&amp;creator=factset&amp;display_string=Audit"}</definedName>
    <definedName name="_1062__FDSAUDITLINK__" localSheetId="20" hidden="1">{"fdsup://Directions/FactSet Auditing Viewer?action=AUDIT_VALUE&amp;DB=129&amp;ID1=00786510&amp;VALUEID=01001&amp;SDATE=200902&amp;PERIODTYPE=QTR_STD&amp;window=popup_no_bar&amp;width=385&amp;height=120&amp;START_MAXIMIZED=FALSE&amp;creator=factset&amp;display_string=Audit"}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localSheetId="1" hidden="1">{"fdsup://Directions/FactSet Auditing Viewer?action=AUDIT_VALUE&amp;DB=129&amp;ID1=00786510&amp;VALUEID=13040&amp;SDATE=200902&amp;PERIODTYPE=QTR_STD&amp;window=popup_no_bar&amp;width=385&amp;height=120&amp;START_MAXIMIZED=FALSE&amp;creator=factset&amp;display_string=Audit"}</definedName>
    <definedName name="_1063__FDSAUDITLINK__" localSheetId="20" hidden="1">{"fdsup://Directions/FactSet Auditing Viewer?action=AUDIT_VALUE&amp;DB=129&amp;ID1=00786510&amp;VALUEID=13040&amp;SDATE=200902&amp;PERIODTYPE=QTR_STD&amp;window=popup_no_bar&amp;width=385&amp;height=120&amp;START_MAXIMIZED=FALSE&amp;creator=factset&amp;display_string=Audit"}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localSheetId="1" hidden="1">{"fdsup://Directions/FactSet Auditing Viewer?action=AUDIT_VALUE&amp;DB=129&amp;ID1=00289620&amp;VALUEID=02101&amp;SDATE=200902&amp;PERIODTYPE=QTR_STD&amp;window=popup_no_bar&amp;width=385&amp;height=120&amp;START_MAXIMIZED=FALSE&amp;creator=factset&amp;display_string=Audit"}</definedName>
    <definedName name="_1064__FDSAUDITLINK__" localSheetId="20" hidden="1">{"fdsup://Directions/FactSet Auditing Viewer?action=AUDIT_VALUE&amp;DB=129&amp;ID1=00289620&amp;VALUEID=02101&amp;SDATE=200902&amp;PERIODTYPE=QTR_STD&amp;window=popup_no_bar&amp;width=385&amp;height=120&amp;START_MAXIMIZED=FALSE&amp;creator=factset&amp;display_string=Audit"}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localSheetId="1" hidden="1">{"fdsup://Directions/FactSet Auditing Viewer?action=AUDIT_VALUE&amp;DB=129&amp;ID1=00289620&amp;VALUEID=01001&amp;SDATE=200902&amp;PERIODTYPE=QTR_STD&amp;window=popup_no_bar&amp;width=385&amp;height=120&amp;START_MAXIMIZED=FALSE&amp;creator=factset&amp;display_string=Audit"}</definedName>
    <definedName name="_1065__FDSAUDITLINK__" localSheetId="20" hidden="1">{"fdsup://Directions/FactSet Auditing Viewer?action=AUDIT_VALUE&amp;DB=129&amp;ID1=00289620&amp;VALUEID=01001&amp;SDATE=200902&amp;PERIODTYPE=QTR_STD&amp;window=popup_no_bar&amp;width=385&amp;height=120&amp;START_MAXIMIZED=FALSE&amp;creator=factset&amp;display_string=Audit"}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localSheetId="1" hidden="1">{"fdsup://Directions/FactSet Auditing Viewer?action=AUDIT_VALUE&amp;DB=129&amp;ID1=00289620&amp;VALUEID=13040&amp;SDATE=200902&amp;PERIODTYPE=QTR_STD&amp;window=popup_no_bar&amp;width=385&amp;height=120&amp;START_MAXIMIZED=FALSE&amp;creator=factset&amp;display_string=Audit"}</definedName>
    <definedName name="_1066__FDSAUDITLINK__" localSheetId="20" hidden="1">{"fdsup://Directions/FactSet Auditing Viewer?action=AUDIT_VALUE&amp;DB=129&amp;ID1=00289620&amp;VALUEID=13040&amp;SDATE=200902&amp;PERIODTYPE=QTR_STD&amp;window=popup_no_bar&amp;width=385&amp;height=120&amp;START_MAXIMIZED=FALSE&amp;creator=factset&amp;display_string=Audit"}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localSheetId="1" hidden="1">{"fdsup://Directions/FactSet Auditing Viewer?action=AUDIT_VALUE&amp;DB=129&amp;ID1=87416110&amp;VALUEID=02101&amp;SDATE=200901&amp;PERIODTYPE=QTR_STD&amp;window=popup_no_bar&amp;width=385&amp;height=120&amp;START_MAXIMIZED=FALSE&amp;creator=factset&amp;display_string=Audit"}</definedName>
    <definedName name="_1067__FDSAUDITLINK__" localSheetId="20" hidden="1">{"fdsup://Directions/FactSet Auditing Viewer?action=AUDIT_VALUE&amp;DB=129&amp;ID1=87416110&amp;VALUEID=02101&amp;SDATE=200901&amp;PERIODTYPE=QTR_STD&amp;window=popup_no_bar&amp;width=385&amp;height=120&amp;START_MAXIMIZED=FALSE&amp;creator=factset&amp;display_string=Audit"}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localSheetId="1" hidden="1">{"fdsup://Directions/FactSet Auditing Viewer?action=AUDIT_VALUE&amp;DB=129&amp;ID1=87416110&amp;VALUEID=01001&amp;SDATE=200901&amp;PERIODTYPE=QTR_STD&amp;window=popup_no_bar&amp;width=385&amp;height=120&amp;START_MAXIMIZED=FALSE&amp;creator=factset&amp;display_string=Audit"}</definedName>
    <definedName name="_1068__FDSAUDITLINK__" localSheetId="20" hidden="1">{"fdsup://Directions/FactSet Auditing Viewer?action=AUDIT_VALUE&amp;DB=129&amp;ID1=87416110&amp;VALUEID=01001&amp;SDATE=200901&amp;PERIODTYPE=QTR_STD&amp;window=popup_no_bar&amp;width=385&amp;height=120&amp;START_MAXIMIZED=FALSE&amp;creator=factset&amp;display_string=Audit"}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localSheetId="1" hidden="1">{"fdsup://Directions/FactSet Auditing Viewer?action=AUDIT_VALUE&amp;DB=129&amp;ID1=87416110&amp;VALUEID=13040&amp;SDATE=200901&amp;PERIODTYPE=QTR_STD&amp;window=popup_no_bar&amp;width=385&amp;height=120&amp;START_MAXIMIZED=FALSE&amp;creator=factset&amp;display_string=Audit"}</definedName>
    <definedName name="_1069__FDSAUDITLINK__" localSheetId="20" hidden="1">{"fdsup://Directions/FactSet Auditing Viewer?action=AUDIT_VALUE&amp;DB=129&amp;ID1=87416110&amp;VALUEID=13040&amp;SDATE=200901&amp;PERIODTYPE=QTR_STD&amp;window=popup_no_bar&amp;width=385&amp;height=120&amp;START_MAXIMIZED=FALSE&amp;creator=factset&amp;display_string=Audit"}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107__FDSAUDITLINK__" localSheetId="20" hidden="1">{"fdsup://Directions/FactSet Auditing Viewer?action=AUDIT_VALUE&amp;DB=129&amp;ID1=03611510&amp;VALUEID=01001&amp;SDATE=200804&amp;PERIODTYPE=QTR_STD&amp;window=popup_no_bar&amp;width=385&amp;height=120&amp;START_MAXIMIZED=FALSE&amp;creator=factset&amp;display_string=Audit"}</definedName>
    <definedName name="_107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70__FDSAUDITLINK__" localSheetId="1"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0__FDSAUDITLINK__" localSheetId="20"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1071__FDSAUDITLINK__" localSheetId="20" hidden="1">{"fdsup://Directions/FactSet Auditing Viewer?action=AUDIT_VALUE&amp;DB=129&amp;ID1=53271610&amp;VALUEID=13040&amp;SDATE=200901&amp;PERIODTYPE=QTR_STD&amp;window=popup_no_bar&amp;width=385&amp;height=120&amp;START_MAXIMIZED=FALSE&amp;creator=factset&amp;display_string=Audit"}</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localSheetId="1" hidden="1">{"fdsup://Directions/FactSet Auditing Viewer?action=AUDIT_VALUE&amp;DB=129&amp;ID1=46612H40&amp;VALUEID=02101&amp;SDATE=200901&amp;PERIODTYPE=QTR_STD&amp;window=popup_no_bar&amp;width=385&amp;height=120&amp;START_MAXIMIZED=FALSE&amp;creator=factset&amp;display_string=Audit"}</definedName>
    <definedName name="_1072__FDSAUDITLINK__" localSheetId="20" hidden="1">{"fdsup://Directions/FactSet Auditing Viewer?action=AUDIT_VALUE&amp;DB=129&amp;ID1=46612H40&amp;VALUEID=02101&amp;SDATE=200901&amp;PERIODTYPE=QTR_STD&amp;window=popup_no_bar&amp;width=385&amp;height=120&amp;START_MAXIMIZED=FALSE&amp;creator=factset&amp;display_string=Audit"}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localSheetId="1" hidden="1">{"fdsup://Directions/FactSet Auditing Viewer?action=AUDIT_VALUE&amp;DB=129&amp;ID1=46612H40&amp;VALUEID=01001&amp;SDATE=200901&amp;PERIODTYPE=QTR_STD&amp;window=popup_no_bar&amp;width=385&amp;height=120&amp;START_MAXIMIZED=FALSE&amp;creator=factset&amp;display_string=Audit"}</definedName>
    <definedName name="_1073__FDSAUDITLINK__" localSheetId="20" hidden="1">{"fdsup://Directions/FactSet Auditing Viewer?action=AUDIT_VALUE&amp;DB=129&amp;ID1=46612H40&amp;VALUEID=01001&amp;SDATE=200901&amp;PERIODTYPE=QTR_STD&amp;window=popup_no_bar&amp;width=385&amp;height=120&amp;START_MAXIMIZED=FALSE&amp;creator=factset&amp;display_string=Audit"}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localSheetId="1" hidden="1">{"fdsup://Directions/FactSet Auditing Viewer?action=AUDIT_VALUE&amp;DB=129&amp;ID1=46612H40&amp;VALUEID=13040&amp;SDATE=200901&amp;PERIODTYPE=QTR_STD&amp;window=popup_no_bar&amp;width=385&amp;height=120&amp;START_MAXIMIZED=FALSE&amp;creator=factset&amp;display_string=Audit"}</definedName>
    <definedName name="_1074__FDSAUDITLINK__" localSheetId="20" hidden="1">{"fdsup://Directions/FactSet Auditing Viewer?action=AUDIT_VALUE&amp;DB=129&amp;ID1=46612H40&amp;VALUEID=13040&amp;SDATE=200901&amp;PERIODTYPE=QTR_STD&amp;window=popup_no_bar&amp;width=385&amp;height=120&amp;START_MAXIMIZED=FALSE&amp;creator=factset&amp;display_string=Audit"}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1075__FDSAUDITLINK__" localSheetId="20" hidden="1">{"fdsup://Directions/FactSet Auditing Viewer?action=AUDIT_VALUE&amp;DB=129&amp;ID1=03611510&amp;VALUEID=02101&amp;SDATE=200901&amp;PERIODTYPE=QTR_STD&amp;window=popup_no_bar&amp;width=385&amp;height=120&amp;START_MAXIMIZED=FALSE&amp;creator=factset&amp;display_string=Audit"}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1076__FDSAUDITLINK__" localSheetId="20" hidden="1">{"fdsup://Directions/FactSet Auditing Viewer?action=AUDIT_VALUE&amp;DB=129&amp;ID1=03611510&amp;VALUEID=01001&amp;SDATE=200901&amp;PERIODTYPE=QTR_STD&amp;window=popup_no_bar&amp;width=385&amp;height=120&amp;START_MAXIMIZED=FALSE&amp;creator=factset&amp;display_string=Audit"}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1077__FDSAUDITLINK__" localSheetId="20" hidden="1">{"fdsup://Directions/FactSet Auditing Viewer?action=AUDIT_VALUE&amp;DB=129&amp;ID1=16890510&amp;VALUEID=02101&amp;SDATE=200901&amp;PERIODTYPE=QTR_STD&amp;window=popup_no_bar&amp;width=385&amp;height=120&amp;START_MAXIMIZED=FALSE&amp;creator=factset&amp;display_string=Audit"}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1078__FDSAUDITLINK__" localSheetId="20" hidden="1">{"fdsup://Directions/FactSet Auditing Viewer?action=AUDIT_VALUE&amp;DB=129&amp;ID1=16890510&amp;VALUEID=01001&amp;SDATE=200901&amp;PERIODTYPE=QTR_STD&amp;window=popup_no_bar&amp;width=385&amp;height=120&amp;START_MAXIMIZED=FALSE&amp;creator=factset&amp;display_string=Audit"}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localSheetId="1" hidden="1">{"fdsup://Directions/FactSet Auditing Viewer?action=AUDIT_VALUE&amp;DB=129&amp;ID1=00786510&amp;VALUEID=02101&amp;SDATE=200901&amp;PERIODTYPE=QTR_STD&amp;window=popup_no_bar&amp;width=385&amp;height=120&amp;START_MAXIMIZED=FALSE&amp;creator=factset&amp;display_string=Audit"}</definedName>
    <definedName name="_1079__FDSAUDITLINK__" localSheetId="20" hidden="1">{"fdsup://Directions/FactSet Auditing Viewer?action=AUDIT_VALUE&amp;DB=129&amp;ID1=00786510&amp;VALUEID=02101&amp;SDATE=200901&amp;PERIODTYPE=QTR_STD&amp;window=popup_no_bar&amp;width=385&amp;height=120&amp;START_MAXIMIZED=FALSE&amp;creator=factset&amp;display_string=Audit"}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108__FDSAUDITLINK__" localSheetId="20" hidden="1">{"fdsup://Directions/FactSet Auditing Viewer?action=AUDIT_VALUE&amp;DB=129&amp;ID1=16890510&amp;VALUEID=01001&amp;SDATE=200804&amp;PERIODTYPE=QTR_STD&amp;window=popup_no_bar&amp;width=385&amp;height=120&amp;START_MAXIMIZED=FALSE&amp;creator=factset&amp;display_string=Audit"}</definedName>
    <definedName name="_108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80__FDSAUDITLINK__" localSheetId="1" hidden="1">{"fdsup://Directions/FactSet Auditing Viewer?action=AUDIT_VALUE&amp;DB=129&amp;ID1=00786510&amp;VALUEID=01001&amp;SDATE=200901&amp;PERIODTYPE=QTR_STD&amp;window=popup_no_bar&amp;width=385&amp;height=120&amp;START_MAXIMIZED=FALSE&amp;creator=factset&amp;display_string=Audit"}</definedName>
    <definedName name="_1080__FDSAUDITLINK__" localSheetId="20" hidden="1">{"fdsup://Directions/FactSet Auditing Viewer?action=AUDIT_VALUE&amp;DB=129&amp;ID1=00786510&amp;VALUEID=01001&amp;SDATE=200901&amp;PERIODTYPE=QTR_STD&amp;window=popup_no_bar&amp;width=385&amp;height=120&amp;START_MAXIMIZED=FALSE&amp;creator=factset&amp;display_string=Audit"}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1081__FDSAUDITLINK__" localSheetId="20" hidden="1">{"fdsup://Directions/FactSet Auditing Viewer?action=AUDIT_VALUE&amp;DB=129&amp;ID1=00786510&amp;VALUEID=13040&amp;SDATE=200901&amp;PERIODTYPE=QTR_STD&amp;window=popup_no_bar&amp;width=385&amp;height=120&amp;START_MAXIMIZED=FALSE&amp;creator=factset&amp;display_string=Audit"}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1082__FDSAUDITLINK__" localSheetId="20" hidden="1">{"fdsup://Directions/FactSet Auditing Viewer?action=AUDIT_VALUE&amp;DB=129&amp;ID1=00289620&amp;VALUEID=13040&amp;SDATE=200901&amp;PERIODTYPE=QTR_STD&amp;window=popup_no_bar&amp;width=385&amp;height=120&amp;START_MAXIMIZED=FALSE&amp;creator=factset&amp;display_string=Audit"}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1083__FDSAUDITLINK__" localSheetId="20" hidden="1">{"fdsup://Directions/FactSet Auditing Viewer?action=AUDIT_VALUE&amp;DB=129&amp;ID1=87416110&amp;VALUEID=01001&amp;SDATE=200804&amp;PERIODTYPE=QTR_STD&amp;window=popup_no_bar&amp;width=385&amp;height=120&amp;START_MAXIMIZED=FALSE&amp;creator=factset&amp;display_string=Audit"}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4__FDSAUDITLINK__" localSheetId="20"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1085__FDSAUDITLINK__" localSheetId="20" hidden="1">{"fdsup://Directions/FactSet Auditing Viewer?action=AUDIT_VALUE&amp;DB=129&amp;ID1=46612H40&amp;VALUEID=01001&amp;SDATE=200804&amp;PERIODTYPE=QTR_STD&amp;window=popup_no_bar&amp;width=385&amp;height=120&amp;START_MAXIMIZED=FALSE&amp;creator=factset&amp;display_string=Audit"}</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1086__FDSAUDITLINK__" localSheetId="20" hidden="1">{"fdsup://Directions/FactSet Auditing Viewer?action=AUDIT_VALUE&amp;DB=129&amp;ID1=46612H40&amp;VALUEID=13040&amp;SDATE=200804&amp;PERIODTYPE=QTR_STD&amp;window=popup_no_bar&amp;width=385&amp;height=120&amp;START_MAXIMIZED=FALSE&amp;creator=factset&amp;display_string=Audit"}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1087__FDSAUDITLINK__" localSheetId="20" hidden="1">{"fdsup://Directions/FactSet Auditing Viewer?action=AUDIT_VALUE&amp;DB=129&amp;ID1=36476010&amp;VALUEID=01001&amp;SDATE=200804&amp;PERIODTYPE=QTR_STD&amp;window=popup_no_bar&amp;width=385&amp;height=120&amp;START_MAXIMIZED=FALSE&amp;creator=factset&amp;display_string=Audit"}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1088__FDSAUDITLINK__" localSheetId="20" hidden="1">{"fdsup://Directions/FactSet Auditing Viewer?action=AUDIT_VALUE&amp;DB=129&amp;ID1=03611510&amp;VALUEID=01001&amp;SDATE=200804&amp;PERIODTYPE=QTR_STD&amp;window=popup_no_bar&amp;width=385&amp;height=120&amp;START_MAXIMIZED=FALSE&amp;creator=factset&amp;display_string=Audit"}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1089__FDSAUDITLINK__" localSheetId="20" hidden="1">{"fdsup://Directions/FactSet Auditing Viewer?action=AUDIT_VALUE&amp;DB=129&amp;ID1=16890510&amp;VALUEID=01001&amp;SDATE=200804&amp;PERIODTYPE=QTR_STD&amp;window=popup_no_bar&amp;width=385&amp;height=120&amp;START_MAXIMIZED=FALSE&amp;creator=factset&amp;display_string=Audit"}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109__FDSAUDITLINK__" localSheetId="20" hidden="1">{"fdsup://Directions/FactSet Auditing Viewer?action=AUDIT_VALUE&amp;DB=129&amp;ID1=00786510&amp;VALUEID=01001&amp;SDATE=200804&amp;PERIODTYPE=QTR_STD&amp;window=popup_no_bar&amp;width=385&amp;height=120&amp;START_MAXIMIZED=FALSE&amp;creator=factset&amp;display_string=Audit"}</definedName>
    <definedName name="_109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localSheetId="20"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1091__FDSAUDITLINK__" localSheetId="20" hidden="1">{"fdsup://Directions/FactSet Auditing Viewer?action=AUDIT_VALUE&amp;DB=129&amp;ID1=87416110&amp;VALUEID=02101&amp;SDATE=200803&amp;PERIODTYPE=QTR_STD&amp;window=popup_no_bar&amp;width=385&amp;height=120&amp;START_MAXIMIZED=FALSE&amp;creator=factset&amp;display_string=Audit"}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1092__FDSAUDITLINK__" localSheetId="20" hidden="1">{"fdsup://Directions/FactSet Auditing Viewer?action=AUDIT_VALUE&amp;DB=129&amp;ID1=87416110&amp;VALUEID=01001&amp;SDATE=200803&amp;PERIODTYPE=QTR_STD&amp;window=popup_no_bar&amp;width=385&amp;height=120&amp;START_MAXIMIZED=FALSE&amp;creator=factset&amp;display_string=Audit"}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1093__FDSAUDITLINK__" localSheetId="20" hidden="1">{"fdsup://Directions/FactSet Auditing Viewer?action=AUDIT_VALUE&amp;DB=129&amp;ID1=87416110&amp;VALUEID=13040&amp;SDATE=200803&amp;PERIODTYPE=QTR_STD&amp;window=popup_no_bar&amp;width=385&amp;height=120&amp;START_MAXIMIZED=FALSE&amp;creator=factset&amp;display_string=Audit"}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4__FDSAUDITLINK__" localSheetId="20"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1095__FDSAUDITLINK__" localSheetId="20" hidden="1">{"fdsup://Directions/FactSet Auditing Viewer?action=AUDIT_VALUE&amp;DB=129&amp;ID1=46612H40&amp;VALUEID=02101&amp;SDATE=200803&amp;PERIODTYPE=QTR_STD&amp;window=popup_no_bar&amp;width=385&amp;height=120&amp;START_MAXIMIZED=FALSE&amp;creator=factset&amp;display_string=Audit"}</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1096__FDSAUDITLINK__" localSheetId="20" hidden="1">{"fdsup://Directions/FactSet Auditing Viewer?action=AUDIT_VALUE&amp;DB=129&amp;ID1=46612H40&amp;VALUEID=01001&amp;SDATE=200803&amp;PERIODTYPE=QTR_STD&amp;window=popup_no_bar&amp;width=385&amp;height=120&amp;START_MAXIMIZED=FALSE&amp;creator=factset&amp;display_string=Audit"}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1097__FDSAUDITLINK__" localSheetId="20" hidden="1">{"fdsup://Directions/FactSet Auditing Viewer?action=AUDIT_VALUE&amp;DB=129&amp;ID1=46612H40&amp;VALUEID=13040&amp;SDATE=200803&amp;PERIODTYPE=QTR_STD&amp;window=popup_no_bar&amp;width=385&amp;height=120&amp;START_MAXIMIZED=FALSE&amp;creator=factset&amp;display_string=Audit"}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1098__FDSAUDITLINK__" localSheetId="20" hidden="1">{"fdsup://Directions/FactSet Auditing Viewer?action=AUDIT_VALUE&amp;DB=129&amp;ID1=36476010&amp;VALUEID=02101&amp;SDATE=200803&amp;PERIODTYPE=QTR_STD&amp;window=popup_no_bar&amp;width=385&amp;height=120&amp;START_MAXIMIZED=FALSE&amp;creator=factset&amp;display_string=Audit"}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1099__FDSAUDITLINK__" localSheetId="20" hidden="1">{"fdsup://Directions/FactSet Auditing Viewer?action=AUDIT_VALUE&amp;DB=129&amp;ID1=36476010&amp;VALUEID=01001&amp;SDATE=200803&amp;PERIODTYPE=QTR_STD&amp;window=popup_no_bar&amp;width=385&amp;height=120&amp;START_MAXIMIZED=FALSE&amp;creator=factset&amp;display_string=Audit"}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[1]P!$R$29:$AK$29</definedName>
    <definedName name="_11__FDSAUDITLINK__" localSheetId="1" hidden="1">{"fdsup://directions/FAT Viewer?action=UPDATE&amp;creator=factset&amp;DYN_ARGS=TRUE&amp;DOC_NAME=FAT:FQL_AUDITING_CLIENT_TEMPLATE.FAT&amp;display_string=Audit&amp;VAR:KEY=KBMJSLYJAD&amp;VAR:QUERY=RkZfRU5UUlBSX1ZBTF9FQklUREFfT1BFUihBTk4sMCk=&amp;WINDOW=FIRST_POPUP&amp;HEIGHT=450&amp;WIDTH=450&amp;","START_MAXIMIZED=FALSE&amp;VAR:CALENDAR=FIVEDAY&amp;VAR:SYMBOL=HOTT&amp;VAR:INDEX=0"}</definedName>
    <definedName name="_11__FDSAUDITLINK__" localSheetId="20" hidden="1">{"fdsup://Directions/FactSet Auditing Viewer?action=AUDIT_VALUE&amp;DB=129&amp;ID1=03611510&amp;VALUEID=13040&amp;SDATE=201001&amp;PERIODTYPE=QTR_STD&amp;window=popup_no_bar&amp;width=385&amp;height=120&amp;START_MAXIMIZED=FALSE&amp;creator=factset&amp;display_string=Audit"}</definedName>
    <definedName name="_11__FDSAUDITLINK__" hidden="1">{"fdsup://directions/FAT Viewer?action=UPDATE&amp;creator=factset&amp;DYN_ARGS=TRUE&amp;DOC_NAME=FAT:FQL_AUDITING_CLIENT_TEMPLATE.FAT&amp;display_string=Audit&amp;VAR:KEY=KBMJSLYJAD&amp;VAR:QUERY=RkZfRU5UUlBSX1ZBTF9FQklUREFfT1BFUihBTk4sMCk=&amp;WINDOW=FIRST_POPUP&amp;HEIGHT=450&amp;WIDTH=450&amp;","START_MAXIMIZED=FALSE&amp;VAR:CALENDAR=FIVEDAY&amp;VAR:SYMBOL=HOTT&amp;VAR:INDEX=0"}</definedName>
    <definedName name="_110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110__FDSAUDITLINK__" localSheetId="20" hidden="1">{"fdsup://Directions/FactSet Auditing Viewer?action=AUDIT_VALUE&amp;DB=129&amp;ID1=87416110&amp;VALUEID=02101&amp;SDATE=200803&amp;PERIODTYPE=QTR_STD&amp;window=popup_no_bar&amp;width=385&amp;height=120&amp;START_MAXIMIZED=FALSE&amp;creator=factset&amp;display_string=Audit"}</definedName>
    <definedName name="_110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100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1100__FDSAUDITLINK__" localSheetId="20" hidden="1">{"fdsup://Directions/FactSet Auditing Viewer?action=AUDIT_VALUE&amp;DB=129&amp;ID1=36476010&amp;VALUEID=13040&amp;SDATE=200803&amp;PERIODTYPE=QTR_STD&amp;window=popup_no_bar&amp;width=385&amp;height=120&amp;START_MAXIMIZED=FALSE&amp;creator=factset&amp;display_string=Audit"}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1101__FDSAUDITLINK__" localSheetId="20" hidden="1">{"fdsup://Directions/FactSet Auditing Viewer?action=AUDIT_VALUE&amp;DB=129&amp;ID1=03611510&amp;VALUEID=02101&amp;SDATE=200803&amp;PERIODTYPE=QTR_STD&amp;window=popup_no_bar&amp;width=385&amp;height=120&amp;START_MAXIMIZED=FALSE&amp;creator=factset&amp;display_string=Audit"}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1102__FDSAUDITLINK__" localSheetId="20" hidden="1">{"fdsup://Directions/FactSet Auditing Viewer?action=AUDIT_VALUE&amp;DB=129&amp;ID1=03611510&amp;VALUEID=01001&amp;SDATE=200803&amp;PERIODTYPE=QTR_STD&amp;window=popup_no_bar&amp;width=385&amp;height=120&amp;START_MAXIMIZED=FALSE&amp;creator=factset&amp;display_string=Audit"}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1103__FDSAUDITLINK__" localSheetId="20" hidden="1">{"fdsup://Directions/FactSet Auditing Viewer?action=AUDIT_VALUE&amp;DB=129&amp;ID1=16890510&amp;VALUEID=02101&amp;SDATE=200803&amp;PERIODTYPE=QTR_STD&amp;window=popup_no_bar&amp;width=385&amp;height=120&amp;START_MAXIMIZED=FALSE&amp;creator=factset&amp;display_string=Audit"}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1104__FDSAUDITLINK__" localSheetId="20" hidden="1">{"fdsup://Directions/FactSet Auditing Viewer?action=AUDIT_VALUE&amp;DB=129&amp;ID1=16890510&amp;VALUEID=01001&amp;SDATE=200803&amp;PERIODTYPE=QTR_STD&amp;window=popup_no_bar&amp;width=385&amp;height=120&amp;START_MAXIMIZED=FALSE&amp;creator=factset&amp;display_string=Audit"}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1105__FDSAUDITLINK__" localSheetId="20" hidden="1">{"fdsup://Directions/FactSet Auditing Viewer?action=AUDIT_VALUE&amp;DB=129&amp;ID1=91704710&amp;VALUEID=02101&amp;SDATE=200803&amp;PERIODTYPE=QTR_STD&amp;window=popup_no_bar&amp;width=385&amp;height=120&amp;START_MAXIMIZED=FALSE&amp;creator=factset&amp;display_string=Audit"}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1106__FDSAUDITLINK__" localSheetId="20" hidden="1">{"fdsup://Directions/FactSet Auditing Viewer?action=AUDIT_VALUE&amp;DB=129&amp;ID1=91704710&amp;VALUEID=01001&amp;SDATE=200803&amp;PERIODTYPE=QTR_STD&amp;window=popup_no_bar&amp;width=385&amp;height=120&amp;START_MAXIMIZED=FALSE&amp;creator=factset&amp;display_string=Audit"}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1107__FDSAUDITLINK__" localSheetId="20" hidden="1">{"fdsup://Directions/FactSet Auditing Viewer?action=AUDIT_VALUE&amp;DB=129&amp;ID1=91704710&amp;VALUEID=13040&amp;SDATE=200803&amp;PERIODTYPE=QTR_STD&amp;window=popup_no_bar&amp;width=385&amp;height=120&amp;START_MAXIMIZED=FALSE&amp;creator=factset&amp;display_string=Audit"}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1108__FDSAUDITLINK__" localSheetId="20" hidden="1">{"fdsup://Directions/FactSet Auditing Viewer?action=AUDIT_VALUE&amp;DB=129&amp;ID1=02553E10&amp;VALUEID=02101&amp;SDATE=200803&amp;PERIODTYPE=QTR_STD&amp;window=popup_no_bar&amp;width=385&amp;height=120&amp;START_MAXIMIZED=FALSE&amp;creator=factset&amp;display_string=Audit"}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1109__FDSAUDITLINK__" localSheetId="20" hidden="1">{"fdsup://Directions/FactSet Auditing Viewer?action=AUDIT_VALUE&amp;DB=129&amp;ID1=02553E10&amp;VALUEID=01001&amp;SDATE=200803&amp;PERIODTYPE=QTR_STD&amp;window=popup_no_bar&amp;width=385&amp;height=120&amp;START_MAXIMIZED=FALSE&amp;creator=factset&amp;display_string=Audit"}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111__FDSAUDITLINK__" localSheetId="20" hidden="1">{"fdsup://Directions/FactSet Auditing Viewer?action=AUDIT_VALUE&amp;DB=129&amp;ID1=87416110&amp;VALUEID=01001&amp;SDATE=200803&amp;PERIODTYPE=QTR_STD&amp;window=popup_no_bar&amp;width=385&amp;height=120&amp;START_MAXIMIZED=FALSE&amp;creator=factset&amp;display_string=Audit"}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110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1110__FDSAUDITLINK__" localSheetId="20" hidden="1">{"fdsup://Directions/FactSet Auditing Viewer?action=AUDIT_VALUE&amp;DB=129&amp;ID1=02553E10&amp;VALUEID=13040&amp;SDATE=200803&amp;PERIODTYPE=QTR_STD&amp;window=popup_no_bar&amp;width=385&amp;height=120&amp;START_MAXIMIZED=FALSE&amp;creator=factset&amp;display_string=Audit"}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1111__FDSAUDITLINK__" localSheetId="20" hidden="1">{"fdsup://Directions/FactSet Auditing Viewer?action=AUDIT_VALUE&amp;DB=129&amp;ID1=00786510&amp;VALUEID=02101&amp;SDATE=200803&amp;PERIODTYPE=QTR_STD&amp;window=popup_no_bar&amp;width=385&amp;height=120&amp;START_MAXIMIZED=FALSE&amp;creator=factset&amp;display_string=Audit"}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1112__FDSAUDITLINK__" localSheetId="20" hidden="1">{"fdsup://Directions/FactSet Auditing Viewer?action=AUDIT_VALUE&amp;DB=129&amp;ID1=00786510&amp;VALUEID=01001&amp;SDATE=200803&amp;PERIODTYPE=QTR_STD&amp;window=popup_no_bar&amp;width=385&amp;height=120&amp;START_MAXIMIZED=FALSE&amp;creator=factset&amp;display_string=Audit"}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1113__FDSAUDITLINK__" localSheetId="20" hidden="1">{"fdsup://Directions/FactSet Auditing Viewer?action=AUDIT_VALUE&amp;DB=129&amp;ID1=00786510&amp;VALUEID=13040&amp;SDATE=200803&amp;PERIODTYPE=QTR_STD&amp;window=popup_no_bar&amp;width=385&amp;height=120&amp;START_MAXIMIZED=FALSE&amp;creator=factset&amp;display_string=Audit"}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1114__FDSAUDITLINK__" localSheetId="20" hidden="1">{"fdsup://Directions/FactSet Auditing Viewer?action=AUDIT_VALUE&amp;DB=129&amp;ID1=00289620&amp;VALUEID=02101&amp;SDATE=200803&amp;PERIODTYPE=QTR_STD&amp;window=popup_no_bar&amp;width=385&amp;height=120&amp;START_MAXIMIZED=FALSE&amp;creator=factset&amp;display_string=Audit"}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1115__FDSAUDITLINK__" localSheetId="20" hidden="1">{"fdsup://Directions/FactSet Auditing Viewer?action=AUDIT_VALUE&amp;DB=129&amp;ID1=00289620&amp;VALUEID=01001&amp;SDATE=200803&amp;PERIODTYPE=QTR_STD&amp;window=popup_no_bar&amp;width=385&amp;height=120&amp;START_MAXIMIZED=FALSE&amp;creator=factset&amp;display_string=Audit"}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1116__FDSAUDITLINK__" localSheetId="20" hidden="1">{"fdsup://Directions/FactSet Auditing Viewer?action=AUDIT_VALUE&amp;DB=129&amp;ID1=00289620&amp;VALUEID=13040&amp;SDATE=200803&amp;PERIODTYPE=QTR_STD&amp;window=popup_no_bar&amp;width=385&amp;height=120&amp;START_MAXIMIZED=FALSE&amp;creator=factset&amp;display_string=Audit"}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1117__FDSAUDITLINK__" localSheetId="20" hidden="1">{"fdsup://Directions/FactSet Auditing Viewer?action=AUDIT_VALUE&amp;DB=129&amp;ID1=87416110&amp;VALUEID=02101&amp;SDATE=200802&amp;PERIODTYPE=QTR_STD&amp;window=popup_no_bar&amp;width=385&amp;height=120&amp;START_MAXIMIZED=FALSE&amp;creator=factset&amp;display_string=Audit"}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1118__FDSAUDITLINK__" localSheetId="20" hidden="1">{"fdsup://Directions/FactSet Auditing Viewer?action=AUDIT_VALUE&amp;DB=129&amp;ID1=87416110&amp;VALUEID=01001&amp;SDATE=200802&amp;PERIODTYPE=QTR_STD&amp;window=popup_no_bar&amp;width=385&amp;height=120&amp;START_MAXIMIZED=FALSE&amp;creator=factset&amp;display_string=Audit"}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1119__FDSAUDITLINK__" localSheetId="20" hidden="1">{"fdsup://Directions/FactSet Auditing Viewer?action=AUDIT_VALUE&amp;DB=129&amp;ID1=53271610&amp;VALUEID=02101&amp;SDATE=200802&amp;PERIODTYPE=QTR_STD&amp;window=popup_no_bar&amp;width=385&amp;height=120&amp;START_MAXIMIZED=FALSE&amp;creator=factset&amp;display_string=Audit"}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112__FDSAUDITLINK__" localSheetId="20" hidden="1">{"fdsup://Directions/FactSet Auditing Viewer?action=AUDIT_VALUE&amp;DB=129&amp;ID1=87416110&amp;VALUEID=13040&amp;SDATE=200803&amp;PERIODTYPE=QTR_STD&amp;window=popup_no_bar&amp;width=385&amp;height=120&amp;START_MAXIMIZED=FALSE&amp;creator=factset&amp;display_string=Audit"}</definedName>
    <definedName name="_112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120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1120__FDSAUDITLINK__" localSheetId="20" hidden="1">{"fdsup://Directions/FactSet Auditing Viewer?action=AUDIT_VALUE&amp;DB=129&amp;ID1=53271610&amp;VALUEID=01001&amp;SDATE=200802&amp;PERIODTYPE=QTR_STD&amp;window=popup_no_bar&amp;width=385&amp;height=120&amp;START_MAXIMIZED=FALSE&amp;creator=factset&amp;display_string=Audit"}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1121__FDSAUDITLINK__" localSheetId="20" hidden="1">{"fdsup://Directions/FactSet Auditing Viewer?action=AUDIT_VALUE&amp;DB=129&amp;ID1=53271610&amp;VALUEID=13040&amp;SDATE=200802&amp;PERIODTYPE=QTR_STD&amp;window=popup_no_bar&amp;width=385&amp;height=120&amp;START_MAXIMIZED=FALSE&amp;creator=factset&amp;display_string=Audit"}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1122__FDSAUDITLINK__" localSheetId="20" hidden="1">{"fdsup://Directions/FactSet Auditing Viewer?action=AUDIT_VALUE&amp;DB=129&amp;ID1=46612H40&amp;VALUEID=02101&amp;SDATE=200802&amp;PERIODTYPE=QTR_STD&amp;window=popup_no_bar&amp;width=385&amp;height=120&amp;START_MAXIMIZED=FALSE&amp;creator=factset&amp;display_string=Audit"}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1123__FDSAUDITLINK__" localSheetId="20" hidden="1">{"fdsup://Directions/FactSet Auditing Viewer?action=AUDIT_VALUE&amp;DB=129&amp;ID1=46612H40&amp;VALUEID=01001&amp;SDATE=200802&amp;PERIODTYPE=QTR_STD&amp;window=popup_no_bar&amp;width=385&amp;height=120&amp;START_MAXIMIZED=FALSE&amp;creator=factset&amp;display_string=Audit"}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1124__FDSAUDITLINK__" localSheetId="20" hidden="1">{"fdsup://Directions/FactSet Auditing Viewer?action=AUDIT_VALUE&amp;DB=129&amp;ID1=46612H40&amp;VALUEID=13040&amp;SDATE=200802&amp;PERIODTYPE=QTR_STD&amp;window=popup_no_bar&amp;width=385&amp;height=120&amp;START_MAXIMIZED=FALSE&amp;creator=factset&amp;display_string=Audit"}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1125__FDSAUDITLINK__" localSheetId="20" hidden="1">{"fdsup://Directions/FactSet Auditing Viewer?action=AUDIT_VALUE&amp;DB=129&amp;ID1=36476010&amp;VALUEID=02101&amp;SDATE=200802&amp;PERIODTYPE=QTR_STD&amp;window=popup_no_bar&amp;width=385&amp;height=120&amp;START_MAXIMIZED=FALSE&amp;creator=factset&amp;display_string=Audit"}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1126__FDSAUDITLINK__" localSheetId="20" hidden="1">{"fdsup://Directions/FactSet Auditing Viewer?action=AUDIT_VALUE&amp;DB=129&amp;ID1=36476010&amp;VALUEID=01001&amp;SDATE=200802&amp;PERIODTYPE=QTR_STD&amp;window=popup_no_bar&amp;width=385&amp;height=120&amp;START_MAXIMIZED=FALSE&amp;creator=factset&amp;display_string=Audit"}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1127__FDSAUDITLINK__" localSheetId="20" hidden="1">{"fdsup://Directions/FactSet Auditing Viewer?action=AUDIT_VALUE&amp;DB=129&amp;ID1=36476010&amp;VALUEID=13040&amp;SDATE=200802&amp;PERIODTYPE=QTR_STD&amp;window=popup_no_bar&amp;width=385&amp;height=120&amp;START_MAXIMIZED=FALSE&amp;creator=factset&amp;display_string=Audit"}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1128__FDSAUDITLINK__" localSheetId="20" hidden="1">{"fdsup://Directions/FactSet Auditing Viewer?action=AUDIT_VALUE&amp;DB=129&amp;ID1=03611510&amp;VALUEID=02101&amp;SDATE=200802&amp;PERIODTYPE=QTR_STD&amp;window=popup_no_bar&amp;width=385&amp;height=120&amp;START_MAXIMIZED=FALSE&amp;creator=factset&amp;display_string=Audit"}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1129__FDSAUDITLINK__" localSheetId="20" hidden="1">{"fdsup://Directions/FactSet Auditing Viewer?action=AUDIT_VALUE&amp;DB=129&amp;ID1=03611510&amp;VALUEID=01001&amp;SDATE=200802&amp;PERIODTYPE=QTR_STD&amp;window=popup_no_bar&amp;width=385&amp;height=120&amp;START_MAXIMIZED=FALSE&amp;creator=factset&amp;display_string=Audit"}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__FDSAUDITLINK__" localSheetId="20"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0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1130__FDSAUDITLINK__" localSheetId="20" hidden="1">{"fdsup://Directions/FactSet Auditing Viewer?action=AUDIT_VALUE&amp;DB=129&amp;ID1=16890510&amp;VALUEID=02101&amp;SDATE=200802&amp;PERIODTYPE=QTR_STD&amp;window=popup_no_bar&amp;width=385&amp;height=120&amp;START_MAXIMIZED=FALSE&amp;creator=factset&amp;display_string=Audit"}</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1131__FDSAUDITLINK__" localSheetId="20" hidden="1">{"fdsup://Directions/FactSet Auditing Viewer?action=AUDIT_VALUE&amp;DB=129&amp;ID1=16890510&amp;VALUEID=01001&amp;SDATE=200802&amp;PERIODTYPE=QTR_STD&amp;window=popup_no_bar&amp;width=385&amp;height=120&amp;START_MAXIMIZED=FALSE&amp;creator=factset&amp;display_string=Audit"}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1132__FDSAUDITLINK__" localSheetId="20" hidden="1">{"fdsup://Directions/FactSet Auditing Viewer?action=AUDIT_VALUE&amp;DB=129&amp;ID1=91704710&amp;VALUEID=02101&amp;SDATE=200802&amp;PERIODTYPE=QTR_STD&amp;window=popup_no_bar&amp;width=385&amp;height=120&amp;START_MAXIMIZED=FALSE&amp;creator=factset&amp;display_string=Audit"}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1133__FDSAUDITLINK__" localSheetId="20" hidden="1">{"fdsup://Directions/FactSet Auditing Viewer?action=AUDIT_VALUE&amp;DB=129&amp;ID1=91704710&amp;VALUEID=01001&amp;SDATE=200802&amp;PERIODTYPE=QTR_STD&amp;window=popup_no_bar&amp;width=385&amp;height=120&amp;START_MAXIMIZED=FALSE&amp;creator=factset&amp;display_string=Audit"}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1134__FDSAUDITLINK__" localSheetId="20" hidden="1">{"fdsup://Directions/FactSet Auditing Viewer?action=AUDIT_VALUE&amp;DB=129&amp;ID1=91704710&amp;VALUEID=13040&amp;SDATE=200802&amp;PERIODTYPE=QTR_STD&amp;window=popup_no_bar&amp;width=385&amp;height=120&amp;START_MAXIMIZED=FALSE&amp;creator=factset&amp;display_string=Audit"}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1135__FDSAUDITLINK__" localSheetId="20" hidden="1">{"fdsup://Directions/FactSet Auditing Viewer?action=AUDIT_VALUE&amp;DB=129&amp;ID1=02553E10&amp;VALUEID=02101&amp;SDATE=200802&amp;PERIODTYPE=QTR_STD&amp;window=popup_no_bar&amp;width=385&amp;height=120&amp;START_MAXIMIZED=FALSE&amp;creator=factset&amp;display_string=Audit"}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1136__FDSAUDITLINK__" localSheetId="20" hidden="1">{"fdsup://Directions/FactSet Auditing Viewer?action=AUDIT_VALUE&amp;DB=129&amp;ID1=02553E10&amp;VALUEID=01001&amp;SDATE=200802&amp;PERIODTYPE=QTR_STD&amp;window=popup_no_bar&amp;width=385&amp;height=120&amp;START_MAXIMIZED=FALSE&amp;creator=factset&amp;display_string=Audit"}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1137__FDSAUDITLINK__" localSheetId="20" hidden="1">{"fdsup://Directions/FactSet Auditing Viewer?action=AUDIT_VALUE&amp;DB=129&amp;ID1=02553E10&amp;VALUEID=13040&amp;SDATE=200802&amp;PERIODTYPE=QTR_STD&amp;window=popup_no_bar&amp;width=385&amp;height=120&amp;START_MAXIMIZED=FALSE&amp;creator=factset&amp;display_string=Audit"}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1138__FDSAUDITLINK__" localSheetId="20" hidden="1">{"fdsup://Directions/FactSet Auditing Viewer?action=AUDIT_VALUE&amp;DB=129&amp;ID1=00786510&amp;VALUEID=02101&amp;SDATE=200802&amp;PERIODTYPE=QTR_STD&amp;window=popup_no_bar&amp;width=385&amp;height=120&amp;START_MAXIMIZED=FALSE&amp;creator=factset&amp;display_string=Audit"}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1139__FDSAUDITLINK__" localSheetId="20" hidden="1">{"fdsup://Directions/FactSet Auditing Viewer?action=AUDIT_VALUE&amp;DB=129&amp;ID1=00786510&amp;VALUEID=01001&amp;SDATE=200802&amp;PERIODTYPE=QTR_STD&amp;window=popup_no_bar&amp;width=385&amp;height=120&amp;START_MAXIMIZED=FALSE&amp;creator=factset&amp;display_string=Audit"}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114__FDSAUDITLINK__" localSheetId="20" hidden="1">{"fdsup://Directions/FactSet Auditing Viewer?action=AUDIT_VALUE&amp;DB=129&amp;ID1=46612H40&amp;VALUEID=02101&amp;SDATE=200803&amp;PERIODTYPE=QTR_STD&amp;window=popup_no_bar&amp;width=385&amp;height=120&amp;START_MAXIMIZED=FALSE&amp;creator=factset&amp;display_string=Audit"}</definedName>
    <definedName name="_114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140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1140__FDSAUDITLINK__" localSheetId="20" hidden="1">{"fdsup://Directions/FactSet Auditing Viewer?action=AUDIT_VALUE&amp;DB=129&amp;ID1=00786510&amp;VALUEID=13040&amp;SDATE=200802&amp;PERIODTYPE=QTR_STD&amp;window=popup_no_bar&amp;width=385&amp;height=120&amp;START_MAXIMIZED=FALSE&amp;creator=factset&amp;display_string=Audit"}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1141__FDSAUDITLINK__" localSheetId="20" hidden="1">{"fdsup://Directions/FactSet Auditing Viewer?action=AUDIT_VALUE&amp;DB=129&amp;ID1=00289620&amp;VALUEID=02101&amp;SDATE=200802&amp;PERIODTYPE=QTR_STD&amp;window=popup_no_bar&amp;width=385&amp;height=120&amp;START_MAXIMIZED=FALSE&amp;creator=factset&amp;display_string=Audit"}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1142__FDSAUDITLINK__" localSheetId="20" hidden="1">{"fdsup://Directions/FactSet Auditing Viewer?action=AUDIT_VALUE&amp;DB=129&amp;ID1=00289620&amp;VALUEID=01001&amp;SDATE=200802&amp;PERIODTYPE=QTR_STD&amp;window=popup_no_bar&amp;width=385&amp;height=120&amp;START_MAXIMIZED=FALSE&amp;creator=factset&amp;display_string=Audit"}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1143__FDSAUDITLINK__" localSheetId="20" hidden="1">{"fdsup://Directions/FactSet Auditing Viewer?action=AUDIT_VALUE&amp;DB=129&amp;ID1=00289620&amp;VALUEID=13040&amp;SDATE=200802&amp;PERIODTYPE=QTR_STD&amp;window=popup_no_bar&amp;width=385&amp;height=120&amp;START_MAXIMIZED=FALSE&amp;creator=factset&amp;display_string=Audit"}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1144__FDSAUDITLINK__" localSheetId="20" hidden="1">{"fdsup://Directions/FactSet Auditing Viewer?action=AUDIT_VALUE&amp;DB=129&amp;ID1=87416110&amp;VALUEID=02101&amp;SDATE=200801&amp;PERIODTYPE=QTR_STD&amp;window=popup_no_bar&amp;width=385&amp;height=120&amp;START_MAXIMIZED=FALSE&amp;creator=factset&amp;display_string=Audit"}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1145__FDSAUDITLINK__" localSheetId="20" hidden="1">{"fdsup://Directions/FactSet Auditing Viewer?action=AUDIT_VALUE&amp;DB=129&amp;ID1=87416110&amp;VALUEID=01001&amp;SDATE=200801&amp;PERIODTYPE=QTR_STD&amp;window=popup_no_bar&amp;width=385&amp;height=120&amp;START_MAXIMIZED=FALSE&amp;creator=factset&amp;display_string=Audit"}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1146__FDSAUDITLINK__" localSheetId="20" hidden="1">{"fdsup://Directions/FactSet Auditing Viewer?action=AUDIT_VALUE&amp;DB=129&amp;ID1=53271610&amp;VALUEID=02101&amp;SDATE=200801&amp;PERIODTYPE=QTR_STD&amp;window=popup_no_bar&amp;width=385&amp;height=120&amp;START_MAXIMIZED=FALSE&amp;creator=factset&amp;display_string=Audit"}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1147__FDSAUDITLINK__" localSheetId="20" hidden="1">{"fdsup://Directions/FactSet Auditing Viewer?action=AUDIT_VALUE&amp;DB=129&amp;ID1=53271610&amp;VALUEID=01001&amp;SDATE=200801&amp;PERIODTYPE=QTR_STD&amp;window=popup_no_bar&amp;width=385&amp;height=120&amp;START_MAXIMIZED=FALSE&amp;creator=factset&amp;display_string=Audit"}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1148__FDSAUDITLINK__" localSheetId="20" hidden="1">{"fdsup://Directions/FactSet Auditing Viewer?action=AUDIT_VALUE&amp;DB=129&amp;ID1=53271610&amp;VALUEID=13040&amp;SDATE=200801&amp;PERIODTYPE=QTR_STD&amp;window=popup_no_bar&amp;width=385&amp;height=120&amp;START_MAXIMIZED=FALSE&amp;creator=factset&amp;display_string=Audit"}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1149__FDSAUDITLINK__" localSheetId="20" hidden="1">{"fdsup://Directions/FactSet Auditing Viewer?action=AUDIT_VALUE&amp;DB=129&amp;ID1=46612H40&amp;VALUEID=02101&amp;SDATE=200801&amp;PERIODTYPE=QTR_STD&amp;window=popup_no_bar&amp;width=385&amp;height=120&amp;START_MAXIMIZED=FALSE&amp;creator=factset&amp;display_string=Audit"}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115__FDSAUDITLINK__" localSheetId="20" hidden="1">{"fdsup://Directions/FactSet Auditing Viewer?action=AUDIT_VALUE&amp;DB=129&amp;ID1=46612H40&amp;VALUEID=01001&amp;SDATE=200803&amp;PERIODTYPE=QTR_STD&amp;window=popup_no_bar&amp;width=385&amp;height=120&amp;START_MAXIMIZED=FALSE&amp;creator=factset&amp;display_string=Audit"}</definedName>
    <definedName name="_115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150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1150__FDSAUDITLINK__" localSheetId="20" hidden="1">{"fdsup://Directions/FactSet Auditing Viewer?action=AUDIT_VALUE&amp;DB=129&amp;ID1=46612H40&amp;VALUEID=01001&amp;SDATE=200801&amp;PERIODTYPE=QTR_STD&amp;window=popup_no_bar&amp;width=385&amp;height=120&amp;START_MAXIMIZED=FALSE&amp;creator=factset&amp;display_string=Audit"}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1151__FDSAUDITLINK__" localSheetId="20" hidden="1">{"fdsup://Directions/FactSet Auditing Viewer?action=AUDIT_VALUE&amp;DB=129&amp;ID1=46612H40&amp;VALUEID=13040&amp;SDATE=200801&amp;PERIODTYPE=QTR_STD&amp;window=popup_no_bar&amp;width=385&amp;height=120&amp;START_MAXIMIZED=FALSE&amp;creator=factset&amp;display_string=Audit"}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1152__FDSAUDITLINK__" localSheetId="20" hidden="1">{"fdsup://Directions/FactSet Auditing Viewer?action=AUDIT_VALUE&amp;DB=129&amp;ID1=36476010&amp;VALUEID=02101&amp;SDATE=200801&amp;PERIODTYPE=QTR_STD&amp;window=popup_no_bar&amp;width=385&amp;height=120&amp;START_MAXIMIZED=FALSE&amp;creator=factset&amp;display_string=Audit"}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1153__FDSAUDITLINK__" localSheetId="20" hidden="1">{"fdsup://Directions/FactSet Auditing Viewer?action=AUDIT_VALUE&amp;DB=129&amp;ID1=36476010&amp;VALUEID=01001&amp;SDATE=200801&amp;PERIODTYPE=QTR_STD&amp;window=popup_no_bar&amp;width=385&amp;height=120&amp;START_MAXIMIZED=FALSE&amp;creator=factset&amp;display_string=Audit"}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1154__FDSAUDITLINK__" localSheetId="20" hidden="1">{"fdsup://Directions/FactSet Auditing Viewer?action=AUDIT_VALUE&amp;DB=129&amp;ID1=36476010&amp;VALUEID=13040&amp;SDATE=200801&amp;PERIODTYPE=QTR_STD&amp;window=popup_no_bar&amp;width=385&amp;height=120&amp;START_MAXIMIZED=FALSE&amp;creator=factset&amp;display_string=Audit"}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1155__FDSAUDITLINK__" localSheetId="20" hidden="1">{"fdsup://Directions/FactSet Auditing Viewer?action=AUDIT_VALUE&amp;DB=129&amp;ID1=03611510&amp;VALUEID=02101&amp;SDATE=200801&amp;PERIODTYPE=QTR_STD&amp;window=popup_no_bar&amp;width=385&amp;height=120&amp;START_MAXIMIZED=FALSE&amp;creator=factset&amp;display_string=Audit"}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1156__FDSAUDITLINK__" localSheetId="20" hidden="1">{"fdsup://Directions/FactSet Auditing Viewer?action=AUDIT_VALUE&amp;DB=129&amp;ID1=03611510&amp;VALUEID=01001&amp;SDATE=200801&amp;PERIODTYPE=QTR_STD&amp;window=popup_no_bar&amp;width=385&amp;height=120&amp;START_MAXIMIZED=FALSE&amp;creator=factset&amp;display_string=Audit"}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1157__FDSAUDITLINK__" localSheetId="20" hidden="1">{"fdsup://Directions/FactSet Auditing Viewer?action=AUDIT_VALUE&amp;DB=129&amp;ID1=03611510&amp;VALUEID=13040&amp;SDATE=200801&amp;PERIODTYPE=QTR_STD&amp;window=popup_no_bar&amp;width=385&amp;height=120&amp;START_MAXIMIZED=FALSE&amp;creator=factset&amp;display_string=Audit"}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1158__FDSAUDITLINK__" localSheetId="20" hidden="1">{"fdsup://Directions/FactSet Auditing Viewer?action=AUDIT_VALUE&amp;DB=129&amp;ID1=16890510&amp;VALUEID=02101&amp;SDATE=200801&amp;PERIODTYPE=QTR_STD&amp;window=popup_no_bar&amp;width=385&amp;height=120&amp;START_MAXIMIZED=FALSE&amp;creator=factset&amp;display_string=Audit"}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1159__FDSAUDITLINK__" localSheetId="20" hidden="1">{"fdsup://Directions/FactSet Auditing Viewer?action=AUDIT_VALUE&amp;DB=129&amp;ID1=16890510&amp;VALUEID=01001&amp;SDATE=200801&amp;PERIODTYPE=QTR_STD&amp;window=popup_no_bar&amp;width=385&amp;height=120&amp;START_MAXIMIZED=FALSE&amp;creator=factset&amp;display_string=Audit"}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116__FDSAUDITLINK__" localSheetId="20" hidden="1">{"fdsup://Directions/FactSet Auditing Viewer?action=AUDIT_VALUE&amp;DB=129&amp;ID1=46612H40&amp;VALUEID=13040&amp;SDATE=200803&amp;PERIODTYPE=QTR_STD&amp;window=popup_no_bar&amp;width=385&amp;height=120&amp;START_MAXIMIZED=FALSE&amp;creator=factset&amp;display_string=Audit"}</definedName>
    <definedName name="_116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160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1160__FDSAUDITLINK__" localSheetId="20" hidden="1">{"fdsup://Directions/FactSet Auditing Viewer?action=AUDIT_VALUE&amp;DB=129&amp;ID1=91704710&amp;VALUEID=02101&amp;SDATE=200801&amp;PERIODTYPE=QTR_STD&amp;window=popup_no_bar&amp;width=385&amp;height=120&amp;START_MAXIMIZED=FALSE&amp;creator=factset&amp;display_string=Audit"}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1161__FDSAUDITLINK__" localSheetId="20" hidden="1">{"fdsup://Directions/FactSet Auditing Viewer?action=AUDIT_VALUE&amp;DB=129&amp;ID1=91704710&amp;VALUEID=01001&amp;SDATE=200801&amp;PERIODTYPE=QTR_STD&amp;window=popup_no_bar&amp;width=385&amp;height=120&amp;START_MAXIMIZED=FALSE&amp;creator=factset&amp;display_string=Audit"}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1162__FDSAUDITLINK__" localSheetId="20" hidden="1">{"fdsup://Directions/FactSet Auditing Viewer?action=AUDIT_VALUE&amp;DB=129&amp;ID1=91704710&amp;VALUEID=13040&amp;SDATE=200801&amp;PERIODTYPE=QTR_STD&amp;window=popup_no_bar&amp;width=385&amp;height=120&amp;START_MAXIMIZED=FALSE&amp;creator=factset&amp;display_string=Audit"}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1163__FDSAUDITLINK__" localSheetId="20" hidden="1">{"fdsup://Directions/FactSet Auditing Viewer?action=AUDIT_VALUE&amp;DB=129&amp;ID1=02553E10&amp;VALUEID=02101&amp;SDATE=200801&amp;PERIODTYPE=QTR_STD&amp;window=popup_no_bar&amp;width=385&amp;height=120&amp;START_MAXIMIZED=FALSE&amp;creator=factset&amp;display_string=Audit"}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1164__FDSAUDITLINK__" localSheetId="20" hidden="1">{"fdsup://Directions/FactSet Auditing Viewer?action=AUDIT_VALUE&amp;DB=129&amp;ID1=02553E10&amp;VALUEID=01001&amp;SDATE=200801&amp;PERIODTYPE=QTR_STD&amp;window=popup_no_bar&amp;width=385&amp;height=120&amp;START_MAXIMIZED=FALSE&amp;creator=factset&amp;display_string=Audit"}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1165__FDSAUDITLINK__" localSheetId="20" hidden="1">{"fdsup://Directions/FactSet Auditing Viewer?action=AUDIT_VALUE&amp;DB=129&amp;ID1=02553E10&amp;VALUEID=13040&amp;SDATE=200801&amp;PERIODTYPE=QTR_STD&amp;window=popup_no_bar&amp;width=385&amp;height=120&amp;START_MAXIMIZED=FALSE&amp;creator=factset&amp;display_string=Audit"}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1166__FDSAUDITLINK__" localSheetId="20" hidden="1">{"fdsup://Directions/FactSet Auditing Viewer?action=AUDIT_VALUE&amp;DB=129&amp;ID1=00786510&amp;VALUEID=02101&amp;SDATE=200801&amp;PERIODTYPE=QTR_STD&amp;window=popup_no_bar&amp;width=385&amp;height=120&amp;START_MAXIMIZED=FALSE&amp;creator=factset&amp;display_string=Audit"}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1167__FDSAUDITLINK__" localSheetId="20" hidden="1">{"fdsup://Directions/FactSet Auditing Viewer?action=AUDIT_VALUE&amp;DB=129&amp;ID1=00786510&amp;VALUEID=01001&amp;SDATE=200801&amp;PERIODTYPE=QTR_STD&amp;window=popup_no_bar&amp;width=385&amp;height=120&amp;START_MAXIMIZED=FALSE&amp;creator=factset&amp;display_string=Audit"}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1168__FDSAUDITLINK__" localSheetId="20" hidden="1">{"fdsup://Directions/FactSet Auditing Viewer?action=AUDIT_VALUE&amp;DB=129&amp;ID1=00786510&amp;VALUEID=13040&amp;SDATE=200801&amp;PERIODTYPE=QTR_STD&amp;window=popup_no_bar&amp;width=385&amp;height=120&amp;START_MAXIMIZED=FALSE&amp;creator=factset&amp;display_string=Audit"}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1169__FDSAUDITLINK__" localSheetId="20" hidden="1">{"fdsup://Directions/FactSet Auditing Viewer?action=AUDIT_VALUE&amp;DB=129&amp;ID1=00289620&amp;VALUEID=02101&amp;SDATE=200801&amp;PERIODTYPE=QTR_STD&amp;window=popup_no_bar&amp;width=385&amp;height=120&amp;START_MAXIMIZED=FALSE&amp;creator=factset&amp;display_string=Audit"}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117__FDSAUDITLINK__" localSheetId="20" hidden="1">{"fdsup://Directions/FactSet Auditing Viewer?action=AUDIT_VALUE&amp;DB=129&amp;ID1=36476010&amp;VALUEID=02101&amp;SDATE=200803&amp;PERIODTYPE=QTR_STD&amp;window=popup_no_bar&amp;width=385&amp;height=120&amp;START_MAXIMIZED=FALSE&amp;creator=factset&amp;display_string=Audit"}</definedName>
    <definedName name="_117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170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1170__FDSAUDITLINK__" localSheetId="20" hidden="1">{"fdsup://Directions/FactSet Auditing Viewer?action=AUDIT_VALUE&amp;DB=129&amp;ID1=00289620&amp;VALUEID=01001&amp;SDATE=200801&amp;PERIODTYPE=QTR_STD&amp;window=popup_no_bar&amp;width=385&amp;height=120&amp;START_MAXIMIZED=FALSE&amp;creator=factset&amp;display_string=Audit"}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1171__FDSAUDITLINK__" localSheetId="20" hidden="1">{"fdsup://Directions/FactSet Auditing Viewer?action=AUDIT_VALUE&amp;DB=129&amp;ID1=00289620&amp;VALUEID=13040&amp;SDATE=200801&amp;PERIODTYPE=QTR_STD&amp;window=popup_no_bar&amp;width=385&amp;height=120&amp;START_MAXIMIZED=FALSE&amp;creator=factset&amp;display_string=Audit"}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1172__FDSAUDITLINK__" localSheetId="20" hidden="1">{"fdsup://Directions/FactSet Auditing Viewer?action=AUDIT_VALUE&amp;DB=129&amp;ID1=87416110&amp;VALUEID=01001&amp;SDATE=200704&amp;PERIODTYPE=QTR_STD&amp;window=popup_no_bar&amp;width=385&amp;height=120&amp;START_MAXIMIZED=FALSE&amp;creator=factset&amp;display_string=Audit"}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1173__FDSAUDITLINK__" localSheetId="20" hidden="1">{"fdsup://Directions/FactSet Auditing Viewer?action=AUDIT_VALUE&amp;DB=129&amp;ID1=46612H40&amp;VALUEID=01001&amp;SDATE=200704&amp;PERIODTYPE=QTR_STD&amp;window=popup_no_bar&amp;width=385&amp;height=120&amp;START_MAXIMIZED=FALSE&amp;creator=factset&amp;display_string=Audit"}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1174__FDSAUDITLINK__" localSheetId="20" hidden="1">{"fdsup://Directions/FactSet Auditing Viewer?action=AUDIT_VALUE&amp;DB=129&amp;ID1=46612H40&amp;VALUEID=13040&amp;SDATE=200704&amp;PERIODTYPE=QTR_STD&amp;window=popup_no_bar&amp;width=385&amp;height=120&amp;START_MAXIMIZED=FALSE&amp;creator=factset&amp;display_string=Audit"}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1175__FDSAUDITLINK__" localSheetId="20" hidden="1">{"fdsup://Directions/FactSet Auditing Viewer?action=AUDIT_VALUE&amp;DB=129&amp;ID1=36476010&amp;VALUEID=01001&amp;SDATE=200704&amp;PERIODTYPE=QTR_STD&amp;window=popup_no_bar&amp;width=385&amp;height=120&amp;START_MAXIMIZED=FALSE&amp;creator=factset&amp;display_string=Audit"}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1176__FDSAUDITLINK__" localSheetId="20" hidden="1">{"fdsup://Directions/FactSet Auditing Viewer?action=AUDIT_VALUE&amp;DB=129&amp;ID1=03611510&amp;VALUEID=01001&amp;SDATE=200704&amp;PERIODTYPE=QTR_STD&amp;window=popup_no_bar&amp;width=385&amp;height=120&amp;START_MAXIMIZED=FALSE&amp;creator=factset&amp;display_string=Audit"}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1177__FDSAUDITLINK__" localSheetId="20" hidden="1">{"fdsup://Directions/FactSet Auditing Viewer?action=AUDIT_VALUE&amp;DB=129&amp;ID1=03611510&amp;VALUEID=13040&amp;SDATE=200704&amp;PERIODTYPE=QTR_STD&amp;window=popup_no_bar&amp;width=385&amp;height=120&amp;START_MAXIMIZED=FALSE&amp;creator=factset&amp;display_string=Audit"}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1178__FDSAUDITLINK__" localSheetId="20" hidden="1">{"fdsup://Directions/FactSet Auditing Viewer?action=AUDIT_VALUE&amp;DB=129&amp;ID1=16890510&amp;VALUEID=01001&amp;SDATE=200704&amp;PERIODTYPE=QTR_STD&amp;window=popup_no_bar&amp;width=385&amp;height=120&amp;START_MAXIMIZED=FALSE&amp;creator=factset&amp;display_string=Audit"}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1179__FDSAUDITLINK__" localSheetId="20" hidden="1">{"fdsup://Directions/FactSet Auditing Viewer?action=AUDIT_VALUE&amp;DB=129&amp;ID1=00786510&amp;VALUEID=01001&amp;SDATE=200704&amp;PERIODTYPE=QTR_STD&amp;window=popup_no_bar&amp;width=385&amp;height=120&amp;START_MAXIMIZED=FALSE&amp;creator=factset&amp;display_string=Audit"}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118__FDSAUDITLINK__" localSheetId="20" hidden="1">{"fdsup://Directions/FactSet Auditing Viewer?action=AUDIT_VALUE&amp;DB=129&amp;ID1=36476010&amp;VALUEID=01001&amp;SDATE=200803&amp;PERIODTYPE=QTR_STD&amp;window=popup_no_bar&amp;width=385&amp;height=120&amp;START_MAXIMIZED=FALSE&amp;creator=factset&amp;display_string=Audit"}</definedName>
    <definedName name="_118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80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1180__FDSAUDITLINK__" localSheetId="20" hidden="1">{"fdsup://Directions/FactSet Auditing Viewer?action=AUDIT_VALUE&amp;DB=129&amp;ID1=87416110&amp;VALUEID=02101&amp;SDATE=200703&amp;PERIODTYPE=QTR_STD&amp;window=popup_no_bar&amp;width=385&amp;height=120&amp;START_MAXIMIZED=FALSE&amp;creator=factset&amp;display_string=Audit"}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1181__FDSAUDITLINK__" localSheetId="20" hidden="1">{"fdsup://Directions/FactSet Auditing Viewer?action=AUDIT_VALUE&amp;DB=129&amp;ID1=87416110&amp;VALUEID=01001&amp;SDATE=200703&amp;PERIODTYPE=QTR_STD&amp;window=popup_no_bar&amp;width=385&amp;height=120&amp;START_MAXIMIZED=FALSE&amp;creator=factset&amp;display_string=Audit"}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1182__FDSAUDITLINK__" localSheetId="20" hidden="1">{"fdsup://Directions/FactSet Auditing Viewer?action=AUDIT_VALUE&amp;DB=129&amp;ID1=53271610&amp;VALUEID=02101&amp;SDATE=200703&amp;PERIODTYPE=QTR_STD&amp;window=popup_no_bar&amp;width=385&amp;height=120&amp;START_MAXIMIZED=FALSE&amp;creator=factset&amp;display_string=Audit"}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1183__FDSAUDITLINK__" localSheetId="20" hidden="1">{"fdsup://Directions/FactSet Auditing Viewer?action=AUDIT_VALUE&amp;DB=129&amp;ID1=53271610&amp;VALUEID=01001&amp;SDATE=200703&amp;PERIODTYPE=QTR_STD&amp;window=popup_no_bar&amp;width=385&amp;height=120&amp;START_MAXIMIZED=FALSE&amp;creator=factset&amp;display_string=Audit"}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1184__FDSAUDITLINK__" localSheetId="20" hidden="1">{"fdsup://Directions/FactSet Auditing Viewer?action=AUDIT_VALUE&amp;DB=129&amp;ID1=53271610&amp;VALUEID=13040&amp;SDATE=200703&amp;PERIODTYPE=QTR_STD&amp;window=popup_no_bar&amp;width=385&amp;height=120&amp;START_MAXIMIZED=FALSE&amp;creator=factset&amp;display_string=Audit"}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1185__FDSAUDITLINK__" localSheetId="20" hidden="1">{"fdsup://Directions/FactSet Auditing Viewer?action=AUDIT_VALUE&amp;DB=129&amp;ID1=46612H40&amp;VALUEID=02101&amp;SDATE=200703&amp;PERIODTYPE=QTR_STD&amp;window=popup_no_bar&amp;width=385&amp;height=120&amp;START_MAXIMIZED=FALSE&amp;creator=factset&amp;display_string=Audit"}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1186__FDSAUDITLINK__" localSheetId="20" hidden="1">{"fdsup://Directions/FactSet Auditing Viewer?action=AUDIT_VALUE&amp;DB=129&amp;ID1=46612H40&amp;VALUEID=01001&amp;SDATE=200703&amp;PERIODTYPE=QTR_STD&amp;window=popup_no_bar&amp;width=385&amp;height=120&amp;START_MAXIMIZED=FALSE&amp;creator=factset&amp;display_string=Audit"}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1187__FDSAUDITLINK__" localSheetId="20" hidden="1">{"fdsup://Directions/FactSet Auditing Viewer?action=AUDIT_VALUE&amp;DB=129&amp;ID1=46612H40&amp;VALUEID=13040&amp;SDATE=200703&amp;PERIODTYPE=QTR_STD&amp;window=popup_no_bar&amp;width=385&amp;height=120&amp;START_MAXIMIZED=FALSE&amp;creator=factset&amp;display_string=Audit"}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1188__FDSAUDITLINK__" localSheetId="20" hidden="1">{"fdsup://Directions/FactSet Auditing Viewer?action=AUDIT_VALUE&amp;DB=129&amp;ID1=36476010&amp;VALUEID=02101&amp;SDATE=200703&amp;PERIODTYPE=QTR_STD&amp;window=popup_no_bar&amp;width=385&amp;height=120&amp;START_MAXIMIZED=FALSE&amp;creator=factset&amp;display_string=Audit"}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1189__FDSAUDITLINK__" localSheetId="20" hidden="1">{"fdsup://Directions/FactSet Auditing Viewer?action=AUDIT_VALUE&amp;DB=129&amp;ID1=36476010&amp;VALUEID=01001&amp;SDATE=200703&amp;PERIODTYPE=QTR_STD&amp;window=popup_no_bar&amp;width=385&amp;height=120&amp;START_MAXIMIZED=FALSE&amp;creator=factset&amp;display_string=Audit"}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119__FDSAUDITLINK__" localSheetId="20" hidden="1">{"fdsup://Directions/FactSet Auditing Viewer?action=AUDIT_VALUE&amp;DB=129&amp;ID1=36476010&amp;VALUEID=13040&amp;SDATE=200803&amp;PERIODTYPE=QTR_STD&amp;window=popup_no_bar&amp;width=385&amp;height=120&amp;START_MAXIMIZED=FALSE&amp;creator=factset&amp;display_string=Audit"}</definedName>
    <definedName name="_119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90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1190__FDSAUDITLINK__" localSheetId="20" hidden="1">{"fdsup://Directions/FactSet Auditing Viewer?action=AUDIT_VALUE&amp;DB=129&amp;ID1=36476010&amp;VALUEID=13040&amp;SDATE=200703&amp;PERIODTYPE=QTR_STD&amp;window=popup_no_bar&amp;width=385&amp;height=120&amp;START_MAXIMIZED=FALSE&amp;creator=factset&amp;display_string=Audit"}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1191__FDSAUDITLINK__" localSheetId="20" hidden="1">{"fdsup://Directions/FactSet Auditing Viewer?action=AUDIT_VALUE&amp;DB=129&amp;ID1=03611510&amp;VALUEID=02101&amp;SDATE=200703&amp;PERIODTYPE=QTR_STD&amp;window=popup_no_bar&amp;width=385&amp;height=120&amp;START_MAXIMIZED=FALSE&amp;creator=factset&amp;display_string=Audit"}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1192__FDSAUDITLINK__" localSheetId="20" hidden="1">{"fdsup://Directions/FactSet Auditing Viewer?action=AUDIT_VALUE&amp;DB=129&amp;ID1=03611510&amp;VALUEID=01001&amp;SDATE=200703&amp;PERIODTYPE=QTR_STD&amp;window=popup_no_bar&amp;width=385&amp;height=120&amp;START_MAXIMIZED=FALSE&amp;creator=factset&amp;display_string=Audit"}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1193__FDSAUDITLINK__" localSheetId="20" hidden="1">{"fdsup://Directions/FactSet Auditing Viewer?action=AUDIT_VALUE&amp;DB=129&amp;ID1=03611510&amp;VALUEID=13040&amp;SDATE=200703&amp;PERIODTYPE=QTR_STD&amp;window=popup_no_bar&amp;width=385&amp;height=120&amp;START_MAXIMIZED=FALSE&amp;creator=factset&amp;display_string=Audit"}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1194__FDSAUDITLINK__" localSheetId="20" hidden="1">{"fdsup://Directions/FactSet Auditing Viewer?action=AUDIT_VALUE&amp;DB=129&amp;ID1=16890510&amp;VALUEID=02101&amp;SDATE=200703&amp;PERIODTYPE=QTR_STD&amp;window=popup_no_bar&amp;width=385&amp;height=120&amp;START_MAXIMIZED=FALSE&amp;creator=factset&amp;display_string=Audit"}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1195__FDSAUDITLINK__" localSheetId="20" hidden="1">{"fdsup://Directions/FactSet Auditing Viewer?action=AUDIT_VALUE&amp;DB=129&amp;ID1=16890510&amp;VALUEID=01001&amp;SDATE=200703&amp;PERIODTYPE=QTR_STD&amp;window=popup_no_bar&amp;width=385&amp;height=120&amp;START_MAXIMIZED=FALSE&amp;creator=factset&amp;display_string=Audit"}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1196__FDSAUDITLINK__" localSheetId="20" hidden="1">{"fdsup://Directions/FactSet Auditing Viewer?action=AUDIT_VALUE&amp;DB=129&amp;ID1=91704710&amp;VALUEID=02101&amp;SDATE=200703&amp;PERIODTYPE=QTR_STD&amp;window=popup_no_bar&amp;width=385&amp;height=120&amp;START_MAXIMIZED=FALSE&amp;creator=factset&amp;display_string=Audit"}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1197__FDSAUDITLINK__" localSheetId="20" hidden="1">{"fdsup://Directions/FactSet Auditing Viewer?action=AUDIT_VALUE&amp;DB=129&amp;ID1=91704710&amp;VALUEID=01001&amp;SDATE=200703&amp;PERIODTYPE=QTR_STD&amp;window=popup_no_bar&amp;width=385&amp;height=120&amp;START_MAXIMIZED=FALSE&amp;creator=factset&amp;display_string=Audit"}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1198__FDSAUDITLINK__" localSheetId="20" hidden="1">{"fdsup://Directions/FactSet Auditing Viewer?action=AUDIT_VALUE&amp;DB=129&amp;ID1=91704710&amp;VALUEID=13040&amp;SDATE=200703&amp;PERIODTYPE=QTR_STD&amp;window=popup_no_bar&amp;width=385&amp;height=120&amp;START_MAXIMIZED=FALSE&amp;creator=factset&amp;display_string=Audit"}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1199__FDSAUDITLINK__" localSheetId="20" hidden="1">{"fdsup://Directions/FactSet Auditing Viewer?action=AUDIT_VALUE&amp;DB=129&amp;ID1=02553E10&amp;VALUEID=02101&amp;SDATE=200703&amp;PERIODTYPE=QTR_STD&amp;window=popup_no_bar&amp;width=385&amp;height=120&amp;START_MAXIMIZED=FALSE&amp;creator=factset&amp;display_string=Audit"}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localSheetId="1" hidden="1">{"fdsup://directions/FAT Viewer?action=UPDATE&amp;creator=factset&amp;DYN_ARGS=TRUE&amp;DOC_NAME=FAT:FQL_AUDITING_CLIENT_TEMPLATE.FAT&amp;display_string=Audit&amp;VAR:KEY=MROTURMNGT&amp;VAR:QUERY=RkZfRU5UUlBSX1ZBTF9FQklUREFfT1BFUihBTk4sMCk=&amp;WINDOW=FIRST_POPUP&amp;HEIGHT=450&amp;WIDTH=450&amp;","START_MAXIMIZED=FALSE&amp;VAR:CALENDAR=FIVEDAY&amp;VAR:SYMBOL=GPS&amp;VAR:INDEX=0"}</definedName>
    <definedName name="_12__FDSAUDITLINK__" localSheetId="20" hidden="1">{"fdsup://Directions/FactSet Auditing Viewer?action=AUDIT_VALUE&amp;DB=129&amp;ID1=16890510&amp;VALUEID=02101&amp;SDATE=201001&amp;PERIODTYPE=QTR_STD&amp;window=popup_no_bar&amp;width=385&amp;height=120&amp;START_MAXIMIZED=FALSE&amp;creator=factset&amp;display_string=Audit"}</definedName>
    <definedName name="_12__FDSAUDITLINK__" hidden="1">{"fdsup://directions/FAT Viewer?action=UPDATE&amp;creator=factset&amp;DYN_ARGS=TRUE&amp;DOC_NAME=FAT:FQL_AUDITING_CLIENT_TEMPLATE.FAT&amp;display_string=Audit&amp;VAR:KEY=MROTURMNGT&amp;VAR:QUERY=RkZfRU5UUlBSX1ZBTF9FQklUREFfT1BFUihBTk4sMCk=&amp;WINDOW=FIRST_POPUP&amp;HEIGHT=450&amp;WIDTH=450&amp;","START_MAXIMIZED=FALSE&amp;VAR:CALENDAR=FIVEDAY&amp;VAR:SYMBOL=GPS&amp;VAR:INDEX=0"}</definedName>
    <definedName name="_120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120__FDSAUDITLINK__" localSheetId="20" hidden="1">{"fdsup://Directions/FactSet Auditing Viewer?action=AUDIT_VALUE&amp;DB=129&amp;ID1=03611510&amp;VALUEID=02101&amp;SDATE=200803&amp;PERIODTYPE=QTR_STD&amp;window=popup_no_bar&amp;width=385&amp;height=120&amp;START_MAXIMIZED=FALSE&amp;creator=factset&amp;display_string=Audit"}</definedName>
    <definedName name="_120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200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1200__FDSAUDITLINK__" localSheetId="20" hidden="1">{"fdsup://Directions/FactSet Auditing Viewer?action=AUDIT_VALUE&amp;DB=129&amp;ID1=02553E10&amp;VALUEID=01001&amp;SDATE=200703&amp;PERIODTYPE=QTR_STD&amp;window=popup_no_bar&amp;width=385&amp;height=120&amp;START_MAXIMIZED=FALSE&amp;creator=factset&amp;display_string=Audit"}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1201__FDSAUDITLINK__" localSheetId="20" hidden="1">{"fdsup://Directions/FactSet Auditing Viewer?action=AUDIT_VALUE&amp;DB=129&amp;ID1=00786510&amp;VALUEID=02101&amp;SDATE=200703&amp;PERIODTYPE=QTR_STD&amp;window=popup_no_bar&amp;width=385&amp;height=120&amp;START_MAXIMIZED=FALSE&amp;creator=factset&amp;display_string=Audit"}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1202__FDSAUDITLINK__" localSheetId="20" hidden="1">{"fdsup://Directions/FactSet Auditing Viewer?action=AUDIT_VALUE&amp;DB=129&amp;ID1=00786510&amp;VALUEID=01001&amp;SDATE=200703&amp;PERIODTYPE=QTR_STD&amp;window=popup_no_bar&amp;width=385&amp;height=120&amp;START_MAXIMIZED=FALSE&amp;creator=factset&amp;display_string=Audit"}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1203__FDSAUDITLINK__" localSheetId="20" hidden="1">{"fdsup://Directions/FactSet Auditing Viewer?action=AUDIT_VALUE&amp;DB=129&amp;ID1=00786510&amp;VALUEID=13040&amp;SDATE=200703&amp;PERIODTYPE=QTR_STD&amp;window=popup_no_bar&amp;width=385&amp;height=120&amp;START_MAXIMIZED=FALSE&amp;creator=factset&amp;display_string=Audit"}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1204__FDSAUDITLINK__" localSheetId="20" hidden="1">{"fdsup://Directions/FactSet Auditing Viewer?action=AUDIT_VALUE&amp;DB=129&amp;ID1=00289620&amp;VALUEID=02101&amp;SDATE=200703&amp;PERIODTYPE=QTR_STD&amp;window=popup_no_bar&amp;width=385&amp;height=120&amp;START_MAXIMIZED=FALSE&amp;creator=factset&amp;display_string=Audit"}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1205__FDSAUDITLINK__" localSheetId="20" hidden="1">{"fdsup://Directions/FactSet Auditing Viewer?action=AUDIT_VALUE&amp;DB=129&amp;ID1=00289620&amp;VALUEID=01001&amp;SDATE=200703&amp;PERIODTYPE=QTR_STD&amp;window=popup_no_bar&amp;width=385&amp;height=120&amp;START_MAXIMIZED=FALSE&amp;creator=factset&amp;display_string=Audit"}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1206__FDSAUDITLINK__" localSheetId="20" hidden="1">{"fdsup://Directions/FactSet Auditing Viewer?action=AUDIT_VALUE&amp;DB=129&amp;ID1=00289620&amp;VALUEID=13040&amp;SDATE=200703&amp;PERIODTYPE=QTR_STD&amp;window=popup_no_bar&amp;width=385&amp;height=120&amp;START_MAXIMIZED=FALSE&amp;creator=factset&amp;display_string=Audit"}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1207__FDSAUDITLINK__" localSheetId="20" hidden="1">{"fdsup://Directions/FactSet Auditing Viewer?action=AUDIT_VALUE&amp;DB=129&amp;ID1=87416110&amp;VALUEID=02101&amp;SDATE=200702&amp;PERIODTYPE=QTR_STD&amp;window=popup_no_bar&amp;width=385&amp;height=120&amp;START_MAXIMIZED=FALSE&amp;creator=factset&amp;display_string=Audit"}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1208__FDSAUDITLINK__" localSheetId="20" hidden="1">{"fdsup://Directions/FactSet Auditing Viewer?action=AUDIT_VALUE&amp;DB=129&amp;ID1=87416110&amp;VALUEID=01001&amp;SDATE=200702&amp;PERIODTYPE=QTR_STD&amp;window=popup_no_bar&amp;width=385&amp;height=120&amp;START_MAXIMIZED=FALSE&amp;creator=factset&amp;display_string=Audit"}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1209__FDSAUDITLINK__" localSheetId="20" hidden="1">{"fdsup://Directions/FactSet Auditing Viewer?action=AUDIT_VALUE&amp;DB=129&amp;ID1=53271610&amp;VALUEID=02101&amp;SDATE=200702&amp;PERIODTYPE=QTR_STD&amp;window=popup_no_bar&amp;width=385&amp;height=120&amp;START_MAXIMIZED=FALSE&amp;creator=factset&amp;display_string=Audit"}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121__FDSAUDITLINK__" localSheetId="20" hidden="1">{"fdsup://Directions/FactSet Auditing Viewer?action=AUDIT_VALUE&amp;DB=129&amp;ID1=03611510&amp;VALUEID=01001&amp;SDATE=200803&amp;PERIODTYPE=QTR_STD&amp;window=popup_no_bar&amp;width=385&amp;height=120&amp;START_MAXIMIZED=FALSE&amp;creator=factset&amp;display_string=Audit"}</definedName>
    <definedName name="_121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210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1210__FDSAUDITLINK__" localSheetId="20" hidden="1">{"fdsup://Directions/FactSet Auditing Viewer?action=AUDIT_VALUE&amp;DB=129&amp;ID1=53271610&amp;VALUEID=01001&amp;SDATE=200702&amp;PERIODTYPE=QTR_STD&amp;window=popup_no_bar&amp;width=385&amp;height=120&amp;START_MAXIMIZED=FALSE&amp;creator=factset&amp;display_string=Audit"}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1211__FDSAUDITLINK__" localSheetId="20" hidden="1">{"fdsup://Directions/FactSet Auditing Viewer?action=AUDIT_VALUE&amp;DB=129&amp;ID1=53271610&amp;VALUEID=13040&amp;SDATE=200702&amp;PERIODTYPE=QTR_STD&amp;window=popup_no_bar&amp;width=385&amp;height=120&amp;START_MAXIMIZED=FALSE&amp;creator=factset&amp;display_string=Audit"}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1212__FDSAUDITLINK__" localSheetId="20" hidden="1">{"fdsup://Directions/FactSet Auditing Viewer?action=AUDIT_VALUE&amp;DB=129&amp;ID1=46612H40&amp;VALUEID=02101&amp;SDATE=200702&amp;PERIODTYPE=QTR_STD&amp;window=popup_no_bar&amp;width=385&amp;height=120&amp;START_MAXIMIZED=FALSE&amp;creator=factset&amp;display_string=Audit"}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1213__FDSAUDITLINK__" localSheetId="20" hidden="1">{"fdsup://Directions/FactSet Auditing Viewer?action=AUDIT_VALUE&amp;DB=129&amp;ID1=46612H40&amp;VALUEID=01001&amp;SDATE=200702&amp;PERIODTYPE=QTR_STD&amp;window=popup_no_bar&amp;width=385&amp;height=120&amp;START_MAXIMIZED=FALSE&amp;creator=factset&amp;display_string=Audit"}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1214__FDSAUDITLINK__" localSheetId="20" hidden="1">{"fdsup://Directions/FactSet Auditing Viewer?action=AUDIT_VALUE&amp;DB=129&amp;ID1=46612H40&amp;VALUEID=13040&amp;SDATE=200702&amp;PERIODTYPE=QTR_STD&amp;window=popup_no_bar&amp;width=385&amp;height=120&amp;START_MAXIMIZED=FALSE&amp;creator=factset&amp;display_string=Audit"}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1215__FDSAUDITLINK__" localSheetId="20" hidden="1">{"fdsup://Directions/FactSet Auditing Viewer?action=AUDIT_VALUE&amp;DB=129&amp;ID1=36476010&amp;VALUEID=02101&amp;SDATE=200702&amp;PERIODTYPE=QTR_STD&amp;window=popup_no_bar&amp;width=385&amp;height=120&amp;START_MAXIMIZED=FALSE&amp;creator=factset&amp;display_string=Audit"}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1216__FDSAUDITLINK__" localSheetId="20" hidden="1">{"fdsup://Directions/FactSet Auditing Viewer?action=AUDIT_VALUE&amp;DB=129&amp;ID1=36476010&amp;VALUEID=01001&amp;SDATE=200702&amp;PERIODTYPE=QTR_STD&amp;window=popup_no_bar&amp;width=385&amp;height=120&amp;START_MAXIMIZED=FALSE&amp;creator=factset&amp;display_string=Audit"}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1217__FDSAUDITLINK__" localSheetId="20" hidden="1">{"fdsup://Directions/FactSet Auditing Viewer?action=AUDIT_VALUE&amp;DB=129&amp;ID1=03611510&amp;VALUEID=02101&amp;SDATE=200702&amp;PERIODTYPE=QTR_STD&amp;window=popup_no_bar&amp;width=385&amp;height=120&amp;START_MAXIMIZED=FALSE&amp;creator=factset&amp;display_string=Audit"}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1218__FDSAUDITLINK__" localSheetId="20" hidden="1">{"fdsup://Directions/FactSet Auditing Viewer?action=AUDIT_VALUE&amp;DB=129&amp;ID1=03611510&amp;VALUEID=01001&amp;SDATE=200702&amp;PERIODTYPE=QTR_STD&amp;window=popup_no_bar&amp;width=385&amp;height=120&amp;START_MAXIMIZED=FALSE&amp;creator=factset&amp;display_string=Audit"}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1219__FDSAUDITLINK__" localSheetId="20" hidden="1">{"fdsup://Directions/FactSet Auditing Viewer?action=AUDIT_VALUE&amp;DB=129&amp;ID1=03611510&amp;VALUEID=13040&amp;SDATE=200702&amp;PERIODTYPE=QTR_STD&amp;window=popup_no_bar&amp;width=385&amp;height=120&amp;START_MAXIMIZED=FALSE&amp;creator=factset&amp;display_string=Audit"}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122__FDSAUDITLINK__" localSheetId="20" hidden="1">{"fdsup://Directions/FactSet Auditing Viewer?action=AUDIT_VALUE&amp;DB=129&amp;ID1=16890510&amp;VALUEID=02101&amp;SDATE=200803&amp;PERIODTYPE=QTR_STD&amp;window=popup_no_bar&amp;width=385&amp;height=120&amp;START_MAXIMIZED=FALSE&amp;creator=factset&amp;display_string=Audit"}</definedName>
    <definedName name="_122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220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1220__FDSAUDITLINK__" localSheetId="20" hidden="1">{"fdsup://Directions/FactSet Auditing Viewer?action=AUDIT_VALUE&amp;DB=129&amp;ID1=16890510&amp;VALUEID=02101&amp;SDATE=200702&amp;PERIODTYPE=QTR_STD&amp;window=popup_no_bar&amp;width=385&amp;height=120&amp;START_MAXIMIZED=FALSE&amp;creator=factset&amp;display_string=Audit"}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1221__FDSAUDITLINK__" localSheetId="20" hidden="1">{"fdsup://Directions/FactSet Auditing Viewer?action=AUDIT_VALUE&amp;DB=129&amp;ID1=16890510&amp;VALUEID=01001&amp;SDATE=200702&amp;PERIODTYPE=QTR_STD&amp;window=popup_no_bar&amp;width=385&amp;height=120&amp;START_MAXIMIZED=FALSE&amp;creator=factset&amp;display_string=Audit"}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1222__FDSAUDITLINK__" localSheetId="20" hidden="1">{"fdsup://Directions/FactSet Auditing Viewer?action=AUDIT_VALUE&amp;DB=129&amp;ID1=91704710&amp;VALUEID=02101&amp;SDATE=200702&amp;PERIODTYPE=QTR_STD&amp;window=popup_no_bar&amp;width=385&amp;height=120&amp;START_MAXIMIZED=FALSE&amp;creator=factset&amp;display_string=Audit"}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1223__FDSAUDITLINK__" localSheetId="20" hidden="1">{"fdsup://Directions/FactSet Auditing Viewer?action=AUDIT_VALUE&amp;DB=129&amp;ID1=91704710&amp;VALUEID=01001&amp;SDATE=200702&amp;PERIODTYPE=QTR_STD&amp;window=popup_no_bar&amp;width=385&amp;height=120&amp;START_MAXIMIZED=FALSE&amp;creator=factset&amp;display_string=Audit"}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1224__FDSAUDITLINK__" localSheetId="20" hidden="1">{"fdsup://Directions/FactSet Auditing Viewer?action=AUDIT_VALUE&amp;DB=129&amp;ID1=91704710&amp;VALUEID=13040&amp;SDATE=200702&amp;PERIODTYPE=QTR_STD&amp;window=popup_no_bar&amp;width=385&amp;height=120&amp;START_MAXIMIZED=FALSE&amp;creator=factset&amp;display_string=Audit"}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1225__FDSAUDITLINK__" localSheetId="20" hidden="1">{"fdsup://Directions/FactSet Auditing Viewer?action=AUDIT_VALUE&amp;DB=129&amp;ID1=02553E10&amp;VALUEID=02101&amp;SDATE=200702&amp;PERIODTYPE=QTR_STD&amp;window=popup_no_bar&amp;width=385&amp;height=120&amp;START_MAXIMIZED=FALSE&amp;creator=factset&amp;display_string=Audit"}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1226__FDSAUDITLINK__" localSheetId="20" hidden="1">{"fdsup://Directions/FactSet Auditing Viewer?action=AUDIT_VALUE&amp;DB=129&amp;ID1=02553E10&amp;VALUEID=01001&amp;SDATE=200702&amp;PERIODTYPE=QTR_STD&amp;window=popup_no_bar&amp;width=385&amp;height=120&amp;START_MAXIMIZED=FALSE&amp;creator=factset&amp;display_string=Audit"}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1227__FDSAUDITLINK__" localSheetId="20" hidden="1">{"fdsup://Directions/FactSet Auditing Viewer?action=AUDIT_VALUE&amp;DB=129&amp;ID1=02553E10&amp;VALUEID=13040&amp;SDATE=200702&amp;PERIODTYPE=QTR_STD&amp;window=popup_no_bar&amp;width=385&amp;height=120&amp;START_MAXIMIZED=FALSE&amp;creator=factset&amp;display_string=Audit"}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1228__FDSAUDITLINK__" localSheetId="20" hidden="1">{"fdsup://Directions/FactSet Auditing Viewer?action=AUDIT_VALUE&amp;DB=129&amp;ID1=00786510&amp;VALUEID=02101&amp;SDATE=200702&amp;PERIODTYPE=QTR_STD&amp;window=popup_no_bar&amp;width=385&amp;height=120&amp;START_MAXIMIZED=FALSE&amp;creator=factset&amp;display_string=Audit"}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1229__FDSAUDITLINK__" localSheetId="20" hidden="1">{"fdsup://Directions/FactSet Auditing Viewer?action=AUDIT_VALUE&amp;DB=129&amp;ID1=00786510&amp;VALUEID=01001&amp;SDATE=200702&amp;PERIODTYPE=QTR_STD&amp;window=popup_no_bar&amp;width=385&amp;height=120&amp;START_MAXIMIZED=FALSE&amp;creator=factset&amp;display_string=Audit"}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123__FDSAUDITLINK__" localSheetId="20" hidden="1">{"fdsup://Directions/FactSet Auditing Viewer?action=AUDIT_VALUE&amp;DB=129&amp;ID1=16890510&amp;VALUEID=01001&amp;SDATE=200803&amp;PERIODTYPE=QTR_STD&amp;window=popup_no_bar&amp;width=385&amp;height=120&amp;START_MAXIMIZED=FALSE&amp;creator=factset&amp;display_string=Audit"}</definedName>
    <definedName name="_123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230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1230__FDSAUDITLINK__" localSheetId="20" hidden="1">{"fdsup://Directions/FactSet Auditing Viewer?action=AUDIT_VALUE&amp;DB=129&amp;ID1=00786510&amp;VALUEID=13040&amp;SDATE=200702&amp;PERIODTYPE=QTR_STD&amp;window=popup_no_bar&amp;width=385&amp;height=120&amp;START_MAXIMIZED=FALSE&amp;creator=factset&amp;display_string=Audit"}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1231__FDSAUDITLINK__" localSheetId="20" hidden="1">{"fdsup://Directions/FactSet Auditing Viewer?action=AUDIT_VALUE&amp;DB=129&amp;ID1=00289620&amp;VALUEID=02101&amp;SDATE=200702&amp;PERIODTYPE=QTR_STD&amp;window=popup_no_bar&amp;width=385&amp;height=120&amp;START_MAXIMIZED=FALSE&amp;creator=factset&amp;display_string=Audit"}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1232__FDSAUDITLINK__" localSheetId="20" hidden="1">{"fdsup://Directions/FactSet Auditing Viewer?action=AUDIT_VALUE&amp;DB=129&amp;ID1=00289620&amp;VALUEID=01001&amp;SDATE=200702&amp;PERIODTYPE=QTR_STD&amp;window=popup_no_bar&amp;width=385&amp;height=120&amp;START_MAXIMIZED=FALSE&amp;creator=factset&amp;display_string=Audit"}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1233__FDSAUDITLINK__" localSheetId="20" hidden="1">{"fdsup://Directions/FactSet Auditing Viewer?action=AUDIT_VALUE&amp;DB=129&amp;ID1=87416110&amp;VALUEID=02101&amp;SDATE=200701&amp;PERIODTYPE=QTR_STD&amp;window=popup_no_bar&amp;width=385&amp;height=120&amp;START_MAXIMIZED=FALSE&amp;creator=factset&amp;display_string=Audit"}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1234__FDSAUDITLINK__" localSheetId="20" hidden="1">{"fdsup://Directions/FactSet Auditing Viewer?action=AUDIT_VALUE&amp;DB=129&amp;ID1=87416110&amp;VALUEID=01001&amp;SDATE=200701&amp;PERIODTYPE=QTR_STD&amp;window=popup_no_bar&amp;width=385&amp;height=120&amp;START_MAXIMIZED=FALSE&amp;creator=factset&amp;display_string=Audit"}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1235__FDSAUDITLINK__" localSheetId="20" hidden="1">{"fdsup://Directions/FactSet Auditing Viewer?action=AUDIT_VALUE&amp;DB=129&amp;ID1=53271610&amp;VALUEID=02101&amp;SDATE=200701&amp;PERIODTYPE=QTR_STD&amp;window=popup_no_bar&amp;width=385&amp;height=120&amp;START_MAXIMIZED=FALSE&amp;creator=factset&amp;display_string=Audit"}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1236__FDSAUDITLINK__" localSheetId="20" hidden="1">{"fdsup://Directions/FactSet Auditing Viewer?action=AUDIT_VALUE&amp;DB=129&amp;ID1=53271610&amp;VALUEID=01001&amp;SDATE=200701&amp;PERIODTYPE=QTR_STD&amp;window=popup_no_bar&amp;width=385&amp;height=120&amp;START_MAXIMIZED=FALSE&amp;creator=factset&amp;display_string=Audit"}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1237__FDSAUDITLINK__" localSheetId="20" hidden="1">{"fdsup://Directions/FactSet Auditing Viewer?action=AUDIT_VALUE&amp;DB=129&amp;ID1=53271610&amp;VALUEID=13040&amp;SDATE=200701&amp;PERIODTYPE=QTR_STD&amp;window=popup_no_bar&amp;width=385&amp;height=120&amp;START_MAXIMIZED=FALSE&amp;creator=factset&amp;display_string=Audit"}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1238__FDSAUDITLINK__" localSheetId="20" hidden="1">{"fdsup://Directions/FactSet Auditing Viewer?action=AUDIT_VALUE&amp;DB=129&amp;ID1=46612H40&amp;VALUEID=02101&amp;SDATE=200701&amp;PERIODTYPE=QTR_STD&amp;window=popup_no_bar&amp;width=385&amp;height=120&amp;START_MAXIMIZED=FALSE&amp;creator=factset&amp;display_string=Audit"}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1239__FDSAUDITLINK__" localSheetId="20" hidden="1">{"fdsup://Directions/FactSet Auditing Viewer?action=AUDIT_VALUE&amp;DB=129&amp;ID1=46612H40&amp;VALUEID=01001&amp;SDATE=200701&amp;PERIODTYPE=QTR_STD&amp;window=popup_no_bar&amp;width=385&amp;height=120&amp;START_MAXIMIZED=FALSE&amp;creator=factset&amp;display_string=Audit"}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124__FDSAUDITLINK__" localSheetId="20" hidden="1">{"fdsup://Directions/FactSet Auditing Viewer?action=AUDIT_VALUE&amp;DB=129&amp;ID1=91704710&amp;VALUEID=02101&amp;SDATE=200803&amp;PERIODTYPE=QTR_STD&amp;window=popup_no_bar&amp;width=385&amp;height=120&amp;START_MAXIMIZED=FALSE&amp;creator=factset&amp;display_string=Audit"}</definedName>
    <definedName name="_124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240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1240__FDSAUDITLINK__" localSheetId="20" hidden="1">{"fdsup://Directions/FactSet Auditing Viewer?action=AUDIT_VALUE&amp;DB=129&amp;ID1=46612H40&amp;VALUEID=13040&amp;SDATE=200701&amp;PERIODTYPE=QTR_STD&amp;window=popup_no_bar&amp;width=385&amp;height=120&amp;START_MAXIMIZED=FALSE&amp;creator=factset&amp;display_string=Audit"}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1241__FDSAUDITLINK__" localSheetId="20" hidden="1">{"fdsup://Directions/FactSet Auditing Viewer?action=AUDIT_VALUE&amp;DB=129&amp;ID1=36476010&amp;VALUEID=02101&amp;SDATE=200701&amp;PERIODTYPE=QTR_STD&amp;window=popup_no_bar&amp;width=385&amp;height=120&amp;START_MAXIMIZED=FALSE&amp;creator=factset&amp;display_string=Audit"}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1242__FDSAUDITLINK__" localSheetId="20" hidden="1">{"fdsup://Directions/FactSet Auditing Viewer?action=AUDIT_VALUE&amp;DB=129&amp;ID1=36476010&amp;VALUEID=01001&amp;SDATE=200701&amp;PERIODTYPE=QTR_STD&amp;window=popup_no_bar&amp;width=385&amp;height=120&amp;START_MAXIMIZED=FALSE&amp;creator=factset&amp;display_string=Audit"}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1243__FDSAUDITLINK__" localSheetId="20" hidden="1">{"fdsup://Directions/FactSet Auditing Viewer?action=AUDIT_VALUE&amp;DB=129&amp;ID1=36476010&amp;VALUEID=13040&amp;SDATE=200701&amp;PERIODTYPE=QTR_STD&amp;window=popup_no_bar&amp;width=385&amp;height=120&amp;START_MAXIMIZED=FALSE&amp;creator=factset&amp;display_string=Audit"}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1244__FDSAUDITLINK__" localSheetId="20" hidden="1">{"fdsup://Directions/FactSet Auditing Viewer?action=AUDIT_VALUE&amp;DB=129&amp;ID1=03611510&amp;VALUEID=02101&amp;SDATE=200701&amp;PERIODTYPE=QTR_STD&amp;window=popup_no_bar&amp;width=385&amp;height=120&amp;START_MAXIMIZED=FALSE&amp;creator=factset&amp;display_string=Audit"}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1245__FDSAUDITLINK__" localSheetId="20" hidden="1">{"fdsup://Directions/FactSet Auditing Viewer?action=AUDIT_VALUE&amp;DB=129&amp;ID1=03611510&amp;VALUEID=01001&amp;SDATE=200701&amp;PERIODTYPE=QTR_STD&amp;window=popup_no_bar&amp;width=385&amp;height=120&amp;START_MAXIMIZED=FALSE&amp;creator=factset&amp;display_string=Audit"}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1246__FDSAUDITLINK__" localSheetId="20" hidden="1">{"fdsup://Directions/FactSet Auditing Viewer?action=AUDIT_VALUE&amp;DB=129&amp;ID1=03611510&amp;VALUEID=13040&amp;SDATE=200701&amp;PERIODTYPE=QTR_STD&amp;window=popup_no_bar&amp;width=385&amp;height=120&amp;START_MAXIMIZED=FALSE&amp;creator=factset&amp;display_string=Audit"}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1247__FDSAUDITLINK__" localSheetId="20" hidden="1">{"fdsup://Directions/FactSet Auditing Viewer?action=AUDIT_VALUE&amp;DB=129&amp;ID1=16890510&amp;VALUEID=02101&amp;SDATE=200701&amp;PERIODTYPE=QTR_STD&amp;window=popup_no_bar&amp;width=385&amp;height=120&amp;START_MAXIMIZED=FALSE&amp;creator=factset&amp;display_string=Audit"}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1248__FDSAUDITLINK__" localSheetId="20" hidden="1">{"fdsup://Directions/FactSet Auditing Viewer?action=AUDIT_VALUE&amp;DB=129&amp;ID1=16890510&amp;VALUEID=01001&amp;SDATE=200701&amp;PERIODTYPE=QTR_STD&amp;window=popup_no_bar&amp;width=385&amp;height=120&amp;START_MAXIMIZED=FALSE&amp;creator=factset&amp;display_string=Audit"}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1249__FDSAUDITLINK__" localSheetId="20" hidden="1">{"fdsup://Directions/FactSet Auditing Viewer?action=AUDIT_VALUE&amp;DB=129&amp;ID1=91704710&amp;VALUEID=02101&amp;SDATE=200701&amp;PERIODTYPE=QTR_STD&amp;window=popup_no_bar&amp;width=385&amp;height=120&amp;START_MAXIMIZED=FALSE&amp;creator=factset&amp;display_string=Audit"}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125__FDSAUDITLINK__" localSheetId="20" hidden="1">{"fdsup://Directions/FactSet Auditing Viewer?action=AUDIT_VALUE&amp;DB=129&amp;ID1=91704710&amp;VALUEID=01001&amp;SDATE=200803&amp;PERIODTYPE=QTR_STD&amp;window=popup_no_bar&amp;width=385&amp;height=120&amp;START_MAXIMIZED=FALSE&amp;creator=factset&amp;display_string=Audit"}</definedName>
    <definedName name="_125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250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1250__FDSAUDITLINK__" localSheetId="20" hidden="1">{"fdsup://Directions/FactSet Auditing Viewer?action=AUDIT_VALUE&amp;DB=129&amp;ID1=91704710&amp;VALUEID=01001&amp;SDATE=200701&amp;PERIODTYPE=QTR_STD&amp;window=popup_no_bar&amp;width=385&amp;height=120&amp;START_MAXIMIZED=FALSE&amp;creator=factset&amp;display_string=Audit"}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1251__FDSAUDITLINK__" localSheetId="20" hidden="1">{"fdsup://Directions/FactSet Auditing Viewer?action=AUDIT_VALUE&amp;DB=129&amp;ID1=91704710&amp;VALUEID=13040&amp;SDATE=200701&amp;PERIODTYPE=QTR_STD&amp;window=popup_no_bar&amp;width=385&amp;height=120&amp;START_MAXIMIZED=FALSE&amp;creator=factset&amp;display_string=Audit"}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1252__FDSAUDITLINK__" localSheetId="20" hidden="1">{"fdsup://Directions/FactSet Auditing Viewer?action=AUDIT_VALUE&amp;DB=129&amp;ID1=02553E10&amp;VALUEID=02101&amp;SDATE=200701&amp;PERIODTYPE=QTR_STD&amp;window=popup_no_bar&amp;width=385&amp;height=120&amp;START_MAXIMIZED=FALSE&amp;creator=factset&amp;display_string=Audit"}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1253__FDSAUDITLINK__" localSheetId="20" hidden="1">{"fdsup://Directions/FactSet Auditing Viewer?action=AUDIT_VALUE&amp;DB=129&amp;ID1=02553E10&amp;VALUEID=01001&amp;SDATE=200701&amp;PERIODTYPE=QTR_STD&amp;window=popup_no_bar&amp;width=385&amp;height=120&amp;START_MAXIMIZED=FALSE&amp;creator=factset&amp;display_string=Audit"}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1254__FDSAUDITLINK__" localSheetId="20" hidden="1">{"fdsup://Directions/FactSet Auditing Viewer?action=AUDIT_VALUE&amp;DB=129&amp;ID1=02553E10&amp;VALUEID=13040&amp;SDATE=200701&amp;PERIODTYPE=QTR_STD&amp;window=popup_no_bar&amp;width=385&amp;height=120&amp;START_MAXIMIZED=FALSE&amp;creator=factset&amp;display_string=Audit"}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1255__FDSAUDITLINK__" localSheetId="20" hidden="1">{"fdsup://Directions/FactSet Auditing Viewer?action=AUDIT_VALUE&amp;DB=129&amp;ID1=00786510&amp;VALUEID=02101&amp;SDATE=200701&amp;PERIODTYPE=QTR_STD&amp;window=popup_no_bar&amp;width=385&amp;height=120&amp;START_MAXIMIZED=FALSE&amp;creator=factset&amp;display_string=Audit"}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1256__FDSAUDITLINK__" localSheetId="20" hidden="1">{"fdsup://Directions/FactSet Auditing Viewer?action=AUDIT_VALUE&amp;DB=129&amp;ID1=00786510&amp;VALUEID=01001&amp;SDATE=200701&amp;PERIODTYPE=QTR_STD&amp;window=popup_no_bar&amp;width=385&amp;height=120&amp;START_MAXIMIZED=FALSE&amp;creator=factset&amp;display_string=Audit"}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1257__FDSAUDITLINK__" localSheetId="20" hidden="1">{"fdsup://Directions/FactSet Auditing Viewer?action=AUDIT_VALUE&amp;DB=129&amp;ID1=00786510&amp;VALUEID=13040&amp;SDATE=200701&amp;PERIODTYPE=QTR_STD&amp;window=popup_no_bar&amp;width=385&amp;height=120&amp;START_MAXIMIZED=FALSE&amp;creator=factset&amp;display_string=Audit"}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1258__FDSAUDITLINK__" localSheetId="20" hidden="1">{"fdsup://Directions/FactSet Auditing Viewer?action=AUDIT_VALUE&amp;DB=129&amp;ID1=00289620&amp;VALUEID=02101&amp;SDATE=200701&amp;PERIODTYPE=QTR_STD&amp;window=popup_no_bar&amp;width=385&amp;height=120&amp;START_MAXIMIZED=FALSE&amp;creator=factset&amp;display_string=Audit"}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1259__FDSAUDITLINK__" localSheetId="20" hidden="1">{"fdsup://Directions/FactSet Auditing Viewer?action=AUDIT_VALUE&amp;DB=129&amp;ID1=00289620&amp;VALUEID=01001&amp;SDATE=200701&amp;PERIODTYPE=QTR_STD&amp;window=popup_no_bar&amp;width=385&amp;height=120&amp;START_MAXIMIZED=FALSE&amp;creator=factset&amp;display_string=Audit"}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126__FDSAUDITLINK__" localSheetId="20" hidden="1">{"fdsup://Directions/FactSet Auditing Viewer?action=AUDIT_VALUE&amp;DB=129&amp;ID1=91704710&amp;VALUEID=13040&amp;SDATE=200803&amp;PERIODTYPE=QTR_STD&amp;window=popup_no_bar&amp;width=385&amp;height=120&amp;START_MAXIMIZED=FALSE&amp;creator=factset&amp;display_string=Audit"}</definedName>
    <definedName name="_126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260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1260__FDSAUDITLINK__" localSheetId="20" hidden="1">{"fdsup://Directions/FactSet Auditing Viewer?action=AUDIT_VALUE&amp;DB=129&amp;ID1=00289620&amp;VALUEID=13040&amp;SDATE=200701&amp;PERIODTYPE=QTR_STD&amp;window=popup_no_bar&amp;width=385&amp;height=120&amp;START_MAXIMIZED=FALSE&amp;creator=factset&amp;display_string=Audit"}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1261__FDSAUDITLINK__" localSheetId="20" hidden="1">{"fdsup://Directions/FactSet Auditing Viewer?action=AUDIT_VALUE&amp;DB=129&amp;ID1=87416110&amp;VALUEID=01001&amp;SDATE=200604&amp;PERIODTYPE=QTR_STD&amp;window=popup_no_bar&amp;width=385&amp;height=120&amp;START_MAXIMIZED=FALSE&amp;creator=factset&amp;display_string=Audit"}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1262__FDSAUDITLINK__" localSheetId="20" hidden="1">{"fdsup://Directions/FactSet Auditing Viewer?action=AUDIT_VALUE&amp;DB=129&amp;ID1=46612H40&amp;VALUEID=01001&amp;SDATE=200604&amp;PERIODTYPE=QTR_STD&amp;window=popup_no_bar&amp;width=385&amp;height=120&amp;START_MAXIMIZED=FALSE&amp;creator=factset&amp;display_string=Audit"}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1263__FDSAUDITLINK__" localSheetId="20" hidden="1">{"fdsup://Directions/FactSet Auditing Viewer?action=AUDIT_VALUE&amp;DB=129&amp;ID1=36476010&amp;VALUEID=01001&amp;SDATE=200604&amp;PERIODTYPE=QTR_STD&amp;window=popup_no_bar&amp;width=385&amp;height=120&amp;START_MAXIMIZED=FALSE&amp;creator=factset&amp;display_string=Audit"}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1264__FDSAUDITLINK__" localSheetId="20" hidden="1">{"fdsup://Directions/FactSet Auditing Viewer?action=AUDIT_VALUE&amp;DB=129&amp;ID1=03611510&amp;VALUEID=01001&amp;SDATE=200604&amp;PERIODTYPE=QTR_STD&amp;window=popup_no_bar&amp;width=385&amp;height=120&amp;START_MAXIMIZED=FALSE&amp;creator=factset&amp;display_string=Audit"}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1265__FDSAUDITLINK__" localSheetId="20" hidden="1">{"fdsup://Directions/FactSet Auditing Viewer?action=AUDIT_VALUE&amp;DB=129&amp;ID1=16890510&amp;VALUEID=01001&amp;SDATE=200604&amp;PERIODTYPE=QTR_STD&amp;window=popup_no_bar&amp;width=385&amp;height=120&amp;START_MAXIMIZED=FALSE&amp;creator=factset&amp;display_string=Audit"}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6__FDSAUDITLINK__" localSheetId="20"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1267__FDSAUDITLINK__" localSheetId="20" hidden="1">{"fdsup://Directions/FactSet Auditing Viewer?action=AUDIT_VALUE&amp;DB=129&amp;ID1=00786510&amp;VALUEID=01001&amp;SDATE=200604&amp;PERIODTYPE=QTR_STD&amp;window=popup_no_bar&amp;width=385&amp;height=120&amp;START_MAXIMIZED=FALSE&amp;creator=factset&amp;display_string=Audit"}</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1268__FDSAUDITLINK__" localSheetId="20" hidden="1">{"fdsup://Directions/FactSet Auditing Viewer?action=AUDIT_VALUE&amp;DB=129&amp;ID1=87416110&amp;VALUEID=02101&amp;SDATE=200603&amp;PERIODTYPE=QTR_STD&amp;window=popup_no_bar&amp;width=385&amp;height=120&amp;START_MAXIMIZED=FALSE&amp;creator=factset&amp;display_string=Audit"}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1269__FDSAUDITLINK__" localSheetId="20" hidden="1">{"fdsup://Directions/FactSet Auditing Viewer?action=AUDIT_VALUE&amp;DB=129&amp;ID1=87416110&amp;VALUEID=01001&amp;SDATE=200603&amp;PERIODTYPE=QTR_STD&amp;window=popup_no_bar&amp;width=385&amp;height=120&amp;START_MAXIMIZED=FALSE&amp;creator=factset&amp;display_string=Audit"}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127__FDSAUDITLINK__" localSheetId="20" hidden="1">{"fdsup://Directions/FactSet Auditing Viewer?action=AUDIT_VALUE&amp;DB=129&amp;ID1=02553E10&amp;VALUEID=02101&amp;SDATE=200803&amp;PERIODTYPE=QTR_STD&amp;window=popup_no_bar&amp;width=385&amp;height=120&amp;START_MAXIMIZED=FALSE&amp;creator=factset&amp;display_string=Audit"}</definedName>
    <definedName name="_127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270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1270__FDSAUDITLINK__" localSheetId="20" hidden="1">{"fdsup://Directions/FactSet Auditing Viewer?action=AUDIT_VALUE&amp;DB=129&amp;ID1=53271610&amp;VALUEID=02101&amp;SDATE=200603&amp;PERIODTYPE=QTR_STD&amp;window=popup_no_bar&amp;width=385&amp;height=120&amp;START_MAXIMIZED=FALSE&amp;creator=factset&amp;display_string=Audit"}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1271__FDSAUDITLINK__" localSheetId="20" hidden="1">{"fdsup://Directions/FactSet Auditing Viewer?action=AUDIT_VALUE&amp;DB=129&amp;ID1=53271610&amp;VALUEID=01001&amp;SDATE=200603&amp;PERIODTYPE=QTR_STD&amp;window=popup_no_bar&amp;width=385&amp;height=120&amp;START_MAXIMIZED=FALSE&amp;creator=factset&amp;display_string=Audit"}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1272__FDSAUDITLINK__" localSheetId="20" hidden="1">{"fdsup://Directions/FactSet Auditing Viewer?action=AUDIT_VALUE&amp;DB=129&amp;ID1=53271610&amp;VALUEID=13040&amp;SDATE=200603&amp;PERIODTYPE=QTR_STD&amp;window=popup_no_bar&amp;width=385&amp;height=120&amp;START_MAXIMIZED=FALSE&amp;creator=factset&amp;display_string=Audit"}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1273__FDSAUDITLINK__" localSheetId="20" hidden="1">{"fdsup://Directions/FactSet Auditing Viewer?action=AUDIT_VALUE&amp;DB=129&amp;ID1=46612H40&amp;VALUEID=02101&amp;SDATE=200603&amp;PERIODTYPE=QTR_STD&amp;window=popup_no_bar&amp;width=385&amp;height=120&amp;START_MAXIMIZED=FALSE&amp;creator=factset&amp;display_string=Audit"}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1274__FDSAUDITLINK__" localSheetId="20" hidden="1">{"fdsup://Directions/FactSet Auditing Viewer?action=AUDIT_VALUE&amp;DB=129&amp;ID1=46612H40&amp;VALUEID=01001&amp;SDATE=200603&amp;PERIODTYPE=QTR_STD&amp;window=popup_no_bar&amp;width=385&amp;height=120&amp;START_MAXIMIZED=FALSE&amp;creator=factset&amp;display_string=Audit"}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1275__FDSAUDITLINK__" localSheetId="20" hidden="1">{"fdsup://Directions/FactSet Auditing Viewer?action=AUDIT_VALUE&amp;DB=129&amp;ID1=46612H40&amp;VALUEID=13040&amp;SDATE=200603&amp;PERIODTYPE=QTR_STD&amp;window=popup_no_bar&amp;width=385&amp;height=120&amp;START_MAXIMIZED=FALSE&amp;creator=factset&amp;display_string=Audit"}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1276__FDSAUDITLINK__" localSheetId="20" hidden="1">{"fdsup://Directions/FactSet Auditing Viewer?action=AUDIT_VALUE&amp;DB=129&amp;ID1=36476010&amp;VALUEID=02101&amp;SDATE=200603&amp;PERIODTYPE=QTR_STD&amp;window=popup_no_bar&amp;width=385&amp;height=120&amp;START_MAXIMIZED=FALSE&amp;creator=factset&amp;display_string=Audit"}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1277__FDSAUDITLINK__" localSheetId="20" hidden="1">{"fdsup://Directions/FactSet Auditing Viewer?action=AUDIT_VALUE&amp;DB=129&amp;ID1=36476010&amp;VALUEID=01001&amp;SDATE=200603&amp;PERIODTYPE=QTR_STD&amp;window=popup_no_bar&amp;width=385&amp;height=120&amp;START_MAXIMIZED=FALSE&amp;creator=factset&amp;display_string=Audit"}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1278__FDSAUDITLINK__" localSheetId="20" hidden="1">{"fdsup://Directions/FactSet Auditing Viewer?action=AUDIT_VALUE&amp;DB=129&amp;ID1=36476010&amp;VALUEID=13040&amp;SDATE=200603&amp;PERIODTYPE=QTR_STD&amp;window=popup_no_bar&amp;width=385&amp;height=120&amp;START_MAXIMIZED=FALSE&amp;creator=factset&amp;display_string=Audit"}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1279__FDSAUDITLINK__" localSheetId="20" hidden="1">{"fdsup://Directions/FactSet Auditing Viewer?action=AUDIT_VALUE&amp;DB=129&amp;ID1=03611510&amp;VALUEID=02101&amp;SDATE=200603&amp;PERIODTYPE=QTR_STD&amp;window=popup_no_bar&amp;width=385&amp;height=120&amp;START_MAXIMIZED=FALSE&amp;creator=factset&amp;display_string=Audit"}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128__FDSAUDITLINK__" localSheetId="20" hidden="1">{"fdsup://Directions/FactSet Auditing Viewer?action=AUDIT_VALUE&amp;DB=129&amp;ID1=02553E10&amp;VALUEID=01001&amp;SDATE=200803&amp;PERIODTYPE=QTR_STD&amp;window=popup_no_bar&amp;width=385&amp;height=120&amp;START_MAXIMIZED=FALSE&amp;creator=factset&amp;display_string=Audit"}</definedName>
    <definedName name="_128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280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1280__FDSAUDITLINK__" localSheetId="20" hidden="1">{"fdsup://Directions/FactSet Auditing Viewer?action=AUDIT_VALUE&amp;DB=129&amp;ID1=03611510&amp;VALUEID=01001&amp;SDATE=200603&amp;PERIODTYPE=QTR_STD&amp;window=popup_no_bar&amp;width=385&amp;height=120&amp;START_MAXIMIZED=FALSE&amp;creator=factset&amp;display_string=Audit"}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1281__FDSAUDITLINK__" localSheetId="20" hidden="1">{"fdsup://Directions/FactSet Auditing Viewer?action=AUDIT_VALUE&amp;DB=129&amp;ID1=03611510&amp;VALUEID=13040&amp;SDATE=200603&amp;PERIODTYPE=QTR_STD&amp;window=popup_no_bar&amp;width=385&amp;height=120&amp;START_MAXIMIZED=FALSE&amp;creator=factset&amp;display_string=Audit"}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1282__FDSAUDITLINK__" localSheetId="20" hidden="1">{"fdsup://Directions/FactSet Auditing Viewer?action=AUDIT_VALUE&amp;DB=129&amp;ID1=16890510&amp;VALUEID=02101&amp;SDATE=200603&amp;PERIODTYPE=QTR_STD&amp;window=popup_no_bar&amp;width=385&amp;height=120&amp;START_MAXIMIZED=FALSE&amp;creator=factset&amp;display_string=Audit"}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1283__FDSAUDITLINK__" localSheetId="20" hidden="1">{"fdsup://Directions/FactSet Auditing Viewer?action=AUDIT_VALUE&amp;DB=129&amp;ID1=16890510&amp;VALUEID=01001&amp;SDATE=200603&amp;PERIODTYPE=QTR_STD&amp;window=popup_no_bar&amp;width=385&amp;height=120&amp;START_MAXIMIZED=FALSE&amp;creator=factset&amp;display_string=Audit"}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1284__FDSAUDITLINK__" localSheetId="20" hidden="1">{"fdsup://Directions/FactSet Auditing Viewer?action=AUDIT_VALUE&amp;DB=129&amp;ID1=91704710&amp;VALUEID=02101&amp;SDATE=200603&amp;PERIODTYPE=QTR_STD&amp;window=popup_no_bar&amp;width=385&amp;height=120&amp;START_MAXIMIZED=FALSE&amp;creator=factset&amp;display_string=Audit"}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1285__FDSAUDITLINK__" localSheetId="20" hidden="1">{"fdsup://Directions/FactSet Auditing Viewer?action=AUDIT_VALUE&amp;DB=129&amp;ID1=91704710&amp;VALUEID=01001&amp;SDATE=200603&amp;PERIODTYPE=QTR_STD&amp;window=popup_no_bar&amp;width=385&amp;height=120&amp;START_MAXIMIZED=FALSE&amp;creator=factset&amp;display_string=Audit"}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1286__FDSAUDITLINK__" localSheetId="20" hidden="1">{"fdsup://Directions/FactSet Auditing Viewer?action=AUDIT_VALUE&amp;DB=129&amp;ID1=91704710&amp;VALUEID=13040&amp;SDATE=200603&amp;PERIODTYPE=QTR_STD&amp;window=popup_no_bar&amp;width=385&amp;height=120&amp;START_MAXIMIZED=FALSE&amp;creator=factset&amp;display_string=Audit"}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7__FDSAUDITLINK__" localSheetId="20"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1288__FDSAUDITLINK__" localSheetId="20" hidden="1">{"fdsup://Directions/FactSet Auditing Viewer?action=AUDIT_VALUE&amp;DB=129&amp;ID1=00786510&amp;VALUEID=02101&amp;SDATE=200603&amp;PERIODTYPE=QTR_STD&amp;window=popup_no_bar&amp;width=385&amp;height=120&amp;START_MAXIMIZED=FALSE&amp;creator=factset&amp;display_string=Audit"}</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1289__FDSAUDITLINK__" localSheetId="20" hidden="1">{"fdsup://Directions/FactSet Auditing Viewer?action=AUDIT_VALUE&amp;DB=129&amp;ID1=00786510&amp;VALUEID=01001&amp;SDATE=200603&amp;PERIODTYPE=QTR_STD&amp;window=popup_no_bar&amp;width=385&amp;height=120&amp;START_MAXIMIZED=FALSE&amp;creator=factset&amp;display_string=Audit"}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129__FDSAUDITLINK__" localSheetId="20" hidden="1">{"fdsup://Directions/FactSet Auditing Viewer?action=AUDIT_VALUE&amp;DB=129&amp;ID1=02553E10&amp;VALUEID=13040&amp;SDATE=200803&amp;PERIODTYPE=QTR_STD&amp;window=popup_no_bar&amp;width=385&amp;height=120&amp;START_MAXIMIZED=FALSE&amp;creator=factset&amp;display_string=Audit"}</definedName>
    <definedName name="_129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290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1290__FDSAUDITLINK__" localSheetId="20" hidden="1">{"fdsup://Directions/FactSet Auditing Viewer?action=AUDIT_VALUE&amp;DB=129&amp;ID1=00786510&amp;VALUEID=13040&amp;SDATE=200603&amp;PERIODTYPE=QTR_STD&amp;window=popup_no_bar&amp;width=385&amp;height=120&amp;START_MAXIMIZED=FALSE&amp;creator=factset&amp;display_string=Audit"}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1291__FDSAUDITLINK__" localSheetId="20" hidden="1">{"fdsup://Directions/FactSet Auditing Viewer?action=AUDIT_VALUE&amp;DB=129&amp;ID1=00289620&amp;VALUEID=02101&amp;SDATE=200603&amp;PERIODTYPE=QTR_STD&amp;window=popup_no_bar&amp;width=385&amp;height=120&amp;START_MAXIMIZED=FALSE&amp;creator=factset&amp;display_string=Audit"}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1292__FDSAUDITLINK__" localSheetId="20" hidden="1">{"fdsup://Directions/FactSet Auditing Viewer?action=AUDIT_VALUE&amp;DB=129&amp;ID1=00289620&amp;VALUEID=01001&amp;SDATE=200603&amp;PERIODTYPE=QTR_STD&amp;window=popup_no_bar&amp;width=385&amp;height=120&amp;START_MAXIMIZED=FALSE&amp;creator=factset&amp;display_string=Audit"}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1293__FDSAUDITLINK__" localSheetId="20" hidden="1">{"fdsup://Directions/FactSet Auditing Viewer?action=AUDIT_VALUE&amp;DB=129&amp;ID1=00289620&amp;VALUEID=13040&amp;SDATE=200603&amp;PERIODTYPE=QTR_STD&amp;window=popup_no_bar&amp;width=385&amp;height=120&amp;START_MAXIMIZED=FALSE&amp;creator=factset&amp;display_string=Audit"}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1294__FDSAUDITLINK__" localSheetId="20" hidden="1">{"fdsup://Directions/FactSet Auditing Viewer?action=AUDIT_VALUE&amp;DB=129&amp;ID1=87416110&amp;VALUEID=02101&amp;SDATE=200602&amp;PERIODTYPE=QTR_STD&amp;window=popup_no_bar&amp;width=385&amp;height=120&amp;START_MAXIMIZED=FALSE&amp;creator=factset&amp;display_string=Audit"}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1295__FDSAUDITLINK__" localSheetId="20" hidden="1">{"fdsup://Directions/FactSet Auditing Viewer?action=AUDIT_VALUE&amp;DB=129&amp;ID1=87416110&amp;VALUEID=01001&amp;SDATE=200602&amp;PERIODTYPE=QTR_STD&amp;window=popup_no_bar&amp;width=385&amp;height=120&amp;START_MAXIMIZED=FALSE&amp;creator=factset&amp;display_string=Audit"}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1296__FDSAUDITLINK__" localSheetId="20" hidden="1">{"fdsup://Directions/FactSet Auditing Viewer?action=AUDIT_VALUE&amp;DB=129&amp;ID1=53271610&amp;VALUEID=02101&amp;SDATE=200602&amp;PERIODTYPE=QTR_STD&amp;window=popup_no_bar&amp;width=385&amp;height=120&amp;START_MAXIMIZED=FALSE&amp;creator=factset&amp;display_string=Audit"}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1297__FDSAUDITLINK__" localSheetId="20" hidden="1">{"fdsup://Directions/FactSet Auditing Viewer?action=AUDIT_VALUE&amp;DB=129&amp;ID1=53271610&amp;VALUEID=01001&amp;SDATE=200602&amp;PERIODTYPE=QTR_STD&amp;window=popup_no_bar&amp;width=385&amp;height=120&amp;START_MAXIMIZED=FALSE&amp;creator=factset&amp;display_string=Audit"}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1298__FDSAUDITLINK__" localSheetId="20" hidden="1">{"fdsup://Directions/FactSet Auditing Viewer?action=AUDIT_VALUE&amp;DB=129&amp;ID1=53271610&amp;VALUEID=13040&amp;SDATE=200602&amp;PERIODTYPE=QTR_STD&amp;window=popup_no_bar&amp;width=385&amp;height=120&amp;START_MAXIMIZED=FALSE&amp;creator=factset&amp;display_string=Audit"}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1299__FDSAUDITLINK__" localSheetId="20" hidden="1">{"fdsup://Directions/FactSet Auditing Viewer?action=AUDIT_VALUE&amp;DB=129&amp;ID1=46612H40&amp;VALUEID=02101&amp;SDATE=200602&amp;PERIODTYPE=QTR_STD&amp;window=popup_no_bar&amp;width=385&amp;height=120&amp;START_MAXIMIZED=FALSE&amp;creator=factset&amp;display_string=Audit"}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XR_M_MARG" hidden="1">[1]P!$R$29:$AK$29</definedName>
    <definedName name="_13__FDSAUDITLINK__" localSheetId="1" hidden="1">{"fdsup://directions/FAT Viewer?action=UPDATE&amp;creator=factset&amp;DYN_ARGS=TRUE&amp;DOC_NAME=FAT:FQL_AUDITING_CLIENT_TEMPLATE.FAT&amp;display_string=Audit&amp;VAR:KEY=KBULMFERCL&amp;VAR:QUERY=RkZfRU5UUlBSX1ZBTF9FQklUREFfT1BFUihBTk4sMCk=&amp;WINDOW=FIRST_POPUP&amp;HEIGHT=450&amp;WIDTH=450&amp;","START_MAXIMIZED=FALSE&amp;VAR:CALENDAR=FIVEDAY&amp;VAR:SYMBOL=EXPR&amp;VAR:INDEX=0"}</definedName>
    <definedName name="_13__FDSAUDITLINK__" localSheetId="20" hidden="1">{"fdsup://Directions/FactSet Auditing Viewer?action=AUDIT_VALUE&amp;DB=129&amp;ID1=91704710&amp;VALUEID=02101&amp;SDATE=201001&amp;PERIODTYPE=QTR_STD&amp;window=popup_no_bar&amp;width=385&amp;height=120&amp;START_MAXIMIZED=FALSE&amp;creator=factset&amp;display_string=Audit"}</definedName>
    <definedName name="_13__FDSAUDITLINK__" hidden="1">{"fdsup://directions/FAT Viewer?action=UPDATE&amp;creator=factset&amp;DYN_ARGS=TRUE&amp;DOC_NAME=FAT:FQL_AUDITING_CLIENT_TEMPLATE.FAT&amp;display_string=Audit&amp;VAR:KEY=KBULMFERCL&amp;VAR:QUERY=RkZfRU5UUlBSX1ZBTF9FQklUREFfT1BFUihBTk4sMCk=&amp;WINDOW=FIRST_POPUP&amp;HEIGHT=450&amp;WIDTH=450&amp;","START_MAXIMIZED=FALSE&amp;VAR:CALENDAR=FIVEDAY&amp;VAR:SYMBOL=EXPR&amp;VAR:INDEX=0"}</definedName>
    <definedName name="_130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130__FDSAUDITLINK__" localSheetId="20" hidden="1">{"fdsup://Directions/FactSet Auditing Viewer?action=AUDIT_VALUE&amp;DB=129&amp;ID1=00786510&amp;VALUEID=02101&amp;SDATE=200803&amp;PERIODTYPE=QTR_STD&amp;window=popup_no_bar&amp;width=385&amp;height=120&amp;START_MAXIMIZED=FALSE&amp;creator=factset&amp;display_string=Audit"}</definedName>
    <definedName name="_130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300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1300__FDSAUDITLINK__" localSheetId="20" hidden="1">{"fdsup://Directions/FactSet Auditing Viewer?action=AUDIT_VALUE&amp;DB=129&amp;ID1=46612H40&amp;VALUEID=01001&amp;SDATE=200602&amp;PERIODTYPE=QTR_STD&amp;window=popup_no_bar&amp;width=385&amp;height=120&amp;START_MAXIMIZED=FALSE&amp;creator=factset&amp;display_string=Audit"}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1301__FDSAUDITLINK__" localSheetId="20" hidden="1">{"fdsup://Directions/FactSet Auditing Viewer?action=AUDIT_VALUE&amp;DB=129&amp;ID1=46612H40&amp;VALUEID=13040&amp;SDATE=200602&amp;PERIODTYPE=QTR_STD&amp;window=popup_no_bar&amp;width=385&amp;height=120&amp;START_MAXIMIZED=FALSE&amp;creator=factset&amp;display_string=Audit"}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1302__FDSAUDITLINK__" localSheetId="20" hidden="1">{"fdsup://Directions/FactSet Auditing Viewer?action=AUDIT_VALUE&amp;DB=129&amp;ID1=36476010&amp;VALUEID=02101&amp;SDATE=200602&amp;PERIODTYPE=QTR_STD&amp;window=popup_no_bar&amp;width=385&amp;height=120&amp;START_MAXIMIZED=FALSE&amp;creator=factset&amp;display_string=Audit"}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1303__FDSAUDITLINK__" localSheetId="20" hidden="1">{"fdsup://Directions/FactSet Auditing Viewer?action=AUDIT_VALUE&amp;DB=129&amp;ID1=36476010&amp;VALUEID=01001&amp;SDATE=200602&amp;PERIODTYPE=QTR_STD&amp;window=popup_no_bar&amp;width=385&amp;height=120&amp;START_MAXIMIZED=FALSE&amp;creator=factset&amp;display_string=Audit"}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1304__FDSAUDITLINK__" localSheetId="20" hidden="1">{"fdsup://Directions/FactSet Auditing Viewer?action=AUDIT_VALUE&amp;DB=129&amp;ID1=36476010&amp;VALUEID=13040&amp;SDATE=200602&amp;PERIODTYPE=QTR_STD&amp;window=popup_no_bar&amp;width=385&amp;height=120&amp;START_MAXIMIZED=FALSE&amp;creator=factset&amp;display_string=Audit"}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1305__FDSAUDITLINK__" localSheetId="20" hidden="1">{"fdsup://Directions/FactSet Auditing Viewer?action=AUDIT_VALUE&amp;DB=129&amp;ID1=03611510&amp;VALUEID=02101&amp;SDATE=200602&amp;PERIODTYPE=QTR_STD&amp;window=popup_no_bar&amp;width=385&amp;height=120&amp;START_MAXIMIZED=FALSE&amp;creator=factset&amp;display_string=Audit"}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1306__FDSAUDITLINK__" localSheetId="20" hidden="1">{"fdsup://Directions/FactSet Auditing Viewer?action=AUDIT_VALUE&amp;DB=129&amp;ID1=03611510&amp;VALUEID=01001&amp;SDATE=200602&amp;PERIODTYPE=QTR_STD&amp;window=popup_no_bar&amp;width=385&amp;height=120&amp;START_MAXIMIZED=FALSE&amp;creator=factset&amp;display_string=Audit"}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1307__FDSAUDITLINK__" localSheetId="20" hidden="1">{"fdsup://Directions/FactSet Auditing Viewer?action=AUDIT_VALUE&amp;DB=129&amp;ID1=03611510&amp;VALUEID=13040&amp;SDATE=200602&amp;PERIODTYPE=QTR_STD&amp;window=popup_no_bar&amp;width=385&amp;height=120&amp;START_MAXIMIZED=FALSE&amp;creator=factset&amp;display_string=Audit"}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1308__FDSAUDITLINK__" localSheetId="20" hidden="1">{"fdsup://Directions/FactSet Auditing Viewer?action=AUDIT_VALUE&amp;DB=129&amp;ID1=16890510&amp;VALUEID=02101&amp;SDATE=200602&amp;PERIODTYPE=QTR_STD&amp;window=popup_no_bar&amp;width=385&amp;height=120&amp;START_MAXIMIZED=FALSE&amp;creator=factset&amp;display_string=Audit"}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1309__FDSAUDITLINK__" localSheetId="20" hidden="1">{"fdsup://Directions/FactSet Auditing Viewer?action=AUDIT_VALUE&amp;DB=129&amp;ID1=16890510&amp;VALUEID=01001&amp;SDATE=200602&amp;PERIODTYPE=QTR_STD&amp;window=popup_no_bar&amp;width=385&amp;height=120&amp;START_MAXIMIZED=FALSE&amp;creator=factset&amp;display_string=Audit"}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131__FDSAUDITLINK__" localSheetId="20" hidden="1">{"fdsup://Directions/FactSet Auditing Viewer?action=AUDIT_VALUE&amp;DB=129&amp;ID1=00786510&amp;VALUEID=01001&amp;SDATE=200803&amp;PERIODTYPE=QTR_STD&amp;window=popup_no_bar&amp;width=385&amp;height=120&amp;START_MAXIMIZED=FALSE&amp;creator=factset&amp;display_string=Audit"}</definedName>
    <definedName name="_131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310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1310__FDSAUDITLINK__" localSheetId="20" hidden="1">{"fdsup://Directions/FactSet Auditing Viewer?action=AUDIT_VALUE&amp;DB=129&amp;ID1=91704710&amp;VALUEID=02101&amp;SDATE=200602&amp;PERIODTYPE=QTR_STD&amp;window=popup_no_bar&amp;width=385&amp;height=120&amp;START_MAXIMIZED=FALSE&amp;creator=factset&amp;display_string=Audit"}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1311__FDSAUDITLINK__" localSheetId="20" hidden="1">{"fdsup://Directions/FactSet Auditing Viewer?action=AUDIT_VALUE&amp;DB=129&amp;ID1=91704710&amp;VALUEID=01001&amp;SDATE=200602&amp;PERIODTYPE=QTR_STD&amp;window=popup_no_bar&amp;width=385&amp;height=120&amp;START_MAXIMIZED=FALSE&amp;creator=factset&amp;display_string=Audit"}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1312__FDSAUDITLINK__" localSheetId="20" hidden="1">{"fdsup://Directions/FactSet Auditing Viewer?action=AUDIT_VALUE&amp;DB=129&amp;ID1=91704710&amp;VALUEID=13040&amp;SDATE=200602&amp;PERIODTYPE=QTR_STD&amp;window=popup_no_bar&amp;width=385&amp;height=120&amp;START_MAXIMIZED=FALSE&amp;creator=factset&amp;display_string=Audit"}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3__FDSAUDITLINK__" localSheetId="20"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1314__FDSAUDITLINK__" localSheetId="20" hidden="1">{"fdsup://Directions/FactSet Auditing Viewer?action=AUDIT_VALUE&amp;DB=129&amp;ID1=00786510&amp;VALUEID=02101&amp;SDATE=200602&amp;PERIODTYPE=QTR_STD&amp;window=popup_no_bar&amp;width=385&amp;height=120&amp;START_MAXIMIZED=FALSE&amp;creator=factset&amp;display_string=Audit"}</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1315__FDSAUDITLINK__" localSheetId="20" hidden="1">{"fdsup://Directions/FactSet Auditing Viewer?action=AUDIT_VALUE&amp;DB=129&amp;ID1=00786510&amp;VALUEID=01001&amp;SDATE=200602&amp;PERIODTYPE=QTR_STD&amp;window=popup_no_bar&amp;width=385&amp;height=120&amp;START_MAXIMIZED=FALSE&amp;creator=factset&amp;display_string=Audit"}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1316__FDSAUDITLINK__" localSheetId="20" hidden="1">{"fdsup://Directions/FactSet Auditing Viewer?action=AUDIT_VALUE&amp;DB=129&amp;ID1=00786510&amp;VALUEID=13040&amp;SDATE=200602&amp;PERIODTYPE=QTR_STD&amp;window=popup_no_bar&amp;width=385&amp;height=120&amp;START_MAXIMIZED=FALSE&amp;creator=factset&amp;display_string=Audit"}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1317__FDSAUDITLINK__" localSheetId="20" hidden="1">{"fdsup://Directions/FactSet Auditing Viewer?action=AUDIT_VALUE&amp;DB=129&amp;ID1=00289620&amp;VALUEID=02101&amp;SDATE=200602&amp;PERIODTYPE=QTR_STD&amp;window=popup_no_bar&amp;width=385&amp;height=120&amp;START_MAXIMIZED=FALSE&amp;creator=factset&amp;display_string=Audit"}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1318__FDSAUDITLINK__" localSheetId="20" hidden="1">{"fdsup://Directions/FactSet Auditing Viewer?action=AUDIT_VALUE&amp;DB=129&amp;ID1=00289620&amp;VALUEID=01001&amp;SDATE=200602&amp;PERIODTYPE=QTR_STD&amp;window=popup_no_bar&amp;width=385&amp;height=120&amp;START_MAXIMIZED=FALSE&amp;creator=factset&amp;display_string=Audit"}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1319__FDSAUDITLINK__" localSheetId="20" hidden="1">{"fdsup://Directions/FactSet Auditing Viewer?action=AUDIT_VALUE&amp;DB=129&amp;ID1=00289620&amp;VALUEID=13040&amp;SDATE=200602&amp;PERIODTYPE=QTR_STD&amp;window=popup_no_bar&amp;width=385&amp;height=120&amp;START_MAXIMIZED=FALSE&amp;creator=factset&amp;display_string=Audit"}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132__FDSAUDITLINK__" localSheetId="20" hidden="1">{"fdsup://Directions/FactSet Auditing Viewer?action=AUDIT_VALUE&amp;DB=129&amp;ID1=00786510&amp;VALUEID=13040&amp;SDATE=200803&amp;PERIODTYPE=QTR_STD&amp;window=popup_no_bar&amp;width=385&amp;height=120&amp;START_MAXIMIZED=FALSE&amp;creator=factset&amp;display_string=Audit"}</definedName>
    <definedName name="_132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320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1320__FDSAUDITLINK__" localSheetId="20" hidden="1">{"fdsup://Directions/FactSet Auditing Viewer?action=AUDIT_VALUE&amp;DB=129&amp;ID1=87416110&amp;VALUEID=02101&amp;SDATE=200601&amp;PERIODTYPE=QTR_STD&amp;window=popup_no_bar&amp;width=385&amp;height=120&amp;START_MAXIMIZED=FALSE&amp;creator=factset&amp;display_string=Audit"}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1321__FDSAUDITLINK__" localSheetId="20" hidden="1">{"fdsup://Directions/FactSet Auditing Viewer?action=AUDIT_VALUE&amp;DB=129&amp;ID1=87416110&amp;VALUEID=01001&amp;SDATE=200601&amp;PERIODTYPE=QTR_STD&amp;window=popup_no_bar&amp;width=385&amp;height=120&amp;START_MAXIMIZED=FALSE&amp;creator=factset&amp;display_string=Audit"}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1322__FDSAUDITLINK__" localSheetId="20" hidden="1">{"fdsup://Directions/FactSet Auditing Viewer?action=AUDIT_VALUE&amp;DB=129&amp;ID1=87416110&amp;VALUEID=13040&amp;SDATE=200601&amp;PERIODTYPE=QTR_STD&amp;window=popup_no_bar&amp;width=385&amp;height=120&amp;START_MAXIMIZED=FALSE&amp;creator=factset&amp;display_string=Audit"}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3__FDSAUDITLINK__" localSheetId="20"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1324__FDSAUDITLINK__" localSheetId="20" hidden="1">{"fdsup://Directions/FactSet Auditing Viewer?action=AUDIT_VALUE&amp;DB=129&amp;ID1=53271610&amp;VALUEID=02101&amp;SDATE=200601&amp;PERIODTYPE=QTR_STD&amp;window=popup_no_bar&amp;width=385&amp;height=120&amp;START_MAXIMIZED=FALSE&amp;creator=factset&amp;display_string=Audit"}</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1325__FDSAUDITLINK__" localSheetId="20" hidden="1">{"fdsup://Directions/FactSet Auditing Viewer?action=AUDIT_VALUE&amp;DB=129&amp;ID1=53271610&amp;VALUEID=01001&amp;SDATE=200601&amp;PERIODTYPE=QTR_STD&amp;window=popup_no_bar&amp;width=385&amp;height=120&amp;START_MAXIMIZED=FALSE&amp;creator=factset&amp;display_string=Audit"}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1326__FDSAUDITLINK__" localSheetId="20" hidden="1">{"fdsup://Directions/FactSet Auditing Viewer?action=AUDIT_VALUE&amp;DB=129&amp;ID1=53271610&amp;VALUEID=13040&amp;SDATE=200601&amp;PERIODTYPE=QTR_STD&amp;window=popup_no_bar&amp;width=385&amp;height=120&amp;START_MAXIMIZED=FALSE&amp;creator=factset&amp;display_string=Audit"}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1327__FDSAUDITLINK__" localSheetId="20" hidden="1">{"fdsup://Directions/FactSet Auditing Viewer?action=AUDIT_VALUE&amp;DB=129&amp;ID1=46612H40&amp;VALUEID=02101&amp;SDATE=200601&amp;PERIODTYPE=QTR_STD&amp;window=popup_no_bar&amp;width=385&amp;height=120&amp;START_MAXIMIZED=FALSE&amp;creator=factset&amp;display_string=Audit"}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1328__FDSAUDITLINK__" localSheetId="20" hidden="1">{"fdsup://Directions/FactSet Auditing Viewer?action=AUDIT_VALUE&amp;DB=129&amp;ID1=46612H40&amp;VALUEID=01001&amp;SDATE=200601&amp;PERIODTYPE=QTR_STD&amp;window=popup_no_bar&amp;width=385&amp;height=120&amp;START_MAXIMIZED=FALSE&amp;creator=factset&amp;display_string=Audit"}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1329__FDSAUDITLINK__" localSheetId="20" hidden="1">{"fdsup://Directions/FactSet Auditing Viewer?action=AUDIT_VALUE&amp;DB=129&amp;ID1=46612H40&amp;VALUEID=13040&amp;SDATE=200601&amp;PERIODTYPE=QTR_STD&amp;window=popup_no_bar&amp;width=385&amp;height=120&amp;START_MAXIMIZED=FALSE&amp;creator=factset&amp;display_string=Audit"}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133__FDSAUDITLINK__" localSheetId="20" hidden="1">{"fdsup://Directions/FactSet Auditing Viewer?action=AUDIT_VALUE&amp;DB=129&amp;ID1=00289620&amp;VALUEID=02101&amp;SDATE=200803&amp;PERIODTYPE=QTR_STD&amp;window=popup_no_bar&amp;width=385&amp;height=120&amp;START_MAXIMIZED=FALSE&amp;creator=factset&amp;display_string=Audit"}</definedName>
    <definedName name="_133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330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1330__FDSAUDITLINK__" localSheetId="20" hidden="1">{"fdsup://Directions/FactSet Auditing Viewer?action=AUDIT_VALUE&amp;DB=129&amp;ID1=36476010&amp;VALUEID=02101&amp;SDATE=200601&amp;PERIODTYPE=QTR_STD&amp;window=popup_no_bar&amp;width=385&amp;height=120&amp;START_MAXIMIZED=FALSE&amp;creator=factset&amp;display_string=Audit"}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1331__FDSAUDITLINK__" localSheetId="20" hidden="1">{"fdsup://Directions/FactSet Auditing Viewer?action=AUDIT_VALUE&amp;DB=129&amp;ID1=36476010&amp;VALUEID=01001&amp;SDATE=200601&amp;PERIODTYPE=QTR_STD&amp;window=popup_no_bar&amp;width=385&amp;height=120&amp;START_MAXIMIZED=FALSE&amp;creator=factset&amp;display_string=Audit"}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1332__FDSAUDITLINK__" localSheetId="20" hidden="1">{"fdsup://Directions/FactSet Auditing Viewer?action=AUDIT_VALUE&amp;DB=129&amp;ID1=36476010&amp;VALUEID=13040&amp;SDATE=200601&amp;PERIODTYPE=QTR_STD&amp;window=popup_no_bar&amp;width=385&amp;height=120&amp;START_MAXIMIZED=FALSE&amp;creator=factset&amp;display_string=Audit"}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1333__FDSAUDITLINK__" localSheetId="20" hidden="1">{"fdsup://Directions/FactSet Auditing Viewer?action=AUDIT_VALUE&amp;DB=129&amp;ID1=03611510&amp;VALUEID=02101&amp;SDATE=200601&amp;PERIODTYPE=QTR_STD&amp;window=popup_no_bar&amp;width=385&amp;height=120&amp;START_MAXIMIZED=FALSE&amp;creator=factset&amp;display_string=Audit"}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1334__FDSAUDITLINK__" localSheetId="20" hidden="1">{"fdsup://Directions/FactSet Auditing Viewer?action=AUDIT_VALUE&amp;DB=129&amp;ID1=03611510&amp;VALUEID=13040&amp;SDATE=200601&amp;PERIODTYPE=QTR_STD&amp;window=popup_no_bar&amp;width=385&amp;height=120&amp;START_MAXIMIZED=FALSE&amp;creator=factset&amp;display_string=Audit"}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1335__FDSAUDITLINK__" localSheetId="20" hidden="1">{"fdsup://Directions/FactSet Auditing Viewer?action=AUDIT_VALUE&amp;DB=129&amp;ID1=16890510&amp;VALUEID=02101&amp;SDATE=200601&amp;PERIODTYPE=QTR_STD&amp;window=popup_no_bar&amp;width=385&amp;height=120&amp;START_MAXIMIZED=FALSE&amp;creator=factset&amp;display_string=Audit"}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1336__FDSAUDITLINK__" localSheetId="20" hidden="1">{"fdsup://Directions/FactSet Auditing Viewer?action=AUDIT_VALUE&amp;DB=129&amp;ID1=16890510&amp;VALUEID=01001&amp;SDATE=200601&amp;PERIODTYPE=QTR_STD&amp;window=popup_no_bar&amp;width=385&amp;height=120&amp;START_MAXIMIZED=FALSE&amp;creator=factset&amp;display_string=Audit"}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1337__FDSAUDITLINK__" localSheetId="20" hidden="1">{"fdsup://Directions/FactSet Auditing Viewer?action=AUDIT_VALUE&amp;DB=129&amp;ID1=91704710&amp;VALUEID=02101&amp;SDATE=200601&amp;PERIODTYPE=QTR_STD&amp;window=popup_no_bar&amp;width=385&amp;height=120&amp;START_MAXIMIZED=FALSE&amp;creator=factset&amp;display_string=Audit"}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1338__FDSAUDITLINK__" localSheetId="20" hidden="1">{"fdsup://Directions/FactSet Auditing Viewer?action=AUDIT_VALUE&amp;DB=129&amp;ID1=91704710&amp;VALUEID=01001&amp;SDATE=200601&amp;PERIODTYPE=QTR_STD&amp;window=popup_no_bar&amp;width=385&amp;height=120&amp;START_MAXIMIZED=FALSE&amp;creator=factset&amp;display_string=Audit"}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1339__FDSAUDITLINK__" localSheetId="20" hidden="1">{"fdsup://Directions/FactSet Auditing Viewer?action=AUDIT_VALUE&amp;DB=129&amp;ID1=91704710&amp;VALUEID=13040&amp;SDATE=200601&amp;PERIODTYPE=QTR_STD&amp;window=popup_no_bar&amp;width=385&amp;height=120&amp;START_MAXIMIZED=FALSE&amp;creator=factset&amp;display_string=Audit"}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134__FDSAUDITLINK__" localSheetId="20" hidden="1">{"fdsup://Directions/FactSet Auditing Viewer?action=AUDIT_VALUE&amp;DB=129&amp;ID1=00289620&amp;VALUEID=01001&amp;SDATE=200803&amp;PERIODTYPE=QTR_STD&amp;window=popup_no_bar&amp;width=385&amp;height=120&amp;START_MAXIMIZED=FALSE&amp;creator=factset&amp;display_string=Audit"}</definedName>
    <definedName name="_134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340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1340__FDSAUDITLINK__" localSheetId="20" hidden="1">{"fdsup://Directions/FactSet Auditing Viewer?action=AUDIT_VALUE&amp;DB=129&amp;ID1=02553E10&amp;VALUEID=02101&amp;SDATE=200601&amp;PERIODTYPE=QTR_STD&amp;window=popup_no_bar&amp;width=385&amp;height=120&amp;START_MAXIMIZED=FALSE&amp;creator=factset&amp;display_string=Audit"}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1341__FDSAUDITLINK__" localSheetId="20" hidden="1">{"fdsup://Directions/FactSet Auditing Viewer?action=AUDIT_VALUE&amp;DB=129&amp;ID1=02553E10&amp;VALUEID=01001&amp;SDATE=200601&amp;PERIODTYPE=QTR_STD&amp;window=popup_no_bar&amp;width=385&amp;height=120&amp;START_MAXIMIZED=FALSE&amp;creator=factset&amp;display_string=Audit"}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1342__FDSAUDITLINK__" localSheetId="20" hidden="1">{"fdsup://Directions/FactSet Auditing Viewer?action=AUDIT_VALUE&amp;DB=129&amp;ID1=02553E10&amp;VALUEID=13040&amp;SDATE=200601&amp;PERIODTYPE=QTR_STD&amp;window=popup_no_bar&amp;width=385&amp;height=120&amp;START_MAXIMIZED=FALSE&amp;creator=factset&amp;display_string=Audit"}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3__FDSAUDITLINK__" localSheetId="20"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1344__FDSAUDITLINK__" localSheetId="20" hidden="1">{"fdsup://Directions/FactSet Auditing Viewer?action=AUDIT_VALUE&amp;DB=129&amp;ID1=00786510&amp;VALUEID=02101&amp;SDATE=200601&amp;PERIODTYPE=QTR_STD&amp;window=popup_no_bar&amp;width=385&amp;height=120&amp;START_MAXIMIZED=FALSE&amp;creator=factset&amp;display_string=Audit"}</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1345__FDSAUDITLINK__" localSheetId="20" hidden="1">{"fdsup://Directions/FactSet Auditing Viewer?action=AUDIT_VALUE&amp;DB=129&amp;ID1=00786510&amp;VALUEID=01001&amp;SDATE=200601&amp;PERIODTYPE=QTR_STD&amp;window=popup_no_bar&amp;width=385&amp;height=120&amp;START_MAXIMIZED=FALSE&amp;creator=factset&amp;display_string=Audit"}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1346__FDSAUDITLINK__" localSheetId="20" hidden="1">{"fdsup://Directions/FactSet Auditing Viewer?action=AUDIT_VALUE&amp;DB=129&amp;ID1=00786510&amp;VALUEID=13040&amp;SDATE=200601&amp;PERIODTYPE=QTR_STD&amp;window=popup_no_bar&amp;width=385&amp;height=120&amp;START_MAXIMIZED=FALSE&amp;creator=factset&amp;display_string=Audit"}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1347__FDSAUDITLINK__" localSheetId="20" hidden="1">{"fdsup://Directions/FactSet Auditing Viewer?action=AUDIT_VALUE&amp;DB=129&amp;ID1=00289620&amp;VALUEID=02101&amp;SDATE=200601&amp;PERIODTYPE=QTR_STD&amp;window=popup_no_bar&amp;width=385&amp;height=120&amp;START_MAXIMIZED=FALSE&amp;creator=factset&amp;display_string=Audit"}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1348__FDSAUDITLINK__" localSheetId="20" hidden="1">{"fdsup://Directions/FactSet Auditing Viewer?action=AUDIT_VALUE&amp;DB=129&amp;ID1=00289620&amp;VALUEID=01001&amp;SDATE=200601&amp;PERIODTYPE=QTR_STD&amp;window=popup_no_bar&amp;width=385&amp;height=120&amp;START_MAXIMIZED=FALSE&amp;creator=factset&amp;display_string=Audit"}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1349__FDSAUDITLINK__" localSheetId="20" hidden="1">{"fdsup://Directions/FactSet Auditing Viewer?action=AUDIT_VALUE&amp;DB=129&amp;ID1=00289620&amp;VALUEID=13040&amp;SDATE=200601&amp;PERIODTYPE=QTR_STD&amp;window=popup_no_bar&amp;width=385&amp;height=120&amp;START_MAXIMIZED=FALSE&amp;creator=factset&amp;display_string=Audit"}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135__FDSAUDITLINK__" localSheetId="20" hidden="1">{"fdsup://Directions/FactSet Auditing Viewer?action=AUDIT_VALUE&amp;DB=129&amp;ID1=00289620&amp;VALUEID=13040&amp;SDATE=200803&amp;PERIODTYPE=QTR_STD&amp;window=popup_no_bar&amp;width=385&amp;height=120&amp;START_MAXIMIZED=FALSE&amp;creator=factset&amp;display_string=Audit"}</definedName>
    <definedName name="_135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350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0__FDSAUDITLINK__" localSheetId="20"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1__FDSAUDITLINK__" localSheetId="20"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2__FDSAUDITLINK__" localSheetId="20"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1353__FDSAUDITLINK__" localSheetId="20" hidden="1">{"fdsup://Directions/FactSet Auditing Viewer?action=AUDIT_VALUE&amp;DB=129&amp;ID1=03611510&amp;VALUEID=13040&amp;SDATE=200503&amp;PERIODTYPE=QTR_STD&amp;window=popup_no_bar&amp;width=385&amp;height=120&amp;START_MAXIMIZED=FALSE&amp;creator=factset&amp;display_string=Audit"}</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4__FDSAUDITLINK__" localSheetId="20"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5__FDSAUDITLINK__" localSheetId="20"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1356__FDSAUDITLINK__" localSheetId="20" hidden="1">{"fdsup://Directions/FactSet Auditing Viewer?action=AUDIT_VALUE&amp;DB=129&amp;ID1=03611510&amp;VALUEID=13040&amp;SDATE=200502&amp;PERIODTYPE=QTR_STD&amp;window=popup_no_bar&amp;width=385&amp;height=120&amp;START_MAXIMIZED=FALSE&amp;creator=factset&amp;display_string=Audit"}</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7__FDSAUDITLINK__" localSheetId="20"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8__FDSAUDITLINK__" localSheetId="20"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1359__FDSAUDITLINK__" localSheetId="20" hidden="1">{"fdsup://Directions/FactSet Auditing Viewer?action=AUDIT_VALUE&amp;DB=129&amp;ID1=03611510&amp;VALUEID=13040&amp;SDATE=200501&amp;PERIODTYPE=QTR_STD&amp;window=popup_no_bar&amp;width=385&amp;height=120&amp;START_MAXIMIZED=FALSE&amp;creator=factset&amp;display_string=Audit"}</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136__FDSAUDITLINK__" localSheetId="20" hidden="1">{"fdsup://Directions/FactSet Auditing Viewer?action=AUDIT_VALUE&amp;DB=129&amp;ID1=87416110&amp;VALUEID=02101&amp;SDATE=200802&amp;PERIODTYPE=QTR_STD&amp;window=popup_no_bar&amp;width=385&amp;height=120&amp;START_MAXIMIZED=FALSE&amp;creator=factset&amp;display_string=Audit"}</definedName>
    <definedName name="_136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360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0__FDSAUDITLINK__" localSheetId="20"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1361__FDSAUDITLINK__" localSheetId="20" hidden="1">{"fdsup://Directions/FactSet Auditing Viewer?action=AUDIT_VALUE&amp;DB=129&amp;ID1=16890510&amp;VALUEID=13040&amp;SDATE=200602&amp;PERIODTYPE=QTR_STD&amp;window=popup_no_bar&amp;width=385&amp;height=120&amp;START_MAXIMIZED=FALSE&amp;creator=factset&amp;display_string=Audit"}</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1362__FDSAUDITLINK__" localSheetId="20" hidden="1">{"fdsup://Directions/FactSet Auditing Viewer?action=AUDIT_VALUE&amp;DB=129&amp;ID1=16890510&amp;VALUEID=13040&amp;SDATE=200601&amp;PERIODTYPE=QTR_STD&amp;window=popup_no_bar&amp;width=385&amp;height=120&amp;START_MAXIMIZED=FALSE&amp;creator=factset&amp;display_string=Audit"}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1363__FDSAUDITLINK__" localSheetId="20" hidden="1">{"fdsup://Directions/FactSet Auditing Viewer?action=AUDIT_VALUE&amp;DB=129&amp;ID1=16890510&amp;VALUEID=13040&amp;SDATE=200603&amp;PERIODTYPE=QTR_STD&amp;window=popup_no_bar&amp;width=385&amp;height=120&amp;START_MAXIMIZED=FALSE&amp;creator=factset&amp;display_string=Audit"}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1364__FDSAUDITLINK__" localSheetId="20" hidden="1">{"fdsup://Directions/FactSet Auditing Viewer?action=AUDIT_VALUE&amp;DB=129&amp;ID1=16890510&amp;VALUEID=13040&amp;SDATE=200702&amp;PERIODTYPE=QTR_STD&amp;window=popup_no_bar&amp;width=385&amp;height=120&amp;START_MAXIMIZED=FALSE&amp;creator=factset&amp;display_string=Audit"}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1365__FDSAUDITLINK__" localSheetId="20" hidden="1">{"fdsup://Directions/FactSet Auditing Viewer?action=AUDIT_VALUE&amp;DB=129&amp;ID1=16890510&amp;VALUEID=13040&amp;SDATE=200701&amp;PERIODTYPE=QTR_STD&amp;window=popup_no_bar&amp;width=385&amp;height=120&amp;START_MAXIMIZED=FALSE&amp;creator=factset&amp;display_string=Audit"}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1366__FDSAUDITLINK__" localSheetId="20" hidden="1">{"fdsup://Directions/FactSet Auditing Viewer?action=AUDIT_VALUE&amp;DB=129&amp;ID1=16890510&amp;VALUEID=13040&amp;SDATE=200703&amp;PERIODTYPE=QTR_STD&amp;window=popup_no_bar&amp;width=385&amp;height=120&amp;START_MAXIMIZED=FALSE&amp;creator=factset&amp;display_string=Audit"}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1367__FDSAUDITLINK__" localSheetId="20" hidden="1">{"fdsup://Directions/FactSet Auditing Viewer?action=AUDIT_VALUE&amp;DB=129&amp;ID1=16890510&amp;VALUEID=13040&amp;SDATE=200802&amp;PERIODTYPE=QTR_STD&amp;window=popup_no_bar&amp;width=385&amp;height=120&amp;START_MAXIMIZED=FALSE&amp;creator=factset&amp;display_string=Audit"}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1368__FDSAUDITLINK__" localSheetId="20" hidden="1">{"fdsup://Directions/FactSet Auditing Viewer?action=AUDIT_VALUE&amp;DB=129&amp;ID1=16890510&amp;VALUEID=13040&amp;SDATE=200801&amp;PERIODTYPE=QTR_STD&amp;window=popup_no_bar&amp;width=385&amp;height=120&amp;START_MAXIMIZED=FALSE&amp;creator=factset&amp;display_string=Audit"}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1369__FDSAUDITLINK__" localSheetId="20" hidden="1">{"fdsup://Directions/FactSet Auditing Viewer?action=AUDIT_VALUE&amp;DB=129&amp;ID1=16890510&amp;VALUEID=13040&amp;SDATE=200803&amp;PERIODTYPE=QTR_STD&amp;window=popup_no_bar&amp;width=385&amp;height=120&amp;START_MAXIMIZED=FALSE&amp;creator=factset&amp;display_string=Audit"}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137__FDSAUDITLINK__" localSheetId="20" hidden="1">{"fdsup://Directions/FactSet Auditing Viewer?action=AUDIT_VALUE&amp;DB=129&amp;ID1=87416110&amp;VALUEID=01001&amp;SDATE=200802&amp;PERIODTYPE=QTR_STD&amp;window=popup_no_bar&amp;width=385&amp;height=120&amp;START_MAXIMIZED=FALSE&amp;creator=factset&amp;display_string=Audit"}</definedName>
    <definedName name="_137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370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1370__FDSAUDITLINK__" localSheetId="20" hidden="1">{"fdsup://Directions/FactSet Auditing Viewer?action=AUDIT_VALUE&amp;DB=129&amp;ID1=16890510&amp;VALUEID=13040&amp;SDATE=200902&amp;PERIODTYPE=QTR_STD&amp;window=popup_no_bar&amp;width=385&amp;height=120&amp;START_MAXIMIZED=FALSE&amp;creator=factset&amp;display_string=Audit"}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1371__FDSAUDITLINK__" localSheetId="20" hidden="1">{"fdsup://Directions/FactSet Auditing Viewer?action=AUDIT_VALUE&amp;DB=129&amp;ID1=16890510&amp;VALUEID=13040&amp;SDATE=200903&amp;PERIODTYPE=QTR_STD&amp;window=popup_no_bar&amp;width=385&amp;height=120&amp;START_MAXIMIZED=FALSE&amp;creator=factset&amp;display_string=Audit"}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1372__FDSAUDITLINK__" localSheetId="20" hidden="1">{"fdsup://Directions/FactSet Auditing Viewer?action=AUDIT_VALUE&amp;DB=129&amp;ID1=16890510&amp;VALUEID=13040&amp;SDATE=201001&amp;PERIODTYPE=QTR_STD&amp;window=popup_no_bar&amp;width=385&amp;height=120&amp;START_MAXIMIZED=FALSE&amp;creator=factset&amp;display_string=Audit"}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1373__FDSAUDITLINK__" localSheetId="20" hidden="1">{"fdsup://Directions/FactSet Auditing Viewer?action=AUDIT_VALUE&amp;DB=129&amp;ID1=87416110&amp;VALUEID=01001&amp;SDATE=201001&amp;PERIODTYPE=QTR_STD&amp;window=popup_no_bar&amp;width=385&amp;height=120&amp;START_MAXIMIZED=FALSE&amp;creator=factset&amp;display_string=Audit"}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1374__FDSAUDITLINK__" localSheetId="20" hidden="1">{"fdsup://Directions/FactSet Auditing Viewer?action=AUDIT_VALUE&amp;DB=129&amp;ID1=46612H40&amp;VALUEID=01001&amp;SDATE=201001&amp;PERIODTYPE=QTR_STD&amp;window=popup_no_bar&amp;width=385&amp;height=120&amp;START_MAXIMIZED=FALSE&amp;creator=factset&amp;display_string=Audit"}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1375__FDSAUDITLINK__" localSheetId="20" hidden="1">{"fdsup://Directions/FactSet Auditing Viewer?action=AUDIT_VALUE&amp;DB=129&amp;ID1=03611510&amp;VALUEID=01001&amp;SDATE=201001&amp;PERIODTYPE=QTR_STD&amp;window=popup_no_bar&amp;width=385&amp;height=120&amp;START_MAXIMIZED=FALSE&amp;creator=factset&amp;display_string=Audit"}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1376__FDSAUDITLINK__" localSheetId="20" hidden="1">{"fdsup://Directions/FactSet Auditing Viewer?action=AUDIT_VALUE&amp;DB=129&amp;ID1=16890510&amp;VALUEID=01001&amp;SDATE=201001&amp;PERIODTYPE=QTR_STD&amp;window=popup_no_bar&amp;width=385&amp;height=120&amp;START_MAXIMIZED=FALSE&amp;creator=factset&amp;display_string=Audit"}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1377__FDSAUDITLINK__" localSheetId="20" hidden="1">{"fdsup://Directions/FactSet Auditing Viewer?action=AUDIT_VALUE&amp;DB=129&amp;ID1=91704710&amp;VALUEID=01001&amp;SDATE=201001&amp;PERIODTYPE=QTR_STD&amp;window=popup_no_bar&amp;width=385&amp;height=120&amp;START_MAXIMIZED=FALSE&amp;creator=factset&amp;display_string=Audit"}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1378__FDSAUDITLINK__" localSheetId="20" hidden="1">{"fdsup://Directions/FactSet Auditing Viewer?action=AUDIT_VALUE&amp;DB=129&amp;ID1=02553E10&amp;VALUEID=01001&amp;SDATE=201001&amp;PERIODTYPE=QTR_STD&amp;window=popup_no_bar&amp;width=385&amp;height=120&amp;START_MAXIMIZED=FALSE&amp;creator=factset&amp;display_string=Audit"}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1379__FDSAUDITLINK__" localSheetId="20" hidden="1">{"fdsup://Directions/FactSet Auditing Viewer?action=AUDIT_VALUE&amp;DB=129&amp;ID1=00786510&amp;VALUEID=01001&amp;SDATE=201001&amp;PERIODTYPE=QTR_STD&amp;window=popup_no_bar&amp;width=385&amp;height=120&amp;START_MAXIMIZED=FALSE&amp;creator=factset&amp;display_string=Audit"}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138__FDSAUDITLINK__" localSheetId="20" hidden="1">{"fdsup://Directions/FactSet Auditing Viewer?action=AUDIT_VALUE&amp;DB=129&amp;ID1=53271610&amp;VALUEID=02101&amp;SDATE=200802&amp;PERIODTYPE=QTR_STD&amp;window=popup_no_bar&amp;width=385&amp;height=120&amp;START_MAXIMIZED=FALSE&amp;creator=factset&amp;display_string=Audit"}</definedName>
    <definedName name="_138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380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1380__FDSAUDITLINK__" localSheetId="20" hidden="1">{"fdsup://Directions/FactSet Auditing Viewer?action=AUDIT_VALUE&amp;DB=129&amp;ID1=00289620&amp;VALUEID=01001&amp;SDATE=201001&amp;PERIODTYPE=QTR_STD&amp;window=popup_no_bar&amp;width=385&amp;height=120&amp;START_MAXIMIZED=FALSE&amp;creator=factset&amp;display_string=Audit"}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1381__FDSAUDITLINK__" localSheetId="20" hidden="1">{"fdsup://Directions/FactSet Auditing Viewer?action=AUDIT_VALUE&amp;DB=129&amp;ID1=53271610&amp;VALUEID=01001&amp;SDATE=201001&amp;PERIODTYPE=QTR_STD&amp;window=popup_no_bar&amp;width=385&amp;height=120&amp;START_MAXIMIZED=FALSE&amp;creator=factset&amp;display_string=Audit"}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1382__FDSAUDITLINK__" localSheetId="20" hidden="1">{"fdsup://Directions/FactSet Auditing Viewer?action=AUDIT_VALUE&amp;DB=129&amp;ID1=36476010&amp;VALUEID=01001&amp;SDATE=201001&amp;PERIODTYPE=QTR_STD&amp;window=popup_no_bar&amp;width=385&amp;height=120&amp;START_MAXIMIZED=FALSE&amp;creator=factset&amp;display_string=Audit"}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localSheetId="1" hidden="1">{"fdsup://Directions/FactSet Auditing Viewer?action=AUDIT_VALUE&amp;DB=129&amp;ID1=40377710&amp;VALUEID=01001&amp;SDATE=200601&amp;PERIODTYPE=QTR_STD&amp;window=popup_no_bar&amp;width=385&amp;height=120&amp;START_MAXIMIZED=FALSE&amp;creator=factset&amp;display_string=Audit"}</definedName>
    <definedName name="_1383__FDSAUDITLINK__" localSheetId="20" hidden="1">{"fdsup://Directions/FactSet Auditing Viewer?action=AUDIT_VALUE&amp;DB=129&amp;ID1=40377710&amp;VALUEID=01001&amp;SDATE=200601&amp;PERIODTYPE=QTR_STD&amp;window=popup_no_bar&amp;width=385&amp;height=120&amp;START_MAXIMIZED=FALSE&amp;creator=factset&amp;display_string=Audit"}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localSheetId="1" hidden="1">{"fdsup://Directions/FactSet Auditing Viewer?action=AUDIT_VALUE&amp;DB=129&amp;ID1=40377710&amp;VALUEID=02101&amp;SDATE=200601&amp;PERIODTYPE=QTR_STD&amp;window=popup_no_bar&amp;width=385&amp;height=120&amp;START_MAXIMIZED=FALSE&amp;creator=factset&amp;display_string=Audit"}</definedName>
    <definedName name="_1384__FDSAUDITLINK__" localSheetId="20" hidden="1">{"fdsup://Directions/FactSet Auditing Viewer?action=AUDIT_VALUE&amp;DB=129&amp;ID1=40377710&amp;VALUEID=02101&amp;SDATE=200601&amp;PERIODTYPE=QTR_STD&amp;window=popup_no_bar&amp;width=385&amp;height=120&amp;START_MAXIMIZED=FALSE&amp;creator=factset&amp;display_string=Audit"}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localSheetId="1" hidden="1">{"fdsup://Directions/FactSet Auditing Viewer?action=AUDIT_VALUE&amp;DB=129&amp;ID1=40377710&amp;VALUEID=01001&amp;SDATE=200602&amp;PERIODTYPE=QTR_STD&amp;window=popup_no_bar&amp;width=385&amp;height=120&amp;START_MAXIMIZED=FALSE&amp;creator=factset&amp;display_string=Audit"}</definedName>
    <definedName name="_1385__FDSAUDITLINK__" localSheetId="20" hidden="1">{"fdsup://Directions/FactSet Auditing Viewer?action=AUDIT_VALUE&amp;DB=129&amp;ID1=40377710&amp;VALUEID=01001&amp;SDATE=200602&amp;PERIODTYPE=QTR_STD&amp;window=popup_no_bar&amp;width=385&amp;height=120&amp;START_MAXIMIZED=FALSE&amp;creator=factset&amp;display_string=Audit"}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localSheetId="1" hidden="1">{"fdsup://Directions/FactSet Auditing Viewer?action=AUDIT_VALUE&amp;DB=129&amp;ID1=40377710&amp;VALUEID=02101&amp;SDATE=200602&amp;PERIODTYPE=QTR_STD&amp;window=popup_no_bar&amp;width=385&amp;height=120&amp;START_MAXIMIZED=FALSE&amp;creator=factset&amp;display_string=Audit"}</definedName>
    <definedName name="_1386__FDSAUDITLINK__" localSheetId="20" hidden="1">{"fdsup://Directions/FactSet Auditing Viewer?action=AUDIT_VALUE&amp;DB=129&amp;ID1=40377710&amp;VALUEID=02101&amp;SDATE=200602&amp;PERIODTYPE=QTR_STD&amp;window=popup_no_bar&amp;width=385&amp;height=120&amp;START_MAXIMIZED=FALSE&amp;creator=factset&amp;display_string=Audit"}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localSheetId="1" hidden="1">{"fdsup://Directions/FactSet Auditing Viewer?action=AUDIT_VALUE&amp;DB=129&amp;ID1=40377710&amp;VALUEID=01001&amp;SDATE=200603&amp;PERIODTYPE=QTR_STD&amp;window=popup_no_bar&amp;width=385&amp;height=120&amp;START_MAXIMIZED=FALSE&amp;creator=factset&amp;display_string=Audit"}</definedName>
    <definedName name="_1387__FDSAUDITLINK__" localSheetId="20" hidden="1">{"fdsup://Directions/FactSet Auditing Viewer?action=AUDIT_VALUE&amp;DB=129&amp;ID1=40377710&amp;VALUEID=01001&amp;SDATE=200603&amp;PERIODTYPE=QTR_STD&amp;window=popup_no_bar&amp;width=385&amp;height=120&amp;START_MAXIMIZED=FALSE&amp;creator=factset&amp;display_string=Audit"}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localSheetId="1" hidden="1">{"fdsup://Directions/FactSet Auditing Viewer?action=AUDIT_VALUE&amp;DB=129&amp;ID1=40377710&amp;VALUEID=02101&amp;SDATE=200603&amp;PERIODTYPE=QTR_STD&amp;window=popup_no_bar&amp;width=385&amp;height=120&amp;START_MAXIMIZED=FALSE&amp;creator=factset&amp;display_string=Audit"}</definedName>
    <definedName name="_1388__FDSAUDITLINK__" localSheetId="20" hidden="1">{"fdsup://Directions/FactSet Auditing Viewer?action=AUDIT_VALUE&amp;DB=129&amp;ID1=40377710&amp;VALUEID=02101&amp;SDATE=200603&amp;PERIODTYPE=QTR_STD&amp;window=popup_no_bar&amp;width=385&amp;height=120&amp;START_MAXIMIZED=FALSE&amp;creator=factset&amp;display_string=Audit"}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localSheetId="1" hidden="1">{"fdsup://Directions/FactSet Auditing Viewer?action=AUDIT_VALUE&amp;DB=129&amp;ID1=40377710&amp;VALUEID=01001&amp;SDATE=200604&amp;PERIODTYPE=QTR_STD&amp;window=popup_no_bar&amp;width=385&amp;height=120&amp;START_MAXIMIZED=FALSE&amp;creator=factset&amp;display_string=Audit"}</definedName>
    <definedName name="_1389__FDSAUDITLINK__" localSheetId="20" hidden="1">{"fdsup://Directions/FactSet Auditing Viewer?action=AUDIT_VALUE&amp;DB=129&amp;ID1=40377710&amp;VALUEID=01001&amp;SDATE=200604&amp;PERIODTYPE=QTR_STD&amp;window=popup_no_bar&amp;width=385&amp;height=120&amp;START_MAXIMIZED=FALSE&amp;creator=factset&amp;display_string=Audit"}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139__FDSAUDITLINK__" localSheetId="20" hidden="1">{"fdsup://Directions/FactSet Auditing Viewer?action=AUDIT_VALUE&amp;DB=129&amp;ID1=53271610&amp;VALUEID=01001&amp;SDATE=200802&amp;PERIODTYPE=QTR_STD&amp;window=popup_no_bar&amp;width=385&amp;height=120&amp;START_MAXIMIZED=FALSE&amp;creator=factset&amp;display_string=Audit"}</definedName>
    <definedName name="_139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390__FDSAUDITLINK__" localSheetId="1" hidden="1">{"fdsup://Directions/FactSet Auditing Viewer?action=AUDIT_VALUE&amp;DB=129&amp;ID1=40377710&amp;VALUEID=01001&amp;SDATE=200701&amp;PERIODTYPE=QTR_STD&amp;window=popup_no_bar&amp;width=385&amp;height=120&amp;START_MAXIMIZED=FALSE&amp;creator=factset&amp;display_string=Audit"}</definedName>
    <definedName name="_1390__FDSAUDITLINK__" localSheetId="20" hidden="1">{"fdsup://Directions/FactSet Auditing Viewer?action=AUDIT_VALUE&amp;DB=129&amp;ID1=40377710&amp;VALUEID=01001&amp;SDATE=200701&amp;PERIODTYPE=QTR_STD&amp;window=popup_no_bar&amp;width=385&amp;height=120&amp;START_MAXIMIZED=FALSE&amp;creator=factset&amp;display_string=Audit"}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localSheetId="1" hidden="1">{"fdsup://Directions/FactSet Auditing Viewer?action=AUDIT_VALUE&amp;DB=129&amp;ID1=40377710&amp;VALUEID=02101&amp;SDATE=200701&amp;PERIODTYPE=QTR_STD&amp;window=popup_no_bar&amp;width=385&amp;height=120&amp;START_MAXIMIZED=FALSE&amp;creator=factset&amp;display_string=Audit"}</definedName>
    <definedName name="_1391__FDSAUDITLINK__" localSheetId="20" hidden="1">{"fdsup://Directions/FactSet Auditing Viewer?action=AUDIT_VALUE&amp;DB=129&amp;ID1=40377710&amp;VALUEID=02101&amp;SDATE=200701&amp;PERIODTYPE=QTR_STD&amp;window=popup_no_bar&amp;width=385&amp;height=120&amp;START_MAXIMIZED=FALSE&amp;creator=factset&amp;display_string=Audit"}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localSheetId="1" hidden="1">{"fdsup://Directions/FactSet Auditing Viewer?action=AUDIT_VALUE&amp;DB=129&amp;ID1=40377710&amp;VALUEID=01001&amp;SDATE=200702&amp;PERIODTYPE=QTR_STD&amp;window=popup_no_bar&amp;width=385&amp;height=120&amp;START_MAXIMIZED=FALSE&amp;creator=factset&amp;display_string=Audit"}</definedName>
    <definedName name="_1392__FDSAUDITLINK__" localSheetId="20" hidden="1">{"fdsup://Directions/FactSet Auditing Viewer?action=AUDIT_VALUE&amp;DB=129&amp;ID1=40377710&amp;VALUEID=01001&amp;SDATE=200702&amp;PERIODTYPE=QTR_STD&amp;window=popup_no_bar&amp;width=385&amp;height=120&amp;START_MAXIMIZED=FALSE&amp;creator=factset&amp;display_string=Audit"}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localSheetId="1" hidden="1">{"fdsup://Directions/FactSet Auditing Viewer?action=AUDIT_VALUE&amp;DB=129&amp;ID1=40377710&amp;VALUEID=02101&amp;SDATE=200702&amp;PERIODTYPE=QTR_STD&amp;window=popup_no_bar&amp;width=385&amp;height=120&amp;START_MAXIMIZED=FALSE&amp;creator=factset&amp;display_string=Audit"}</definedName>
    <definedName name="_1393__FDSAUDITLINK__" localSheetId="20" hidden="1">{"fdsup://Directions/FactSet Auditing Viewer?action=AUDIT_VALUE&amp;DB=129&amp;ID1=40377710&amp;VALUEID=02101&amp;SDATE=200702&amp;PERIODTYPE=QTR_STD&amp;window=popup_no_bar&amp;width=385&amp;height=120&amp;START_MAXIMIZED=FALSE&amp;creator=factset&amp;display_string=Audit"}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localSheetId="1" hidden="1">{"fdsup://Directions/FactSet Auditing Viewer?action=AUDIT_VALUE&amp;DB=129&amp;ID1=40377710&amp;VALUEID=01001&amp;SDATE=200703&amp;PERIODTYPE=QTR_STD&amp;window=popup_no_bar&amp;width=385&amp;height=120&amp;START_MAXIMIZED=FALSE&amp;creator=factset&amp;display_string=Audit"}</definedName>
    <definedName name="_1394__FDSAUDITLINK__" localSheetId="20" hidden="1">{"fdsup://Directions/FactSet Auditing Viewer?action=AUDIT_VALUE&amp;DB=129&amp;ID1=40377710&amp;VALUEID=01001&amp;SDATE=200703&amp;PERIODTYPE=QTR_STD&amp;window=popup_no_bar&amp;width=385&amp;height=120&amp;START_MAXIMIZED=FALSE&amp;creator=factset&amp;display_string=Audit"}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localSheetId="1" hidden="1">{"fdsup://Directions/FactSet Auditing Viewer?action=AUDIT_VALUE&amp;DB=129&amp;ID1=40377710&amp;VALUEID=02101&amp;SDATE=200703&amp;PERIODTYPE=QTR_STD&amp;window=popup_no_bar&amp;width=385&amp;height=120&amp;START_MAXIMIZED=FALSE&amp;creator=factset&amp;display_string=Audit"}</definedName>
    <definedName name="_1395__FDSAUDITLINK__" localSheetId="20" hidden="1">{"fdsup://Directions/FactSet Auditing Viewer?action=AUDIT_VALUE&amp;DB=129&amp;ID1=40377710&amp;VALUEID=02101&amp;SDATE=200703&amp;PERIODTYPE=QTR_STD&amp;window=popup_no_bar&amp;width=385&amp;height=120&amp;START_MAXIMIZED=FALSE&amp;creator=factset&amp;display_string=Audit"}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localSheetId="1" hidden="1">{"fdsup://Directions/FactSet Auditing Viewer?action=AUDIT_VALUE&amp;DB=129&amp;ID1=40377710&amp;VALUEID=01001&amp;SDATE=200704&amp;PERIODTYPE=QTR_STD&amp;window=popup_no_bar&amp;width=385&amp;height=120&amp;START_MAXIMIZED=FALSE&amp;creator=factset&amp;display_string=Audit"}</definedName>
    <definedName name="_1396__FDSAUDITLINK__" localSheetId="20" hidden="1">{"fdsup://Directions/FactSet Auditing Viewer?action=AUDIT_VALUE&amp;DB=129&amp;ID1=40377710&amp;VALUEID=01001&amp;SDATE=200704&amp;PERIODTYPE=QTR_STD&amp;window=popup_no_bar&amp;width=385&amp;height=120&amp;START_MAXIMIZED=FALSE&amp;creator=factset&amp;display_string=Audit"}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localSheetId="1" hidden="1">{"fdsup://Directions/FactSet Auditing Viewer?action=AUDIT_VALUE&amp;DB=129&amp;ID1=40377710&amp;VALUEID=01001&amp;SDATE=200801&amp;PERIODTYPE=QTR_STD&amp;window=popup_no_bar&amp;width=385&amp;height=120&amp;START_MAXIMIZED=FALSE&amp;creator=factset&amp;display_string=Audit"}</definedName>
    <definedName name="_1397__FDSAUDITLINK__" localSheetId="20" hidden="1">{"fdsup://Directions/FactSet Auditing Viewer?action=AUDIT_VALUE&amp;DB=129&amp;ID1=40377710&amp;VALUEID=01001&amp;SDATE=200801&amp;PERIODTYPE=QTR_STD&amp;window=popup_no_bar&amp;width=385&amp;height=120&amp;START_MAXIMIZED=FALSE&amp;creator=factset&amp;display_string=Audit"}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localSheetId="1" hidden="1">{"fdsup://Directions/FactSet Auditing Viewer?action=AUDIT_VALUE&amp;DB=129&amp;ID1=40377710&amp;VALUEID=02101&amp;SDATE=200801&amp;PERIODTYPE=QTR_STD&amp;window=popup_no_bar&amp;width=385&amp;height=120&amp;START_MAXIMIZED=FALSE&amp;creator=factset&amp;display_string=Audit"}</definedName>
    <definedName name="_1398__FDSAUDITLINK__" localSheetId="20" hidden="1">{"fdsup://Directions/FactSet Auditing Viewer?action=AUDIT_VALUE&amp;DB=129&amp;ID1=40377710&amp;VALUEID=02101&amp;SDATE=200801&amp;PERIODTYPE=QTR_STD&amp;window=popup_no_bar&amp;width=385&amp;height=120&amp;START_MAXIMIZED=FALSE&amp;creator=factset&amp;display_string=Audit"}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localSheetId="1" hidden="1">{"fdsup://Directions/FactSet Auditing Viewer?action=AUDIT_VALUE&amp;DB=129&amp;ID1=40377710&amp;VALUEID=01001&amp;SDATE=200802&amp;PERIODTYPE=QTR_STD&amp;window=popup_no_bar&amp;width=385&amp;height=120&amp;START_MAXIMIZED=FALSE&amp;creator=factset&amp;display_string=Audit"}</definedName>
    <definedName name="_1399__FDSAUDITLINK__" localSheetId="20" hidden="1">{"fdsup://Directions/FactSet Auditing Viewer?action=AUDIT_VALUE&amp;DB=129&amp;ID1=40377710&amp;VALUEID=01001&amp;SDATE=200802&amp;PERIODTYPE=QTR_STD&amp;window=popup_no_bar&amp;width=385&amp;height=120&amp;START_MAXIMIZED=FALSE&amp;creator=factset&amp;display_string=Audit"}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FDSAUDITLINK__" localSheetId="1" hidden="1">{"fdsup://directions/FAT Viewer?action=UPDATE&amp;creator=factset&amp;DYN_ARGS=TRUE&amp;DOC_NAME=FAT:FQL_AUDITING_CLIENT_TEMPLATE.FAT&amp;display_string=Audit&amp;VAR:KEY=IVMLQFWTOD&amp;VAR:QUERY=RkZfRU5UUlBSX1ZBTF9FQklUREFfT1BFUihBTk4sMCk=&amp;WINDOW=FIRST_POPUP&amp;HEIGHT=450&amp;WIDTH=450&amp;","START_MAXIMIZED=FALSE&amp;VAR:CALENDAR=FIVEDAY&amp;VAR:SYMBOL=DBRN&amp;VAR:INDEX=0"}</definedName>
    <definedName name="_14__FDSAUDITLINK__" localSheetId="20" hidden="1">{"fdsup://Directions/FactSet Auditing Viewer?action=AUDIT_VALUE&amp;DB=129&amp;ID1=91704710&amp;VALUEID=13040&amp;SDATE=201001&amp;PERIODTYPE=QTR_STD&amp;window=popup_no_bar&amp;width=385&amp;height=120&amp;START_MAXIMIZED=FALSE&amp;creator=factset&amp;display_string=Audit"}</definedName>
    <definedName name="_14__FDSAUDITLINK__" hidden="1">{"fdsup://directions/FAT Viewer?action=UPDATE&amp;creator=factset&amp;DYN_ARGS=TRUE&amp;DOC_NAME=FAT:FQL_AUDITING_CLIENT_TEMPLATE.FAT&amp;display_string=Audit&amp;VAR:KEY=IVMLQFWTOD&amp;VAR:QUERY=RkZfRU5UUlBSX1ZBTF9FQklUREFfT1BFUihBTk4sMCk=&amp;WINDOW=FIRST_POPUP&amp;HEIGHT=450&amp;WIDTH=450&amp;","START_MAXIMIZED=FALSE&amp;VAR:CALENDAR=FIVEDAY&amp;VAR:SYMBOL=DBRN&amp;VAR:INDEX=0"}</definedName>
    <definedName name="_140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140__FDSAUDITLINK__" localSheetId="20" hidden="1">{"fdsup://Directions/FactSet Auditing Viewer?action=AUDIT_VALUE&amp;DB=129&amp;ID1=53271610&amp;VALUEID=13040&amp;SDATE=200802&amp;PERIODTYPE=QTR_STD&amp;window=popup_no_bar&amp;width=385&amp;height=120&amp;START_MAXIMIZED=FALSE&amp;creator=factset&amp;display_string=Audit"}</definedName>
    <definedName name="_140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400__FDSAUDITLINK__" localSheetId="1" hidden="1">{"fdsup://Directions/FactSet Auditing Viewer?action=AUDIT_VALUE&amp;DB=129&amp;ID1=40377710&amp;VALUEID=02101&amp;SDATE=200802&amp;PERIODTYPE=QTR_STD&amp;window=popup_no_bar&amp;width=385&amp;height=120&amp;START_MAXIMIZED=FALSE&amp;creator=factset&amp;display_string=Audit"}</definedName>
    <definedName name="_1400__FDSAUDITLINK__" localSheetId="20" hidden="1">{"fdsup://Directions/FactSet Auditing Viewer?action=AUDIT_VALUE&amp;DB=129&amp;ID1=40377710&amp;VALUEID=02101&amp;SDATE=200802&amp;PERIODTYPE=QTR_STD&amp;window=popup_no_bar&amp;width=385&amp;height=120&amp;START_MAXIMIZED=FALSE&amp;creator=factset&amp;display_string=Audit"}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localSheetId="1" hidden="1">{"fdsup://Directions/FactSet Auditing Viewer?action=AUDIT_VALUE&amp;DB=129&amp;ID1=40377710&amp;VALUEID=01001&amp;SDATE=200803&amp;PERIODTYPE=QTR_STD&amp;window=popup_no_bar&amp;width=385&amp;height=120&amp;START_MAXIMIZED=FALSE&amp;creator=factset&amp;display_string=Audit"}</definedName>
    <definedName name="_1401__FDSAUDITLINK__" localSheetId="20" hidden="1">{"fdsup://Directions/FactSet Auditing Viewer?action=AUDIT_VALUE&amp;DB=129&amp;ID1=40377710&amp;VALUEID=01001&amp;SDATE=200803&amp;PERIODTYPE=QTR_STD&amp;window=popup_no_bar&amp;width=385&amp;height=120&amp;START_MAXIMIZED=FALSE&amp;creator=factset&amp;display_string=Audit"}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localSheetId="1" hidden="1">{"fdsup://Directions/FactSet Auditing Viewer?action=AUDIT_VALUE&amp;DB=129&amp;ID1=40377710&amp;VALUEID=02101&amp;SDATE=200803&amp;PERIODTYPE=QTR_STD&amp;window=popup_no_bar&amp;width=385&amp;height=120&amp;START_MAXIMIZED=FALSE&amp;creator=factset&amp;display_string=Audit"}</definedName>
    <definedName name="_1402__FDSAUDITLINK__" localSheetId="20" hidden="1">{"fdsup://Directions/FactSet Auditing Viewer?action=AUDIT_VALUE&amp;DB=129&amp;ID1=40377710&amp;VALUEID=02101&amp;SDATE=200803&amp;PERIODTYPE=QTR_STD&amp;window=popup_no_bar&amp;width=385&amp;height=120&amp;START_MAXIMIZED=FALSE&amp;creator=factset&amp;display_string=Audit"}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localSheetId="1" hidden="1">{"fdsup://Directions/FactSet Auditing Viewer?action=AUDIT_VALUE&amp;DB=129&amp;ID1=40377710&amp;VALUEID=01001&amp;SDATE=200804&amp;PERIODTYPE=QTR_STD&amp;window=popup_no_bar&amp;width=385&amp;height=120&amp;START_MAXIMIZED=FALSE&amp;creator=factset&amp;display_string=Audit"}</definedName>
    <definedName name="_1403__FDSAUDITLINK__" localSheetId="20" hidden="1">{"fdsup://Directions/FactSet Auditing Viewer?action=AUDIT_VALUE&amp;DB=129&amp;ID1=40377710&amp;VALUEID=01001&amp;SDATE=200804&amp;PERIODTYPE=QTR_STD&amp;window=popup_no_bar&amp;width=385&amp;height=120&amp;START_MAXIMIZED=FALSE&amp;creator=factset&amp;display_string=Audit"}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localSheetId="1" hidden="1">{"fdsup://Directions/FactSet Auditing Viewer?action=AUDIT_VALUE&amp;DB=129&amp;ID1=40377710&amp;VALUEID=01001&amp;SDATE=200901&amp;PERIODTYPE=QTR_STD&amp;window=popup_no_bar&amp;width=385&amp;height=120&amp;START_MAXIMIZED=FALSE&amp;creator=factset&amp;display_string=Audit"}</definedName>
    <definedName name="_1404__FDSAUDITLINK__" localSheetId="20" hidden="1">{"fdsup://Directions/FactSet Auditing Viewer?action=AUDIT_VALUE&amp;DB=129&amp;ID1=40377710&amp;VALUEID=01001&amp;SDATE=200901&amp;PERIODTYPE=QTR_STD&amp;window=popup_no_bar&amp;width=385&amp;height=120&amp;START_MAXIMIZED=FALSE&amp;creator=factset&amp;display_string=Audit"}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localSheetId="1" hidden="1">{"fdsup://Directions/FactSet Auditing Viewer?action=AUDIT_VALUE&amp;DB=129&amp;ID1=40377710&amp;VALUEID=02101&amp;SDATE=200901&amp;PERIODTYPE=QTR_STD&amp;window=popup_no_bar&amp;width=385&amp;height=120&amp;START_MAXIMIZED=FALSE&amp;creator=factset&amp;display_string=Audit"}</definedName>
    <definedName name="_1405__FDSAUDITLINK__" localSheetId="20" hidden="1">{"fdsup://Directions/FactSet Auditing Viewer?action=AUDIT_VALUE&amp;DB=129&amp;ID1=40377710&amp;VALUEID=02101&amp;SDATE=200901&amp;PERIODTYPE=QTR_STD&amp;window=popup_no_bar&amp;width=385&amp;height=120&amp;START_MAXIMIZED=FALSE&amp;creator=factset&amp;display_string=Audit"}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localSheetId="1" hidden="1">{"fdsup://Directions/FactSet Auditing Viewer?action=AUDIT_VALUE&amp;DB=129&amp;ID1=40377710&amp;VALUEID=01001&amp;SDATE=200902&amp;PERIODTYPE=QTR_STD&amp;window=popup_no_bar&amp;width=385&amp;height=120&amp;START_MAXIMIZED=FALSE&amp;creator=factset&amp;display_string=Audit"}</definedName>
    <definedName name="_1406__FDSAUDITLINK__" localSheetId="20" hidden="1">{"fdsup://Directions/FactSet Auditing Viewer?action=AUDIT_VALUE&amp;DB=129&amp;ID1=40377710&amp;VALUEID=01001&amp;SDATE=200902&amp;PERIODTYPE=QTR_STD&amp;window=popup_no_bar&amp;width=385&amp;height=120&amp;START_MAXIMIZED=FALSE&amp;creator=factset&amp;display_string=Audit"}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localSheetId="1" hidden="1">{"fdsup://Directions/FactSet Auditing Viewer?action=AUDIT_VALUE&amp;DB=129&amp;ID1=40377710&amp;VALUEID=02101&amp;SDATE=200902&amp;PERIODTYPE=QTR_STD&amp;window=popup_no_bar&amp;width=385&amp;height=120&amp;START_MAXIMIZED=FALSE&amp;creator=factset&amp;display_string=Audit"}</definedName>
    <definedName name="_1407__FDSAUDITLINK__" localSheetId="20" hidden="1">{"fdsup://Directions/FactSet Auditing Viewer?action=AUDIT_VALUE&amp;DB=129&amp;ID1=40377710&amp;VALUEID=02101&amp;SDATE=200902&amp;PERIODTYPE=QTR_STD&amp;window=popup_no_bar&amp;width=385&amp;height=120&amp;START_MAXIMIZED=FALSE&amp;creator=factset&amp;display_string=Audit"}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localSheetId="1" hidden="1">{"fdsup://Directions/FactSet Auditing Viewer?action=AUDIT_VALUE&amp;DB=129&amp;ID1=40377710&amp;VALUEID=01001&amp;SDATE=200903&amp;PERIODTYPE=QTR_STD&amp;window=popup_no_bar&amp;width=385&amp;height=120&amp;START_MAXIMIZED=FALSE&amp;creator=factset&amp;display_string=Audit"}</definedName>
    <definedName name="_1408__FDSAUDITLINK__" localSheetId="20" hidden="1">{"fdsup://Directions/FactSet Auditing Viewer?action=AUDIT_VALUE&amp;DB=129&amp;ID1=40377710&amp;VALUEID=01001&amp;SDATE=200903&amp;PERIODTYPE=QTR_STD&amp;window=popup_no_bar&amp;width=385&amp;height=120&amp;START_MAXIMIZED=FALSE&amp;creator=factset&amp;display_string=Audit"}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localSheetId="1" hidden="1">{"fdsup://Directions/FactSet Auditing Viewer?action=AUDIT_VALUE&amp;DB=129&amp;ID1=40377710&amp;VALUEID=02101&amp;SDATE=200903&amp;PERIODTYPE=QTR_STD&amp;window=popup_no_bar&amp;width=385&amp;height=120&amp;START_MAXIMIZED=FALSE&amp;creator=factset&amp;display_string=Audit"}</definedName>
    <definedName name="_1409__FDSAUDITLINK__" localSheetId="20" hidden="1">{"fdsup://Directions/FactSet Auditing Viewer?action=AUDIT_VALUE&amp;DB=129&amp;ID1=40377710&amp;VALUEID=02101&amp;SDATE=200903&amp;PERIODTYPE=QTR_STD&amp;window=popup_no_bar&amp;width=385&amp;height=120&amp;START_MAXIMIZED=FALSE&amp;creator=factset&amp;display_string=Audit"}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141__FDSAUDITLINK__" localSheetId="20" hidden="1">{"fdsup://Directions/FactSet Auditing Viewer?action=AUDIT_VALUE&amp;DB=129&amp;ID1=46612H40&amp;VALUEID=02101&amp;SDATE=200802&amp;PERIODTYPE=QTR_STD&amp;window=popup_no_bar&amp;width=385&amp;height=120&amp;START_MAXIMIZED=FALSE&amp;creator=factset&amp;display_string=Audit"}</definedName>
    <definedName name="_141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410__FDSAUDITLINK__" localSheetId="1" hidden="1">{"fdsup://Directions/FactSet Auditing Viewer?action=AUDIT_VALUE&amp;DB=129&amp;ID1=40377710&amp;VALUEID=01001&amp;SDATE=200904&amp;PERIODTYPE=QTR_STD&amp;window=popup_no_bar&amp;width=385&amp;height=120&amp;START_MAXIMIZED=FALSE&amp;creator=factset&amp;display_string=Audit"}</definedName>
    <definedName name="_1410__FDSAUDITLINK__" localSheetId="20" hidden="1">{"fdsup://Directions/FactSet Auditing Viewer?action=AUDIT_VALUE&amp;DB=129&amp;ID1=40377710&amp;VALUEID=01001&amp;SDATE=200904&amp;PERIODTYPE=QTR_STD&amp;window=popup_no_bar&amp;width=385&amp;height=120&amp;START_MAXIMIZED=FALSE&amp;creator=factset&amp;display_string=Audit"}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localSheetId="1" hidden="1">{"fdsup://Directions/FactSet Auditing Viewer?action=AUDIT_VALUE&amp;DB=129&amp;ID1=40377710&amp;VALUEID=01001&amp;SDATE=201001&amp;PERIODTYPE=QTR_STD&amp;window=popup_no_bar&amp;width=385&amp;height=120&amp;START_MAXIMIZED=FALSE&amp;creator=factset&amp;display_string=Audit"}</definedName>
    <definedName name="_1411__FDSAUDITLINK__" localSheetId="20" hidden="1">{"fdsup://Directions/FactSet Auditing Viewer?action=AUDIT_VALUE&amp;DB=129&amp;ID1=40377710&amp;VALUEID=01001&amp;SDATE=201001&amp;PERIODTYPE=QTR_STD&amp;window=popup_no_bar&amp;width=385&amp;height=120&amp;START_MAXIMIZED=FALSE&amp;creator=factset&amp;display_string=Audit"}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localSheetId="1" hidden="1">{"fdsup://Directions/FactSet Auditing Viewer?action=AUDIT_VALUE&amp;DB=129&amp;ID1=40377710&amp;VALUEID=02101&amp;SDATE=201001&amp;PERIODTYPE=QTR_STD&amp;window=popup_no_bar&amp;width=385&amp;height=120&amp;START_MAXIMIZED=FALSE&amp;creator=factset&amp;display_string=Audit"}</definedName>
    <definedName name="_1412__FDSAUDITLINK__" localSheetId="20" hidden="1">{"fdsup://Directions/FactSet Auditing Viewer?action=AUDIT_VALUE&amp;DB=129&amp;ID1=40377710&amp;VALUEID=02101&amp;SDATE=201001&amp;PERIODTYPE=QTR_STD&amp;window=popup_no_bar&amp;width=385&amp;height=120&amp;START_MAXIMIZED=FALSE&amp;creator=factset&amp;display_string=Audit"}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localSheetId="1"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3__FDSAUDITLINK__" localSheetId="20"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localSheetId="1"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4__FDSAUDITLINK__" localSheetId="20"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localSheetId="1"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5__FDSAUDITLINK__" localSheetId="20"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localSheetId="1"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6__FDSAUDITLINK__" localSheetId="20"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localSheetId="1"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7__FDSAUDITLINK__" localSheetId="20"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localSheetId="1"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8__FDSAUDITLINK__" localSheetId="20"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localSheetId="1"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19__FDSAUDITLINK__" localSheetId="20"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142__FDSAUDITLINK__" localSheetId="20" hidden="1">{"fdsup://Directions/FactSet Auditing Viewer?action=AUDIT_VALUE&amp;DB=129&amp;ID1=46612H40&amp;VALUEID=01001&amp;SDATE=200802&amp;PERIODTYPE=QTR_STD&amp;window=popup_no_bar&amp;width=385&amp;height=120&amp;START_MAXIMIZED=FALSE&amp;creator=factset&amp;display_string=Audit"}</definedName>
    <definedName name="_142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420__FDSAUDITLINK__" localSheetId="1"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0__FDSAUDITLINK__" localSheetId="20"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localSheetId="1"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1__FDSAUDITLINK__" localSheetId="20"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localSheetId="1"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2__FDSAUDITLINK__" localSheetId="20"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localSheetId="1"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3__FDSAUDITLINK__" localSheetId="20"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localSheetId="1"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4__FDSAUDITLINK__" localSheetId="20"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localSheetId="1"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5__FDSAUDITLINK__" localSheetId="20"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localSheetId="1"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6__FDSAUDITLINK__" localSheetId="20"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localSheetId="1"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7__FDSAUDITLINK__" localSheetId="20"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localSheetId="1"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8__FDSAUDITLINK__" localSheetId="20"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localSheetId="1"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29__FDSAUDITLINK__" localSheetId="20"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143__FDSAUDITLINK__" localSheetId="20" hidden="1">{"fdsup://Directions/FactSet Auditing Viewer?action=AUDIT_VALUE&amp;DB=129&amp;ID1=46612H40&amp;VALUEID=13040&amp;SDATE=200802&amp;PERIODTYPE=QTR_STD&amp;window=popup_no_bar&amp;width=385&amp;height=120&amp;START_MAXIMIZED=FALSE&amp;creator=factset&amp;display_string=Audit"}</definedName>
    <definedName name="_143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430__FDSAUDITLINK__" localSheetId="1"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0__FDSAUDITLINK__" localSheetId="20"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localSheetId="1"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1__FDSAUDITLINK__" localSheetId="20"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localSheetId="1"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2__FDSAUDITLINK__" localSheetId="20"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localSheetId="1"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3__FDSAUDITLINK__" localSheetId="20"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localSheetId="1"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4__FDSAUDITLINK__" localSheetId="20"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localSheetId="1"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5__FDSAUDITLINK__" localSheetId="20"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localSheetId="1"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6__FDSAUDITLINK__" localSheetId="20"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localSheetId="1"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7__FDSAUDITLINK__" localSheetId="20"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localSheetId="1"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8__FDSAUDITLINK__" localSheetId="20"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localSheetId="1"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39__FDSAUDITLINK__" localSheetId="20"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144__FDSAUDITLINK__" localSheetId="20" hidden="1">{"fdsup://Directions/FactSet Auditing Viewer?action=AUDIT_VALUE&amp;DB=129&amp;ID1=36476010&amp;VALUEID=02101&amp;SDATE=200802&amp;PERIODTYPE=QTR_STD&amp;window=popup_no_bar&amp;width=385&amp;height=120&amp;START_MAXIMIZED=FALSE&amp;creator=factset&amp;display_string=Audit"}</definedName>
    <definedName name="_144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440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1440__FDSAUDITLINK__" localSheetId="20" hidden="1">{"fdsup://Directions/FactSet Auditing Viewer?action=AUDIT_VALUE&amp;DB=129&amp;ID1=40377710&amp;VALUEID=13040&amp;SDATE=200802&amp;PERIODTYPE=QTR_STD&amp;window=popup_no_bar&amp;width=385&amp;height=120&amp;START_MAXIMIZED=FALSE&amp;creator=factset&amp;display_string=Audit"}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localSheetId="1"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1__FDSAUDITLINK__" localSheetId="20"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1442__FDSAUDITLINK__" localSheetId="20" hidden="1">{"fdsup://Directions/FactSet Auditing Viewer?action=AUDIT_VALUE&amp;DB=129&amp;ID1=40377710&amp;VALUEID=13040&amp;SDATE=200803&amp;PERIODTYPE=QTR_STD&amp;window=popup_no_bar&amp;width=385&amp;height=120&amp;START_MAXIMIZED=FALSE&amp;creator=factset&amp;display_string=Audit"}</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localSheetId="1"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3__FDSAUDITLINK__" localSheetId="20"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localSheetId="1"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4__FDSAUDITLINK__" localSheetId="20"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1445__FDSAUDITLINK__" localSheetId="20" hidden="1">{"fdsup://Directions/FactSet Auditing Viewer?action=AUDIT_VALUE&amp;DB=129&amp;ID1=40377710&amp;VALUEID=13040&amp;SDATE=200901&amp;PERIODTYPE=QTR_STD&amp;window=popup_no_bar&amp;width=385&amp;height=120&amp;START_MAXIMIZED=FALSE&amp;creator=factset&amp;display_string=Audit"}</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localSheetId="1"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6__FDSAUDITLINK__" localSheetId="20"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1447__FDSAUDITLINK__" localSheetId="20" hidden="1">{"fdsup://Directions/FactSet Auditing Viewer?action=AUDIT_VALUE&amp;DB=129&amp;ID1=40377710&amp;VALUEID=13040&amp;SDATE=201001&amp;PERIODTYPE=QTR_STD&amp;window=popup_no_bar&amp;width=385&amp;height=120&amp;START_MAXIMIZED=FALSE&amp;creator=factset&amp;display_string=Audit"}</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1448__FDSAUDITLINK__" localSheetId="20" hidden="1">{"fdsup://Directions/FactSet Auditing Viewer?action=AUDIT_VALUE&amp;DB=129&amp;ID1=40377710&amp;VALUEID=13040&amp;SDATE=200602&amp;PERIODTYPE=QTR_STD&amp;window=popup_no_bar&amp;width=385&amp;height=120&amp;START_MAXIMIZED=FALSE&amp;creator=factset&amp;display_string=Audit"}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1449__FDSAUDITLINK__" localSheetId="20" hidden="1">{"fdsup://Directions/FactSet Auditing Viewer?action=AUDIT_VALUE&amp;DB=129&amp;ID1=40377710&amp;VALUEID=13040&amp;SDATE=200601&amp;PERIODTYPE=QTR_STD&amp;window=popup_no_bar&amp;width=385&amp;height=120&amp;START_MAXIMIZED=FALSE&amp;creator=factset&amp;display_string=Audit"}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145__FDSAUDITLINK__" localSheetId="20" hidden="1">{"fdsup://Directions/FactSet Auditing Viewer?action=AUDIT_VALUE&amp;DB=129&amp;ID1=36476010&amp;VALUEID=01001&amp;SDATE=200802&amp;PERIODTYPE=QTR_STD&amp;window=popup_no_bar&amp;width=385&amp;height=120&amp;START_MAXIMIZED=FALSE&amp;creator=factset&amp;display_string=Audit"}</definedName>
    <definedName name="_145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450__FDSAUDITLINK__" localSheetId="1"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0__FDSAUDITLINK__" localSheetId="20"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1451__FDSAUDITLINK__" localSheetId="20" hidden="1">{"fdsup://Directions/FactSet Auditing Viewer?action=AUDIT_VALUE&amp;DB=129&amp;ID1=40377710&amp;VALUEID=13040&amp;SDATE=200603&amp;PERIODTYPE=QTR_STD&amp;window=popup_no_bar&amp;width=385&amp;height=120&amp;START_MAXIMIZED=FALSE&amp;creator=factset&amp;display_string=Audit"}</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1452__FDSAUDITLINK__" localSheetId="20" hidden="1">{"fdsup://Directions/FactSet Auditing Viewer?action=AUDIT_VALUE&amp;DB=129&amp;ID1=40377710&amp;VALUEID=13040&amp;SDATE=200702&amp;PERIODTYPE=QTR_STD&amp;window=popup_no_bar&amp;width=385&amp;height=120&amp;START_MAXIMIZED=FALSE&amp;creator=factset&amp;display_string=Audit"}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1453__FDSAUDITLINK__" localSheetId="20" hidden="1">{"fdsup://Directions/FactSet Auditing Viewer?action=AUDIT_VALUE&amp;DB=129&amp;ID1=40377710&amp;VALUEID=13040&amp;SDATE=200701&amp;PERIODTYPE=QTR_STD&amp;window=popup_no_bar&amp;width=385&amp;height=120&amp;START_MAXIMIZED=FALSE&amp;creator=factset&amp;display_string=Audit"}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localSheetId="1"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4__FDSAUDITLINK__" localSheetId="20"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1455__FDSAUDITLINK__" localSheetId="20" hidden="1">{"fdsup://Directions/FactSet Auditing Viewer?action=AUDIT_VALUE&amp;DB=129&amp;ID1=40377710&amp;VALUEID=13040&amp;SDATE=200703&amp;PERIODTYPE=QTR_STD&amp;window=popup_no_bar&amp;width=385&amp;height=120&amp;START_MAXIMIZED=FALSE&amp;creator=factset&amp;display_string=Audit"}</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1456__FDSAUDITLINK__" localSheetId="20" hidden="1">{"fdsup://Directions/FactSet Auditing Viewer?action=AUDIT_VALUE&amp;DB=129&amp;ID1=40377710&amp;VALUEID=13040&amp;SDATE=200801&amp;PERIODTYPE=QTR_STD&amp;window=popup_no_bar&amp;width=385&amp;height=120&amp;START_MAXIMIZED=FALSE&amp;creator=factset&amp;display_string=Audit"}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1457__FDSAUDITLINK__" localSheetId="20" hidden="1">{"fdsup://Directions/FactSet Auditing Viewer?action=AUDIT_VALUE&amp;DB=129&amp;ID1=40377710&amp;VALUEID=13040&amp;SDATE=200704&amp;PERIODTYPE=QTR_STD&amp;window=popup_no_bar&amp;width=385&amp;height=120&amp;START_MAXIMIZED=FALSE&amp;creator=factset&amp;display_string=Audit"}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localSheetId="1"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8__FDSAUDITLINK__" localSheetId="20"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1459__FDSAUDITLINK__" localSheetId="20" hidden="1">{"fdsup://Directions/FactSet Auditing Viewer?action=AUDIT_VALUE&amp;DB=129&amp;ID1=40377710&amp;VALUEID=13040&amp;SDATE=200903&amp;PERIODTYPE=QTR_STD&amp;window=popup_no_bar&amp;width=385&amp;height=120&amp;START_MAXIMIZED=FALSE&amp;creator=factset&amp;display_string=Audit"}</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146__FDSAUDITLINK__" localSheetId="20" hidden="1">{"fdsup://Directions/FactSet Auditing Viewer?action=AUDIT_VALUE&amp;DB=129&amp;ID1=36476010&amp;VALUEID=13040&amp;SDATE=200802&amp;PERIODTYPE=QTR_STD&amp;window=popup_no_bar&amp;width=385&amp;height=120&amp;START_MAXIMIZED=FALSE&amp;creator=factset&amp;display_string=Audit"}</definedName>
    <definedName name="_146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460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1460__FDSAUDITLINK__" localSheetId="20" hidden="1">{"fdsup://Directions/FactSet Auditing Viewer?action=AUDIT_VALUE&amp;DB=129&amp;ID1=40377710&amp;VALUEID=13040&amp;SDATE=200902&amp;PERIODTYPE=QTR_STD&amp;window=popup_no_bar&amp;width=385&amp;height=120&amp;START_MAXIMIZED=FALSE&amp;creator=factset&amp;display_string=Audit"}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localSheetId="1" hidden="1">{"fdsup://Directions/FactSet Auditing Viewer?action=AUDIT_VALUE&amp;DB=129&amp;ID1=58711810&amp;VALUEID=13040&amp;SDATE=200601&amp;PERIODTYPE=QTR_STD&amp;window=popup_no_bar&amp;width=385&amp;height=120&amp;START_MAXIMIZED=FALSE&amp;creator=factset&amp;display_string=Audit"}</definedName>
    <definedName name="_1461__FDSAUDITLINK__" localSheetId="20" hidden="1">{"fdsup://Directions/FactSet Auditing Viewer?action=AUDIT_VALUE&amp;DB=129&amp;ID1=58711810&amp;VALUEID=13040&amp;SDATE=200601&amp;PERIODTYPE=QTR_STD&amp;window=popup_no_bar&amp;width=385&amp;height=120&amp;START_MAXIMIZED=FALSE&amp;creator=factset&amp;display_string=Audit"}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localSheetId="1" hidden="1">{"fdsup://Directions/FactSet Auditing Viewer?action=AUDIT_VALUE&amp;DB=129&amp;ID1=58711810&amp;VALUEID=01001&amp;SDATE=200601&amp;PERIODTYPE=QTR_STD&amp;window=popup_no_bar&amp;width=385&amp;height=120&amp;START_MAXIMIZED=FALSE&amp;creator=factset&amp;display_string=Audit"}</definedName>
    <definedName name="_1462__FDSAUDITLINK__" localSheetId="20" hidden="1">{"fdsup://Directions/FactSet Auditing Viewer?action=AUDIT_VALUE&amp;DB=129&amp;ID1=58711810&amp;VALUEID=01001&amp;SDATE=200601&amp;PERIODTYPE=QTR_STD&amp;window=popup_no_bar&amp;width=385&amp;height=120&amp;START_MAXIMIZED=FALSE&amp;creator=factset&amp;display_string=Audit"}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localSheetId="1" hidden="1">{"fdsup://Directions/FactSet Auditing Viewer?action=AUDIT_VALUE&amp;DB=129&amp;ID1=58711810&amp;VALUEID=02101&amp;SDATE=200601&amp;PERIODTYPE=QTR_STD&amp;window=popup_no_bar&amp;width=385&amp;height=120&amp;START_MAXIMIZED=FALSE&amp;creator=factset&amp;display_string=Audit"}</definedName>
    <definedName name="_1463__FDSAUDITLINK__" localSheetId="20" hidden="1">{"fdsup://Directions/FactSet Auditing Viewer?action=AUDIT_VALUE&amp;DB=129&amp;ID1=58711810&amp;VALUEID=02101&amp;SDATE=200601&amp;PERIODTYPE=QTR_STD&amp;window=popup_no_bar&amp;width=385&amp;height=120&amp;START_MAXIMIZED=FALSE&amp;creator=factset&amp;display_string=Audit"}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localSheetId="1" hidden="1">{"fdsup://Directions/FactSet Auditing Viewer?action=AUDIT_VALUE&amp;DB=129&amp;ID1=58711810&amp;VALUEID=13040&amp;SDATE=200602&amp;PERIODTYPE=QTR_STD&amp;window=popup_no_bar&amp;width=385&amp;height=120&amp;START_MAXIMIZED=FALSE&amp;creator=factset&amp;display_string=Audit"}</definedName>
    <definedName name="_1464__FDSAUDITLINK__" localSheetId="20" hidden="1">{"fdsup://Directions/FactSet Auditing Viewer?action=AUDIT_VALUE&amp;DB=129&amp;ID1=58711810&amp;VALUEID=13040&amp;SDATE=200602&amp;PERIODTYPE=QTR_STD&amp;window=popup_no_bar&amp;width=385&amp;height=120&amp;START_MAXIMIZED=FALSE&amp;creator=factset&amp;display_string=Audit"}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localSheetId="1" hidden="1">{"fdsup://Directions/FactSet Auditing Viewer?action=AUDIT_VALUE&amp;DB=129&amp;ID1=58711810&amp;VALUEID=01001&amp;SDATE=200602&amp;PERIODTYPE=QTR_STD&amp;window=popup_no_bar&amp;width=385&amp;height=120&amp;START_MAXIMIZED=FALSE&amp;creator=factset&amp;display_string=Audit"}</definedName>
    <definedName name="_1465__FDSAUDITLINK__" localSheetId="20" hidden="1">{"fdsup://Directions/FactSet Auditing Viewer?action=AUDIT_VALUE&amp;DB=129&amp;ID1=58711810&amp;VALUEID=01001&amp;SDATE=200602&amp;PERIODTYPE=QTR_STD&amp;window=popup_no_bar&amp;width=385&amp;height=120&amp;START_MAXIMIZED=FALSE&amp;creator=factset&amp;display_string=Audit"}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localSheetId="1" hidden="1">{"fdsup://Directions/FactSet Auditing Viewer?action=AUDIT_VALUE&amp;DB=129&amp;ID1=58711810&amp;VALUEID=02101&amp;SDATE=200602&amp;PERIODTYPE=QTR_STD&amp;window=popup_no_bar&amp;width=385&amp;height=120&amp;START_MAXIMIZED=FALSE&amp;creator=factset&amp;display_string=Audit"}</definedName>
    <definedName name="_1466__FDSAUDITLINK__" localSheetId="20" hidden="1">{"fdsup://Directions/FactSet Auditing Viewer?action=AUDIT_VALUE&amp;DB=129&amp;ID1=58711810&amp;VALUEID=02101&amp;SDATE=200602&amp;PERIODTYPE=QTR_STD&amp;window=popup_no_bar&amp;width=385&amp;height=120&amp;START_MAXIMIZED=FALSE&amp;creator=factset&amp;display_string=Audit"}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localSheetId="1" hidden="1">{"fdsup://Directions/FactSet Auditing Viewer?action=AUDIT_VALUE&amp;DB=129&amp;ID1=58711810&amp;VALUEID=13040&amp;SDATE=200603&amp;PERIODTYPE=QTR_STD&amp;window=popup_no_bar&amp;width=385&amp;height=120&amp;START_MAXIMIZED=FALSE&amp;creator=factset&amp;display_string=Audit"}</definedName>
    <definedName name="_1467__FDSAUDITLINK__" localSheetId="20" hidden="1">{"fdsup://Directions/FactSet Auditing Viewer?action=AUDIT_VALUE&amp;DB=129&amp;ID1=58711810&amp;VALUEID=13040&amp;SDATE=200603&amp;PERIODTYPE=QTR_STD&amp;window=popup_no_bar&amp;width=385&amp;height=120&amp;START_MAXIMIZED=FALSE&amp;creator=factset&amp;display_string=Audit"}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localSheetId="1" hidden="1">{"fdsup://Directions/FactSet Auditing Viewer?action=AUDIT_VALUE&amp;DB=129&amp;ID1=58711810&amp;VALUEID=01001&amp;SDATE=200603&amp;PERIODTYPE=QTR_STD&amp;window=popup_no_bar&amp;width=385&amp;height=120&amp;START_MAXIMIZED=FALSE&amp;creator=factset&amp;display_string=Audit"}</definedName>
    <definedName name="_1468__FDSAUDITLINK__" localSheetId="20" hidden="1">{"fdsup://Directions/FactSet Auditing Viewer?action=AUDIT_VALUE&amp;DB=129&amp;ID1=58711810&amp;VALUEID=01001&amp;SDATE=200603&amp;PERIODTYPE=QTR_STD&amp;window=popup_no_bar&amp;width=385&amp;height=120&amp;START_MAXIMIZED=FALSE&amp;creator=factset&amp;display_string=Audit"}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localSheetId="1" hidden="1">{"fdsup://Directions/FactSet Auditing Viewer?action=AUDIT_VALUE&amp;DB=129&amp;ID1=58711810&amp;VALUEID=02101&amp;SDATE=200603&amp;PERIODTYPE=QTR_STD&amp;window=popup_no_bar&amp;width=385&amp;height=120&amp;START_MAXIMIZED=FALSE&amp;creator=factset&amp;display_string=Audit"}</definedName>
    <definedName name="_1469__FDSAUDITLINK__" localSheetId="20" hidden="1">{"fdsup://Directions/FactSet Auditing Viewer?action=AUDIT_VALUE&amp;DB=129&amp;ID1=58711810&amp;VALUEID=02101&amp;SDATE=200603&amp;PERIODTYPE=QTR_STD&amp;window=popup_no_bar&amp;width=385&amp;height=120&amp;START_MAXIMIZED=FALSE&amp;creator=factset&amp;display_string=Audit"}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147__FDSAUDITLINK__" localSheetId="20" hidden="1">{"fdsup://Directions/FactSet Auditing Viewer?action=AUDIT_VALUE&amp;DB=129&amp;ID1=03611510&amp;VALUEID=02101&amp;SDATE=200802&amp;PERIODTYPE=QTR_STD&amp;window=popup_no_bar&amp;width=385&amp;height=120&amp;START_MAXIMIZED=FALSE&amp;creator=factset&amp;display_string=Audit"}</definedName>
    <definedName name="_147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470__FDSAUDITLINK__" localSheetId="1" hidden="1">{"fdsup://Directions/FactSet Auditing Viewer?action=AUDIT_VALUE&amp;DB=129&amp;ID1=58711810&amp;VALUEID=01001&amp;SDATE=200604&amp;PERIODTYPE=QTR_STD&amp;window=popup_no_bar&amp;width=385&amp;height=120&amp;START_MAXIMIZED=FALSE&amp;creator=factset&amp;display_string=Audit"}</definedName>
    <definedName name="_1470__FDSAUDITLINK__" localSheetId="20" hidden="1">{"fdsup://Directions/FactSet Auditing Viewer?action=AUDIT_VALUE&amp;DB=129&amp;ID1=58711810&amp;VALUEID=01001&amp;SDATE=200604&amp;PERIODTYPE=QTR_STD&amp;window=popup_no_bar&amp;width=385&amp;height=120&amp;START_MAXIMIZED=FALSE&amp;creator=factset&amp;display_string=Audit"}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localSheetId="1" hidden="1">{"fdsup://Directions/FactSet Auditing Viewer?action=AUDIT_VALUE&amp;DB=129&amp;ID1=58711810&amp;VALUEID=13040&amp;SDATE=200701&amp;PERIODTYPE=QTR_STD&amp;window=popup_no_bar&amp;width=385&amp;height=120&amp;START_MAXIMIZED=FALSE&amp;creator=factset&amp;display_string=Audit"}</definedName>
    <definedName name="_1471__FDSAUDITLINK__" localSheetId="20" hidden="1">{"fdsup://Directions/FactSet Auditing Viewer?action=AUDIT_VALUE&amp;DB=129&amp;ID1=58711810&amp;VALUEID=13040&amp;SDATE=200701&amp;PERIODTYPE=QTR_STD&amp;window=popup_no_bar&amp;width=385&amp;height=120&amp;START_MAXIMIZED=FALSE&amp;creator=factset&amp;display_string=Audit"}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localSheetId="1" hidden="1">{"fdsup://Directions/FactSet Auditing Viewer?action=AUDIT_VALUE&amp;DB=129&amp;ID1=58711810&amp;VALUEID=01001&amp;SDATE=200701&amp;PERIODTYPE=QTR_STD&amp;window=popup_no_bar&amp;width=385&amp;height=120&amp;START_MAXIMIZED=FALSE&amp;creator=factset&amp;display_string=Audit"}</definedName>
    <definedName name="_1472__FDSAUDITLINK__" localSheetId="20" hidden="1">{"fdsup://Directions/FactSet Auditing Viewer?action=AUDIT_VALUE&amp;DB=129&amp;ID1=58711810&amp;VALUEID=01001&amp;SDATE=200701&amp;PERIODTYPE=QTR_STD&amp;window=popup_no_bar&amp;width=385&amp;height=120&amp;START_MAXIMIZED=FALSE&amp;creator=factset&amp;display_string=Audit"}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localSheetId="1" hidden="1">{"fdsup://Directions/FactSet Auditing Viewer?action=AUDIT_VALUE&amp;DB=129&amp;ID1=58711810&amp;VALUEID=02101&amp;SDATE=200701&amp;PERIODTYPE=QTR_STD&amp;window=popup_no_bar&amp;width=385&amp;height=120&amp;START_MAXIMIZED=FALSE&amp;creator=factset&amp;display_string=Audit"}</definedName>
    <definedName name="_1473__FDSAUDITLINK__" localSheetId="20" hidden="1">{"fdsup://Directions/FactSet Auditing Viewer?action=AUDIT_VALUE&amp;DB=129&amp;ID1=58711810&amp;VALUEID=02101&amp;SDATE=200701&amp;PERIODTYPE=QTR_STD&amp;window=popup_no_bar&amp;width=385&amp;height=120&amp;START_MAXIMIZED=FALSE&amp;creator=factset&amp;display_string=Audit"}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localSheetId="1" hidden="1">{"fdsup://Directions/FactSet Auditing Viewer?action=AUDIT_VALUE&amp;DB=129&amp;ID1=58711810&amp;VALUEID=13040&amp;SDATE=200702&amp;PERIODTYPE=QTR_STD&amp;window=popup_no_bar&amp;width=385&amp;height=120&amp;START_MAXIMIZED=FALSE&amp;creator=factset&amp;display_string=Audit"}</definedName>
    <definedName name="_1474__FDSAUDITLINK__" localSheetId="20" hidden="1">{"fdsup://Directions/FactSet Auditing Viewer?action=AUDIT_VALUE&amp;DB=129&amp;ID1=58711810&amp;VALUEID=13040&amp;SDATE=200702&amp;PERIODTYPE=QTR_STD&amp;window=popup_no_bar&amp;width=385&amp;height=120&amp;START_MAXIMIZED=FALSE&amp;creator=factset&amp;display_string=Audit"}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localSheetId="1" hidden="1">{"fdsup://Directions/FactSet Auditing Viewer?action=AUDIT_VALUE&amp;DB=129&amp;ID1=58711810&amp;VALUEID=01001&amp;SDATE=200702&amp;PERIODTYPE=QTR_STD&amp;window=popup_no_bar&amp;width=385&amp;height=120&amp;START_MAXIMIZED=FALSE&amp;creator=factset&amp;display_string=Audit"}</definedName>
    <definedName name="_1475__FDSAUDITLINK__" localSheetId="20" hidden="1">{"fdsup://Directions/FactSet Auditing Viewer?action=AUDIT_VALUE&amp;DB=129&amp;ID1=58711810&amp;VALUEID=01001&amp;SDATE=200702&amp;PERIODTYPE=QTR_STD&amp;window=popup_no_bar&amp;width=385&amp;height=120&amp;START_MAXIMIZED=FALSE&amp;creator=factset&amp;display_string=Audit"}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localSheetId="1" hidden="1">{"fdsup://Directions/FactSet Auditing Viewer?action=AUDIT_VALUE&amp;DB=129&amp;ID1=58711810&amp;VALUEID=02101&amp;SDATE=200702&amp;PERIODTYPE=QTR_STD&amp;window=popup_no_bar&amp;width=385&amp;height=120&amp;START_MAXIMIZED=FALSE&amp;creator=factset&amp;display_string=Audit"}</definedName>
    <definedName name="_1476__FDSAUDITLINK__" localSheetId="20" hidden="1">{"fdsup://Directions/FactSet Auditing Viewer?action=AUDIT_VALUE&amp;DB=129&amp;ID1=58711810&amp;VALUEID=02101&amp;SDATE=200702&amp;PERIODTYPE=QTR_STD&amp;window=popup_no_bar&amp;width=385&amp;height=120&amp;START_MAXIMIZED=FALSE&amp;creator=factset&amp;display_string=Audit"}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localSheetId="1" hidden="1">{"fdsup://Directions/FactSet Auditing Viewer?action=AUDIT_VALUE&amp;DB=129&amp;ID1=58711810&amp;VALUEID=13040&amp;SDATE=200703&amp;PERIODTYPE=QTR_STD&amp;window=popup_no_bar&amp;width=385&amp;height=120&amp;START_MAXIMIZED=FALSE&amp;creator=factset&amp;display_string=Audit"}</definedName>
    <definedName name="_1477__FDSAUDITLINK__" localSheetId="20" hidden="1">{"fdsup://Directions/FactSet Auditing Viewer?action=AUDIT_VALUE&amp;DB=129&amp;ID1=58711810&amp;VALUEID=13040&amp;SDATE=200703&amp;PERIODTYPE=QTR_STD&amp;window=popup_no_bar&amp;width=385&amp;height=120&amp;START_MAXIMIZED=FALSE&amp;creator=factset&amp;display_string=Audit"}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localSheetId="1" hidden="1">{"fdsup://Directions/FactSet Auditing Viewer?action=AUDIT_VALUE&amp;DB=129&amp;ID1=58711810&amp;VALUEID=01001&amp;SDATE=200703&amp;PERIODTYPE=QTR_STD&amp;window=popup_no_bar&amp;width=385&amp;height=120&amp;START_MAXIMIZED=FALSE&amp;creator=factset&amp;display_string=Audit"}</definedName>
    <definedName name="_1478__FDSAUDITLINK__" localSheetId="20" hidden="1">{"fdsup://Directions/FactSet Auditing Viewer?action=AUDIT_VALUE&amp;DB=129&amp;ID1=58711810&amp;VALUEID=01001&amp;SDATE=200703&amp;PERIODTYPE=QTR_STD&amp;window=popup_no_bar&amp;width=385&amp;height=120&amp;START_MAXIMIZED=FALSE&amp;creator=factset&amp;display_string=Audit"}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localSheetId="1" hidden="1">{"fdsup://Directions/FactSet Auditing Viewer?action=AUDIT_VALUE&amp;DB=129&amp;ID1=58711810&amp;VALUEID=02101&amp;SDATE=200703&amp;PERIODTYPE=QTR_STD&amp;window=popup_no_bar&amp;width=385&amp;height=120&amp;START_MAXIMIZED=FALSE&amp;creator=factset&amp;display_string=Audit"}</definedName>
    <definedName name="_1479__FDSAUDITLINK__" localSheetId="20" hidden="1">{"fdsup://Directions/FactSet Auditing Viewer?action=AUDIT_VALUE&amp;DB=129&amp;ID1=58711810&amp;VALUEID=02101&amp;SDATE=200703&amp;PERIODTYPE=QTR_STD&amp;window=popup_no_bar&amp;width=385&amp;height=120&amp;START_MAXIMIZED=FALSE&amp;creator=factset&amp;display_string=Audit"}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148__FDSAUDITLINK__" localSheetId="20" hidden="1">{"fdsup://Directions/FactSet Auditing Viewer?action=AUDIT_VALUE&amp;DB=129&amp;ID1=03611510&amp;VALUEID=01001&amp;SDATE=200802&amp;PERIODTYPE=QTR_STD&amp;window=popup_no_bar&amp;width=385&amp;height=120&amp;START_MAXIMIZED=FALSE&amp;creator=factset&amp;display_string=Audit"}</definedName>
    <definedName name="_14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480__FDSAUDITLINK__" localSheetId="1" hidden="1">{"fdsup://Directions/FactSet Auditing Viewer?action=AUDIT_VALUE&amp;DB=129&amp;ID1=58711810&amp;VALUEID=01001&amp;SDATE=200704&amp;PERIODTYPE=QTR_STD&amp;window=popup_no_bar&amp;width=385&amp;height=120&amp;START_MAXIMIZED=FALSE&amp;creator=factset&amp;display_string=Audit"}</definedName>
    <definedName name="_1480__FDSAUDITLINK__" localSheetId="20" hidden="1">{"fdsup://Directions/FactSet Auditing Viewer?action=AUDIT_VALUE&amp;DB=129&amp;ID1=58711810&amp;VALUEID=01001&amp;SDATE=200704&amp;PERIODTYPE=QTR_STD&amp;window=popup_no_bar&amp;width=385&amp;height=120&amp;START_MAXIMIZED=FALSE&amp;creator=factset&amp;display_string=Audit"}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localSheetId="1" hidden="1">{"fdsup://Directions/FactSet Auditing Viewer?action=AUDIT_VALUE&amp;DB=129&amp;ID1=58711810&amp;VALUEID=13040&amp;SDATE=200801&amp;PERIODTYPE=QTR_STD&amp;window=popup_no_bar&amp;width=385&amp;height=120&amp;START_MAXIMIZED=FALSE&amp;creator=factset&amp;display_string=Audit"}</definedName>
    <definedName name="_1481__FDSAUDITLINK__" localSheetId="20" hidden="1">{"fdsup://Directions/FactSet Auditing Viewer?action=AUDIT_VALUE&amp;DB=129&amp;ID1=58711810&amp;VALUEID=13040&amp;SDATE=200801&amp;PERIODTYPE=QTR_STD&amp;window=popup_no_bar&amp;width=385&amp;height=120&amp;START_MAXIMIZED=FALSE&amp;creator=factset&amp;display_string=Audit"}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localSheetId="1" hidden="1">{"fdsup://Directions/FactSet Auditing Viewer?action=AUDIT_VALUE&amp;DB=129&amp;ID1=58711810&amp;VALUEID=01001&amp;SDATE=200801&amp;PERIODTYPE=QTR_STD&amp;window=popup_no_bar&amp;width=385&amp;height=120&amp;START_MAXIMIZED=FALSE&amp;creator=factset&amp;display_string=Audit"}</definedName>
    <definedName name="_1482__FDSAUDITLINK__" localSheetId="20" hidden="1">{"fdsup://Directions/FactSet Auditing Viewer?action=AUDIT_VALUE&amp;DB=129&amp;ID1=58711810&amp;VALUEID=01001&amp;SDATE=200801&amp;PERIODTYPE=QTR_STD&amp;window=popup_no_bar&amp;width=385&amp;height=120&amp;START_MAXIMIZED=FALSE&amp;creator=factset&amp;display_string=Audit"}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localSheetId="1" hidden="1">{"fdsup://Directions/FactSet Auditing Viewer?action=AUDIT_VALUE&amp;DB=129&amp;ID1=58711810&amp;VALUEID=02101&amp;SDATE=200801&amp;PERIODTYPE=QTR_STD&amp;window=popup_no_bar&amp;width=385&amp;height=120&amp;START_MAXIMIZED=FALSE&amp;creator=factset&amp;display_string=Audit"}</definedName>
    <definedName name="_1483__FDSAUDITLINK__" localSheetId="20" hidden="1">{"fdsup://Directions/FactSet Auditing Viewer?action=AUDIT_VALUE&amp;DB=129&amp;ID1=58711810&amp;VALUEID=02101&amp;SDATE=200801&amp;PERIODTYPE=QTR_STD&amp;window=popup_no_bar&amp;width=385&amp;height=120&amp;START_MAXIMIZED=FALSE&amp;creator=factset&amp;display_string=Audit"}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localSheetId="1" hidden="1">{"fdsup://Directions/FactSet Auditing Viewer?action=AUDIT_VALUE&amp;DB=129&amp;ID1=58711810&amp;VALUEID=13040&amp;SDATE=200802&amp;PERIODTYPE=QTR_STD&amp;window=popup_no_bar&amp;width=385&amp;height=120&amp;START_MAXIMIZED=FALSE&amp;creator=factset&amp;display_string=Audit"}</definedName>
    <definedName name="_1484__FDSAUDITLINK__" localSheetId="20" hidden="1">{"fdsup://Directions/FactSet Auditing Viewer?action=AUDIT_VALUE&amp;DB=129&amp;ID1=58711810&amp;VALUEID=13040&amp;SDATE=200802&amp;PERIODTYPE=QTR_STD&amp;window=popup_no_bar&amp;width=385&amp;height=120&amp;START_MAXIMIZED=FALSE&amp;creator=factset&amp;display_string=Audit"}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localSheetId="1" hidden="1">{"fdsup://Directions/FactSet Auditing Viewer?action=AUDIT_VALUE&amp;DB=129&amp;ID1=58711810&amp;VALUEID=01001&amp;SDATE=200802&amp;PERIODTYPE=QTR_STD&amp;window=popup_no_bar&amp;width=385&amp;height=120&amp;START_MAXIMIZED=FALSE&amp;creator=factset&amp;display_string=Audit"}</definedName>
    <definedName name="_1485__FDSAUDITLINK__" localSheetId="20" hidden="1">{"fdsup://Directions/FactSet Auditing Viewer?action=AUDIT_VALUE&amp;DB=129&amp;ID1=58711810&amp;VALUEID=01001&amp;SDATE=200802&amp;PERIODTYPE=QTR_STD&amp;window=popup_no_bar&amp;width=385&amp;height=120&amp;START_MAXIMIZED=FALSE&amp;creator=factset&amp;display_string=Audit"}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localSheetId="1" hidden="1">{"fdsup://Directions/FactSet Auditing Viewer?action=AUDIT_VALUE&amp;DB=129&amp;ID1=58711810&amp;VALUEID=02101&amp;SDATE=200802&amp;PERIODTYPE=QTR_STD&amp;window=popup_no_bar&amp;width=385&amp;height=120&amp;START_MAXIMIZED=FALSE&amp;creator=factset&amp;display_string=Audit"}</definedName>
    <definedName name="_1486__FDSAUDITLINK__" localSheetId="20" hidden="1">{"fdsup://Directions/FactSet Auditing Viewer?action=AUDIT_VALUE&amp;DB=129&amp;ID1=58711810&amp;VALUEID=02101&amp;SDATE=200802&amp;PERIODTYPE=QTR_STD&amp;window=popup_no_bar&amp;width=385&amp;height=120&amp;START_MAXIMIZED=FALSE&amp;creator=factset&amp;display_string=Audit"}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localSheetId="1" hidden="1">{"fdsup://Directions/FactSet Auditing Viewer?action=AUDIT_VALUE&amp;DB=129&amp;ID1=58711810&amp;VALUEID=13040&amp;SDATE=200803&amp;PERIODTYPE=QTR_STD&amp;window=popup_no_bar&amp;width=385&amp;height=120&amp;START_MAXIMIZED=FALSE&amp;creator=factset&amp;display_string=Audit"}</definedName>
    <definedName name="_1487__FDSAUDITLINK__" localSheetId="20" hidden="1">{"fdsup://Directions/FactSet Auditing Viewer?action=AUDIT_VALUE&amp;DB=129&amp;ID1=58711810&amp;VALUEID=13040&amp;SDATE=200803&amp;PERIODTYPE=QTR_STD&amp;window=popup_no_bar&amp;width=385&amp;height=120&amp;START_MAXIMIZED=FALSE&amp;creator=factset&amp;display_string=Audit"}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localSheetId="1" hidden="1">{"fdsup://Directions/FactSet Auditing Viewer?action=AUDIT_VALUE&amp;DB=129&amp;ID1=58711810&amp;VALUEID=01001&amp;SDATE=200803&amp;PERIODTYPE=QTR_STD&amp;window=popup_no_bar&amp;width=385&amp;height=120&amp;START_MAXIMIZED=FALSE&amp;creator=factset&amp;display_string=Audit"}</definedName>
    <definedName name="_1488__FDSAUDITLINK__" localSheetId="20" hidden="1">{"fdsup://Directions/FactSet Auditing Viewer?action=AUDIT_VALUE&amp;DB=129&amp;ID1=58711810&amp;VALUEID=01001&amp;SDATE=200803&amp;PERIODTYPE=QTR_STD&amp;window=popup_no_bar&amp;width=385&amp;height=120&amp;START_MAXIMIZED=FALSE&amp;creator=factset&amp;display_string=Audit"}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localSheetId="1" hidden="1">{"fdsup://Directions/FactSet Auditing Viewer?action=AUDIT_VALUE&amp;DB=129&amp;ID1=58711810&amp;VALUEID=02101&amp;SDATE=200803&amp;PERIODTYPE=QTR_STD&amp;window=popup_no_bar&amp;width=385&amp;height=120&amp;START_MAXIMIZED=FALSE&amp;creator=factset&amp;display_string=Audit"}</definedName>
    <definedName name="_1489__FDSAUDITLINK__" localSheetId="20" hidden="1">{"fdsup://Directions/FactSet Auditing Viewer?action=AUDIT_VALUE&amp;DB=129&amp;ID1=58711810&amp;VALUEID=02101&amp;SDATE=200803&amp;PERIODTYPE=QTR_STD&amp;window=popup_no_bar&amp;width=385&amp;height=120&amp;START_MAXIMIZED=FALSE&amp;creator=factset&amp;display_string=Audit"}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149__FDSAUDITLINK__" localSheetId="20" hidden="1">{"fdsup://Directions/FactSet Auditing Viewer?action=AUDIT_VALUE&amp;DB=129&amp;ID1=16890510&amp;VALUEID=02101&amp;SDATE=200802&amp;PERIODTYPE=QTR_STD&amp;window=popup_no_bar&amp;width=385&amp;height=120&amp;START_MAXIMIZED=FALSE&amp;creator=factset&amp;display_string=Audit"}</definedName>
    <definedName name="_149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490__FDSAUDITLINK__" localSheetId="1" hidden="1">{"fdsup://Directions/FactSet Auditing Viewer?action=AUDIT_VALUE&amp;DB=129&amp;ID1=58711810&amp;VALUEID=01001&amp;SDATE=200804&amp;PERIODTYPE=QTR_STD&amp;window=popup_no_bar&amp;width=385&amp;height=120&amp;START_MAXIMIZED=FALSE&amp;creator=factset&amp;display_string=Audit"}</definedName>
    <definedName name="_1490__FDSAUDITLINK__" localSheetId="20" hidden="1">{"fdsup://Directions/FactSet Auditing Viewer?action=AUDIT_VALUE&amp;DB=129&amp;ID1=58711810&amp;VALUEID=01001&amp;SDATE=200804&amp;PERIODTYPE=QTR_STD&amp;window=popup_no_bar&amp;width=385&amp;height=120&amp;START_MAXIMIZED=FALSE&amp;creator=factset&amp;display_string=Audit"}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localSheetId="1" hidden="1">{"fdsup://Directions/FactSet Auditing Viewer?action=AUDIT_VALUE&amp;DB=129&amp;ID1=58711810&amp;VALUEID=13040&amp;SDATE=200902&amp;PERIODTYPE=QTR_STD&amp;window=popup_no_bar&amp;width=385&amp;height=120&amp;START_MAXIMIZED=FALSE&amp;creator=factset&amp;display_string=Audit"}</definedName>
    <definedName name="_1491__FDSAUDITLINK__" localSheetId="20" hidden="1">{"fdsup://Directions/FactSet Auditing Viewer?action=AUDIT_VALUE&amp;DB=129&amp;ID1=58711810&amp;VALUEID=13040&amp;SDATE=200902&amp;PERIODTYPE=QTR_STD&amp;window=popup_no_bar&amp;width=385&amp;height=120&amp;START_MAXIMIZED=FALSE&amp;creator=factset&amp;display_string=Audit"}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localSheetId="1" hidden="1">{"fdsup://Directions/FactSet Auditing Viewer?action=AUDIT_VALUE&amp;DB=129&amp;ID1=58711810&amp;VALUEID=01001&amp;SDATE=200902&amp;PERIODTYPE=QTR_STD&amp;window=popup_no_bar&amp;width=385&amp;height=120&amp;START_MAXIMIZED=FALSE&amp;creator=factset&amp;display_string=Audit"}</definedName>
    <definedName name="_1492__FDSAUDITLINK__" localSheetId="20" hidden="1">{"fdsup://Directions/FactSet Auditing Viewer?action=AUDIT_VALUE&amp;DB=129&amp;ID1=58711810&amp;VALUEID=01001&amp;SDATE=200902&amp;PERIODTYPE=QTR_STD&amp;window=popup_no_bar&amp;width=385&amp;height=120&amp;START_MAXIMIZED=FALSE&amp;creator=factset&amp;display_string=Audit"}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localSheetId="1" hidden="1">{"fdsup://Directions/FactSet Auditing Viewer?action=AUDIT_VALUE&amp;DB=129&amp;ID1=58711810&amp;VALUEID=02101&amp;SDATE=200902&amp;PERIODTYPE=QTR_STD&amp;window=popup_no_bar&amp;width=385&amp;height=120&amp;START_MAXIMIZED=FALSE&amp;creator=factset&amp;display_string=Audit"}</definedName>
    <definedName name="_1493__FDSAUDITLINK__" localSheetId="20" hidden="1">{"fdsup://Directions/FactSet Auditing Viewer?action=AUDIT_VALUE&amp;DB=129&amp;ID1=58711810&amp;VALUEID=02101&amp;SDATE=200902&amp;PERIODTYPE=QTR_STD&amp;window=popup_no_bar&amp;width=385&amp;height=120&amp;START_MAXIMIZED=FALSE&amp;creator=factset&amp;display_string=Audit"}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localSheetId="1" hidden="1">{"fdsup://Directions/FactSet Auditing Viewer?action=AUDIT_VALUE&amp;DB=129&amp;ID1=58711810&amp;VALUEID=13040&amp;SDATE=200903&amp;PERIODTYPE=QTR_STD&amp;window=popup_no_bar&amp;width=385&amp;height=120&amp;START_MAXIMIZED=FALSE&amp;creator=factset&amp;display_string=Audit"}</definedName>
    <definedName name="_1494__FDSAUDITLINK__" localSheetId="20" hidden="1">{"fdsup://Directions/FactSet Auditing Viewer?action=AUDIT_VALUE&amp;DB=129&amp;ID1=58711810&amp;VALUEID=13040&amp;SDATE=200903&amp;PERIODTYPE=QTR_STD&amp;window=popup_no_bar&amp;width=385&amp;height=120&amp;START_MAXIMIZED=FALSE&amp;creator=factset&amp;display_string=Audit"}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localSheetId="1" hidden="1">{"fdsup://Directions/FactSet Auditing Viewer?action=AUDIT_VALUE&amp;DB=129&amp;ID1=58711810&amp;VALUEID=01001&amp;SDATE=200903&amp;PERIODTYPE=QTR_STD&amp;window=popup_no_bar&amp;width=385&amp;height=120&amp;START_MAXIMIZED=FALSE&amp;creator=factset&amp;display_string=Audit"}</definedName>
    <definedName name="_1495__FDSAUDITLINK__" localSheetId="20" hidden="1">{"fdsup://Directions/FactSet Auditing Viewer?action=AUDIT_VALUE&amp;DB=129&amp;ID1=58711810&amp;VALUEID=01001&amp;SDATE=200903&amp;PERIODTYPE=QTR_STD&amp;window=popup_no_bar&amp;width=385&amp;height=120&amp;START_MAXIMIZED=FALSE&amp;creator=factset&amp;display_string=Audit"}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localSheetId="1" hidden="1">{"fdsup://Directions/FactSet Auditing Viewer?action=AUDIT_VALUE&amp;DB=129&amp;ID1=58711810&amp;VALUEID=02101&amp;SDATE=200903&amp;PERIODTYPE=QTR_STD&amp;window=popup_no_bar&amp;width=385&amp;height=120&amp;START_MAXIMIZED=FALSE&amp;creator=factset&amp;display_string=Audit"}</definedName>
    <definedName name="_1496__FDSAUDITLINK__" localSheetId="20" hidden="1">{"fdsup://Directions/FactSet Auditing Viewer?action=AUDIT_VALUE&amp;DB=129&amp;ID1=58711810&amp;VALUEID=02101&amp;SDATE=200903&amp;PERIODTYPE=QTR_STD&amp;window=popup_no_bar&amp;width=385&amp;height=120&amp;START_MAXIMIZED=FALSE&amp;creator=factset&amp;display_string=Audit"}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localSheetId="1" hidden="1">{"fdsup://Directions/FactSet Auditing Viewer?action=AUDIT_VALUE&amp;DB=129&amp;ID1=58711810&amp;VALUEID=13040&amp;SDATE=200904&amp;PERIODTYPE=QTR_STD&amp;window=popup_no_bar&amp;width=385&amp;height=120&amp;START_MAXIMIZED=FALSE&amp;creator=factset&amp;display_string=Audit"}</definedName>
    <definedName name="_1497__FDSAUDITLINK__" localSheetId="20" hidden="1">{"fdsup://Directions/FactSet Auditing Viewer?action=AUDIT_VALUE&amp;DB=129&amp;ID1=58711810&amp;VALUEID=13040&amp;SDATE=200904&amp;PERIODTYPE=QTR_STD&amp;window=popup_no_bar&amp;width=385&amp;height=120&amp;START_MAXIMIZED=FALSE&amp;creator=factset&amp;display_string=Audit"}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localSheetId="1" hidden="1">{"fdsup://Directions/FactSet Auditing Viewer?action=AUDIT_VALUE&amp;DB=129&amp;ID1=58711810&amp;VALUEID=01001&amp;SDATE=200904&amp;PERIODTYPE=QTR_STD&amp;window=popup_no_bar&amp;width=385&amp;height=120&amp;START_MAXIMIZED=FALSE&amp;creator=factset&amp;display_string=Audit"}</definedName>
    <definedName name="_1498__FDSAUDITLINK__" localSheetId="20" hidden="1">{"fdsup://Directions/FactSet Auditing Viewer?action=AUDIT_VALUE&amp;DB=129&amp;ID1=58711810&amp;VALUEID=01001&amp;SDATE=200904&amp;PERIODTYPE=QTR_STD&amp;window=popup_no_bar&amp;width=385&amp;height=120&amp;START_MAXIMIZED=FALSE&amp;creator=factset&amp;display_string=Audit"}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localSheetId="1" hidden="1">{"fdsup://Directions/FactSet Auditing Viewer?action=AUDIT_VALUE&amp;DB=129&amp;ID1=58711810&amp;VALUEID=13040&amp;SDATE=201001&amp;PERIODTYPE=QTR_STD&amp;window=popup_no_bar&amp;width=385&amp;height=120&amp;START_MAXIMIZED=FALSE&amp;creator=factset&amp;display_string=Audit"}</definedName>
    <definedName name="_1499__FDSAUDITLINK__" localSheetId="20" hidden="1">{"fdsup://Directions/FactSet Auditing Viewer?action=AUDIT_VALUE&amp;DB=129&amp;ID1=58711810&amp;VALUEID=13040&amp;SDATE=201001&amp;PERIODTYPE=QTR_STD&amp;window=popup_no_bar&amp;width=385&amp;height=120&amp;START_MAXIMIZED=FALSE&amp;creator=factset&amp;display_string=Audit"}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localSheetId="1" hidden="1">{"fdsup://directions/FAT Viewer?action=UPDATE&amp;creator=factset&amp;DYN_ARGS=TRUE&amp;DOC_NAME=FAT:FQL_AUDITING_CLIENT_TEMPLATE.FAT&amp;display_string=Audit&amp;VAR:KEY=IFGLALKLCN&amp;VAR:QUERY=RkZfRU5UUlBSX1ZBTF9FQklUREFfT1BFUihBTk4sMCk=&amp;WINDOW=FIRST_POPUP&amp;HEIGHT=450&amp;WIDTH=450&amp;","START_MAXIMIZED=FALSE&amp;VAR:CALENDAR=FIVEDAY&amp;VAR:SYMBOL=COH&amp;VAR:INDEX=0"}</definedName>
    <definedName name="_15__FDSAUDITLINK__" localSheetId="20" hidden="1">{"fdsup://Directions/FactSet Auditing Viewer?action=AUDIT_VALUE&amp;DB=129&amp;ID1=02553E10&amp;VALUEID=02101&amp;SDATE=201001&amp;PERIODTYPE=QTR_STD&amp;window=popup_no_bar&amp;width=385&amp;height=120&amp;START_MAXIMIZED=FALSE&amp;creator=factset&amp;display_string=Audit"}</definedName>
    <definedName name="_15__FDSAUDITLINK__" hidden="1">{"fdsup://directions/FAT Viewer?action=UPDATE&amp;creator=factset&amp;DYN_ARGS=TRUE&amp;DOC_NAME=FAT:FQL_AUDITING_CLIENT_TEMPLATE.FAT&amp;display_string=Audit&amp;VAR:KEY=IFGLALKLCN&amp;VAR:QUERY=RkZfRU5UUlBSX1ZBTF9FQklUREFfT1BFUihBTk4sMCk=&amp;WINDOW=FIRST_POPUP&amp;HEIGHT=450&amp;WIDTH=450&amp;","START_MAXIMIZED=FALSE&amp;VAR:CALENDAR=FIVEDAY&amp;VAR:SYMBOL=COH&amp;VAR:INDEX=0"}</definedName>
    <definedName name="_150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150__FDSAUDITLINK__" localSheetId="20" hidden="1">{"fdsup://Directions/FactSet Auditing Viewer?action=AUDIT_VALUE&amp;DB=129&amp;ID1=16890510&amp;VALUEID=01001&amp;SDATE=200802&amp;PERIODTYPE=QTR_STD&amp;window=popup_no_bar&amp;width=385&amp;height=120&amp;START_MAXIMIZED=FALSE&amp;creator=factset&amp;display_string=Audit"}</definedName>
    <definedName name="_150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500__FDSAUDITLINK__" localSheetId="1" hidden="1">{"fdsup://Directions/FactSet Auditing Viewer?action=AUDIT_VALUE&amp;DB=129&amp;ID1=58711810&amp;VALUEID=01001&amp;SDATE=201001&amp;PERIODTYPE=QTR_STD&amp;window=popup_no_bar&amp;width=385&amp;height=120&amp;START_MAXIMIZED=FALSE&amp;creator=factset&amp;display_string=Audit"}</definedName>
    <definedName name="_1500__FDSAUDITLINK__" localSheetId="20" hidden="1">{"fdsup://Directions/FactSet Auditing Viewer?action=AUDIT_VALUE&amp;DB=129&amp;ID1=58711810&amp;VALUEID=01001&amp;SDATE=201001&amp;PERIODTYPE=QTR_STD&amp;window=popup_no_bar&amp;width=385&amp;height=120&amp;START_MAXIMIZED=FALSE&amp;creator=factset&amp;display_string=Audit"}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localSheetId="1" hidden="1">{"fdsup://Directions/FactSet Auditing Viewer?action=AUDIT_VALUE&amp;DB=129&amp;ID1=58711810&amp;VALUEID=02101&amp;SDATE=201001&amp;PERIODTYPE=QTR_STD&amp;window=popup_no_bar&amp;width=385&amp;height=120&amp;START_MAXIMIZED=FALSE&amp;creator=factset&amp;display_string=Audit"}</definedName>
    <definedName name="_1501__FDSAUDITLINK__" localSheetId="20" hidden="1">{"fdsup://Directions/FactSet Auditing Viewer?action=AUDIT_VALUE&amp;DB=129&amp;ID1=58711810&amp;VALUEID=02101&amp;SDATE=201001&amp;PERIODTYPE=QTR_STD&amp;window=popup_no_bar&amp;width=385&amp;height=120&amp;START_MAXIMIZED=FALSE&amp;creator=factset&amp;display_string=Audit"}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localSheetId="1"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2__FDSAUDITLINK__" localSheetId="20"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localSheetId="1"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3__FDSAUDITLINK__" localSheetId="20"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localSheetId="1"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4__FDSAUDITLINK__" localSheetId="20"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localSheetId="1"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5__FDSAUDITLINK__" localSheetId="20"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localSheetId="1"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6__FDSAUDITLINK__" localSheetId="20"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localSheetId="1"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7__FDSAUDITLINK__" localSheetId="20"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localSheetId="1"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8__FDSAUDITLINK__" localSheetId="20"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localSheetId="1"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09__FDSAUDITLINK__" localSheetId="20"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151__FDSAUDITLINK__" localSheetId="20" hidden="1">{"fdsup://Directions/FactSet Auditing Viewer?action=AUDIT_VALUE&amp;DB=129&amp;ID1=91704710&amp;VALUEID=02101&amp;SDATE=200802&amp;PERIODTYPE=QTR_STD&amp;window=popup_no_bar&amp;width=385&amp;height=120&amp;START_MAXIMIZED=FALSE&amp;creator=factset&amp;display_string=Audit"}</definedName>
    <definedName name="_151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510__FDSAUDITLINK__" localSheetId="1"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0__FDSAUDITLINK__" localSheetId="20"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localSheetId="1"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1__FDSAUDITLINK__" localSheetId="20"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localSheetId="1"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2__FDSAUDITLINK__" localSheetId="20"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localSheetId="1"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3__FDSAUDITLINK__" localSheetId="20"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localSheetId="1"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4__FDSAUDITLINK__" localSheetId="20"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localSheetId="1"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5__FDSAUDITLINK__" localSheetId="20"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localSheetId="1"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6__FDSAUDITLINK__" localSheetId="20"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localSheetId="1"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7__FDSAUDITLINK__" localSheetId="20"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localSheetId="1"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8__FDSAUDITLINK__" localSheetId="20"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localSheetId="1"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19__FDSAUDITLINK__" localSheetId="20"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152__FDSAUDITLINK__" localSheetId="20" hidden="1">{"fdsup://Directions/FactSet Auditing Viewer?action=AUDIT_VALUE&amp;DB=129&amp;ID1=91704710&amp;VALUEID=01001&amp;SDATE=200802&amp;PERIODTYPE=QTR_STD&amp;window=popup_no_bar&amp;width=385&amp;height=120&amp;START_MAXIMIZED=FALSE&amp;creator=factset&amp;display_string=Audit"}</definedName>
    <definedName name="_152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520__FDSAUDITLINK__" localSheetId="1"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0__FDSAUDITLINK__" localSheetId="20"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localSheetId="1"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1__FDSAUDITLINK__" localSheetId="20"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localSheetId="1"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2__FDSAUDITLINK__" localSheetId="20"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localSheetId="1"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3__FDSAUDITLINK__" localSheetId="20"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localSheetId="1"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4__FDSAUDITLINK__" localSheetId="20"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localSheetId="1"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5__FDSAUDITLINK__" localSheetId="20"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localSheetId="1"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6__FDSAUDITLINK__" localSheetId="20"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localSheetId="1"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7__FDSAUDITLINK__" localSheetId="20"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localSheetId="1"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8__FDSAUDITLINK__" localSheetId="20"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localSheetId="1"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29__FDSAUDITLINK__" localSheetId="20"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153__FDSAUDITLINK__" localSheetId="20" hidden="1">{"fdsup://Directions/FactSet Auditing Viewer?action=AUDIT_VALUE&amp;DB=129&amp;ID1=91704710&amp;VALUEID=13040&amp;SDATE=200802&amp;PERIODTYPE=QTR_STD&amp;window=popup_no_bar&amp;width=385&amp;height=120&amp;START_MAXIMIZED=FALSE&amp;creator=factset&amp;display_string=Audit"}</definedName>
    <definedName name="_153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530__FDSAUDITLINK__" localSheetId="1"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0__FDSAUDITLINK__" localSheetId="20"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localSheetId="1"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1__FDSAUDITLINK__" localSheetId="20"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localSheetId="1"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2__FDSAUDITLINK__" localSheetId="20"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localSheetId="1"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3__FDSAUDITLINK__" localSheetId="20"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localSheetId="1"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4__FDSAUDITLINK__" localSheetId="20"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localSheetId="1"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5__FDSAUDITLINK__" localSheetId="20"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localSheetId="1"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6__FDSAUDITLINK__" localSheetId="20"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localSheetId="1"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7__FDSAUDITLINK__" localSheetId="20"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localSheetId="1"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8__FDSAUDITLINK__" localSheetId="20"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localSheetId="1"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39__FDSAUDITLINK__" localSheetId="20"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154__FDSAUDITLINK__" localSheetId="20" hidden="1">{"fdsup://Directions/FactSet Auditing Viewer?action=AUDIT_VALUE&amp;DB=129&amp;ID1=02553E10&amp;VALUEID=02101&amp;SDATE=200802&amp;PERIODTYPE=QTR_STD&amp;window=popup_no_bar&amp;width=385&amp;height=120&amp;START_MAXIMIZED=FALSE&amp;creator=factset&amp;display_string=Audit"}</definedName>
    <definedName name="_154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540__FDSAUDITLINK__" localSheetId="1"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0__FDSAUDITLINK__" localSheetId="20"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localSheetId="1"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1__FDSAUDITLINK__" localSheetId="20"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localSheetId="1"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2__FDSAUDITLINK__" localSheetId="20"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localSheetId="1"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3__FDSAUDITLINK__" localSheetId="20"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localSheetId="1"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4__FDSAUDITLINK__" localSheetId="20"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localSheetId="1"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5__FDSAUDITLINK__" localSheetId="20"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localSheetId="1"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6__FDSAUDITLINK__" localSheetId="20"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localSheetId="1"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7__FDSAUDITLINK__" localSheetId="20"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localSheetId="1"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8__FDSAUDITLINK__" localSheetId="20"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localSheetId="1"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49__FDSAUDITLINK__" localSheetId="20"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155__FDSAUDITLINK__" localSheetId="20" hidden="1">{"fdsup://Directions/FactSet Auditing Viewer?action=AUDIT_VALUE&amp;DB=129&amp;ID1=02553E10&amp;VALUEID=01001&amp;SDATE=200802&amp;PERIODTYPE=QTR_STD&amp;window=popup_no_bar&amp;width=385&amp;height=120&amp;START_MAXIMIZED=FALSE&amp;creator=factset&amp;display_string=Audit"}</definedName>
    <definedName name="_155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550__FDSAUDITLINK__" localSheetId="1" hidden="1">{"fdsup://Directions/FactSet Auditing Viewer?action=AUDIT_VALUE&amp;DB=129&amp;ID1=87416110&amp;VALUEID=02101&amp;SDATE=201001&amp;PERIODTYPE=QTR_STD&amp;window=popup_no_bar&amp;width=385&amp;height=120&amp;START_MAXIMIZED=FALSE&amp;creator=factset&amp;display_string=Audit"}</definedName>
    <definedName name="_1550__FDSAUDITLINK__" localSheetId="20" hidden="1">{"fdsup://Directions/FactSet Auditing Viewer?action=AUDIT_VALUE&amp;DB=129&amp;ID1=87416110&amp;VALUEID=02101&amp;SDATE=201001&amp;PERIODTYPE=QTR_STD&amp;window=popup_no_bar&amp;width=385&amp;height=120&amp;START_MAXIMIZED=FALSE&amp;creator=factset&amp;display_string=Audit"}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localSheetId="1" hidden="1">{"fdsup://Directions/FactSet Auditing Viewer?action=AUDIT_VALUE&amp;DB=129&amp;ID1=87416110&amp;VALUEID=13040&amp;SDATE=201001&amp;PERIODTYPE=QTR_STD&amp;window=popup_no_bar&amp;width=385&amp;height=120&amp;START_MAXIMIZED=FALSE&amp;creator=factset&amp;display_string=Audit"}</definedName>
    <definedName name="_1551__FDSAUDITLINK__" localSheetId="20" hidden="1">{"fdsup://Directions/FactSet Auditing Viewer?action=AUDIT_VALUE&amp;DB=129&amp;ID1=87416110&amp;VALUEID=13040&amp;SDATE=201001&amp;PERIODTYPE=QTR_STD&amp;window=popup_no_bar&amp;width=385&amp;height=120&amp;START_MAXIMIZED=FALSE&amp;creator=factset&amp;display_string=Audit"}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localSheetId="1"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2__FDSAUDITLINK__" localSheetId="20"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1553__FDSAUDITLINK__" localSheetId="20" hidden="1">{"fdsup://Directions/FactSet Auditing Viewer?action=AUDIT_VALUE&amp;DB=129&amp;ID1=53271610&amp;VALUEID=02101&amp;SDATE=201001&amp;PERIODTYPE=QTR_STD&amp;window=popup_no_bar&amp;width=385&amp;height=120&amp;START_MAXIMIZED=FALSE&amp;creator=factset&amp;display_string=Audit"}</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1554__FDSAUDITLINK__" localSheetId="20" hidden="1">{"fdsup://Directions/FactSet Auditing Viewer?action=AUDIT_VALUE&amp;DB=129&amp;ID1=53271610&amp;VALUEID=13040&amp;SDATE=201001&amp;PERIODTYPE=QTR_STD&amp;window=popup_no_bar&amp;width=385&amp;height=120&amp;START_MAXIMIZED=FALSE&amp;creator=factset&amp;display_string=Audit"}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localSheetId="1" hidden="1">{"fdsup://Directions/FactSet Auditing Viewer?action=AUDIT_VALUE&amp;DB=129&amp;ID1=46612H40&amp;VALUEID=02101&amp;SDATE=201001&amp;PERIODTYPE=QTR_STD&amp;window=popup_no_bar&amp;width=385&amp;height=120&amp;START_MAXIMIZED=FALSE&amp;creator=factset&amp;display_string=Audit"}</definedName>
    <definedName name="_1555__FDSAUDITLINK__" localSheetId="20" hidden="1">{"fdsup://Directions/FactSet Auditing Viewer?action=AUDIT_VALUE&amp;DB=129&amp;ID1=46612H40&amp;VALUEID=02101&amp;SDATE=201001&amp;PERIODTYPE=QTR_STD&amp;window=popup_no_bar&amp;width=385&amp;height=120&amp;START_MAXIMIZED=FALSE&amp;creator=factset&amp;display_string=Audit"}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localSheetId="1" hidden="1">{"fdsup://Directions/FactSet Auditing Viewer?action=AUDIT_VALUE&amp;DB=129&amp;ID1=46612H40&amp;VALUEID=13040&amp;SDATE=201001&amp;PERIODTYPE=QTR_STD&amp;window=popup_no_bar&amp;width=385&amp;height=120&amp;START_MAXIMIZED=FALSE&amp;creator=factset&amp;display_string=Audit"}</definedName>
    <definedName name="_1556__FDSAUDITLINK__" localSheetId="20" hidden="1">{"fdsup://Directions/FactSet Auditing Viewer?action=AUDIT_VALUE&amp;DB=129&amp;ID1=46612H40&amp;VALUEID=13040&amp;SDATE=201001&amp;PERIODTYPE=QTR_STD&amp;window=popup_no_bar&amp;width=385&amp;height=120&amp;START_MAXIMIZED=FALSE&amp;creator=factset&amp;display_string=Audit"}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localSheetId="1" hidden="1">{"fdsup://Directions/FactSet Auditing Viewer?action=AUDIT_VALUE&amp;DB=129&amp;ID1=36476010&amp;VALUEID=02101&amp;SDATE=201001&amp;PERIODTYPE=QTR_STD&amp;window=popup_no_bar&amp;width=385&amp;height=120&amp;START_MAXIMIZED=FALSE&amp;creator=factset&amp;display_string=Audit"}</definedName>
    <definedName name="_1557__FDSAUDITLINK__" localSheetId="20" hidden="1">{"fdsup://Directions/FactSet Auditing Viewer?action=AUDIT_VALUE&amp;DB=129&amp;ID1=36476010&amp;VALUEID=02101&amp;SDATE=201001&amp;PERIODTYPE=QTR_STD&amp;window=popup_no_bar&amp;width=385&amp;height=120&amp;START_MAXIMIZED=FALSE&amp;creator=factset&amp;display_string=Audit"}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localSheetId="1" hidden="1">{"fdsup://Directions/FactSet Auditing Viewer?action=AUDIT_VALUE&amp;DB=129&amp;ID1=36476010&amp;VALUEID=13040&amp;SDATE=201001&amp;PERIODTYPE=QTR_STD&amp;window=popup_no_bar&amp;width=385&amp;height=120&amp;START_MAXIMIZED=FALSE&amp;creator=factset&amp;display_string=Audit"}</definedName>
    <definedName name="_1558__FDSAUDITLINK__" localSheetId="20" hidden="1">{"fdsup://Directions/FactSet Auditing Viewer?action=AUDIT_VALUE&amp;DB=129&amp;ID1=36476010&amp;VALUEID=13040&amp;SDATE=201001&amp;PERIODTYPE=QTR_STD&amp;window=popup_no_bar&amp;width=385&amp;height=120&amp;START_MAXIMIZED=FALSE&amp;creator=factset&amp;display_string=Audit"}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1559__FDSAUDITLINK__" localSheetId="20" hidden="1">{"fdsup://Directions/FactSet Auditing Viewer?action=AUDIT_VALUE&amp;DB=129&amp;ID1=03611510&amp;VALUEID=02101&amp;SDATE=201001&amp;PERIODTYPE=QTR_STD&amp;window=popup_no_bar&amp;width=385&amp;height=120&amp;START_MAXIMIZED=FALSE&amp;creator=factset&amp;display_string=Audit"}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156__FDSAUDITLINK__" localSheetId="20" hidden="1">{"fdsup://Directions/FactSet Auditing Viewer?action=AUDIT_VALUE&amp;DB=129&amp;ID1=02553E10&amp;VALUEID=13040&amp;SDATE=200802&amp;PERIODTYPE=QTR_STD&amp;window=popup_no_bar&amp;width=385&amp;height=120&amp;START_MAXIMIZED=FALSE&amp;creator=factset&amp;display_string=Audit"}</definedName>
    <definedName name="_156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560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1560__FDSAUDITLINK__" localSheetId="20" hidden="1">{"fdsup://Directions/FactSet Auditing Viewer?action=AUDIT_VALUE&amp;DB=129&amp;ID1=03611510&amp;VALUEID=13040&amp;SDATE=201001&amp;PERIODTYPE=QTR_STD&amp;window=popup_no_bar&amp;width=385&amp;height=120&amp;START_MAXIMIZED=FALSE&amp;creator=factset&amp;display_string=Audit"}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1561__FDSAUDITLINK__" localSheetId="20" hidden="1">{"fdsup://Directions/FactSet Auditing Viewer?action=AUDIT_VALUE&amp;DB=129&amp;ID1=16890510&amp;VALUEID=02101&amp;SDATE=201001&amp;PERIODTYPE=QTR_STD&amp;window=popup_no_bar&amp;width=385&amp;height=120&amp;START_MAXIMIZED=FALSE&amp;creator=factset&amp;display_string=Audit"}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localSheetId="1" hidden="1">{"fdsup://Directions/FactSet Auditing Viewer?action=AUDIT_VALUE&amp;DB=129&amp;ID1=91704710&amp;VALUEID=02101&amp;SDATE=201001&amp;PERIODTYPE=QTR_STD&amp;window=popup_no_bar&amp;width=385&amp;height=120&amp;START_MAXIMIZED=FALSE&amp;creator=factset&amp;display_string=Audit"}</definedName>
    <definedName name="_1562__FDSAUDITLINK__" localSheetId="20" hidden="1">{"fdsup://Directions/FactSet Auditing Viewer?action=AUDIT_VALUE&amp;DB=129&amp;ID1=91704710&amp;VALUEID=02101&amp;SDATE=201001&amp;PERIODTYPE=QTR_STD&amp;window=popup_no_bar&amp;width=385&amp;height=120&amp;START_MAXIMIZED=FALSE&amp;creator=factset&amp;display_string=Audit"}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localSheetId="1" hidden="1">{"fdsup://Directions/FactSet Auditing Viewer?action=AUDIT_VALUE&amp;DB=129&amp;ID1=91704710&amp;VALUEID=13040&amp;SDATE=201001&amp;PERIODTYPE=QTR_STD&amp;window=popup_no_bar&amp;width=385&amp;height=120&amp;START_MAXIMIZED=FALSE&amp;creator=factset&amp;display_string=Audit"}</definedName>
    <definedName name="_1563__FDSAUDITLINK__" localSheetId="20" hidden="1">{"fdsup://Directions/FactSet Auditing Viewer?action=AUDIT_VALUE&amp;DB=129&amp;ID1=91704710&amp;VALUEID=13040&amp;SDATE=201001&amp;PERIODTYPE=QTR_STD&amp;window=popup_no_bar&amp;width=385&amp;height=120&amp;START_MAXIMIZED=FALSE&amp;creator=factset&amp;display_string=Audit"}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localSheetId="1" hidden="1">{"fdsup://Directions/FactSet Auditing Viewer?action=AUDIT_VALUE&amp;DB=129&amp;ID1=02553E10&amp;VALUEID=02101&amp;SDATE=201001&amp;PERIODTYPE=QTR_STD&amp;window=popup_no_bar&amp;width=385&amp;height=120&amp;START_MAXIMIZED=FALSE&amp;creator=factset&amp;display_string=Audit"}</definedName>
    <definedName name="_1564__FDSAUDITLINK__" localSheetId="20" hidden="1">{"fdsup://Directions/FactSet Auditing Viewer?action=AUDIT_VALUE&amp;DB=129&amp;ID1=02553E10&amp;VALUEID=02101&amp;SDATE=201001&amp;PERIODTYPE=QTR_STD&amp;window=popup_no_bar&amp;width=385&amp;height=120&amp;START_MAXIMIZED=FALSE&amp;creator=factset&amp;display_string=Audit"}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localSheetId="1" hidden="1">{"fdsup://Directions/FactSet Auditing Viewer?action=AUDIT_VALUE&amp;DB=129&amp;ID1=02553E10&amp;VALUEID=13040&amp;SDATE=201001&amp;PERIODTYPE=QTR_STD&amp;window=popup_no_bar&amp;width=385&amp;height=120&amp;START_MAXIMIZED=FALSE&amp;creator=factset&amp;display_string=Audit"}</definedName>
    <definedName name="_1565__FDSAUDITLINK__" localSheetId="20" hidden="1">{"fdsup://Directions/FactSet Auditing Viewer?action=AUDIT_VALUE&amp;DB=129&amp;ID1=02553E10&amp;VALUEID=13040&amp;SDATE=201001&amp;PERIODTYPE=QTR_STD&amp;window=popup_no_bar&amp;width=385&amp;height=120&amp;START_MAXIMIZED=FALSE&amp;creator=factset&amp;display_string=Audit"}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localSheetId="1" hidden="1">{"fdsup://Directions/FactSet Auditing Viewer?action=AUDIT_VALUE&amp;DB=129&amp;ID1=00786510&amp;VALUEID=02101&amp;SDATE=201001&amp;PERIODTYPE=QTR_STD&amp;window=popup_no_bar&amp;width=385&amp;height=120&amp;START_MAXIMIZED=FALSE&amp;creator=factset&amp;display_string=Audit"}</definedName>
    <definedName name="_1566__FDSAUDITLINK__" localSheetId="20" hidden="1">{"fdsup://Directions/FactSet Auditing Viewer?action=AUDIT_VALUE&amp;DB=129&amp;ID1=00786510&amp;VALUEID=02101&amp;SDATE=201001&amp;PERIODTYPE=QTR_STD&amp;window=popup_no_bar&amp;width=385&amp;height=120&amp;START_MAXIMIZED=FALSE&amp;creator=factset&amp;display_string=Audit"}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localSheetId="1" hidden="1">{"fdsup://Directions/FactSet Auditing Viewer?action=AUDIT_VALUE&amp;DB=129&amp;ID1=00786510&amp;VALUEID=13040&amp;SDATE=201001&amp;PERIODTYPE=QTR_STD&amp;window=popup_no_bar&amp;width=385&amp;height=120&amp;START_MAXIMIZED=FALSE&amp;creator=factset&amp;display_string=Audit"}</definedName>
    <definedName name="_1567__FDSAUDITLINK__" localSheetId="20" hidden="1">{"fdsup://Directions/FactSet Auditing Viewer?action=AUDIT_VALUE&amp;DB=129&amp;ID1=00786510&amp;VALUEID=13040&amp;SDATE=201001&amp;PERIODTYPE=QTR_STD&amp;window=popup_no_bar&amp;width=385&amp;height=120&amp;START_MAXIMIZED=FALSE&amp;creator=factset&amp;display_string=Audit"}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localSheetId="1" hidden="1">{"fdsup://Directions/FactSet Auditing Viewer?action=AUDIT_VALUE&amp;DB=129&amp;ID1=00289620&amp;VALUEID=02101&amp;SDATE=201001&amp;PERIODTYPE=QTR_STD&amp;window=popup_no_bar&amp;width=385&amp;height=120&amp;START_MAXIMIZED=FALSE&amp;creator=factset&amp;display_string=Audit"}</definedName>
    <definedName name="_1568__FDSAUDITLINK__" localSheetId="20" hidden="1">{"fdsup://Directions/FactSet Auditing Viewer?action=AUDIT_VALUE&amp;DB=129&amp;ID1=00289620&amp;VALUEID=02101&amp;SDATE=201001&amp;PERIODTYPE=QTR_STD&amp;window=popup_no_bar&amp;width=385&amp;height=120&amp;START_MAXIMIZED=FALSE&amp;creator=factset&amp;display_string=Audit"}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localSheetId="1" hidden="1">{"fdsup://Directions/FactSet Auditing Viewer?action=AUDIT_VALUE&amp;DB=129&amp;ID1=00289620&amp;VALUEID=13040&amp;SDATE=201001&amp;PERIODTYPE=QTR_STD&amp;window=popup_no_bar&amp;width=385&amp;height=120&amp;START_MAXIMIZED=FALSE&amp;creator=factset&amp;display_string=Audit"}</definedName>
    <definedName name="_1569__FDSAUDITLINK__" localSheetId="20" hidden="1">{"fdsup://Directions/FactSet Auditing Viewer?action=AUDIT_VALUE&amp;DB=129&amp;ID1=00289620&amp;VALUEID=13040&amp;SDATE=201001&amp;PERIODTYPE=QTR_STD&amp;window=popup_no_bar&amp;width=385&amp;height=120&amp;START_MAXIMIZED=FALSE&amp;creator=factset&amp;display_string=Audit"}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157__FDSAUDITLINK__" localSheetId="20" hidden="1">{"fdsup://Directions/FactSet Auditing Viewer?action=AUDIT_VALUE&amp;DB=129&amp;ID1=00786510&amp;VALUEID=02101&amp;SDATE=200802&amp;PERIODTYPE=QTR_STD&amp;window=popup_no_bar&amp;width=385&amp;height=120&amp;START_MAXIMIZED=FALSE&amp;creator=factset&amp;display_string=Audit"}</definedName>
    <definedName name="_157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570__FDSAUDITLINK__" localSheetId="1" hidden="1">{"fdsup://Directions/FactSet Auditing Viewer?action=AUDIT_VALUE&amp;DB=129&amp;ID1=87416110&amp;VALUEID=01001&amp;SDATE=200904&amp;PERIODTYPE=QTR_STD&amp;window=popup_no_bar&amp;width=385&amp;height=120&amp;START_MAXIMIZED=FALSE&amp;creator=factset&amp;display_string=Audit"}</definedName>
    <definedName name="_1570__FDSAUDITLINK__" localSheetId="20" hidden="1">{"fdsup://Directions/FactSet Auditing Viewer?action=AUDIT_VALUE&amp;DB=129&amp;ID1=87416110&amp;VALUEID=01001&amp;SDATE=200904&amp;PERIODTYPE=QTR_STD&amp;window=popup_no_bar&amp;width=385&amp;height=120&amp;START_MAXIMIZED=FALSE&amp;creator=factset&amp;display_string=Audit"}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localSheetId="1"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1__FDSAUDITLINK__" localSheetId="20"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localSheetId="1" hidden="1">{"fdsup://Directions/FactSet Auditing Viewer?action=AUDIT_VALUE&amp;DB=129&amp;ID1=46612H40&amp;VALUEID=01001&amp;SDATE=200904&amp;PERIODTYPE=QTR_STD&amp;window=popup_no_bar&amp;width=385&amp;height=120&amp;START_MAXIMIZED=FALSE&amp;creator=factset&amp;display_string=Audit"}</definedName>
    <definedName name="_1572__FDSAUDITLINK__" localSheetId="20" hidden="1">{"fdsup://Directions/FactSet Auditing Viewer?action=AUDIT_VALUE&amp;DB=129&amp;ID1=46612H40&amp;VALUEID=01001&amp;SDATE=200904&amp;PERIODTYPE=QTR_STD&amp;window=popup_no_bar&amp;width=385&amp;height=120&amp;START_MAXIMIZED=FALSE&amp;creator=factset&amp;display_string=Audit"}</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localSheetId="1" hidden="1">{"fdsup://Directions/FactSet Auditing Viewer?action=AUDIT_VALUE&amp;DB=129&amp;ID1=36476010&amp;VALUEID=01001&amp;SDATE=200904&amp;PERIODTYPE=QTR_STD&amp;window=popup_no_bar&amp;width=385&amp;height=120&amp;START_MAXIMIZED=FALSE&amp;creator=factset&amp;display_string=Audit"}</definedName>
    <definedName name="_1573__FDSAUDITLINK__" localSheetId="20" hidden="1">{"fdsup://Directions/FactSet Auditing Viewer?action=AUDIT_VALUE&amp;DB=129&amp;ID1=36476010&amp;VALUEID=01001&amp;SDATE=200904&amp;PERIODTYPE=QTR_STD&amp;window=popup_no_bar&amp;width=385&amp;height=120&amp;START_MAXIMIZED=FALSE&amp;creator=factset&amp;display_string=Audit"}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1574__FDSAUDITLINK__" localSheetId="20" hidden="1">{"fdsup://Directions/FactSet Auditing Viewer?action=AUDIT_VALUE&amp;DB=129&amp;ID1=03611510&amp;VALUEID=01001&amp;SDATE=200904&amp;PERIODTYPE=QTR_STD&amp;window=popup_no_bar&amp;width=385&amp;height=120&amp;START_MAXIMIZED=FALSE&amp;creator=factset&amp;display_string=Audit"}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1575__FDSAUDITLINK__" localSheetId="20" hidden="1">{"fdsup://Directions/FactSet Auditing Viewer?action=AUDIT_VALUE&amp;DB=129&amp;ID1=16890510&amp;VALUEID=01001&amp;SDATE=200904&amp;PERIODTYPE=QTR_STD&amp;window=popup_no_bar&amp;width=385&amp;height=120&amp;START_MAXIMIZED=FALSE&amp;creator=factset&amp;display_string=Audit"}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localSheetId="1" hidden="1">{"fdsup://Directions/FactSet Auditing Viewer?action=AUDIT_VALUE&amp;DB=129&amp;ID1=91704710&amp;VALUEID=01001&amp;SDATE=200904&amp;PERIODTYPE=QTR_STD&amp;window=popup_no_bar&amp;width=385&amp;height=120&amp;START_MAXIMIZED=FALSE&amp;creator=factset&amp;display_string=Audit"}</definedName>
    <definedName name="_1576__FDSAUDITLINK__" localSheetId="20" hidden="1">{"fdsup://Directions/FactSet Auditing Viewer?action=AUDIT_VALUE&amp;DB=129&amp;ID1=91704710&amp;VALUEID=01001&amp;SDATE=200904&amp;PERIODTYPE=QTR_STD&amp;window=popup_no_bar&amp;width=385&amp;height=120&amp;START_MAXIMIZED=FALSE&amp;creator=factset&amp;display_string=Audit"}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localSheetId="1" hidden="1">{"fdsup://Directions/FactSet Auditing Viewer?action=AUDIT_VALUE&amp;DB=129&amp;ID1=02553E10&amp;VALUEID=01001&amp;SDATE=200904&amp;PERIODTYPE=QTR_STD&amp;window=popup_no_bar&amp;width=385&amp;height=120&amp;START_MAXIMIZED=FALSE&amp;creator=factset&amp;display_string=Audit"}</definedName>
    <definedName name="_1577__FDSAUDITLINK__" localSheetId="20" hidden="1">{"fdsup://Directions/FactSet Auditing Viewer?action=AUDIT_VALUE&amp;DB=129&amp;ID1=02553E10&amp;VALUEID=01001&amp;SDATE=200904&amp;PERIODTYPE=QTR_STD&amp;window=popup_no_bar&amp;width=385&amp;height=120&amp;START_MAXIMIZED=FALSE&amp;creator=factset&amp;display_string=Audit"}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localSheetId="1" hidden="1">{"fdsup://Directions/FactSet Auditing Viewer?action=AUDIT_VALUE&amp;DB=129&amp;ID1=00786510&amp;VALUEID=01001&amp;SDATE=200904&amp;PERIODTYPE=QTR_STD&amp;window=popup_no_bar&amp;width=385&amp;height=120&amp;START_MAXIMIZED=FALSE&amp;creator=factset&amp;display_string=Audit"}</definedName>
    <definedName name="_1578__FDSAUDITLINK__" localSheetId="20" hidden="1">{"fdsup://Directions/FactSet Auditing Viewer?action=AUDIT_VALUE&amp;DB=129&amp;ID1=00786510&amp;VALUEID=01001&amp;SDATE=200904&amp;PERIODTYPE=QTR_STD&amp;window=popup_no_bar&amp;width=385&amp;height=120&amp;START_MAXIMIZED=FALSE&amp;creator=factset&amp;display_string=Audit"}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localSheetId="1" hidden="1">{"fdsup://Directions/FactSet Auditing Viewer?action=AUDIT_VALUE&amp;DB=129&amp;ID1=87416110&amp;VALUEID=02101&amp;SDATE=200903&amp;PERIODTYPE=QTR_STD&amp;window=popup_no_bar&amp;width=385&amp;height=120&amp;START_MAXIMIZED=FALSE&amp;creator=factset&amp;display_string=Audit"}</definedName>
    <definedName name="_1579__FDSAUDITLINK__" localSheetId="20" hidden="1">{"fdsup://Directions/FactSet Auditing Viewer?action=AUDIT_VALUE&amp;DB=129&amp;ID1=87416110&amp;VALUEID=02101&amp;SDATE=200903&amp;PERIODTYPE=QTR_STD&amp;window=popup_no_bar&amp;width=385&amp;height=120&amp;START_MAXIMIZED=FALSE&amp;creator=factset&amp;display_string=Audit"}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158__FDSAUDITLINK__" localSheetId="20" hidden="1">{"fdsup://Directions/FactSet Auditing Viewer?action=AUDIT_VALUE&amp;DB=129&amp;ID1=00786510&amp;VALUEID=01001&amp;SDATE=200802&amp;PERIODTYPE=QTR_STD&amp;window=popup_no_bar&amp;width=385&amp;height=120&amp;START_MAXIMIZED=FALSE&amp;creator=factset&amp;display_string=Audit"}</definedName>
    <definedName name="_158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580__FDSAUDITLINK__" localSheetId="1" hidden="1">{"fdsup://Directions/FactSet Auditing Viewer?action=AUDIT_VALUE&amp;DB=129&amp;ID1=87416110&amp;VALUEID=01001&amp;SDATE=200903&amp;PERIODTYPE=QTR_STD&amp;window=popup_no_bar&amp;width=385&amp;height=120&amp;START_MAXIMIZED=FALSE&amp;creator=factset&amp;display_string=Audit"}</definedName>
    <definedName name="_1580__FDSAUDITLINK__" localSheetId="20" hidden="1">{"fdsup://Directions/FactSet Auditing Viewer?action=AUDIT_VALUE&amp;DB=129&amp;ID1=87416110&amp;VALUEID=01001&amp;SDATE=200903&amp;PERIODTYPE=QTR_STD&amp;window=popup_no_bar&amp;width=385&amp;height=120&amp;START_MAXIMIZED=FALSE&amp;creator=factset&amp;display_string=Audit"}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localSheetId="1" hidden="1">{"fdsup://Directions/FactSet Auditing Viewer?action=AUDIT_VALUE&amp;DB=129&amp;ID1=87416110&amp;VALUEID=13040&amp;SDATE=200903&amp;PERIODTYPE=QTR_STD&amp;window=popup_no_bar&amp;width=385&amp;height=120&amp;START_MAXIMIZED=FALSE&amp;creator=factset&amp;display_string=Audit"}</definedName>
    <definedName name="_1581__FDSAUDITLINK__" localSheetId="20" hidden="1">{"fdsup://Directions/FactSet Auditing Viewer?action=AUDIT_VALUE&amp;DB=129&amp;ID1=87416110&amp;VALUEID=13040&amp;SDATE=200903&amp;PERIODTYPE=QTR_STD&amp;window=popup_no_bar&amp;width=385&amp;height=120&amp;START_MAXIMIZED=FALSE&amp;creator=factset&amp;display_string=Audit"}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localSheetId="1"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2__FDSAUDITLINK__" localSheetId="20"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1583__FDSAUDITLINK__" localSheetId="20" hidden="1">{"fdsup://Directions/FactSet Auditing Viewer?action=AUDIT_VALUE&amp;DB=129&amp;ID1=53271610&amp;VALUEID=02101&amp;SDATE=200903&amp;PERIODTYPE=QTR_STD&amp;window=popup_no_bar&amp;width=385&amp;height=120&amp;START_MAXIMIZED=FALSE&amp;creator=factset&amp;display_string=Audit"}</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1584__FDSAUDITLINK__" localSheetId="20" hidden="1">{"fdsup://Directions/FactSet Auditing Viewer?action=AUDIT_VALUE&amp;DB=129&amp;ID1=53271610&amp;VALUEID=01001&amp;SDATE=200903&amp;PERIODTYPE=QTR_STD&amp;window=popup_no_bar&amp;width=385&amp;height=120&amp;START_MAXIMIZED=FALSE&amp;creator=factset&amp;display_string=Audit"}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1585__FDSAUDITLINK__" localSheetId="20" hidden="1">{"fdsup://Directions/FactSet Auditing Viewer?action=AUDIT_VALUE&amp;DB=129&amp;ID1=53271610&amp;VALUEID=13040&amp;SDATE=200903&amp;PERIODTYPE=QTR_STD&amp;window=popup_no_bar&amp;width=385&amp;height=120&amp;START_MAXIMIZED=FALSE&amp;creator=factset&amp;display_string=Audit"}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localSheetId="1" hidden="1">{"fdsup://Directions/FactSet Auditing Viewer?action=AUDIT_VALUE&amp;DB=129&amp;ID1=46612H40&amp;VALUEID=02101&amp;SDATE=200903&amp;PERIODTYPE=QTR_STD&amp;window=popup_no_bar&amp;width=385&amp;height=120&amp;START_MAXIMIZED=FALSE&amp;creator=factset&amp;display_string=Audit"}</definedName>
    <definedName name="_1586__FDSAUDITLINK__" localSheetId="20" hidden="1">{"fdsup://Directions/FactSet Auditing Viewer?action=AUDIT_VALUE&amp;DB=129&amp;ID1=46612H40&amp;VALUEID=02101&amp;SDATE=200903&amp;PERIODTYPE=QTR_STD&amp;window=popup_no_bar&amp;width=385&amp;height=120&amp;START_MAXIMIZED=FALSE&amp;creator=factset&amp;display_string=Audit"}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localSheetId="1" hidden="1">{"fdsup://Directions/FactSet Auditing Viewer?action=AUDIT_VALUE&amp;DB=129&amp;ID1=46612H40&amp;VALUEID=01001&amp;SDATE=200903&amp;PERIODTYPE=QTR_STD&amp;window=popup_no_bar&amp;width=385&amp;height=120&amp;START_MAXIMIZED=FALSE&amp;creator=factset&amp;display_string=Audit"}</definedName>
    <definedName name="_1587__FDSAUDITLINK__" localSheetId="20" hidden="1">{"fdsup://Directions/FactSet Auditing Viewer?action=AUDIT_VALUE&amp;DB=129&amp;ID1=46612H40&amp;VALUEID=01001&amp;SDATE=200903&amp;PERIODTYPE=QTR_STD&amp;window=popup_no_bar&amp;width=385&amp;height=120&amp;START_MAXIMIZED=FALSE&amp;creator=factset&amp;display_string=Audit"}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localSheetId="1" hidden="1">{"fdsup://Directions/FactSet Auditing Viewer?action=AUDIT_VALUE&amp;DB=129&amp;ID1=46612H40&amp;VALUEID=13040&amp;SDATE=200903&amp;PERIODTYPE=QTR_STD&amp;window=popup_no_bar&amp;width=385&amp;height=120&amp;START_MAXIMIZED=FALSE&amp;creator=factset&amp;display_string=Audit"}</definedName>
    <definedName name="_1588__FDSAUDITLINK__" localSheetId="20" hidden="1">{"fdsup://Directions/FactSet Auditing Viewer?action=AUDIT_VALUE&amp;DB=129&amp;ID1=46612H40&amp;VALUEID=13040&amp;SDATE=200903&amp;PERIODTYPE=QTR_STD&amp;window=popup_no_bar&amp;width=385&amp;height=120&amp;START_MAXIMIZED=FALSE&amp;creator=factset&amp;display_string=Audit"}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localSheetId="1" hidden="1">{"fdsup://Directions/FactSet Auditing Viewer?action=AUDIT_VALUE&amp;DB=129&amp;ID1=36476010&amp;VALUEID=02101&amp;SDATE=200903&amp;PERIODTYPE=QTR_STD&amp;window=popup_no_bar&amp;width=385&amp;height=120&amp;START_MAXIMIZED=FALSE&amp;creator=factset&amp;display_string=Audit"}</definedName>
    <definedName name="_1589__FDSAUDITLINK__" localSheetId="20" hidden="1">{"fdsup://Directions/FactSet Auditing Viewer?action=AUDIT_VALUE&amp;DB=129&amp;ID1=36476010&amp;VALUEID=02101&amp;SDATE=200903&amp;PERIODTYPE=QTR_STD&amp;window=popup_no_bar&amp;width=385&amp;height=120&amp;START_MAXIMIZED=FALSE&amp;creator=factset&amp;display_string=Audit"}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159__FDSAUDITLINK__" localSheetId="20" hidden="1">{"fdsup://Directions/FactSet Auditing Viewer?action=AUDIT_VALUE&amp;DB=129&amp;ID1=00786510&amp;VALUEID=13040&amp;SDATE=200802&amp;PERIODTYPE=QTR_STD&amp;window=popup_no_bar&amp;width=385&amp;height=120&amp;START_MAXIMIZED=FALSE&amp;creator=factset&amp;display_string=Audit"}</definedName>
    <definedName name="_159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590__FDSAUDITLINK__" localSheetId="1" hidden="1">{"fdsup://Directions/FactSet Auditing Viewer?action=AUDIT_VALUE&amp;DB=129&amp;ID1=36476010&amp;VALUEID=01001&amp;SDATE=200903&amp;PERIODTYPE=QTR_STD&amp;window=popup_no_bar&amp;width=385&amp;height=120&amp;START_MAXIMIZED=FALSE&amp;creator=factset&amp;display_string=Audit"}</definedName>
    <definedName name="_1590__FDSAUDITLINK__" localSheetId="20" hidden="1">{"fdsup://Directions/FactSet Auditing Viewer?action=AUDIT_VALUE&amp;DB=129&amp;ID1=36476010&amp;VALUEID=01001&amp;SDATE=200903&amp;PERIODTYPE=QTR_STD&amp;window=popup_no_bar&amp;width=385&amp;height=120&amp;START_MAXIMIZED=FALSE&amp;creator=factset&amp;display_string=Audit"}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localSheetId="1" hidden="1">{"fdsup://Directions/FactSet Auditing Viewer?action=AUDIT_VALUE&amp;DB=129&amp;ID1=36476010&amp;VALUEID=13040&amp;SDATE=200903&amp;PERIODTYPE=QTR_STD&amp;window=popup_no_bar&amp;width=385&amp;height=120&amp;START_MAXIMIZED=FALSE&amp;creator=factset&amp;display_string=Audit"}</definedName>
    <definedName name="_1591__FDSAUDITLINK__" localSheetId="20" hidden="1">{"fdsup://Directions/FactSet Auditing Viewer?action=AUDIT_VALUE&amp;DB=129&amp;ID1=36476010&amp;VALUEID=13040&amp;SDATE=200903&amp;PERIODTYPE=QTR_STD&amp;window=popup_no_bar&amp;width=385&amp;height=120&amp;START_MAXIMIZED=FALSE&amp;creator=factset&amp;display_string=Audit"}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1592__FDSAUDITLINK__" localSheetId="20" hidden="1">{"fdsup://Directions/FactSet Auditing Viewer?action=AUDIT_VALUE&amp;DB=129&amp;ID1=03611510&amp;VALUEID=02101&amp;SDATE=200903&amp;PERIODTYPE=QTR_STD&amp;window=popup_no_bar&amp;width=385&amp;height=120&amp;START_MAXIMIZED=FALSE&amp;creator=factset&amp;display_string=Audit"}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1593__FDSAUDITLINK__" localSheetId="20" hidden="1">{"fdsup://Directions/FactSet Auditing Viewer?action=AUDIT_VALUE&amp;DB=129&amp;ID1=03611510&amp;VALUEID=01001&amp;SDATE=200903&amp;PERIODTYPE=QTR_STD&amp;window=popup_no_bar&amp;width=385&amp;height=120&amp;START_MAXIMIZED=FALSE&amp;creator=factset&amp;display_string=Audit"}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1594__FDSAUDITLINK__" localSheetId="20" hidden="1">{"fdsup://Directions/FactSet Auditing Viewer?action=AUDIT_VALUE&amp;DB=129&amp;ID1=03611510&amp;VALUEID=13040&amp;SDATE=200903&amp;PERIODTYPE=QTR_STD&amp;window=popup_no_bar&amp;width=385&amp;height=120&amp;START_MAXIMIZED=FALSE&amp;creator=factset&amp;display_string=Audit"}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1595__FDSAUDITLINK__" localSheetId="20" hidden="1">{"fdsup://Directions/FactSet Auditing Viewer?action=AUDIT_VALUE&amp;DB=129&amp;ID1=16890510&amp;VALUEID=02101&amp;SDATE=200903&amp;PERIODTYPE=QTR_STD&amp;window=popup_no_bar&amp;width=385&amp;height=120&amp;START_MAXIMIZED=FALSE&amp;creator=factset&amp;display_string=Audit"}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1596__FDSAUDITLINK__" localSheetId="20" hidden="1">{"fdsup://Directions/FactSet Auditing Viewer?action=AUDIT_VALUE&amp;DB=129&amp;ID1=16890510&amp;VALUEID=01001&amp;SDATE=200903&amp;PERIODTYPE=QTR_STD&amp;window=popup_no_bar&amp;width=385&amp;height=120&amp;START_MAXIMIZED=FALSE&amp;creator=factset&amp;display_string=Audit"}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localSheetId="1" hidden="1">{"fdsup://Directions/FactSet Auditing Viewer?action=AUDIT_VALUE&amp;DB=129&amp;ID1=91704710&amp;VALUEID=02101&amp;SDATE=200903&amp;PERIODTYPE=QTR_STD&amp;window=popup_no_bar&amp;width=385&amp;height=120&amp;START_MAXIMIZED=FALSE&amp;creator=factset&amp;display_string=Audit"}</definedName>
    <definedName name="_1597__FDSAUDITLINK__" localSheetId="20" hidden="1">{"fdsup://Directions/FactSet Auditing Viewer?action=AUDIT_VALUE&amp;DB=129&amp;ID1=91704710&amp;VALUEID=02101&amp;SDATE=200903&amp;PERIODTYPE=QTR_STD&amp;window=popup_no_bar&amp;width=385&amp;height=120&amp;START_MAXIMIZED=FALSE&amp;creator=factset&amp;display_string=Audit"}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localSheetId="1" hidden="1">{"fdsup://Directions/FactSet Auditing Viewer?action=AUDIT_VALUE&amp;DB=129&amp;ID1=91704710&amp;VALUEID=01001&amp;SDATE=200903&amp;PERIODTYPE=QTR_STD&amp;window=popup_no_bar&amp;width=385&amp;height=120&amp;START_MAXIMIZED=FALSE&amp;creator=factset&amp;display_string=Audit"}</definedName>
    <definedName name="_1598__FDSAUDITLINK__" localSheetId="20" hidden="1">{"fdsup://Directions/FactSet Auditing Viewer?action=AUDIT_VALUE&amp;DB=129&amp;ID1=91704710&amp;VALUEID=01001&amp;SDATE=200903&amp;PERIODTYPE=QTR_STD&amp;window=popup_no_bar&amp;width=385&amp;height=120&amp;START_MAXIMIZED=FALSE&amp;creator=factset&amp;display_string=Audit"}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localSheetId="1" hidden="1">{"fdsup://Directions/FactSet Auditing Viewer?action=AUDIT_VALUE&amp;DB=129&amp;ID1=91704710&amp;VALUEID=13040&amp;SDATE=200903&amp;PERIODTYPE=QTR_STD&amp;window=popup_no_bar&amp;width=385&amp;height=120&amp;START_MAXIMIZED=FALSE&amp;creator=factset&amp;display_string=Audit"}</definedName>
    <definedName name="_1599__FDSAUDITLINK__" localSheetId="20" hidden="1">{"fdsup://Directions/FactSet Auditing Viewer?action=AUDIT_VALUE&amp;DB=129&amp;ID1=91704710&amp;VALUEID=13040&amp;SDATE=200903&amp;PERIODTYPE=QTR_STD&amp;window=popup_no_bar&amp;width=385&amp;height=120&amp;START_MAXIMIZED=FALSE&amp;creator=factset&amp;display_string=Audit"}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localSheetId="1" hidden="1">{"fdsup://directions/FAT Viewer?action=UPDATE&amp;creator=factset&amp;DYN_ARGS=TRUE&amp;DOC_NAME=FAT:FQL_AUDITING_CLIENT_TEMPLATE.FAT&amp;display_string=Audit&amp;VAR:KEY=MDCVGZALMZ&amp;VAR:QUERY=RkZfRU5UUlBSX1ZBTF9FQklUREFfT1BFUihBTk4sMCk=&amp;WINDOW=FIRST_POPUP&amp;HEIGHT=450&amp;WIDTH=450&amp;","START_MAXIMIZED=FALSE&amp;VAR:CALENDAR=FIVEDAY&amp;VAR:SYMBOL=CMRG&amp;VAR:INDEX=0"}</definedName>
    <definedName name="_16__FDSAUDITLINK__" localSheetId="20" hidden="1">{"fdsup://Directions/FactSet Auditing Viewer?action=AUDIT_VALUE&amp;DB=129&amp;ID1=02553E10&amp;VALUEID=13040&amp;SDATE=201001&amp;PERIODTYPE=QTR_STD&amp;window=popup_no_bar&amp;width=385&amp;height=120&amp;START_MAXIMIZED=FALSE&amp;creator=factset&amp;display_string=Audit"}</definedName>
    <definedName name="_16__FDSAUDITLINK__" hidden="1">{"fdsup://directions/FAT Viewer?action=UPDATE&amp;creator=factset&amp;DYN_ARGS=TRUE&amp;DOC_NAME=FAT:FQL_AUDITING_CLIENT_TEMPLATE.FAT&amp;display_string=Audit&amp;VAR:KEY=MDCVGZALMZ&amp;VAR:QUERY=RkZfRU5UUlBSX1ZBTF9FQklUREFfT1BFUihBTk4sMCk=&amp;WINDOW=FIRST_POPUP&amp;HEIGHT=450&amp;WIDTH=450&amp;","START_MAXIMIZED=FALSE&amp;VAR:CALENDAR=FIVEDAY&amp;VAR:SYMBOL=CMRG&amp;VAR:INDEX=0"}</definedName>
    <definedName name="_160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160__FDSAUDITLINK__" localSheetId="20" hidden="1">{"fdsup://Directions/FactSet Auditing Viewer?action=AUDIT_VALUE&amp;DB=129&amp;ID1=00289620&amp;VALUEID=02101&amp;SDATE=200802&amp;PERIODTYPE=QTR_STD&amp;window=popup_no_bar&amp;width=385&amp;height=120&amp;START_MAXIMIZED=FALSE&amp;creator=factset&amp;display_string=Audit"}</definedName>
    <definedName name="_160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600__FDSAUDITLINK__" localSheetId="1" hidden="1">{"fdsup://Directions/FactSet Auditing Viewer?action=AUDIT_VALUE&amp;DB=129&amp;ID1=02553E10&amp;VALUEID=02101&amp;SDATE=200903&amp;PERIODTYPE=QTR_STD&amp;window=popup_no_bar&amp;width=385&amp;height=120&amp;START_MAXIMIZED=FALSE&amp;creator=factset&amp;display_string=Audit"}</definedName>
    <definedName name="_1600__FDSAUDITLINK__" localSheetId="20" hidden="1">{"fdsup://Directions/FactSet Auditing Viewer?action=AUDIT_VALUE&amp;DB=129&amp;ID1=02553E10&amp;VALUEID=02101&amp;SDATE=200903&amp;PERIODTYPE=QTR_STD&amp;window=popup_no_bar&amp;width=385&amp;height=120&amp;START_MAXIMIZED=FALSE&amp;creator=factset&amp;display_string=Audit"}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localSheetId="1" hidden="1">{"fdsup://Directions/FactSet Auditing Viewer?action=AUDIT_VALUE&amp;DB=129&amp;ID1=02553E10&amp;VALUEID=01001&amp;SDATE=200903&amp;PERIODTYPE=QTR_STD&amp;window=popup_no_bar&amp;width=385&amp;height=120&amp;START_MAXIMIZED=FALSE&amp;creator=factset&amp;display_string=Audit"}</definedName>
    <definedName name="_1601__FDSAUDITLINK__" localSheetId="20" hidden="1">{"fdsup://Directions/FactSet Auditing Viewer?action=AUDIT_VALUE&amp;DB=129&amp;ID1=02553E10&amp;VALUEID=01001&amp;SDATE=200903&amp;PERIODTYPE=QTR_STD&amp;window=popup_no_bar&amp;width=385&amp;height=120&amp;START_MAXIMIZED=FALSE&amp;creator=factset&amp;display_string=Audit"}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localSheetId="1" hidden="1">{"fdsup://Directions/FactSet Auditing Viewer?action=AUDIT_VALUE&amp;DB=129&amp;ID1=00786510&amp;VALUEID=02101&amp;SDATE=200903&amp;PERIODTYPE=QTR_STD&amp;window=popup_no_bar&amp;width=385&amp;height=120&amp;START_MAXIMIZED=FALSE&amp;creator=factset&amp;display_string=Audit"}</definedName>
    <definedName name="_1602__FDSAUDITLINK__" localSheetId="20" hidden="1">{"fdsup://Directions/FactSet Auditing Viewer?action=AUDIT_VALUE&amp;DB=129&amp;ID1=00786510&amp;VALUEID=02101&amp;SDATE=200903&amp;PERIODTYPE=QTR_STD&amp;window=popup_no_bar&amp;width=385&amp;height=120&amp;START_MAXIMIZED=FALSE&amp;creator=factset&amp;display_string=Audit"}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localSheetId="1" hidden="1">{"fdsup://Directions/FactSet Auditing Viewer?action=AUDIT_VALUE&amp;DB=129&amp;ID1=00786510&amp;VALUEID=01001&amp;SDATE=200903&amp;PERIODTYPE=QTR_STD&amp;window=popup_no_bar&amp;width=385&amp;height=120&amp;START_MAXIMIZED=FALSE&amp;creator=factset&amp;display_string=Audit"}</definedName>
    <definedName name="_1603__FDSAUDITLINK__" localSheetId="20" hidden="1">{"fdsup://Directions/FactSet Auditing Viewer?action=AUDIT_VALUE&amp;DB=129&amp;ID1=00786510&amp;VALUEID=01001&amp;SDATE=200903&amp;PERIODTYPE=QTR_STD&amp;window=popup_no_bar&amp;width=385&amp;height=120&amp;START_MAXIMIZED=FALSE&amp;creator=factset&amp;display_string=Audit"}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localSheetId="1" hidden="1">{"fdsup://Directions/FactSet Auditing Viewer?action=AUDIT_VALUE&amp;DB=129&amp;ID1=00786510&amp;VALUEID=13040&amp;SDATE=200903&amp;PERIODTYPE=QTR_STD&amp;window=popup_no_bar&amp;width=385&amp;height=120&amp;START_MAXIMIZED=FALSE&amp;creator=factset&amp;display_string=Audit"}</definedName>
    <definedName name="_1604__FDSAUDITLINK__" localSheetId="20" hidden="1">{"fdsup://Directions/FactSet Auditing Viewer?action=AUDIT_VALUE&amp;DB=129&amp;ID1=00786510&amp;VALUEID=13040&amp;SDATE=200903&amp;PERIODTYPE=QTR_STD&amp;window=popup_no_bar&amp;width=385&amp;height=120&amp;START_MAXIMIZED=FALSE&amp;creator=factset&amp;display_string=Audit"}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localSheetId="1" hidden="1">{"fdsup://Directions/FactSet Auditing Viewer?action=AUDIT_VALUE&amp;DB=129&amp;ID1=00289620&amp;VALUEID=02101&amp;SDATE=200903&amp;PERIODTYPE=QTR_STD&amp;window=popup_no_bar&amp;width=385&amp;height=120&amp;START_MAXIMIZED=FALSE&amp;creator=factset&amp;display_string=Audit"}</definedName>
    <definedName name="_1605__FDSAUDITLINK__" localSheetId="20" hidden="1">{"fdsup://Directions/FactSet Auditing Viewer?action=AUDIT_VALUE&amp;DB=129&amp;ID1=00289620&amp;VALUEID=02101&amp;SDATE=200903&amp;PERIODTYPE=QTR_STD&amp;window=popup_no_bar&amp;width=385&amp;height=120&amp;START_MAXIMIZED=FALSE&amp;creator=factset&amp;display_string=Audit"}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localSheetId="1" hidden="1">{"fdsup://Directions/FactSet Auditing Viewer?action=AUDIT_VALUE&amp;DB=129&amp;ID1=00289620&amp;VALUEID=01001&amp;SDATE=200903&amp;PERIODTYPE=QTR_STD&amp;window=popup_no_bar&amp;width=385&amp;height=120&amp;START_MAXIMIZED=FALSE&amp;creator=factset&amp;display_string=Audit"}</definedName>
    <definedName name="_1606__FDSAUDITLINK__" localSheetId="20" hidden="1">{"fdsup://Directions/FactSet Auditing Viewer?action=AUDIT_VALUE&amp;DB=129&amp;ID1=00289620&amp;VALUEID=01001&amp;SDATE=200903&amp;PERIODTYPE=QTR_STD&amp;window=popup_no_bar&amp;width=385&amp;height=120&amp;START_MAXIMIZED=FALSE&amp;creator=factset&amp;display_string=Audit"}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localSheetId="1" hidden="1">{"fdsup://Directions/FactSet Auditing Viewer?action=AUDIT_VALUE&amp;DB=129&amp;ID1=00289620&amp;VALUEID=13040&amp;SDATE=200903&amp;PERIODTYPE=QTR_STD&amp;window=popup_no_bar&amp;width=385&amp;height=120&amp;START_MAXIMIZED=FALSE&amp;creator=factset&amp;display_string=Audit"}</definedName>
    <definedName name="_1607__FDSAUDITLINK__" localSheetId="20" hidden="1">{"fdsup://Directions/FactSet Auditing Viewer?action=AUDIT_VALUE&amp;DB=129&amp;ID1=00289620&amp;VALUEID=13040&amp;SDATE=200903&amp;PERIODTYPE=QTR_STD&amp;window=popup_no_bar&amp;width=385&amp;height=120&amp;START_MAXIMIZED=FALSE&amp;creator=factset&amp;display_string=Audit"}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localSheetId="1" hidden="1">{"fdsup://Directions/FactSet Auditing Viewer?action=AUDIT_VALUE&amp;DB=129&amp;ID1=87416110&amp;VALUEID=02101&amp;SDATE=200902&amp;PERIODTYPE=QTR_STD&amp;window=popup_no_bar&amp;width=385&amp;height=120&amp;START_MAXIMIZED=FALSE&amp;creator=factset&amp;display_string=Audit"}</definedName>
    <definedName name="_1608__FDSAUDITLINK__" localSheetId="20" hidden="1">{"fdsup://Directions/FactSet Auditing Viewer?action=AUDIT_VALUE&amp;DB=129&amp;ID1=87416110&amp;VALUEID=02101&amp;SDATE=200902&amp;PERIODTYPE=QTR_STD&amp;window=popup_no_bar&amp;width=385&amp;height=120&amp;START_MAXIMIZED=FALSE&amp;creator=factset&amp;display_string=Audit"}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localSheetId="1" hidden="1">{"fdsup://Directions/FactSet Auditing Viewer?action=AUDIT_VALUE&amp;DB=129&amp;ID1=87416110&amp;VALUEID=01001&amp;SDATE=200902&amp;PERIODTYPE=QTR_STD&amp;window=popup_no_bar&amp;width=385&amp;height=120&amp;START_MAXIMIZED=FALSE&amp;creator=factset&amp;display_string=Audit"}</definedName>
    <definedName name="_1609__FDSAUDITLINK__" localSheetId="20" hidden="1">{"fdsup://Directions/FactSet Auditing Viewer?action=AUDIT_VALUE&amp;DB=129&amp;ID1=87416110&amp;VALUEID=01001&amp;SDATE=200902&amp;PERIODTYPE=QTR_STD&amp;window=popup_no_bar&amp;width=385&amp;height=120&amp;START_MAXIMIZED=FALSE&amp;creator=factset&amp;display_string=Audit"}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161__FDSAUDITLINK__" localSheetId="20" hidden="1">{"fdsup://Directions/FactSet Auditing Viewer?action=AUDIT_VALUE&amp;DB=129&amp;ID1=00289620&amp;VALUEID=01001&amp;SDATE=200802&amp;PERIODTYPE=QTR_STD&amp;window=popup_no_bar&amp;width=385&amp;height=120&amp;START_MAXIMIZED=FALSE&amp;creator=factset&amp;display_string=Audit"}</definedName>
    <definedName name="_161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610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1610__FDSAUDITLINK__" localSheetId="20" hidden="1">{"fdsup://Directions/FactSet Auditing Viewer?action=AUDIT_VALUE&amp;DB=129&amp;ID1=53271610&amp;VALUEID=02101&amp;SDATE=200902&amp;PERIODTYPE=QTR_STD&amp;window=popup_no_bar&amp;width=385&amp;height=120&amp;START_MAXIMIZED=FALSE&amp;creator=factset&amp;display_string=Audit"}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1611__FDSAUDITLINK__" localSheetId="20" hidden="1">{"fdsup://Directions/FactSet Auditing Viewer?action=AUDIT_VALUE&amp;DB=129&amp;ID1=53271610&amp;VALUEID=01001&amp;SDATE=200902&amp;PERIODTYPE=QTR_STD&amp;window=popup_no_bar&amp;width=385&amp;height=120&amp;START_MAXIMIZED=FALSE&amp;creator=factset&amp;display_string=Audit"}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1612__FDSAUDITLINK__" localSheetId="20" hidden="1">{"fdsup://Directions/FactSet Auditing Viewer?action=AUDIT_VALUE&amp;DB=129&amp;ID1=53271610&amp;VALUEID=13040&amp;SDATE=200902&amp;PERIODTYPE=QTR_STD&amp;window=popup_no_bar&amp;width=385&amp;height=120&amp;START_MAXIMIZED=FALSE&amp;creator=factset&amp;display_string=Audit"}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localSheetId="1" hidden="1">{"fdsup://Directions/FactSet Auditing Viewer?action=AUDIT_VALUE&amp;DB=129&amp;ID1=46612H40&amp;VALUEID=02101&amp;SDATE=200902&amp;PERIODTYPE=QTR_STD&amp;window=popup_no_bar&amp;width=385&amp;height=120&amp;START_MAXIMIZED=FALSE&amp;creator=factset&amp;display_string=Audit"}</definedName>
    <definedName name="_1613__FDSAUDITLINK__" localSheetId="20" hidden="1">{"fdsup://Directions/FactSet Auditing Viewer?action=AUDIT_VALUE&amp;DB=129&amp;ID1=46612H40&amp;VALUEID=02101&amp;SDATE=200902&amp;PERIODTYPE=QTR_STD&amp;window=popup_no_bar&amp;width=385&amp;height=120&amp;START_MAXIMIZED=FALSE&amp;creator=factset&amp;display_string=Audit"}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localSheetId="1" hidden="1">{"fdsup://Directions/FactSet Auditing Viewer?action=AUDIT_VALUE&amp;DB=129&amp;ID1=46612H40&amp;VALUEID=01001&amp;SDATE=200902&amp;PERIODTYPE=QTR_STD&amp;window=popup_no_bar&amp;width=385&amp;height=120&amp;START_MAXIMIZED=FALSE&amp;creator=factset&amp;display_string=Audit"}</definedName>
    <definedName name="_1614__FDSAUDITLINK__" localSheetId="20" hidden="1">{"fdsup://Directions/FactSet Auditing Viewer?action=AUDIT_VALUE&amp;DB=129&amp;ID1=46612H40&amp;VALUEID=01001&amp;SDATE=200902&amp;PERIODTYPE=QTR_STD&amp;window=popup_no_bar&amp;width=385&amp;height=120&amp;START_MAXIMIZED=FALSE&amp;creator=factset&amp;display_string=Audit"}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localSheetId="1" hidden="1">{"fdsup://Directions/FactSet Auditing Viewer?action=AUDIT_VALUE&amp;DB=129&amp;ID1=46612H40&amp;VALUEID=13040&amp;SDATE=200902&amp;PERIODTYPE=QTR_STD&amp;window=popup_no_bar&amp;width=385&amp;height=120&amp;START_MAXIMIZED=FALSE&amp;creator=factset&amp;display_string=Audit"}</definedName>
    <definedName name="_1615__FDSAUDITLINK__" localSheetId="20" hidden="1">{"fdsup://Directions/FactSet Auditing Viewer?action=AUDIT_VALUE&amp;DB=129&amp;ID1=46612H40&amp;VALUEID=13040&amp;SDATE=200902&amp;PERIODTYPE=QTR_STD&amp;window=popup_no_bar&amp;width=385&amp;height=120&amp;START_MAXIMIZED=FALSE&amp;creator=factset&amp;display_string=Audit"}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localSheetId="1" hidden="1">{"fdsup://Directions/FactSet Auditing Viewer?action=AUDIT_VALUE&amp;DB=129&amp;ID1=36476010&amp;VALUEID=02101&amp;SDATE=200902&amp;PERIODTYPE=QTR_STD&amp;window=popup_no_bar&amp;width=385&amp;height=120&amp;START_MAXIMIZED=FALSE&amp;creator=factset&amp;display_string=Audit"}</definedName>
    <definedName name="_1616__FDSAUDITLINK__" localSheetId="20" hidden="1">{"fdsup://Directions/FactSet Auditing Viewer?action=AUDIT_VALUE&amp;DB=129&amp;ID1=36476010&amp;VALUEID=02101&amp;SDATE=200902&amp;PERIODTYPE=QTR_STD&amp;window=popup_no_bar&amp;width=385&amp;height=120&amp;START_MAXIMIZED=FALSE&amp;creator=factset&amp;display_string=Audit"}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localSheetId="1" hidden="1">{"fdsup://Directions/FactSet Auditing Viewer?action=AUDIT_VALUE&amp;DB=129&amp;ID1=36476010&amp;VALUEID=01001&amp;SDATE=200902&amp;PERIODTYPE=QTR_STD&amp;window=popup_no_bar&amp;width=385&amp;height=120&amp;START_MAXIMIZED=FALSE&amp;creator=factset&amp;display_string=Audit"}</definedName>
    <definedName name="_1617__FDSAUDITLINK__" localSheetId="20" hidden="1">{"fdsup://Directions/FactSet Auditing Viewer?action=AUDIT_VALUE&amp;DB=129&amp;ID1=36476010&amp;VALUEID=01001&amp;SDATE=200902&amp;PERIODTYPE=QTR_STD&amp;window=popup_no_bar&amp;width=385&amp;height=120&amp;START_MAXIMIZED=FALSE&amp;creator=factset&amp;display_string=Audit"}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localSheetId="1" hidden="1">{"fdsup://Directions/FactSet Auditing Viewer?action=AUDIT_VALUE&amp;DB=129&amp;ID1=36476010&amp;VALUEID=13040&amp;SDATE=200902&amp;PERIODTYPE=QTR_STD&amp;window=popup_no_bar&amp;width=385&amp;height=120&amp;START_MAXIMIZED=FALSE&amp;creator=factset&amp;display_string=Audit"}</definedName>
    <definedName name="_1618__FDSAUDITLINK__" localSheetId="20" hidden="1">{"fdsup://Directions/FactSet Auditing Viewer?action=AUDIT_VALUE&amp;DB=129&amp;ID1=36476010&amp;VALUEID=13040&amp;SDATE=200902&amp;PERIODTYPE=QTR_STD&amp;window=popup_no_bar&amp;width=385&amp;height=120&amp;START_MAXIMIZED=FALSE&amp;creator=factset&amp;display_string=Audit"}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1619__FDSAUDITLINK__" localSheetId="20" hidden="1">{"fdsup://Directions/FactSet Auditing Viewer?action=AUDIT_VALUE&amp;DB=129&amp;ID1=03611510&amp;VALUEID=02101&amp;SDATE=200902&amp;PERIODTYPE=QTR_STD&amp;window=popup_no_bar&amp;width=385&amp;height=120&amp;START_MAXIMIZED=FALSE&amp;creator=factset&amp;display_string=Audit"}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162__FDSAUDITLINK__" localSheetId="20" hidden="1">{"fdsup://Directions/FactSet Auditing Viewer?action=AUDIT_VALUE&amp;DB=129&amp;ID1=00289620&amp;VALUEID=13040&amp;SDATE=200802&amp;PERIODTYPE=QTR_STD&amp;window=popup_no_bar&amp;width=385&amp;height=120&amp;START_MAXIMIZED=FALSE&amp;creator=factset&amp;display_string=Audit"}</definedName>
    <definedName name="_162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620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1620__FDSAUDITLINK__" localSheetId="20" hidden="1">{"fdsup://Directions/FactSet Auditing Viewer?action=AUDIT_VALUE&amp;DB=129&amp;ID1=03611510&amp;VALUEID=01001&amp;SDATE=200902&amp;PERIODTYPE=QTR_STD&amp;window=popup_no_bar&amp;width=385&amp;height=120&amp;START_MAXIMIZED=FALSE&amp;creator=factset&amp;display_string=Audit"}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1621__FDSAUDITLINK__" localSheetId="20" hidden="1">{"fdsup://Directions/FactSet Auditing Viewer?action=AUDIT_VALUE&amp;DB=129&amp;ID1=03611510&amp;VALUEID=13040&amp;SDATE=200902&amp;PERIODTYPE=QTR_STD&amp;window=popup_no_bar&amp;width=385&amp;height=120&amp;START_MAXIMIZED=FALSE&amp;creator=factset&amp;display_string=Audit"}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1622__FDSAUDITLINK__" localSheetId="20" hidden="1">{"fdsup://Directions/FactSet Auditing Viewer?action=AUDIT_VALUE&amp;DB=129&amp;ID1=16890510&amp;VALUEID=02101&amp;SDATE=200902&amp;PERIODTYPE=QTR_STD&amp;window=popup_no_bar&amp;width=385&amp;height=120&amp;START_MAXIMIZED=FALSE&amp;creator=factset&amp;display_string=Audit"}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1623__FDSAUDITLINK__" localSheetId="20" hidden="1">{"fdsup://Directions/FactSet Auditing Viewer?action=AUDIT_VALUE&amp;DB=129&amp;ID1=16890510&amp;VALUEID=01001&amp;SDATE=200902&amp;PERIODTYPE=QTR_STD&amp;window=popup_no_bar&amp;width=385&amp;height=120&amp;START_MAXIMIZED=FALSE&amp;creator=factset&amp;display_string=Audit"}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localSheetId="1" hidden="1">{"fdsup://Directions/FactSet Auditing Viewer?action=AUDIT_VALUE&amp;DB=129&amp;ID1=91704710&amp;VALUEID=02101&amp;SDATE=200902&amp;PERIODTYPE=QTR_STD&amp;window=popup_no_bar&amp;width=385&amp;height=120&amp;START_MAXIMIZED=FALSE&amp;creator=factset&amp;display_string=Audit"}</definedName>
    <definedName name="_1624__FDSAUDITLINK__" localSheetId="20" hidden="1">{"fdsup://Directions/FactSet Auditing Viewer?action=AUDIT_VALUE&amp;DB=129&amp;ID1=91704710&amp;VALUEID=02101&amp;SDATE=200902&amp;PERIODTYPE=QTR_STD&amp;window=popup_no_bar&amp;width=385&amp;height=120&amp;START_MAXIMIZED=FALSE&amp;creator=factset&amp;display_string=Audit"}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localSheetId="1" hidden="1">{"fdsup://Directions/FactSet Auditing Viewer?action=AUDIT_VALUE&amp;DB=129&amp;ID1=91704710&amp;VALUEID=01001&amp;SDATE=200902&amp;PERIODTYPE=QTR_STD&amp;window=popup_no_bar&amp;width=385&amp;height=120&amp;START_MAXIMIZED=FALSE&amp;creator=factset&amp;display_string=Audit"}</definedName>
    <definedName name="_1625__FDSAUDITLINK__" localSheetId="20" hidden="1">{"fdsup://Directions/FactSet Auditing Viewer?action=AUDIT_VALUE&amp;DB=129&amp;ID1=91704710&amp;VALUEID=01001&amp;SDATE=200902&amp;PERIODTYPE=QTR_STD&amp;window=popup_no_bar&amp;width=385&amp;height=120&amp;START_MAXIMIZED=FALSE&amp;creator=factset&amp;display_string=Audit"}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localSheetId="1" hidden="1">{"fdsup://Directions/FactSet Auditing Viewer?action=AUDIT_VALUE&amp;DB=129&amp;ID1=02553E10&amp;VALUEID=02101&amp;SDATE=200902&amp;PERIODTYPE=QTR_STD&amp;window=popup_no_bar&amp;width=385&amp;height=120&amp;START_MAXIMIZED=FALSE&amp;creator=factset&amp;display_string=Audit"}</definedName>
    <definedName name="_1626__FDSAUDITLINK__" localSheetId="20" hidden="1">{"fdsup://Directions/FactSet Auditing Viewer?action=AUDIT_VALUE&amp;DB=129&amp;ID1=02553E10&amp;VALUEID=02101&amp;SDATE=200902&amp;PERIODTYPE=QTR_STD&amp;window=popup_no_bar&amp;width=385&amp;height=120&amp;START_MAXIMIZED=FALSE&amp;creator=factset&amp;display_string=Audit"}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localSheetId="1" hidden="1">{"fdsup://Directions/FactSet Auditing Viewer?action=AUDIT_VALUE&amp;DB=129&amp;ID1=02553E10&amp;VALUEID=01001&amp;SDATE=200902&amp;PERIODTYPE=QTR_STD&amp;window=popup_no_bar&amp;width=385&amp;height=120&amp;START_MAXIMIZED=FALSE&amp;creator=factset&amp;display_string=Audit"}</definedName>
    <definedName name="_1627__FDSAUDITLINK__" localSheetId="20" hidden="1">{"fdsup://Directions/FactSet Auditing Viewer?action=AUDIT_VALUE&amp;DB=129&amp;ID1=02553E10&amp;VALUEID=01001&amp;SDATE=200902&amp;PERIODTYPE=QTR_STD&amp;window=popup_no_bar&amp;width=385&amp;height=120&amp;START_MAXIMIZED=FALSE&amp;creator=factset&amp;display_string=Audit"}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localSheetId="1" hidden="1">{"fdsup://Directions/FactSet Auditing Viewer?action=AUDIT_VALUE&amp;DB=129&amp;ID1=02553E10&amp;VALUEID=13040&amp;SDATE=200902&amp;PERIODTYPE=QTR_STD&amp;window=popup_no_bar&amp;width=385&amp;height=120&amp;START_MAXIMIZED=FALSE&amp;creator=factset&amp;display_string=Audit"}</definedName>
    <definedName name="_1628__FDSAUDITLINK__" localSheetId="20" hidden="1">{"fdsup://Directions/FactSet Auditing Viewer?action=AUDIT_VALUE&amp;DB=129&amp;ID1=02553E10&amp;VALUEID=13040&amp;SDATE=200902&amp;PERIODTYPE=QTR_STD&amp;window=popup_no_bar&amp;width=385&amp;height=120&amp;START_MAXIMIZED=FALSE&amp;creator=factset&amp;display_string=Audit"}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localSheetId="1" hidden="1">{"fdsup://Directions/FactSet Auditing Viewer?action=AUDIT_VALUE&amp;DB=129&amp;ID1=00786510&amp;VALUEID=02101&amp;SDATE=200902&amp;PERIODTYPE=QTR_STD&amp;window=popup_no_bar&amp;width=385&amp;height=120&amp;START_MAXIMIZED=FALSE&amp;creator=factset&amp;display_string=Audit"}</definedName>
    <definedName name="_1629__FDSAUDITLINK__" localSheetId="20" hidden="1">{"fdsup://Directions/FactSet Auditing Viewer?action=AUDIT_VALUE&amp;DB=129&amp;ID1=00786510&amp;VALUEID=02101&amp;SDATE=200902&amp;PERIODTYPE=QTR_STD&amp;window=popup_no_bar&amp;width=385&amp;height=120&amp;START_MAXIMIZED=FALSE&amp;creator=factset&amp;display_string=Audit"}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163__FDSAUDITLINK__" localSheetId="20" hidden="1">{"fdsup://Directions/FactSet Auditing Viewer?action=AUDIT_VALUE&amp;DB=129&amp;ID1=87416110&amp;VALUEID=02101&amp;SDATE=200801&amp;PERIODTYPE=QTR_STD&amp;window=popup_no_bar&amp;width=385&amp;height=120&amp;START_MAXIMIZED=FALSE&amp;creator=factset&amp;display_string=Audit"}</definedName>
    <definedName name="_163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630__FDSAUDITLINK__" localSheetId="1" hidden="1">{"fdsup://Directions/FactSet Auditing Viewer?action=AUDIT_VALUE&amp;DB=129&amp;ID1=00786510&amp;VALUEID=01001&amp;SDATE=200902&amp;PERIODTYPE=QTR_STD&amp;window=popup_no_bar&amp;width=385&amp;height=120&amp;START_MAXIMIZED=FALSE&amp;creator=factset&amp;display_string=Audit"}</definedName>
    <definedName name="_1630__FDSAUDITLINK__" localSheetId="20" hidden="1">{"fdsup://Directions/FactSet Auditing Viewer?action=AUDIT_VALUE&amp;DB=129&amp;ID1=00786510&amp;VALUEID=01001&amp;SDATE=200902&amp;PERIODTYPE=QTR_STD&amp;window=popup_no_bar&amp;width=385&amp;height=120&amp;START_MAXIMIZED=FALSE&amp;creator=factset&amp;display_string=Audit"}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localSheetId="1" hidden="1">{"fdsup://Directions/FactSet Auditing Viewer?action=AUDIT_VALUE&amp;DB=129&amp;ID1=00786510&amp;VALUEID=13040&amp;SDATE=200902&amp;PERIODTYPE=QTR_STD&amp;window=popup_no_bar&amp;width=385&amp;height=120&amp;START_MAXIMIZED=FALSE&amp;creator=factset&amp;display_string=Audit"}</definedName>
    <definedName name="_1631__FDSAUDITLINK__" localSheetId="20" hidden="1">{"fdsup://Directions/FactSet Auditing Viewer?action=AUDIT_VALUE&amp;DB=129&amp;ID1=00786510&amp;VALUEID=13040&amp;SDATE=200902&amp;PERIODTYPE=QTR_STD&amp;window=popup_no_bar&amp;width=385&amp;height=120&amp;START_MAXIMIZED=FALSE&amp;creator=factset&amp;display_string=Audit"}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localSheetId="1" hidden="1">{"fdsup://Directions/FactSet Auditing Viewer?action=AUDIT_VALUE&amp;DB=129&amp;ID1=00289620&amp;VALUEID=02101&amp;SDATE=200902&amp;PERIODTYPE=QTR_STD&amp;window=popup_no_bar&amp;width=385&amp;height=120&amp;START_MAXIMIZED=FALSE&amp;creator=factset&amp;display_string=Audit"}</definedName>
    <definedName name="_1632__FDSAUDITLINK__" localSheetId="20" hidden="1">{"fdsup://Directions/FactSet Auditing Viewer?action=AUDIT_VALUE&amp;DB=129&amp;ID1=00289620&amp;VALUEID=02101&amp;SDATE=200902&amp;PERIODTYPE=QTR_STD&amp;window=popup_no_bar&amp;width=385&amp;height=120&amp;START_MAXIMIZED=FALSE&amp;creator=factset&amp;display_string=Audit"}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localSheetId="1" hidden="1">{"fdsup://Directions/FactSet Auditing Viewer?action=AUDIT_VALUE&amp;DB=129&amp;ID1=00289620&amp;VALUEID=01001&amp;SDATE=200902&amp;PERIODTYPE=QTR_STD&amp;window=popup_no_bar&amp;width=385&amp;height=120&amp;START_MAXIMIZED=FALSE&amp;creator=factset&amp;display_string=Audit"}</definedName>
    <definedName name="_1633__FDSAUDITLINK__" localSheetId="20" hidden="1">{"fdsup://Directions/FactSet Auditing Viewer?action=AUDIT_VALUE&amp;DB=129&amp;ID1=00289620&amp;VALUEID=01001&amp;SDATE=200902&amp;PERIODTYPE=QTR_STD&amp;window=popup_no_bar&amp;width=385&amp;height=120&amp;START_MAXIMIZED=FALSE&amp;creator=factset&amp;display_string=Audit"}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localSheetId="1" hidden="1">{"fdsup://Directions/FactSet Auditing Viewer?action=AUDIT_VALUE&amp;DB=129&amp;ID1=00289620&amp;VALUEID=13040&amp;SDATE=200902&amp;PERIODTYPE=QTR_STD&amp;window=popup_no_bar&amp;width=385&amp;height=120&amp;START_MAXIMIZED=FALSE&amp;creator=factset&amp;display_string=Audit"}</definedName>
    <definedName name="_1634__FDSAUDITLINK__" localSheetId="20" hidden="1">{"fdsup://Directions/FactSet Auditing Viewer?action=AUDIT_VALUE&amp;DB=129&amp;ID1=00289620&amp;VALUEID=13040&amp;SDATE=200902&amp;PERIODTYPE=QTR_STD&amp;window=popup_no_bar&amp;width=385&amp;height=120&amp;START_MAXIMIZED=FALSE&amp;creator=factset&amp;display_string=Audit"}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localSheetId="1" hidden="1">{"fdsup://Directions/FactSet Auditing Viewer?action=AUDIT_VALUE&amp;DB=129&amp;ID1=87416110&amp;VALUEID=02101&amp;SDATE=200901&amp;PERIODTYPE=QTR_STD&amp;window=popup_no_bar&amp;width=385&amp;height=120&amp;START_MAXIMIZED=FALSE&amp;creator=factset&amp;display_string=Audit"}</definedName>
    <definedName name="_1635__FDSAUDITLINK__" localSheetId="20" hidden="1">{"fdsup://Directions/FactSet Auditing Viewer?action=AUDIT_VALUE&amp;DB=129&amp;ID1=87416110&amp;VALUEID=02101&amp;SDATE=200901&amp;PERIODTYPE=QTR_STD&amp;window=popup_no_bar&amp;width=385&amp;height=120&amp;START_MAXIMIZED=FALSE&amp;creator=factset&amp;display_string=Audit"}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localSheetId="1" hidden="1">{"fdsup://Directions/FactSet Auditing Viewer?action=AUDIT_VALUE&amp;DB=129&amp;ID1=87416110&amp;VALUEID=01001&amp;SDATE=200901&amp;PERIODTYPE=QTR_STD&amp;window=popup_no_bar&amp;width=385&amp;height=120&amp;START_MAXIMIZED=FALSE&amp;creator=factset&amp;display_string=Audit"}</definedName>
    <definedName name="_1636__FDSAUDITLINK__" localSheetId="20" hidden="1">{"fdsup://Directions/FactSet Auditing Viewer?action=AUDIT_VALUE&amp;DB=129&amp;ID1=87416110&amp;VALUEID=01001&amp;SDATE=200901&amp;PERIODTYPE=QTR_STD&amp;window=popup_no_bar&amp;width=385&amp;height=120&amp;START_MAXIMIZED=FALSE&amp;creator=factset&amp;display_string=Audit"}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localSheetId="1" hidden="1">{"fdsup://Directions/FactSet Auditing Viewer?action=AUDIT_VALUE&amp;DB=129&amp;ID1=87416110&amp;VALUEID=13040&amp;SDATE=200901&amp;PERIODTYPE=QTR_STD&amp;window=popup_no_bar&amp;width=385&amp;height=120&amp;START_MAXIMIZED=FALSE&amp;creator=factset&amp;display_string=Audit"}</definedName>
    <definedName name="_1637__FDSAUDITLINK__" localSheetId="20" hidden="1">{"fdsup://Directions/FactSet Auditing Viewer?action=AUDIT_VALUE&amp;DB=129&amp;ID1=87416110&amp;VALUEID=13040&amp;SDATE=200901&amp;PERIODTYPE=QTR_STD&amp;window=popup_no_bar&amp;width=385&amp;height=120&amp;START_MAXIMIZED=FALSE&amp;creator=factset&amp;display_string=Audit"}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localSheetId="1"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8__FDSAUDITLINK__" localSheetId="20"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1639__FDSAUDITLINK__" localSheetId="20" hidden="1">{"fdsup://Directions/FactSet Auditing Viewer?action=AUDIT_VALUE&amp;DB=129&amp;ID1=53271610&amp;VALUEID=13040&amp;SDATE=200901&amp;PERIODTYPE=QTR_STD&amp;window=popup_no_bar&amp;width=385&amp;height=120&amp;START_MAXIMIZED=FALSE&amp;creator=factset&amp;display_string=Audit"}</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164__FDSAUDITLINK__" localSheetId="20" hidden="1">{"fdsup://Directions/FactSet Auditing Viewer?action=AUDIT_VALUE&amp;DB=129&amp;ID1=87416110&amp;VALUEID=01001&amp;SDATE=200801&amp;PERIODTYPE=QTR_STD&amp;window=popup_no_bar&amp;width=385&amp;height=120&amp;START_MAXIMIZED=FALSE&amp;creator=factset&amp;display_string=Audit"}</definedName>
    <definedName name="_164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640__FDSAUDITLINK__" localSheetId="1" hidden="1">{"fdsup://Directions/FactSet Auditing Viewer?action=AUDIT_VALUE&amp;DB=129&amp;ID1=46612H40&amp;VALUEID=02101&amp;SDATE=200901&amp;PERIODTYPE=QTR_STD&amp;window=popup_no_bar&amp;width=385&amp;height=120&amp;START_MAXIMIZED=FALSE&amp;creator=factset&amp;display_string=Audit"}</definedName>
    <definedName name="_1640__FDSAUDITLINK__" localSheetId="20" hidden="1">{"fdsup://Directions/FactSet Auditing Viewer?action=AUDIT_VALUE&amp;DB=129&amp;ID1=46612H40&amp;VALUEID=02101&amp;SDATE=200901&amp;PERIODTYPE=QTR_STD&amp;window=popup_no_bar&amp;width=385&amp;height=120&amp;START_MAXIMIZED=FALSE&amp;creator=factset&amp;display_string=Audit"}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localSheetId="1" hidden="1">{"fdsup://Directions/FactSet Auditing Viewer?action=AUDIT_VALUE&amp;DB=129&amp;ID1=46612H40&amp;VALUEID=01001&amp;SDATE=200901&amp;PERIODTYPE=QTR_STD&amp;window=popup_no_bar&amp;width=385&amp;height=120&amp;START_MAXIMIZED=FALSE&amp;creator=factset&amp;display_string=Audit"}</definedName>
    <definedName name="_1641__FDSAUDITLINK__" localSheetId="20" hidden="1">{"fdsup://Directions/FactSet Auditing Viewer?action=AUDIT_VALUE&amp;DB=129&amp;ID1=46612H40&amp;VALUEID=01001&amp;SDATE=200901&amp;PERIODTYPE=QTR_STD&amp;window=popup_no_bar&amp;width=385&amp;height=120&amp;START_MAXIMIZED=FALSE&amp;creator=factset&amp;display_string=Audit"}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localSheetId="1" hidden="1">{"fdsup://Directions/FactSet Auditing Viewer?action=AUDIT_VALUE&amp;DB=129&amp;ID1=46612H40&amp;VALUEID=13040&amp;SDATE=200901&amp;PERIODTYPE=QTR_STD&amp;window=popup_no_bar&amp;width=385&amp;height=120&amp;START_MAXIMIZED=FALSE&amp;creator=factset&amp;display_string=Audit"}</definedName>
    <definedName name="_1642__FDSAUDITLINK__" localSheetId="20" hidden="1">{"fdsup://Directions/FactSet Auditing Viewer?action=AUDIT_VALUE&amp;DB=129&amp;ID1=46612H40&amp;VALUEID=13040&amp;SDATE=200901&amp;PERIODTYPE=QTR_STD&amp;window=popup_no_bar&amp;width=385&amp;height=120&amp;START_MAXIMIZED=FALSE&amp;creator=factset&amp;display_string=Audit"}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1643__FDSAUDITLINK__" localSheetId="20" hidden="1">{"fdsup://Directions/FactSet Auditing Viewer?action=AUDIT_VALUE&amp;DB=129&amp;ID1=03611510&amp;VALUEID=02101&amp;SDATE=200901&amp;PERIODTYPE=QTR_STD&amp;window=popup_no_bar&amp;width=385&amp;height=120&amp;START_MAXIMIZED=FALSE&amp;creator=factset&amp;display_string=Audit"}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1644__FDSAUDITLINK__" localSheetId="20" hidden="1">{"fdsup://Directions/FactSet Auditing Viewer?action=AUDIT_VALUE&amp;DB=129&amp;ID1=03611510&amp;VALUEID=01001&amp;SDATE=200901&amp;PERIODTYPE=QTR_STD&amp;window=popup_no_bar&amp;width=385&amp;height=120&amp;START_MAXIMIZED=FALSE&amp;creator=factset&amp;display_string=Audit"}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1645__FDSAUDITLINK__" localSheetId="20" hidden="1">{"fdsup://Directions/FactSet Auditing Viewer?action=AUDIT_VALUE&amp;DB=129&amp;ID1=16890510&amp;VALUEID=02101&amp;SDATE=200901&amp;PERIODTYPE=QTR_STD&amp;window=popup_no_bar&amp;width=385&amp;height=120&amp;START_MAXIMIZED=FALSE&amp;creator=factset&amp;display_string=Audit"}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1646__FDSAUDITLINK__" localSheetId="20" hidden="1">{"fdsup://Directions/FactSet Auditing Viewer?action=AUDIT_VALUE&amp;DB=129&amp;ID1=16890510&amp;VALUEID=01001&amp;SDATE=200901&amp;PERIODTYPE=QTR_STD&amp;window=popup_no_bar&amp;width=385&amp;height=120&amp;START_MAXIMIZED=FALSE&amp;creator=factset&amp;display_string=Audit"}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localSheetId="1" hidden="1">{"fdsup://Directions/FactSet Auditing Viewer?action=AUDIT_VALUE&amp;DB=129&amp;ID1=00786510&amp;VALUEID=02101&amp;SDATE=200901&amp;PERIODTYPE=QTR_STD&amp;window=popup_no_bar&amp;width=385&amp;height=120&amp;START_MAXIMIZED=FALSE&amp;creator=factset&amp;display_string=Audit"}</definedName>
    <definedName name="_1647__FDSAUDITLINK__" localSheetId="20" hidden="1">{"fdsup://Directions/FactSet Auditing Viewer?action=AUDIT_VALUE&amp;DB=129&amp;ID1=00786510&amp;VALUEID=02101&amp;SDATE=200901&amp;PERIODTYPE=QTR_STD&amp;window=popup_no_bar&amp;width=385&amp;height=120&amp;START_MAXIMIZED=FALSE&amp;creator=factset&amp;display_string=Audit"}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localSheetId="1" hidden="1">{"fdsup://Directions/FactSet Auditing Viewer?action=AUDIT_VALUE&amp;DB=129&amp;ID1=00786510&amp;VALUEID=01001&amp;SDATE=200901&amp;PERIODTYPE=QTR_STD&amp;window=popup_no_bar&amp;width=385&amp;height=120&amp;START_MAXIMIZED=FALSE&amp;creator=factset&amp;display_string=Audit"}</definedName>
    <definedName name="_1648__FDSAUDITLINK__" localSheetId="20" hidden="1">{"fdsup://Directions/FactSet Auditing Viewer?action=AUDIT_VALUE&amp;DB=129&amp;ID1=00786510&amp;VALUEID=01001&amp;SDATE=200901&amp;PERIODTYPE=QTR_STD&amp;window=popup_no_bar&amp;width=385&amp;height=120&amp;START_MAXIMIZED=FALSE&amp;creator=factset&amp;display_string=Audit"}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1649__FDSAUDITLINK__" localSheetId="20" hidden="1">{"fdsup://Directions/FactSet Auditing Viewer?action=AUDIT_VALUE&amp;DB=129&amp;ID1=00786510&amp;VALUEID=13040&amp;SDATE=200901&amp;PERIODTYPE=QTR_STD&amp;window=popup_no_bar&amp;width=385&amp;height=120&amp;START_MAXIMIZED=FALSE&amp;creator=factset&amp;display_string=Audit"}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165__FDSAUDITLINK__" localSheetId="20" hidden="1">{"fdsup://Directions/FactSet Auditing Viewer?action=AUDIT_VALUE&amp;DB=129&amp;ID1=53271610&amp;VALUEID=02101&amp;SDATE=200801&amp;PERIODTYPE=QTR_STD&amp;window=popup_no_bar&amp;width=385&amp;height=120&amp;START_MAXIMIZED=FALSE&amp;creator=factset&amp;display_string=Audit"}</definedName>
    <definedName name="_165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650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1650__FDSAUDITLINK__" localSheetId="20" hidden="1">{"fdsup://Directions/FactSet Auditing Viewer?action=AUDIT_VALUE&amp;DB=129&amp;ID1=00289620&amp;VALUEID=13040&amp;SDATE=200901&amp;PERIODTYPE=QTR_STD&amp;window=popup_no_bar&amp;width=385&amp;height=120&amp;START_MAXIMIZED=FALSE&amp;creator=factset&amp;display_string=Audit"}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1651__FDSAUDITLINK__" localSheetId="20" hidden="1">{"fdsup://Directions/FactSet Auditing Viewer?action=AUDIT_VALUE&amp;DB=129&amp;ID1=87416110&amp;VALUEID=01001&amp;SDATE=200804&amp;PERIODTYPE=QTR_STD&amp;window=popup_no_bar&amp;width=385&amp;height=120&amp;START_MAXIMIZED=FALSE&amp;creator=factset&amp;display_string=Audit"}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2__FDSAUDITLINK__" localSheetId="20"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1653__FDSAUDITLINK__" localSheetId="20" hidden="1">{"fdsup://Directions/FactSet Auditing Viewer?action=AUDIT_VALUE&amp;DB=129&amp;ID1=46612H40&amp;VALUEID=01001&amp;SDATE=200804&amp;PERIODTYPE=QTR_STD&amp;window=popup_no_bar&amp;width=385&amp;height=120&amp;START_MAXIMIZED=FALSE&amp;creator=factset&amp;display_string=Audit"}</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1654__FDSAUDITLINK__" localSheetId="20" hidden="1">{"fdsup://Directions/FactSet Auditing Viewer?action=AUDIT_VALUE&amp;DB=129&amp;ID1=46612H40&amp;VALUEID=13040&amp;SDATE=200804&amp;PERIODTYPE=QTR_STD&amp;window=popup_no_bar&amp;width=385&amp;height=120&amp;START_MAXIMIZED=FALSE&amp;creator=factset&amp;display_string=Audit"}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1655__FDSAUDITLINK__" localSheetId="20" hidden="1">{"fdsup://Directions/FactSet Auditing Viewer?action=AUDIT_VALUE&amp;DB=129&amp;ID1=36476010&amp;VALUEID=01001&amp;SDATE=200804&amp;PERIODTYPE=QTR_STD&amp;window=popup_no_bar&amp;width=385&amp;height=120&amp;START_MAXIMIZED=FALSE&amp;creator=factset&amp;display_string=Audit"}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1656__FDSAUDITLINK__" localSheetId="20" hidden="1">{"fdsup://Directions/FactSet Auditing Viewer?action=AUDIT_VALUE&amp;DB=129&amp;ID1=03611510&amp;VALUEID=01001&amp;SDATE=200804&amp;PERIODTYPE=QTR_STD&amp;window=popup_no_bar&amp;width=385&amp;height=120&amp;START_MAXIMIZED=FALSE&amp;creator=factset&amp;display_string=Audit"}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1657__FDSAUDITLINK__" localSheetId="20" hidden="1">{"fdsup://Directions/FactSet Auditing Viewer?action=AUDIT_VALUE&amp;DB=129&amp;ID1=16890510&amp;VALUEID=01001&amp;SDATE=200804&amp;PERIODTYPE=QTR_STD&amp;window=popup_no_bar&amp;width=385&amp;height=120&amp;START_MAXIMIZED=FALSE&amp;creator=factset&amp;display_string=Audit"}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1658__FDSAUDITLINK__" localSheetId="20" hidden="1">{"fdsup://Directions/FactSet Auditing Viewer?action=AUDIT_VALUE&amp;DB=129&amp;ID1=00786510&amp;VALUEID=01001&amp;SDATE=200804&amp;PERIODTYPE=QTR_STD&amp;window=popup_no_bar&amp;width=385&amp;height=120&amp;START_MAXIMIZED=FALSE&amp;creator=factset&amp;display_string=Audit"}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1659__FDSAUDITLINK__" localSheetId="20" hidden="1">{"fdsup://Directions/FactSet Auditing Viewer?action=AUDIT_VALUE&amp;DB=129&amp;ID1=87416110&amp;VALUEID=02101&amp;SDATE=200803&amp;PERIODTYPE=QTR_STD&amp;window=popup_no_bar&amp;width=385&amp;height=120&amp;START_MAXIMIZED=FALSE&amp;creator=factset&amp;display_string=Audit"}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166__FDSAUDITLINK__" localSheetId="20" hidden="1">{"fdsup://Directions/FactSet Auditing Viewer?action=AUDIT_VALUE&amp;DB=129&amp;ID1=53271610&amp;VALUEID=01001&amp;SDATE=200801&amp;PERIODTYPE=QTR_STD&amp;window=popup_no_bar&amp;width=385&amp;height=120&amp;START_MAXIMIZED=FALSE&amp;creator=factset&amp;display_string=Audit"}</definedName>
    <definedName name="_166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660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1660__FDSAUDITLINK__" localSheetId="20" hidden="1">{"fdsup://Directions/FactSet Auditing Viewer?action=AUDIT_VALUE&amp;DB=129&amp;ID1=87416110&amp;VALUEID=01001&amp;SDATE=200803&amp;PERIODTYPE=QTR_STD&amp;window=popup_no_bar&amp;width=385&amp;height=120&amp;START_MAXIMIZED=FALSE&amp;creator=factset&amp;display_string=Audit"}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1661__FDSAUDITLINK__" localSheetId="20" hidden="1">{"fdsup://Directions/FactSet Auditing Viewer?action=AUDIT_VALUE&amp;DB=129&amp;ID1=87416110&amp;VALUEID=13040&amp;SDATE=200803&amp;PERIODTYPE=QTR_STD&amp;window=popup_no_bar&amp;width=385&amp;height=120&amp;START_MAXIMIZED=FALSE&amp;creator=factset&amp;display_string=Audit"}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2__FDSAUDITLINK__" localSheetId="20"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1663__FDSAUDITLINK__" localSheetId="20" hidden="1">{"fdsup://Directions/FactSet Auditing Viewer?action=AUDIT_VALUE&amp;DB=129&amp;ID1=46612H40&amp;VALUEID=02101&amp;SDATE=200803&amp;PERIODTYPE=QTR_STD&amp;window=popup_no_bar&amp;width=385&amp;height=120&amp;START_MAXIMIZED=FALSE&amp;creator=factset&amp;display_string=Audit"}</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1664__FDSAUDITLINK__" localSheetId="20" hidden="1">{"fdsup://Directions/FactSet Auditing Viewer?action=AUDIT_VALUE&amp;DB=129&amp;ID1=46612H40&amp;VALUEID=01001&amp;SDATE=200803&amp;PERIODTYPE=QTR_STD&amp;window=popup_no_bar&amp;width=385&amp;height=120&amp;START_MAXIMIZED=FALSE&amp;creator=factset&amp;display_string=Audit"}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1665__FDSAUDITLINK__" localSheetId="20" hidden="1">{"fdsup://Directions/FactSet Auditing Viewer?action=AUDIT_VALUE&amp;DB=129&amp;ID1=46612H40&amp;VALUEID=13040&amp;SDATE=200803&amp;PERIODTYPE=QTR_STD&amp;window=popup_no_bar&amp;width=385&amp;height=120&amp;START_MAXIMIZED=FALSE&amp;creator=factset&amp;display_string=Audit"}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1666__FDSAUDITLINK__" localSheetId="20" hidden="1">{"fdsup://Directions/FactSet Auditing Viewer?action=AUDIT_VALUE&amp;DB=129&amp;ID1=36476010&amp;VALUEID=02101&amp;SDATE=200803&amp;PERIODTYPE=QTR_STD&amp;window=popup_no_bar&amp;width=385&amp;height=120&amp;START_MAXIMIZED=FALSE&amp;creator=factset&amp;display_string=Audit"}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1667__FDSAUDITLINK__" localSheetId="20" hidden="1">{"fdsup://Directions/FactSet Auditing Viewer?action=AUDIT_VALUE&amp;DB=129&amp;ID1=36476010&amp;VALUEID=01001&amp;SDATE=200803&amp;PERIODTYPE=QTR_STD&amp;window=popup_no_bar&amp;width=385&amp;height=120&amp;START_MAXIMIZED=FALSE&amp;creator=factset&amp;display_string=Audit"}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1668__FDSAUDITLINK__" localSheetId="20" hidden="1">{"fdsup://Directions/FactSet Auditing Viewer?action=AUDIT_VALUE&amp;DB=129&amp;ID1=36476010&amp;VALUEID=13040&amp;SDATE=200803&amp;PERIODTYPE=QTR_STD&amp;window=popup_no_bar&amp;width=385&amp;height=120&amp;START_MAXIMIZED=FALSE&amp;creator=factset&amp;display_string=Audit"}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1669__FDSAUDITLINK__" localSheetId="20" hidden="1">{"fdsup://Directions/FactSet Auditing Viewer?action=AUDIT_VALUE&amp;DB=129&amp;ID1=03611510&amp;VALUEID=02101&amp;SDATE=200803&amp;PERIODTYPE=QTR_STD&amp;window=popup_no_bar&amp;width=385&amp;height=120&amp;START_MAXIMIZED=FALSE&amp;creator=factset&amp;display_string=Audit"}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167__FDSAUDITLINK__" localSheetId="20" hidden="1">{"fdsup://Directions/FactSet Auditing Viewer?action=AUDIT_VALUE&amp;DB=129&amp;ID1=53271610&amp;VALUEID=13040&amp;SDATE=200801&amp;PERIODTYPE=QTR_STD&amp;window=popup_no_bar&amp;width=385&amp;height=120&amp;START_MAXIMIZED=FALSE&amp;creator=factset&amp;display_string=Audit"}</definedName>
    <definedName name="_167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670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1670__FDSAUDITLINK__" localSheetId="20" hidden="1">{"fdsup://Directions/FactSet Auditing Viewer?action=AUDIT_VALUE&amp;DB=129&amp;ID1=03611510&amp;VALUEID=01001&amp;SDATE=200803&amp;PERIODTYPE=QTR_STD&amp;window=popup_no_bar&amp;width=385&amp;height=120&amp;START_MAXIMIZED=FALSE&amp;creator=factset&amp;display_string=Audit"}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1671__FDSAUDITLINK__" localSheetId="20" hidden="1">{"fdsup://Directions/FactSet Auditing Viewer?action=AUDIT_VALUE&amp;DB=129&amp;ID1=16890510&amp;VALUEID=02101&amp;SDATE=200803&amp;PERIODTYPE=QTR_STD&amp;window=popup_no_bar&amp;width=385&amp;height=120&amp;START_MAXIMIZED=FALSE&amp;creator=factset&amp;display_string=Audit"}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1672__FDSAUDITLINK__" localSheetId="20" hidden="1">{"fdsup://Directions/FactSet Auditing Viewer?action=AUDIT_VALUE&amp;DB=129&amp;ID1=16890510&amp;VALUEID=01001&amp;SDATE=200803&amp;PERIODTYPE=QTR_STD&amp;window=popup_no_bar&amp;width=385&amp;height=120&amp;START_MAXIMIZED=FALSE&amp;creator=factset&amp;display_string=Audit"}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1673__FDSAUDITLINK__" localSheetId="20" hidden="1">{"fdsup://Directions/FactSet Auditing Viewer?action=AUDIT_VALUE&amp;DB=129&amp;ID1=91704710&amp;VALUEID=02101&amp;SDATE=200803&amp;PERIODTYPE=QTR_STD&amp;window=popup_no_bar&amp;width=385&amp;height=120&amp;START_MAXIMIZED=FALSE&amp;creator=factset&amp;display_string=Audit"}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1674__FDSAUDITLINK__" localSheetId="20" hidden="1">{"fdsup://Directions/FactSet Auditing Viewer?action=AUDIT_VALUE&amp;DB=129&amp;ID1=91704710&amp;VALUEID=01001&amp;SDATE=200803&amp;PERIODTYPE=QTR_STD&amp;window=popup_no_bar&amp;width=385&amp;height=120&amp;START_MAXIMIZED=FALSE&amp;creator=factset&amp;display_string=Audit"}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1675__FDSAUDITLINK__" localSheetId="20" hidden="1">{"fdsup://Directions/FactSet Auditing Viewer?action=AUDIT_VALUE&amp;DB=129&amp;ID1=91704710&amp;VALUEID=13040&amp;SDATE=200803&amp;PERIODTYPE=QTR_STD&amp;window=popup_no_bar&amp;width=385&amp;height=120&amp;START_MAXIMIZED=FALSE&amp;creator=factset&amp;display_string=Audit"}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1676__FDSAUDITLINK__" localSheetId="20" hidden="1">{"fdsup://Directions/FactSet Auditing Viewer?action=AUDIT_VALUE&amp;DB=129&amp;ID1=02553E10&amp;VALUEID=02101&amp;SDATE=200803&amp;PERIODTYPE=QTR_STD&amp;window=popup_no_bar&amp;width=385&amp;height=120&amp;START_MAXIMIZED=FALSE&amp;creator=factset&amp;display_string=Audit"}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1677__FDSAUDITLINK__" localSheetId="20" hidden="1">{"fdsup://Directions/FactSet Auditing Viewer?action=AUDIT_VALUE&amp;DB=129&amp;ID1=02553E10&amp;VALUEID=01001&amp;SDATE=200803&amp;PERIODTYPE=QTR_STD&amp;window=popup_no_bar&amp;width=385&amp;height=120&amp;START_MAXIMIZED=FALSE&amp;creator=factset&amp;display_string=Audit"}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1678__FDSAUDITLINK__" localSheetId="20" hidden="1">{"fdsup://Directions/FactSet Auditing Viewer?action=AUDIT_VALUE&amp;DB=129&amp;ID1=02553E10&amp;VALUEID=13040&amp;SDATE=200803&amp;PERIODTYPE=QTR_STD&amp;window=popup_no_bar&amp;width=385&amp;height=120&amp;START_MAXIMIZED=FALSE&amp;creator=factset&amp;display_string=Audit"}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1679__FDSAUDITLINK__" localSheetId="20" hidden="1">{"fdsup://Directions/FactSet Auditing Viewer?action=AUDIT_VALUE&amp;DB=129&amp;ID1=00786510&amp;VALUEID=02101&amp;SDATE=200803&amp;PERIODTYPE=QTR_STD&amp;window=popup_no_bar&amp;width=385&amp;height=120&amp;START_MAXIMIZED=FALSE&amp;creator=factset&amp;display_string=Audit"}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168__FDSAUDITLINK__" localSheetId="20" hidden="1">{"fdsup://Directions/FactSet Auditing Viewer?action=AUDIT_VALUE&amp;DB=129&amp;ID1=46612H40&amp;VALUEID=02101&amp;SDATE=200801&amp;PERIODTYPE=QTR_STD&amp;window=popup_no_bar&amp;width=385&amp;height=120&amp;START_MAXIMIZED=FALSE&amp;creator=factset&amp;display_string=Audit"}</definedName>
    <definedName name="_168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680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1680__FDSAUDITLINK__" localSheetId="20" hidden="1">{"fdsup://Directions/FactSet Auditing Viewer?action=AUDIT_VALUE&amp;DB=129&amp;ID1=00786510&amp;VALUEID=01001&amp;SDATE=200803&amp;PERIODTYPE=QTR_STD&amp;window=popup_no_bar&amp;width=385&amp;height=120&amp;START_MAXIMIZED=FALSE&amp;creator=factset&amp;display_string=Audit"}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1681__FDSAUDITLINK__" localSheetId="20" hidden="1">{"fdsup://Directions/FactSet Auditing Viewer?action=AUDIT_VALUE&amp;DB=129&amp;ID1=00786510&amp;VALUEID=13040&amp;SDATE=200803&amp;PERIODTYPE=QTR_STD&amp;window=popup_no_bar&amp;width=385&amp;height=120&amp;START_MAXIMIZED=FALSE&amp;creator=factset&amp;display_string=Audit"}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1682__FDSAUDITLINK__" localSheetId="20" hidden="1">{"fdsup://Directions/FactSet Auditing Viewer?action=AUDIT_VALUE&amp;DB=129&amp;ID1=00289620&amp;VALUEID=02101&amp;SDATE=200803&amp;PERIODTYPE=QTR_STD&amp;window=popup_no_bar&amp;width=385&amp;height=120&amp;START_MAXIMIZED=FALSE&amp;creator=factset&amp;display_string=Audit"}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1683__FDSAUDITLINK__" localSheetId="20" hidden="1">{"fdsup://Directions/FactSet Auditing Viewer?action=AUDIT_VALUE&amp;DB=129&amp;ID1=00289620&amp;VALUEID=01001&amp;SDATE=200803&amp;PERIODTYPE=QTR_STD&amp;window=popup_no_bar&amp;width=385&amp;height=120&amp;START_MAXIMIZED=FALSE&amp;creator=factset&amp;display_string=Audit"}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1684__FDSAUDITLINK__" localSheetId="20" hidden="1">{"fdsup://Directions/FactSet Auditing Viewer?action=AUDIT_VALUE&amp;DB=129&amp;ID1=00289620&amp;VALUEID=13040&amp;SDATE=200803&amp;PERIODTYPE=QTR_STD&amp;window=popup_no_bar&amp;width=385&amp;height=120&amp;START_MAXIMIZED=FALSE&amp;creator=factset&amp;display_string=Audit"}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1685__FDSAUDITLINK__" localSheetId="20" hidden="1">{"fdsup://Directions/FactSet Auditing Viewer?action=AUDIT_VALUE&amp;DB=129&amp;ID1=87416110&amp;VALUEID=02101&amp;SDATE=200802&amp;PERIODTYPE=QTR_STD&amp;window=popup_no_bar&amp;width=385&amp;height=120&amp;START_MAXIMIZED=FALSE&amp;creator=factset&amp;display_string=Audit"}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1686__FDSAUDITLINK__" localSheetId="20" hidden="1">{"fdsup://Directions/FactSet Auditing Viewer?action=AUDIT_VALUE&amp;DB=129&amp;ID1=87416110&amp;VALUEID=01001&amp;SDATE=200802&amp;PERIODTYPE=QTR_STD&amp;window=popup_no_bar&amp;width=385&amp;height=120&amp;START_MAXIMIZED=FALSE&amp;creator=factset&amp;display_string=Audit"}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1687__FDSAUDITLINK__" localSheetId="20" hidden="1">{"fdsup://Directions/FactSet Auditing Viewer?action=AUDIT_VALUE&amp;DB=129&amp;ID1=53271610&amp;VALUEID=02101&amp;SDATE=200802&amp;PERIODTYPE=QTR_STD&amp;window=popup_no_bar&amp;width=385&amp;height=120&amp;START_MAXIMIZED=FALSE&amp;creator=factset&amp;display_string=Audit"}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1688__FDSAUDITLINK__" localSheetId="20" hidden="1">{"fdsup://Directions/FactSet Auditing Viewer?action=AUDIT_VALUE&amp;DB=129&amp;ID1=53271610&amp;VALUEID=01001&amp;SDATE=200802&amp;PERIODTYPE=QTR_STD&amp;window=popup_no_bar&amp;width=385&amp;height=120&amp;START_MAXIMIZED=FALSE&amp;creator=factset&amp;display_string=Audit"}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1689__FDSAUDITLINK__" localSheetId="20" hidden="1">{"fdsup://Directions/FactSet Auditing Viewer?action=AUDIT_VALUE&amp;DB=129&amp;ID1=53271610&amp;VALUEID=13040&amp;SDATE=200802&amp;PERIODTYPE=QTR_STD&amp;window=popup_no_bar&amp;width=385&amp;height=120&amp;START_MAXIMIZED=FALSE&amp;creator=factset&amp;display_string=Audit"}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169__FDSAUDITLINK__" localSheetId="20" hidden="1">{"fdsup://Directions/FactSet Auditing Viewer?action=AUDIT_VALUE&amp;DB=129&amp;ID1=46612H40&amp;VALUEID=01001&amp;SDATE=200801&amp;PERIODTYPE=QTR_STD&amp;window=popup_no_bar&amp;width=385&amp;height=120&amp;START_MAXIMIZED=FALSE&amp;creator=factset&amp;display_string=Audit"}</definedName>
    <definedName name="_169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690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1690__FDSAUDITLINK__" localSheetId="20" hidden="1">{"fdsup://Directions/FactSet Auditing Viewer?action=AUDIT_VALUE&amp;DB=129&amp;ID1=46612H40&amp;VALUEID=02101&amp;SDATE=200802&amp;PERIODTYPE=QTR_STD&amp;window=popup_no_bar&amp;width=385&amp;height=120&amp;START_MAXIMIZED=FALSE&amp;creator=factset&amp;display_string=Audit"}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1691__FDSAUDITLINK__" localSheetId="20" hidden="1">{"fdsup://Directions/FactSet Auditing Viewer?action=AUDIT_VALUE&amp;DB=129&amp;ID1=46612H40&amp;VALUEID=01001&amp;SDATE=200802&amp;PERIODTYPE=QTR_STD&amp;window=popup_no_bar&amp;width=385&amp;height=120&amp;START_MAXIMIZED=FALSE&amp;creator=factset&amp;display_string=Audit"}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1692__FDSAUDITLINK__" localSheetId="20" hidden="1">{"fdsup://Directions/FactSet Auditing Viewer?action=AUDIT_VALUE&amp;DB=129&amp;ID1=46612H40&amp;VALUEID=13040&amp;SDATE=200802&amp;PERIODTYPE=QTR_STD&amp;window=popup_no_bar&amp;width=385&amp;height=120&amp;START_MAXIMIZED=FALSE&amp;creator=factset&amp;display_string=Audit"}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1693__FDSAUDITLINK__" localSheetId="20" hidden="1">{"fdsup://Directions/FactSet Auditing Viewer?action=AUDIT_VALUE&amp;DB=129&amp;ID1=36476010&amp;VALUEID=02101&amp;SDATE=200802&amp;PERIODTYPE=QTR_STD&amp;window=popup_no_bar&amp;width=385&amp;height=120&amp;START_MAXIMIZED=FALSE&amp;creator=factset&amp;display_string=Audit"}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1694__FDSAUDITLINK__" localSheetId="20" hidden="1">{"fdsup://Directions/FactSet Auditing Viewer?action=AUDIT_VALUE&amp;DB=129&amp;ID1=36476010&amp;VALUEID=01001&amp;SDATE=200802&amp;PERIODTYPE=QTR_STD&amp;window=popup_no_bar&amp;width=385&amp;height=120&amp;START_MAXIMIZED=FALSE&amp;creator=factset&amp;display_string=Audit"}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1695__FDSAUDITLINK__" localSheetId="20" hidden="1">{"fdsup://Directions/FactSet Auditing Viewer?action=AUDIT_VALUE&amp;DB=129&amp;ID1=36476010&amp;VALUEID=13040&amp;SDATE=200802&amp;PERIODTYPE=QTR_STD&amp;window=popup_no_bar&amp;width=385&amp;height=120&amp;START_MAXIMIZED=FALSE&amp;creator=factset&amp;display_string=Audit"}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1696__FDSAUDITLINK__" localSheetId="20" hidden="1">{"fdsup://Directions/FactSet Auditing Viewer?action=AUDIT_VALUE&amp;DB=129&amp;ID1=03611510&amp;VALUEID=02101&amp;SDATE=200802&amp;PERIODTYPE=QTR_STD&amp;window=popup_no_bar&amp;width=385&amp;height=120&amp;START_MAXIMIZED=FALSE&amp;creator=factset&amp;display_string=Audit"}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1697__FDSAUDITLINK__" localSheetId="20" hidden="1">{"fdsup://Directions/FactSet Auditing Viewer?action=AUDIT_VALUE&amp;DB=129&amp;ID1=03611510&amp;VALUEID=01001&amp;SDATE=200802&amp;PERIODTYPE=QTR_STD&amp;window=popup_no_bar&amp;width=385&amp;height=120&amp;START_MAXIMIZED=FALSE&amp;creator=factset&amp;display_string=Audit"}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1698__FDSAUDITLINK__" localSheetId="20" hidden="1">{"fdsup://Directions/FactSet Auditing Viewer?action=AUDIT_VALUE&amp;DB=129&amp;ID1=16890510&amp;VALUEID=02101&amp;SDATE=200802&amp;PERIODTYPE=QTR_STD&amp;window=popup_no_bar&amp;width=385&amp;height=120&amp;START_MAXIMIZED=FALSE&amp;creator=factset&amp;display_string=Audit"}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1699__FDSAUDITLINK__" localSheetId="20" hidden="1">{"fdsup://Directions/FactSet Auditing Viewer?action=AUDIT_VALUE&amp;DB=129&amp;ID1=16890510&amp;VALUEID=01001&amp;SDATE=200802&amp;PERIODTYPE=QTR_STD&amp;window=popup_no_bar&amp;width=385&amp;height=120&amp;START_MAXIMIZED=FALSE&amp;creator=factset&amp;display_string=Audit"}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FDSAUDITLINK__" localSheetId="1" hidden="1">{"fdsup://directions/FAT Viewer?action=UPDATE&amp;creator=factset&amp;DYN_ARGS=TRUE&amp;DOC_NAME=FAT:FQL_AUDITING_CLIENT_TEMPLATE.FAT&amp;display_string=Audit&amp;VAR:KEY=CHWDOVCXWT&amp;VAR:QUERY=RkZfRU5UUlBSX1ZBTF9FQklUREFfT1BFUihBTk4sMCk=&amp;WINDOW=FIRST_POPUP&amp;HEIGHT=450&amp;WIDTH=450&amp;","START_MAXIMIZED=FALSE&amp;VAR:CALENDAR=FIVEDAY&amp;VAR:SYMBOL=CHS&amp;VAR:INDEX=0"}</definedName>
    <definedName name="_17__FDSAUDITLINK__" localSheetId="20" hidden="1">{"fdsup://Directions/FactSet Auditing Viewer?action=AUDIT_VALUE&amp;DB=129&amp;ID1=00786510&amp;VALUEID=02101&amp;SDATE=201001&amp;PERIODTYPE=QTR_STD&amp;window=popup_no_bar&amp;width=385&amp;height=120&amp;START_MAXIMIZED=FALSE&amp;creator=factset&amp;display_string=Audit"}</definedName>
    <definedName name="_17__FDSAUDITLINK__" hidden="1">{"fdsup://directions/FAT Viewer?action=UPDATE&amp;creator=factset&amp;DYN_ARGS=TRUE&amp;DOC_NAME=FAT:FQL_AUDITING_CLIENT_TEMPLATE.FAT&amp;display_string=Audit&amp;VAR:KEY=CHWDOVCXWT&amp;VAR:QUERY=RkZfRU5UUlBSX1ZBTF9FQklUREFfT1BFUihBTk4sMCk=&amp;WINDOW=FIRST_POPUP&amp;HEIGHT=450&amp;WIDTH=450&amp;","START_MAXIMIZED=FALSE&amp;VAR:CALENDAR=FIVEDAY&amp;VAR:SYMBOL=CHS&amp;VAR:INDEX=0"}</definedName>
    <definedName name="_170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170__FDSAUDITLINK__" localSheetId="20" hidden="1">{"fdsup://Directions/FactSet Auditing Viewer?action=AUDIT_VALUE&amp;DB=129&amp;ID1=46612H40&amp;VALUEID=13040&amp;SDATE=200801&amp;PERIODTYPE=QTR_STD&amp;window=popup_no_bar&amp;width=385&amp;height=120&amp;START_MAXIMIZED=FALSE&amp;creator=factset&amp;display_string=Audit"}</definedName>
    <definedName name="_170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00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1700__FDSAUDITLINK__" localSheetId="20" hidden="1">{"fdsup://Directions/FactSet Auditing Viewer?action=AUDIT_VALUE&amp;DB=129&amp;ID1=91704710&amp;VALUEID=02101&amp;SDATE=200802&amp;PERIODTYPE=QTR_STD&amp;window=popup_no_bar&amp;width=385&amp;height=120&amp;START_MAXIMIZED=FALSE&amp;creator=factset&amp;display_string=Audit"}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1701__FDSAUDITLINK__" localSheetId="20" hidden="1">{"fdsup://Directions/FactSet Auditing Viewer?action=AUDIT_VALUE&amp;DB=129&amp;ID1=91704710&amp;VALUEID=01001&amp;SDATE=200802&amp;PERIODTYPE=QTR_STD&amp;window=popup_no_bar&amp;width=385&amp;height=120&amp;START_MAXIMIZED=FALSE&amp;creator=factset&amp;display_string=Audit"}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1702__FDSAUDITLINK__" localSheetId="20" hidden="1">{"fdsup://Directions/FactSet Auditing Viewer?action=AUDIT_VALUE&amp;DB=129&amp;ID1=91704710&amp;VALUEID=13040&amp;SDATE=200802&amp;PERIODTYPE=QTR_STD&amp;window=popup_no_bar&amp;width=385&amp;height=120&amp;START_MAXIMIZED=FALSE&amp;creator=factset&amp;display_string=Audit"}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1703__FDSAUDITLINK__" localSheetId="20" hidden="1">{"fdsup://Directions/FactSet Auditing Viewer?action=AUDIT_VALUE&amp;DB=129&amp;ID1=02553E10&amp;VALUEID=02101&amp;SDATE=200802&amp;PERIODTYPE=QTR_STD&amp;window=popup_no_bar&amp;width=385&amp;height=120&amp;START_MAXIMIZED=FALSE&amp;creator=factset&amp;display_string=Audit"}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1704__FDSAUDITLINK__" localSheetId="20" hidden="1">{"fdsup://Directions/FactSet Auditing Viewer?action=AUDIT_VALUE&amp;DB=129&amp;ID1=02553E10&amp;VALUEID=01001&amp;SDATE=200802&amp;PERIODTYPE=QTR_STD&amp;window=popup_no_bar&amp;width=385&amp;height=120&amp;START_MAXIMIZED=FALSE&amp;creator=factset&amp;display_string=Audit"}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1705__FDSAUDITLINK__" localSheetId="20" hidden="1">{"fdsup://Directions/FactSet Auditing Viewer?action=AUDIT_VALUE&amp;DB=129&amp;ID1=02553E10&amp;VALUEID=13040&amp;SDATE=200802&amp;PERIODTYPE=QTR_STD&amp;window=popup_no_bar&amp;width=385&amp;height=120&amp;START_MAXIMIZED=FALSE&amp;creator=factset&amp;display_string=Audit"}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1706__FDSAUDITLINK__" localSheetId="20" hidden="1">{"fdsup://Directions/FactSet Auditing Viewer?action=AUDIT_VALUE&amp;DB=129&amp;ID1=00786510&amp;VALUEID=02101&amp;SDATE=200802&amp;PERIODTYPE=QTR_STD&amp;window=popup_no_bar&amp;width=385&amp;height=120&amp;START_MAXIMIZED=FALSE&amp;creator=factset&amp;display_string=Audit"}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1707__FDSAUDITLINK__" localSheetId="20" hidden="1">{"fdsup://Directions/FactSet Auditing Viewer?action=AUDIT_VALUE&amp;DB=129&amp;ID1=00786510&amp;VALUEID=01001&amp;SDATE=200802&amp;PERIODTYPE=QTR_STD&amp;window=popup_no_bar&amp;width=385&amp;height=120&amp;START_MAXIMIZED=FALSE&amp;creator=factset&amp;display_string=Audit"}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1708__FDSAUDITLINK__" localSheetId="20" hidden="1">{"fdsup://Directions/FactSet Auditing Viewer?action=AUDIT_VALUE&amp;DB=129&amp;ID1=00786510&amp;VALUEID=13040&amp;SDATE=200802&amp;PERIODTYPE=QTR_STD&amp;window=popup_no_bar&amp;width=385&amp;height=120&amp;START_MAXIMIZED=FALSE&amp;creator=factset&amp;display_string=Audit"}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1709__FDSAUDITLINK__" localSheetId="20" hidden="1">{"fdsup://Directions/FactSet Auditing Viewer?action=AUDIT_VALUE&amp;DB=129&amp;ID1=00289620&amp;VALUEID=02101&amp;SDATE=200802&amp;PERIODTYPE=QTR_STD&amp;window=popup_no_bar&amp;width=385&amp;height=120&amp;START_MAXIMIZED=FALSE&amp;creator=factset&amp;display_string=Audit"}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171__FDSAUDITLINK__" localSheetId="20" hidden="1">{"fdsup://Directions/FactSet Auditing Viewer?action=AUDIT_VALUE&amp;DB=129&amp;ID1=36476010&amp;VALUEID=02101&amp;SDATE=200801&amp;PERIODTYPE=QTR_STD&amp;window=popup_no_bar&amp;width=385&amp;height=120&amp;START_MAXIMIZED=FALSE&amp;creator=factset&amp;display_string=Audit"}</definedName>
    <definedName name="_171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10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1710__FDSAUDITLINK__" localSheetId="20" hidden="1">{"fdsup://Directions/FactSet Auditing Viewer?action=AUDIT_VALUE&amp;DB=129&amp;ID1=00289620&amp;VALUEID=01001&amp;SDATE=200802&amp;PERIODTYPE=QTR_STD&amp;window=popup_no_bar&amp;width=385&amp;height=120&amp;START_MAXIMIZED=FALSE&amp;creator=factset&amp;display_string=Audit"}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1711__FDSAUDITLINK__" localSheetId="20" hidden="1">{"fdsup://Directions/FactSet Auditing Viewer?action=AUDIT_VALUE&amp;DB=129&amp;ID1=00289620&amp;VALUEID=13040&amp;SDATE=200802&amp;PERIODTYPE=QTR_STD&amp;window=popup_no_bar&amp;width=385&amp;height=120&amp;START_MAXIMIZED=FALSE&amp;creator=factset&amp;display_string=Audit"}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1712__FDSAUDITLINK__" localSheetId="20" hidden="1">{"fdsup://Directions/FactSet Auditing Viewer?action=AUDIT_VALUE&amp;DB=129&amp;ID1=87416110&amp;VALUEID=02101&amp;SDATE=200801&amp;PERIODTYPE=QTR_STD&amp;window=popup_no_bar&amp;width=385&amp;height=120&amp;START_MAXIMIZED=FALSE&amp;creator=factset&amp;display_string=Audit"}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1713__FDSAUDITLINK__" localSheetId="20" hidden="1">{"fdsup://Directions/FactSet Auditing Viewer?action=AUDIT_VALUE&amp;DB=129&amp;ID1=87416110&amp;VALUEID=01001&amp;SDATE=200801&amp;PERIODTYPE=QTR_STD&amp;window=popup_no_bar&amp;width=385&amp;height=120&amp;START_MAXIMIZED=FALSE&amp;creator=factset&amp;display_string=Audit"}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1714__FDSAUDITLINK__" localSheetId="20" hidden="1">{"fdsup://Directions/FactSet Auditing Viewer?action=AUDIT_VALUE&amp;DB=129&amp;ID1=53271610&amp;VALUEID=02101&amp;SDATE=200801&amp;PERIODTYPE=QTR_STD&amp;window=popup_no_bar&amp;width=385&amp;height=120&amp;START_MAXIMIZED=FALSE&amp;creator=factset&amp;display_string=Audit"}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1715__FDSAUDITLINK__" localSheetId="20" hidden="1">{"fdsup://Directions/FactSet Auditing Viewer?action=AUDIT_VALUE&amp;DB=129&amp;ID1=53271610&amp;VALUEID=01001&amp;SDATE=200801&amp;PERIODTYPE=QTR_STD&amp;window=popup_no_bar&amp;width=385&amp;height=120&amp;START_MAXIMIZED=FALSE&amp;creator=factset&amp;display_string=Audit"}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1716__FDSAUDITLINK__" localSheetId="20" hidden="1">{"fdsup://Directions/FactSet Auditing Viewer?action=AUDIT_VALUE&amp;DB=129&amp;ID1=53271610&amp;VALUEID=13040&amp;SDATE=200801&amp;PERIODTYPE=QTR_STD&amp;window=popup_no_bar&amp;width=385&amp;height=120&amp;START_MAXIMIZED=FALSE&amp;creator=factset&amp;display_string=Audit"}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1717__FDSAUDITLINK__" localSheetId="20" hidden="1">{"fdsup://Directions/FactSet Auditing Viewer?action=AUDIT_VALUE&amp;DB=129&amp;ID1=46612H40&amp;VALUEID=02101&amp;SDATE=200801&amp;PERIODTYPE=QTR_STD&amp;window=popup_no_bar&amp;width=385&amp;height=120&amp;START_MAXIMIZED=FALSE&amp;creator=factset&amp;display_string=Audit"}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1718__FDSAUDITLINK__" localSheetId="20" hidden="1">{"fdsup://Directions/FactSet Auditing Viewer?action=AUDIT_VALUE&amp;DB=129&amp;ID1=46612H40&amp;VALUEID=01001&amp;SDATE=200801&amp;PERIODTYPE=QTR_STD&amp;window=popup_no_bar&amp;width=385&amp;height=120&amp;START_MAXIMIZED=FALSE&amp;creator=factset&amp;display_string=Audit"}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1719__FDSAUDITLINK__" localSheetId="20" hidden="1">{"fdsup://Directions/FactSet Auditing Viewer?action=AUDIT_VALUE&amp;DB=129&amp;ID1=46612H40&amp;VALUEID=13040&amp;SDATE=200801&amp;PERIODTYPE=QTR_STD&amp;window=popup_no_bar&amp;width=385&amp;height=120&amp;START_MAXIMIZED=FALSE&amp;creator=factset&amp;display_string=Audit"}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172__FDSAUDITLINK__" localSheetId="20" hidden="1">{"fdsup://Directions/FactSet Auditing Viewer?action=AUDIT_VALUE&amp;DB=129&amp;ID1=36476010&amp;VALUEID=01001&amp;SDATE=200801&amp;PERIODTYPE=QTR_STD&amp;window=popup_no_bar&amp;width=385&amp;height=120&amp;START_MAXIMIZED=FALSE&amp;creator=factset&amp;display_string=Audit"}</definedName>
    <definedName name="_172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0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1720__FDSAUDITLINK__" localSheetId="20" hidden="1">{"fdsup://Directions/FactSet Auditing Viewer?action=AUDIT_VALUE&amp;DB=129&amp;ID1=36476010&amp;VALUEID=02101&amp;SDATE=200801&amp;PERIODTYPE=QTR_STD&amp;window=popup_no_bar&amp;width=385&amp;height=120&amp;START_MAXIMIZED=FALSE&amp;creator=factset&amp;display_string=Audit"}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1721__FDSAUDITLINK__" localSheetId="20" hidden="1">{"fdsup://Directions/FactSet Auditing Viewer?action=AUDIT_VALUE&amp;DB=129&amp;ID1=36476010&amp;VALUEID=01001&amp;SDATE=200801&amp;PERIODTYPE=QTR_STD&amp;window=popup_no_bar&amp;width=385&amp;height=120&amp;START_MAXIMIZED=FALSE&amp;creator=factset&amp;display_string=Audit"}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1722__FDSAUDITLINK__" localSheetId="20" hidden="1">{"fdsup://Directions/FactSet Auditing Viewer?action=AUDIT_VALUE&amp;DB=129&amp;ID1=36476010&amp;VALUEID=13040&amp;SDATE=200801&amp;PERIODTYPE=QTR_STD&amp;window=popup_no_bar&amp;width=385&amp;height=120&amp;START_MAXIMIZED=FALSE&amp;creator=factset&amp;display_string=Audit"}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1723__FDSAUDITLINK__" localSheetId="20" hidden="1">{"fdsup://Directions/FactSet Auditing Viewer?action=AUDIT_VALUE&amp;DB=129&amp;ID1=03611510&amp;VALUEID=02101&amp;SDATE=200801&amp;PERIODTYPE=QTR_STD&amp;window=popup_no_bar&amp;width=385&amp;height=120&amp;START_MAXIMIZED=FALSE&amp;creator=factset&amp;display_string=Audit"}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1724__FDSAUDITLINK__" localSheetId="20" hidden="1">{"fdsup://Directions/FactSet Auditing Viewer?action=AUDIT_VALUE&amp;DB=129&amp;ID1=03611510&amp;VALUEID=01001&amp;SDATE=200801&amp;PERIODTYPE=QTR_STD&amp;window=popup_no_bar&amp;width=385&amp;height=120&amp;START_MAXIMIZED=FALSE&amp;creator=factset&amp;display_string=Audit"}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1725__FDSAUDITLINK__" localSheetId="20" hidden="1">{"fdsup://Directions/FactSet Auditing Viewer?action=AUDIT_VALUE&amp;DB=129&amp;ID1=03611510&amp;VALUEID=13040&amp;SDATE=200801&amp;PERIODTYPE=QTR_STD&amp;window=popup_no_bar&amp;width=385&amp;height=120&amp;START_MAXIMIZED=FALSE&amp;creator=factset&amp;display_string=Audit"}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1726__FDSAUDITLINK__" localSheetId="20" hidden="1">{"fdsup://Directions/FactSet Auditing Viewer?action=AUDIT_VALUE&amp;DB=129&amp;ID1=16890510&amp;VALUEID=02101&amp;SDATE=200801&amp;PERIODTYPE=QTR_STD&amp;window=popup_no_bar&amp;width=385&amp;height=120&amp;START_MAXIMIZED=FALSE&amp;creator=factset&amp;display_string=Audit"}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1727__FDSAUDITLINK__" localSheetId="20" hidden="1">{"fdsup://Directions/FactSet Auditing Viewer?action=AUDIT_VALUE&amp;DB=129&amp;ID1=16890510&amp;VALUEID=01001&amp;SDATE=200801&amp;PERIODTYPE=QTR_STD&amp;window=popup_no_bar&amp;width=385&amp;height=120&amp;START_MAXIMIZED=FALSE&amp;creator=factset&amp;display_string=Audit"}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1728__FDSAUDITLINK__" localSheetId="20" hidden="1">{"fdsup://Directions/FactSet Auditing Viewer?action=AUDIT_VALUE&amp;DB=129&amp;ID1=91704710&amp;VALUEID=02101&amp;SDATE=200801&amp;PERIODTYPE=QTR_STD&amp;window=popup_no_bar&amp;width=385&amp;height=120&amp;START_MAXIMIZED=FALSE&amp;creator=factset&amp;display_string=Audit"}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1729__FDSAUDITLINK__" localSheetId="20" hidden="1">{"fdsup://Directions/FactSet Auditing Viewer?action=AUDIT_VALUE&amp;DB=129&amp;ID1=91704710&amp;VALUEID=01001&amp;SDATE=200801&amp;PERIODTYPE=QTR_STD&amp;window=popup_no_bar&amp;width=385&amp;height=120&amp;START_MAXIMIZED=FALSE&amp;creator=factset&amp;display_string=Audit"}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173__FDSAUDITLINK__" localSheetId="20" hidden="1">{"fdsup://Directions/FactSet Auditing Viewer?action=AUDIT_VALUE&amp;DB=129&amp;ID1=36476010&amp;VALUEID=13040&amp;SDATE=200801&amp;PERIODTYPE=QTR_STD&amp;window=popup_no_bar&amp;width=385&amp;height=120&amp;START_MAXIMIZED=FALSE&amp;creator=factset&amp;display_string=Audit"}</definedName>
    <definedName name="_173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30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1730__FDSAUDITLINK__" localSheetId="20" hidden="1">{"fdsup://Directions/FactSet Auditing Viewer?action=AUDIT_VALUE&amp;DB=129&amp;ID1=91704710&amp;VALUEID=13040&amp;SDATE=200801&amp;PERIODTYPE=QTR_STD&amp;window=popup_no_bar&amp;width=385&amp;height=120&amp;START_MAXIMIZED=FALSE&amp;creator=factset&amp;display_string=Audit"}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1731__FDSAUDITLINK__" localSheetId="20" hidden="1">{"fdsup://Directions/FactSet Auditing Viewer?action=AUDIT_VALUE&amp;DB=129&amp;ID1=02553E10&amp;VALUEID=02101&amp;SDATE=200801&amp;PERIODTYPE=QTR_STD&amp;window=popup_no_bar&amp;width=385&amp;height=120&amp;START_MAXIMIZED=FALSE&amp;creator=factset&amp;display_string=Audit"}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1732__FDSAUDITLINK__" localSheetId="20" hidden="1">{"fdsup://Directions/FactSet Auditing Viewer?action=AUDIT_VALUE&amp;DB=129&amp;ID1=02553E10&amp;VALUEID=01001&amp;SDATE=200801&amp;PERIODTYPE=QTR_STD&amp;window=popup_no_bar&amp;width=385&amp;height=120&amp;START_MAXIMIZED=FALSE&amp;creator=factset&amp;display_string=Audit"}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1733__FDSAUDITLINK__" localSheetId="20" hidden="1">{"fdsup://Directions/FactSet Auditing Viewer?action=AUDIT_VALUE&amp;DB=129&amp;ID1=02553E10&amp;VALUEID=13040&amp;SDATE=200801&amp;PERIODTYPE=QTR_STD&amp;window=popup_no_bar&amp;width=385&amp;height=120&amp;START_MAXIMIZED=FALSE&amp;creator=factset&amp;display_string=Audit"}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1734__FDSAUDITLINK__" localSheetId="20" hidden="1">{"fdsup://Directions/FactSet Auditing Viewer?action=AUDIT_VALUE&amp;DB=129&amp;ID1=00786510&amp;VALUEID=02101&amp;SDATE=200801&amp;PERIODTYPE=QTR_STD&amp;window=popup_no_bar&amp;width=385&amp;height=120&amp;START_MAXIMIZED=FALSE&amp;creator=factset&amp;display_string=Audit"}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1735__FDSAUDITLINK__" localSheetId="20" hidden="1">{"fdsup://Directions/FactSet Auditing Viewer?action=AUDIT_VALUE&amp;DB=129&amp;ID1=00786510&amp;VALUEID=01001&amp;SDATE=200801&amp;PERIODTYPE=QTR_STD&amp;window=popup_no_bar&amp;width=385&amp;height=120&amp;START_MAXIMIZED=FALSE&amp;creator=factset&amp;display_string=Audit"}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1736__FDSAUDITLINK__" localSheetId="20" hidden="1">{"fdsup://Directions/FactSet Auditing Viewer?action=AUDIT_VALUE&amp;DB=129&amp;ID1=00786510&amp;VALUEID=13040&amp;SDATE=200801&amp;PERIODTYPE=QTR_STD&amp;window=popup_no_bar&amp;width=385&amp;height=120&amp;START_MAXIMIZED=FALSE&amp;creator=factset&amp;display_string=Audit"}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1737__FDSAUDITLINK__" localSheetId="20" hidden="1">{"fdsup://Directions/FactSet Auditing Viewer?action=AUDIT_VALUE&amp;DB=129&amp;ID1=00289620&amp;VALUEID=02101&amp;SDATE=200801&amp;PERIODTYPE=QTR_STD&amp;window=popup_no_bar&amp;width=385&amp;height=120&amp;START_MAXIMIZED=FALSE&amp;creator=factset&amp;display_string=Audit"}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1738__FDSAUDITLINK__" localSheetId="20" hidden="1">{"fdsup://Directions/FactSet Auditing Viewer?action=AUDIT_VALUE&amp;DB=129&amp;ID1=00289620&amp;VALUEID=01001&amp;SDATE=200801&amp;PERIODTYPE=QTR_STD&amp;window=popup_no_bar&amp;width=385&amp;height=120&amp;START_MAXIMIZED=FALSE&amp;creator=factset&amp;display_string=Audit"}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1739__FDSAUDITLINK__" localSheetId="20" hidden="1">{"fdsup://Directions/FactSet Auditing Viewer?action=AUDIT_VALUE&amp;DB=129&amp;ID1=00289620&amp;VALUEID=13040&amp;SDATE=200801&amp;PERIODTYPE=QTR_STD&amp;window=popup_no_bar&amp;width=385&amp;height=120&amp;START_MAXIMIZED=FALSE&amp;creator=factset&amp;display_string=Audit"}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174__FDSAUDITLINK__" localSheetId="20" hidden="1">{"fdsup://Directions/FactSet Auditing Viewer?action=AUDIT_VALUE&amp;DB=129&amp;ID1=03611510&amp;VALUEID=02101&amp;SDATE=200801&amp;PERIODTYPE=QTR_STD&amp;window=popup_no_bar&amp;width=385&amp;height=120&amp;START_MAXIMIZED=FALSE&amp;creator=factset&amp;display_string=Audit"}</definedName>
    <definedName name="_174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40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1740__FDSAUDITLINK__" localSheetId="20" hidden="1">{"fdsup://Directions/FactSet Auditing Viewer?action=AUDIT_VALUE&amp;DB=129&amp;ID1=87416110&amp;VALUEID=01001&amp;SDATE=200704&amp;PERIODTYPE=QTR_STD&amp;window=popup_no_bar&amp;width=385&amp;height=120&amp;START_MAXIMIZED=FALSE&amp;creator=factset&amp;display_string=Audit"}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1741__FDSAUDITLINK__" localSheetId="20" hidden="1">{"fdsup://Directions/FactSet Auditing Viewer?action=AUDIT_VALUE&amp;DB=129&amp;ID1=46612H40&amp;VALUEID=01001&amp;SDATE=200704&amp;PERIODTYPE=QTR_STD&amp;window=popup_no_bar&amp;width=385&amp;height=120&amp;START_MAXIMIZED=FALSE&amp;creator=factset&amp;display_string=Audit"}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1742__FDSAUDITLINK__" localSheetId="20" hidden="1">{"fdsup://Directions/FactSet Auditing Viewer?action=AUDIT_VALUE&amp;DB=129&amp;ID1=46612H40&amp;VALUEID=13040&amp;SDATE=200704&amp;PERIODTYPE=QTR_STD&amp;window=popup_no_bar&amp;width=385&amp;height=120&amp;START_MAXIMIZED=FALSE&amp;creator=factset&amp;display_string=Audit"}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1743__FDSAUDITLINK__" localSheetId="20" hidden="1">{"fdsup://Directions/FactSet Auditing Viewer?action=AUDIT_VALUE&amp;DB=129&amp;ID1=36476010&amp;VALUEID=01001&amp;SDATE=200704&amp;PERIODTYPE=QTR_STD&amp;window=popup_no_bar&amp;width=385&amp;height=120&amp;START_MAXIMIZED=FALSE&amp;creator=factset&amp;display_string=Audit"}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1744__FDSAUDITLINK__" localSheetId="20" hidden="1">{"fdsup://Directions/FactSet Auditing Viewer?action=AUDIT_VALUE&amp;DB=129&amp;ID1=03611510&amp;VALUEID=01001&amp;SDATE=200704&amp;PERIODTYPE=QTR_STD&amp;window=popup_no_bar&amp;width=385&amp;height=120&amp;START_MAXIMIZED=FALSE&amp;creator=factset&amp;display_string=Audit"}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1745__FDSAUDITLINK__" localSheetId="20" hidden="1">{"fdsup://Directions/FactSet Auditing Viewer?action=AUDIT_VALUE&amp;DB=129&amp;ID1=03611510&amp;VALUEID=13040&amp;SDATE=200704&amp;PERIODTYPE=QTR_STD&amp;window=popup_no_bar&amp;width=385&amp;height=120&amp;START_MAXIMIZED=FALSE&amp;creator=factset&amp;display_string=Audit"}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1746__FDSAUDITLINK__" localSheetId="20" hidden="1">{"fdsup://Directions/FactSet Auditing Viewer?action=AUDIT_VALUE&amp;DB=129&amp;ID1=16890510&amp;VALUEID=01001&amp;SDATE=200704&amp;PERIODTYPE=QTR_STD&amp;window=popup_no_bar&amp;width=385&amp;height=120&amp;START_MAXIMIZED=FALSE&amp;creator=factset&amp;display_string=Audit"}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1747__FDSAUDITLINK__" localSheetId="20" hidden="1">{"fdsup://Directions/FactSet Auditing Viewer?action=AUDIT_VALUE&amp;DB=129&amp;ID1=00786510&amp;VALUEID=01001&amp;SDATE=200704&amp;PERIODTYPE=QTR_STD&amp;window=popup_no_bar&amp;width=385&amp;height=120&amp;START_MAXIMIZED=FALSE&amp;creator=factset&amp;display_string=Audit"}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1748__FDSAUDITLINK__" localSheetId="20" hidden="1">{"fdsup://Directions/FactSet Auditing Viewer?action=AUDIT_VALUE&amp;DB=129&amp;ID1=87416110&amp;VALUEID=02101&amp;SDATE=200703&amp;PERIODTYPE=QTR_STD&amp;window=popup_no_bar&amp;width=385&amp;height=120&amp;START_MAXIMIZED=FALSE&amp;creator=factset&amp;display_string=Audit"}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1749__FDSAUDITLINK__" localSheetId="20" hidden="1">{"fdsup://Directions/FactSet Auditing Viewer?action=AUDIT_VALUE&amp;DB=129&amp;ID1=87416110&amp;VALUEID=01001&amp;SDATE=200703&amp;PERIODTYPE=QTR_STD&amp;window=popup_no_bar&amp;width=385&amp;height=120&amp;START_MAXIMIZED=FALSE&amp;creator=factset&amp;display_string=Audit"}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175__FDSAUDITLINK__" localSheetId="20" hidden="1">{"fdsup://Directions/FactSet Auditing Viewer?action=AUDIT_VALUE&amp;DB=129&amp;ID1=03611510&amp;VALUEID=01001&amp;SDATE=200801&amp;PERIODTYPE=QTR_STD&amp;window=popup_no_bar&amp;width=385&amp;height=120&amp;START_MAXIMIZED=FALSE&amp;creator=factset&amp;display_string=Audit"}</definedName>
    <definedName name="_175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50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1750__FDSAUDITLINK__" localSheetId="20" hidden="1">{"fdsup://Directions/FactSet Auditing Viewer?action=AUDIT_VALUE&amp;DB=129&amp;ID1=53271610&amp;VALUEID=02101&amp;SDATE=200703&amp;PERIODTYPE=QTR_STD&amp;window=popup_no_bar&amp;width=385&amp;height=120&amp;START_MAXIMIZED=FALSE&amp;creator=factset&amp;display_string=Audit"}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1751__FDSAUDITLINK__" localSheetId="20" hidden="1">{"fdsup://Directions/FactSet Auditing Viewer?action=AUDIT_VALUE&amp;DB=129&amp;ID1=53271610&amp;VALUEID=01001&amp;SDATE=200703&amp;PERIODTYPE=QTR_STD&amp;window=popup_no_bar&amp;width=385&amp;height=120&amp;START_MAXIMIZED=FALSE&amp;creator=factset&amp;display_string=Audit"}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1752__FDSAUDITLINK__" localSheetId="20" hidden="1">{"fdsup://Directions/FactSet Auditing Viewer?action=AUDIT_VALUE&amp;DB=129&amp;ID1=53271610&amp;VALUEID=13040&amp;SDATE=200703&amp;PERIODTYPE=QTR_STD&amp;window=popup_no_bar&amp;width=385&amp;height=120&amp;START_MAXIMIZED=FALSE&amp;creator=factset&amp;display_string=Audit"}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1753__FDSAUDITLINK__" localSheetId="20" hidden="1">{"fdsup://Directions/FactSet Auditing Viewer?action=AUDIT_VALUE&amp;DB=129&amp;ID1=46612H40&amp;VALUEID=02101&amp;SDATE=200703&amp;PERIODTYPE=QTR_STD&amp;window=popup_no_bar&amp;width=385&amp;height=120&amp;START_MAXIMIZED=FALSE&amp;creator=factset&amp;display_string=Audit"}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1754__FDSAUDITLINK__" localSheetId="20" hidden="1">{"fdsup://Directions/FactSet Auditing Viewer?action=AUDIT_VALUE&amp;DB=129&amp;ID1=46612H40&amp;VALUEID=01001&amp;SDATE=200703&amp;PERIODTYPE=QTR_STD&amp;window=popup_no_bar&amp;width=385&amp;height=120&amp;START_MAXIMIZED=FALSE&amp;creator=factset&amp;display_string=Audit"}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1755__FDSAUDITLINK__" localSheetId="20" hidden="1">{"fdsup://Directions/FactSet Auditing Viewer?action=AUDIT_VALUE&amp;DB=129&amp;ID1=46612H40&amp;VALUEID=13040&amp;SDATE=200703&amp;PERIODTYPE=QTR_STD&amp;window=popup_no_bar&amp;width=385&amp;height=120&amp;START_MAXIMIZED=FALSE&amp;creator=factset&amp;display_string=Audit"}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1756__FDSAUDITLINK__" localSheetId="20" hidden="1">{"fdsup://Directions/FactSet Auditing Viewer?action=AUDIT_VALUE&amp;DB=129&amp;ID1=36476010&amp;VALUEID=02101&amp;SDATE=200703&amp;PERIODTYPE=QTR_STD&amp;window=popup_no_bar&amp;width=385&amp;height=120&amp;START_MAXIMIZED=FALSE&amp;creator=factset&amp;display_string=Audit"}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1757__FDSAUDITLINK__" localSheetId="20" hidden="1">{"fdsup://Directions/FactSet Auditing Viewer?action=AUDIT_VALUE&amp;DB=129&amp;ID1=36476010&amp;VALUEID=01001&amp;SDATE=200703&amp;PERIODTYPE=QTR_STD&amp;window=popup_no_bar&amp;width=385&amp;height=120&amp;START_MAXIMIZED=FALSE&amp;creator=factset&amp;display_string=Audit"}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1758__FDSAUDITLINK__" localSheetId="20" hidden="1">{"fdsup://Directions/FactSet Auditing Viewer?action=AUDIT_VALUE&amp;DB=129&amp;ID1=36476010&amp;VALUEID=13040&amp;SDATE=200703&amp;PERIODTYPE=QTR_STD&amp;window=popup_no_bar&amp;width=385&amp;height=120&amp;START_MAXIMIZED=FALSE&amp;creator=factset&amp;display_string=Audit"}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1759__FDSAUDITLINK__" localSheetId="20" hidden="1">{"fdsup://Directions/FactSet Auditing Viewer?action=AUDIT_VALUE&amp;DB=129&amp;ID1=03611510&amp;VALUEID=02101&amp;SDATE=200703&amp;PERIODTYPE=QTR_STD&amp;window=popup_no_bar&amp;width=385&amp;height=120&amp;START_MAXIMIZED=FALSE&amp;creator=factset&amp;display_string=Audit"}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176__FDSAUDITLINK__" localSheetId="20" hidden="1">{"fdsup://Directions/FactSet Auditing Viewer?action=AUDIT_VALUE&amp;DB=129&amp;ID1=03611510&amp;VALUEID=13040&amp;SDATE=200801&amp;PERIODTYPE=QTR_STD&amp;window=popup_no_bar&amp;width=385&amp;height=120&amp;START_MAXIMIZED=FALSE&amp;creator=factset&amp;display_string=Audit"}</definedName>
    <definedName name="_176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60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1760__FDSAUDITLINK__" localSheetId="20" hidden="1">{"fdsup://Directions/FactSet Auditing Viewer?action=AUDIT_VALUE&amp;DB=129&amp;ID1=03611510&amp;VALUEID=01001&amp;SDATE=200703&amp;PERIODTYPE=QTR_STD&amp;window=popup_no_bar&amp;width=385&amp;height=120&amp;START_MAXIMIZED=FALSE&amp;creator=factset&amp;display_string=Audit"}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1761__FDSAUDITLINK__" localSheetId="20" hidden="1">{"fdsup://Directions/FactSet Auditing Viewer?action=AUDIT_VALUE&amp;DB=129&amp;ID1=03611510&amp;VALUEID=13040&amp;SDATE=200703&amp;PERIODTYPE=QTR_STD&amp;window=popup_no_bar&amp;width=385&amp;height=120&amp;START_MAXIMIZED=FALSE&amp;creator=factset&amp;display_string=Audit"}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1762__FDSAUDITLINK__" localSheetId="20" hidden="1">{"fdsup://Directions/FactSet Auditing Viewer?action=AUDIT_VALUE&amp;DB=129&amp;ID1=16890510&amp;VALUEID=02101&amp;SDATE=200703&amp;PERIODTYPE=QTR_STD&amp;window=popup_no_bar&amp;width=385&amp;height=120&amp;START_MAXIMIZED=FALSE&amp;creator=factset&amp;display_string=Audit"}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1763__FDSAUDITLINK__" localSheetId="20" hidden="1">{"fdsup://Directions/FactSet Auditing Viewer?action=AUDIT_VALUE&amp;DB=129&amp;ID1=16890510&amp;VALUEID=01001&amp;SDATE=200703&amp;PERIODTYPE=QTR_STD&amp;window=popup_no_bar&amp;width=385&amp;height=120&amp;START_MAXIMIZED=FALSE&amp;creator=factset&amp;display_string=Audit"}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1764__FDSAUDITLINK__" localSheetId="20" hidden="1">{"fdsup://Directions/FactSet Auditing Viewer?action=AUDIT_VALUE&amp;DB=129&amp;ID1=91704710&amp;VALUEID=02101&amp;SDATE=200703&amp;PERIODTYPE=QTR_STD&amp;window=popup_no_bar&amp;width=385&amp;height=120&amp;START_MAXIMIZED=FALSE&amp;creator=factset&amp;display_string=Audit"}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1765__FDSAUDITLINK__" localSheetId="20" hidden="1">{"fdsup://Directions/FactSet Auditing Viewer?action=AUDIT_VALUE&amp;DB=129&amp;ID1=91704710&amp;VALUEID=01001&amp;SDATE=200703&amp;PERIODTYPE=QTR_STD&amp;window=popup_no_bar&amp;width=385&amp;height=120&amp;START_MAXIMIZED=FALSE&amp;creator=factset&amp;display_string=Audit"}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1766__FDSAUDITLINK__" localSheetId="20" hidden="1">{"fdsup://Directions/FactSet Auditing Viewer?action=AUDIT_VALUE&amp;DB=129&amp;ID1=91704710&amp;VALUEID=13040&amp;SDATE=200703&amp;PERIODTYPE=QTR_STD&amp;window=popup_no_bar&amp;width=385&amp;height=120&amp;START_MAXIMIZED=FALSE&amp;creator=factset&amp;display_string=Audit"}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1767__FDSAUDITLINK__" localSheetId="20" hidden="1">{"fdsup://Directions/FactSet Auditing Viewer?action=AUDIT_VALUE&amp;DB=129&amp;ID1=02553E10&amp;VALUEID=02101&amp;SDATE=200703&amp;PERIODTYPE=QTR_STD&amp;window=popup_no_bar&amp;width=385&amp;height=120&amp;START_MAXIMIZED=FALSE&amp;creator=factset&amp;display_string=Audit"}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1768__FDSAUDITLINK__" localSheetId="20" hidden="1">{"fdsup://Directions/FactSet Auditing Viewer?action=AUDIT_VALUE&amp;DB=129&amp;ID1=02553E10&amp;VALUEID=01001&amp;SDATE=200703&amp;PERIODTYPE=QTR_STD&amp;window=popup_no_bar&amp;width=385&amp;height=120&amp;START_MAXIMIZED=FALSE&amp;creator=factset&amp;display_string=Audit"}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1769__FDSAUDITLINK__" localSheetId="20" hidden="1">{"fdsup://Directions/FactSet Auditing Viewer?action=AUDIT_VALUE&amp;DB=129&amp;ID1=00786510&amp;VALUEID=02101&amp;SDATE=200703&amp;PERIODTYPE=QTR_STD&amp;window=popup_no_bar&amp;width=385&amp;height=120&amp;START_MAXIMIZED=FALSE&amp;creator=factset&amp;display_string=Audit"}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177__FDSAUDITLINK__" localSheetId="20" hidden="1">{"fdsup://Directions/FactSet Auditing Viewer?action=AUDIT_VALUE&amp;DB=129&amp;ID1=16890510&amp;VALUEID=02101&amp;SDATE=200801&amp;PERIODTYPE=QTR_STD&amp;window=popup_no_bar&amp;width=385&amp;height=120&amp;START_MAXIMIZED=FALSE&amp;creator=factset&amp;display_string=Audit"}</definedName>
    <definedName name="_177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70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1770__FDSAUDITLINK__" localSheetId="20" hidden="1">{"fdsup://Directions/FactSet Auditing Viewer?action=AUDIT_VALUE&amp;DB=129&amp;ID1=00786510&amp;VALUEID=01001&amp;SDATE=200703&amp;PERIODTYPE=QTR_STD&amp;window=popup_no_bar&amp;width=385&amp;height=120&amp;START_MAXIMIZED=FALSE&amp;creator=factset&amp;display_string=Audit"}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1771__FDSAUDITLINK__" localSheetId="20" hidden="1">{"fdsup://Directions/FactSet Auditing Viewer?action=AUDIT_VALUE&amp;DB=129&amp;ID1=00786510&amp;VALUEID=13040&amp;SDATE=200703&amp;PERIODTYPE=QTR_STD&amp;window=popup_no_bar&amp;width=385&amp;height=120&amp;START_MAXIMIZED=FALSE&amp;creator=factset&amp;display_string=Audit"}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1772__FDSAUDITLINK__" localSheetId="20" hidden="1">{"fdsup://Directions/FactSet Auditing Viewer?action=AUDIT_VALUE&amp;DB=129&amp;ID1=00289620&amp;VALUEID=02101&amp;SDATE=200703&amp;PERIODTYPE=QTR_STD&amp;window=popup_no_bar&amp;width=385&amp;height=120&amp;START_MAXIMIZED=FALSE&amp;creator=factset&amp;display_string=Audit"}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1773__FDSAUDITLINK__" localSheetId="20" hidden="1">{"fdsup://Directions/FactSet Auditing Viewer?action=AUDIT_VALUE&amp;DB=129&amp;ID1=00289620&amp;VALUEID=01001&amp;SDATE=200703&amp;PERIODTYPE=QTR_STD&amp;window=popup_no_bar&amp;width=385&amp;height=120&amp;START_MAXIMIZED=FALSE&amp;creator=factset&amp;display_string=Audit"}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1774__FDSAUDITLINK__" localSheetId="20" hidden="1">{"fdsup://Directions/FactSet Auditing Viewer?action=AUDIT_VALUE&amp;DB=129&amp;ID1=00289620&amp;VALUEID=13040&amp;SDATE=200703&amp;PERIODTYPE=QTR_STD&amp;window=popup_no_bar&amp;width=385&amp;height=120&amp;START_MAXIMIZED=FALSE&amp;creator=factset&amp;display_string=Audit"}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1775__FDSAUDITLINK__" localSheetId="20" hidden="1">{"fdsup://Directions/FactSet Auditing Viewer?action=AUDIT_VALUE&amp;DB=129&amp;ID1=87416110&amp;VALUEID=02101&amp;SDATE=200702&amp;PERIODTYPE=QTR_STD&amp;window=popup_no_bar&amp;width=385&amp;height=120&amp;START_MAXIMIZED=FALSE&amp;creator=factset&amp;display_string=Audit"}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1776__FDSAUDITLINK__" localSheetId="20" hidden="1">{"fdsup://Directions/FactSet Auditing Viewer?action=AUDIT_VALUE&amp;DB=129&amp;ID1=87416110&amp;VALUEID=01001&amp;SDATE=200702&amp;PERIODTYPE=QTR_STD&amp;window=popup_no_bar&amp;width=385&amp;height=120&amp;START_MAXIMIZED=FALSE&amp;creator=factset&amp;display_string=Audit"}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1777__FDSAUDITLINK__" localSheetId="20" hidden="1">{"fdsup://Directions/FactSet Auditing Viewer?action=AUDIT_VALUE&amp;DB=129&amp;ID1=53271610&amp;VALUEID=02101&amp;SDATE=200702&amp;PERIODTYPE=QTR_STD&amp;window=popup_no_bar&amp;width=385&amp;height=120&amp;START_MAXIMIZED=FALSE&amp;creator=factset&amp;display_string=Audit"}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1778__FDSAUDITLINK__" localSheetId="20" hidden="1">{"fdsup://Directions/FactSet Auditing Viewer?action=AUDIT_VALUE&amp;DB=129&amp;ID1=53271610&amp;VALUEID=01001&amp;SDATE=200702&amp;PERIODTYPE=QTR_STD&amp;window=popup_no_bar&amp;width=385&amp;height=120&amp;START_MAXIMIZED=FALSE&amp;creator=factset&amp;display_string=Audit"}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1779__FDSAUDITLINK__" localSheetId="20" hidden="1">{"fdsup://Directions/FactSet Auditing Viewer?action=AUDIT_VALUE&amp;DB=129&amp;ID1=53271610&amp;VALUEID=13040&amp;SDATE=200702&amp;PERIODTYPE=QTR_STD&amp;window=popup_no_bar&amp;width=385&amp;height=120&amp;START_MAXIMIZED=FALSE&amp;creator=factset&amp;display_string=Audit"}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178__FDSAUDITLINK__" localSheetId="20" hidden="1">{"fdsup://Directions/FactSet Auditing Viewer?action=AUDIT_VALUE&amp;DB=129&amp;ID1=16890510&amp;VALUEID=01001&amp;SDATE=200801&amp;PERIODTYPE=QTR_STD&amp;window=popup_no_bar&amp;width=385&amp;height=120&amp;START_MAXIMIZED=FALSE&amp;creator=factset&amp;display_string=Audit"}</definedName>
    <definedName name="_178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80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1780__FDSAUDITLINK__" localSheetId="20" hidden="1">{"fdsup://Directions/FactSet Auditing Viewer?action=AUDIT_VALUE&amp;DB=129&amp;ID1=46612H40&amp;VALUEID=02101&amp;SDATE=200702&amp;PERIODTYPE=QTR_STD&amp;window=popup_no_bar&amp;width=385&amp;height=120&amp;START_MAXIMIZED=FALSE&amp;creator=factset&amp;display_string=Audit"}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1781__FDSAUDITLINK__" localSheetId="20" hidden="1">{"fdsup://Directions/FactSet Auditing Viewer?action=AUDIT_VALUE&amp;DB=129&amp;ID1=46612H40&amp;VALUEID=01001&amp;SDATE=200702&amp;PERIODTYPE=QTR_STD&amp;window=popup_no_bar&amp;width=385&amp;height=120&amp;START_MAXIMIZED=FALSE&amp;creator=factset&amp;display_string=Audit"}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1782__FDSAUDITLINK__" localSheetId="20" hidden="1">{"fdsup://Directions/FactSet Auditing Viewer?action=AUDIT_VALUE&amp;DB=129&amp;ID1=46612H40&amp;VALUEID=13040&amp;SDATE=200702&amp;PERIODTYPE=QTR_STD&amp;window=popup_no_bar&amp;width=385&amp;height=120&amp;START_MAXIMIZED=FALSE&amp;creator=factset&amp;display_string=Audit"}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1783__FDSAUDITLINK__" localSheetId="20" hidden="1">{"fdsup://Directions/FactSet Auditing Viewer?action=AUDIT_VALUE&amp;DB=129&amp;ID1=36476010&amp;VALUEID=02101&amp;SDATE=200702&amp;PERIODTYPE=QTR_STD&amp;window=popup_no_bar&amp;width=385&amp;height=120&amp;START_MAXIMIZED=FALSE&amp;creator=factset&amp;display_string=Audit"}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1784__FDSAUDITLINK__" localSheetId="20" hidden="1">{"fdsup://Directions/FactSet Auditing Viewer?action=AUDIT_VALUE&amp;DB=129&amp;ID1=36476010&amp;VALUEID=01001&amp;SDATE=200702&amp;PERIODTYPE=QTR_STD&amp;window=popup_no_bar&amp;width=385&amp;height=120&amp;START_MAXIMIZED=FALSE&amp;creator=factset&amp;display_string=Audit"}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1785__FDSAUDITLINK__" localSheetId="20" hidden="1">{"fdsup://Directions/FactSet Auditing Viewer?action=AUDIT_VALUE&amp;DB=129&amp;ID1=03611510&amp;VALUEID=02101&amp;SDATE=200702&amp;PERIODTYPE=QTR_STD&amp;window=popup_no_bar&amp;width=385&amp;height=120&amp;START_MAXIMIZED=FALSE&amp;creator=factset&amp;display_string=Audit"}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1786__FDSAUDITLINK__" localSheetId="20" hidden="1">{"fdsup://Directions/FactSet Auditing Viewer?action=AUDIT_VALUE&amp;DB=129&amp;ID1=03611510&amp;VALUEID=01001&amp;SDATE=200702&amp;PERIODTYPE=QTR_STD&amp;window=popup_no_bar&amp;width=385&amp;height=120&amp;START_MAXIMIZED=FALSE&amp;creator=factset&amp;display_string=Audit"}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1787__FDSAUDITLINK__" localSheetId="20" hidden="1">{"fdsup://Directions/FactSet Auditing Viewer?action=AUDIT_VALUE&amp;DB=129&amp;ID1=03611510&amp;VALUEID=13040&amp;SDATE=200702&amp;PERIODTYPE=QTR_STD&amp;window=popup_no_bar&amp;width=385&amp;height=120&amp;START_MAXIMIZED=FALSE&amp;creator=factset&amp;display_string=Audit"}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1788__FDSAUDITLINK__" localSheetId="20" hidden="1">{"fdsup://Directions/FactSet Auditing Viewer?action=AUDIT_VALUE&amp;DB=129&amp;ID1=16890510&amp;VALUEID=02101&amp;SDATE=200702&amp;PERIODTYPE=QTR_STD&amp;window=popup_no_bar&amp;width=385&amp;height=120&amp;START_MAXIMIZED=FALSE&amp;creator=factset&amp;display_string=Audit"}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1789__FDSAUDITLINK__" localSheetId="20" hidden="1">{"fdsup://Directions/FactSet Auditing Viewer?action=AUDIT_VALUE&amp;DB=129&amp;ID1=16890510&amp;VALUEID=01001&amp;SDATE=200702&amp;PERIODTYPE=QTR_STD&amp;window=popup_no_bar&amp;width=385&amp;height=120&amp;START_MAXIMIZED=FALSE&amp;creator=factset&amp;display_string=Audit"}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179__FDSAUDITLINK__" localSheetId="20" hidden="1">{"fdsup://Directions/FactSet Auditing Viewer?action=AUDIT_VALUE&amp;DB=129&amp;ID1=91704710&amp;VALUEID=02101&amp;SDATE=200801&amp;PERIODTYPE=QTR_STD&amp;window=popup_no_bar&amp;width=385&amp;height=120&amp;START_MAXIMIZED=FALSE&amp;creator=factset&amp;display_string=Audit"}</definedName>
    <definedName name="_179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90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1790__FDSAUDITLINK__" localSheetId="20" hidden="1">{"fdsup://Directions/FactSet Auditing Viewer?action=AUDIT_VALUE&amp;DB=129&amp;ID1=91704710&amp;VALUEID=02101&amp;SDATE=200702&amp;PERIODTYPE=QTR_STD&amp;window=popup_no_bar&amp;width=385&amp;height=120&amp;START_MAXIMIZED=FALSE&amp;creator=factset&amp;display_string=Audit"}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1791__FDSAUDITLINK__" localSheetId="20" hidden="1">{"fdsup://Directions/FactSet Auditing Viewer?action=AUDIT_VALUE&amp;DB=129&amp;ID1=91704710&amp;VALUEID=01001&amp;SDATE=200702&amp;PERIODTYPE=QTR_STD&amp;window=popup_no_bar&amp;width=385&amp;height=120&amp;START_MAXIMIZED=FALSE&amp;creator=factset&amp;display_string=Audit"}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1792__FDSAUDITLINK__" localSheetId="20" hidden="1">{"fdsup://Directions/FactSet Auditing Viewer?action=AUDIT_VALUE&amp;DB=129&amp;ID1=91704710&amp;VALUEID=13040&amp;SDATE=200702&amp;PERIODTYPE=QTR_STD&amp;window=popup_no_bar&amp;width=385&amp;height=120&amp;START_MAXIMIZED=FALSE&amp;creator=factset&amp;display_string=Audit"}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1793__FDSAUDITLINK__" localSheetId="20" hidden="1">{"fdsup://Directions/FactSet Auditing Viewer?action=AUDIT_VALUE&amp;DB=129&amp;ID1=02553E10&amp;VALUEID=02101&amp;SDATE=200702&amp;PERIODTYPE=QTR_STD&amp;window=popup_no_bar&amp;width=385&amp;height=120&amp;START_MAXIMIZED=FALSE&amp;creator=factset&amp;display_string=Audit"}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1794__FDSAUDITLINK__" localSheetId="20" hidden="1">{"fdsup://Directions/FactSet Auditing Viewer?action=AUDIT_VALUE&amp;DB=129&amp;ID1=02553E10&amp;VALUEID=01001&amp;SDATE=200702&amp;PERIODTYPE=QTR_STD&amp;window=popup_no_bar&amp;width=385&amp;height=120&amp;START_MAXIMIZED=FALSE&amp;creator=factset&amp;display_string=Audit"}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1795__FDSAUDITLINK__" localSheetId="20" hidden="1">{"fdsup://Directions/FactSet Auditing Viewer?action=AUDIT_VALUE&amp;DB=129&amp;ID1=02553E10&amp;VALUEID=13040&amp;SDATE=200702&amp;PERIODTYPE=QTR_STD&amp;window=popup_no_bar&amp;width=385&amp;height=120&amp;START_MAXIMIZED=FALSE&amp;creator=factset&amp;display_string=Audit"}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1796__FDSAUDITLINK__" localSheetId="20" hidden="1">{"fdsup://Directions/FactSet Auditing Viewer?action=AUDIT_VALUE&amp;DB=129&amp;ID1=00786510&amp;VALUEID=02101&amp;SDATE=200702&amp;PERIODTYPE=QTR_STD&amp;window=popup_no_bar&amp;width=385&amp;height=120&amp;START_MAXIMIZED=FALSE&amp;creator=factset&amp;display_string=Audit"}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1797__FDSAUDITLINK__" localSheetId="20" hidden="1">{"fdsup://Directions/FactSet Auditing Viewer?action=AUDIT_VALUE&amp;DB=129&amp;ID1=00786510&amp;VALUEID=01001&amp;SDATE=200702&amp;PERIODTYPE=QTR_STD&amp;window=popup_no_bar&amp;width=385&amp;height=120&amp;START_MAXIMIZED=FALSE&amp;creator=factset&amp;display_string=Audit"}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1798__FDSAUDITLINK__" localSheetId="20" hidden="1">{"fdsup://Directions/FactSet Auditing Viewer?action=AUDIT_VALUE&amp;DB=129&amp;ID1=00786510&amp;VALUEID=13040&amp;SDATE=200702&amp;PERIODTYPE=QTR_STD&amp;window=popup_no_bar&amp;width=385&amp;height=120&amp;START_MAXIMIZED=FALSE&amp;creator=factset&amp;display_string=Audit"}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1799__FDSAUDITLINK__" localSheetId="20" hidden="1">{"fdsup://Directions/FactSet Auditing Viewer?action=AUDIT_VALUE&amp;DB=129&amp;ID1=00289620&amp;VALUEID=02101&amp;SDATE=200702&amp;PERIODTYPE=QTR_STD&amp;window=popup_no_bar&amp;width=385&amp;height=120&amp;START_MAXIMIZED=FALSE&amp;creator=factset&amp;display_string=Audit"}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localSheetId="1" hidden="1">{"fdsup://directions/FAT Viewer?action=UPDATE&amp;creator=factset&amp;DYN_ARGS=TRUE&amp;DOC_NAME=FAT:FQL_AUDITING_CLIENT_TEMPLATE.FAT&amp;display_string=Audit&amp;VAR:KEY=ONUTUTUVQF&amp;VAR:QUERY=RkZfRU5UUlBSX1ZBTF9FQklUREFfT1BFUihBTk4sMCk=&amp;WINDOW=FIRST_POPUP&amp;HEIGHT=450&amp;WIDTH=450&amp;","START_MAXIMIZED=FALSE&amp;VAR:CALENDAR=FIVEDAY&amp;VAR:SYMBOL=CHRS&amp;VAR:INDEX=0"}</definedName>
    <definedName name="_18__FDSAUDITLINK__" localSheetId="20" hidden="1">{"fdsup://Directions/FactSet Auditing Viewer?action=AUDIT_VALUE&amp;DB=129&amp;ID1=00786510&amp;VALUEID=13040&amp;SDATE=201001&amp;PERIODTYPE=QTR_STD&amp;window=popup_no_bar&amp;width=385&amp;height=120&amp;START_MAXIMIZED=FALSE&amp;creator=factset&amp;display_string=Audit"}</definedName>
    <definedName name="_18__FDSAUDITLINK__" hidden="1">{"fdsup://directions/FAT Viewer?action=UPDATE&amp;creator=factset&amp;DYN_ARGS=TRUE&amp;DOC_NAME=FAT:FQL_AUDITING_CLIENT_TEMPLATE.FAT&amp;display_string=Audit&amp;VAR:KEY=ONUTUTUVQF&amp;VAR:QUERY=RkZfRU5UUlBSX1ZBTF9FQklUREFfT1BFUihBTk4sMCk=&amp;WINDOW=FIRST_POPUP&amp;HEIGHT=450&amp;WIDTH=450&amp;","START_MAXIMIZED=FALSE&amp;VAR:CALENDAR=FIVEDAY&amp;VAR:SYMBOL=CHRS&amp;VAR:INDEX=0"}</definedName>
    <definedName name="_180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180__FDSAUDITLINK__" localSheetId="20" hidden="1">{"fdsup://Directions/FactSet Auditing Viewer?action=AUDIT_VALUE&amp;DB=129&amp;ID1=91704710&amp;VALUEID=01001&amp;SDATE=200801&amp;PERIODTYPE=QTR_STD&amp;window=popup_no_bar&amp;width=385&amp;height=120&amp;START_MAXIMIZED=FALSE&amp;creator=factset&amp;display_string=Audit"}</definedName>
    <definedName name="_180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800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1800__FDSAUDITLINK__" localSheetId="20" hidden="1">{"fdsup://Directions/FactSet Auditing Viewer?action=AUDIT_VALUE&amp;DB=129&amp;ID1=00289620&amp;VALUEID=01001&amp;SDATE=200702&amp;PERIODTYPE=QTR_STD&amp;window=popup_no_bar&amp;width=385&amp;height=120&amp;START_MAXIMIZED=FALSE&amp;creator=factset&amp;display_string=Audit"}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1801__FDSAUDITLINK__" localSheetId="20" hidden="1">{"fdsup://Directions/FactSet Auditing Viewer?action=AUDIT_VALUE&amp;DB=129&amp;ID1=87416110&amp;VALUEID=02101&amp;SDATE=200701&amp;PERIODTYPE=QTR_STD&amp;window=popup_no_bar&amp;width=385&amp;height=120&amp;START_MAXIMIZED=FALSE&amp;creator=factset&amp;display_string=Audit"}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1802__FDSAUDITLINK__" localSheetId="20" hidden="1">{"fdsup://Directions/FactSet Auditing Viewer?action=AUDIT_VALUE&amp;DB=129&amp;ID1=87416110&amp;VALUEID=01001&amp;SDATE=200701&amp;PERIODTYPE=QTR_STD&amp;window=popup_no_bar&amp;width=385&amp;height=120&amp;START_MAXIMIZED=FALSE&amp;creator=factset&amp;display_string=Audit"}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1803__FDSAUDITLINK__" localSheetId="20" hidden="1">{"fdsup://Directions/FactSet Auditing Viewer?action=AUDIT_VALUE&amp;DB=129&amp;ID1=53271610&amp;VALUEID=02101&amp;SDATE=200701&amp;PERIODTYPE=QTR_STD&amp;window=popup_no_bar&amp;width=385&amp;height=120&amp;START_MAXIMIZED=FALSE&amp;creator=factset&amp;display_string=Audit"}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1804__FDSAUDITLINK__" localSheetId="20" hidden="1">{"fdsup://Directions/FactSet Auditing Viewer?action=AUDIT_VALUE&amp;DB=129&amp;ID1=53271610&amp;VALUEID=01001&amp;SDATE=200701&amp;PERIODTYPE=QTR_STD&amp;window=popup_no_bar&amp;width=385&amp;height=120&amp;START_MAXIMIZED=FALSE&amp;creator=factset&amp;display_string=Audit"}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1805__FDSAUDITLINK__" localSheetId="20" hidden="1">{"fdsup://Directions/FactSet Auditing Viewer?action=AUDIT_VALUE&amp;DB=129&amp;ID1=53271610&amp;VALUEID=13040&amp;SDATE=200701&amp;PERIODTYPE=QTR_STD&amp;window=popup_no_bar&amp;width=385&amp;height=120&amp;START_MAXIMIZED=FALSE&amp;creator=factset&amp;display_string=Audit"}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1806__FDSAUDITLINK__" localSheetId="20" hidden="1">{"fdsup://Directions/FactSet Auditing Viewer?action=AUDIT_VALUE&amp;DB=129&amp;ID1=46612H40&amp;VALUEID=02101&amp;SDATE=200701&amp;PERIODTYPE=QTR_STD&amp;window=popup_no_bar&amp;width=385&amp;height=120&amp;START_MAXIMIZED=FALSE&amp;creator=factset&amp;display_string=Audit"}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1807__FDSAUDITLINK__" localSheetId="20" hidden="1">{"fdsup://Directions/FactSet Auditing Viewer?action=AUDIT_VALUE&amp;DB=129&amp;ID1=46612H40&amp;VALUEID=01001&amp;SDATE=200701&amp;PERIODTYPE=QTR_STD&amp;window=popup_no_bar&amp;width=385&amp;height=120&amp;START_MAXIMIZED=FALSE&amp;creator=factset&amp;display_string=Audit"}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1808__FDSAUDITLINK__" localSheetId="20" hidden="1">{"fdsup://Directions/FactSet Auditing Viewer?action=AUDIT_VALUE&amp;DB=129&amp;ID1=46612H40&amp;VALUEID=13040&amp;SDATE=200701&amp;PERIODTYPE=QTR_STD&amp;window=popup_no_bar&amp;width=385&amp;height=120&amp;START_MAXIMIZED=FALSE&amp;creator=factset&amp;display_string=Audit"}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1809__FDSAUDITLINK__" localSheetId="20" hidden="1">{"fdsup://Directions/FactSet Auditing Viewer?action=AUDIT_VALUE&amp;DB=129&amp;ID1=36476010&amp;VALUEID=02101&amp;SDATE=200701&amp;PERIODTYPE=QTR_STD&amp;window=popup_no_bar&amp;width=385&amp;height=120&amp;START_MAXIMIZED=FALSE&amp;creator=factset&amp;display_string=Audit"}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181__FDSAUDITLINK__" localSheetId="20" hidden="1">{"fdsup://Directions/FactSet Auditing Viewer?action=AUDIT_VALUE&amp;DB=129&amp;ID1=91704710&amp;VALUEID=13040&amp;SDATE=200801&amp;PERIODTYPE=QTR_STD&amp;window=popup_no_bar&amp;width=385&amp;height=120&amp;START_MAXIMIZED=FALSE&amp;creator=factset&amp;display_string=Audit"}</definedName>
    <definedName name="_181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810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1810__FDSAUDITLINK__" localSheetId="20" hidden="1">{"fdsup://Directions/FactSet Auditing Viewer?action=AUDIT_VALUE&amp;DB=129&amp;ID1=36476010&amp;VALUEID=01001&amp;SDATE=200701&amp;PERIODTYPE=QTR_STD&amp;window=popup_no_bar&amp;width=385&amp;height=120&amp;START_MAXIMIZED=FALSE&amp;creator=factset&amp;display_string=Audit"}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1811__FDSAUDITLINK__" localSheetId="20" hidden="1">{"fdsup://Directions/FactSet Auditing Viewer?action=AUDIT_VALUE&amp;DB=129&amp;ID1=36476010&amp;VALUEID=13040&amp;SDATE=200701&amp;PERIODTYPE=QTR_STD&amp;window=popup_no_bar&amp;width=385&amp;height=120&amp;START_MAXIMIZED=FALSE&amp;creator=factset&amp;display_string=Audit"}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1812__FDSAUDITLINK__" localSheetId="20" hidden="1">{"fdsup://Directions/FactSet Auditing Viewer?action=AUDIT_VALUE&amp;DB=129&amp;ID1=03611510&amp;VALUEID=02101&amp;SDATE=200701&amp;PERIODTYPE=QTR_STD&amp;window=popup_no_bar&amp;width=385&amp;height=120&amp;START_MAXIMIZED=FALSE&amp;creator=factset&amp;display_string=Audit"}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1813__FDSAUDITLINK__" localSheetId="20" hidden="1">{"fdsup://Directions/FactSet Auditing Viewer?action=AUDIT_VALUE&amp;DB=129&amp;ID1=03611510&amp;VALUEID=01001&amp;SDATE=200701&amp;PERIODTYPE=QTR_STD&amp;window=popup_no_bar&amp;width=385&amp;height=120&amp;START_MAXIMIZED=FALSE&amp;creator=factset&amp;display_string=Audit"}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1814__FDSAUDITLINK__" localSheetId="20" hidden="1">{"fdsup://Directions/FactSet Auditing Viewer?action=AUDIT_VALUE&amp;DB=129&amp;ID1=03611510&amp;VALUEID=13040&amp;SDATE=200701&amp;PERIODTYPE=QTR_STD&amp;window=popup_no_bar&amp;width=385&amp;height=120&amp;START_MAXIMIZED=FALSE&amp;creator=factset&amp;display_string=Audit"}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1815__FDSAUDITLINK__" localSheetId="20" hidden="1">{"fdsup://Directions/FactSet Auditing Viewer?action=AUDIT_VALUE&amp;DB=129&amp;ID1=16890510&amp;VALUEID=02101&amp;SDATE=200701&amp;PERIODTYPE=QTR_STD&amp;window=popup_no_bar&amp;width=385&amp;height=120&amp;START_MAXIMIZED=FALSE&amp;creator=factset&amp;display_string=Audit"}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1816__FDSAUDITLINK__" localSheetId="20" hidden="1">{"fdsup://Directions/FactSet Auditing Viewer?action=AUDIT_VALUE&amp;DB=129&amp;ID1=16890510&amp;VALUEID=01001&amp;SDATE=200701&amp;PERIODTYPE=QTR_STD&amp;window=popup_no_bar&amp;width=385&amp;height=120&amp;START_MAXIMIZED=FALSE&amp;creator=factset&amp;display_string=Audit"}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1817__FDSAUDITLINK__" localSheetId="20" hidden="1">{"fdsup://Directions/FactSet Auditing Viewer?action=AUDIT_VALUE&amp;DB=129&amp;ID1=91704710&amp;VALUEID=02101&amp;SDATE=200701&amp;PERIODTYPE=QTR_STD&amp;window=popup_no_bar&amp;width=385&amp;height=120&amp;START_MAXIMIZED=FALSE&amp;creator=factset&amp;display_string=Audit"}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1818__FDSAUDITLINK__" localSheetId="20" hidden="1">{"fdsup://Directions/FactSet Auditing Viewer?action=AUDIT_VALUE&amp;DB=129&amp;ID1=91704710&amp;VALUEID=01001&amp;SDATE=200701&amp;PERIODTYPE=QTR_STD&amp;window=popup_no_bar&amp;width=385&amp;height=120&amp;START_MAXIMIZED=FALSE&amp;creator=factset&amp;display_string=Audit"}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1819__FDSAUDITLINK__" localSheetId="20" hidden="1">{"fdsup://Directions/FactSet Auditing Viewer?action=AUDIT_VALUE&amp;DB=129&amp;ID1=91704710&amp;VALUEID=13040&amp;SDATE=200701&amp;PERIODTYPE=QTR_STD&amp;window=popup_no_bar&amp;width=385&amp;height=120&amp;START_MAXIMIZED=FALSE&amp;creator=factset&amp;display_string=Audit"}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182__FDSAUDITLINK__" localSheetId="20" hidden="1">{"fdsup://Directions/FactSet Auditing Viewer?action=AUDIT_VALUE&amp;DB=129&amp;ID1=02553E10&amp;VALUEID=02101&amp;SDATE=200801&amp;PERIODTYPE=QTR_STD&amp;window=popup_no_bar&amp;width=385&amp;height=120&amp;START_MAXIMIZED=FALSE&amp;creator=factset&amp;display_string=Audit"}</definedName>
    <definedName name="_182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820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1820__FDSAUDITLINK__" localSheetId="20" hidden="1">{"fdsup://Directions/FactSet Auditing Viewer?action=AUDIT_VALUE&amp;DB=129&amp;ID1=02553E10&amp;VALUEID=02101&amp;SDATE=200701&amp;PERIODTYPE=QTR_STD&amp;window=popup_no_bar&amp;width=385&amp;height=120&amp;START_MAXIMIZED=FALSE&amp;creator=factset&amp;display_string=Audit"}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1821__FDSAUDITLINK__" localSheetId="20" hidden="1">{"fdsup://Directions/FactSet Auditing Viewer?action=AUDIT_VALUE&amp;DB=129&amp;ID1=02553E10&amp;VALUEID=01001&amp;SDATE=200701&amp;PERIODTYPE=QTR_STD&amp;window=popup_no_bar&amp;width=385&amp;height=120&amp;START_MAXIMIZED=FALSE&amp;creator=factset&amp;display_string=Audit"}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1822__FDSAUDITLINK__" localSheetId="20" hidden="1">{"fdsup://Directions/FactSet Auditing Viewer?action=AUDIT_VALUE&amp;DB=129&amp;ID1=02553E10&amp;VALUEID=13040&amp;SDATE=200701&amp;PERIODTYPE=QTR_STD&amp;window=popup_no_bar&amp;width=385&amp;height=120&amp;START_MAXIMIZED=FALSE&amp;creator=factset&amp;display_string=Audit"}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1823__FDSAUDITLINK__" localSheetId="20" hidden="1">{"fdsup://Directions/FactSet Auditing Viewer?action=AUDIT_VALUE&amp;DB=129&amp;ID1=00786510&amp;VALUEID=02101&amp;SDATE=200701&amp;PERIODTYPE=QTR_STD&amp;window=popup_no_bar&amp;width=385&amp;height=120&amp;START_MAXIMIZED=FALSE&amp;creator=factset&amp;display_string=Audit"}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1824__FDSAUDITLINK__" localSheetId="20" hidden="1">{"fdsup://Directions/FactSet Auditing Viewer?action=AUDIT_VALUE&amp;DB=129&amp;ID1=00786510&amp;VALUEID=01001&amp;SDATE=200701&amp;PERIODTYPE=QTR_STD&amp;window=popup_no_bar&amp;width=385&amp;height=120&amp;START_MAXIMIZED=FALSE&amp;creator=factset&amp;display_string=Audit"}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1825__FDSAUDITLINK__" localSheetId="20" hidden="1">{"fdsup://Directions/FactSet Auditing Viewer?action=AUDIT_VALUE&amp;DB=129&amp;ID1=00786510&amp;VALUEID=13040&amp;SDATE=200701&amp;PERIODTYPE=QTR_STD&amp;window=popup_no_bar&amp;width=385&amp;height=120&amp;START_MAXIMIZED=FALSE&amp;creator=factset&amp;display_string=Audit"}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1826__FDSAUDITLINK__" localSheetId="20" hidden="1">{"fdsup://Directions/FactSet Auditing Viewer?action=AUDIT_VALUE&amp;DB=129&amp;ID1=00289620&amp;VALUEID=02101&amp;SDATE=200701&amp;PERIODTYPE=QTR_STD&amp;window=popup_no_bar&amp;width=385&amp;height=120&amp;START_MAXIMIZED=FALSE&amp;creator=factset&amp;display_string=Audit"}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1827__FDSAUDITLINK__" localSheetId="20" hidden="1">{"fdsup://Directions/FactSet Auditing Viewer?action=AUDIT_VALUE&amp;DB=129&amp;ID1=00289620&amp;VALUEID=01001&amp;SDATE=200701&amp;PERIODTYPE=QTR_STD&amp;window=popup_no_bar&amp;width=385&amp;height=120&amp;START_MAXIMIZED=FALSE&amp;creator=factset&amp;display_string=Audit"}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1828__FDSAUDITLINK__" localSheetId="20" hidden="1">{"fdsup://Directions/FactSet Auditing Viewer?action=AUDIT_VALUE&amp;DB=129&amp;ID1=00289620&amp;VALUEID=13040&amp;SDATE=200701&amp;PERIODTYPE=QTR_STD&amp;window=popup_no_bar&amp;width=385&amp;height=120&amp;START_MAXIMIZED=FALSE&amp;creator=factset&amp;display_string=Audit"}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1829__FDSAUDITLINK__" localSheetId="20" hidden="1">{"fdsup://Directions/FactSet Auditing Viewer?action=AUDIT_VALUE&amp;DB=129&amp;ID1=87416110&amp;VALUEID=01001&amp;SDATE=200604&amp;PERIODTYPE=QTR_STD&amp;window=popup_no_bar&amp;width=385&amp;height=120&amp;START_MAXIMIZED=FALSE&amp;creator=factset&amp;display_string=Audit"}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183__FDSAUDITLINK__" localSheetId="20" hidden="1">{"fdsup://Directions/FactSet Auditing Viewer?action=AUDIT_VALUE&amp;DB=129&amp;ID1=02553E10&amp;VALUEID=01001&amp;SDATE=200801&amp;PERIODTYPE=QTR_STD&amp;window=popup_no_bar&amp;width=385&amp;height=120&amp;START_MAXIMIZED=FALSE&amp;creator=factset&amp;display_string=Audit"}</definedName>
    <definedName name="_183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830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1830__FDSAUDITLINK__" localSheetId="20" hidden="1">{"fdsup://Directions/FactSet Auditing Viewer?action=AUDIT_VALUE&amp;DB=129&amp;ID1=46612H40&amp;VALUEID=01001&amp;SDATE=200604&amp;PERIODTYPE=QTR_STD&amp;window=popup_no_bar&amp;width=385&amp;height=120&amp;START_MAXIMIZED=FALSE&amp;creator=factset&amp;display_string=Audit"}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1831__FDSAUDITLINK__" localSheetId="20" hidden="1">{"fdsup://Directions/FactSet Auditing Viewer?action=AUDIT_VALUE&amp;DB=129&amp;ID1=36476010&amp;VALUEID=01001&amp;SDATE=200604&amp;PERIODTYPE=QTR_STD&amp;window=popup_no_bar&amp;width=385&amp;height=120&amp;START_MAXIMIZED=FALSE&amp;creator=factset&amp;display_string=Audit"}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1832__FDSAUDITLINK__" localSheetId="20" hidden="1">{"fdsup://Directions/FactSet Auditing Viewer?action=AUDIT_VALUE&amp;DB=129&amp;ID1=03611510&amp;VALUEID=01001&amp;SDATE=200604&amp;PERIODTYPE=QTR_STD&amp;window=popup_no_bar&amp;width=385&amp;height=120&amp;START_MAXIMIZED=FALSE&amp;creator=factset&amp;display_string=Audit"}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1833__FDSAUDITLINK__" localSheetId="20" hidden="1">{"fdsup://Directions/FactSet Auditing Viewer?action=AUDIT_VALUE&amp;DB=129&amp;ID1=16890510&amp;VALUEID=01001&amp;SDATE=200604&amp;PERIODTYPE=QTR_STD&amp;window=popup_no_bar&amp;width=385&amp;height=120&amp;START_MAXIMIZED=FALSE&amp;creator=factset&amp;display_string=Audit"}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4__FDSAUDITLINK__" localSheetId="20"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1835__FDSAUDITLINK__" localSheetId="20" hidden="1">{"fdsup://Directions/FactSet Auditing Viewer?action=AUDIT_VALUE&amp;DB=129&amp;ID1=00786510&amp;VALUEID=01001&amp;SDATE=200604&amp;PERIODTYPE=QTR_STD&amp;window=popup_no_bar&amp;width=385&amp;height=120&amp;START_MAXIMIZED=FALSE&amp;creator=factset&amp;display_string=Audit"}</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1836__FDSAUDITLINK__" localSheetId="20" hidden="1">{"fdsup://Directions/FactSet Auditing Viewer?action=AUDIT_VALUE&amp;DB=129&amp;ID1=87416110&amp;VALUEID=02101&amp;SDATE=200603&amp;PERIODTYPE=QTR_STD&amp;window=popup_no_bar&amp;width=385&amp;height=120&amp;START_MAXIMIZED=FALSE&amp;creator=factset&amp;display_string=Audit"}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1837__FDSAUDITLINK__" localSheetId="20" hidden="1">{"fdsup://Directions/FactSet Auditing Viewer?action=AUDIT_VALUE&amp;DB=129&amp;ID1=87416110&amp;VALUEID=01001&amp;SDATE=200603&amp;PERIODTYPE=QTR_STD&amp;window=popup_no_bar&amp;width=385&amp;height=120&amp;START_MAXIMIZED=FALSE&amp;creator=factset&amp;display_string=Audit"}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1838__FDSAUDITLINK__" localSheetId="20" hidden="1">{"fdsup://Directions/FactSet Auditing Viewer?action=AUDIT_VALUE&amp;DB=129&amp;ID1=53271610&amp;VALUEID=02101&amp;SDATE=200603&amp;PERIODTYPE=QTR_STD&amp;window=popup_no_bar&amp;width=385&amp;height=120&amp;START_MAXIMIZED=FALSE&amp;creator=factset&amp;display_string=Audit"}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1839__FDSAUDITLINK__" localSheetId="20" hidden="1">{"fdsup://Directions/FactSet Auditing Viewer?action=AUDIT_VALUE&amp;DB=129&amp;ID1=53271610&amp;VALUEID=01001&amp;SDATE=200603&amp;PERIODTYPE=QTR_STD&amp;window=popup_no_bar&amp;width=385&amp;height=120&amp;START_MAXIMIZED=FALSE&amp;creator=factset&amp;display_string=Audit"}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184__FDSAUDITLINK__" localSheetId="20" hidden="1">{"fdsup://Directions/FactSet Auditing Viewer?action=AUDIT_VALUE&amp;DB=129&amp;ID1=02553E10&amp;VALUEID=13040&amp;SDATE=200801&amp;PERIODTYPE=QTR_STD&amp;window=popup_no_bar&amp;width=385&amp;height=120&amp;START_MAXIMIZED=FALSE&amp;creator=factset&amp;display_string=Audit"}</definedName>
    <definedName name="_184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840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1840__FDSAUDITLINK__" localSheetId="20" hidden="1">{"fdsup://Directions/FactSet Auditing Viewer?action=AUDIT_VALUE&amp;DB=129&amp;ID1=53271610&amp;VALUEID=13040&amp;SDATE=200603&amp;PERIODTYPE=QTR_STD&amp;window=popup_no_bar&amp;width=385&amp;height=120&amp;START_MAXIMIZED=FALSE&amp;creator=factset&amp;display_string=Audit"}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1841__FDSAUDITLINK__" localSheetId="20" hidden="1">{"fdsup://Directions/FactSet Auditing Viewer?action=AUDIT_VALUE&amp;DB=129&amp;ID1=46612H40&amp;VALUEID=02101&amp;SDATE=200603&amp;PERIODTYPE=QTR_STD&amp;window=popup_no_bar&amp;width=385&amp;height=120&amp;START_MAXIMIZED=FALSE&amp;creator=factset&amp;display_string=Audit"}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1842__FDSAUDITLINK__" localSheetId="20" hidden="1">{"fdsup://Directions/FactSet Auditing Viewer?action=AUDIT_VALUE&amp;DB=129&amp;ID1=46612H40&amp;VALUEID=01001&amp;SDATE=200603&amp;PERIODTYPE=QTR_STD&amp;window=popup_no_bar&amp;width=385&amp;height=120&amp;START_MAXIMIZED=FALSE&amp;creator=factset&amp;display_string=Audit"}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1843__FDSAUDITLINK__" localSheetId="20" hidden="1">{"fdsup://Directions/FactSet Auditing Viewer?action=AUDIT_VALUE&amp;DB=129&amp;ID1=46612H40&amp;VALUEID=13040&amp;SDATE=200603&amp;PERIODTYPE=QTR_STD&amp;window=popup_no_bar&amp;width=385&amp;height=120&amp;START_MAXIMIZED=FALSE&amp;creator=factset&amp;display_string=Audit"}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1844__FDSAUDITLINK__" localSheetId="20" hidden="1">{"fdsup://Directions/FactSet Auditing Viewer?action=AUDIT_VALUE&amp;DB=129&amp;ID1=36476010&amp;VALUEID=02101&amp;SDATE=200603&amp;PERIODTYPE=QTR_STD&amp;window=popup_no_bar&amp;width=385&amp;height=120&amp;START_MAXIMIZED=FALSE&amp;creator=factset&amp;display_string=Audit"}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1845__FDSAUDITLINK__" localSheetId="20" hidden="1">{"fdsup://Directions/FactSet Auditing Viewer?action=AUDIT_VALUE&amp;DB=129&amp;ID1=36476010&amp;VALUEID=01001&amp;SDATE=200603&amp;PERIODTYPE=QTR_STD&amp;window=popup_no_bar&amp;width=385&amp;height=120&amp;START_MAXIMIZED=FALSE&amp;creator=factset&amp;display_string=Audit"}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1846__FDSAUDITLINK__" localSheetId="20" hidden="1">{"fdsup://Directions/FactSet Auditing Viewer?action=AUDIT_VALUE&amp;DB=129&amp;ID1=36476010&amp;VALUEID=13040&amp;SDATE=200603&amp;PERIODTYPE=QTR_STD&amp;window=popup_no_bar&amp;width=385&amp;height=120&amp;START_MAXIMIZED=FALSE&amp;creator=factset&amp;display_string=Audit"}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1847__FDSAUDITLINK__" localSheetId="20" hidden="1">{"fdsup://Directions/FactSet Auditing Viewer?action=AUDIT_VALUE&amp;DB=129&amp;ID1=03611510&amp;VALUEID=02101&amp;SDATE=200603&amp;PERIODTYPE=QTR_STD&amp;window=popup_no_bar&amp;width=385&amp;height=120&amp;START_MAXIMIZED=FALSE&amp;creator=factset&amp;display_string=Audit"}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1848__FDSAUDITLINK__" localSheetId="20" hidden="1">{"fdsup://Directions/FactSet Auditing Viewer?action=AUDIT_VALUE&amp;DB=129&amp;ID1=03611510&amp;VALUEID=01001&amp;SDATE=200603&amp;PERIODTYPE=QTR_STD&amp;window=popup_no_bar&amp;width=385&amp;height=120&amp;START_MAXIMIZED=FALSE&amp;creator=factset&amp;display_string=Audit"}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1849__FDSAUDITLINK__" localSheetId="20" hidden="1">{"fdsup://Directions/FactSet Auditing Viewer?action=AUDIT_VALUE&amp;DB=129&amp;ID1=03611510&amp;VALUEID=13040&amp;SDATE=200603&amp;PERIODTYPE=QTR_STD&amp;window=popup_no_bar&amp;width=385&amp;height=120&amp;START_MAXIMIZED=FALSE&amp;creator=factset&amp;display_string=Audit"}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185__FDSAUDITLINK__" localSheetId="20" hidden="1">{"fdsup://Directions/FactSet Auditing Viewer?action=AUDIT_VALUE&amp;DB=129&amp;ID1=00786510&amp;VALUEID=02101&amp;SDATE=200801&amp;PERIODTYPE=QTR_STD&amp;window=popup_no_bar&amp;width=385&amp;height=120&amp;START_MAXIMIZED=FALSE&amp;creator=factset&amp;display_string=Audit"}</definedName>
    <definedName name="_185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850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1850__FDSAUDITLINK__" localSheetId="20" hidden="1">{"fdsup://Directions/FactSet Auditing Viewer?action=AUDIT_VALUE&amp;DB=129&amp;ID1=16890510&amp;VALUEID=02101&amp;SDATE=200603&amp;PERIODTYPE=QTR_STD&amp;window=popup_no_bar&amp;width=385&amp;height=120&amp;START_MAXIMIZED=FALSE&amp;creator=factset&amp;display_string=Audit"}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1851__FDSAUDITLINK__" localSheetId="20" hidden="1">{"fdsup://Directions/FactSet Auditing Viewer?action=AUDIT_VALUE&amp;DB=129&amp;ID1=16890510&amp;VALUEID=01001&amp;SDATE=200603&amp;PERIODTYPE=QTR_STD&amp;window=popup_no_bar&amp;width=385&amp;height=120&amp;START_MAXIMIZED=FALSE&amp;creator=factset&amp;display_string=Audit"}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1852__FDSAUDITLINK__" localSheetId="20" hidden="1">{"fdsup://Directions/FactSet Auditing Viewer?action=AUDIT_VALUE&amp;DB=129&amp;ID1=91704710&amp;VALUEID=02101&amp;SDATE=200603&amp;PERIODTYPE=QTR_STD&amp;window=popup_no_bar&amp;width=385&amp;height=120&amp;START_MAXIMIZED=FALSE&amp;creator=factset&amp;display_string=Audit"}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1853__FDSAUDITLINK__" localSheetId="20" hidden="1">{"fdsup://Directions/FactSet Auditing Viewer?action=AUDIT_VALUE&amp;DB=129&amp;ID1=91704710&amp;VALUEID=01001&amp;SDATE=200603&amp;PERIODTYPE=QTR_STD&amp;window=popup_no_bar&amp;width=385&amp;height=120&amp;START_MAXIMIZED=FALSE&amp;creator=factset&amp;display_string=Audit"}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1854__FDSAUDITLINK__" localSheetId="20" hidden="1">{"fdsup://Directions/FactSet Auditing Viewer?action=AUDIT_VALUE&amp;DB=129&amp;ID1=91704710&amp;VALUEID=13040&amp;SDATE=200603&amp;PERIODTYPE=QTR_STD&amp;window=popup_no_bar&amp;width=385&amp;height=120&amp;START_MAXIMIZED=FALSE&amp;creator=factset&amp;display_string=Audit"}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5__FDSAUDITLINK__" localSheetId="20"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1856__FDSAUDITLINK__" localSheetId="20" hidden="1">{"fdsup://Directions/FactSet Auditing Viewer?action=AUDIT_VALUE&amp;DB=129&amp;ID1=00786510&amp;VALUEID=02101&amp;SDATE=200603&amp;PERIODTYPE=QTR_STD&amp;window=popup_no_bar&amp;width=385&amp;height=120&amp;START_MAXIMIZED=FALSE&amp;creator=factset&amp;display_string=Audit"}</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1857__FDSAUDITLINK__" localSheetId="20" hidden="1">{"fdsup://Directions/FactSet Auditing Viewer?action=AUDIT_VALUE&amp;DB=129&amp;ID1=00786510&amp;VALUEID=01001&amp;SDATE=200603&amp;PERIODTYPE=QTR_STD&amp;window=popup_no_bar&amp;width=385&amp;height=120&amp;START_MAXIMIZED=FALSE&amp;creator=factset&amp;display_string=Audit"}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1858__FDSAUDITLINK__" localSheetId="20" hidden="1">{"fdsup://Directions/FactSet Auditing Viewer?action=AUDIT_VALUE&amp;DB=129&amp;ID1=00786510&amp;VALUEID=13040&amp;SDATE=200603&amp;PERIODTYPE=QTR_STD&amp;window=popup_no_bar&amp;width=385&amp;height=120&amp;START_MAXIMIZED=FALSE&amp;creator=factset&amp;display_string=Audit"}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1859__FDSAUDITLINK__" localSheetId="20" hidden="1">{"fdsup://Directions/FactSet Auditing Viewer?action=AUDIT_VALUE&amp;DB=129&amp;ID1=00289620&amp;VALUEID=02101&amp;SDATE=200603&amp;PERIODTYPE=QTR_STD&amp;window=popup_no_bar&amp;width=385&amp;height=120&amp;START_MAXIMIZED=FALSE&amp;creator=factset&amp;display_string=Audit"}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186__FDSAUDITLINK__" localSheetId="20" hidden="1">{"fdsup://Directions/FactSet Auditing Viewer?action=AUDIT_VALUE&amp;DB=129&amp;ID1=00786510&amp;VALUEID=01001&amp;SDATE=200801&amp;PERIODTYPE=QTR_STD&amp;window=popup_no_bar&amp;width=385&amp;height=120&amp;START_MAXIMIZED=FALSE&amp;creator=factset&amp;display_string=Audit"}</definedName>
    <definedName name="_186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860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1860__FDSAUDITLINK__" localSheetId="20" hidden="1">{"fdsup://Directions/FactSet Auditing Viewer?action=AUDIT_VALUE&amp;DB=129&amp;ID1=00289620&amp;VALUEID=01001&amp;SDATE=200603&amp;PERIODTYPE=QTR_STD&amp;window=popup_no_bar&amp;width=385&amp;height=120&amp;START_MAXIMIZED=FALSE&amp;creator=factset&amp;display_string=Audit"}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1861__FDSAUDITLINK__" localSheetId="20" hidden="1">{"fdsup://Directions/FactSet Auditing Viewer?action=AUDIT_VALUE&amp;DB=129&amp;ID1=00289620&amp;VALUEID=13040&amp;SDATE=200603&amp;PERIODTYPE=QTR_STD&amp;window=popup_no_bar&amp;width=385&amp;height=120&amp;START_MAXIMIZED=FALSE&amp;creator=factset&amp;display_string=Audit"}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1862__FDSAUDITLINK__" localSheetId="20" hidden="1">{"fdsup://Directions/FactSet Auditing Viewer?action=AUDIT_VALUE&amp;DB=129&amp;ID1=87416110&amp;VALUEID=02101&amp;SDATE=200602&amp;PERIODTYPE=QTR_STD&amp;window=popup_no_bar&amp;width=385&amp;height=120&amp;START_MAXIMIZED=FALSE&amp;creator=factset&amp;display_string=Audit"}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1863__FDSAUDITLINK__" localSheetId="20" hidden="1">{"fdsup://Directions/FactSet Auditing Viewer?action=AUDIT_VALUE&amp;DB=129&amp;ID1=87416110&amp;VALUEID=01001&amp;SDATE=200602&amp;PERIODTYPE=QTR_STD&amp;window=popup_no_bar&amp;width=385&amp;height=120&amp;START_MAXIMIZED=FALSE&amp;creator=factset&amp;display_string=Audit"}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1864__FDSAUDITLINK__" localSheetId="20" hidden="1">{"fdsup://Directions/FactSet Auditing Viewer?action=AUDIT_VALUE&amp;DB=129&amp;ID1=53271610&amp;VALUEID=02101&amp;SDATE=200602&amp;PERIODTYPE=QTR_STD&amp;window=popup_no_bar&amp;width=385&amp;height=120&amp;START_MAXIMIZED=FALSE&amp;creator=factset&amp;display_string=Audit"}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1865__FDSAUDITLINK__" localSheetId="20" hidden="1">{"fdsup://Directions/FactSet Auditing Viewer?action=AUDIT_VALUE&amp;DB=129&amp;ID1=53271610&amp;VALUEID=01001&amp;SDATE=200602&amp;PERIODTYPE=QTR_STD&amp;window=popup_no_bar&amp;width=385&amp;height=120&amp;START_MAXIMIZED=FALSE&amp;creator=factset&amp;display_string=Audit"}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1866__FDSAUDITLINK__" localSheetId="20" hidden="1">{"fdsup://Directions/FactSet Auditing Viewer?action=AUDIT_VALUE&amp;DB=129&amp;ID1=53271610&amp;VALUEID=13040&amp;SDATE=200602&amp;PERIODTYPE=QTR_STD&amp;window=popup_no_bar&amp;width=385&amp;height=120&amp;START_MAXIMIZED=FALSE&amp;creator=factset&amp;display_string=Audit"}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1867__FDSAUDITLINK__" localSheetId="20" hidden="1">{"fdsup://Directions/FactSet Auditing Viewer?action=AUDIT_VALUE&amp;DB=129&amp;ID1=46612H40&amp;VALUEID=02101&amp;SDATE=200602&amp;PERIODTYPE=QTR_STD&amp;window=popup_no_bar&amp;width=385&amp;height=120&amp;START_MAXIMIZED=FALSE&amp;creator=factset&amp;display_string=Audit"}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1868__FDSAUDITLINK__" localSheetId="20" hidden="1">{"fdsup://Directions/FactSet Auditing Viewer?action=AUDIT_VALUE&amp;DB=129&amp;ID1=46612H40&amp;VALUEID=01001&amp;SDATE=200602&amp;PERIODTYPE=QTR_STD&amp;window=popup_no_bar&amp;width=385&amp;height=120&amp;START_MAXIMIZED=FALSE&amp;creator=factset&amp;display_string=Audit"}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1869__FDSAUDITLINK__" localSheetId="20" hidden="1">{"fdsup://Directions/FactSet Auditing Viewer?action=AUDIT_VALUE&amp;DB=129&amp;ID1=46612H40&amp;VALUEID=13040&amp;SDATE=200602&amp;PERIODTYPE=QTR_STD&amp;window=popup_no_bar&amp;width=385&amp;height=120&amp;START_MAXIMIZED=FALSE&amp;creator=factset&amp;display_string=Audit"}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187__FDSAUDITLINK__" localSheetId="20" hidden="1">{"fdsup://Directions/FactSet Auditing Viewer?action=AUDIT_VALUE&amp;DB=129&amp;ID1=00786510&amp;VALUEID=13040&amp;SDATE=200801&amp;PERIODTYPE=QTR_STD&amp;window=popup_no_bar&amp;width=385&amp;height=120&amp;START_MAXIMIZED=FALSE&amp;creator=factset&amp;display_string=Audit"}</definedName>
    <definedName name="_187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870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1870__FDSAUDITLINK__" localSheetId="20" hidden="1">{"fdsup://Directions/FactSet Auditing Viewer?action=AUDIT_VALUE&amp;DB=129&amp;ID1=36476010&amp;VALUEID=02101&amp;SDATE=200602&amp;PERIODTYPE=QTR_STD&amp;window=popup_no_bar&amp;width=385&amp;height=120&amp;START_MAXIMIZED=FALSE&amp;creator=factset&amp;display_string=Audit"}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1871__FDSAUDITLINK__" localSheetId="20" hidden="1">{"fdsup://Directions/FactSet Auditing Viewer?action=AUDIT_VALUE&amp;DB=129&amp;ID1=36476010&amp;VALUEID=01001&amp;SDATE=200602&amp;PERIODTYPE=QTR_STD&amp;window=popup_no_bar&amp;width=385&amp;height=120&amp;START_MAXIMIZED=FALSE&amp;creator=factset&amp;display_string=Audit"}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1872__FDSAUDITLINK__" localSheetId="20" hidden="1">{"fdsup://Directions/FactSet Auditing Viewer?action=AUDIT_VALUE&amp;DB=129&amp;ID1=36476010&amp;VALUEID=13040&amp;SDATE=200602&amp;PERIODTYPE=QTR_STD&amp;window=popup_no_bar&amp;width=385&amp;height=120&amp;START_MAXIMIZED=FALSE&amp;creator=factset&amp;display_string=Audit"}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1873__FDSAUDITLINK__" localSheetId="20" hidden="1">{"fdsup://Directions/FactSet Auditing Viewer?action=AUDIT_VALUE&amp;DB=129&amp;ID1=03611510&amp;VALUEID=02101&amp;SDATE=200602&amp;PERIODTYPE=QTR_STD&amp;window=popup_no_bar&amp;width=385&amp;height=120&amp;START_MAXIMIZED=FALSE&amp;creator=factset&amp;display_string=Audit"}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1874__FDSAUDITLINK__" localSheetId="20" hidden="1">{"fdsup://Directions/FactSet Auditing Viewer?action=AUDIT_VALUE&amp;DB=129&amp;ID1=03611510&amp;VALUEID=01001&amp;SDATE=200602&amp;PERIODTYPE=QTR_STD&amp;window=popup_no_bar&amp;width=385&amp;height=120&amp;START_MAXIMIZED=FALSE&amp;creator=factset&amp;display_string=Audit"}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1875__FDSAUDITLINK__" localSheetId="20" hidden="1">{"fdsup://Directions/FactSet Auditing Viewer?action=AUDIT_VALUE&amp;DB=129&amp;ID1=03611510&amp;VALUEID=13040&amp;SDATE=200602&amp;PERIODTYPE=QTR_STD&amp;window=popup_no_bar&amp;width=385&amp;height=120&amp;START_MAXIMIZED=FALSE&amp;creator=factset&amp;display_string=Audit"}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1876__FDSAUDITLINK__" localSheetId="20" hidden="1">{"fdsup://Directions/FactSet Auditing Viewer?action=AUDIT_VALUE&amp;DB=129&amp;ID1=16890510&amp;VALUEID=02101&amp;SDATE=200602&amp;PERIODTYPE=QTR_STD&amp;window=popup_no_bar&amp;width=385&amp;height=120&amp;START_MAXIMIZED=FALSE&amp;creator=factset&amp;display_string=Audit"}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1877__FDSAUDITLINK__" localSheetId="20" hidden="1">{"fdsup://Directions/FactSet Auditing Viewer?action=AUDIT_VALUE&amp;DB=129&amp;ID1=16890510&amp;VALUEID=01001&amp;SDATE=200602&amp;PERIODTYPE=QTR_STD&amp;window=popup_no_bar&amp;width=385&amp;height=120&amp;START_MAXIMIZED=FALSE&amp;creator=factset&amp;display_string=Audit"}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1878__FDSAUDITLINK__" localSheetId="20" hidden="1">{"fdsup://Directions/FactSet Auditing Viewer?action=AUDIT_VALUE&amp;DB=129&amp;ID1=91704710&amp;VALUEID=02101&amp;SDATE=200602&amp;PERIODTYPE=QTR_STD&amp;window=popup_no_bar&amp;width=385&amp;height=120&amp;START_MAXIMIZED=FALSE&amp;creator=factset&amp;display_string=Audit"}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1879__FDSAUDITLINK__" localSheetId="20" hidden="1">{"fdsup://Directions/FactSet Auditing Viewer?action=AUDIT_VALUE&amp;DB=129&amp;ID1=91704710&amp;VALUEID=01001&amp;SDATE=200602&amp;PERIODTYPE=QTR_STD&amp;window=popup_no_bar&amp;width=385&amp;height=120&amp;START_MAXIMIZED=FALSE&amp;creator=factset&amp;display_string=Audit"}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188__FDSAUDITLINK__" localSheetId="20" hidden="1">{"fdsup://Directions/FactSet Auditing Viewer?action=AUDIT_VALUE&amp;DB=129&amp;ID1=00289620&amp;VALUEID=02101&amp;SDATE=200801&amp;PERIODTYPE=QTR_STD&amp;window=popup_no_bar&amp;width=385&amp;height=120&amp;START_MAXIMIZED=FALSE&amp;creator=factset&amp;display_string=Audit"}</definedName>
    <definedName name="_188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880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1880__FDSAUDITLINK__" localSheetId="20" hidden="1">{"fdsup://Directions/FactSet Auditing Viewer?action=AUDIT_VALUE&amp;DB=129&amp;ID1=91704710&amp;VALUEID=13040&amp;SDATE=200602&amp;PERIODTYPE=QTR_STD&amp;window=popup_no_bar&amp;width=385&amp;height=120&amp;START_MAXIMIZED=FALSE&amp;creator=factset&amp;display_string=Audit"}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1__FDSAUDITLINK__" localSheetId="20"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1882__FDSAUDITLINK__" localSheetId="20" hidden="1">{"fdsup://Directions/FactSet Auditing Viewer?action=AUDIT_VALUE&amp;DB=129&amp;ID1=00786510&amp;VALUEID=02101&amp;SDATE=200602&amp;PERIODTYPE=QTR_STD&amp;window=popup_no_bar&amp;width=385&amp;height=120&amp;START_MAXIMIZED=FALSE&amp;creator=factset&amp;display_string=Audit"}</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1883__FDSAUDITLINK__" localSheetId="20" hidden="1">{"fdsup://Directions/FactSet Auditing Viewer?action=AUDIT_VALUE&amp;DB=129&amp;ID1=00786510&amp;VALUEID=01001&amp;SDATE=200602&amp;PERIODTYPE=QTR_STD&amp;window=popup_no_bar&amp;width=385&amp;height=120&amp;START_MAXIMIZED=FALSE&amp;creator=factset&amp;display_string=Audit"}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1884__FDSAUDITLINK__" localSheetId="20" hidden="1">{"fdsup://Directions/FactSet Auditing Viewer?action=AUDIT_VALUE&amp;DB=129&amp;ID1=00786510&amp;VALUEID=13040&amp;SDATE=200602&amp;PERIODTYPE=QTR_STD&amp;window=popup_no_bar&amp;width=385&amp;height=120&amp;START_MAXIMIZED=FALSE&amp;creator=factset&amp;display_string=Audit"}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1885__FDSAUDITLINK__" localSheetId="20" hidden="1">{"fdsup://Directions/FactSet Auditing Viewer?action=AUDIT_VALUE&amp;DB=129&amp;ID1=00289620&amp;VALUEID=02101&amp;SDATE=200602&amp;PERIODTYPE=QTR_STD&amp;window=popup_no_bar&amp;width=385&amp;height=120&amp;START_MAXIMIZED=FALSE&amp;creator=factset&amp;display_string=Audit"}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1886__FDSAUDITLINK__" localSheetId="20" hidden="1">{"fdsup://Directions/FactSet Auditing Viewer?action=AUDIT_VALUE&amp;DB=129&amp;ID1=00289620&amp;VALUEID=01001&amp;SDATE=200602&amp;PERIODTYPE=QTR_STD&amp;window=popup_no_bar&amp;width=385&amp;height=120&amp;START_MAXIMIZED=FALSE&amp;creator=factset&amp;display_string=Audit"}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1887__FDSAUDITLINK__" localSheetId="20" hidden="1">{"fdsup://Directions/FactSet Auditing Viewer?action=AUDIT_VALUE&amp;DB=129&amp;ID1=00289620&amp;VALUEID=13040&amp;SDATE=200602&amp;PERIODTYPE=QTR_STD&amp;window=popup_no_bar&amp;width=385&amp;height=120&amp;START_MAXIMIZED=FALSE&amp;creator=factset&amp;display_string=Audit"}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1888__FDSAUDITLINK__" localSheetId="20" hidden="1">{"fdsup://Directions/FactSet Auditing Viewer?action=AUDIT_VALUE&amp;DB=129&amp;ID1=87416110&amp;VALUEID=02101&amp;SDATE=200601&amp;PERIODTYPE=QTR_STD&amp;window=popup_no_bar&amp;width=385&amp;height=120&amp;START_MAXIMIZED=FALSE&amp;creator=factset&amp;display_string=Audit"}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1889__FDSAUDITLINK__" localSheetId="20" hidden="1">{"fdsup://Directions/FactSet Auditing Viewer?action=AUDIT_VALUE&amp;DB=129&amp;ID1=87416110&amp;VALUEID=01001&amp;SDATE=200601&amp;PERIODTYPE=QTR_STD&amp;window=popup_no_bar&amp;width=385&amp;height=120&amp;START_MAXIMIZED=FALSE&amp;creator=factset&amp;display_string=Audit"}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189__FDSAUDITLINK__" localSheetId="20" hidden="1">{"fdsup://Directions/FactSet Auditing Viewer?action=AUDIT_VALUE&amp;DB=129&amp;ID1=00289620&amp;VALUEID=01001&amp;SDATE=200801&amp;PERIODTYPE=QTR_STD&amp;window=popup_no_bar&amp;width=385&amp;height=120&amp;START_MAXIMIZED=FALSE&amp;creator=factset&amp;display_string=Audit"}</definedName>
    <definedName name="_189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890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1890__FDSAUDITLINK__" localSheetId="20" hidden="1">{"fdsup://Directions/FactSet Auditing Viewer?action=AUDIT_VALUE&amp;DB=129&amp;ID1=87416110&amp;VALUEID=13040&amp;SDATE=200601&amp;PERIODTYPE=QTR_STD&amp;window=popup_no_bar&amp;width=385&amp;height=120&amp;START_MAXIMIZED=FALSE&amp;creator=factset&amp;display_string=Audit"}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1__FDSAUDITLINK__" localSheetId="20"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1892__FDSAUDITLINK__" localSheetId="20" hidden="1">{"fdsup://Directions/FactSet Auditing Viewer?action=AUDIT_VALUE&amp;DB=129&amp;ID1=53271610&amp;VALUEID=02101&amp;SDATE=200601&amp;PERIODTYPE=QTR_STD&amp;window=popup_no_bar&amp;width=385&amp;height=120&amp;START_MAXIMIZED=FALSE&amp;creator=factset&amp;display_string=Audit"}</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1893__FDSAUDITLINK__" localSheetId="20" hidden="1">{"fdsup://Directions/FactSet Auditing Viewer?action=AUDIT_VALUE&amp;DB=129&amp;ID1=53271610&amp;VALUEID=01001&amp;SDATE=200601&amp;PERIODTYPE=QTR_STD&amp;window=popup_no_bar&amp;width=385&amp;height=120&amp;START_MAXIMIZED=FALSE&amp;creator=factset&amp;display_string=Audit"}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1894__FDSAUDITLINK__" localSheetId="20" hidden="1">{"fdsup://Directions/FactSet Auditing Viewer?action=AUDIT_VALUE&amp;DB=129&amp;ID1=53271610&amp;VALUEID=13040&amp;SDATE=200601&amp;PERIODTYPE=QTR_STD&amp;window=popup_no_bar&amp;width=385&amp;height=120&amp;START_MAXIMIZED=FALSE&amp;creator=factset&amp;display_string=Audit"}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1895__FDSAUDITLINK__" localSheetId="20" hidden="1">{"fdsup://Directions/FactSet Auditing Viewer?action=AUDIT_VALUE&amp;DB=129&amp;ID1=46612H40&amp;VALUEID=02101&amp;SDATE=200601&amp;PERIODTYPE=QTR_STD&amp;window=popup_no_bar&amp;width=385&amp;height=120&amp;START_MAXIMIZED=FALSE&amp;creator=factset&amp;display_string=Audit"}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1896__FDSAUDITLINK__" localSheetId="20" hidden="1">{"fdsup://Directions/FactSet Auditing Viewer?action=AUDIT_VALUE&amp;DB=129&amp;ID1=46612H40&amp;VALUEID=01001&amp;SDATE=200601&amp;PERIODTYPE=QTR_STD&amp;window=popup_no_bar&amp;width=385&amp;height=120&amp;START_MAXIMIZED=FALSE&amp;creator=factset&amp;display_string=Audit"}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1897__FDSAUDITLINK__" localSheetId="20" hidden="1">{"fdsup://Directions/FactSet Auditing Viewer?action=AUDIT_VALUE&amp;DB=129&amp;ID1=46612H40&amp;VALUEID=13040&amp;SDATE=200601&amp;PERIODTYPE=QTR_STD&amp;window=popup_no_bar&amp;width=385&amp;height=120&amp;START_MAXIMIZED=FALSE&amp;creator=factset&amp;display_string=Audit"}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1898__FDSAUDITLINK__" localSheetId="20" hidden="1">{"fdsup://Directions/FactSet Auditing Viewer?action=AUDIT_VALUE&amp;DB=129&amp;ID1=36476010&amp;VALUEID=02101&amp;SDATE=200601&amp;PERIODTYPE=QTR_STD&amp;window=popup_no_bar&amp;width=385&amp;height=120&amp;START_MAXIMIZED=FALSE&amp;creator=factset&amp;display_string=Audit"}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1899__FDSAUDITLINK__" localSheetId="20" hidden="1">{"fdsup://Directions/FactSet Auditing Viewer?action=AUDIT_VALUE&amp;DB=129&amp;ID1=36476010&amp;VALUEID=01001&amp;SDATE=200601&amp;PERIODTYPE=QTR_STD&amp;window=popup_no_bar&amp;width=385&amp;height=120&amp;START_MAXIMIZED=FALSE&amp;creator=factset&amp;display_string=Audit"}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localSheetId="1" hidden="1">{"fdsup://directions/FAT Viewer?action=UPDATE&amp;creator=factset&amp;DYN_ARGS=TRUE&amp;DOC_NAME=FAT:FQL_AUDITING_CLIENT_TEMPLATE.FAT&amp;display_string=Audit&amp;VAR:KEY=KZILENSPUX&amp;VAR:QUERY=RkZfRU5UUlBSX1ZBTF9FQklUREFfT1BFUihBTk4sMCk=&amp;WINDOW=FIRST_POPUP&amp;HEIGHT=450&amp;WIDTH=450&amp;","START_MAXIMIZED=FALSE&amp;VAR:CALENDAR=FIVEDAY&amp;VAR:SYMBOL=CBK&amp;VAR:INDEX=0"}</definedName>
    <definedName name="_19__FDSAUDITLINK__" localSheetId="20" hidden="1">{"fdsup://Directions/FactSet Auditing Viewer?action=AUDIT_VALUE&amp;DB=129&amp;ID1=00289620&amp;VALUEID=02101&amp;SDATE=201001&amp;PERIODTYPE=QTR_STD&amp;window=popup_no_bar&amp;width=385&amp;height=120&amp;START_MAXIMIZED=FALSE&amp;creator=factset&amp;display_string=Audit"}</definedName>
    <definedName name="_19__FDSAUDITLINK__" hidden="1">{"fdsup://directions/FAT Viewer?action=UPDATE&amp;creator=factset&amp;DYN_ARGS=TRUE&amp;DOC_NAME=FAT:FQL_AUDITING_CLIENT_TEMPLATE.FAT&amp;display_string=Audit&amp;VAR:KEY=KZILENSPUX&amp;VAR:QUERY=RkZfRU5UUlBSX1ZBTF9FQklUREFfT1BFUihBTk4sMCk=&amp;WINDOW=FIRST_POPUP&amp;HEIGHT=450&amp;WIDTH=450&amp;","START_MAXIMIZED=FALSE&amp;VAR:CALENDAR=FIVEDAY&amp;VAR:SYMBOL=CBK&amp;VAR:INDEX=0"}</definedName>
    <definedName name="_190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190__FDSAUDITLINK__" localSheetId="20" hidden="1">{"fdsup://Directions/FactSet Auditing Viewer?action=AUDIT_VALUE&amp;DB=129&amp;ID1=00289620&amp;VALUEID=13040&amp;SDATE=200801&amp;PERIODTYPE=QTR_STD&amp;window=popup_no_bar&amp;width=385&amp;height=120&amp;START_MAXIMIZED=FALSE&amp;creator=factset&amp;display_string=Audit"}</definedName>
    <definedName name="_190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900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1900__FDSAUDITLINK__" localSheetId="20" hidden="1">{"fdsup://Directions/FactSet Auditing Viewer?action=AUDIT_VALUE&amp;DB=129&amp;ID1=36476010&amp;VALUEID=13040&amp;SDATE=200601&amp;PERIODTYPE=QTR_STD&amp;window=popup_no_bar&amp;width=385&amp;height=120&amp;START_MAXIMIZED=FALSE&amp;creator=factset&amp;display_string=Audit"}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1901__FDSAUDITLINK__" localSheetId="20" hidden="1">{"fdsup://Directions/FactSet Auditing Viewer?action=AUDIT_VALUE&amp;DB=129&amp;ID1=03611510&amp;VALUEID=02101&amp;SDATE=200601&amp;PERIODTYPE=QTR_STD&amp;window=popup_no_bar&amp;width=385&amp;height=120&amp;START_MAXIMIZED=FALSE&amp;creator=factset&amp;display_string=Audit"}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1902__FDSAUDITLINK__" localSheetId="20" hidden="1">{"fdsup://Directions/FactSet Auditing Viewer?action=AUDIT_VALUE&amp;DB=129&amp;ID1=03611510&amp;VALUEID=13040&amp;SDATE=200601&amp;PERIODTYPE=QTR_STD&amp;window=popup_no_bar&amp;width=385&amp;height=120&amp;START_MAXIMIZED=FALSE&amp;creator=factset&amp;display_string=Audit"}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1903__FDSAUDITLINK__" localSheetId="20" hidden="1">{"fdsup://Directions/FactSet Auditing Viewer?action=AUDIT_VALUE&amp;DB=129&amp;ID1=16890510&amp;VALUEID=02101&amp;SDATE=200601&amp;PERIODTYPE=QTR_STD&amp;window=popup_no_bar&amp;width=385&amp;height=120&amp;START_MAXIMIZED=FALSE&amp;creator=factset&amp;display_string=Audit"}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1904__FDSAUDITLINK__" localSheetId="20" hidden="1">{"fdsup://Directions/FactSet Auditing Viewer?action=AUDIT_VALUE&amp;DB=129&amp;ID1=16890510&amp;VALUEID=01001&amp;SDATE=200601&amp;PERIODTYPE=QTR_STD&amp;window=popup_no_bar&amp;width=385&amp;height=120&amp;START_MAXIMIZED=FALSE&amp;creator=factset&amp;display_string=Audit"}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1905__FDSAUDITLINK__" localSheetId="20" hidden="1">{"fdsup://Directions/FactSet Auditing Viewer?action=AUDIT_VALUE&amp;DB=129&amp;ID1=91704710&amp;VALUEID=02101&amp;SDATE=200601&amp;PERIODTYPE=QTR_STD&amp;window=popup_no_bar&amp;width=385&amp;height=120&amp;START_MAXIMIZED=FALSE&amp;creator=factset&amp;display_string=Audit"}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1906__FDSAUDITLINK__" localSheetId="20" hidden="1">{"fdsup://Directions/FactSet Auditing Viewer?action=AUDIT_VALUE&amp;DB=129&amp;ID1=91704710&amp;VALUEID=01001&amp;SDATE=200601&amp;PERIODTYPE=QTR_STD&amp;window=popup_no_bar&amp;width=385&amp;height=120&amp;START_MAXIMIZED=FALSE&amp;creator=factset&amp;display_string=Audit"}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1907__FDSAUDITLINK__" localSheetId="20" hidden="1">{"fdsup://Directions/FactSet Auditing Viewer?action=AUDIT_VALUE&amp;DB=129&amp;ID1=91704710&amp;VALUEID=13040&amp;SDATE=200601&amp;PERIODTYPE=QTR_STD&amp;window=popup_no_bar&amp;width=385&amp;height=120&amp;START_MAXIMIZED=FALSE&amp;creator=factset&amp;display_string=Audit"}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1908__FDSAUDITLINK__" localSheetId="20" hidden="1">{"fdsup://Directions/FactSet Auditing Viewer?action=AUDIT_VALUE&amp;DB=129&amp;ID1=02553E10&amp;VALUEID=02101&amp;SDATE=200601&amp;PERIODTYPE=QTR_STD&amp;window=popup_no_bar&amp;width=385&amp;height=120&amp;START_MAXIMIZED=FALSE&amp;creator=factset&amp;display_string=Audit"}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1909__FDSAUDITLINK__" localSheetId="20" hidden="1">{"fdsup://Directions/FactSet Auditing Viewer?action=AUDIT_VALUE&amp;DB=129&amp;ID1=02553E10&amp;VALUEID=01001&amp;SDATE=200601&amp;PERIODTYPE=QTR_STD&amp;window=popup_no_bar&amp;width=385&amp;height=120&amp;START_MAXIMIZED=FALSE&amp;creator=factset&amp;display_string=Audit"}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191__FDSAUDITLINK__" localSheetId="20" hidden="1">{"fdsup://Directions/FactSet Auditing Viewer?action=AUDIT_VALUE&amp;DB=129&amp;ID1=87416110&amp;VALUEID=01001&amp;SDATE=200704&amp;PERIODTYPE=QTR_STD&amp;window=popup_no_bar&amp;width=385&amp;height=120&amp;START_MAXIMIZED=FALSE&amp;creator=factset&amp;display_string=Audit"}</definedName>
    <definedName name="_191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910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1910__FDSAUDITLINK__" localSheetId="20" hidden="1">{"fdsup://Directions/FactSet Auditing Viewer?action=AUDIT_VALUE&amp;DB=129&amp;ID1=02553E10&amp;VALUEID=13040&amp;SDATE=200601&amp;PERIODTYPE=QTR_STD&amp;window=popup_no_bar&amp;width=385&amp;height=120&amp;START_MAXIMIZED=FALSE&amp;creator=factset&amp;display_string=Audit"}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1__FDSAUDITLINK__" localSheetId="20"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1912__FDSAUDITLINK__" localSheetId="20" hidden="1">{"fdsup://Directions/FactSet Auditing Viewer?action=AUDIT_VALUE&amp;DB=129&amp;ID1=00786510&amp;VALUEID=02101&amp;SDATE=200601&amp;PERIODTYPE=QTR_STD&amp;window=popup_no_bar&amp;width=385&amp;height=120&amp;START_MAXIMIZED=FALSE&amp;creator=factset&amp;display_string=Audit"}</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1913__FDSAUDITLINK__" localSheetId="20" hidden="1">{"fdsup://Directions/FactSet Auditing Viewer?action=AUDIT_VALUE&amp;DB=129&amp;ID1=00786510&amp;VALUEID=01001&amp;SDATE=200601&amp;PERIODTYPE=QTR_STD&amp;window=popup_no_bar&amp;width=385&amp;height=120&amp;START_MAXIMIZED=FALSE&amp;creator=factset&amp;display_string=Audit"}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1914__FDSAUDITLINK__" localSheetId="20" hidden="1">{"fdsup://Directions/FactSet Auditing Viewer?action=AUDIT_VALUE&amp;DB=129&amp;ID1=00786510&amp;VALUEID=13040&amp;SDATE=200601&amp;PERIODTYPE=QTR_STD&amp;window=popup_no_bar&amp;width=385&amp;height=120&amp;START_MAXIMIZED=FALSE&amp;creator=factset&amp;display_string=Audit"}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1915__FDSAUDITLINK__" localSheetId="20" hidden="1">{"fdsup://Directions/FactSet Auditing Viewer?action=AUDIT_VALUE&amp;DB=129&amp;ID1=00289620&amp;VALUEID=02101&amp;SDATE=200601&amp;PERIODTYPE=QTR_STD&amp;window=popup_no_bar&amp;width=385&amp;height=120&amp;START_MAXIMIZED=FALSE&amp;creator=factset&amp;display_string=Audit"}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1916__FDSAUDITLINK__" localSheetId="20" hidden="1">{"fdsup://Directions/FactSet Auditing Viewer?action=AUDIT_VALUE&amp;DB=129&amp;ID1=00289620&amp;VALUEID=01001&amp;SDATE=200601&amp;PERIODTYPE=QTR_STD&amp;window=popup_no_bar&amp;width=385&amp;height=120&amp;START_MAXIMIZED=FALSE&amp;creator=factset&amp;display_string=Audit"}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1917__FDSAUDITLINK__" localSheetId="20" hidden="1">{"fdsup://Directions/FactSet Auditing Viewer?action=AUDIT_VALUE&amp;DB=129&amp;ID1=00289620&amp;VALUEID=13040&amp;SDATE=200601&amp;PERIODTYPE=QTR_STD&amp;window=popup_no_bar&amp;width=385&amp;height=120&amp;START_MAXIMIZED=FALSE&amp;creator=factset&amp;display_string=Audit"}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8__FDSAUDITLINK__" localSheetId="20"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19__FDSAUDITLINK__" localSheetId="20"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192__FDSAUDITLINK__" localSheetId="20" hidden="1">{"fdsup://Directions/FactSet Auditing Viewer?action=AUDIT_VALUE&amp;DB=129&amp;ID1=46612H40&amp;VALUEID=01001&amp;SDATE=200704&amp;PERIODTYPE=QTR_STD&amp;window=popup_no_bar&amp;width=385&amp;height=120&amp;START_MAXIMIZED=FALSE&amp;creator=factset&amp;display_string=Audit"}</definedName>
    <definedName name="_192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920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0__FDSAUDITLINK__" localSheetId="20"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1921__FDSAUDITLINK__" localSheetId="20" hidden="1">{"fdsup://Directions/FactSet Auditing Viewer?action=AUDIT_VALUE&amp;DB=129&amp;ID1=03611510&amp;VALUEID=13040&amp;SDATE=200503&amp;PERIODTYPE=QTR_STD&amp;window=popup_no_bar&amp;width=385&amp;height=120&amp;START_MAXIMIZED=FALSE&amp;creator=factset&amp;display_string=Audit"}</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2__FDSAUDITLINK__" localSheetId="20"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3__FDSAUDITLINK__" localSheetId="20"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1924__FDSAUDITLINK__" localSheetId="20" hidden="1">{"fdsup://Directions/FactSet Auditing Viewer?action=AUDIT_VALUE&amp;DB=129&amp;ID1=03611510&amp;VALUEID=13040&amp;SDATE=200502&amp;PERIODTYPE=QTR_STD&amp;window=popup_no_bar&amp;width=385&amp;height=120&amp;START_MAXIMIZED=FALSE&amp;creator=factset&amp;display_string=Audit"}</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5__FDSAUDITLINK__" localSheetId="20"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6__FDSAUDITLINK__" localSheetId="20"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1927__FDSAUDITLINK__" localSheetId="20" hidden="1">{"fdsup://Directions/FactSet Auditing Viewer?action=AUDIT_VALUE&amp;DB=129&amp;ID1=03611510&amp;VALUEID=13040&amp;SDATE=200501&amp;PERIODTYPE=QTR_STD&amp;window=popup_no_bar&amp;width=385&amp;height=120&amp;START_MAXIMIZED=FALSE&amp;creator=factset&amp;display_string=Audit"}</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8__FDSAUDITLINK__" localSheetId="20"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1929__FDSAUDITLINK__" localSheetId="20" hidden="1">{"fdsup://Directions/FactSet Auditing Viewer?action=AUDIT_VALUE&amp;DB=129&amp;ID1=16890510&amp;VALUEID=13040&amp;SDATE=200602&amp;PERIODTYPE=QTR_STD&amp;window=popup_no_bar&amp;width=385&amp;height=120&amp;START_MAXIMIZED=FALSE&amp;creator=factset&amp;display_string=Audit"}</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193__FDSAUDITLINK__" localSheetId="20" hidden="1">{"fdsup://Directions/FactSet Auditing Viewer?action=AUDIT_VALUE&amp;DB=129&amp;ID1=46612H40&amp;VALUEID=13040&amp;SDATE=200704&amp;PERIODTYPE=QTR_STD&amp;window=popup_no_bar&amp;width=385&amp;height=120&amp;START_MAXIMIZED=FALSE&amp;creator=factset&amp;display_string=Audit"}</definedName>
    <definedName name="_193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930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1930__FDSAUDITLINK__" localSheetId="20" hidden="1">{"fdsup://Directions/FactSet Auditing Viewer?action=AUDIT_VALUE&amp;DB=129&amp;ID1=16890510&amp;VALUEID=13040&amp;SDATE=200601&amp;PERIODTYPE=QTR_STD&amp;window=popup_no_bar&amp;width=385&amp;height=120&amp;START_MAXIMIZED=FALSE&amp;creator=factset&amp;display_string=Audit"}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1931__FDSAUDITLINK__" localSheetId="20" hidden="1">{"fdsup://Directions/FactSet Auditing Viewer?action=AUDIT_VALUE&amp;DB=129&amp;ID1=16890510&amp;VALUEID=13040&amp;SDATE=200603&amp;PERIODTYPE=QTR_STD&amp;window=popup_no_bar&amp;width=385&amp;height=120&amp;START_MAXIMIZED=FALSE&amp;creator=factset&amp;display_string=Audit"}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1932__FDSAUDITLINK__" localSheetId="20" hidden="1">{"fdsup://Directions/FactSet Auditing Viewer?action=AUDIT_VALUE&amp;DB=129&amp;ID1=16890510&amp;VALUEID=13040&amp;SDATE=200702&amp;PERIODTYPE=QTR_STD&amp;window=popup_no_bar&amp;width=385&amp;height=120&amp;START_MAXIMIZED=FALSE&amp;creator=factset&amp;display_string=Audit"}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1933__FDSAUDITLINK__" localSheetId="20" hidden="1">{"fdsup://Directions/FactSet Auditing Viewer?action=AUDIT_VALUE&amp;DB=129&amp;ID1=16890510&amp;VALUEID=13040&amp;SDATE=200701&amp;PERIODTYPE=QTR_STD&amp;window=popup_no_bar&amp;width=385&amp;height=120&amp;START_MAXIMIZED=FALSE&amp;creator=factset&amp;display_string=Audit"}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1934__FDSAUDITLINK__" localSheetId="20" hidden="1">{"fdsup://Directions/FactSet Auditing Viewer?action=AUDIT_VALUE&amp;DB=129&amp;ID1=16890510&amp;VALUEID=13040&amp;SDATE=200703&amp;PERIODTYPE=QTR_STD&amp;window=popup_no_bar&amp;width=385&amp;height=120&amp;START_MAXIMIZED=FALSE&amp;creator=factset&amp;display_string=Audit"}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1935__FDSAUDITLINK__" localSheetId="20" hidden="1">{"fdsup://Directions/FactSet Auditing Viewer?action=AUDIT_VALUE&amp;DB=129&amp;ID1=16890510&amp;VALUEID=13040&amp;SDATE=200802&amp;PERIODTYPE=QTR_STD&amp;window=popup_no_bar&amp;width=385&amp;height=120&amp;START_MAXIMIZED=FALSE&amp;creator=factset&amp;display_string=Audit"}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1936__FDSAUDITLINK__" localSheetId="20" hidden="1">{"fdsup://Directions/FactSet Auditing Viewer?action=AUDIT_VALUE&amp;DB=129&amp;ID1=16890510&amp;VALUEID=13040&amp;SDATE=200801&amp;PERIODTYPE=QTR_STD&amp;window=popup_no_bar&amp;width=385&amp;height=120&amp;START_MAXIMIZED=FALSE&amp;creator=factset&amp;display_string=Audit"}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1937__FDSAUDITLINK__" localSheetId="20" hidden="1">{"fdsup://Directions/FactSet Auditing Viewer?action=AUDIT_VALUE&amp;DB=129&amp;ID1=16890510&amp;VALUEID=13040&amp;SDATE=200803&amp;PERIODTYPE=QTR_STD&amp;window=popup_no_bar&amp;width=385&amp;height=120&amp;START_MAXIMIZED=FALSE&amp;creator=factset&amp;display_string=Audit"}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1938__FDSAUDITLINK__" localSheetId="20" hidden="1">{"fdsup://Directions/FactSet Auditing Viewer?action=AUDIT_VALUE&amp;DB=129&amp;ID1=16890510&amp;VALUEID=13040&amp;SDATE=200902&amp;PERIODTYPE=QTR_STD&amp;window=popup_no_bar&amp;width=385&amp;height=120&amp;START_MAXIMIZED=FALSE&amp;creator=factset&amp;display_string=Audit"}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1939__FDSAUDITLINK__" localSheetId="20" hidden="1">{"fdsup://Directions/FactSet Auditing Viewer?action=AUDIT_VALUE&amp;DB=129&amp;ID1=16890510&amp;VALUEID=13040&amp;SDATE=200903&amp;PERIODTYPE=QTR_STD&amp;window=popup_no_bar&amp;width=385&amp;height=120&amp;START_MAXIMIZED=FALSE&amp;creator=factset&amp;display_string=Audit"}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194__FDSAUDITLINK__" localSheetId="20" hidden="1">{"fdsup://Directions/FactSet Auditing Viewer?action=AUDIT_VALUE&amp;DB=129&amp;ID1=36476010&amp;VALUEID=01001&amp;SDATE=200704&amp;PERIODTYPE=QTR_STD&amp;window=popup_no_bar&amp;width=385&amp;height=120&amp;START_MAXIMIZED=FALSE&amp;creator=factset&amp;display_string=Audit"}</definedName>
    <definedName name="_194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940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1940__FDSAUDITLINK__" localSheetId="20" hidden="1">{"fdsup://Directions/FactSet Auditing Viewer?action=AUDIT_VALUE&amp;DB=129&amp;ID1=16890510&amp;VALUEID=13040&amp;SDATE=201001&amp;PERIODTYPE=QTR_STD&amp;window=popup_no_bar&amp;width=385&amp;height=120&amp;START_MAXIMIZED=FALSE&amp;creator=factset&amp;display_string=Audit"}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1941__FDSAUDITLINK__" localSheetId="20" hidden="1">{"fdsup://Directions/FactSet Auditing Viewer?action=AUDIT_VALUE&amp;DB=129&amp;ID1=87416110&amp;VALUEID=01001&amp;SDATE=201001&amp;PERIODTYPE=QTR_STD&amp;window=popup_no_bar&amp;width=385&amp;height=120&amp;START_MAXIMIZED=FALSE&amp;creator=factset&amp;display_string=Audit"}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1942__FDSAUDITLINK__" localSheetId="20" hidden="1">{"fdsup://Directions/FactSet Auditing Viewer?action=AUDIT_VALUE&amp;DB=129&amp;ID1=46612H40&amp;VALUEID=01001&amp;SDATE=201001&amp;PERIODTYPE=QTR_STD&amp;window=popup_no_bar&amp;width=385&amp;height=120&amp;START_MAXIMIZED=FALSE&amp;creator=factset&amp;display_string=Audit"}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1943__FDSAUDITLINK__" localSheetId="20" hidden="1">{"fdsup://Directions/FactSet Auditing Viewer?action=AUDIT_VALUE&amp;DB=129&amp;ID1=03611510&amp;VALUEID=01001&amp;SDATE=201001&amp;PERIODTYPE=QTR_STD&amp;window=popup_no_bar&amp;width=385&amp;height=120&amp;START_MAXIMIZED=FALSE&amp;creator=factset&amp;display_string=Audit"}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1944__FDSAUDITLINK__" localSheetId="20" hidden="1">{"fdsup://Directions/FactSet Auditing Viewer?action=AUDIT_VALUE&amp;DB=129&amp;ID1=16890510&amp;VALUEID=01001&amp;SDATE=201001&amp;PERIODTYPE=QTR_STD&amp;window=popup_no_bar&amp;width=385&amp;height=120&amp;START_MAXIMIZED=FALSE&amp;creator=factset&amp;display_string=Audit"}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1945__FDSAUDITLINK__" localSheetId="20" hidden="1">{"fdsup://Directions/FactSet Auditing Viewer?action=AUDIT_VALUE&amp;DB=129&amp;ID1=91704710&amp;VALUEID=01001&amp;SDATE=201001&amp;PERIODTYPE=QTR_STD&amp;window=popup_no_bar&amp;width=385&amp;height=120&amp;START_MAXIMIZED=FALSE&amp;creator=factset&amp;display_string=Audit"}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1946__FDSAUDITLINK__" localSheetId="20" hidden="1">{"fdsup://Directions/FactSet Auditing Viewer?action=AUDIT_VALUE&amp;DB=129&amp;ID1=02553E10&amp;VALUEID=01001&amp;SDATE=201001&amp;PERIODTYPE=QTR_STD&amp;window=popup_no_bar&amp;width=385&amp;height=120&amp;START_MAXIMIZED=FALSE&amp;creator=factset&amp;display_string=Audit"}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1947__FDSAUDITLINK__" localSheetId="20" hidden="1">{"fdsup://Directions/FactSet Auditing Viewer?action=AUDIT_VALUE&amp;DB=129&amp;ID1=00786510&amp;VALUEID=01001&amp;SDATE=201001&amp;PERIODTYPE=QTR_STD&amp;window=popup_no_bar&amp;width=385&amp;height=120&amp;START_MAXIMIZED=FALSE&amp;creator=factset&amp;display_string=Audit"}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1948__FDSAUDITLINK__" localSheetId="20" hidden="1">{"fdsup://Directions/FactSet Auditing Viewer?action=AUDIT_VALUE&amp;DB=129&amp;ID1=00289620&amp;VALUEID=01001&amp;SDATE=201001&amp;PERIODTYPE=QTR_STD&amp;window=popup_no_bar&amp;width=385&amp;height=120&amp;START_MAXIMIZED=FALSE&amp;creator=factset&amp;display_string=Audit"}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1949__FDSAUDITLINK__" localSheetId="20" hidden="1">{"fdsup://Directions/FactSet Auditing Viewer?action=AUDIT_VALUE&amp;DB=129&amp;ID1=53271610&amp;VALUEID=01001&amp;SDATE=201001&amp;PERIODTYPE=QTR_STD&amp;window=popup_no_bar&amp;width=385&amp;height=120&amp;START_MAXIMIZED=FALSE&amp;creator=factset&amp;display_string=Audit"}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195__FDSAUDITLINK__" localSheetId="20" hidden="1">{"fdsup://Directions/FactSet Auditing Viewer?action=AUDIT_VALUE&amp;DB=129&amp;ID1=03611510&amp;VALUEID=01001&amp;SDATE=200704&amp;PERIODTYPE=QTR_STD&amp;window=popup_no_bar&amp;width=385&amp;height=120&amp;START_MAXIMIZED=FALSE&amp;creator=factset&amp;display_string=Audit"}</definedName>
    <definedName name="_195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950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1950__FDSAUDITLINK__" localSheetId="20" hidden="1">{"fdsup://Directions/FactSet Auditing Viewer?action=AUDIT_VALUE&amp;DB=129&amp;ID1=36476010&amp;VALUEID=01001&amp;SDATE=201001&amp;PERIODTYPE=QTR_STD&amp;window=popup_no_bar&amp;width=385&amp;height=120&amp;START_MAXIMIZED=FALSE&amp;creator=factset&amp;display_string=Audit"}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localSheetId="1" hidden="1">{"fdsup://Directions/FactSet Auditing Viewer?action=AUDIT_VALUE&amp;DB=129&amp;ID1=40377710&amp;VALUEID=01001&amp;SDATE=200601&amp;PERIODTYPE=QTR_STD&amp;window=popup_no_bar&amp;width=385&amp;height=120&amp;START_MAXIMIZED=FALSE&amp;creator=factset&amp;display_string=Audit"}</definedName>
    <definedName name="_1951__FDSAUDITLINK__" localSheetId="20" hidden="1">{"fdsup://Directions/FactSet Auditing Viewer?action=AUDIT_VALUE&amp;DB=129&amp;ID1=40377710&amp;VALUEID=01001&amp;SDATE=200601&amp;PERIODTYPE=QTR_STD&amp;window=popup_no_bar&amp;width=385&amp;height=120&amp;START_MAXIMIZED=FALSE&amp;creator=factset&amp;display_string=Audit"}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localSheetId="1" hidden="1">{"fdsup://Directions/FactSet Auditing Viewer?action=AUDIT_VALUE&amp;DB=129&amp;ID1=40377710&amp;VALUEID=02101&amp;SDATE=200601&amp;PERIODTYPE=QTR_STD&amp;window=popup_no_bar&amp;width=385&amp;height=120&amp;START_MAXIMIZED=FALSE&amp;creator=factset&amp;display_string=Audit"}</definedName>
    <definedName name="_1952__FDSAUDITLINK__" localSheetId="20" hidden="1">{"fdsup://Directions/FactSet Auditing Viewer?action=AUDIT_VALUE&amp;DB=129&amp;ID1=40377710&amp;VALUEID=02101&amp;SDATE=200601&amp;PERIODTYPE=QTR_STD&amp;window=popup_no_bar&amp;width=385&amp;height=120&amp;START_MAXIMIZED=FALSE&amp;creator=factset&amp;display_string=Audit"}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localSheetId="1" hidden="1">{"fdsup://Directions/FactSet Auditing Viewer?action=AUDIT_VALUE&amp;DB=129&amp;ID1=40377710&amp;VALUEID=01001&amp;SDATE=200602&amp;PERIODTYPE=QTR_STD&amp;window=popup_no_bar&amp;width=385&amp;height=120&amp;START_MAXIMIZED=FALSE&amp;creator=factset&amp;display_string=Audit"}</definedName>
    <definedName name="_1953__FDSAUDITLINK__" localSheetId="20" hidden="1">{"fdsup://Directions/FactSet Auditing Viewer?action=AUDIT_VALUE&amp;DB=129&amp;ID1=40377710&amp;VALUEID=01001&amp;SDATE=200602&amp;PERIODTYPE=QTR_STD&amp;window=popup_no_bar&amp;width=385&amp;height=120&amp;START_MAXIMIZED=FALSE&amp;creator=factset&amp;display_string=Audit"}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localSheetId="1" hidden="1">{"fdsup://Directions/FactSet Auditing Viewer?action=AUDIT_VALUE&amp;DB=129&amp;ID1=40377710&amp;VALUEID=02101&amp;SDATE=200602&amp;PERIODTYPE=QTR_STD&amp;window=popup_no_bar&amp;width=385&amp;height=120&amp;START_MAXIMIZED=FALSE&amp;creator=factset&amp;display_string=Audit"}</definedName>
    <definedName name="_1954__FDSAUDITLINK__" localSheetId="20" hidden="1">{"fdsup://Directions/FactSet Auditing Viewer?action=AUDIT_VALUE&amp;DB=129&amp;ID1=40377710&amp;VALUEID=02101&amp;SDATE=200602&amp;PERIODTYPE=QTR_STD&amp;window=popup_no_bar&amp;width=385&amp;height=120&amp;START_MAXIMIZED=FALSE&amp;creator=factset&amp;display_string=Audit"}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localSheetId="1" hidden="1">{"fdsup://Directions/FactSet Auditing Viewer?action=AUDIT_VALUE&amp;DB=129&amp;ID1=40377710&amp;VALUEID=01001&amp;SDATE=200603&amp;PERIODTYPE=QTR_STD&amp;window=popup_no_bar&amp;width=385&amp;height=120&amp;START_MAXIMIZED=FALSE&amp;creator=factset&amp;display_string=Audit"}</definedName>
    <definedName name="_1955__FDSAUDITLINK__" localSheetId="20" hidden="1">{"fdsup://Directions/FactSet Auditing Viewer?action=AUDIT_VALUE&amp;DB=129&amp;ID1=40377710&amp;VALUEID=01001&amp;SDATE=200603&amp;PERIODTYPE=QTR_STD&amp;window=popup_no_bar&amp;width=385&amp;height=120&amp;START_MAXIMIZED=FALSE&amp;creator=factset&amp;display_string=Audit"}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localSheetId="1" hidden="1">{"fdsup://Directions/FactSet Auditing Viewer?action=AUDIT_VALUE&amp;DB=129&amp;ID1=40377710&amp;VALUEID=02101&amp;SDATE=200603&amp;PERIODTYPE=QTR_STD&amp;window=popup_no_bar&amp;width=385&amp;height=120&amp;START_MAXIMIZED=FALSE&amp;creator=factset&amp;display_string=Audit"}</definedName>
    <definedName name="_1956__FDSAUDITLINK__" localSheetId="20" hidden="1">{"fdsup://Directions/FactSet Auditing Viewer?action=AUDIT_VALUE&amp;DB=129&amp;ID1=40377710&amp;VALUEID=02101&amp;SDATE=200603&amp;PERIODTYPE=QTR_STD&amp;window=popup_no_bar&amp;width=385&amp;height=120&amp;START_MAXIMIZED=FALSE&amp;creator=factset&amp;display_string=Audit"}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localSheetId="1" hidden="1">{"fdsup://Directions/FactSet Auditing Viewer?action=AUDIT_VALUE&amp;DB=129&amp;ID1=40377710&amp;VALUEID=01001&amp;SDATE=200604&amp;PERIODTYPE=QTR_STD&amp;window=popup_no_bar&amp;width=385&amp;height=120&amp;START_MAXIMIZED=FALSE&amp;creator=factset&amp;display_string=Audit"}</definedName>
    <definedName name="_1957__FDSAUDITLINK__" localSheetId="20" hidden="1">{"fdsup://Directions/FactSet Auditing Viewer?action=AUDIT_VALUE&amp;DB=129&amp;ID1=40377710&amp;VALUEID=01001&amp;SDATE=200604&amp;PERIODTYPE=QTR_STD&amp;window=popup_no_bar&amp;width=385&amp;height=120&amp;START_MAXIMIZED=FALSE&amp;creator=factset&amp;display_string=Audit"}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localSheetId="1" hidden="1">{"fdsup://Directions/FactSet Auditing Viewer?action=AUDIT_VALUE&amp;DB=129&amp;ID1=40377710&amp;VALUEID=01001&amp;SDATE=200701&amp;PERIODTYPE=QTR_STD&amp;window=popup_no_bar&amp;width=385&amp;height=120&amp;START_MAXIMIZED=FALSE&amp;creator=factset&amp;display_string=Audit"}</definedName>
    <definedName name="_1958__FDSAUDITLINK__" localSheetId="20" hidden="1">{"fdsup://Directions/FactSet Auditing Viewer?action=AUDIT_VALUE&amp;DB=129&amp;ID1=40377710&amp;VALUEID=01001&amp;SDATE=200701&amp;PERIODTYPE=QTR_STD&amp;window=popup_no_bar&amp;width=385&amp;height=120&amp;START_MAXIMIZED=FALSE&amp;creator=factset&amp;display_string=Audit"}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localSheetId="1" hidden="1">{"fdsup://Directions/FactSet Auditing Viewer?action=AUDIT_VALUE&amp;DB=129&amp;ID1=40377710&amp;VALUEID=02101&amp;SDATE=200701&amp;PERIODTYPE=QTR_STD&amp;window=popup_no_bar&amp;width=385&amp;height=120&amp;START_MAXIMIZED=FALSE&amp;creator=factset&amp;display_string=Audit"}</definedName>
    <definedName name="_1959__FDSAUDITLINK__" localSheetId="20" hidden="1">{"fdsup://Directions/FactSet Auditing Viewer?action=AUDIT_VALUE&amp;DB=129&amp;ID1=40377710&amp;VALUEID=02101&amp;SDATE=200701&amp;PERIODTYPE=QTR_STD&amp;window=popup_no_bar&amp;width=385&amp;height=120&amp;START_MAXIMIZED=FALSE&amp;creator=factset&amp;display_string=Audit"}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196__FDSAUDITLINK__" localSheetId="20" hidden="1">{"fdsup://Directions/FactSet Auditing Viewer?action=AUDIT_VALUE&amp;DB=129&amp;ID1=03611510&amp;VALUEID=13040&amp;SDATE=200704&amp;PERIODTYPE=QTR_STD&amp;window=popup_no_bar&amp;width=385&amp;height=120&amp;START_MAXIMIZED=FALSE&amp;creator=factset&amp;display_string=Audit"}</definedName>
    <definedName name="_196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960__FDSAUDITLINK__" localSheetId="1" hidden="1">{"fdsup://Directions/FactSet Auditing Viewer?action=AUDIT_VALUE&amp;DB=129&amp;ID1=40377710&amp;VALUEID=01001&amp;SDATE=200702&amp;PERIODTYPE=QTR_STD&amp;window=popup_no_bar&amp;width=385&amp;height=120&amp;START_MAXIMIZED=FALSE&amp;creator=factset&amp;display_string=Audit"}</definedName>
    <definedName name="_1960__FDSAUDITLINK__" localSheetId="20" hidden="1">{"fdsup://Directions/FactSet Auditing Viewer?action=AUDIT_VALUE&amp;DB=129&amp;ID1=40377710&amp;VALUEID=01001&amp;SDATE=200702&amp;PERIODTYPE=QTR_STD&amp;window=popup_no_bar&amp;width=385&amp;height=120&amp;START_MAXIMIZED=FALSE&amp;creator=factset&amp;display_string=Audit"}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localSheetId="1" hidden="1">{"fdsup://Directions/FactSet Auditing Viewer?action=AUDIT_VALUE&amp;DB=129&amp;ID1=40377710&amp;VALUEID=02101&amp;SDATE=200702&amp;PERIODTYPE=QTR_STD&amp;window=popup_no_bar&amp;width=385&amp;height=120&amp;START_MAXIMIZED=FALSE&amp;creator=factset&amp;display_string=Audit"}</definedName>
    <definedName name="_1961__FDSAUDITLINK__" localSheetId="20" hidden="1">{"fdsup://Directions/FactSet Auditing Viewer?action=AUDIT_VALUE&amp;DB=129&amp;ID1=40377710&amp;VALUEID=02101&amp;SDATE=200702&amp;PERIODTYPE=QTR_STD&amp;window=popup_no_bar&amp;width=385&amp;height=120&amp;START_MAXIMIZED=FALSE&amp;creator=factset&amp;display_string=Audit"}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localSheetId="1" hidden="1">{"fdsup://Directions/FactSet Auditing Viewer?action=AUDIT_VALUE&amp;DB=129&amp;ID1=40377710&amp;VALUEID=01001&amp;SDATE=200703&amp;PERIODTYPE=QTR_STD&amp;window=popup_no_bar&amp;width=385&amp;height=120&amp;START_MAXIMIZED=FALSE&amp;creator=factset&amp;display_string=Audit"}</definedName>
    <definedName name="_1962__FDSAUDITLINK__" localSheetId="20" hidden="1">{"fdsup://Directions/FactSet Auditing Viewer?action=AUDIT_VALUE&amp;DB=129&amp;ID1=40377710&amp;VALUEID=01001&amp;SDATE=200703&amp;PERIODTYPE=QTR_STD&amp;window=popup_no_bar&amp;width=385&amp;height=120&amp;START_MAXIMIZED=FALSE&amp;creator=factset&amp;display_string=Audit"}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localSheetId="1" hidden="1">{"fdsup://Directions/FactSet Auditing Viewer?action=AUDIT_VALUE&amp;DB=129&amp;ID1=40377710&amp;VALUEID=02101&amp;SDATE=200703&amp;PERIODTYPE=QTR_STD&amp;window=popup_no_bar&amp;width=385&amp;height=120&amp;START_MAXIMIZED=FALSE&amp;creator=factset&amp;display_string=Audit"}</definedName>
    <definedName name="_1963__FDSAUDITLINK__" localSheetId="20" hidden="1">{"fdsup://Directions/FactSet Auditing Viewer?action=AUDIT_VALUE&amp;DB=129&amp;ID1=40377710&amp;VALUEID=02101&amp;SDATE=200703&amp;PERIODTYPE=QTR_STD&amp;window=popup_no_bar&amp;width=385&amp;height=120&amp;START_MAXIMIZED=FALSE&amp;creator=factset&amp;display_string=Audit"}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localSheetId="1" hidden="1">{"fdsup://Directions/FactSet Auditing Viewer?action=AUDIT_VALUE&amp;DB=129&amp;ID1=40377710&amp;VALUEID=01001&amp;SDATE=200704&amp;PERIODTYPE=QTR_STD&amp;window=popup_no_bar&amp;width=385&amp;height=120&amp;START_MAXIMIZED=FALSE&amp;creator=factset&amp;display_string=Audit"}</definedName>
    <definedName name="_1964__FDSAUDITLINK__" localSheetId="20" hidden="1">{"fdsup://Directions/FactSet Auditing Viewer?action=AUDIT_VALUE&amp;DB=129&amp;ID1=40377710&amp;VALUEID=01001&amp;SDATE=200704&amp;PERIODTYPE=QTR_STD&amp;window=popup_no_bar&amp;width=385&amp;height=120&amp;START_MAXIMIZED=FALSE&amp;creator=factset&amp;display_string=Audit"}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localSheetId="1" hidden="1">{"fdsup://Directions/FactSet Auditing Viewer?action=AUDIT_VALUE&amp;DB=129&amp;ID1=40377710&amp;VALUEID=01001&amp;SDATE=200801&amp;PERIODTYPE=QTR_STD&amp;window=popup_no_bar&amp;width=385&amp;height=120&amp;START_MAXIMIZED=FALSE&amp;creator=factset&amp;display_string=Audit"}</definedName>
    <definedName name="_1965__FDSAUDITLINK__" localSheetId="20" hidden="1">{"fdsup://Directions/FactSet Auditing Viewer?action=AUDIT_VALUE&amp;DB=129&amp;ID1=40377710&amp;VALUEID=01001&amp;SDATE=200801&amp;PERIODTYPE=QTR_STD&amp;window=popup_no_bar&amp;width=385&amp;height=120&amp;START_MAXIMIZED=FALSE&amp;creator=factset&amp;display_string=Audit"}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localSheetId="1" hidden="1">{"fdsup://Directions/FactSet Auditing Viewer?action=AUDIT_VALUE&amp;DB=129&amp;ID1=40377710&amp;VALUEID=02101&amp;SDATE=200801&amp;PERIODTYPE=QTR_STD&amp;window=popup_no_bar&amp;width=385&amp;height=120&amp;START_MAXIMIZED=FALSE&amp;creator=factset&amp;display_string=Audit"}</definedName>
    <definedName name="_1966__FDSAUDITLINK__" localSheetId="20" hidden="1">{"fdsup://Directions/FactSet Auditing Viewer?action=AUDIT_VALUE&amp;DB=129&amp;ID1=40377710&amp;VALUEID=02101&amp;SDATE=200801&amp;PERIODTYPE=QTR_STD&amp;window=popup_no_bar&amp;width=385&amp;height=120&amp;START_MAXIMIZED=FALSE&amp;creator=factset&amp;display_string=Audit"}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localSheetId="1" hidden="1">{"fdsup://Directions/FactSet Auditing Viewer?action=AUDIT_VALUE&amp;DB=129&amp;ID1=40377710&amp;VALUEID=01001&amp;SDATE=200802&amp;PERIODTYPE=QTR_STD&amp;window=popup_no_bar&amp;width=385&amp;height=120&amp;START_MAXIMIZED=FALSE&amp;creator=factset&amp;display_string=Audit"}</definedName>
    <definedName name="_1967__FDSAUDITLINK__" localSheetId="20" hidden="1">{"fdsup://Directions/FactSet Auditing Viewer?action=AUDIT_VALUE&amp;DB=129&amp;ID1=40377710&amp;VALUEID=01001&amp;SDATE=200802&amp;PERIODTYPE=QTR_STD&amp;window=popup_no_bar&amp;width=385&amp;height=120&amp;START_MAXIMIZED=FALSE&amp;creator=factset&amp;display_string=Audit"}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localSheetId="1" hidden="1">{"fdsup://Directions/FactSet Auditing Viewer?action=AUDIT_VALUE&amp;DB=129&amp;ID1=40377710&amp;VALUEID=02101&amp;SDATE=200802&amp;PERIODTYPE=QTR_STD&amp;window=popup_no_bar&amp;width=385&amp;height=120&amp;START_MAXIMIZED=FALSE&amp;creator=factset&amp;display_string=Audit"}</definedName>
    <definedName name="_1968__FDSAUDITLINK__" localSheetId="20" hidden="1">{"fdsup://Directions/FactSet Auditing Viewer?action=AUDIT_VALUE&amp;DB=129&amp;ID1=40377710&amp;VALUEID=02101&amp;SDATE=200802&amp;PERIODTYPE=QTR_STD&amp;window=popup_no_bar&amp;width=385&amp;height=120&amp;START_MAXIMIZED=FALSE&amp;creator=factset&amp;display_string=Audit"}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localSheetId="1" hidden="1">{"fdsup://Directions/FactSet Auditing Viewer?action=AUDIT_VALUE&amp;DB=129&amp;ID1=40377710&amp;VALUEID=01001&amp;SDATE=200803&amp;PERIODTYPE=QTR_STD&amp;window=popup_no_bar&amp;width=385&amp;height=120&amp;START_MAXIMIZED=FALSE&amp;creator=factset&amp;display_string=Audit"}</definedName>
    <definedName name="_1969__FDSAUDITLINK__" localSheetId="20" hidden="1">{"fdsup://Directions/FactSet Auditing Viewer?action=AUDIT_VALUE&amp;DB=129&amp;ID1=40377710&amp;VALUEID=01001&amp;SDATE=200803&amp;PERIODTYPE=QTR_STD&amp;window=popup_no_bar&amp;width=385&amp;height=120&amp;START_MAXIMIZED=FALSE&amp;creator=factset&amp;display_string=Audit"}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197__FDSAUDITLINK__" localSheetId="20" hidden="1">{"fdsup://Directions/FactSet Auditing Viewer?action=AUDIT_VALUE&amp;DB=129&amp;ID1=16890510&amp;VALUEID=01001&amp;SDATE=200704&amp;PERIODTYPE=QTR_STD&amp;window=popup_no_bar&amp;width=385&amp;height=120&amp;START_MAXIMIZED=FALSE&amp;creator=factset&amp;display_string=Audit"}</definedName>
    <definedName name="_197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970__FDSAUDITLINK__" localSheetId="1" hidden="1">{"fdsup://Directions/FactSet Auditing Viewer?action=AUDIT_VALUE&amp;DB=129&amp;ID1=40377710&amp;VALUEID=02101&amp;SDATE=200803&amp;PERIODTYPE=QTR_STD&amp;window=popup_no_bar&amp;width=385&amp;height=120&amp;START_MAXIMIZED=FALSE&amp;creator=factset&amp;display_string=Audit"}</definedName>
    <definedName name="_1970__FDSAUDITLINK__" localSheetId="20" hidden="1">{"fdsup://Directions/FactSet Auditing Viewer?action=AUDIT_VALUE&amp;DB=129&amp;ID1=40377710&amp;VALUEID=02101&amp;SDATE=200803&amp;PERIODTYPE=QTR_STD&amp;window=popup_no_bar&amp;width=385&amp;height=120&amp;START_MAXIMIZED=FALSE&amp;creator=factset&amp;display_string=Audit"}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localSheetId="1" hidden="1">{"fdsup://Directions/FactSet Auditing Viewer?action=AUDIT_VALUE&amp;DB=129&amp;ID1=40377710&amp;VALUEID=01001&amp;SDATE=200804&amp;PERIODTYPE=QTR_STD&amp;window=popup_no_bar&amp;width=385&amp;height=120&amp;START_MAXIMIZED=FALSE&amp;creator=factset&amp;display_string=Audit"}</definedName>
    <definedName name="_1971__FDSAUDITLINK__" localSheetId="20" hidden="1">{"fdsup://Directions/FactSet Auditing Viewer?action=AUDIT_VALUE&amp;DB=129&amp;ID1=40377710&amp;VALUEID=01001&amp;SDATE=200804&amp;PERIODTYPE=QTR_STD&amp;window=popup_no_bar&amp;width=385&amp;height=120&amp;START_MAXIMIZED=FALSE&amp;creator=factset&amp;display_string=Audit"}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localSheetId="1" hidden="1">{"fdsup://Directions/FactSet Auditing Viewer?action=AUDIT_VALUE&amp;DB=129&amp;ID1=40377710&amp;VALUEID=01001&amp;SDATE=200901&amp;PERIODTYPE=QTR_STD&amp;window=popup_no_bar&amp;width=385&amp;height=120&amp;START_MAXIMIZED=FALSE&amp;creator=factset&amp;display_string=Audit"}</definedName>
    <definedName name="_1972__FDSAUDITLINK__" localSheetId="20" hidden="1">{"fdsup://Directions/FactSet Auditing Viewer?action=AUDIT_VALUE&amp;DB=129&amp;ID1=40377710&amp;VALUEID=01001&amp;SDATE=200901&amp;PERIODTYPE=QTR_STD&amp;window=popup_no_bar&amp;width=385&amp;height=120&amp;START_MAXIMIZED=FALSE&amp;creator=factset&amp;display_string=Audit"}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localSheetId="1" hidden="1">{"fdsup://Directions/FactSet Auditing Viewer?action=AUDIT_VALUE&amp;DB=129&amp;ID1=40377710&amp;VALUEID=02101&amp;SDATE=200901&amp;PERIODTYPE=QTR_STD&amp;window=popup_no_bar&amp;width=385&amp;height=120&amp;START_MAXIMIZED=FALSE&amp;creator=factset&amp;display_string=Audit"}</definedName>
    <definedName name="_1973__FDSAUDITLINK__" localSheetId="20" hidden="1">{"fdsup://Directions/FactSet Auditing Viewer?action=AUDIT_VALUE&amp;DB=129&amp;ID1=40377710&amp;VALUEID=02101&amp;SDATE=200901&amp;PERIODTYPE=QTR_STD&amp;window=popup_no_bar&amp;width=385&amp;height=120&amp;START_MAXIMIZED=FALSE&amp;creator=factset&amp;display_string=Audit"}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localSheetId="1" hidden="1">{"fdsup://Directions/FactSet Auditing Viewer?action=AUDIT_VALUE&amp;DB=129&amp;ID1=40377710&amp;VALUEID=01001&amp;SDATE=200902&amp;PERIODTYPE=QTR_STD&amp;window=popup_no_bar&amp;width=385&amp;height=120&amp;START_MAXIMIZED=FALSE&amp;creator=factset&amp;display_string=Audit"}</definedName>
    <definedName name="_1974__FDSAUDITLINK__" localSheetId="20" hidden="1">{"fdsup://Directions/FactSet Auditing Viewer?action=AUDIT_VALUE&amp;DB=129&amp;ID1=40377710&amp;VALUEID=01001&amp;SDATE=200902&amp;PERIODTYPE=QTR_STD&amp;window=popup_no_bar&amp;width=385&amp;height=120&amp;START_MAXIMIZED=FALSE&amp;creator=factset&amp;display_string=Audit"}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localSheetId="1" hidden="1">{"fdsup://Directions/FactSet Auditing Viewer?action=AUDIT_VALUE&amp;DB=129&amp;ID1=40377710&amp;VALUEID=02101&amp;SDATE=200902&amp;PERIODTYPE=QTR_STD&amp;window=popup_no_bar&amp;width=385&amp;height=120&amp;START_MAXIMIZED=FALSE&amp;creator=factset&amp;display_string=Audit"}</definedName>
    <definedName name="_1975__FDSAUDITLINK__" localSheetId="20" hidden="1">{"fdsup://Directions/FactSet Auditing Viewer?action=AUDIT_VALUE&amp;DB=129&amp;ID1=40377710&amp;VALUEID=02101&amp;SDATE=200902&amp;PERIODTYPE=QTR_STD&amp;window=popup_no_bar&amp;width=385&amp;height=120&amp;START_MAXIMIZED=FALSE&amp;creator=factset&amp;display_string=Audit"}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localSheetId="1" hidden="1">{"fdsup://Directions/FactSet Auditing Viewer?action=AUDIT_VALUE&amp;DB=129&amp;ID1=40377710&amp;VALUEID=01001&amp;SDATE=200903&amp;PERIODTYPE=QTR_STD&amp;window=popup_no_bar&amp;width=385&amp;height=120&amp;START_MAXIMIZED=FALSE&amp;creator=factset&amp;display_string=Audit"}</definedName>
    <definedName name="_1976__FDSAUDITLINK__" localSheetId="20" hidden="1">{"fdsup://Directions/FactSet Auditing Viewer?action=AUDIT_VALUE&amp;DB=129&amp;ID1=40377710&amp;VALUEID=01001&amp;SDATE=200903&amp;PERIODTYPE=QTR_STD&amp;window=popup_no_bar&amp;width=385&amp;height=120&amp;START_MAXIMIZED=FALSE&amp;creator=factset&amp;display_string=Audit"}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localSheetId="1" hidden="1">{"fdsup://Directions/FactSet Auditing Viewer?action=AUDIT_VALUE&amp;DB=129&amp;ID1=40377710&amp;VALUEID=02101&amp;SDATE=200903&amp;PERIODTYPE=QTR_STD&amp;window=popup_no_bar&amp;width=385&amp;height=120&amp;START_MAXIMIZED=FALSE&amp;creator=factset&amp;display_string=Audit"}</definedName>
    <definedName name="_1977__FDSAUDITLINK__" localSheetId="20" hidden="1">{"fdsup://Directions/FactSet Auditing Viewer?action=AUDIT_VALUE&amp;DB=129&amp;ID1=40377710&amp;VALUEID=02101&amp;SDATE=200903&amp;PERIODTYPE=QTR_STD&amp;window=popup_no_bar&amp;width=385&amp;height=120&amp;START_MAXIMIZED=FALSE&amp;creator=factset&amp;display_string=Audit"}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localSheetId="1" hidden="1">{"fdsup://Directions/FactSet Auditing Viewer?action=AUDIT_VALUE&amp;DB=129&amp;ID1=40377710&amp;VALUEID=01001&amp;SDATE=200904&amp;PERIODTYPE=QTR_STD&amp;window=popup_no_bar&amp;width=385&amp;height=120&amp;START_MAXIMIZED=FALSE&amp;creator=factset&amp;display_string=Audit"}</definedName>
    <definedName name="_1978__FDSAUDITLINK__" localSheetId="20" hidden="1">{"fdsup://Directions/FactSet Auditing Viewer?action=AUDIT_VALUE&amp;DB=129&amp;ID1=40377710&amp;VALUEID=01001&amp;SDATE=200904&amp;PERIODTYPE=QTR_STD&amp;window=popup_no_bar&amp;width=385&amp;height=120&amp;START_MAXIMIZED=FALSE&amp;creator=factset&amp;display_string=Audit"}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localSheetId="1" hidden="1">{"fdsup://Directions/FactSet Auditing Viewer?action=AUDIT_VALUE&amp;DB=129&amp;ID1=40377710&amp;VALUEID=01001&amp;SDATE=201001&amp;PERIODTYPE=QTR_STD&amp;window=popup_no_bar&amp;width=385&amp;height=120&amp;START_MAXIMIZED=FALSE&amp;creator=factset&amp;display_string=Audit"}</definedName>
    <definedName name="_1979__FDSAUDITLINK__" localSheetId="20" hidden="1">{"fdsup://Directions/FactSet Auditing Viewer?action=AUDIT_VALUE&amp;DB=129&amp;ID1=40377710&amp;VALUEID=01001&amp;SDATE=201001&amp;PERIODTYPE=QTR_STD&amp;window=popup_no_bar&amp;width=385&amp;height=120&amp;START_MAXIMIZED=FALSE&amp;creator=factset&amp;display_string=Audit"}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198__FDSAUDITLINK__" localSheetId="20" hidden="1">{"fdsup://Directions/FactSet Auditing Viewer?action=AUDIT_VALUE&amp;DB=129&amp;ID1=00786510&amp;VALUEID=01001&amp;SDATE=200704&amp;PERIODTYPE=QTR_STD&amp;window=popup_no_bar&amp;width=385&amp;height=120&amp;START_MAXIMIZED=FALSE&amp;creator=factset&amp;display_string=Audit"}</definedName>
    <definedName name="_198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980__FDSAUDITLINK__" localSheetId="1" hidden="1">{"fdsup://Directions/FactSet Auditing Viewer?action=AUDIT_VALUE&amp;DB=129&amp;ID1=40377710&amp;VALUEID=02101&amp;SDATE=201001&amp;PERIODTYPE=QTR_STD&amp;window=popup_no_bar&amp;width=385&amp;height=120&amp;START_MAXIMIZED=FALSE&amp;creator=factset&amp;display_string=Audit"}</definedName>
    <definedName name="_1980__FDSAUDITLINK__" localSheetId="20" hidden="1">{"fdsup://Directions/FactSet Auditing Viewer?action=AUDIT_VALUE&amp;DB=129&amp;ID1=40377710&amp;VALUEID=02101&amp;SDATE=201001&amp;PERIODTYPE=QTR_STD&amp;window=popup_no_bar&amp;width=385&amp;height=120&amp;START_MAXIMIZED=FALSE&amp;creator=factset&amp;display_string=Audit"}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localSheetId="1"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1__FDSAUDITLINK__" localSheetId="20"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localSheetId="1"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2__FDSAUDITLINK__" localSheetId="20"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localSheetId="1"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3__FDSAUDITLINK__" localSheetId="20"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localSheetId="1"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4__FDSAUDITLINK__" localSheetId="20"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localSheetId="1"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5__FDSAUDITLINK__" localSheetId="20"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localSheetId="1"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6__FDSAUDITLINK__" localSheetId="20"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localSheetId="1"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7__FDSAUDITLINK__" localSheetId="20"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localSheetId="1"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8__FDSAUDITLINK__" localSheetId="20"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localSheetId="1"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89__FDSAUDITLINK__" localSheetId="20"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199__FDSAUDITLINK__" localSheetId="20" hidden="1">{"fdsup://Directions/FactSet Auditing Viewer?action=AUDIT_VALUE&amp;DB=129&amp;ID1=87416110&amp;VALUEID=02101&amp;SDATE=200703&amp;PERIODTYPE=QTR_STD&amp;window=popup_no_bar&amp;width=385&amp;height=120&amp;START_MAXIMIZED=FALSE&amp;creator=factset&amp;display_string=Audit"}</definedName>
    <definedName name="_199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990__FDSAUDITLINK__" localSheetId="1"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0__FDSAUDITLINK__" localSheetId="20"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localSheetId="1"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1__FDSAUDITLINK__" localSheetId="20"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localSheetId="1"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2__FDSAUDITLINK__" localSheetId="20"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localSheetId="1"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3__FDSAUDITLINK__" localSheetId="20"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localSheetId="1"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4__FDSAUDITLINK__" localSheetId="20"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localSheetId="1"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5__FDSAUDITLINK__" localSheetId="20"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localSheetId="1"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6__FDSAUDITLINK__" localSheetId="20"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localSheetId="1"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7__FDSAUDITLINK__" localSheetId="20"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localSheetId="1"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8__FDSAUDITLINK__" localSheetId="20"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localSheetId="1"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999__FDSAUDITLINK__" localSheetId="20"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FDSAUDITLINK__" localSheetId="1" hidden="1">{"fdsup://directions/FAT Viewer?action=UPDATE&amp;creator=factset&amp;DYN_ARGS=TRUE&amp;DOC_NAME=FAT:FQL_AUDITING_CLIENT_TEMPLATE.FAT&amp;display_string=Audit&amp;VAR:KEY=ODERINEVSV&amp;VAR:QUERY=RkZfRU5UUlBSX1ZBTF9FQklUREFfT1BFUihBTk4sMCk=&amp;WINDOW=FIRST_POPUP&amp;HEIGHT=450&amp;WIDTH=450&amp;","START_MAXIMIZED=FALSE&amp;VAR:CALENDAR=FIVEDAY&amp;VAR:SYMBOL=URBN&amp;VAR:INDEX=0"}</definedName>
    <definedName name="_2__FDSAUDITLINK__" localSheetId="20" hidden="1">{"fdsup://Directions/FactSet Auditing Viewer?action=AUDIT_VALUE&amp;DB=129&amp;ID1=87416110&amp;VALUEID=13040&amp;SDATE=201001&amp;PERIODTYPE=QTR_STD&amp;window=popup_no_bar&amp;width=385&amp;height=120&amp;START_MAXIMIZED=FALSE&amp;creator=factset&amp;display_string=Audit"}</definedName>
    <definedName name="_2__FDSAUDITLINK__" hidden="1">{"fdsup://directions/FAT Viewer?action=UPDATE&amp;creator=factset&amp;DYN_ARGS=TRUE&amp;DOC_NAME=FAT:FQL_AUDITING_CLIENT_TEMPLATE.FAT&amp;display_string=Audit&amp;VAR:KEY=ODERINEVSV&amp;VAR:QUERY=RkZfRU5UUlBSX1ZBTF9FQklUREFfT1BFUihBTk4sMCk=&amp;WINDOW=FIRST_POPUP&amp;HEIGHT=450&amp;WIDTH=450&amp;","START_MAXIMIZED=FALSE&amp;VAR:CALENDAR=FIVEDAY&amp;VAR:SYMBOL=URBN&amp;VAR:INDEX=0"}</definedName>
    <definedName name="_20__FDSAUDITLINK__" localSheetId="1" hidden="1">{"fdsup://directions/FAT Viewer?action=UPDATE&amp;creator=factset&amp;DYN_ARGS=TRUE&amp;DOC_NAME=FAT:FQL_AUDITING_CLIENT_TEMPLATE.FAT&amp;display_string=Audit&amp;VAR:KEY=CRELINGBUV&amp;VAR:QUERY=RkZfRU5UUlBSX1ZBTF9FQklUREFfT1BFUihBTk4sMCk=&amp;WINDOW=FIRST_POPUP&amp;HEIGHT=450&amp;WIDTH=450&amp;","START_MAXIMIZED=FALSE&amp;VAR:CALENDAR=FIVEDAY&amp;VAR:SYMBOL=CATO&amp;VAR:INDEX=0"}</definedName>
    <definedName name="_20__FDSAUDITLINK__" localSheetId="20" hidden="1">{"fdsup://Directions/FactSet Auditing Viewer?action=AUDIT_VALUE&amp;DB=129&amp;ID1=00289620&amp;VALUEID=13040&amp;SDATE=201001&amp;PERIODTYPE=QTR_STD&amp;window=popup_no_bar&amp;width=385&amp;height=120&amp;START_MAXIMIZED=FALSE&amp;creator=factset&amp;display_string=Audit"}</definedName>
    <definedName name="_20__FDSAUDITLINK__" hidden="1">{"fdsup://directions/FAT Viewer?action=UPDATE&amp;creator=factset&amp;DYN_ARGS=TRUE&amp;DOC_NAME=FAT:FQL_AUDITING_CLIENT_TEMPLATE.FAT&amp;display_string=Audit&amp;VAR:KEY=CRELINGBUV&amp;VAR:QUERY=RkZfRU5UUlBSX1ZBTF9FQklUREFfT1BFUihBTk4sMCk=&amp;WINDOW=FIRST_POPUP&amp;HEIGHT=450&amp;WIDTH=450&amp;","START_MAXIMIZED=FALSE&amp;VAR:CALENDAR=FIVEDAY&amp;VAR:SYMBOL=CATO&amp;VAR:INDEX=0"}</definedName>
    <definedName name="_200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200__FDSAUDITLINK__" localSheetId="20" hidden="1">{"fdsup://Directions/FactSet Auditing Viewer?action=AUDIT_VALUE&amp;DB=129&amp;ID1=87416110&amp;VALUEID=01001&amp;SDATE=200703&amp;PERIODTYPE=QTR_STD&amp;window=popup_no_bar&amp;width=385&amp;height=120&amp;START_MAXIMIZED=FALSE&amp;creator=factset&amp;display_string=Audit"}</definedName>
    <definedName name="_200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000__FDSAUDITLINK__" localSheetId="1"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0__FDSAUDITLINK__" localSheetId="20"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localSheetId="1"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1__FDSAUDITLINK__" localSheetId="20"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localSheetId="1"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2__FDSAUDITLINK__" localSheetId="20"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localSheetId="1"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3__FDSAUDITLINK__" localSheetId="20"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localSheetId="1"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4__FDSAUDITLINK__" localSheetId="20"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localSheetId="1"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5__FDSAUDITLINK__" localSheetId="20"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localSheetId="1"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6__FDSAUDITLINK__" localSheetId="20"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localSheetId="1"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7__FDSAUDITLINK__" localSheetId="20"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2008__FDSAUDITLINK__" localSheetId="20" hidden="1">{"fdsup://Directions/FactSet Auditing Viewer?action=AUDIT_VALUE&amp;DB=129&amp;ID1=40377710&amp;VALUEID=13040&amp;SDATE=200802&amp;PERIODTYPE=QTR_STD&amp;window=popup_no_bar&amp;width=385&amp;height=120&amp;START_MAXIMIZED=FALSE&amp;creator=factset&amp;display_string=Audit"}</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localSheetId="1"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09__FDSAUDITLINK__" localSheetId="20"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201__FDSAUDITLINK__" localSheetId="20" hidden="1">{"fdsup://Directions/FactSet Auditing Viewer?action=AUDIT_VALUE&amp;DB=129&amp;ID1=53271610&amp;VALUEID=02101&amp;SDATE=200703&amp;PERIODTYPE=QTR_STD&amp;window=popup_no_bar&amp;width=385&amp;height=120&amp;START_MAXIMIZED=FALSE&amp;creator=factset&amp;display_string=Audit"}</definedName>
    <definedName name="_201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010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2010__FDSAUDITLINK__" localSheetId="20" hidden="1">{"fdsup://Directions/FactSet Auditing Viewer?action=AUDIT_VALUE&amp;DB=129&amp;ID1=40377710&amp;VALUEID=13040&amp;SDATE=200803&amp;PERIODTYPE=QTR_STD&amp;window=popup_no_bar&amp;width=385&amp;height=120&amp;START_MAXIMIZED=FALSE&amp;creator=factset&amp;display_string=Audit"}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localSheetId="1"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1__FDSAUDITLINK__" localSheetId="20"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localSheetId="1"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2__FDSAUDITLINK__" localSheetId="20"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2013__FDSAUDITLINK__" localSheetId="20" hidden="1">{"fdsup://Directions/FactSet Auditing Viewer?action=AUDIT_VALUE&amp;DB=129&amp;ID1=40377710&amp;VALUEID=13040&amp;SDATE=200901&amp;PERIODTYPE=QTR_STD&amp;window=popup_no_bar&amp;width=385&amp;height=120&amp;START_MAXIMIZED=FALSE&amp;creator=factset&amp;display_string=Audit"}</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localSheetId="1"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4__FDSAUDITLINK__" localSheetId="20"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2015__FDSAUDITLINK__" localSheetId="20" hidden="1">{"fdsup://Directions/FactSet Auditing Viewer?action=AUDIT_VALUE&amp;DB=129&amp;ID1=40377710&amp;VALUEID=13040&amp;SDATE=201001&amp;PERIODTYPE=QTR_STD&amp;window=popup_no_bar&amp;width=385&amp;height=120&amp;START_MAXIMIZED=FALSE&amp;creator=factset&amp;display_string=Audit"}</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2016__FDSAUDITLINK__" localSheetId="20" hidden="1">{"fdsup://Directions/FactSet Auditing Viewer?action=AUDIT_VALUE&amp;DB=129&amp;ID1=40377710&amp;VALUEID=13040&amp;SDATE=200602&amp;PERIODTYPE=QTR_STD&amp;window=popup_no_bar&amp;width=385&amp;height=120&amp;START_MAXIMIZED=FALSE&amp;creator=factset&amp;display_string=Audit"}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2017__FDSAUDITLINK__" localSheetId="20" hidden="1">{"fdsup://Directions/FactSet Auditing Viewer?action=AUDIT_VALUE&amp;DB=129&amp;ID1=40377710&amp;VALUEID=13040&amp;SDATE=200601&amp;PERIODTYPE=QTR_STD&amp;window=popup_no_bar&amp;width=385&amp;height=120&amp;START_MAXIMIZED=FALSE&amp;creator=factset&amp;display_string=Audit"}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localSheetId="1"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8__FDSAUDITLINK__" localSheetId="20"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2019__FDSAUDITLINK__" localSheetId="20" hidden="1">{"fdsup://Directions/FactSet Auditing Viewer?action=AUDIT_VALUE&amp;DB=129&amp;ID1=40377710&amp;VALUEID=13040&amp;SDATE=200603&amp;PERIODTYPE=QTR_STD&amp;window=popup_no_bar&amp;width=385&amp;height=120&amp;START_MAXIMIZED=FALSE&amp;creator=factset&amp;display_string=Audit"}</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202__FDSAUDITLINK__" localSheetId="20" hidden="1">{"fdsup://Directions/FactSet Auditing Viewer?action=AUDIT_VALUE&amp;DB=129&amp;ID1=53271610&amp;VALUEID=01001&amp;SDATE=200703&amp;PERIODTYPE=QTR_STD&amp;window=popup_no_bar&amp;width=385&amp;height=120&amp;START_MAXIMIZED=FALSE&amp;creator=factset&amp;display_string=Audit"}</definedName>
    <definedName name="_202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020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2020__FDSAUDITLINK__" localSheetId="20" hidden="1">{"fdsup://Directions/FactSet Auditing Viewer?action=AUDIT_VALUE&amp;DB=129&amp;ID1=40377710&amp;VALUEID=13040&amp;SDATE=200702&amp;PERIODTYPE=QTR_STD&amp;window=popup_no_bar&amp;width=385&amp;height=120&amp;START_MAXIMIZED=FALSE&amp;creator=factset&amp;display_string=Audit"}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2021__FDSAUDITLINK__" localSheetId="20" hidden="1">{"fdsup://Directions/FactSet Auditing Viewer?action=AUDIT_VALUE&amp;DB=129&amp;ID1=40377710&amp;VALUEID=13040&amp;SDATE=200701&amp;PERIODTYPE=QTR_STD&amp;window=popup_no_bar&amp;width=385&amp;height=120&amp;START_MAXIMIZED=FALSE&amp;creator=factset&amp;display_string=Audit"}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localSheetId="1"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2__FDSAUDITLINK__" localSheetId="20"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2023__FDSAUDITLINK__" localSheetId="20" hidden="1">{"fdsup://Directions/FactSet Auditing Viewer?action=AUDIT_VALUE&amp;DB=129&amp;ID1=40377710&amp;VALUEID=13040&amp;SDATE=200703&amp;PERIODTYPE=QTR_STD&amp;window=popup_no_bar&amp;width=385&amp;height=120&amp;START_MAXIMIZED=FALSE&amp;creator=factset&amp;display_string=Audit"}</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2024__FDSAUDITLINK__" localSheetId="20" hidden="1">{"fdsup://Directions/FactSet Auditing Viewer?action=AUDIT_VALUE&amp;DB=129&amp;ID1=40377710&amp;VALUEID=13040&amp;SDATE=200801&amp;PERIODTYPE=QTR_STD&amp;window=popup_no_bar&amp;width=385&amp;height=120&amp;START_MAXIMIZED=FALSE&amp;creator=factset&amp;display_string=Audit"}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2025__FDSAUDITLINK__" localSheetId="20" hidden="1">{"fdsup://Directions/FactSet Auditing Viewer?action=AUDIT_VALUE&amp;DB=129&amp;ID1=40377710&amp;VALUEID=13040&amp;SDATE=200704&amp;PERIODTYPE=QTR_STD&amp;window=popup_no_bar&amp;width=385&amp;height=120&amp;START_MAXIMIZED=FALSE&amp;creator=factset&amp;display_string=Audit"}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localSheetId="1"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6__FDSAUDITLINK__" localSheetId="20"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2027__FDSAUDITLINK__" localSheetId="20" hidden="1">{"fdsup://Directions/FactSet Auditing Viewer?action=AUDIT_VALUE&amp;DB=129&amp;ID1=40377710&amp;VALUEID=13040&amp;SDATE=200903&amp;PERIODTYPE=QTR_STD&amp;window=popup_no_bar&amp;width=385&amp;height=120&amp;START_MAXIMIZED=FALSE&amp;creator=factset&amp;display_string=Audit"}</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2028__FDSAUDITLINK__" localSheetId="20" hidden="1">{"fdsup://Directions/FactSet Auditing Viewer?action=AUDIT_VALUE&amp;DB=129&amp;ID1=40377710&amp;VALUEID=13040&amp;SDATE=200902&amp;PERIODTYPE=QTR_STD&amp;window=popup_no_bar&amp;width=385&amp;height=120&amp;START_MAXIMIZED=FALSE&amp;creator=factset&amp;display_string=Audit"}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localSheetId="1" hidden="1">{"fdsup://Directions/FactSet Auditing Viewer?action=AUDIT_VALUE&amp;DB=129&amp;ID1=58711810&amp;VALUEID=01001&amp;SDATE=200601&amp;PERIODTYPE=QTR_STD&amp;window=popup_no_bar&amp;width=385&amp;height=120&amp;START_MAXIMIZED=FALSE&amp;creator=factset&amp;display_string=Audit"}</definedName>
    <definedName name="_2029__FDSAUDITLINK__" localSheetId="20" hidden="1">{"fdsup://Directions/FactSet Auditing Viewer?action=AUDIT_VALUE&amp;DB=129&amp;ID1=58711810&amp;VALUEID=01001&amp;SDATE=200601&amp;PERIODTYPE=QTR_STD&amp;window=popup_no_bar&amp;width=385&amp;height=120&amp;START_MAXIMIZED=FALSE&amp;creator=factset&amp;display_string=Audit"}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203__FDSAUDITLINK__" localSheetId="20" hidden="1">{"fdsup://Directions/FactSet Auditing Viewer?action=AUDIT_VALUE&amp;DB=129&amp;ID1=53271610&amp;VALUEID=13040&amp;SDATE=200703&amp;PERIODTYPE=QTR_STD&amp;window=popup_no_bar&amp;width=385&amp;height=120&amp;START_MAXIMIZED=FALSE&amp;creator=factset&amp;display_string=Audit"}</definedName>
    <definedName name="_20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030__FDSAUDITLINK__" localSheetId="1" hidden="1">{"fdsup://Directions/FactSet Auditing Viewer?action=AUDIT_VALUE&amp;DB=129&amp;ID1=58711810&amp;VALUEID=02101&amp;SDATE=200601&amp;PERIODTYPE=QTR_STD&amp;window=popup_no_bar&amp;width=385&amp;height=120&amp;START_MAXIMIZED=FALSE&amp;creator=factset&amp;display_string=Audit"}</definedName>
    <definedName name="_2030__FDSAUDITLINK__" localSheetId="20" hidden="1">{"fdsup://Directions/FactSet Auditing Viewer?action=AUDIT_VALUE&amp;DB=129&amp;ID1=58711810&amp;VALUEID=02101&amp;SDATE=200601&amp;PERIODTYPE=QTR_STD&amp;window=popup_no_bar&amp;width=385&amp;height=120&amp;START_MAXIMIZED=FALSE&amp;creator=factset&amp;display_string=Audit"}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localSheetId="1" hidden="1">{"fdsup://Directions/FactSet Auditing Viewer?action=AUDIT_VALUE&amp;DB=129&amp;ID1=58711810&amp;VALUEID=01001&amp;SDATE=200602&amp;PERIODTYPE=QTR_STD&amp;window=popup_no_bar&amp;width=385&amp;height=120&amp;START_MAXIMIZED=FALSE&amp;creator=factset&amp;display_string=Audit"}</definedName>
    <definedName name="_2031__FDSAUDITLINK__" localSheetId="20" hidden="1">{"fdsup://Directions/FactSet Auditing Viewer?action=AUDIT_VALUE&amp;DB=129&amp;ID1=58711810&amp;VALUEID=01001&amp;SDATE=200602&amp;PERIODTYPE=QTR_STD&amp;window=popup_no_bar&amp;width=385&amp;height=120&amp;START_MAXIMIZED=FALSE&amp;creator=factset&amp;display_string=Audit"}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localSheetId="1" hidden="1">{"fdsup://Directions/FactSet Auditing Viewer?action=AUDIT_VALUE&amp;DB=129&amp;ID1=58711810&amp;VALUEID=02101&amp;SDATE=200602&amp;PERIODTYPE=QTR_STD&amp;window=popup_no_bar&amp;width=385&amp;height=120&amp;START_MAXIMIZED=FALSE&amp;creator=factset&amp;display_string=Audit"}</definedName>
    <definedName name="_2032__FDSAUDITLINK__" localSheetId="20" hidden="1">{"fdsup://Directions/FactSet Auditing Viewer?action=AUDIT_VALUE&amp;DB=129&amp;ID1=58711810&amp;VALUEID=02101&amp;SDATE=200602&amp;PERIODTYPE=QTR_STD&amp;window=popup_no_bar&amp;width=385&amp;height=120&amp;START_MAXIMIZED=FALSE&amp;creator=factset&amp;display_string=Audit"}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localSheetId="1" hidden="1">{"fdsup://Directions/FactSet Auditing Viewer?action=AUDIT_VALUE&amp;DB=129&amp;ID1=58711810&amp;VALUEID=01001&amp;SDATE=200603&amp;PERIODTYPE=QTR_STD&amp;window=popup_no_bar&amp;width=385&amp;height=120&amp;START_MAXIMIZED=FALSE&amp;creator=factset&amp;display_string=Audit"}</definedName>
    <definedName name="_2033__FDSAUDITLINK__" localSheetId="20" hidden="1">{"fdsup://Directions/FactSet Auditing Viewer?action=AUDIT_VALUE&amp;DB=129&amp;ID1=58711810&amp;VALUEID=01001&amp;SDATE=200603&amp;PERIODTYPE=QTR_STD&amp;window=popup_no_bar&amp;width=385&amp;height=120&amp;START_MAXIMIZED=FALSE&amp;creator=factset&amp;display_string=Audit"}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localSheetId="1" hidden="1">{"fdsup://Directions/FactSet Auditing Viewer?action=AUDIT_VALUE&amp;DB=129&amp;ID1=58711810&amp;VALUEID=02101&amp;SDATE=200603&amp;PERIODTYPE=QTR_STD&amp;window=popup_no_bar&amp;width=385&amp;height=120&amp;START_MAXIMIZED=FALSE&amp;creator=factset&amp;display_string=Audit"}</definedName>
    <definedName name="_2034__FDSAUDITLINK__" localSheetId="20" hidden="1">{"fdsup://Directions/FactSet Auditing Viewer?action=AUDIT_VALUE&amp;DB=129&amp;ID1=58711810&amp;VALUEID=02101&amp;SDATE=200603&amp;PERIODTYPE=QTR_STD&amp;window=popup_no_bar&amp;width=385&amp;height=120&amp;START_MAXIMIZED=FALSE&amp;creator=factset&amp;display_string=Audit"}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localSheetId="1" hidden="1">{"fdsup://Directions/FactSet Auditing Viewer?action=AUDIT_VALUE&amp;DB=129&amp;ID1=58711810&amp;VALUEID=01001&amp;SDATE=200604&amp;PERIODTYPE=QTR_STD&amp;window=popup_no_bar&amp;width=385&amp;height=120&amp;START_MAXIMIZED=FALSE&amp;creator=factset&amp;display_string=Audit"}</definedName>
    <definedName name="_2035__FDSAUDITLINK__" localSheetId="20" hidden="1">{"fdsup://Directions/FactSet Auditing Viewer?action=AUDIT_VALUE&amp;DB=129&amp;ID1=58711810&amp;VALUEID=01001&amp;SDATE=200604&amp;PERIODTYPE=QTR_STD&amp;window=popup_no_bar&amp;width=385&amp;height=120&amp;START_MAXIMIZED=FALSE&amp;creator=factset&amp;display_string=Audit"}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localSheetId="1" hidden="1">{"fdsup://Directions/FactSet Auditing Viewer?action=AUDIT_VALUE&amp;DB=129&amp;ID1=58711810&amp;VALUEID=01001&amp;SDATE=200701&amp;PERIODTYPE=QTR_STD&amp;window=popup_no_bar&amp;width=385&amp;height=120&amp;START_MAXIMIZED=FALSE&amp;creator=factset&amp;display_string=Audit"}</definedName>
    <definedName name="_2036__FDSAUDITLINK__" localSheetId="20" hidden="1">{"fdsup://Directions/FactSet Auditing Viewer?action=AUDIT_VALUE&amp;DB=129&amp;ID1=58711810&amp;VALUEID=01001&amp;SDATE=200701&amp;PERIODTYPE=QTR_STD&amp;window=popup_no_bar&amp;width=385&amp;height=120&amp;START_MAXIMIZED=FALSE&amp;creator=factset&amp;display_string=Audit"}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localSheetId="1" hidden="1">{"fdsup://Directions/FactSet Auditing Viewer?action=AUDIT_VALUE&amp;DB=129&amp;ID1=58711810&amp;VALUEID=02101&amp;SDATE=200701&amp;PERIODTYPE=QTR_STD&amp;window=popup_no_bar&amp;width=385&amp;height=120&amp;START_MAXIMIZED=FALSE&amp;creator=factset&amp;display_string=Audit"}</definedName>
    <definedName name="_2037__FDSAUDITLINK__" localSheetId="20" hidden="1">{"fdsup://Directions/FactSet Auditing Viewer?action=AUDIT_VALUE&amp;DB=129&amp;ID1=58711810&amp;VALUEID=02101&amp;SDATE=200701&amp;PERIODTYPE=QTR_STD&amp;window=popup_no_bar&amp;width=385&amp;height=120&amp;START_MAXIMIZED=FALSE&amp;creator=factset&amp;display_string=Audit"}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localSheetId="1" hidden="1">{"fdsup://Directions/FactSet Auditing Viewer?action=AUDIT_VALUE&amp;DB=129&amp;ID1=58711810&amp;VALUEID=01001&amp;SDATE=200702&amp;PERIODTYPE=QTR_STD&amp;window=popup_no_bar&amp;width=385&amp;height=120&amp;START_MAXIMIZED=FALSE&amp;creator=factset&amp;display_string=Audit"}</definedName>
    <definedName name="_2038__FDSAUDITLINK__" localSheetId="20" hidden="1">{"fdsup://Directions/FactSet Auditing Viewer?action=AUDIT_VALUE&amp;DB=129&amp;ID1=58711810&amp;VALUEID=01001&amp;SDATE=200702&amp;PERIODTYPE=QTR_STD&amp;window=popup_no_bar&amp;width=385&amp;height=120&amp;START_MAXIMIZED=FALSE&amp;creator=factset&amp;display_string=Audit"}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localSheetId="1" hidden="1">{"fdsup://Directions/FactSet Auditing Viewer?action=AUDIT_VALUE&amp;DB=129&amp;ID1=58711810&amp;VALUEID=02101&amp;SDATE=200702&amp;PERIODTYPE=QTR_STD&amp;window=popup_no_bar&amp;width=385&amp;height=120&amp;START_MAXIMIZED=FALSE&amp;creator=factset&amp;display_string=Audit"}</definedName>
    <definedName name="_2039__FDSAUDITLINK__" localSheetId="20" hidden="1">{"fdsup://Directions/FactSet Auditing Viewer?action=AUDIT_VALUE&amp;DB=129&amp;ID1=58711810&amp;VALUEID=02101&amp;SDATE=200702&amp;PERIODTYPE=QTR_STD&amp;window=popup_no_bar&amp;width=385&amp;height=120&amp;START_MAXIMIZED=FALSE&amp;creator=factset&amp;display_string=Audit"}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204__FDSAUDITLINK__" localSheetId="20" hidden="1">{"fdsup://Directions/FactSet Auditing Viewer?action=AUDIT_VALUE&amp;DB=129&amp;ID1=46612H40&amp;VALUEID=02101&amp;SDATE=200703&amp;PERIODTYPE=QTR_STD&amp;window=popup_no_bar&amp;width=385&amp;height=120&amp;START_MAXIMIZED=FALSE&amp;creator=factset&amp;display_string=Audit"}</definedName>
    <definedName name="_204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040__FDSAUDITLINK__" localSheetId="1" hidden="1">{"fdsup://Directions/FactSet Auditing Viewer?action=AUDIT_VALUE&amp;DB=129&amp;ID1=58711810&amp;VALUEID=01001&amp;SDATE=200703&amp;PERIODTYPE=QTR_STD&amp;window=popup_no_bar&amp;width=385&amp;height=120&amp;START_MAXIMIZED=FALSE&amp;creator=factset&amp;display_string=Audit"}</definedName>
    <definedName name="_2040__FDSAUDITLINK__" localSheetId="20" hidden="1">{"fdsup://Directions/FactSet Auditing Viewer?action=AUDIT_VALUE&amp;DB=129&amp;ID1=58711810&amp;VALUEID=01001&amp;SDATE=200703&amp;PERIODTYPE=QTR_STD&amp;window=popup_no_bar&amp;width=385&amp;height=120&amp;START_MAXIMIZED=FALSE&amp;creator=factset&amp;display_string=Audit"}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localSheetId="1" hidden="1">{"fdsup://Directions/FactSet Auditing Viewer?action=AUDIT_VALUE&amp;DB=129&amp;ID1=58711810&amp;VALUEID=02101&amp;SDATE=200703&amp;PERIODTYPE=QTR_STD&amp;window=popup_no_bar&amp;width=385&amp;height=120&amp;START_MAXIMIZED=FALSE&amp;creator=factset&amp;display_string=Audit"}</definedName>
    <definedName name="_2041__FDSAUDITLINK__" localSheetId="20" hidden="1">{"fdsup://Directions/FactSet Auditing Viewer?action=AUDIT_VALUE&amp;DB=129&amp;ID1=58711810&amp;VALUEID=02101&amp;SDATE=200703&amp;PERIODTYPE=QTR_STD&amp;window=popup_no_bar&amp;width=385&amp;height=120&amp;START_MAXIMIZED=FALSE&amp;creator=factset&amp;display_string=Audit"}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localSheetId="1" hidden="1">{"fdsup://Directions/FactSet Auditing Viewer?action=AUDIT_VALUE&amp;DB=129&amp;ID1=58711810&amp;VALUEID=01001&amp;SDATE=200704&amp;PERIODTYPE=QTR_STD&amp;window=popup_no_bar&amp;width=385&amp;height=120&amp;START_MAXIMIZED=FALSE&amp;creator=factset&amp;display_string=Audit"}</definedName>
    <definedName name="_2042__FDSAUDITLINK__" localSheetId="20" hidden="1">{"fdsup://Directions/FactSet Auditing Viewer?action=AUDIT_VALUE&amp;DB=129&amp;ID1=58711810&amp;VALUEID=01001&amp;SDATE=200704&amp;PERIODTYPE=QTR_STD&amp;window=popup_no_bar&amp;width=385&amp;height=120&amp;START_MAXIMIZED=FALSE&amp;creator=factset&amp;display_string=Audit"}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localSheetId="1" hidden="1">{"fdsup://Directions/FactSet Auditing Viewer?action=AUDIT_VALUE&amp;DB=129&amp;ID1=58711810&amp;VALUEID=01001&amp;SDATE=200801&amp;PERIODTYPE=QTR_STD&amp;window=popup_no_bar&amp;width=385&amp;height=120&amp;START_MAXIMIZED=FALSE&amp;creator=factset&amp;display_string=Audit"}</definedName>
    <definedName name="_2043__FDSAUDITLINK__" localSheetId="20" hidden="1">{"fdsup://Directions/FactSet Auditing Viewer?action=AUDIT_VALUE&amp;DB=129&amp;ID1=58711810&amp;VALUEID=01001&amp;SDATE=200801&amp;PERIODTYPE=QTR_STD&amp;window=popup_no_bar&amp;width=385&amp;height=120&amp;START_MAXIMIZED=FALSE&amp;creator=factset&amp;display_string=Audit"}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localSheetId="1" hidden="1">{"fdsup://Directions/FactSet Auditing Viewer?action=AUDIT_VALUE&amp;DB=129&amp;ID1=58711810&amp;VALUEID=02101&amp;SDATE=200801&amp;PERIODTYPE=QTR_STD&amp;window=popup_no_bar&amp;width=385&amp;height=120&amp;START_MAXIMIZED=FALSE&amp;creator=factset&amp;display_string=Audit"}</definedName>
    <definedName name="_2044__FDSAUDITLINK__" localSheetId="20" hidden="1">{"fdsup://Directions/FactSet Auditing Viewer?action=AUDIT_VALUE&amp;DB=129&amp;ID1=58711810&amp;VALUEID=02101&amp;SDATE=200801&amp;PERIODTYPE=QTR_STD&amp;window=popup_no_bar&amp;width=385&amp;height=120&amp;START_MAXIMIZED=FALSE&amp;creator=factset&amp;display_string=Audit"}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localSheetId="1" hidden="1">{"fdsup://Directions/FactSet Auditing Viewer?action=AUDIT_VALUE&amp;DB=129&amp;ID1=58711810&amp;VALUEID=01001&amp;SDATE=200802&amp;PERIODTYPE=QTR_STD&amp;window=popup_no_bar&amp;width=385&amp;height=120&amp;START_MAXIMIZED=FALSE&amp;creator=factset&amp;display_string=Audit"}</definedName>
    <definedName name="_2045__FDSAUDITLINK__" localSheetId="20" hidden="1">{"fdsup://Directions/FactSet Auditing Viewer?action=AUDIT_VALUE&amp;DB=129&amp;ID1=58711810&amp;VALUEID=01001&amp;SDATE=200802&amp;PERIODTYPE=QTR_STD&amp;window=popup_no_bar&amp;width=385&amp;height=120&amp;START_MAXIMIZED=FALSE&amp;creator=factset&amp;display_string=Audit"}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localSheetId="1" hidden="1">{"fdsup://Directions/FactSet Auditing Viewer?action=AUDIT_VALUE&amp;DB=129&amp;ID1=58711810&amp;VALUEID=02101&amp;SDATE=200802&amp;PERIODTYPE=QTR_STD&amp;window=popup_no_bar&amp;width=385&amp;height=120&amp;START_MAXIMIZED=FALSE&amp;creator=factset&amp;display_string=Audit"}</definedName>
    <definedName name="_2046__FDSAUDITLINK__" localSheetId="20" hidden="1">{"fdsup://Directions/FactSet Auditing Viewer?action=AUDIT_VALUE&amp;DB=129&amp;ID1=58711810&amp;VALUEID=02101&amp;SDATE=200802&amp;PERIODTYPE=QTR_STD&amp;window=popup_no_bar&amp;width=385&amp;height=120&amp;START_MAXIMIZED=FALSE&amp;creator=factset&amp;display_string=Audit"}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localSheetId="1" hidden="1">{"fdsup://Directions/FactSet Auditing Viewer?action=AUDIT_VALUE&amp;DB=129&amp;ID1=58711810&amp;VALUEID=01001&amp;SDATE=200803&amp;PERIODTYPE=QTR_STD&amp;window=popup_no_bar&amp;width=385&amp;height=120&amp;START_MAXIMIZED=FALSE&amp;creator=factset&amp;display_string=Audit"}</definedName>
    <definedName name="_2047__FDSAUDITLINK__" localSheetId="20" hidden="1">{"fdsup://Directions/FactSet Auditing Viewer?action=AUDIT_VALUE&amp;DB=129&amp;ID1=58711810&amp;VALUEID=01001&amp;SDATE=200803&amp;PERIODTYPE=QTR_STD&amp;window=popup_no_bar&amp;width=385&amp;height=120&amp;START_MAXIMIZED=FALSE&amp;creator=factset&amp;display_string=Audit"}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localSheetId="1" hidden="1">{"fdsup://Directions/FactSet Auditing Viewer?action=AUDIT_VALUE&amp;DB=129&amp;ID1=58711810&amp;VALUEID=02101&amp;SDATE=200803&amp;PERIODTYPE=QTR_STD&amp;window=popup_no_bar&amp;width=385&amp;height=120&amp;START_MAXIMIZED=FALSE&amp;creator=factset&amp;display_string=Audit"}</definedName>
    <definedName name="_2048__FDSAUDITLINK__" localSheetId="20" hidden="1">{"fdsup://Directions/FactSet Auditing Viewer?action=AUDIT_VALUE&amp;DB=129&amp;ID1=58711810&amp;VALUEID=02101&amp;SDATE=200803&amp;PERIODTYPE=QTR_STD&amp;window=popup_no_bar&amp;width=385&amp;height=120&amp;START_MAXIMIZED=FALSE&amp;creator=factset&amp;display_string=Audit"}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localSheetId="1" hidden="1">{"fdsup://Directions/FactSet Auditing Viewer?action=AUDIT_VALUE&amp;DB=129&amp;ID1=58711810&amp;VALUEID=01001&amp;SDATE=200804&amp;PERIODTYPE=QTR_STD&amp;window=popup_no_bar&amp;width=385&amp;height=120&amp;START_MAXIMIZED=FALSE&amp;creator=factset&amp;display_string=Audit"}</definedName>
    <definedName name="_2049__FDSAUDITLINK__" localSheetId="20" hidden="1">{"fdsup://Directions/FactSet Auditing Viewer?action=AUDIT_VALUE&amp;DB=129&amp;ID1=58711810&amp;VALUEID=01001&amp;SDATE=200804&amp;PERIODTYPE=QTR_STD&amp;window=popup_no_bar&amp;width=385&amp;height=120&amp;START_MAXIMIZED=FALSE&amp;creator=factset&amp;display_string=Audit"}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205__FDSAUDITLINK__" localSheetId="20" hidden="1">{"fdsup://Directions/FactSet Auditing Viewer?action=AUDIT_VALUE&amp;DB=129&amp;ID1=46612H40&amp;VALUEID=01001&amp;SDATE=200703&amp;PERIODTYPE=QTR_STD&amp;window=popup_no_bar&amp;width=385&amp;height=120&amp;START_MAXIMIZED=FALSE&amp;creator=factset&amp;display_string=Audit"}</definedName>
    <definedName name="_205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050__FDSAUDITLINK__" localSheetId="1" hidden="1">{"fdsup://Directions/FactSet Auditing Viewer?action=AUDIT_VALUE&amp;DB=129&amp;ID1=58711810&amp;VALUEID=01001&amp;SDATE=200902&amp;PERIODTYPE=QTR_STD&amp;window=popup_no_bar&amp;width=385&amp;height=120&amp;START_MAXIMIZED=FALSE&amp;creator=factset&amp;display_string=Audit"}</definedName>
    <definedName name="_2050__FDSAUDITLINK__" localSheetId="20" hidden="1">{"fdsup://Directions/FactSet Auditing Viewer?action=AUDIT_VALUE&amp;DB=129&amp;ID1=58711810&amp;VALUEID=01001&amp;SDATE=200902&amp;PERIODTYPE=QTR_STD&amp;window=popup_no_bar&amp;width=385&amp;height=120&amp;START_MAXIMIZED=FALSE&amp;creator=factset&amp;display_string=Audit"}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localSheetId="1" hidden="1">{"fdsup://Directions/FactSet Auditing Viewer?action=AUDIT_VALUE&amp;DB=129&amp;ID1=58711810&amp;VALUEID=02101&amp;SDATE=200902&amp;PERIODTYPE=QTR_STD&amp;window=popup_no_bar&amp;width=385&amp;height=120&amp;START_MAXIMIZED=FALSE&amp;creator=factset&amp;display_string=Audit"}</definedName>
    <definedName name="_2051__FDSAUDITLINK__" localSheetId="20" hidden="1">{"fdsup://Directions/FactSet Auditing Viewer?action=AUDIT_VALUE&amp;DB=129&amp;ID1=58711810&amp;VALUEID=02101&amp;SDATE=200902&amp;PERIODTYPE=QTR_STD&amp;window=popup_no_bar&amp;width=385&amp;height=120&amp;START_MAXIMIZED=FALSE&amp;creator=factset&amp;display_string=Audit"}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localSheetId="1" hidden="1">{"fdsup://Directions/FactSet Auditing Viewer?action=AUDIT_VALUE&amp;DB=129&amp;ID1=58711810&amp;VALUEID=01001&amp;SDATE=200903&amp;PERIODTYPE=QTR_STD&amp;window=popup_no_bar&amp;width=385&amp;height=120&amp;START_MAXIMIZED=FALSE&amp;creator=factset&amp;display_string=Audit"}</definedName>
    <definedName name="_2052__FDSAUDITLINK__" localSheetId="20" hidden="1">{"fdsup://Directions/FactSet Auditing Viewer?action=AUDIT_VALUE&amp;DB=129&amp;ID1=58711810&amp;VALUEID=01001&amp;SDATE=200903&amp;PERIODTYPE=QTR_STD&amp;window=popup_no_bar&amp;width=385&amp;height=120&amp;START_MAXIMIZED=FALSE&amp;creator=factset&amp;display_string=Audit"}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localSheetId="1" hidden="1">{"fdsup://Directions/FactSet Auditing Viewer?action=AUDIT_VALUE&amp;DB=129&amp;ID1=58711810&amp;VALUEID=02101&amp;SDATE=200903&amp;PERIODTYPE=QTR_STD&amp;window=popup_no_bar&amp;width=385&amp;height=120&amp;START_MAXIMIZED=FALSE&amp;creator=factset&amp;display_string=Audit"}</definedName>
    <definedName name="_2053__FDSAUDITLINK__" localSheetId="20" hidden="1">{"fdsup://Directions/FactSet Auditing Viewer?action=AUDIT_VALUE&amp;DB=129&amp;ID1=58711810&amp;VALUEID=02101&amp;SDATE=200903&amp;PERIODTYPE=QTR_STD&amp;window=popup_no_bar&amp;width=385&amp;height=120&amp;START_MAXIMIZED=FALSE&amp;creator=factset&amp;display_string=Audit"}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localSheetId="1" hidden="1">{"fdsup://Directions/FactSet Auditing Viewer?action=AUDIT_VALUE&amp;DB=129&amp;ID1=58711810&amp;VALUEID=01001&amp;SDATE=200904&amp;PERIODTYPE=QTR_STD&amp;window=popup_no_bar&amp;width=385&amp;height=120&amp;START_MAXIMIZED=FALSE&amp;creator=factset&amp;display_string=Audit"}</definedName>
    <definedName name="_2054__FDSAUDITLINK__" localSheetId="20" hidden="1">{"fdsup://Directions/FactSet Auditing Viewer?action=AUDIT_VALUE&amp;DB=129&amp;ID1=58711810&amp;VALUEID=01001&amp;SDATE=200904&amp;PERIODTYPE=QTR_STD&amp;window=popup_no_bar&amp;width=385&amp;height=120&amp;START_MAXIMIZED=FALSE&amp;creator=factset&amp;display_string=Audit"}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localSheetId="1" hidden="1">{"fdsup://Directions/FactSet Auditing Viewer?action=AUDIT_VALUE&amp;DB=129&amp;ID1=58711810&amp;VALUEID=01001&amp;SDATE=201001&amp;PERIODTYPE=QTR_STD&amp;window=popup_no_bar&amp;width=385&amp;height=120&amp;START_MAXIMIZED=FALSE&amp;creator=factset&amp;display_string=Audit"}</definedName>
    <definedName name="_2055__FDSAUDITLINK__" localSheetId="20" hidden="1">{"fdsup://Directions/FactSet Auditing Viewer?action=AUDIT_VALUE&amp;DB=129&amp;ID1=58711810&amp;VALUEID=01001&amp;SDATE=201001&amp;PERIODTYPE=QTR_STD&amp;window=popup_no_bar&amp;width=385&amp;height=120&amp;START_MAXIMIZED=FALSE&amp;creator=factset&amp;display_string=Audit"}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localSheetId="1" hidden="1">{"fdsup://Directions/FactSet Auditing Viewer?action=AUDIT_VALUE&amp;DB=129&amp;ID1=58711810&amp;VALUEID=02101&amp;SDATE=201001&amp;PERIODTYPE=QTR_STD&amp;window=popup_no_bar&amp;width=385&amp;height=120&amp;START_MAXIMIZED=FALSE&amp;creator=factset&amp;display_string=Audit"}</definedName>
    <definedName name="_2056__FDSAUDITLINK__" localSheetId="20" hidden="1">{"fdsup://Directions/FactSet Auditing Viewer?action=AUDIT_VALUE&amp;DB=129&amp;ID1=58711810&amp;VALUEID=02101&amp;SDATE=201001&amp;PERIODTYPE=QTR_STD&amp;window=popup_no_bar&amp;width=385&amp;height=120&amp;START_MAXIMIZED=FALSE&amp;creator=factset&amp;display_string=Audit"}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localSheetId="1"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7__FDSAUDITLINK__" localSheetId="20"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localSheetId="1"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8__FDSAUDITLINK__" localSheetId="20"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localSheetId="1"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59__FDSAUDITLINK__" localSheetId="20"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206__FDSAUDITLINK__" localSheetId="20" hidden="1">{"fdsup://Directions/FactSet Auditing Viewer?action=AUDIT_VALUE&amp;DB=129&amp;ID1=46612H40&amp;VALUEID=13040&amp;SDATE=200703&amp;PERIODTYPE=QTR_STD&amp;window=popup_no_bar&amp;width=385&amp;height=120&amp;START_MAXIMIZED=FALSE&amp;creator=factset&amp;display_string=Audit"}</definedName>
    <definedName name="_206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060__FDSAUDITLINK__" localSheetId="1"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0__FDSAUDITLINK__" localSheetId="20"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localSheetId="1"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1__FDSAUDITLINK__" localSheetId="20"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localSheetId="1"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2__FDSAUDITLINK__" localSheetId="20"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localSheetId="1"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3__FDSAUDITLINK__" localSheetId="20"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localSheetId="1"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4__FDSAUDITLINK__" localSheetId="20"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localSheetId="1"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5__FDSAUDITLINK__" localSheetId="20"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localSheetId="1"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6__FDSAUDITLINK__" localSheetId="20"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localSheetId="1"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7__FDSAUDITLINK__" localSheetId="20"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localSheetId="1"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8__FDSAUDITLINK__" localSheetId="20"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localSheetId="1"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69__FDSAUDITLINK__" localSheetId="20"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207__FDSAUDITLINK__" localSheetId="20" hidden="1">{"fdsup://Directions/FactSet Auditing Viewer?action=AUDIT_VALUE&amp;DB=129&amp;ID1=36476010&amp;VALUEID=02101&amp;SDATE=200703&amp;PERIODTYPE=QTR_STD&amp;window=popup_no_bar&amp;width=385&amp;height=120&amp;START_MAXIMIZED=FALSE&amp;creator=factset&amp;display_string=Audit"}</definedName>
    <definedName name="_207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070__FDSAUDITLINK__" localSheetId="1"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0__FDSAUDITLINK__" localSheetId="20"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localSheetId="1"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1__FDSAUDITLINK__" localSheetId="20"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localSheetId="1"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2__FDSAUDITLINK__" localSheetId="20"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localSheetId="1"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3__FDSAUDITLINK__" localSheetId="20"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localSheetId="1"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4__FDSAUDITLINK__" localSheetId="20"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localSheetId="1"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5__FDSAUDITLINK__" localSheetId="20"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localSheetId="1"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6__FDSAUDITLINK__" localSheetId="20"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localSheetId="1"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7__FDSAUDITLINK__" localSheetId="20"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localSheetId="1"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8__FDSAUDITLINK__" localSheetId="20"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localSheetId="1"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79__FDSAUDITLINK__" localSheetId="20"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208__FDSAUDITLINK__" localSheetId="20" hidden="1">{"fdsup://Directions/FactSet Auditing Viewer?action=AUDIT_VALUE&amp;DB=129&amp;ID1=36476010&amp;VALUEID=01001&amp;SDATE=200703&amp;PERIODTYPE=QTR_STD&amp;window=popup_no_bar&amp;width=385&amp;height=120&amp;START_MAXIMIZED=FALSE&amp;creator=factset&amp;display_string=Audit"}</definedName>
    <definedName name="_208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080__FDSAUDITLINK__" localSheetId="1"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0__FDSAUDITLINK__" localSheetId="20"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localSheetId="1"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1__FDSAUDITLINK__" localSheetId="20"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localSheetId="1"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2__FDSAUDITLINK__" localSheetId="20"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localSheetId="1"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3__FDSAUDITLINK__" localSheetId="20"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localSheetId="1" hidden="1">{"fdsup://Directions/FactSet Auditing Viewer?action=AUDIT_VALUE&amp;DB=129&amp;ID1=58711810&amp;VALUEID=13040&amp;SDATE=200702&amp;PERIODTYPE=QTR_STD&amp;window=popup_no_bar&amp;width=385&amp;height=120&amp;START_MAXIMIZED=FALSE&amp;creator=factset&amp;display_string=Audit"}</definedName>
    <definedName name="_2084__FDSAUDITLINK__" localSheetId="20" hidden="1">{"fdsup://Directions/FactSet Auditing Viewer?action=AUDIT_VALUE&amp;DB=129&amp;ID1=58711810&amp;VALUEID=13040&amp;SDATE=200702&amp;PERIODTYPE=QTR_STD&amp;window=popup_no_bar&amp;width=385&amp;height=120&amp;START_MAXIMIZED=FALSE&amp;creator=factset&amp;display_string=Audit"}</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localSheetId="1" hidden="1">{"fdsup://Directions/FactSet Auditing Viewer?action=AUDIT_VALUE&amp;DB=129&amp;ID1=58711810&amp;VALUEID=13040&amp;SDATE=200701&amp;PERIODTYPE=QTR_STD&amp;window=popup_no_bar&amp;width=385&amp;height=120&amp;START_MAXIMIZED=FALSE&amp;creator=factset&amp;display_string=Audit"}</definedName>
    <definedName name="_2085__FDSAUDITLINK__" localSheetId="20" hidden="1">{"fdsup://Directions/FactSet Auditing Viewer?action=AUDIT_VALUE&amp;DB=129&amp;ID1=58711810&amp;VALUEID=13040&amp;SDATE=200701&amp;PERIODTYPE=QTR_STD&amp;window=popup_no_bar&amp;width=385&amp;height=120&amp;START_MAXIMIZED=FALSE&amp;creator=factset&amp;display_string=Audit"}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localSheetId="1" hidden="1">{"fdsup://Directions/FactSet Auditing Viewer?action=AUDIT_VALUE&amp;DB=129&amp;ID1=58711810&amp;VALUEID=13040&amp;SDATE=200703&amp;PERIODTYPE=QTR_STD&amp;window=popup_no_bar&amp;width=385&amp;height=120&amp;START_MAXIMIZED=FALSE&amp;creator=factset&amp;display_string=Audit"}</definedName>
    <definedName name="_2086__FDSAUDITLINK__" localSheetId="20" hidden="1">{"fdsup://Directions/FactSet Auditing Viewer?action=AUDIT_VALUE&amp;DB=129&amp;ID1=58711810&amp;VALUEID=13040&amp;SDATE=200703&amp;PERIODTYPE=QTR_STD&amp;window=popup_no_bar&amp;width=385&amp;height=120&amp;START_MAXIMIZED=FALSE&amp;creator=factset&amp;display_string=Audit"}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localSheetId="1" hidden="1">{"fdsup://Directions/FactSet Auditing Viewer?action=AUDIT_VALUE&amp;DB=129&amp;ID1=58711810&amp;VALUEID=13040&amp;SDATE=200802&amp;PERIODTYPE=QTR_STD&amp;window=popup_no_bar&amp;width=385&amp;height=120&amp;START_MAXIMIZED=FALSE&amp;creator=factset&amp;display_string=Audit"}</definedName>
    <definedName name="_2087__FDSAUDITLINK__" localSheetId="20" hidden="1">{"fdsup://Directions/FactSet Auditing Viewer?action=AUDIT_VALUE&amp;DB=129&amp;ID1=58711810&amp;VALUEID=13040&amp;SDATE=200802&amp;PERIODTYPE=QTR_STD&amp;window=popup_no_bar&amp;width=385&amp;height=120&amp;START_MAXIMIZED=FALSE&amp;creator=factset&amp;display_string=Audit"}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localSheetId="1" hidden="1">{"fdsup://Directions/FactSet Auditing Viewer?action=AUDIT_VALUE&amp;DB=129&amp;ID1=58711810&amp;VALUEID=13040&amp;SDATE=200801&amp;PERIODTYPE=QTR_STD&amp;window=popup_no_bar&amp;width=385&amp;height=120&amp;START_MAXIMIZED=FALSE&amp;creator=factset&amp;display_string=Audit"}</definedName>
    <definedName name="_2088__FDSAUDITLINK__" localSheetId="20" hidden="1">{"fdsup://Directions/FactSet Auditing Viewer?action=AUDIT_VALUE&amp;DB=129&amp;ID1=58711810&amp;VALUEID=13040&amp;SDATE=200801&amp;PERIODTYPE=QTR_STD&amp;window=popup_no_bar&amp;width=385&amp;height=120&amp;START_MAXIMIZED=FALSE&amp;creator=factset&amp;display_string=Audit"}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localSheetId="1"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89__FDSAUDITLINK__" localSheetId="20"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209__FDSAUDITLINK__" localSheetId="20" hidden="1">{"fdsup://Directions/FactSet Auditing Viewer?action=AUDIT_VALUE&amp;DB=129&amp;ID1=36476010&amp;VALUEID=13040&amp;SDATE=200703&amp;PERIODTYPE=QTR_STD&amp;window=popup_no_bar&amp;width=385&amp;height=120&amp;START_MAXIMIZED=FALSE&amp;creator=factset&amp;display_string=Audit"}</definedName>
    <definedName name="_209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090__FDSAUDITLINK__" localSheetId="1" hidden="1">{"fdsup://Directions/FactSet Auditing Viewer?action=AUDIT_VALUE&amp;DB=129&amp;ID1=58711810&amp;VALUEID=13040&amp;SDATE=200803&amp;PERIODTYPE=QTR_STD&amp;window=popup_no_bar&amp;width=385&amp;height=120&amp;START_MAXIMIZED=FALSE&amp;creator=factset&amp;display_string=Audit"}</definedName>
    <definedName name="_2090__FDSAUDITLINK__" localSheetId="20" hidden="1">{"fdsup://Directions/FactSet Auditing Viewer?action=AUDIT_VALUE&amp;DB=129&amp;ID1=58711810&amp;VALUEID=13040&amp;SDATE=200803&amp;PERIODTYPE=QTR_STD&amp;window=popup_no_bar&amp;width=385&amp;height=120&amp;START_MAXIMIZED=FALSE&amp;creator=factset&amp;display_string=Audit"}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localSheetId="1" hidden="1">{"fdsup://Directions/FactSet Auditing Viewer?action=AUDIT_VALUE&amp;DB=129&amp;ID1=58711810&amp;VALUEID=13040&amp;SDATE=200902&amp;PERIODTYPE=QTR_STD&amp;window=popup_no_bar&amp;width=385&amp;height=120&amp;START_MAXIMIZED=FALSE&amp;creator=factset&amp;display_string=Audit"}</definedName>
    <definedName name="_2091__FDSAUDITLINK__" localSheetId="20" hidden="1">{"fdsup://Directions/FactSet Auditing Viewer?action=AUDIT_VALUE&amp;DB=129&amp;ID1=58711810&amp;VALUEID=13040&amp;SDATE=200902&amp;PERIODTYPE=QTR_STD&amp;window=popup_no_bar&amp;width=385&amp;height=120&amp;START_MAXIMIZED=FALSE&amp;creator=factset&amp;display_string=Audit"}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localSheetId="1"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2__FDSAUDITLINK__" localSheetId="20"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localSheetId="1" hidden="1">{"fdsup://Directions/FactSet Auditing Viewer?action=AUDIT_VALUE&amp;DB=129&amp;ID1=58711810&amp;VALUEID=13040&amp;SDATE=200903&amp;PERIODTYPE=QTR_STD&amp;window=popup_no_bar&amp;width=385&amp;height=120&amp;START_MAXIMIZED=FALSE&amp;creator=factset&amp;display_string=Audit"}</definedName>
    <definedName name="_2093__FDSAUDITLINK__" localSheetId="20" hidden="1">{"fdsup://Directions/FactSet Auditing Viewer?action=AUDIT_VALUE&amp;DB=129&amp;ID1=58711810&amp;VALUEID=13040&amp;SDATE=200903&amp;PERIODTYPE=QTR_STD&amp;window=popup_no_bar&amp;width=385&amp;height=120&amp;START_MAXIMIZED=FALSE&amp;creator=factset&amp;display_string=Audit"}</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localSheetId="1" hidden="1">{"fdsup://Directions/FactSet Auditing Viewer?action=AUDIT_VALUE&amp;DB=129&amp;ID1=58711810&amp;VALUEID=13040&amp;SDATE=200602&amp;PERIODTYPE=QTR_STD&amp;window=popup_no_bar&amp;width=385&amp;height=120&amp;START_MAXIMIZED=FALSE&amp;creator=factset&amp;display_string=Audit"}</definedName>
    <definedName name="_2094__FDSAUDITLINK__" localSheetId="20" hidden="1">{"fdsup://Directions/FactSet Auditing Viewer?action=AUDIT_VALUE&amp;DB=129&amp;ID1=58711810&amp;VALUEID=13040&amp;SDATE=200602&amp;PERIODTYPE=QTR_STD&amp;window=popup_no_bar&amp;width=385&amp;height=120&amp;START_MAXIMIZED=FALSE&amp;creator=factset&amp;display_string=Audit"}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localSheetId="1" hidden="1">{"fdsup://Directions/FactSet Auditing Viewer?action=AUDIT_VALUE&amp;DB=129&amp;ID1=58711810&amp;VALUEID=13040&amp;SDATE=200601&amp;PERIODTYPE=QTR_STD&amp;window=popup_no_bar&amp;width=385&amp;height=120&amp;START_MAXIMIZED=FALSE&amp;creator=factset&amp;display_string=Audit"}</definedName>
    <definedName name="_2095__FDSAUDITLINK__" localSheetId="20" hidden="1">{"fdsup://Directions/FactSet Auditing Viewer?action=AUDIT_VALUE&amp;DB=129&amp;ID1=58711810&amp;VALUEID=13040&amp;SDATE=200601&amp;PERIODTYPE=QTR_STD&amp;window=popup_no_bar&amp;width=385&amp;height=120&amp;START_MAXIMIZED=FALSE&amp;creator=factset&amp;display_string=Audit"}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localSheetId="1"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6__FDSAUDITLINK__" localSheetId="20"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localSheetId="1" hidden="1">{"fdsup://Directions/FactSet Auditing Viewer?action=AUDIT_VALUE&amp;DB=129&amp;ID1=58711810&amp;VALUEID=13040&amp;SDATE=200603&amp;PERIODTYPE=QTR_STD&amp;window=popup_no_bar&amp;width=385&amp;height=120&amp;START_MAXIMIZED=FALSE&amp;creator=factset&amp;display_string=Audit"}</definedName>
    <definedName name="_2097__FDSAUDITLINK__" localSheetId="20" hidden="1">{"fdsup://Directions/FactSet Auditing Viewer?action=AUDIT_VALUE&amp;DB=129&amp;ID1=58711810&amp;VALUEID=13040&amp;SDATE=200603&amp;PERIODTYPE=QTR_STD&amp;window=popup_no_bar&amp;width=385&amp;height=120&amp;START_MAXIMIZED=FALSE&amp;creator=factset&amp;display_string=Audit"}</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localSheetId="1"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8__FDSAUDITLINK__" localSheetId="20"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localSheetId="1" hidden="1">{"fdsup://Directions/FactSet Auditing Viewer?action=AUDIT_VALUE&amp;DB=129&amp;ID1=58711810&amp;VALUEID=13040&amp;SDATE=201001&amp;PERIODTYPE=QTR_STD&amp;window=popup_no_bar&amp;width=385&amp;height=120&amp;START_MAXIMIZED=FALSE&amp;creator=factset&amp;display_string=Audit"}</definedName>
    <definedName name="_2099__FDSAUDITLINK__" localSheetId="20" hidden="1">{"fdsup://Directions/FactSet Auditing Viewer?action=AUDIT_VALUE&amp;DB=129&amp;ID1=58711810&amp;VALUEID=13040&amp;SDATE=201001&amp;PERIODTYPE=QTR_STD&amp;window=popup_no_bar&amp;width=385&amp;height=120&amp;START_MAXIMIZED=FALSE&amp;creator=factset&amp;display_string=Audit"}</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localSheetId="1" hidden="1">{"fdsup://directions/FAT Viewer?action=UPDATE&amp;creator=factset&amp;DYN_ARGS=TRUE&amp;DOC_NAME=FAT:FQL_AUDITING_CLIENT_TEMPLATE.FAT&amp;display_string=Audit&amp;VAR:KEY=SPEXKPMFSV&amp;VAR:QUERY=RkZfRU5UUlBSX1ZBTF9FQklUREFfT1BFUihBTk4sMCk=&amp;WINDOW=FIRST_POPUP&amp;HEIGHT=450&amp;WIDTH=450&amp;","START_MAXIMIZED=FALSE&amp;VAR:CALENDAR=FIVEDAY&amp;VAR:SYMBOL=BKE&amp;VAR:INDEX=0"}</definedName>
    <definedName name="_21__FDSAUDITLINK__" localSheetId="20" hidden="1">{"fdsup://Directions/FactSet Auditing Viewer?action=AUDIT_VALUE&amp;DB=129&amp;ID1=87416110&amp;VALUEID=01001&amp;SDATE=200904&amp;PERIODTYPE=QTR_STD&amp;window=popup_no_bar&amp;width=385&amp;height=120&amp;START_MAXIMIZED=FALSE&amp;creator=factset&amp;display_string=Audit"}</definedName>
    <definedName name="_21__FDSAUDITLINK__" hidden="1">{"fdsup://directions/FAT Viewer?action=UPDATE&amp;creator=factset&amp;DYN_ARGS=TRUE&amp;DOC_NAME=FAT:FQL_AUDITING_CLIENT_TEMPLATE.FAT&amp;display_string=Audit&amp;VAR:KEY=SPEXKPMFSV&amp;VAR:QUERY=RkZfRU5UUlBSX1ZBTF9FQklUREFfT1BFUihBTk4sMCk=&amp;WINDOW=FIRST_POPUP&amp;HEIGHT=450&amp;WIDTH=450&amp;","START_MAXIMIZED=FALSE&amp;VAR:CALENDAR=FIVEDAY&amp;VAR:SYMBOL=BKE&amp;VAR:INDEX=0"}</definedName>
    <definedName name="_210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210__FDSAUDITLINK__" localSheetId="20" hidden="1">{"fdsup://Directions/FactSet Auditing Viewer?action=AUDIT_VALUE&amp;DB=129&amp;ID1=03611510&amp;VALUEID=02101&amp;SDATE=200703&amp;PERIODTYPE=QTR_STD&amp;window=popup_no_bar&amp;width=385&amp;height=120&amp;START_MAXIMIZED=FALSE&amp;creator=factset&amp;display_string=Audit"}</definedName>
    <definedName name="_210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00__FDSAUDITLINK__" localSheetId="1" hidden="1">{"fdsup://Directions/FactSet Auditing Viewer?action=AUDIT_VALUE&amp;DB=129&amp;ID1=58711810&amp;VALUEID=13040&amp;SDATE=200904&amp;PERIODTYPE=QTR_STD&amp;window=popup_no_bar&amp;width=385&amp;height=120&amp;START_MAXIMIZED=FALSE&amp;creator=factset&amp;display_string=Audit"}</definedName>
    <definedName name="_2100__FDSAUDITLINK__" localSheetId="20" hidden="1">{"fdsup://Directions/FactSet Auditing Viewer?action=AUDIT_VALUE&amp;DB=129&amp;ID1=58711810&amp;VALUEID=13040&amp;SDATE=200904&amp;PERIODTYPE=QTR_STD&amp;window=popup_no_bar&amp;width=385&amp;height=120&amp;START_MAXIMIZED=FALSE&amp;creator=factset&amp;display_string=Audit"}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localSheetId="1"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1__FDSAUDITLINK__" localSheetId="20"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2102__FDSAUDITLINK__" localSheetId="20" hidden="1">{"fdsup://Directions/FactSet Auditing Viewer?action=AUDIT_VALUE&amp;DB=129&amp;ID1=03611510&amp;VALUEID=13040&amp;SDATE=200501&amp;PERIODTYPE=QTR_STD&amp;window=popup_no_bar&amp;width=385&amp;height=120&amp;START_MAXIMIZED=FALSE&amp;creator=factset&amp;display_string=Audit"}</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2103__FDSAUDITLINK__" localSheetId="20" hidden="1">{"fdsup://Directions/FactSet Auditing Viewer?action=AUDIT_VALUE&amp;DB=129&amp;ID1=03611510&amp;VALUEID=13040&amp;SDATE=200502&amp;PERIODTYPE=QTR_STD&amp;window=popup_no_bar&amp;width=385&amp;height=120&amp;START_MAXIMIZED=FALSE&amp;creator=factset&amp;display_string=Audit"}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2104__FDSAUDITLINK__" localSheetId="20" hidden="1">{"fdsup://Directions/FactSet Auditing Viewer?action=AUDIT_VALUE&amp;DB=129&amp;ID1=03611510&amp;VALUEID=13040&amp;SDATE=200503&amp;PERIODTYPE=QTR_STD&amp;window=popup_no_bar&amp;width=385&amp;height=120&amp;START_MAXIMIZED=FALSE&amp;creator=factset&amp;display_string=Audit"}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2105__FDSAUDITLINK__" localSheetId="20" hidden="1">{"fdsup://Directions/FactSet Auditing Viewer?action=AUDIT_VALUE&amp;DB=129&amp;ID1=03611510&amp;VALUEID=13040&amp;SDATE=200601&amp;PERIODTYPE=QTR_STD&amp;window=popup_no_bar&amp;width=385&amp;height=120&amp;START_MAXIMIZED=FALSE&amp;creator=factset&amp;display_string=Audit"}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2106__FDSAUDITLINK__" localSheetId="20" hidden="1">{"fdsup://Directions/FactSet Auditing Viewer?action=AUDIT_VALUE&amp;DB=129&amp;ID1=03611510&amp;VALUEID=02101&amp;SDATE=200601&amp;PERIODTYPE=QTR_STD&amp;window=popup_no_bar&amp;width=385&amp;height=120&amp;START_MAXIMIZED=FALSE&amp;creator=factset&amp;display_string=Audit"}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2107__FDSAUDITLINK__" localSheetId="20" hidden="1">{"fdsup://Directions/FactSet Auditing Viewer?action=AUDIT_VALUE&amp;DB=129&amp;ID1=03611510&amp;VALUEID=13040&amp;SDATE=200602&amp;PERIODTYPE=QTR_STD&amp;window=popup_no_bar&amp;width=385&amp;height=120&amp;START_MAXIMIZED=FALSE&amp;creator=factset&amp;display_string=Audit"}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2108__FDSAUDITLINK__" localSheetId="20" hidden="1">{"fdsup://Directions/FactSet Auditing Viewer?action=AUDIT_VALUE&amp;DB=129&amp;ID1=03611510&amp;VALUEID=01001&amp;SDATE=200602&amp;PERIODTYPE=QTR_STD&amp;window=popup_no_bar&amp;width=385&amp;height=120&amp;START_MAXIMIZED=FALSE&amp;creator=factset&amp;display_string=Audit"}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2109__FDSAUDITLINK__" localSheetId="20" hidden="1">{"fdsup://Directions/FactSet Auditing Viewer?action=AUDIT_VALUE&amp;DB=129&amp;ID1=03611510&amp;VALUEID=02101&amp;SDATE=200602&amp;PERIODTYPE=QTR_STD&amp;window=popup_no_bar&amp;width=385&amp;height=120&amp;START_MAXIMIZED=FALSE&amp;creator=factset&amp;display_string=Audit"}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211__FDSAUDITLINK__" localSheetId="20" hidden="1">{"fdsup://Directions/FactSet Auditing Viewer?action=AUDIT_VALUE&amp;DB=129&amp;ID1=03611510&amp;VALUEID=01001&amp;SDATE=200703&amp;PERIODTYPE=QTR_STD&amp;window=popup_no_bar&amp;width=385&amp;height=120&amp;START_MAXIMIZED=FALSE&amp;creator=factset&amp;display_string=Audit"}</definedName>
    <definedName name="_21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10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2110__FDSAUDITLINK__" localSheetId="20" hidden="1">{"fdsup://Directions/FactSet Auditing Viewer?action=AUDIT_VALUE&amp;DB=129&amp;ID1=03611510&amp;VALUEID=13040&amp;SDATE=200603&amp;PERIODTYPE=QTR_STD&amp;window=popup_no_bar&amp;width=385&amp;height=120&amp;START_MAXIMIZED=FALSE&amp;creator=factset&amp;display_string=Audit"}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2111__FDSAUDITLINK__" localSheetId="20" hidden="1">{"fdsup://Directions/FactSet Auditing Viewer?action=AUDIT_VALUE&amp;DB=129&amp;ID1=03611510&amp;VALUEID=01001&amp;SDATE=200603&amp;PERIODTYPE=QTR_STD&amp;window=popup_no_bar&amp;width=385&amp;height=120&amp;START_MAXIMIZED=FALSE&amp;creator=factset&amp;display_string=Audit"}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2112__FDSAUDITLINK__" localSheetId="20" hidden="1">{"fdsup://Directions/FactSet Auditing Viewer?action=AUDIT_VALUE&amp;DB=129&amp;ID1=03611510&amp;VALUEID=02101&amp;SDATE=200603&amp;PERIODTYPE=QTR_STD&amp;window=popup_no_bar&amp;width=385&amp;height=120&amp;START_MAXIMIZED=FALSE&amp;creator=factset&amp;display_string=Audit"}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2113__FDSAUDITLINK__" localSheetId="20" hidden="1">{"fdsup://Directions/FactSet Auditing Viewer?action=AUDIT_VALUE&amp;DB=129&amp;ID1=03611510&amp;VALUEID=01001&amp;SDATE=200604&amp;PERIODTYPE=QTR_STD&amp;window=popup_no_bar&amp;width=385&amp;height=120&amp;START_MAXIMIZED=FALSE&amp;creator=factset&amp;display_string=Audit"}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2114__FDSAUDITLINK__" localSheetId="20" hidden="1">{"fdsup://Directions/FactSet Auditing Viewer?action=AUDIT_VALUE&amp;DB=129&amp;ID1=03611510&amp;VALUEID=13040&amp;SDATE=200701&amp;PERIODTYPE=QTR_STD&amp;window=popup_no_bar&amp;width=385&amp;height=120&amp;START_MAXIMIZED=FALSE&amp;creator=factset&amp;display_string=Audit"}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2115__FDSAUDITLINK__" localSheetId="20" hidden="1">{"fdsup://Directions/FactSet Auditing Viewer?action=AUDIT_VALUE&amp;DB=129&amp;ID1=03611510&amp;VALUEID=01001&amp;SDATE=200701&amp;PERIODTYPE=QTR_STD&amp;window=popup_no_bar&amp;width=385&amp;height=120&amp;START_MAXIMIZED=FALSE&amp;creator=factset&amp;display_string=Audit"}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2116__FDSAUDITLINK__" localSheetId="20" hidden="1">{"fdsup://Directions/FactSet Auditing Viewer?action=AUDIT_VALUE&amp;DB=129&amp;ID1=03611510&amp;VALUEID=02101&amp;SDATE=200701&amp;PERIODTYPE=QTR_STD&amp;window=popup_no_bar&amp;width=385&amp;height=120&amp;START_MAXIMIZED=FALSE&amp;creator=factset&amp;display_string=Audit"}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2117__FDSAUDITLINK__" localSheetId="20" hidden="1">{"fdsup://Directions/FactSet Auditing Viewer?action=AUDIT_VALUE&amp;DB=129&amp;ID1=03611510&amp;VALUEID=13040&amp;SDATE=200702&amp;PERIODTYPE=QTR_STD&amp;window=popup_no_bar&amp;width=385&amp;height=120&amp;START_MAXIMIZED=FALSE&amp;creator=factset&amp;display_string=Audit"}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2118__FDSAUDITLINK__" localSheetId="20" hidden="1">{"fdsup://Directions/FactSet Auditing Viewer?action=AUDIT_VALUE&amp;DB=129&amp;ID1=03611510&amp;VALUEID=01001&amp;SDATE=200702&amp;PERIODTYPE=QTR_STD&amp;window=popup_no_bar&amp;width=385&amp;height=120&amp;START_MAXIMIZED=FALSE&amp;creator=factset&amp;display_string=Audit"}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2119__FDSAUDITLINK__" localSheetId="20" hidden="1">{"fdsup://Directions/FactSet Auditing Viewer?action=AUDIT_VALUE&amp;DB=129&amp;ID1=03611510&amp;VALUEID=02101&amp;SDATE=200702&amp;PERIODTYPE=QTR_STD&amp;window=popup_no_bar&amp;width=385&amp;height=120&amp;START_MAXIMIZED=FALSE&amp;creator=factset&amp;display_string=Audit"}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212__FDSAUDITLINK__" localSheetId="20" hidden="1">{"fdsup://Directions/FactSet Auditing Viewer?action=AUDIT_VALUE&amp;DB=129&amp;ID1=03611510&amp;VALUEID=13040&amp;SDATE=200703&amp;PERIODTYPE=QTR_STD&amp;window=popup_no_bar&amp;width=385&amp;height=120&amp;START_MAXIMIZED=FALSE&amp;creator=factset&amp;display_string=Audit"}</definedName>
    <definedName name="_212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localSheetId="20"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2121__FDSAUDITLINK__" localSheetId="20" hidden="1">{"fdsup://Directions/FactSet Auditing Viewer?action=AUDIT_VALUE&amp;DB=129&amp;ID1=03611510&amp;VALUEID=01001&amp;SDATE=200703&amp;PERIODTYPE=QTR_STD&amp;window=popup_no_bar&amp;width=385&amp;height=120&amp;START_MAXIMIZED=FALSE&amp;creator=factset&amp;display_string=Audit"}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2122__FDSAUDITLINK__" localSheetId="20" hidden="1">{"fdsup://Directions/FactSet Auditing Viewer?action=AUDIT_VALUE&amp;DB=129&amp;ID1=03611510&amp;VALUEID=02101&amp;SDATE=200703&amp;PERIODTYPE=QTR_STD&amp;window=popup_no_bar&amp;width=385&amp;height=120&amp;START_MAXIMIZED=FALSE&amp;creator=factset&amp;display_string=Audit"}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2123__FDSAUDITLINK__" localSheetId="20" hidden="1">{"fdsup://Directions/FactSet Auditing Viewer?action=AUDIT_VALUE&amp;DB=129&amp;ID1=03611510&amp;VALUEID=13040&amp;SDATE=200704&amp;PERIODTYPE=QTR_STD&amp;window=popup_no_bar&amp;width=385&amp;height=120&amp;START_MAXIMIZED=FALSE&amp;creator=factset&amp;display_string=Audit"}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2124__FDSAUDITLINK__" localSheetId="20" hidden="1">{"fdsup://Directions/FactSet Auditing Viewer?action=AUDIT_VALUE&amp;DB=129&amp;ID1=03611510&amp;VALUEID=01001&amp;SDATE=200704&amp;PERIODTYPE=QTR_STD&amp;window=popup_no_bar&amp;width=385&amp;height=120&amp;START_MAXIMIZED=FALSE&amp;creator=factset&amp;display_string=Audit"}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2125__FDSAUDITLINK__" localSheetId="20" hidden="1">{"fdsup://Directions/FactSet Auditing Viewer?action=AUDIT_VALUE&amp;DB=129&amp;ID1=03611510&amp;VALUEID=13040&amp;SDATE=200801&amp;PERIODTYPE=QTR_STD&amp;window=popup_no_bar&amp;width=385&amp;height=120&amp;START_MAXIMIZED=FALSE&amp;creator=factset&amp;display_string=Audit"}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2126__FDSAUDITLINK__" localSheetId="20" hidden="1">{"fdsup://Directions/FactSet Auditing Viewer?action=AUDIT_VALUE&amp;DB=129&amp;ID1=03611510&amp;VALUEID=01001&amp;SDATE=200801&amp;PERIODTYPE=QTR_STD&amp;window=popup_no_bar&amp;width=385&amp;height=120&amp;START_MAXIMIZED=FALSE&amp;creator=factset&amp;display_string=Audit"}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2127__FDSAUDITLINK__" localSheetId="20" hidden="1">{"fdsup://Directions/FactSet Auditing Viewer?action=AUDIT_VALUE&amp;DB=129&amp;ID1=03611510&amp;VALUEID=02101&amp;SDATE=200801&amp;PERIODTYPE=QTR_STD&amp;window=popup_no_bar&amp;width=385&amp;height=120&amp;START_MAXIMIZED=FALSE&amp;creator=factset&amp;display_string=Audit"}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2128__FDSAUDITLINK__" localSheetId="20" hidden="1">{"fdsup://Directions/FactSet Auditing Viewer?action=AUDIT_VALUE&amp;DB=129&amp;ID1=03611510&amp;VALUEID=01001&amp;SDATE=200802&amp;PERIODTYPE=QTR_STD&amp;window=popup_no_bar&amp;width=385&amp;height=120&amp;START_MAXIMIZED=FALSE&amp;creator=factset&amp;display_string=Audit"}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2129__FDSAUDITLINK__" localSheetId="20" hidden="1">{"fdsup://Directions/FactSet Auditing Viewer?action=AUDIT_VALUE&amp;DB=129&amp;ID1=03611510&amp;VALUEID=02101&amp;SDATE=200802&amp;PERIODTYPE=QTR_STD&amp;window=popup_no_bar&amp;width=385&amp;height=120&amp;START_MAXIMIZED=FALSE&amp;creator=factset&amp;display_string=Audit"}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213__FDSAUDITLINK__" localSheetId="20" hidden="1">{"fdsup://Directions/FactSet Auditing Viewer?action=AUDIT_VALUE&amp;DB=129&amp;ID1=16890510&amp;VALUEID=02101&amp;SDATE=200703&amp;PERIODTYPE=QTR_STD&amp;window=popup_no_bar&amp;width=385&amp;height=120&amp;START_MAXIMIZED=FALSE&amp;creator=factset&amp;display_string=Audit"}</definedName>
    <definedName name="_213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130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2130__FDSAUDITLINK__" localSheetId="20" hidden="1">{"fdsup://Directions/FactSet Auditing Viewer?action=AUDIT_VALUE&amp;DB=129&amp;ID1=03611510&amp;VALUEID=01001&amp;SDATE=200803&amp;PERIODTYPE=QTR_STD&amp;window=popup_no_bar&amp;width=385&amp;height=120&amp;START_MAXIMIZED=FALSE&amp;creator=factset&amp;display_string=Audit"}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2131__FDSAUDITLINK__" localSheetId="20" hidden="1">{"fdsup://Directions/FactSet Auditing Viewer?action=AUDIT_VALUE&amp;DB=129&amp;ID1=03611510&amp;VALUEID=02101&amp;SDATE=200803&amp;PERIODTYPE=QTR_STD&amp;window=popup_no_bar&amp;width=385&amp;height=120&amp;START_MAXIMIZED=FALSE&amp;creator=factset&amp;display_string=Audit"}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2132__FDSAUDITLINK__" localSheetId="20" hidden="1">{"fdsup://Directions/FactSet Auditing Viewer?action=AUDIT_VALUE&amp;DB=129&amp;ID1=03611510&amp;VALUEID=01001&amp;SDATE=200804&amp;PERIODTYPE=QTR_STD&amp;window=popup_no_bar&amp;width=385&amp;height=120&amp;START_MAXIMIZED=FALSE&amp;creator=factset&amp;display_string=Audit"}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2133__FDSAUDITLINK__" localSheetId="20" hidden="1">{"fdsup://Directions/FactSet Auditing Viewer?action=AUDIT_VALUE&amp;DB=129&amp;ID1=03611510&amp;VALUEID=01001&amp;SDATE=200901&amp;PERIODTYPE=QTR_STD&amp;window=popup_no_bar&amp;width=385&amp;height=120&amp;START_MAXIMIZED=FALSE&amp;creator=factset&amp;display_string=Audit"}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2134__FDSAUDITLINK__" localSheetId="20" hidden="1">{"fdsup://Directions/FactSet Auditing Viewer?action=AUDIT_VALUE&amp;DB=129&amp;ID1=03611510&amp;VALUEID=02101&amp;SDATE=200901&amp;PERIODTYPE=QTR_STD&amp;window=popup_no_bar&amp;width=385&amp;height=120&amp;START_MAXIMIZED=FALSE&amp;creator=factset&amp;display_string=Audit"}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2135__FDSAUDITLINK__" localSheetId="20" hidden="1">{"fdsup://Directions/FactSet Auditing Viewer?action=AUDIT_VALUE&amp;DB=129&amp;ID1=03611510&amp;VALUEID=13040&amp;SDATE=200902&amp;PERIODTYPE=QTR_STD&amp;window=popup_no_bar&amp;width=385&amp;height=120&amp;START_MAXIMIZED=FALSE&amp;creator=factset&amp;display_string=Audit"}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2136__FDSAUDITLINK__" localSheetId="20" hidden="1">{"fdsup://Directions/FactSet Auditing Viewer?action=AUDIT_VALUE&amp;DB=129&amp;ID1=03611510&amp;VALUEID=01001&amp;SDATE=200902&amp;PERIODTYPE=QTR_STD&amp;window=popup_no_bar&amp;width=385&amp;height=120&amp;START_MAXIMIZED=FALSE&amp;creator=factset&amp;display_string=Audit"}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2137__FDSAUDITLINK__" localSheetId="20" hidden="1">{"fdsup://Directions/FactSet Auditing Viewer?action=AUDIT_VALUE&amp;DB=129&amp;ID1=03611510&amp;VALUEID=02101&amp;SDATE=200902&amp;PERIODTYPE=QTR_STD&amp;window=popup_no_bar&amp;width=385&amp;height=120&amp;START_MAXIMIZED=FALSE&amp;creator=factset&amp;display_string=Audit"}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2138__FDSAUDITLINK__" localSheetId="20" hidden="1">{"fdsup://Directions/FactSet Auditing Viewer?action=AUDIT_VALUE&amp;DB=129&amp;ID1=03611510&amp;VALUEID=13040&amp;SDATE=200903&amp;PERIODTYPE=QTR_STD&amp;window=popup_no_bar&amp;width=385&amp;height=120&amp;START_MAXIMIZED=FALSE&amp;creator=factset&amp;display_string=Audit"}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2139__FDSAUDITLINK__" localSheetId="20" hidden="1">{"fdsup://Directions/FactSet Auditing Viewer?action=AUDIT_VALUE&amp;DB=129&amp;ID1=03611510&amp;VALUEID=01001&amp;SDATE=200903&amp;PERIODTYPE=QTR_STD&amp;window=popup_no_bar&amp;width=385&amp;height=120&amp;START_MAXIMIZED=FALSE&amp;creator=factset&amp;display_string=Audit"}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214__FDSAUDITLINK__" localSheetId="20" hidden="1">{"fdsup://Directions/FactSet Auditing Viewer?action=AUDIT_VALUE&amp;DB=129&amp;ID1=16890510&amp;VALUEID=01001&amp;SDATE=200703&amp;PERIODTYPE=QTR_STD&amp;window=popup_no_bar&amp;width=385&amp;height=120&amp;START_MAXIMIZED=FALSE&amp;creator=factset&amp;display_string=Audit"}</definedName>
    <definedName name="_214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140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2140__FDSAUDITLINK__" localSheetId="20" hidden="1">{"fdsup://Directions/FactSet Auditing Viewer?action=AUDIT_VALUE&amp;DB=129&amp;ID1=03611510&amp;VALUEID=02101&amp;SDATE=200903&amp;PERIODTYPE=QTR_STD&amp;window=popup_no_bar&amp;width=385&amp;height=120&amp;START_MAXIMIZED=FALSE&amp;creator=factset&amp;display_string=Audit"}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2141__FDSAUDITLINK__" localSheetId="20" hidden="1">{"fdsup://Directions/FactSet Auditing Viewer?action=AUDIT_VALUE&amp;DB=129&amp;ID1=03611510&amp;VALUEID=01001&amp;SDATE=200904&amp;PERIODTYPE=QTR_STD&amp;window=popup_no_bar&amp;width=385&amp;height=120&amp;START_MAXIMIZED=FALSE&amp;creator=factset&amp;display_string=Audit"}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2142__FDSAUDITLINK__" localSheetId="20" hidden="1">{"fdsup://Directions/FactSet Auditing Viewer?action=AUDIT_VALUE&amp;DB=129&amp;ID1=03611510&amp;VALUEID=13040&amp;SDATE=201001&amp;PERIODTYPE=QTR_STD&amp;window=popup_no_bar&amp;width=385&amp;height=120&amp;START_MAXIMIZED=FALSE&amp;creator=factset&amp;display_string=Audit"}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2143__FDSAUDITLINK__" localSheetId="20" hidden="1">{"fdsup://Directions/FactSet Auditing Viewer?action=AUDIT_VALUE&amp;DB=129&amp;ID1=03611510&amp;VALUEID=01001&amp;SDATE=201001&amp;PERIODTYPE=QTR_STD&amp;window=popup_no_bar&amp;width=385&amp;height=120&amp;START_MAXIMIZED=FALSE&amp;creator=factset&amp;display_string=Audit"}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2144__FDSAUDITLINK__" localSheetId="20" hidden="1">{"fdsup://Directions/FactSet Auditing Viewer?action=AUDIT_VALUE&amp;DB=129&amp;ID1=03611510&amp;VALUEID=02101&amp;SDATE=201001&amp;PERIODTYPE=QTR_STD&amp;window=popup_no_bar&amp;width=385&amp;height=120&amp;START_MAXIMIZED=FALSE&amp;creator=factset&amp;display_string=Audit"}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localSheetId="1" hidden="1">{"fdsup://Directions/FactSet Auditing Viewer?action=AUDIT_VALUE&amp;DB=129&amp;ID1=87416110&amp;VALUEID=02101&amp;SDATE=201001&amp;PERIODTYPE=QTR_STD&amp;window=popup_no_bar&amp;width=385&amp;height=120&amp;START_MAXIMIZED=FALSE&amp;creator=factset&amp;display_string=Audit"}</definedName>
    <definedName name="_2145__FDSAUDITLINK__" localSheetId="20" hidden="1">{"fdsup://Directions/FactSet Auditing Viewer?action=AUDIT_VALUE&amp;DB=129&amp;ID1=87416110&amp;VALUEID=02101&amp;SDATE=201001&amp;PERIODTYPE=QTR_STD&amp;window=popup_no_bar&amp;width=385&amp;height=120&amp;START_MAXIMIZED=FALSE&amp;creator=factset&amp;display_string=Audit"}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localSheetId="1" hidden="1">{"fdsup://Directions/FactSet Auditing Viewer?action=AUDIT_VALUE&amp;DB=129&amp;ID1=87416110&amp;VALUEID=13040&amp;SDATE=201001&amp;PERIODTYPE=QTR_STD&amp;window=popup_no_bar&amp;width=385&amp;height=120&amp;START_MAXIMIZED=FALSE&amp;creator=factset&amp;display_string=Audit"}</definedName>
    <definedName name="_2146__FDSAUDITLINK__" localSheetId="20" hidden="1">{"fdsup://Directions/FactSet Auditing Viewer?action=AUDIT_VALUE&amp;DB=129&amp;ID1=87416110&amp;VALUEID=13040&amp;SDATE=201001&amp;PERIODTYPE=QTR_STD&amp;window=popup_no_bar&amp;width=385&amp;height=120&amp;START_MAXIMIZED=FALSE&amp;creator=factset&amp;display_string=Audit"}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localSheetId="1"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7__FDSAUDITLINK__" localSheetId="20"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2148__FDSAUDITLINK__" localSheetId="20" hidden="1">{"fdsup://Directions/FactSet Auditing Viewer?action=AUDIT_VALUE&amp;DB=129&amp;ID1=53271610&amp;VALUEID=02101&amp;SDATE=201001&amp;PERIODTYPE=QTR_STD&amp;window=popup_no_bar&amp;width=385&amp;height=120&amp;START_MAXIMIZED=FALSE&amp;creator=factset&amp;display_string=Audit"}</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2149__FDSAUDITLINK__" localSheetId="20" hidden="1">{"fdsup://Directions/FactSet Auditing Viewer?action=AUDIT_VALUE&amp;DB=129&amp;ID1=53271610&amp;VALUEID=13040&amp;SDATE=201001&amp;PERIODTYPE=QTR_STD&amp;window=popup_no_bar&amp;width=385&amp;height=120&amp;START_MAXIMIZED=FALSE&amp;creator=factset&amp;display_string=Audit"}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215__FDSAUDITLINK__" localSheetId="20" hidden="1">{"fdsup://Directions/FactSet Auditing Viewer?action=AUDIT_VALUE&amp;DB=129&amp;ID1=91704710&amp;VALUEID=02101&amp;SDATE=200703&amp;PERIODTYPE=QTR_STD&amp;window=popup_no_bar&amp;width=385&amp;height=120&amp;START_MAXIMIZED=FALSE&amp;creator=factset&amp;display_string=Audit"}</definedName>
    <definedName name="_215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150__FDSAUDITLINK__" localSheetId="1" hidden="1">{"fdsup://Directions/FactSet Auditing Viewer?action=AUDIT_VALUE&amp;DB=129&amp;ID1=46612H40&amp;VALUEID=02101&amp;SDATE=201001&amp;PERIODTYPE=QTR_STD&amp;window=popup_no_bar&amp;width=385&amp;height=120&amp;START_MAXIMIZED=FALSE&amp;creator=factset&amp;display_string=Audit"}</definedName>
    <definedName name="_2150__FDSAUDITLINK__" localSheetId="20" hidden="1">{"fdsup://Directions/FactSet Auditing Viewer?action=AUDIT_VALUE&amp;DB=129&amp;ID1=46612H40&amp;VALUEID=02101&amp;SDATE=201001&amp;PERIODTYPE=QTR_STD&amp;window=popup_no_bar&amp;width=385&amp;height=120&amp;START_MAXIMIZED=FALSE&amp;creator=factset&amp;display_string=Audit"}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localSheetId="1" hidden="1">{"fdsup://Directions/FactSet Auditing Viewer?action=AUDIT_VALUE&amp;DB=129&amp;ID1=46612H40&amp;VALUEID=13040&amp;SDATE=201001&amp;PERIODTYPE=QTR_STD&amp;window=popup_no_bar&amp;width=385&amp;height=120&amp;START_MAXIMIZED=FALSE&amp;creator=factset&amp;display_string=Audit"}</definedName>
    <definedName name="_2151__FDSAUDITLINK__" localSheetId="20" hidden="1">{"fdsup://Directions/FactSet Auditing Viewer?action=AUDIT_VALUE&amp;DB=129&amp;ID1=46612H40&amp;VALUEID=13040&amp;SDATE=201001&amp;PERIODTYPE=QTR_STD&amp;window=popup_no_bar&amp;width=385&amp;height=120&amp;START_MAXIMIZED=FALSE&amp;creator=factset&amp;display_string=Audit"}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localSheetId="1" hidden="1">{"fdsup://Directions/FactSet Auditing Viewer?action=AUDIT_VALUE&amp;DB=129&amp;ID1=36476010&amp;VALUEID=02101&amp;SDATE=201001&amp;PERIODTYPE=QTR_STD&amp;window=popup_no_bar&amp;width=385&amp;height=120&amp;START_MAXIMIZED=FALSE&amp;creator=factset&amp;display_string=Audit"}</definedName>
    <definedName name="_2152__FDSAUDITLINK__" localSheetId="20" hidden="1">{"fdsup://Directions/FactSet Auditing Viewer?action=AUDIT_VALUE&amp;DB=129&amp;ID1=36476010&amp;VALUEID=02101&amp;SDATE=201001&amp;PERIODTYPE=QTR_STD&amp;window=popup_no_bar&amp;width=385&amp;height=120&amp;START_MAXIMIZED=FALSE&amp;creator=factset&amp;display_string=Audit"}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localSheetId="1" hidden="1">{"fdsup://Directions/FactSet Auditing Viewer?action=AUDIT_VALUE&amp;DB=129&amp;ID1=36476010&amp;VALUEID=13040&amp;SDATE=201001&amp;PERIODTYPE=QTR_STD&amp;window=popup_no_bar&amp;width=385&amp;height=120&amp;START_MAXIMIZED=FALSE&amp;creator=factset&amp;display_string=Audit"}</definedName>
    <definedName name="_2153__FDSAUDITLINK__" localSheetId="20" hidden="1">{"fdsup://Directions/FactSet Auditing Viewer?action=AUDIT_VALUE&amp;DB=129&amp;ID1=36476010&amp;VALUEID=13040&amp;SDATE=201001&amp;PERIODTYPE=QTR_STD&amp;window=popup_no_bar&amp;width=385&amp;height=120&amp;START_MAXIMIZED=FALSE&amp;creator=factset&amp;display_string=Audit"}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2154__FDSAUDITLINK__" localSheetId="20" hidden="1">{"fdsup://Directions/FactSet Auditing Viewer?action=AUDIT_VALUE&amp;DB=129&amp;ID1=03611510&amp;VALUEID=02101&amp;SDATE=201001&amp;PERIODTYPE=QTR_STD&amp;window=popup_no_bar&amp;width=385&amp;height=120&amp;START_MAXIMIZED=FALSE&amp;creator=factset&amp;display_string=Audit"}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2155__FDSAUDITLINK__" localSheetId="20" hidden="1">{"fdsup://Directions/FactSet Auditing Viewer?action=AUDIT_VALUE&amp;DB=129&amp;ID1=03611510&amp;VALUEID=13040&amp;SDATE=201001&amp;PERIODTYPE=QTR_STD&amp;window=popup_no_bar&amp;width=385&amp;height=120&amp;START_MAXIMIZED=FALSE&amp;creator=factset&amp;display_string=Audit"}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2156__FDSAUDITLINK__" localSheetId="20" hidden="1">{"fdsup://Directions/FactSet Auditing Viewer?action=AUDIT_VALUE&amp;DB=129&amp;ID1=16890510&amp;VALUEID=02101&amp;SDATE=201001&amp;PERIODTYPE=QTR_STD&amp;window=popup_no_bar&amp;width=385&amp;height=120&amp;START_MAXIMIZED=FALSE&amp;creator=factset&amp;display_string=Audit"}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localSheetId="1" hidden="1">{"fdsup://Directions/FactSet Auditing Viewer?action=AUDIT_VALUE&amp;DB=129&amp;ID1=91704710&amp;VALUEID=02101&amp;SDATE=201001&amp;PERIODTYPE=QTR_STD&amp;window=popup_no_bar&amp;width=385&amp;height=120&amp;START_MAXIMIZED=FALSE&amp;creator=factset&amp;display_string=Audit"}</definedName>
    <definedName name="_2157__FDSAUDITLINK__" localSheetId="20" hidden="1">{"fdsup://Directions/FactSet Auditing Viewer?action=AUDIT_VALUE&amp;DB=129&amp;ID1=91704710&amp;VALUEID=02101&amp;SDATE=201001&amp;PERIODTYPE=QTR_STD&amp;window=popup_no_bar&amp;width=385&amp;height=120&amp;START_MAXIMIZED=FALSE&amp;creator=factset&amp;display_string=Audit"}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localSheetId="1" hidden="1">{"fdsup://Directions/FactSet Auditing Viewer?action=AUDIT_VALUE&amp;DB=129&amp;ID1=91704710&amp;VALUEID=13040&amp;SDATE=201001&amp;PERIODTYPE=QTR_STD&amp;window=popup_no_bar&amp;width=385&amp;height=120&amp;START_MAXIMIZED=FALSE&amp;creator=factset&amp;display_string=Audit"}</definedName>
    <definedName name="_2158__FDSAUDITLINK__" localSheetId="20" hidden="1">{"fdsup://Directions/FactSet Auditing Viewer?action=AUDIT_VALUE&amp;DB=129&amp;ID1=91704710&amp;VALUEID=13040&amp;SDATE=201001&amp;PERIODTYPE=QTR_STD&amp;window=popup_no_bar&amp;width=385&amp;height=120&amp;START_MAXIMIZED=FALSE&amp;creator=factset&amp;display_string=Audit"}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localSheetId="1" hidden="1">{"fdsup://Directions/FactSet Auditing Viewer?action=AUDIT_VALUE&amp;DB=129&amp;ID1=02553E10&amp;VALUEID=02101&amp;SDATE=201001&amp;PERIODTYPE=QTR_STD&amp;window=popup_no_bar&amp;width=385&amp;height=120&amp;START_MAXIMIZED=FALSE&amp;creator=factset&amp;display_string=Audit"}</definedName>
    <definedName name="_2159__FDSAUDITLINK__" localSheetId="20" hidden="1">{"fdsup://Directions/FactSet Auditing Viewer?action=AUDIT_VALUE&amp;DB=129&amp;ID1=02553E10&amp;VALUEID=02101&amp;SDATE=201001&amp;PERIODTYPE=QTR_STD&amp;window=popup_no_bar&amp;width=385&amp;height=120&amp;START_MAXIMIZED=FALSE&amp;creator=factset&amp;display_string=Audit"}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216__FDSAUDITLINK__" localSheetId="20" hidden="1">{"fdsup://Directions/FactSet Auditing Viewer?action=AUDIT_VALUE&amp;DB=129&amp;ID1=91704710&amp;VALUEID=01001&amp;SDATE=200703&amp;PERIODTYPE=QTR_STD&amp;window=popup_no_bar&amp;width=385&amp;height=120&amp;START_MAXIMIZED=FALSE&amp;creator=factset&amp;display_string=Audit"}</definedName>
    <definedName name="_216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160__FDSAUDITLINK__" localSheetId="1" hidden="1">{"fdsup://Directions/FactSet Auditing Viewer?action=AUDIT_VALUE&amp;DB=129&amp;ID1=02553E10&amp;VALUEID=13040&amp;SDATE=201001&amp;PERIODTYPE=QTR_STD&amp;window=popup_no_bar&amp;width=385&amp;height=120&amp;START_MAXIMIZED=FALSE&amp;creator=factset&amp;display_string=Audit"}</definedName>
    <definedName name="_2160__FDSAUDITLINK__" localSheetId="20" hidden="1">{"fdsup://Directions/FactSet Auditing Viewer?action=AUDIT_VALUE&amp;DB=129&amp;ID1=02553E10&amp;VALUEID=13040&amp;SDATE=201001&amp;PERIODTYPE=QTR_STD&amp;window=popup_no_bar&amp;width=385&amp;height=120&amp;START_MAXIMIZED=FALSE&amp;creator=factset&amp;display_string=Audit"}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localSheetId="1" hidden="1">{"fdsup://Directions/FactSet Auditing Viewer?action=AUDIT_VALUE&amp;DB=129&amp;ID1=00786510&amp;VALUEID=02101&amp;SDATE=201001&amp;PERIODTYPE=QTR_STD&amp;window=popup_no_bar&amp;width=385&amp;height=120&amp;START_MAXIMIZED=FALSE&amp;creator=factset&amp;display_string=Audit"}</definedName>
    <definedName name="_2161__FDSAUDITLINK__" localSheetId="20" hidden="1">{"fdsup://Directions/FactSet Auditing Viewer?action=AUDIT_VALUE&amp;DB=129&amp;ID1=00786510&amp;VALUEID=02101&amp;SDATE=201001&amp;PERIODTYPE=QTR_STD&amp;window=popup_no_bar&amp;width=385&amp;height=120&amp;START_MAXIMIZED=FALSE&amp;creator=factset&amp;display_string=Audit"}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localSheetId="1" hidden="1">{"fdsup://Directions/FactSet Auditing Viewer?action=AUDIT_VALUE&amp;DB=129&amp;ID1=00786510&amp;VALUEID=13040&amp;SDATE=201001&amp;PERIODTYPE=QTR_STD&amp;window=popup_no_bar&amp;width=385&amp;height=120&amp;START_MAXIMIZED=FALSE&amp;creator=factset&amp;display_string=Audit"}</definedName>
    <definedName name="_2162__FDSAUDITLINK__" localSheetId="20" hidden="1">{"fdsup://Directions/FactSet Auditing Viewer?action=AUDIT_VALUE&amp;DB=129&amp;ID1=00786510&amp;VALUEID=13040&amp;SDATE=201001&amp;PERIODTYPE=QTR_STD&amp;window=popup_no_bar&amp;width=385&amp;height=120&amp;START_MAXIMIZED=FALSE&amp;creator=factset&amp;display_string=Audit"}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localSheetId="1" hidden="1">{"fdsup://Directions/FactSet Auditing Viewer?action=AUDIT_VALUE&amp;DB=129&amp;ID1=00289620&amp;VALUEID=02101&amp;SDATE=201001&amp;PERIODTYPE=QTR_STD&amp;window=popup_no_bar&amp;width=385&amp;height=120&amp;START_MAXIMIZED=FALSE&amp;creator=factset&amp;display_string=Audit"}</definedName>
    <definedName name="_2163__FDSAUDITLINK__" localSheetId="20" hidden="1">{"fdsup://Directions/FactSet Auditing Viewer?action=AUDIT_VALUE&amp;DB=129&amp;ID1=00289620&amp;VALUEID=02101&amp;SDATE=201001&amp;PERIODTYPE=QTR_STD&amp;window=popup_no_bar&amp;width=385&amp;height=120&amp;START_MAXIMIZED=FALSE&amp;creator=factset&amp;display_string=Audit"}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localSheetId="1" hidden="1">{"fdsup://Directions/FactSet Auditing Viewer?action=AUDIT_VALUE&amp;DB=129&amp;ID1=00289620&amp;VALUEID=13040&amp;SDATE=201001&amp;PERIODTYPE=QTR_STD&amp;window=popup_no_bar&amp;width=385&amp;height=120&amp;START_MAXIMIZED=FALSE&amp;creator=factset&amp;display_string=Audit"}</definedName>
    <definedName name="_2164__FDSAUDITLINK__" localSheetId="20" hidden="1">{"fdsup://Directions/FactSet Auditing Viewer?action=AUDIT_VALUE&amp;DB=129&amp;ID1=00289620&amp;VALUEID=13040&amp;SDATE=201001&amp;PERIODTYPE=QTR_STD&amp;window=popup_no_bar&amp;width=385&amp;height=120&amp;START_MAXIMIZED=FALSE&amp;creator=factset&amp;display_string=Audit"}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localSheetId="1" hidden="1">{"fdsup://Directions/FactSet Auditing Viewer?action=AUDIT_VALUE&amp;DB=129&amp;ID1=87416110&amp;VALUEID=01001&amp;SDATE=200904&amp;PERIODTYPE=QTR_STD&amp;window=popup_no_bar&amp;width=385&amp;height=120&amp;START_MAXIMIZED=FALSE&amp;creator=factset&amp;display_string=Audit"}</definedName>
    <definedName name="_2165__FDSAUDITLINK__" localSheetId="20" hidden="1">{"fdsup://Directions/FactSet Auditing Viewer?action=AUDIT_VALUE&amp;DB=129&amp;ID1=87416110&amp;VALUEID=01001&amp;SDATE=200904&amp;PERIODTYPE=QTR_STD&amp;window=popup_no_bar&amp;width=385&amp;height=120&amp;START_MAXIMIZED=FALSE&amp;creator=factset&amp;display_string=Audit"}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localSheetId="1"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6__FDSAUDITLINK__" localSheetId="20"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localSheetId="1" hidden="1">{"fdsup://Directions/FactSet Auditing Viewer?action=AUDIT_VALUE&amp;DB=129&amp;ID1=46612H40&amp;VALUEID=01001&amp;SDATE=200904&amp;PERIODTYPE=QTR_STD&amp;window=popup_no_bar&amp;width=385&amp;height=120&amp;START_MAXIMIZED=FALSE&amp;creator=factset&amp;display_string=Audit"}</definedName>
    <definedName name="_2167__FDSAUDITLINK__" localSheetId="20" hidden="1">{"fdsup://Directions/FactSet Auditing Viewer?action=AUDIT_VALUE&amp;DB=129&amp;ID1=46612H40&amp;VALUEID=01001&amp;SDATE=200904&amp;PERIODTYPE=QTR_STD&amp;window=popup_no_bar&amp;width=385&amp;height=120&amp;START_MAXIMIZED=FALSE&amp;creator=factset&amp;display_string=Audit"}</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localSheetId="1" hidden="1">{"fdsup://Directions/FactSet Auditing Viewer?action=AUDIT_VALUE&amp;DB=129&amp;ID1=36476010&amp;VALUEID=01001&amp;SDATE=200904&amp;PERIODTYPE=QTR_STD&amp;window=popup_no_bar&amp;width=385&amp;height=120&amp;START_MAXIMIZED=FALSE&amp;creator=factset&amp;display_string=Audit"}</definedName>
    <definedName name="_2168__FDSAUDITLINK__" localSheetId="20" hidden="1">{"fdsup://Directions/FactSet Auditing Viewer?action=AUDIT_VALUE&amp;DB=129&amp;ID1=36476010&amp;VALUEID=01001&amp;SDATE=200904&amp;PERIODTYPE=QTR_STD&amp;window=popup_no_bar&amp;width=385&amp;height=120&amp;START_MAXIMIZED=FALSE&amp;creator=factset&amp;display_string=Audit"}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2169__FDSAUDITLINK__" localSheetId="20" hidden="1">{"fdsup://Directions/FactSet Auditing Viewer?action=AUDIT_VALUE&amp;DB=129&amp;ID1=03611510&amp;VALUEID=01001&amp;SDATE=200904&amp;PERIODTYPE=QTR_STD&amp;window=popup_no_bar&amp;width=385&amp;height=120&amp;START_MAXIMIZED=FALSE&amp;creator=factset&amp;display_string=Audit"}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217__FDSAUDITLINK__" localSheetId="20" hidden="1">{"fdsup://Directions/FactSet Auditing Viewer?action=AUDIT_VALUE&amp;DB=129&amp;ID1=91704710&amp;VALUEID=13040&amp;SDATE=200703&amp;PERIODTYPE=QTR_STD&amp;window=popup_no_bar&amp;width=385&amp;height=120&amp;START_MAXIMIZED=FALSE&amp;creator=factset&amp;display_string=Audit"}</definedName>
    <definedName name="_217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170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2170__FDSAUDITLINK__" localSheetId="20" hidden="1">{"fdsup://Directions/FactSet Auditing Viewer?action=AUDIT_VALUE&amp;DB=129&amp;ID1=16890510&amp;VALUEID=01001&amp;SDATE=200904&amp;PERIODTYPE=QTR_STD&amp;window=popup_no_bar&amp;width=385&amp;height=120&amp;START_MAXIMIZED=FALSE&amp;creator=factset&amp;display_string=Audit"}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localSheetId="1" hidden="1">{"fdsup://Directions/FactSet Auditing Viewer?action=AUDIT_VALUE&amp;DB=129&amp;ID1=91704710&amp;VALUEID=01001&amp;SDATE=200904&amp;PERIODTYPE=QTR_STD&amp;window=popup_no_bar&amp;width=385&amp;height=120&amp;START_MAXIMIZED=FALSE&amp;creator=factset&amp;display_string=Audit"}</definedName>
    <definedName name="_2171__FDSAUDITLINK__" localSheetId="20" hidden="1">{"fdsup://Directions/FactSet Auditing Viewer?action=AUDIT_VALUE&amp;DB=129&amp;ID1=91704710&amp;VALUEID=01001&amp;SDATE=200904&amp;PERIODTYPE=QTR_STD&amp;window=popup_no_bar&amp;width=385&amp;height=120&amp;START_MAXIMIZED=FALSE&amp;creator=factset&amp;display_string=Audit"}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localSheetId="1" hidden="1">{"fdsup://Directions/FactSet Auditing Viewer?action=AUDIT_VALUE&amp;DB=129&amp;ID1=02553E10&amp;VALUEID=01001&amp;SDATE=200904&amp;PERIODTYPE=QTR_STD&amp;window=popup_no_bar&amp;width=385&amp;height=120&amp;START_MAXIMIZED=FALSE&amp;creator=factset&amp;display_string=Audit"}</definedName>
    <definedName name="_2172__FDSAUDITLINK__" localSheetId="20" hidden="1">{"fdsup://Directions/FactSet Auditing Viewer?action=AUDIT_VALUE&amp;DB=129&amp;ID1=02553E10&amp;VALUEID=01001&amp;SDATE=200904&amp;PERIODTYPE=QTR_STD&amp;window=popup_no_bar&amp;width=385&amp;height=120&amp;START_MAXIMIZED=FALSE&amp;creator=factset&amp;display_string=Audit"}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localSheetId="1" hidden="1">{"fdsup://Directions/FactSet Auditing Viewer?action=AUDIT_VALUE&amp;DB=129&amp;ID1=00786510&amp;VALUEID=01001&amp;SDATE=200904&amp;PERIODTYPE=QTR_STD&amp;window=popup_no_bar&amp;width=385&amp;height=120&amp;START_MAXIMIZED=FALSE&amp;creator=factset&amp;display_string=Audit"}</definedName>
    <definedName name="_2173__FDSAUDITLINK__" localSheetId="20" hidden="1">{"fdsup://Directions/FactSet Auditing Viewer?action=AUDIT_VALUE&amp;DB=129&amp;ID1=00786510&amp;VALUEID=01001&amp;SDATE=200904&amp;PERIODTYPE=QTR_STD&amp;window=popup_no_bar&amp;width=385&amp;height=120&amp;START_MAXIMIZED=FALSE&amp;creator=factset&amp;display_string=Audit"}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localSheetId="1" hidden="1">{"fdsup://Directions/FactSet Auditing Viewer?action=AUDIT_VALUE&amp;DB=129&amp;ID1=87416110&amp;VALUEID=02101&amp;SDATE=200903&amp;PERIODTYPE=QTR_STD&amp;window=popup_no_bar&amp;width=385&amp;height=120&amp;START_MAXIMIZED=FALSE&amp;creator=factset&amp;display_string=Audit"}</definedName>
    <definedName name="_2174__FDSAUDITLINK__" localSheetId="20" hidden="1">{"fdsup://Directions/FactSet Auditing Viewer?action=AUDIT_VALUE&amp;DB=129&amp;ID1=87416110&amp;VALUEID=02101&amp;SDATE=200903&amp;PERIODTYPE=QTR_STD&amp;window=popup_no_bar&amp;width=385&amp;height=120&amp;START_MAXIMIZED=FALSE&amp;creator=factset&amp;display_string=Audit"}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localSheetId="1" hidden="1">{"fdsup://Directions/FactSet Auditing Viewer?action=AUDIT_VALUE&amp;DB=129&amp;ID1=87416110&amp;VALUEID=01001&amp;SDATE=200903&amp;PERIODTYPE=QTR_STD&amp;window=popup_no_bar&amp;width=385&amp;height=120&amp;START_MAXIMIZED=FALSE&amp;creator=factset&amp;display_string=Audit"}</definedName>
    <definedName name="_2175__FDSAUDITLINK__" localSheetId="20" hidden="1">{"fdsup://Directions/FactSet Auditing Viewer?action=AUDIT_VALUE&amp;DB=129&amp;ID1=87416110&amp;VALUEID=01001&amp;SDATE=200903&amp;PERIODTYPE=QTR_STD&amp;window=popup_no_bar&amp;width=385&amp;height=120&amp;START_MAXIMIZED=FALSE&amp;creator=factset&amp;display_string=Audit"}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localSheetId="1" hidden="1">{"fdsup://Directions/FactSet Auditing Viewer?action=AUDIT_VALUE&amp;DB=129&amp;ID1=87416110&amp;VALUEID=13040&amp;SDATE=200903&amp;PERIODTYPE=QTR_STD&amp;window=popup_no_bar&amp;width=385&amp;height=120&amp;START_MAXIMIZED=FALSE&amp;creator=factset&amp;display_string=Audit"}</definedName>
    <definedName name="_2176__FDSAUDITLINK__" localSheetId="20" hidden="1">{"fdsup://Directions/FactSet Auditing Viewer?action=AUDIT_VALUE&amp;DB=129&amp;ID1=87416110&amp;VALUEID=13040&amp;SDATE=200903&amp;PERIODTYPE=QTR_STD&amp;window=popup_no_bar&amp;width=385&amp;height=120&amp;START_MAXIMIZED=FALSE&amp;creator=factset&amp;display_string=Audit"}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localSheetId="1"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7__FDSAUDITLINK__" localSheetId="20"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2178__FDSAUDITLINK__" localSheetId="20" hidden="1">{"fdsup://Directions/FactSet Auditing Viewer?action=AUDIT_VALUE&amp;DB=129&amp;ID1=53271610&amp;VALUEID=02101&amp;SDATE=200903&amp;PERIODTYPE=QTR_STD&amp;window=popup_no_bar&amp;width=385&amp;height=120&amp;START_MAXIMIZED=FALSE&amp;creator=factset&amp;display_string=Audit"}</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2179__FDSAUDITLINK__" localSheetId="20" hidden="1">{"fdsup://Directions/FactSet Auditing Viewer?action=AUDIT_VALUE&amp;DB=129&amp;ID1=53271610&amp;VALUEID=01001&amp;SDATE=200903&amp;PERIODTYPE=QTR_STD&amp;window=popup_no_bar&amp;width=385&amp;height=120&amp;START_MAXIMIZED=FALSE&amp;creator=factset&amp;display_string=Audit"}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218__FDSAUDITLINK__" localSheetId="20" hidden="1">{"fdsup://Directions/FactSet Auditing Viewer?action=AUDIT_VALUE&amp;DB=129&amp;ID1=02553E10&amp;VALUEID=02101&amp;SDATE=200703&amp;PERIODTYPE=QTR_STD&amp;window=popup_no_bar&amp;width=385&amp;height=120&amp;START_MAXIMIZED=FALSE&amp;creator=factset&amp;display_string=Audit"}</definedName>
    <definedName name="_218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180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2180__FDSAUDITLINK__" localSheetId="20" hidden="1">{"fdsup://Directions/FactSet Auditing Viewer?action=AUDIT_VALUE&amp;DB=129&amp;ID1=53271610&amp;VALUEID=13040&amp;SDATE=200903&amp;PERIODTYPE=QTR_STD&amp;window=popup_no_bar&amp;width=385&amp;height=120&amp;START_MAXIMIZED=FALSE&amp;creator=factset&amp;display_string=Audit"}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localSheetId="1" hidden="1">{"fdsup://Directions/FactSet Auditing Viewer?action=AUDIT_VALUE&amp;DB=129&amp;ID1=46612H40&amp;VALUEID=02101&amp;SDATE=200903&amp;PERIODTYPE=QTR_STD&amp;window=popup_no_bar&amp;width=385&amp;height=120&amp;START_MAXIMIZED=FALSE&amp;creator=factset&amp;display_string=Audit"}</definedName>
    <definedName name="_2181__FDSAUDITLINK__" localSheetId="20" hidden="1">{"fdsup://Directions/FactSet Auditing Viewer?action=AUDIT_VALUE&amp;DB=129&amp;ID1=46612H40&amp;VALUEID=02101&amp;SDATE=200903&amp;PERIODTYPE=QTR_STD&amp;window=popup_no_bar&amp;width=385&amp;height=120&amp;START_MAXIMIZED=FALSE&amp;creator=factset&amp;display_string=Audit"}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localSheetId="1" hidden="1">{"fdsup://Directions/FactSet Auditing Viewer?action=AUDIT_VALUE&amp;DB=129&amp;ID1=46612H40&amp;VALUEID=01001&amp;SDATE=200903&amp;PERIODTYPE=QTR_STD&amp;window=popup_no_bar&amp;width=385&amp;height=120&amp;START_MAXIMIZED=FALSE&amp;creator=factset&amp;display_string=Audit"}</definedName>
    <definedName name="_2182__FDSAUDITLINK__" localSheetId="20" hidden="1">{"fdsup://Directions/FactSet Auditing Viewer?action=AUDIT_VALUE&amp;DB=129&amp;ID1=46612H40&amp;VALUEID=01001&amp;SDATE=200903&amp;PERIODTYPE=QTR_STD&amp;window=popup_no_bar&amp;width=385&amp;height=120&amp;START_MAXIMIZED=FALSE&amp;creator=factset&amp;display_string=Audit"}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localSheetId="1" hidden="1">{"fdsup://Directions/FactSet Auditing Viewer?action=AUDIT_VALUE&amp;DB=129&amp;ID1=46612H40&amp;VALUEID=13040&amp;SDATE=200903&amp;PERIODTYPE=QTR_STD&amp;window=popup_no_bar&amp;width=385&amp;height=120&amp;START_MAXIMIZED=FALSE&amp;creator=factset&amp;display_string=Audit"}</definedName>
    <definedName name="_2183__FDSAUDITLINK__" localSheetId="20" hidden="1">{"fdsup://Directions/FactSet Auditing Viewer?action=AUDIT_VALUE&amp;DB=129&amp;ID1=46612H40&amp;VALUEID=13040&amp;SDATE=200903&amp;PERIODTYPE=QTR_STD&amp;window=popup_no_bar&amp;width=385&amp;height=120&amp;START_MAXIMIZED=FALSE&amp;creator=factset&amp;display_string=Audit"}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localSheetId="1" hidden="1">{"fdsup://Directions/FactSet Auditing Viewer?action=AUDIT_VALUE&amp;DB=129&amp;ID1=36476010&amp;VALUEID=02101&amp;SDATE=200903&amp;PERIODTYPE=QTR_STD&amp;window=popup_no_bar&amp;width=385&amp;height=120&amp;START_MAXIMIZED=FALSE&amp;creator=factset&amp;display_string=Audit"}</definedName>
    <definedName name="_2184__FDSAUDITLINK__" localSheetId="20" hidden="1">{"fdsup://Directions/FactSet Auditing Viewer?action=AUDIT_VALUE&amp;DB=129&amp;ID1=36476010&amp;VALUEID=02101&amp;SDATE=200903&amp;PERIODTYPE=QTR_STD&amp;window=popup_no_bar&amp;width=385&amp;height=120&amp;START_MAXIMIZED=FALSE&amp;creator=factset&amp;display_string=Audit"}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localSheetId="1" hidden="1">{"fdsup://Directions/FactSet Auditing Viewer?action=AUDIT_VALUE&amp;DB=129&amp;ID1=36476010&amp;VALUEID=01001&amp;SDATE=200903&amp;PERIODTYPE=QTR_STD&amp;window=popup_no_bar&amp;width=385&amp;height=120&amp;START_MAXIMIZED=FALSE&amp;creator=factset&amp;display_string=Audit"}</definedName>
    <definedName name="_2185__FDSAUDITLINK__" localSheetId="20" hidden="1">{"fdsup://Directions/FactSet Auditing Viewer?action=AUDIT_VALUE&amp;DB=129&amp;ID1=36476010&amp;VALUEID=01001&amp;SDATE=200903&amp;PERIODTYPE=QTR_STD&amp;window=popup_no_bar&amp;width=385&amp;height=120&amp;START_MAXIMIZED=FALSE&amp;creator=factset&amp;display_string=Audit"}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localSheetId="1" hidden="1">{"fdsup://Directions/FactSet Auditing Viewer?action=AUDIT_VALUE&amp;DB=129&amp;ID1=36476010&amp;VALUEID=13040&amp;SDATE=200903&amp;PERIODTYPE=QTR_STD&amp;window=popup_no_bar&amp;width=385&amp;height=120&amp;START_MAXIMIZED=FALSE&amp;creator=factset&amp;display_string=Audit"}</definedName>
    <definedName name="_2186__FDSAUDITLINK__" localSheetId="20" hidden="1">{"fdsup://Directions/FactSet Auditing Viewer?action=AUDIT_VALUE&amp;DB=129&amp;ID1=36476010&amp;VALUEID=13040&amp;SDATE=200903&amp;PERIODTYPE=QTR_STD&amp;window=popup_no_bar&amp;width=385&amp;height=120&amp;START_MAXIMIZED=FALSE&amp;creator=factset&amp;display_string=Audit"}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2187__FDSAUDITLINK__" localSheetId="20" hidden="1">{"fdsup://Directions/FactSet Auditing Viewer?action=AUDIT_VALUE&amp;DB=129&amp;ID1=03611510&amp;VALUEID=02101&amp;SDATE=200903&amp;PERIODTYPE=QTR_STD&amp;window=popup_no_bar&amp;width=385&amp;height=120&amp;START_MAXIMIZED=FALSE&amp;creator=factset&amp;display_string=Audit"}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2188__FDSAUDITLINK__" localSheetId="20" hidden="1">{"fdsup://Directions/FactSet Auditing Viewer?action=AUDIT_VALUE&amp;DB=129&amp;ID1=03611510&amp;VALUEID=01001&amp;SDATE=200903&amp;PERIODTYPE=QTR_STD&amp;window=popup_no_bar&amp;width=385&amp;height=120&amp;START_MAXIMIZED=FALSE&amp;creator=factset&amp;display_string=Audit"}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2189__FDSAUDITLINK__" localSheetId="20" hidden="1">{"fdsup://Directions/FactSet Auditing Viewer?action=AUDIT_VALUE&amp;DB=129&amp;ID1=03611510&amp;VALUEID=13040&amp;SDATE=200903&amp;PERIODTYPE=QTR_STD&amp;window=popup_no_bar&amp;width=385&amp;height=120&amp;START_MAXIMIZED=FALSE&amp;creator=factset&amp;display_string=Audit"}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219__FDSAUDITLINK__" localSheetId="20" hidden="1">{"fdsup://Directions/FactSet Auditing Viewer?action=AUDIT_VALUE&amp;DB=129&amp;ID1=02553E10&amp;VALUEID=01001&amp;SDATE=200703&amp;PERIODTYPE=QTR_STD&amp;window=popup_no_bar&amp;width=385&amp;height=120&amp;START_MAXIMIZED=FALSE&amp;creator=factset&amp;display_string=Audit"}</definedName>
    <definedName name="_219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190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2190__FDSAUDITLINK__" localSheetId="20" hidden="1">{"fdsup://Directions/FactSet Auditing Viewer?action=AUDIT_VALUE&amp;DB=129&amp;ID1=16890510&amp;VALUEID=02101&amp;SDATE=200903&amp;PERIODTYPE=QTR_STD&amp;window=popup_no_bar&amp;width=385&amp;height=120&amp;START_MAXIMIZED=FALSE&amp;creator=factset&amp;display_string=Audit"}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2191__FDSAUDITLINK__" localSheetId="20" hidden="1">{"fdsup://Directions/FactSet Auditing Viewer?action=AUDIT_VALUE&amp;DB=129&amp;ID1=16890510&amp;VALUEID=01001&amp;SDATE=200903&amp;PERIODTYPE=QTR_STD&amp;window=popup_no_bar&amp;width=385&amp;height=120&amp;START_MAXIMIZED=FALSE&amp;creator=factset&amp;display_string=Audit"}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localSheetId="1" hidden="1">{"fdsup://Directions/FactSet Auditing Viewer?action=AUDIT_VALUE&amp;DB=129&amp;ID1=91704710&amp;VALUEID=02101&amp;SDATE=200903&amp;PERIODTYPE=QTR_STD&amp;window=popup_no_bar&amp;width=385&amp;height=120&amp;START_MAXIMIZED=FALSE&amp;creator=factset&amp;display_string=Audit"}</definedName>
    <definedName name="_2192__FDSAUDITLINK__" localSheetId="20" hidden="1">{"fdsup://Directions/FactSet Auditing Viewer?action=AUDIT_VALUE&amp;DB=129&amp;ID1=91704710&amp;VALUEID=02101&amp;SDATE=200903&amp;PERIODTYPE=QTR_STD&amp;window=popup_no_bar&amp;width=385&amp;height=120&amp;START_MAXIMIZED=FALSE&amp;creator=factset&amp;display_string=Audit"}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localSheetId="1" hidden="1">{"fdsup://Directions/FactSet Auditing Viewer?action=AUDIT_VALUE&amp;DB=129&amp;ID1=91704710&amp;VALUEID=01001&amp;SDATE=200903&amp;PERIODTYPE=QTR_STD&amp;window=popup_no_bar&amp;width=385&amp;height=120&amp;START_MAXIMIZED=FALSE&amp;creator=factset&amp;display_string=Audit"}</definedName>
    <definedName name="_2193__FDSAUDITLINK__" localSheetId="20" hidden="1">{"fdsup://Directions/FactSet Auditing Viewer?action=AUDIT_VALUE&amp;DB=129&amp;ID1=91704710&amp;VALUEID=01001&amp;SDATE=200903&amp;PERIODTYPE=QTR_STD&amp;window=popup_no_bar&amp;width=385&amp;height=120&amp;START_MAXIMIZED=FALSE&amp;creator=factset&amp;display_string=Audit"}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localSheetId="1" hidden="1">{"fdsup://Directions/FactSet Auditing Viewer?action=AUDIT_VALUE&amp;DB=129&amp;ID1=91704710&amp;VALUEID=13040&amp;SDATE=200903&amp;PERIODTYPE=QTR_STD&amp;window=popup_no_bar&amp;width=385&amp;height=120&amp;START_MAXIMIZED=FALSE&amp;creator=factset&amp;display_string=Audit"}</definedName>
    <definedName name="_2194__FDSAUDITLINK__" localSheetId="20" hidden="1">{"fdsup://Directions/FactSet Auditing Viewer?action=AUDIT_VALUE&amp;DB=129&amp;ID1=91704710&amp;VALUEID=13040&amp;SDATE=200903&amp;PERIODTYPE=QTR_STD&amp;window=popup_no_bar&amp;width=385&amp;height=120&amp;START_MAXIMIZED=FALSE&amp;creator=factset&amp;display_string=Audit"}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localSheetId="1" hidden="1">{"fdsup://Directions/FactSet Auditing Viewer?action=AUDIT_VALUE&amp;DB=129&amp;ID1=02553E10&amp;VALUEID=02101&amp;SDATE=200903&amp;PERIODTYPE=QTR_STD&amp;window=popup_no_bar&amp;width=385&amp;height=120&amp;START_MAXIMIZED=FALSE&amp;creator=factset&amp;display_string=Audit"}</definedName>
    <definedName name="_2195__FDSAUDITLINK__" localSheetId="20" hidden="1">{"fdsup://Directions/FactSet Auditing Viewer?action=AUDIT_VALUE&amp;DB=129&amp;ID1=02553E10&amp;VALUEID=02101&amp;SDATE=200903&amp;PERIODTYPE=QTR_STD&amp;window=popup_no_bar&amp;width=385&amp;height=120&amp;START_MAXIMIZED=FALSE&amp;creator=factset&amp;display_string=Audit"}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localSheetId="1" hidden="1">{"fdsup://Directions/FactSet Auditing Viewer?action=AUDIT_VALUE&amp;DB=129&amp;ID1=02553E10&amp;VALUEID=01001&amp;SDATE=200903&amp;PERIODTYPE=QTR_STD&amp;window=popup_no_bar&amp;width=385&amp;height=120&amp;START_MAXIMIZED=FALSE&amp;creator=factset&amp;display_string=Audit"}</definedName>
    <definedName name="_2196__FDSAUDITLINK__" localSheetId="20" hidden="1">{"fdsup://Directions/FactSet Auditing Viewer?action=AUDIT_VALUE&amp;DB=129&amp;ID1=02553E10&amp;VALUEID=01001&amp;SDATE=200903&amp;PERIODTYPE=QTR_STD&amp;window=popup_no_bar&amp;width=385&amp;height=120&amp;START_MAXIMIZED=FALSE&amp;creator=factset&amp;display_string=Audit"}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localSheetId="1" hidden="1">{"fdsup://Directions/FactSet Auditing Viewer?action=AUDIT_VALUE&amp;DB=129&amp;ID1=00786510&amp;VALUEID=02101&amp;SDATE=200903&amp;PERIODTYPE=QTR_STD&amp;window=popup_no_bar&amp;width=385&amp;height=120&amp;START_MAXIMIZED=FALSE&amp;creator=factset&amp;display_string=Audit"}</definedName>
    <definedName name="_2197__FDSAUDITLINK__" localSheetId="20" hidden="1">{"fdsup://Directions/FactSet Auditing Viewer?action=AUDIT_VALUE&amp;DB=129&amp;ID1=00786510&amp;VALUEID=02101&amp;SDATE=200903&amp;PERIODTYPE=QTR_STD&amp;window=popup_no_bar&amp;width=385&amp;height=120&amp;START_MAXIMIZED=FALSE&amp;creator=factset&amp;display_string=Audit"}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localSheetId="1" hidden="1">{"fdsup://Directions/FactSet Auditing Viewer?action=AUDIT_VALUE&amp;DB=129&amp;ID1=00786510&amp;VALUEID=01001&amp;SDATE=200903&amp;PERIODTYPE=QTR_STD&amp;window=popup_no_bar&amp;width=385&amp;height=120&amp;START_MAXIMIZED=FALSE&amp;creator=factset&amp;display_string=Audit"}</definedName>
    <definedName name="_2198__FDSAUDITLINK__" localSheetId="20" hidden="1">{"fdsup://Directions/FactSet Auditing Viewer?action=AUDIT_VALUE&amp;DB=129&amp;ID1=00786510&amp;VALUEID=01001&amp;SDATE=200903&amp;PERIODTYPE=QTR_STD&amp;window=popup_no_bar&amp;width=385&amp;height=120&amp;START_MAXIMIZED=FALSE&amp;creator=factset&amp;display_string=Audit"}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localSheetId="1" hidden="1">{"fdsup://Directions/FactSet Auditing Viewer?action=AUDIT_VALUE&amp;DB=129&amp;ID1=00786510&amp;VALUEID=13040&amp;SDATE=200903&amp;PERIODTYPE=QTR_STD&amp;window=popup_no_bar&amp;width=385&amp;height=120&amp;START_MAXIMIZED=FALSE&amp;creator=factset&amp;display_string=Audit"}</definedName>
    <definedName name="_2199__FDSAUDITLINK__" localSheetId="20" hidden="1">{"fdsup://Directions/FactSet Auditing Viewer?action=AUDIT_VALUE&amp;DB=129&amp;ID1=00786510&amp;VALUEID=13040&amp;SDATE=200903&amp;PERIODTYPE=QTR_STD&amp;window=popup_no_bar&amp;width=385&amp;height=120&amp;START_MAXIMIZED=FALSE&amp;creator=factset&amp;display_string=Audit"}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localSheetId="1" hidden="1">{"fdsup://directions/FAT Viewer?action=UPDATE&amp;creator=factset&amp;DYN_ARGS=TRUE&amp;DOC_NAME=FAT:FQL_AUDITING_CLIENT_TEMPLATE.FAT&amp;display_string=Audit&amp;VAR:KEY=UVILAHYXYX&amp;VAR:QUERY=RkZfRU5UUlBSX1ZBTF9FQklUREFfT1BFUihBTk4sMCk=&amp;WINDOW=FIRST_POPUP&amp;HEIGHT=450&amp;WIDTH=450&amp;","START_MAXIMIZED=FALSE&amp;VAR:CALENDAR=FIVEDAY&amp;VAR:SYMBOL=BEBE&amp;VAR:INDEX=0"}</definedName>
    <definedName name="_22__FDSAUDITLINK__" localSheetId="20"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2__FDSAUDITLINK__" hidden="1">{"fdsup://directions/FAT Viewer?action=UPDATE&amp;creator=factset&amp;DYN_ARGS=TRUE&amp;DOC_NAME=FAT:FQL_AUDITING_CLIENT_TEMPLATE.FAT&amp;display_string=Audit&amp;VAR:KEY=UVILAHYXYX&amp;VAR:QUERY=RkZfRU5UUlBSX1ZBTF9FQklUREFfT1BFUihBTk4sMCk=&amp;WINDOW=FIRST_POPUP&amp;HEIGHT=450&amp;WIDTH=450&amp;","START_MAXIMIZED=FALSE&amp;VAR:CALENDAR=FIVEDAY&amp;VAR:SYMBOL=BEBE&amp;VAR:INDEX=0"}</definedName>
    <definedName name="_220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220__FDSAUDITLINK__" localSheetId="20" hidden="1">{"fdsup://Directions/FactSet Auditing Viewer?action=AUDIT_VALUE&amp;DB=129&amp;ID1=00786510&amp;VALUEID=02101&amp;SDATE=200703&amp;PERIODTYPE=QTR_STD&amp;window=popup_no_bar&amp;width=385&amp;height=120&amp;START_MAXIMIZED=FALSE&amp;creator=factset&amp;display_string=Audit"}</definedName>
    <definedName name="_220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200__FDSAUDITLINK__" localSheetId="1" hidden="1">{"fdsup://Directions/FactSet Auditing Viewer?action=AUDIT_VALUE&amp;DB=129&amp;ID1=00289620&amp;VALUEID=02101&amp;SDATE=200903&amp;PERIODTYPE=QTR_STD&amp;window=popup_no_bar&amp;width=385&amp;height=120&amp;START_MAXIMIZED=FALSE&amp;creator=factset&amp;display_string=Audit"}</definedName>
    <definedName name="_2200__FDSAUDITLINK__" localSheetId="20" hidden="1">{"fdsup://Directions/FactSet Auditing Viewer?action=AUDIT_VALUE&amp;DB=129&amp;ID1=00289620&amp;VALUEID=02101&amp;SDATE=200903&amp;PERIODTYPE=QTR_STD&amp;window=popup_no_bar&amp;width=385&amp;height=120&amp;START_MAXIMIZED=FALSE&amp;creator=factset&amp;display_string=Audit"}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localSheetId="1" hidden="1">{"fdsup://Directions/FactSet Auditing Viewer?action=AUDIT_VALUE&amp;DB=129&amp;ID1=00289620&amp;VALUEID=01001&amp;SDATE=200903&amp;PERIODTYPE=QTR_STD&amp;window=popup_no_bar&amp;width=385&amp;height=120&amp;START_MAXIMIZED=FALSE&amp;creator=factset&amp;display_string=Audit"}</definedName>
    <definedName name="_2201__FDSAUDITLINK__" localSheetId="20" hidden="1">{"fdsup://Directions/FactSet Auditing Viewer?action=AUDIT_VALUE&amp;DB=129&amp;ID1=00289620&amp;VALUEID=01001&amp;SDATE=200903&amp;PERIODTYPE=QTR_STD&amp;window=popup_no_bar&amp;width=385&amp;height=120&amp;START_MAXIMIZED=FALSE&amp;creator=factset&amp;display_string=Audit"}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localSheetId="1" hidden="1">{"fdsup://Directions/FactSet Auditing Viewer?action=AUDIT_VALUE&amp;DB=129&amp;ID1=00289620&amp;VALUEID=13040&amp;SDATE=200903&amp;PERIODTYPE=QTR_STD&amp;window=popup_no_bar&amp;width=385&amp;height=120&amp;START_MAXIMIZED=FALSE&amp;creator=factset&amp;display_string=Audit"}</definedName>
    <definedName name="_2202__FDSAUDITLINK__" localSheetId="20" hidden="1">{"fdsup://Directions/FactSet Auditing Viewer?action=AUDIT_VALUE&amp;DB=129&amp;ID1=00289620&amp;VALUEID=13040&amp;SDATE=200903&amp;PERIODTYPE=QTR_STD&amp;window=popup_no_bar&amp;width=385&amp;height=120&amp;START_MAXIMIZED=FALSE&amp;creator=factset&amp;display_string=Audit"}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localSheetId="1" hidden="1">{"fdsup://Directions/FactSet Auditing Viewer?action=AUDIT_VALUE&amp;DB=129&amp;ID1=87416110&amp;VALUEID=02101&amp;SDATE=200902&amp;PERIODTYPE=QTR_STD&amp;window=popup_no_bar&amp;width=385&amp;height=120&amp;START_MAXIMIZED=FALSE&amp;creator=factset&amp;display_string=Audit"}</definedName>
    <definedName name="_2203__FDSAUDITLINK__" localSheetId="20" hidden="1">{"fdsup://Directions/FactSet Auditing Viewer?action=AUDIT_VALUE&amp;DB=129&amp;ID1=87416110&amp;VALUEID=02101&amp;SDATE=200902&amp;PERIODTYPE=QTR_STD&amp;window=popup_no_bar&amp;width=385&amp;height=120&amp;START_MAXIMIZED=FALSE&amp;creator=factset&amp;display_string=Audit"}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localSheetId="1" hidden="1">{"fdsup://Directions/FactSet Auditing Viewer?action=AUDIT_VALUE&amp;DB=129&amp;ID1=87416110&amp;VALUEID=01001&amp;SDATE=200902&amp;PERIODTYPE=QTR_STD&amp;window=popup_no_bar&amp;width=385&amp;height=120&amp;START_MAXIMIZED=FALSE&amp;creator=factset&amp;display_string=Audit"}</definedName>
    <definedName name="_2204__FDSAUDITLINK__" localSheetId="20" hidden="1">{"fdsup://Directions/FactSet Auditing Viewer?action=AUDIT_VALUE&amp;DB=129&amp;ID1=87416110&amp;VALUEID=01001&amp;SDATE=200902&amp;PERIODTYPE=QTR_STD&amp;window=popup_no_bar&amp;width=385&amp;height=120&amp;START_MAXIMIZED=FALSE&amp;creator=factset&amp;display_string=Audit"}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2205__FDSAUDITLINK__" localSheetId="20" hidden="1">{"fdsup://Directions/FactSet Auditing Viewer?action=AUDIT_VALUE&amp;DB=129&amp;ID1=53271610&amp;VALUEID=02101&amp;SDATE=200902&amp;PERIODTYPE=QTR_STD&amp;window=popup_no_bar&amp;width=385&amp;height=120&amp;START_MAXIMIZED=FALSE&amp;creator=factset&amp;display_string=Audit"}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2206__FDSAUDITLINK__" localSheetId="20" hidden="1">{"fdsup://Directions/FactSet Auditing Viewer?action=AUDIT_VALUE&amp;DB=129&amp;ID1=53271610&amp;VALUEID=01001&amp;SDATE=200902&amp;PERIODTYPE=QTR_STD&amp;window=popup_no_bar&amp;width=385&amp;height=120&amp;START_MAXIMIZED=FALSE&amp;creator=factset&amp;display_string=Audit"}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2207__FDSAUDITLINK__" localSheetId="20" hidden="1">{"fdsup://Directions/FactSet Auditing Viewer?action=AUDIT_VALUE&amp;DB=129&amp;ID1=53271610&amp;VALUEID=13040&amp;SDATE=200902&amp;PERIODTYPE=QTR_STD&amp;window=popup_no_bar&amp;width=385&amp;height=120&amp;START_MAXIMIZED=FALSE&amp;creator=factset&amp;display_string=Audit"}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localSheetId="1" hidden="1">{"fdsup://Directions/FactSet Auditing Viewer?action=AUDIT_VALUE&amp;DB=129&amp;ID1=46612H40&amp;VALUEID=02101&amp;SDATE=200902&amp;PERIODTYPE=QTR_STD&amp;window=popup_no_bar&amp;width=385&amp;height=120&amp;START_MAXIMIZED=FALSE&amp;creator=factset&amp;display_string=Audit"}</definedName>
    <definedName name="_2208__FDSAUDITLINK__" localSheetId="20" hidden="1">{"fdsup://Directions/FactSet Auditing Viewer?action=AUDIT_VALUE&amp;DB=129&amp;ID1=46612H40&amp;VALUEID=02101&amp;SDATE=200902&amp;PERIODTYPE=QTR_STD&amp;window=popup_no_bar&amp;width=385&amp;height=120&amp;START_MAXIMIZED=FALSE&amp;creator=factset&amp;display_string=Audit"}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localSheetId="1" hidden="1">{"fdsup://Directions/FactSet Auditing Viewer?action=AUDIT_VALUE&amp;DB=129&amp;ID1=46612H40&amp;VALUEID=01001&amp;SDATE=200902&amp;PERIODTYPE=QTR_STD&amp;window=popup_no_bar&amp;width=385&amp;height=120&amp;START_MAXIMIZED=FALSE&amp;creator=factset&amp;display_string=Audit"}</definedName>
    <definedName name="_2209__FDSAUDITLINK__" localSheetId="20" hidden="1">{"fdsup://Directions/FactSet Auditing Viewer?action=AUDIT_VALUE&amp;DB=129&amp;ID1=46612H40&amp;VALUEID=01001&amp;SDATE=200902&amp;PERIODTYPE=QTR_STD&amp;window=popup_no_bar&amp;width=385&amp;height=120&amp;START_MAXIMIZED=FALSE&amp;creator=factset&amp;display_string=Audit"}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221__FDSAUDITLINK__" localSheetId="20" hidden="1">{"fdsup://Directions/FactSet Auditing Viewer?action=AUDIT_VALUE&amp;DB=129&amp;ID1=00786510&amp;VALUEID=01001&amp;SDATE=200703&amp;PERIODTYPE=QTR_STD&amp;window=popup_no_bar&amp;width=385&amp;height=120&amp;START_MAXIMIZED=FALSE&amp;creator=factset&amp;display_string=Audit"}</definedName>
    <definedName name="_221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210__FDSAUDITLINK__" localSheetId="1" hidden="1">{"fdsup://Directions/FactSet Auditing Viewer?action=AUDIT_VALUE&amp;DB=129&amp;ID1=46612H40&amp;VALUEID=13040&amp;SDATE=200902&amp;PERIODTYPE=QTR_STD&amp;window=popup_no_bar&amp;width=385&amp;height=120&amp;START_MAXIMIZED=FALSE&amp;creator=factset&amp;display_string=Audit"}</definedName>
    <definedName name="_2210__FDSAUDITLINK__" localSheetId="20" hidden="1">{"fdsup://Directions/FactSet Auditing Viewer?action=AUDIT_VALUE&amp;DB=129&amp;ID1=46612H40&amp;VALUEID=13040&amp;SDATE=200902&amp;PERIODTYPE=QTR_STD&amp;window=popup_no_bar&amp;width=385&amp;height=120&amp;START_MAXIMIZED=FALSE&amp;creator=factset&amp;display_string=Audit"}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localSheetId="1" hidden="1">{"fdsup://Directions/FactSet Auditing Viewer?action=AUDIT_VALUE&amp;DB=129&amp;ID1=36476010&amp;VALUEID=02101&amp;SDATE=200902&amp;PERIODTYPE=QTR_STD&amp;window=popup_no_bar&amp;width=385&amp;height=120&amp;START_MAXIMIZED=FALSE&amp;creator=factset&amp;display_string=Audit"}</definedName>
    <definedName name="_2211__FDSAUDITLINK__" localSheetId="20" hidden="1">{"fdsup://Directions/FactSet Auditing Viewer?action=AUDIT_VALUE&amp;DB=129&amp;ID1=36476010&amp;VALUEID=02101&amp;SDATE=200902&amp;PERIODTYPE=QTR_STD&amp;window=popup_no_bar&amp;width=385&amp;height=120&amp;START_MAXIMIZED=FALSE&amp;creator=factset&amp;display_string=Audit"}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localSheetId="1" hidden="1">{"fdsup://Directions/FactSet Auditing Viewer?action=AUDIT_VALUE&amp;DB=129&amp;ID1=36476010&amp;VALUEID=01001&amp;SDATE=200902&amp;PERIODTYPE=QTR_STD&amp;window=popup_no_bar&amp;width=385&amp;height=120&amp;START_MAXIMIZED=FALSE&amp;creator=factset&amp;display_string=Audit"}</definedName>
    <definedName name="_2212__FDSAUDITLINK__" localSheetId="20" hidden="1">{"fdsup://Directions/FactSet Auditing Viewer?action=AUDIT_VALUE&amp;DB=129&amp;ID1=36476010&amp;VALUEID=01001&amp;SDATE=200902&amp;PERIODTYPE=QTR_STD&amp;window=popup_no_bar&amp;width=385&amp;height=120&amp;START_MAXIMIZED=FALSE&amp;creator=factset&amp;display_string=Audit"}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localSheetId="1" hidden="1">{"fdsup://Directions/FactSet Auditing Viewer?action=AUDIT_VALUE&amp;DB=129&amp;ID1=36476010&amp;VALUEID=13040&amp;SDATE=200902&amp;PERIODTYPE=QTR_STD&amp;window=popup_no_bar&amp;width=385&amp;height=120&amp;START_MAXIMIZED=FALSE&amp;creator=factset&amp;display_string=Audit"}</definedName>
    <definedName name="_2213__FDSAUDITLINK__" localSheetId="20" hidden="1">{"fdsup://Directions/FactSet Auditing Viewer?action=AUDIT_VALUE&amp;DB=129&amp;ID1=36476010&amp;VALUEID=13040&amp;SDATE=200902&amp;PERIODTYPE=QTR_STD&amp;window=popup_no_bar&amp;width=385&amp;height=120&amp;START_MAXIMIZED=FALSE&amp;creator=factset&amp;display_string=Audit"}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2214__FDSAUDITLINK__" localSheetId="20" hidden="1">{"fdsup://Directions/FactSet Auditing Viewer?action=AUDIT_VALUE&amp;DB=129&amp;ID1=03611510&amp;VALUEID=02101&amp;SDATE=200902&amp;PERIODTYPE=QTR_STD&amp;window=popup_no_bar&amp;width=385&amp;height=120&amp;START_MAXIMIZED=FALSE&amp;creator=factset&amp;display_string=Audit"}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2215__FDSAUDITLINK__" localSheetId="20" hidden="1">{"fdsup://Directions/FactSet Auditing Viewer?action=AUDIT_VALUE&amp;DB=129&amp;ID1=03611510&amp;VALUEID=01001&amp;SDATE=200902&amp;PERIODTYPE=QTR_STD&amp;window=popup_no_bar&amp;width=385&amp;height=120&amp;START_MAXIMIZED=FALSE&amp;creator=factset&amp;display_string=Audit"}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2216__FDSAUDITLINK__" localSheetId="20" hidden="1">{"fdsup://Directions/FactSet Auditing Viewer?action=AUDIT_VALUE&amp;DB=129&amp;ID1=03611510&amp;VALUEID=13040&amp;SDATE=200902&amp;PERIODTYPE=QTR_STD&amp;window=popup_no_bar&amp;width=385&amp;height=120&amp;START_MAXIMIZED=FALSE&amp;creator=factset&amp;display_string=Audit"}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2217__FDSAUDITLINK__" localSheetId="20" hidden="1">{"fdsup://Directions/FactSet Auditing Viewer?action=AUDIT_VALUE&amp;DB=129&amp;ID1=16890510&amp;VALUEID=02101&amp;SDATE=200902&amp;PERIODTYPE=QTR_STD&amp;window=popup_no_bar&amp;width=385&amp;height=120&amp;START_MAXIMIZED=FALSE&amp;creator=factset&amp;display_string=Audit"}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2218__FDSAUDITLINK__" localSheetId="20" hidden="1">{"fdsup://Directions/FactSet Auditing Viewer?action=AUDIT_VALUE&amp;DB=129&amp;ID1=16890510&amp;VALUEID=01001&amp;SDATE=200902&amp;PERIODTYPE=QTR_STD&amp;window=popup_no_bar&amp;width=385&amp;height=120&amp;START_MAXIMIZED=FALSE&amp;creator=factset&amp;display_string=Audit"}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localSheetId="1" hidden="1">{"fdsup://Directions/FactSet Auditing Viewer?action=AUDIT_VALUE&amp;DB=129&amp;ID1=91704710&amp;VALUEID=02101&amp;SDATE=200902&amp;PERIODTYPE=QTR_STD&amp;window=popup_no_bar&amp;width=385&amp;height=120&amp;START_MAXIMIZED=FALSE&amp;creator=factset&amp;display_string=Audit"}</definedName>
    <definedName name="_2219__FDSAUDITLINK__" localSheetId="20" hidden="1">{"fdsup://Directions/FactSet Auditing Viewer?action=AUDIT_VALUE&amp;DB=129&amp;ID1=91704710&amp;VALUEID=02101&amp;SDATE=200902&amp;PERIODTYPE=QTR_STD&amp;window=popup_no_bar&amp;width=385&amp;height=120&amp;START_MAXIMIZED=FALSE&amp;creator=factset&amp;display_string=Audit"}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222__FDSAUDITLINK__" localSheetId="20" hidden="1">{"fdsup://Directions/FactSet Auditing Viewer?action=AUDIT_VALUE&amp;DB=129&amp;ID1=00786510&amp;VALUEID=13040&amp;SDATE=200703&amp;PERIODTYPE=QTR_STD&amp;window=popup_no_bar&amp;width=385&amp;height=120&amp;START_MAXIMIZED=FALSE&amp;creator=factset&amp;display_string=Audit"}</definedName>
    <definedName name="_222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220__FDSAUDITLINK__" localSheetId="1" hidden="1">{"fdsup://Directions/FactSet Auditing Viewer?action=AUDIT_VALUE&amp;DB=129&amp;ID1=91704710&amp;VALUEID=01001&amp;SDATE=200902&amp;PERIODTYPE=QTR_STD&amp;window=popup_no_bar&amp;width=385&amp;height=120&amp;START_MAXIMIZED=FALSE&amp;creator=factset&amp;display_string=Audit"}</definedName>
    <definedName name="_2220__FDSAUDITLINK__" localSheetId="20" hidden="1">{"fdsup://Directions/FactSet Auditing Viewer?action=AUDIT_VALUE&amp;DB=129&amp;ID1=91704710&amp;VALUEID=01001&amp;SDATE=200902&amp;PERIODTYPE=QTR_STD&amp;window=popup_no_bar&amp;width=385&amp;height=120&amp;START_MAXIMIZED=FALSE&amp;creator=factset&amp;display_string=Audit"}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localSheetId="1" hidden="1">{"fdsup://Directions/FactSet Auditing Viewer?action=AUDIT_VALUE&amp;DB=129&amp;ID1=02553E10&amp;VALUEID=02101&amp;SDATE=200902&amp;PERIODTYPE=QTR_STD&amp;window=popup_no_bar&amp;width=385&amp;height=120&amp;START_MAXIMIZED=FALSE&amp;creator=factset&amp;display_string=Audit"}</definedName>
    <definedName name="_2221__FDSAUDITLINK__" localSheetId="20" hidden="1">{"fdsup://Directions/FactSet Auditing Viewer?action=AUDIT_VALUE&amp;DB=129&amp;ID1=02553E10&amp;VALUEID=02101&amp;SDATE=200902&amp;PERIODTYPE=QTR_STD&amp;window=popup_no_bar&amp;width=385&amp;height=120&amp;START_MAXIMIZED=FALSE&amp;creator=factset&amp;display_string=Audit"}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localSheetId="1" hidden="1">{"fdsup://Directions/FactSet Auditing Viewer?action=AUDIT_VALUE&amp;DB=129&amp;ID1=02553E10&amp;VALUEID=01001&amp;SDATE=200902&amp;PERIODTYPE=QTR_STD&amp;window=popup_no_bar&amp;width=385&amp;height=120&amp;START_MAXIMIZED=FALSE&amp;creator=factset&amp;display_string=Audit"}</definedName>
    <definedName name="_2222__FDSAUDITLINK__" localSheetId="20" hidden="1">{"fdsup://Directions/FactSet Auditing Viewer?action=AUDIT_VALUE&amp;DB=129&amp;ID1=02553E10&amp;VALUEID=01001&amp;SDATE=200902&amp;PERIODTYPE=QTR_STD&amp;window=popup_no_bar&amp;width=385&amp;height=120&amp;START_MAXIMIZED=FALSE&amp;creator=factset&amp;display_string=Audit"}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localSheetId="1" hidden="1">{"fdsup://Directions/FactSet Auditing Viewer?action=AUDIT_VALUE&amp;DB=129&amp;ID1=02553E10&amp;VALUEID=13040&amp;SDATE=200902&amp;PERIODTYPE=QTR_STD&amp;window=popup_no_bar&amp;width=385&amp;height=120&amp;START_MAXIMIZED=FALSE&amp;creator=factset&amp;display_string=Audit"}</definedName>
    <definedName name="_2223__FDSAUDITLINK__" localSheetId="20" hidden="1">{"fdsup://Directions/FactSet Auditing Viewer?action=AUDIT_VALUE&amp;DB=129&amp;ID1=02553E10&amp;VALUEID=13040&amp;SDATE=200902&amp;PERIODTYPE=QTR_STD&amp;window=popup_no_bar&amp;width=385&amp;height=120&amp;START_MAXIMIZED=FALSE&amp;creator=factset&amp;display_string=Audit"}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localSheetId="1" hidden="1">{"fdsup://Directions/FactSet Auditing Viewer?action=AUDIT_VALUE&amp;DB=129&amp;ID1=00786510&amp;VALUEID=02101&amp;SDATE=200902&amp;PERIODTYPE=QTR_STD&amp;window=popup_no_bar&amp;width=385&amp;height=120&amp;START_MAXIMIZED=FALSE&amp;creator=factset&amp;display_string=Audit"}</definedName>
    <definedName name="_2224__FDSAUDITLINK__" localSheetId="20" hidden="1">{"fdsup://Directions/FactSet Auditing Viewer?action=AUDIT_VALUE&amp;DB=129&amp;ID1=00786510&amp;VALUEID=02101&amp;SDATE=200902&amp;PERIODTYPE=QTR_STD&amp;window=popup_no_bar&amp;width=385&amp;height=120&amp;START_MAXIMIZED=FALSE&amp;creator=factset&amp;display_string=Audit"}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localSheetId="1" hidden="1">{"fdsup://Directions/FactSet Auditing Viewer?action=AUDIT_VALUE&amp;DB=129&amp;ID1=00786510&amp;VALUEID=01001&amp;SDATE=200902&amp;PERIODTYPE=QTR_STD&amp;window=popup_no_bar&amp;width=385&amp;height=120&amp;START_MAXIMIZED=FALSE&amp;creator=factset&amp;display_string=Audit"}</definedName>
    <definedName name="_2225__FDSAUDITLINK__" localSheetId="20" hidden="1">{"fdsup://Directions/FactSet Auditing Viewer?action=AUDIT_VALUE&amp;DB=129&amp;ID1=00786510&amp;VALUEID=01001&amp;SDATE=200902&amp;PERIODTYPE=QTR_STD&amp;window=popup_no_bar&amp;width=385&amp;height=120&amp;START_MAXIMIZED=FALSE&amp;creator=factset&amp;display_string=Audit"}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localSheetId="1" hidden="1">{"fdsup://Directions/FactSet Auditing Viewer?action=AUDIT_VALUE&amp;DB=129&amp;ID1=00786510&amp;VALUEID=13040&amp;SDATE=200902&amp;PERIODTYPE=QTR_STD&amp;window=popup_no_bar&amp;width=385&amp;height=120&amp;START_MAXIMIZED=FALSE&amp;creator=factset&amp;display_string=Audit"}</definedName>
    <definedName name="_2226__FDSAUDITLINK__" localSheetId="20" hidden="1">{"fdsup://Directions/FactSet Auditing Viewer?action=AUDIT_VALUE&amp;DB=129&amp;ID1=00786510&amp;VALUEID=13040&amp;SDATE=200902&amp;PERIODTYPE=QTR_STD&amp;window=popup_no_bar&amp;width=385&amp;height=120&amp;START_MAXIMIZED=FALSE&amp;creator=factset&amp;display_string=Audit"}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localSheetId="1" hidden="1">{"fdsup://Directions/FactSet Auditing Viewer?action=AUDIT_VALUE&amp;DB=129&amp;ID1=00289620&amp;VALUEID=02101&amp;SDATE=200902&amp;PERIODTYPE=QTR_STD&amp;window=popup_no_bar&amp;width=385&amp;height=120&amp;START_MAXIMIZED=FALSE&amp;creator=factset&amp;display_string=Audit"}</definedName>
    <definedName name="_2227__FDSAUDITLINK__" localSheetId="20" hidden="1">{"fdsup://Directions/FactSet Auditing Viewer?action=AUDIT_VALUE&amp;DB=129&amp;ID1=00289620&amp;VALUEID=02101&amp;SDATE=200902&amp;PERIODTYPE=QTR_STD&amp;window=popup_no_bar&amp;width=385&amp;height=120&amp;START_MAXIMIZED=FALSE&amp;creator=factset&amp;display_string=Audit"}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localSheetId="1" hidden="1">{"fdsup://Directions/FactSet Auditing Viewer?action=AUDIT_VALUE&amp;DB=129&amp;ID1=00289620&amp;VALUEID=01001&amp;SDATE=200902&amp;PERIODTYPE=QTR_STD&amp;window=popup_no_bar&amp;width=385&amp;height=120&amp;START_MAXIMIZED=FALSE&amp;creator=factset&amp;display_string=Audit"}</definedName>
    <definedName name="_2228__FDSAUDITLINK__" localSheetId="20" hidden="1">{"fdsup://Directions/FactSet Auditing Viewer?action=AUDIT_VALUE&amp;DB=129&amp;ID1=00289620&amp;VALUEID=01001&amp;SDATE=200902&amp;PERIODTYPE=QTR_STD&amp;window=popup_no_bar&amp;width=385&amp;height=120&amp;START_MAXIMIZED=FALSE&amp;creator=factset&amp;display_string=Audit"}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localSheetId="1" hidden="1">{"fdsup://Directions/FactSet Auditing Viewer?action=AUDIT_VALUE&amp;DB=129&amp;ID1=00289620&amp;VALUEID=13040&amp;SDATE=200902&amp;PERIODTYPE=QTR_STD&amp;window=popup_no_bar&amp;width=385&amp;height=120&amp;START_MAXIMIZED=FALSE&amp;creator=factset&amp;display_string=Audit"}</definedName>
    <definedName name="_2229__FDSAUDITLINK__" localSheetId="20" hidden="1">{"fdsup://Directions/FactSet Auditing Viewer?action=AUDIT_VALUE&amp;DB=129&amp;ID1=00289620&amp;VALUEID=13040&amp;SDATE=200902&amp;PERIODTYPE=QTR_STD&amp;window=popup_no_bar&amp;width=385&amp;height=120&amp;START_MAXIMIZED=FALSE&amp;creator=factset&amp;display_string=Audit"}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223__FDSAUDITLINK__" localSheetId="20" hidden="1">{"fdsup://Directions/FactSet Auditing Viewer?action=AUDIT_VALUE&amp;DB=129&amp;ID1=00289620&amp;VALUEID=02101&amp;SDATE=200703&amp;PERIODTYPE=QTR_STD&amp;window=popup_no_bar&amp;width=385&amp;height=120&amp;START_MAXIMIZED=FALSE&amp;creator=factset&amp;display_string=Audit"}</definedName>
    <definedName name="_223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230__FDSAUDITLINK__" localSheetId="1" hidden="1">{"fdsup://Directions/FactSet Auditing Viewer?action=AUDIT_VALUE&amp;DB=129&amp;ID1=87416110&amp;VALUEID=02101&amp;SDATE=200901&amp;PERIODTYPE=QTR_STD&amp;window=popup_no_bar&amp;width=385&amp;height=120&amp;START_MAXIMIZED=FALSE&amp;creator=factset&amp;display_string=Audit"}</definedName>
    <definedName name="_2230__FDSAUDITLINK__" localSheetId="20" hidden="1">{"fdsup://Directions/FactSet Auditing Viewer?action=AUDIT_VALUE&amp;DB=129&amp;ID1=87416110&amp;VALUEID=02101&amp;SDATE=200901&amp;PERIODTYPE=QTR_STD&amp;window=popup_no_bar&amp;width=385&amp;height=120&amp;START_MAXIMIZED=FALSE&amp;creator=factset&amp;display_string=Audit"}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localSheetId="1" hidden="1">{"fdsup://Directions/FactSet Auditing Viewer?action=AUDIT_VALUE&amp;DB=129&amp;ID1=87416110&amp;VALUEID=01001&amp;SDATE=200901&amp;PERIODTYPE=QTR_STD&amp;window=popup_no_bar&amp;width=385&amp;height=120&amp;START_MAXIMIZED=FALSE&amp;creator=factset&amp;display_string=Audit"}</definedName>
    <definedName name="_2231__FDSAUDITLINK__" localSheetId="20" hidden="1">{"fdsup://Directions/FactSet Auditing Viewer?action=AUDIT_VALUE&amp;DB=129&amp;ID1=87416110&amp;VALUEID=01001&amp;SDATE=200901&amp;PERIODTYPE=QTR_STD&amp;window=popup_no_bar&amp;width=385&amp;height=120&amp;START_MAXIMIZED=FALSE&amp;creator=factset&amp;display_string=Audit"}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localSheetId="1" hidden="1">{"fdsup://Directions/FactSet Auditing Viewer?action=AUDIT_VALUE&amp;DB=129&amp;ID1=87416110&amp;VALUEID=13040&amp;SDATE=200901&amp;PERIODTYPE=QTR_STD&amp;window=popup_no_bar&amp;width=385&amp;height=120&amp;START_MAXIMIZED=FALSE&amp;creator=factset&amp;display_string=Audit"}</definedName>
    <definedName name="_2232__FDSAUDITLINK__" localSheetId="20" hidden="1">{"fdsup://Directions/FactSet Auditing Viewer?action=AUDIT_VALUE&amp;DB=129&amp;ID1=87416110&amp;VALUEID=13040&amp;SDATE=200901&amp;PERIODTYPE=QTR_STD&amp;window=popup_no_bar&amp;width=385&amp;height=120&amp;START_MAXIMIZED=FALSE&amp;creator=factset&amp;display_string=Audit"}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localSheetId="1"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3__FDSAUDITLINK__" localSheetId="20"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2234__FDSAUDITLINK__" localSheetId="20" hidden="1">{"fdsup://Directions/FactSet Auditing Viewer?action=AUDIT_VALUE&amp;DB=129&amp;ID1=53271610&amp;VALUEID=13040&amp;SDATE=200901&amp;PERIODTYPE=QTR_STD&amp;window=popup_no_bar&amp;width=385&amp;height=120&amp;START_MAXIMIZED=FALSE&amp;creator=factset&amp;display_string=Audit"}</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localSheetId="1" hidden="1">{"fdsup://Directions/FactSet Auditing Viewer?action=AUDIT_VALUE&amp;DB=129&amp;ID1=46612H40&amp;VALUEID=02101&amp;SDATE=200901&amp;PERIODTYPE=QTR_STD&amp;window=popup_no_bar&amp;width=385&amp;height=120&amp;START_MAXIMIZED=FALSE&amp;creator=factset&amp;display_string=Audit"}</definedName>
    <definedName name="_2235__FDSAUDITLINK__" localSheetId="20" hidden="1">{"fdsup://Directions/FactSet Auditing Viewer?action=AUDIT_VALUE&amp;DB=129&amp;ID1=46612H40&amp;VALUEID=02101&amp;SDATE=200901&amp;PERIODTYPE=QTR_STD&amp;window=popup_no_bar&amp;width=385&amp;height=120&amp;START_MAXIMIZED=FALSE&amp;creator=factset&amp;display_string=Audit"}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localSheetId="1" hidden="1">{"fdsup://Directions/FactSet Auditing Viewer?action=AUDIT_VALUE&amp;DB=129&amp;ID1=46612H40&amp;VALUEID=01001&amp;SDATE=200901&amp;PERIODTYPE=QTR_STD&amp;window=popup_no_bar&amp;width=385&amp;height=120&amp;START_MAXIMIZED=FALSE&amp;creator=factset&amp;display_string=Audit"}</definedName>
    <definedName name="_2236__FDSAUDITLINK__" localSheetId="20" hidden="1">{"fdsup://Directions/FactSet Auditing Viewer?action=AUDIT_VALUE&amp;DB=129&amp;ID1=46612H40&amp;VALUEID=01001&amp;SDATE=200901&amp;PERIODTYPE=QTR_STD&amp;window=popup_no_bar&amp;width=385&amp;height=120&amp;START_MAXIMIZED=FALSE&amp;creator=factset&amp;display_string=Audit"}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localSheetId="1" hidden="1">{"fdsup://Directions/FactSet Auditing Viewer?action=AUDIT_VALUE&amp;DB=129&amp;ID1=46612H40&amp;VALUEID=13040&amp;SDATE=200901&amp;PERIODTYPE=QTR_STD&amp;window=popup_no_bar&amp;width=385&amp;height=120&amp;START_MAXIMIZED=FALSE&amp;creator=factset&amp;display_string=Audit"}</definedName>
    <definedName name="_2237__FDSAUDITLINK__" localSheetId="20" hidden="1">{"fdsup://Directions/FactSet Auditing Viewer?action=AUDIT_VALUE&amp;DB=129&amp;ID1=46612H40&amp;VALUEID=13040&amp;SDATE=200901&amp;PERIODTYPE=QTR_STD&amp;window=popup_no_bar&amp;width=385&amp;height=120&amp;START_MAXIMIZED=FALSE&amp;creator=factset&amp;display_string=Audit"}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2238__FDSAUDITLINK__" localSheetId="20" hidden="1">{"fdsup://Directions/FactSet Auditing Viewer?action=AUDIT_VALUE&amp;DB=129&amp;ID1=03611510&amp;VALUEID=02101&amp;SDATE=200901&amp;PERIODTYPE=QTR_STD&amp;window=popup_no_bar&amp;width=385&amp;height=120&amp;START_MAXIMIZED=FALSE&amp;creator=factset&amp;display_string=Audit"}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2239__FDSAUDITLINK__" localSheetId="20" hidden="1">{"fdsup://Directions/FactSet Auditing Viewer?action=AUDIT_VALUE&amp;DB=129&amp;ID1=03611510&amp;VALUEID=01001&amp;SDATE=200901&amp;PERIODTYPE=QTR_STD&amp;window=popup_no_bar&amp;width=385&amp;height=120&amp;START_MAXIMIZED=FALSE&amp;creator=factset&amp;display_string=Audit"}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224__FDSAUDITLINK__" localSheetId="20" hidden="1">{"fdsup://Directions/FactSet Auditing Viewer?action=AUDIT_VALUE&amp;DB=129&amp;ID1=00289620&amp;VALUEID=01001&amp;SDATE=200703&amp;PERIODTYPE=QTR_STD&amp;window=popup_no_bar&amp;width=385&amp;height=120&amp;START_MAXIMIZED=FALSE&amp;creator=factset&amp;display_string=Audit"}</definedName>
    <definedName name="_224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240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2240__FDSAUDITLINK__" localSheetId="20" hidden="1">{"fdsup://Directions/FactSet Auditing Viewer?action=AUDIT_VALUE&amp;DB=129&amp;ID1=16890510&amp;VALUEID=02101&amp;SDATE=200901&amp;PERIODTYPE=QTR_STD&amp;window=popup_no_bar&amp;width=385&amp;height=120&amp;START_MAXIMIZED=FALSE&amp;creator=factset&amp;display_string=Audit"}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2241__FDSAUDITLINK__" localSheetId="20" hidden="1">{"fdsup://Directions/FactSet Auditing Viewer?action=AUDIT_VALUE&amp;DB=129&amp;ID1=16890510&amp;VALUEID=01001&amp;SDATE=200901&amp;PERIODTYPE=QTR_STD&amp;window=popup_no_bar&amp;width=385&amp;height=120&amp;START_MAXIMIZED=FALSE&amp;creator=factset&amp;display_string=Audit"}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localSheetId="1" hidden="1">{"fdsup://Directions/FactSet Auditing Viewer?action=AUDIT_VALUE&amp;DB=129&amp;ID1=00786510&amp;VALUEID=02101&amp;SDATE=200901&amp;PERIODTYPE=QTR_STD&amp;window=popup_no_bar&amp;width=385&amp;height=120&amp;START_MAXIMIZED=FALSE&amp;creator=factset&amp;display_string=Audit"}</definedName>
    <definedName name="_2242__FDSAUDITLINK__" localSheetId="20" hidden="1">{"fdsup://Directions/FactSet Auditing Viewer?action=AUDIT_VALUE&amp;DB=129&amp;ID1=00786510&amp;VALUEID=02101&amp;SDATE=200901&amp;PERIODTYPE=QTR_STD&amp;window=popup_no_bar&amp;width=385&amp;height=120&amp;START_MAXIMIZED=FALSE&amp;creator=factset&amp;display_string=Audit"}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localSheetId="1" hidden="1">{"fdsup://Directions/FactSet Auditing Viewer?action=AUDIT_VALUE&amp;DB=129&amp;ID1=00786510&amp;VALUEID=01001&amp;SDATE=200901&amp;PERIODTYPE=QTR_STD&amp;window=popup_no_bar&amp;width=385&amp;height=120&amp;START_MAXIMIZED=FALSE&amp;creator=factset&amp;display_string=Audit"}</definedName>
    <definedName name="_2243__FDSAUDITLINK__" localSheetId="20" hidden="1">{"fdsup://Directions/FactSet Auditing Viewer?action=AUDIT_VALUE&amp;DB=129&amp;ID1=00786510&amp;VALUEID=01001&amp;SDATE=200901&amp;PERIODTYPE=QTR_STD&amp;window=popup_no_bar&amp;width=385&amp;height=120&amp;START_MAXIMIZED=FALSE&amp;creator=factset&amp;display_string=Audit"}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2244__FDSAUDITLINK__" localSheetId="20" hidden="1">{"fdsup://Directions/FactSet Auditing Viewer?action=AUDIT_VALUE&amp;DB=129&amp;ID1=00786510&amp;VALUEID=13040&amp;SDATE=200901&amp;PERIODTYPE=QTR_STD&amp;window=popup_no_bar&amp;width=385&amp;height=120&amp;START_MAXIMIZED=FALSE&amp;creator=factset&amp;display_string=Audit"}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2245__FDSAUDITLINK__" localSheetId="20" hidden="1">{"fdsup://Directions/FactSet Auditing Viewer?action=AUDIT_VALUE&amp;DB=129&amp;ID1=00289620&amp;VALUEID=13040&amp;SDATE=200901&amp;PERIODTYPE=QTR_STD&amp;window=popup_no_bar&amp;width=385&amp;height=120&amp;START_MAXIMIZED=FALSE&amp;creator=factset&amp;display_string=Audit"}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2246__FDSAUDITLINK__" localSheetId="20" hidden="1">{"fdsup://Directions/FactSet Auditing Viewer?action=AUDIT_VALUE&amp;DB=129&amp;ID1=87416110&amp;VALUEID=01001&amp;SDATE=200804&amp;PERIODTYPE=QTR_STD&amp;window=popup_no_bar&amp;width=385&amp;height=120&amp;START_MAXIMIZED=FALSE&amp;creator=factset&amp;display_string=Audit"}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7__FDSAUDITLINK__" localSheetId="20"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2248__FDSAUDITLINK__" localSheetId="20" hidden="1">{"fdsup://Directions/FactSet Auditing Viewer?action=AUDIT_VALUE&amp;DB=129&amp;ID1=46612H40&amp;VALUEID=01001&amp;SDATE=200804&amp;PERIODTYPE=QTR_STD&amp;window=popup_no_bar&amp;width=385&amp;height=120&amp;START_MAXIMIZED=FALSE&amp;creator=factset&amp;display_string=Audit"}</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2249__FDSAUDITLINK__" localSheetId="20" hidden="1">{"fdsup://Directions/FactSet Auditing Viewer?action=AUDIT_VALUE&amp;DB=129&amp;ID1=46612H40&amp;VALUEID=13040&amp;SDATE=200804&amp;PERIODTYPE=QTR_STD&amp;window=popup_no_bar&amp;width=385&amp;height=120&amp;START_MAXIMIZED=FALSE&amp;creator=factset&amp;display_string=Audit"}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225__FDSAUDITLINK__" localSheetId="20" hidden="1">{"fdsup://Directions/FactSet Auditing Viewer?action=AUDIT_VALUE&amp;DB=129&amp;ID1=00289620&amp;VALUEID=13040&amp;SDATE=200703&amp;PERIODTYPE=QTR_STD&amp;window=popup_no_bar&amp;width=385&amp;height=120&amp;START_MAXIMIZED=FALSE&amp;creator=factset&amp;display_string=Audit"}</definedName>
    <definedName name="_225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250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2250__FDSAUDITLINK__" localSheetId="20" hidden="1">{"fdsup://Directions/FactSet Auditing Viewer?action=AUDIT_VALUE&amp;DB=129&amp;ID1=36476010&amp;VALUEID=01001&amp;SDATE=200804&amp;PERIODTYPE=QTR_STD&amp;window=popup_no_bar&amp;width=385&amp;height=120&amp;START_MAXIMIZED=FALSE&amp;creator=factset&amp;display_string=Audit"}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2251__FDSAUDITLINK__" localSheetId="20" hidden="1">{"fdsup://Directions/FactSet Auditing Viewer?action=AUDIT_VALUE&amp;DB=129&amp;ID1=03611510&amp;VALUEID=01001&amp;SDATE=200804&amp;PERIODTYPE=QTR_STD&amp;window=popup_no_bar&amp;width=385&amp;height=120&amp;START_MAXIMIZED=FALSE&amp;creator=factset&amp;display_string=Audit"}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2252__FDSAUDITLINK__" localSheetId="20" hidden="1">{"fdsup://Directions/FactSet Auditing Viewer?action=AUDIT_VALUE&amp;DB=129&amp;ID1=16890510&amp;VALUEID=01001&amp;SDATE=200804&amp;PERIODTYPE=QTR_STD&amp;window=popup_no_bar&amp;width=385&amp;height=120&amp;START_MAXIMIZED=FALSE&amp;creator=factset&amp;display_string=Audit"}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2253__FDSAUDITLINK__" localSheetId="20" hidden="1">{"fdsup://Directions/FactSet Auditing Viewer?action=AUDIT_VALUE&amp;DB=129&amp;ID1=00786510&amp;VALUEID=01001&amp;SDATE=200804&amp;PERIODTYPE=QTR_STD&amp;window=popup_no_bar&amp;width=385&amp;height=120&amp;START_MAXIMIZED=FALSE&amp;creator=factset&amp;display_string=Audit"}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2254__FDSAUDITLINK__" localSheetId="20" hidden="1">{"fdsup://Directions/FactSet Auditing Viewer?action=AUDIT_VALUE&amp;DB=129&amp;ID1=87416110&amp;VALUEID=02101&amp;SDATE=200803&amp;PERIODTYPE=QTR_STD&amp;window=popup_no_bar&amp;width=385&amp;height=120&amp;START_MAXIMIZED=FALSE&amp;creator=factset&amp;display_string=Audit"}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2255__FDSAUDITLINK__" localSheetId="20" hidden="1">{"fdsup://Directions/FactSet Auditing Viewer?action=AUDIT_VALUE&amp;DB=129&amp;ID1=87416110&amp;VALUEID=01001&amp;SDATE=200803&amp;PERIODTYPE=QTR_STD&amp;window=popup_no_bar&amp;width=385&amp;height=120&amp;START_MAXIMIZED=FALSE&amp;creator=factset&amp;display_string=Audit"}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2256__FDSAUDITLINK__" localSheetId="20" hidden="1">{"fdsup://Directions/FactSet Auditing Viewer?action=AUDIT_VALUE&amp;DB=129&amp;ID1=87416110&amp;VALUEID=13040&amp;SDATE=200803&amp;PERIODTYPE=QTR_STD&amp;window=popup_no_bar&amp;width=385&amp;height=120&amp;START_MAXIMIZED=FALSE&amp;creator=factset&amp;display_string=Audit"}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7__FDSAUDITLINK__" localSheetId="20"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2258__FDSAUDITLINK__" localSheetId="20" hidden="1">{"fdsup://Directions/FactSet Auditing Viewer?action=AUDIT_VALUE&amp;DB=129&amp;ID1=46612H40&amp;VALUEID=02101&amp;SDATE=200803&amp;PERIODTYPE=QTR_STD&amp;window=popup_no_bar&amp;width=385&amp;height=120&amp;START_MAXIMIZED=FALSE&amp;creator=factset&amp;display_string=Audit"}</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2259__FDSAUDITLINK__" localSheetId="20" hidden="1">{"fdsup://Directions/FactSet Auditing Viewer?action=AUDIT_VALUE&amp;DB=129&amp;ID1=46612H40&amp;VALUEID=01001&amp;SDATE=200803&amp;PERIODTYPE=QTR_STD&amp;window=popup_no_bar&amp;width=385&amp;height=120&amp;START_MAXIMIZED=FALSE&amp;creator=factset&amp;display_string=Audit"}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226__FDSAUDITLINK__" localSheetId="20" hidden="1">{"fdsup://Directions/FactSet Auditing Viewer?action=AUDIT_VALUE&amp;DB=129&amp;ID1=87416110&amp;VALUEID=02101&amp;SDATE=200702&amp;PERIODTYPE=QTR_STD&amp;window=popup_no_bar&amp;width=385&amp;height=120&amp;START_MAXIMIZED=FALSE&amp;creator=factset&amp;display_string=Audit"}</definedName>
    <definedName name="_226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260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2260__FDSAUDITLINK__" localSheetId="20" hidden="1">{"fdsup://Directions/FactSet Auditing Viewer?action=AUDIT_VALUE&amp;DB=129&amp;ID1=46612H40&amp;VALUEID=13040&amp;SDATE=200803&amp;PERIODTYPE=QTR_STD&amp;window=popup_no_bar&amp;width=385&amp;height=120&amp;START_MAXIMIZED=FALSE&amp;creator=factset&amp;display_string=Audit"}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2261__FDSAUDITLINK__" localSheetId="20" hidden="1">{"fdsup://Directions/FactSet Auditing Viewer?action=AUDIT_VALUE&amp;DB=129&amp;ID1=36476010&amp;VALUEID=02101&amp;SDATE=200803&amp;PERIODTYPE=QTR_STD&amp;window=popup_no_bar&amp;width=385&amp;height=120&amp;START_MAXIMIZED=FALSE&amp;creator=factset&amp;display_string=Audit"}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2262__FDSAUDITLINK__" localSheetId="20" hidden="1">{"fdsup://Directions/FactSet Auditing Viewer?action=AUDIT_VALUE&amp;DB=129&amp;ID1=36476010&amp;VALUEID=01001&amp;SDATE=200803&amp;PERIODTYPE=QTR_STD&amp;window=popup_no_bar&amp;width=385&amp;height=120&amp;START_MAXIMIZED=FALSE&amp;creator=factset&amp;display_string=Audit"}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2263__FDSAUDITLINK__" localSheetId="20" hidden="1">{"fdsup://Directions/FactSet Auditing Viewer?action=AUDIT_VALUE&amp;DB=129&amp;ID1=36476010&amp;VALUEID=13040&amp;SDATE=200803&amp;PERIODTYPE=QTR_STD&amp;window=popup_no_bar&amp;width=385&amp;height=120&amp;START_MAXIMIZED=FALSE&amp;creator=factset&amp;display_string=Audit"}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2264__FDSAUDITLINK__" localSheetId="20" hidden="1">{"fdsup://Directions/FactSet Auditing Viewer?action=AUDIT_VALUE&amp;DB=129&amp;ID1=03611510&amp;VALUEID=02101&amp;SDATE=200803&amp;PERIODTYPE=QTR_STD&amp;window=popup_no_bar&amp;width=385&amp;height=120&amp;START_MAXIMIZED=FALSE&amp;creator=factset&amp;display_string=Audit"}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2265__FDSAUDITLINK__" localSheetId="20" hidden="1">{"fdsup://Directions/FactSet Auditing Viewer?action=AUDIT_VALUE&amp;DB=129&amp;ID1=03611510&amp;VALUEID=01001&amp;SDATE=200803&amp;PERIODTYPE=QTR_STD&amp;window=popup_no_bar&amp;width=385&amp;height=120&amp;START_MAXIMIZED=FALSE&amp;creator=factset&amp;display_string=Audit"}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2266__FDSAUDITLINK__" localSheetId="20" hidden="1">{"fdsup://Directions/FactSet Auditing Viewer?action=AUDIT_VALUE&amp;DB=129&amp;ID1=16890510&amp;VALUEID=02101&amp;SDATE=200803&amp;PERIODTYPE=QTR_STD&amp;window=popup_no_bar&amp;width=385&amp;height=120&amp;START_MAXIMIZED=FALSE&amp;creator=factset&amp;display_string=Audit"}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2267__FDSAUDITLINK__" localSheetId="20" hidden="1">{"fdsup://Directions/FactSet Auditing Viewer?action=AUDIT_VALUE&amp;DB=129&amp;ID1=16890510&amp;VALUEID=01001&amp;SDATE=200803&amp;PERIODTYPE=QTR_STD&amp;window=popup_no_bar&amp;width=385&amp;height=120&amp;START_MAXIMIZED=FALSE&amp;creator=factset&amp;display_string=Audit"}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2268__FDSAUDITLINK__" localSheetId="20" hidden="1">{"fdsup://Directions/FactSet Auditing Viewer?action=AUDIT_VALUE&amp;DB=129&amp;ID1=91704710&amp;VALUEID=02101&amp;SDATE=200803&amp;PERIODTYPE=QTR_STD&amp;window=popup_no_bar&amp;width=385&amp;height=120&amp;START_MAXIMIZED=FALSE&amp;creator=factset&amp;display_string=Audit"}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2269__FDSAUDITLINK__" localSheetId="20" hidden="1">{"fdsup://Directions/FactSet Auditing Viewer?action=AUDIT_VALUE&amp;DB=129&amp;ID1=91704710&amp;VALUEID=01001&amp;SDATE=200803&amp;PERIODTYPE=QTR_STD&amp;window=popup_no_bar&amp;width=385&amp;height=120&amp;START_MAXIMIZED=FALSE&amp;creator=factset&amp;display_string=Audit"}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227__FDSAUDITLINK__" localSheetId="20" hidden="1">{"fdsup://Directions/FactSet Auditing Viewer?action=AUDIT_VALUE&amp;DB=129&amp;ID1=87416110&amp;VALUEID=01001&amp;SDATE=200702&amp;PERIODTYPE=QTR_STD&amp;window=popup_no_bar&amp;width=385&amp;height=120&amp;START_MAXIMIZED=FALSE&amp;creator=factset&amp;display_string=Audit"}</definedName>
    <definedName name="_227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270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2270__FDSAUDITLINK__" localSheetId="20" hidden="1">{"fdsup://Directions/FactSet Auditing Viewer?action=AUDIT_VALUE&amp;DB=129&amp;ID1=91704710&amp;VALUEID=13040&amp;SDATE=200803&amp;PERIODTYPE=QTR_STD&amp;window=popup_no_bar&amp;width=385&amp;height=120&amp;START_MAXIMIZED=FALSE&amp;creator=factset&amp;display_string=Audit"}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2271__FDSAUDITLINK__" localSheetId="20" hidden="1">{"fdsup://Directions/FactSet Auditing Viewer?action=AUDIT_VALUE&amp;DB=129&amp;ID1=02553E10&amp;VALUEID=02101&amp;SDATE=200803&amp;PERIODTYPE=QTR_STD&amp;window=popup_no_bar&amp;width=385&amp;height=120&amp;START_MAXIMIZED=FALSE&amp;creator=factset&amp;display_string=Audit"}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2272__FDSAUDITLINK__" localSheetId="20" hidden="1">{"fdsup://Directions/FactSet Auditing Viewer?action=AUDIT_VALUE&amp;DB=129&amp;ID1=02553E10&amp;VALUEID=01001&amp;SDATE=200803&amp;PERIODTYPE=QTR_STD&amp;window=popup_no_bar&amp;width=385&amp;height=120&amp;START_MAXIMIZED=FALSE&amp;creator=factset&amp;display_string=Audit"}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2273__FDSAUDITLINK__" localSheetId="20" hidden="1">{"fdsup://Directions/FactSet Auditing Viewer?action=AUDIT_VALUE&amp;DB=129&amp;ID1=02553E10&amp;VALUEID=13040&amp;SDATE=200803&amp;PERIODTYPE=QTR_STD&amp;window=popup_no_bar&amp;width=385&amp;height=120&amp;START_MAXIMIZED=FALSE&amp;creator=factset&amp;display_string=Audit"}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2274__FDSAUDITLINK__" localSheetId="20" hidden="1">{"fdsup://Directions/FactSet Auditing Viewer?action=AUDIT_VALUE&amp;DB=129&amp;ID1=00786510&amp;VALUEID=02101&amp;SDATE=200803&amp;PERIODTYPE=QTR_STD&amp;window=popup_no_bar&amp;width=385&amp;height=120&amp;START_MAXIMIZED=FALSE&amp;creator=factset&amp;display_string=Audit"}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2275__FDSAUDITLINK__" localSheetId="20" hidden="1">{"fdsup://Directions/FactSet Auditing Viewer?action=AUDIT_VALUE&amp;DB=129&amp;ID1=00786510&amp;VALUEID=01001&amp;SDATE=200803&amp;PERIODTYPE=QTR_STD&amp;window=popup_no_bar&amp;width=385&amp;height=120&amp;START_MAXIMIZED=FALSE&amp;creator=factset&amp;display_string=Audit"}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2276__FDSAUDITLINK__" localSheetId="20" hidden="1">{"fdsup://Directions/FactSet Auditing Viewer?action=AUDIT_VALUE&amp;DB=129&amp;ID1=00786510&amp;VALUEID=13040&amp;SDATE=200803&amp;PERIODTYPE=QTR_STD&amp;window=popup_no_bar&amp;width=385&amp;height=120&amp;START_MAXIMIZED=FALSE&amp;creator=factset&amp;display_string=Audit"}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2277__FDSAUDITLINK__" localSheetId="20" hidden="1">{"fdsup://Directions/FactSet Auditing Viewer?action=AUDIT_VALUE&amp;DB=129&amp;ID1=00289620&amp;VALUEID=02101&amp;SDATE=200803&amp;PERIODTYPE=QTR_STD&amp;window=popup_no_bar&amp;width=385&amp;height=120&amp;START_MAXIMIZED=FALSE&amp;creator=factset&amp;display_string=Audit"}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2278__FDSAUDITLINK__" localSheetId="20" hidden="1">{"fdsup://Directions/FactSet Auditing Viewer?action=AUDIT_VALUE&amp;DB=129&amp;ID1=00289620&amp;VALUEID=01001&amp;SDATE=200803&amp;PERIODTYPE=QTR_STD&amp;window=popup_no_bar&amp;width=385&amp;height=120&amp;START_MAXIMIZED=FALSE&amp;creator=factset&amp;display_string=Audit"}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2279__FDSAUDITLINK__" localSheetId="20" hidden="1">{"fdsup://Directions/FactSet Auditing Viewer?action=AUDIT_VALUE&amp;DB=129&amp;ID1=00289620&amp;VALUEID=13040&amp;SDATE=200803&amp;PERIODTYPE=QTR_STD&amp;window=popup_no_bar&amp;width=385&amp;height=120&amp;START_MAXIMIZED=FALSE&amp;creator=factset&amp;display_string=Audit"}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228__FDSAUDITLINK__" localSheetId="20" hidden="1">{"fdsup://Directions/FactSet Auditing Viewer?action=AUDIT_VALUE&amp;DB=129&amp;ID1=53271610&amp;VALUEID=02101&amp;SDATE=200702&amp;PERIODTYPE=QTR_STD&amp;window=popup_no_bar&amp;width=385&amp;height=120&amp;START_MAXIMIZED=FALSE&amp;creator=factset&amp;display_string=Audit"}</definedName>
    <definedName name="_228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280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2280__FDSAUDITLINK__" localSheetId="20" hidden="1">{"fdsup://Directions/FactSet Auditing Viewer?action=AUDIT_VALUE&amp;DB=129&amp;ID1=87416110&amp;VALUEID=02101&amp;SDATE=200802&amp;PERIODTYPE=QTR_STD&amp;window=popup_no_bar&amp;width=385&amp;height=120&amp;START_MAXIMIZED=FALSE&amp;creator=factset&amp;display_string=Audit"}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2281__FDSAUDITLINK__" localSheetId="20" hidden="1">{"fdsup://Directions/FactSet Auditing Viewer?action=AUDIT_VALUE&amp;DB=129&amp;ID1=87416110&amp;VALUEID=01001&amp;SDATE=200802&amp;PERIODTYPE=QTR_STD&amp;window=popup_no_bar&amp;width=385&amp;height=120&amp;START_MAXIMIZED=FALSE&amp;creator=factset&amp;display_string=Audit"}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2282__FDSAUDITLINK__" localSheetId="20" hidden="1">{"fdsup://Directions/FactSet Auditing Viewer?action=AUDIT_VALUE&amp;DB=129&amp;ID1=53271610&amp;VALUEID=02101&amp;SDATE=200802&amp;PERIODTYPE=QTR_STD&amp;window=popup_no_bar&amp;width=385&amp;height=120&amp;START_MAXIMIZED=FALSE&amp;creator=factset&amp;display_string=Audit"}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2283__FDSAUDITLINK__" localSheetId="20" hidden="1">{"fdsup://Directions/FactSet Auditing Viewer?action=AUDIT_VALUE&amp;DB=129&amp;ID1=53271610&amp;VALUEID=01001&amp;SDATE=200802&amp;PERIODTYPE=QTR_STD&amp;window=popup_no_bar&amp;width=385&amp;height=120&amp;START_MAXIMIZED=FALSE&amp;creator=factset&amp;display_string=Audit"}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2284__FDSAUDITLINK__" localSheetId="20" hidden="1">{"fdsup://Directions/FactSet Auditing Viewer?action=AUDIT_VALUE&amp;DB=129&amp;ID1=53271610&amp;VALUEID=13040&amp;SDATE=200802&amp;PERIODTYPE=QTR_STD&amp;window=popup_no_bar&amp;width=385&amp;height=120&amp;START_MAXIMIZED=FALSE&amp;creator=factset&amp;display_string=Audit"}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2285__FDSAUDITLINK__" localSheetId="20" hidden="1">{"fdsup://Directions/FactSet Auditing Viewer?action=AUDIT_VALUE&amp;DB=129&amp;ID1=46612H40&amp;VALUEID=02101&amp;SDATE=200802&amp;PERIODTYPE=QTR_STD&amp;window=popup_no_bar&amp;width=385&amp;height=120&amp;START_MAXIMIZED=FALSE&amp;creator=factset&amp;display_string=Audit"}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2286__FDSAUDITLINK__" localSheetId="20" hidden="1">{"fdsup://Directions/FactSet Auditing Viewer?action=AUDIT_VALUE&amp;DB=129&amp;ID1=46612H40&amp;VALUEID=01001&amp;SDATE=200802&amp;PERIODTYPE=QTR_STD&amp;window=popup_no_bar&amp;width=385&amp;height=120&amp;START_MAXIMIZED=FALSE&amp;creator=factset&amp;display_string=Audit"}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2287__FDSAUDITLINK__" localSheetId="20" hidden="1">{"fdsup://Directions/FactSet Auditing Viewer?action=AUDIT_VALUE&amp;DB=129&amp;ID1=46612H40&amp;VALUEID=13040&amp;SDATE=200802&amp;PERIODTYPE=QTR_STD&amp;window=popup_no_bar&amp;width=385&amp;height=120&amp;START_MAXIMIZED=FALSE&amp;creator=factset&amp;display_string=Audit"}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2288__FDSAUDITLINK__" localSheetId="20" hidden="1">{"fdsup://Directions/FactSet Auditing Viewer?action=AUDIT_VALUE&amp;DB=129&amp;ID1=36476010&amp;VALUEID=02101&amp;SDATE=200802&amp;PERIODTYPE=QTR_STD&amp;window=popup_no_bar&amp;width=385&amp;height=120&amp;START_MAXIMIZED=FALSE&amp;creator=factset&amp;display_string=Audit"}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2289__FDSAUDITLINK__" localSheetId="20" hidden="1">{"fdsup://Directions/FactSet Auditing Viewer?action=AUDIT_VALUE&amp;DB=129&amp;ID1=36476010&amp;VALUEID=01001&amp;SDATE=200802&amp;PERIODTYPE=QTR_STD&amp;window=popup_no_bar&amp;width=385&amp;height=120&amp;START_MAXIMIZED=FALSE&amp;creator=factset&amp;display_string=Audit"}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229__FDSAUDITLINK__" localSheetId="20" hidden="1">{"fdsup://Directions/FactSet Auditing Viewer?action=AUDIT_VALUE&amp;DB=129&amp;ID1=53271610&amp;VALUEID=01001&amp;SDATE=200702&amp;PERIODTYPE=QTR_STD&amp;window=popup_no_bar&amp;width=385&amp;height=120&amp;START_MAXIMIZED=FALSE&amp;creator=factset&amp;display_string=Audit"}</definedName>
    <definedName name="_229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290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2290__FDSAUDITLINK__" localSheetId="20" hidden="1">{"fdsup://Directions/FactSet Auditing Viewer?action=AUDIT_VALUE&amp;DB=129&amp;ID1=36476010&amp;VALUEID=13040&amp;SDATE=200802&amp;PERIODTYPE=QTR_STD&amp;window=popup_no_bar&amp;width=385&amp;height=120&amp;START_MAXIMIZED=FALSE&amp;creator=factset&amp;display_string=Audit"}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2291__FDSAUDITLINK__" localSheetId="20" hidden="1">{"fdsup://Directions/FactSet Auditing Viewer?action=AUDIT_VALUE&amp;DB=129&amp;ID1=03611510&amp;VALUEID=02101&amp;SDATE=200802&amp;PERIODTYPE=QTR_STD&amp;window=popup_no_bar&amp;width=385&amp;height=120&amp;START_MAXIMIZED=FALSE&amp;creator=factset&amp;display_string=Audit"}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2292__FDSAUDITLINK__" localSheetId="20" hidden="1">{"fdsup://Directions/FactSet Auditing Viewer?action=AUDIT_VALUE&amp;DB=129&amp;ID1=03611510&amp;VALUEID=01001&amp;SDATE=200802&amp;PERIODTYPE=QTR_STD&amp;window=popup_no_bar&amp;width=385&amp;height=120&amp;START_MAXIMIZED=FALSE&amp;creator=factset&amp;display_string=Audit"}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2293__FDSAUDITLINK__" localSheetId="20" hidden="1">{"fdsup://Directions/FactSet Auditing Viewer?action=AUDIT_VALUE&amp;DB=129&amp;ID1=16890510&amp;VALUEID=02101&amp;SDATE=200802&amp;PERIODTYPE=QTR_STD&amp;window=popup_no_bar&amp;width=385&amp;height=120&amp;START_MAXIMIZED=FALSE&amp;creator=factset&amp;display_string=Audit"}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2294__FDSAUDITLINK__" localSheetId="20" hidden="1">{"fdsup://Directions/FactSet Auditing Viewer?action=AUDIT_VALUE&amp;DB=129&amp;ID1=16890510&amp;VALUEID=01001&amp;SDATE=200802&amp;PERIODTYPE=QTR_STD&amp;window=popup_no_bar&amp;width=385&amp;height=120&amp;START_MAXIMIZED=FALSE&amp;creator=factset&amp;display_string=Audit"}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2295__FDSAUDITLINK__" localSheetId="20" hidden="1">{"fdsup://Directions/FactSet Auditing Viewer?action=AUDIT_VALUE&amp;DB=129&amp;ID1=91704710&amp;VALUEID=02101&amp;SDATE=200802&amp;PERIODTYPE=QTR_STD&amp;window=popup_no_bar&amp;width=385&amp;height=120&amp;START_MAXIMIZED=FALSE&amp;creator=factset&amp;display_string=Audit"}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2296__FDSAUDITLINK__" localSheetId="20" hidden="1">{"fdsup://Directions/FactSet Auditing Viewer?action=AUDIT_VALUE&amp;DB=129&amp;ID1=91704710&amp;VALUEID=01001&amp;SDATE=200802&amp;PERIODTYPE=QTR_STD&amp;window=popup_no_bar&amp;width=385&amp;height=120&amp;START_MAXIMIZED=FALSE&amp;creator=factset&amp;display_string=Audit"}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2297__FDSAUDITLINK__" localSheetId="20" hidden="1">{"fdsup://Directions/FactSet Auditing Viewer?action=AUDIT_VALUE&amp;DB=129&amp;ID1=91704710&amp;VALUEID=13040&amp;SDATE=200802&amp;PERIODTYPE=QTR_STD&amp;window=popup_no_bar&amp;width=385&amp;height=120&amp;START_MAXIMIZED=FALSE&amp;creator=factset&amp;display_string=Audit"}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2298__FDSAUDITLINK__" localSheetId="20" hidden="1">{"fdsup://Directions/FactSet Auditing Viewer?action=AUDIT_VALUE&amp;DB=129&amp;ID1=02553E10&amp;VALUEID=02101&amp;SDATE=200802&amp;PERIODTYPE=QTR_STD&amp;window=popup_no_bar&amp;width=385&amp;height=120&amp;START_MAXIMIZED=FALSE&amp;creator=factset&amp;display_string=Audit"}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2299__FDSAUDITLINK__" localSheetId="20" hidden="1">{"fdsup://Directions/FactSet Auditing Viewer?action=AUDIT_VALUE&amp;DB=129&amp;ID1=02553E10&amp;VALUEID=01001&amp;SDATE=200802&amp;PERIODTYPE=QTR_STD&amp;window=popup_no_bar&amp;width=385&amp;height=120&amp;START_MAXIMIZED=FALSE&amp;creator=factset&amp;display_string=Audit"}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localSheetId="1" hidden="1">{"fdsup://directions/FAT Viewer?action=UPDATE&amp;creator=factset&amp;DYN_ARGS=TRUE&amp;DOC_NAME=FAT:FQL_AUDITING_CLIENT_TEMPLATE.FAT&amp;display_string=Audit&amp;VAR:KEY=MPKBQHWVYZ&amp;VAR:QUERY=RkZfRU5UUlBSX1ZBTF9FQklUREFfT1BFUihBTk4sMCk=&amp;WINDOW=FIRST_POPUP&amp;HEIGHT=450&amp;WIDTH=450&amp;","START_MAXIMIZED=FALSE&amp;VAR:CALENDAR=FIVEDAY&amp;VAR:SYMBOL=ARO&amp;VAR:INDEX=0"}</definedName>
    <definedName name="_23__FDSAUDITLINK__" localSheetId="20" hidden="1">{"fdsup://Directions/FactSet Auditing Viewer?action=AUDIT_VALUE&amp;DB=129&amp;ID1=46612H40&amp;VALUEID=01001&amp;SDATE=200904&amp;PERIODTYPE=QTR_STD&amp;window=popup_no_bar&amp;width=385&amp;height=120&amp;START_MAXIMIZED=FALSE&amp;creator=factset&amp;display_string=Audit"}</definedName>
    <definedName name="_23__FDSAUDITLINK__" hidden="1">{"fdsup://directions/FAT Viewer?action=UPDATE&amp;creator=factset&amp;DYN_ARGS=TRUE&amp;DOC_NAME=FAT:FQL_AUDITING_CLIENT_TEMPLATE.FAT&amp;display_string=Audit&amp;VAR:KEY=MPKBQHWVYZ&amp;VAR:QUERY=RkZfRU5UUlBSX1ZBTF9FQklUREFfT1BFUihBTk4sMCk=&amp;WINDOW=FIRST_POPUP&amp;HEIGHT=450&amp;WIDTH=450&amp;","START_MAXIMIZED=FALSE&amp;VAR:CALENDAR=FIVEDAY&amp;VAR:SYMBOL=ARO&amp;VAR:INDEX=0"}</definedName>
    <definedName name="_230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230__FDSAUDITLINK__" localSheetId="20" hidden="1">{"fdsup://Directions/FactSet Auditing Viewer?action=AUDIT_VALUE&amp;DB=129&amp;ID1=53271610&amp;VALUEID=13040&amp;SDATE=200702&amp;PERIODTYPE=QTR_STD&amp;window=popup_no_bar&amp;width=385&amp;height=120&amp;START_MAXIMIZED=FALSE&amp;creator=factset&amp;display_string=Audit"}</definedName>
    <definedName name="_23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00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2300__FDSAUDITLINK__" localSheetId="20" hidden="1">{"fdsup://Directions/FactSet Auditing Viewer?action=AUDIT_VALUE&amp;DB=129&amp;ID1=02553E10&amp;VALUEID=13040&amp;SDATE=200802&amp;PERIODTYPE=QTR_STD&amp;window=popup_no_bar&amp;width=385&amp;height=120&amp;START_MAXIMIZED=FALSE&amp;creator=factset&amp;display_string=Audit"}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2301__FDSAUDITLINK__" localSheetId="20" hidden="1">{"fdsup://Directions/FactSet Auditing Viewer?action=AUDIT_VALUE&amp;DB=129&amp;ID1=00786510&amp;VALUEID=02101&amp;SDATE=200802&amp;PERIODTYPE=QTR_STD&amp;window=popup_no_bar&amp;width=385&amp;height=120&amp;START_MAXIMIZED=FALSE&amp;creator=factset&amp;display_string=Audit"}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2302__FDSAUDITLINK__" localSheetId="20" hidden="1">{"fdsup://Directions/FactSet Auditing Viewer?action=AUDIT_VALUE&amp;DB=129&amp;ID1=00786510&amp;VALUEID=01001&amp;SDATE=200802&amp;PERIODTYPE=QTR_STD&amp;window=popup_no_bar&amp;width=385&amp;height=120&amp;START_MAXIMIZED=FALSE&amp;creator=factset&amp;display_string=Audit"}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2303__FDSAUDITLINK__" localSheetId="20" hidden="1">{"fdsup://Directions/FactSet Auditing Viewer?action=AUDIT_VALUE&amp;DB=129&amp;ID1=00786510&amp;VALUEID=13040&amp;SDATE=200802&amp;PERIODTYPE=QTR_STD&amp;window=popup_no_bar&amp;width=385&amp;height=120&amp;START_MAXIMIZED=FALSE&amp;creator=factset&amp;display_string=Audit"}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2304__FDSAUDITLINK__" localSheetId="20" hidden="1">{"fdsup://Directions/FactSet Auditing Viewer?action=AUDIT_VALUE&amp;DB=129&amp;ID1=00289620&amp;VALUEID=02101&amp;SDATE=200802&amp;PERIODTYPE=QTR_STD&amp;window=popup_no_bar&amp;width=385&amp;height=120&amp;START_MAXIMIZED=FALSE&amp;creator=factset&amp;display_string=Audit"}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2305__FDSAUDITLINK__" localSheetId="20" hidden="1">{"fdsup://Directions/FactSet Auditing Viewer?action=AUDIT_VALUE&amp;DB=129&amp;ID1=00289620&amp;VALUEID=01001&amp;SDATE=200802&amp;PERIODTYPE=QTR_STD&amp;window=popup_no_bar&amp;width=385&amp;height=120&amp;START_MAXIMIZED=FALSE&amp;creator=factset&amp;display_string=Audit"}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2306__FDSAUDITLINK__" localSheetId="20" hidden="1">{"fdsup://Directions/FactSet Auditing Viewer?action=AUDIT_VALUE&amp;DB=129&amp;ID1=00289620&amp;VALUEID=13040&amp;SDATE=200802&amp;PERIODTYPE=QTR_STD&amp;window=popup_no_bar&amp;width=385&amp;height=120&amp;START_MAXIMIZED=FALSE&amp;creator=factset&amp;display_string=Audit"}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2307__FDSAUDITLINK__" localSheetId="20" hidden="1">{"fdsup://Directions/FactSet Auditing Viewer?action=AUDIT_VALUE&amp;DB=129&amp;ID1=87416110&amp;VALUEID=02101&amp;SDATE=200801&amp;PERIODTYPE=QTR_STD&amp;window=popup_no_bar&amp;width=385&amp;height=120&amp;START_MAXIMIZED=FALSE&amp;creator=factset&amp;display_string=Audit"}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2308__FDSAUDITLINK__" localSheetId="20" hidden="1">{"fdsup://Directions/FactSet Auditing Viewer?action=AUDIT_VALUE&amp;DB=129&amp;ID1=87416110&amp;VALUEID=01001&amp;SDATE=200801&amp;PERIODTYPE=QTR_STD&amp;window=popup_no_bar&amp;width=385&amp;height=120&amp;START_MAXIMIZED=FALSE&amp;creator=factset&amp;display_string=Audit"}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2309__FDSAUDITLINK__" localSheetId="20" hidden="1">{"fdsup://Directions/FactSet Auditing Viewer?action=AUDIT_VALUE&amp;DB=129&amp;ID1=53271610&amp;VALUEID=02101&amp;SDATE=200801&amp;PERIODTYPE=QTR_STD&amp;window=popup_no_bar&amp;width=385&amp;height=120&amp;START_MAXIMIZED=FALSE&amp;creator=factset&amp;display_string=Audit"}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231__FDSAUDITLINK__" localSheetId="20" hidden="1">{"fdsup://Directions/FactSet Auditing Viewer?action=AUDIT_VALUE&amp;DB=129&amp;ID1=46612H40&amp;VALUEID=02101&amp;SDATE=200702&amp;PERIODTYPE=QTR_STD&amp;window=popup_no_bar&amp;width=385&amp;height=120&amp;START_MAXIMIZED=FALSE&amp;creator=factset&amp;display_string=Audit"}</definedName>
    <definedName name="_231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10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2310__FDSAUDITLINK__" localSheetId="20" hidden="1">{"fdsup://Directions/FactSet Auditing Viewer?action=AUDIT_VALUE&amp;DB=129&amp;ID1=53271610&amp;VALUEID=01001&amp;SDATE=200801&amp;PERIODTYPE=QTR_STD&amp;window=popup_no_bar&amp;width=385&amp;height=120&amp;START_MAXIMIZED=FALSE&amp;creator=factset&amp;display_string=Audit"}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2311__FDSAUDITLINK__" localSheetId="20" hidden="1">{"fdsup://Directions/FactSet Auditing Viewer?action=AUDIT_VALUE&amp;DB=129&amp;ID1=53271610&amp;VALUEID=13040&amp;SDATE=200801&amp;PERIODTYPE=QTR_STD&amp;window=popup_no_bar&amp;width=385&amp;height=120&amp;START_MAXIMIZED=FALSE&amp;creator=factset&amp;display_string=Audit"}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2312__FDSAUDITLINK__" localSheetId="20" hidden="1">{"fdsup://Directions/FactSet Auditing Viewer?action=AUDIT_VALUE&amp;DB=129&amp;ID1=46612H40&amp;VALUEID=02101&amp;SDATE=200801&amp;PERIODTYPE=QTR_STD&amp;window=popup_no_bar&amp;width=385&amp;height=120&amp;START_MAXIMIZED=FALSE&amp;creator=factset&amp;display_string=Audit"}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2313__FDSAUDITLINK__" localSheetId="20" hidden="1">{"fdsup://Directions/FactSet Auditing Viewer?action=AUDIT_VALUE&amp;DB=129&amp;ID1=46612H40&amp;VALUEID=01001&amp;SDATE=200801&amp;PERIODTYPE=QTR_STD&amp;window=popup_no_bar&amp;width=385&amp;height=120&amp;START_MAXIMIZED=FALSE&amp;creator=factset&amp;display_string=Audit"}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2314__FDSAUDITLINK__" localSheetId="20" hidden="1">{"fdsup://Directions/FactSet Auditing Viewer?action=AUDIT_VALUE&amp;DB=129&amp;ID1=46612H40&amp;VALUEID=13040&amp;SDATE=200801&amp;PERIODTYPE=QTR_STD&amp;window=popup_no_bar&amp;width=385&amp;height=120&amp;START_MAXIMIZED=FALSE&amp;creator=factset&amp;display_string=Audit"}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2315__FDSAUDITLINK__" localSheetId="20" hidden="1">{"fdsup://Directions/FactSet Auditing Viewer?action=AUDIT_VALUE&amp;DB=129&amp;ID1=36476010&amp;VALUEID=02101&amp;SDATE=200801&amp;PERIODTYPE=QTR_STD&amp;window=popup_no_bar&amp;width=385&amp;height=120&amp;START_MAXIMIZED=FALSE&amp;creator=factset&amp;display_string=Audit"}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2316__FDSAUDITLINK__" localSheetId="20" hidden="1">{"fdsup://Directions/FactSet Auditing Viewer?action=AUDIT_VALUE&amp;DB=129&amp;ID1=36476010&amp;VALUEID=01001&amp;SDATE=200801&amp;PERIODTYPE=QTR_STD&amp;window=popup_no_bar&amp;width=385&amp;height=120&amp;START_MAXIMIZED=FALSE&amp;creator=factset&amp;display_string=Audit"}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2317__FDSAUDITLINK__" localSheetId="20" hidden="1">{"fdsup://Directions/FactSet Auditing Viewer?action=AUDIT_VALUE&amp;DB=129&amp;ID1=36476010&amp;VALUEID=13040&amp;SDATE=200801&amp;PERIODTYPE=QTR_STD&amp;window=popup_no_bar&amp;width=385&amp;height=120&amp;START_MAXIMIZED=FALSE&amp;creator=factset&amp;display_string=Audit"}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2318__FDSAUDITLINK__" localSheetId="20" hidden="1">{"fdsup://Directions/FactSet Auditing Viewer?action=AUDIT_VALUE&amp;DB=129&amp;ID1=03611510&amp;VALUEID=02101&amp;SDATE=200801&amp;PERIODTYPE=QTR_STD&amp;window=popup_no_bar&amp;width=385&amp;height=120&amp;START_MAXIMIZED=FALSE&amp;creator=factset&amp;display_string=Audit"}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2319__FDSAUDITLINK__" localSheetId="20" hidden="1">{"fdsup://Directions/FactSet Auditing Viewer?action=AUDIT_VALUE&amp;DB=129&amp;ID1=03611510&amp;VALUEID=01001&amp;SDATE=200801&amp;PERIODTYPE=QTR_STD&amp;window=popup_no_bar&amp;width=385&amp;height=120&amp;START_MAXIMIZED=FALSE&amp;creator=factset&amp;display_string=Audit"}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232__FDSAUDITLINK__" localSheetId="20" hidden="1">{"fdsup://Directions/FactSet Auditing Viewer?action=AUDIT_VALUE&amp;DB=129&amp;ID1=46612H40&amp;VALUEID=01001&amp;SDATE=200702&amp;PERIODTYPE=QTR_STD&amp;window=popup_no_bar&amp;width=385&amp;height=120&amp;START_MAXIMIZED=FALSE&amp;creator=factset&amp;display_string=Audit"}</definedName>
    <definedName name="_232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20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2320__FDSAUDITLINK__" localSheetId="20" hidden="1">{"fdsup://Directions/FactSet Auditing Viewer?action=AUDIT_VALUE&amp;DB=129&amp;ID1=03611510&amp;VALUEID=13040&amp;SDATE=200801&amp;PERIODTYPE=QTR_STD&amp;window=popup_no_bar&amp;width=385&amp;height=120&amp;START_MAXIMIZED=FALSE&amp;creator=factset&amp;display_string=Audit"}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2321__FDSAUDITLINK__" localSheetId="20" hidden="1">{"fdsup://Directions/FactSet Auditing Viewer?action=AUDIT_VALUE&amp;DB=129&amp;ID1=16890510&amp;VALUEID=02101&amp;SDATE=200801&amp;PERIODTYPE=QTR_STD&amp;window=popup_no_bar&amp;width=385&amp;height=120&amp;START_MAXIMIZED=FALSE&amp;creator=factset&amp;display_string=Audit"}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2322__FDSAUDITLINK__" localSheetId="20" hidden="1">{"fdsup://Directions/FactSet Auditing Viewer?action=AUDIT_VALUE&amp;DB=129&amp;ID1=16890510&amp;VALUEID=01001&amp;SDATE=200801&amp;PERIODTYPE=QTR_STD&amp;window=popup_no_bar&amp;width=385&amp;height=120&amp;START_MAXIMIZED=FALSE&amp;creator=factset&amp;display_string=Audit"}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2323__FDSAUDITLINK__" localSheetId="20" hidden="1">{"fdsup://Directions/FactSet Auditing Viewer?action=AUDIT_VALUE&amp;DB=129&amp;ID1=91704710&amp;VALUEID=02101&amp;SDATE=200801&amp;PERIODTYPE=QTR_STD&amp;window=popup_no_bar&amp;width=385&amp;height=120&amp;START_MAXIMIZED=FALSE&amp;creator=factset&amp;display_string=Audit"}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2324__FDSAUDITLINK__" localSheetId="20" hidden="1">{"fdsup://Directions/FactSet Auditing Viewer?action=AUDIT_VALUE&amp;DB=129&amp;ID1=91704710&amp;VALUEID=01001&amp;SDATE=200801&amp;PERIODTYPE=QTR_STD&amp;window=popup_no_bar&amp;width=385&amp;height=120&amp;START_MAXIMIZED=FALSE&amp;creator=factset&amp;display_string=Audit"}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2325__FDSAUDITLINK__" localSheetId="20" hidden="1">{"fdsup://Directions/FactSet Auditing Viewer?action=AUDIT_VALUE&amp;DB=129&amp;ID1=91704710&amp;VALUEID=13040&amp;SDATE=200801&amp;PERIODTYPE=QTR_STD&amp;window=popup_no_bar&amp;width=385&amp;height=120&amp;START_MAXIMIZED=FALSE&amp;creator=factset&amp;display_string=Audit"}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2326__FDSAUDITLINK__" localSheetId="20" hidden="1">{"fdsup://Directions/FactSet Auditing Viewer?action=AUDIT_VALUE&amp;DB=129&amp;ID1=02553E10&amp;VALUEID=02101&amp;SDATE=200801&amp;PERIODTYPE=QTR_STD&amp;window=popup_no_bar&amp;width=385&amp;height=120&amp;START_MAXIMIZED=FALSE&amp;creator=factset&amp;display_string=Audit"}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2327__FDSAUDITLINK__" localSheetId="20" hidden="1">{"fdsup://Directions/FactSet Auditing Viewer?action=AUDIT_VALUE&amp;DB=129&amp;ID1=02553E10&amp;VALUEID=01001&amp;SDATE=200801&amp;PERIODTYPE=QTR_STD&amp;window=popup_no_bar&amp;width=385&amp;height=120&amp;START_MAXIMIZED=FALSE&amp;creator=factset&amp;display_string=Audit"}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2328__FDSAUDITLINK__" localSheetId="20" hidden="1">{"fdsup://Directions/FactSet Auditing Viewer?action=AUDIT_VALUE&amp;DB=129&amp;ID1=02553E10&amp;VALUEID=13040&amp;SDATE=200801&amp;PERIODTYPE=QTR_STD&amp;window=popup_no_bar&amp;width=385&amp;height=120&amp;START_MAXIMIZED=FALSE&amp;creator=factset&amp;display_string=Audit"}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2329__FDSAUDITLINK__" localSheetId="20" hidden="1">{"fdsup://Directions/FactSet Auditing Viewer?action=AUDIT_VALUE&amp;DB=129&amp;ID1=00786510&amp;VALUEID=02101&amp;SDATE=200801&amp;PERIODTYPE=QTR_STD&amp;window=popup_no_bar&amp;width=385&amp;height=120&amp;START_MAXIMIZED=FALSE&amp;creator=factset&amp;display_string=Audit"}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233__FDSAUDITLINK__" localSheetId="20" hidden="1">{"fdsup://Directions/FactSet Auditing Viewer?action=AUDIT_VALUE&amp;DB=129&amp;ID1=46612H40&amp;VALUEID=13040&amp;SDATE=200702&amp;PERIODTYPE=QTR_STD&amp;window=popup_no_bar&amp;width=385&amp;height=120&amp;START_MAXIMIZED=FALSE&amp;creator=factset&amp;display_string=Audit"}</definedName>
    <definedName name="_233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30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2330__FDSAUDITLINK__" localSheetId="20" hidden="1">{"fdsup://Directions/FactSet Auditing Viewer?action=AUDIT_VALUE&amp;DB=129&amp;ID1=00786510&amp;VALUEID=01001&amp;SDATE=200801&amp;PERIODTYPE=QTR_STD&amp;window=popup_no_bar&amp;width=385&amp;height=120&amp;START_MAXIMIZED=FALSE&amp;creator=factset&amp;display_string=Audit"}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2331__FDSAUDITLINK__" localSheetId="20" hidden="1">{"fdsup://Directions/FactSet Auditing Viewer?action=AUDIT_VALUE&amp;DB=129&amp;ID1=00786510&amp;VALUEID=13040&amp;SDATE=200801&amp;PERIODTYPE=QTR_STD&amp;window=popup_no_bar&amp;width=385&amp;height=120&amp;START_MAXIMIZED=FALSE&amp;creator=factset&amp;display_string=Audit"}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2332__FDSAUDITLINK__" localSheetId="20" hidden="1">{"fdsup://Directions/FactSet Auditing Viewer?action=AUDIT_VALUE&amp;DB=129&amp;ID1=00289620&amp;VALUEID=02101&amp;SDATE=200801&amp;PERIODTYPE=QTR_STD&amp;window=popup_no_bar&amp;width=385&amp;height=120&amp;START_MAXIMIZED=FALSE&amp;creator=factset&amp;display_string=Audit"}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2333__FDSAUDITLINK__" localSheetId="20" hidden="1">{"fdsup://Directions/FactSet Auditing Viewer?action=AUDIT_VALUE&amp;DB=129&amp;ID1=00289620&amp;VALUEID=01001&amp;SDATE=200801&amp;PERIODTYPE=QTR_STD&amp;window=popup_no_bar&amp;width=385&amp;height=120&amp;START_MAXIMIZED=FALSE&amp;creator=factset&amp;display_string=Audit"}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2334__FDSAUDITLINK__" localSheetId="20" hidden="1">{"fdsup://Directions/FactSet Auditing Viewer?action=AUDIT_VALUE&amp;DB=129&amp;ID1=00289620&amp;VALUEID=13040&amp;SDATE=200801&amp;PERIODTYPE=QTR_STD&amp;window=popup_no_bar&amp;width=385&amp;height=120&amp;START_MAXIMIZED=FALSE&amp;creator=factset&amp;display_string=Audit"}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2335__FDSAUDITLINK__" localSheetId="20" hidden="1">{"fdsup://Directions/FactSet Auditing Viewer?action=AUDIT_VALUE&amp;DB=129&amp;ID1=87416110&amp;VALUEID=01001&amp;SDATE=200704&amp;PERIODTYPE=QTR_STD&amp;window=popup_no_bar&amp;width=385&amp;height=120&amp;START_MAXIMIZED=FALSE&amp;creator=factset&amp;display_string=Audit"}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2336__FDSAUDITLINK__" localSheetId="20" hidden="1">{"fdsup://Directions/FactSet Auditing Viewer?action=AUDIT_VALUE&amp;DB=129&amp;ID1=46612H40&amp;VALUEID=01001&amp;SDATE=200704&amp;PERIODTYPE=QTR_STD&amp;window=popup_no_bar&amp;width=385&amp;height=120&amp;START_MAXIMIZED=FALSE&amp;creator=factset&amp;display_string=Audit"}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2337__FDSAUDITLINK__" localSheetId="20" hidden="1">{"fdsup://Directions/FactSet Auditing Viewer?action=AUDIT_VALUE&amp;DB=129&amp;ID1=46612H40&amp;VALUEID=13040&amp;SDATE=200704&amp;PERIODTYPE=QTR_STD&amp;window=popup_no_bar&amp;width=385&amp;height=120&amp;START_MAXIMIZED=FALSE&amp;creator=factset&amp;display_string=Audit"}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2338__FDSAUDITLINK__" localSheetId="20" hidden="1">{"fdsup://Directions/FactSet Auditing Viewer?action=AUDIT_VALUE&amp;DB=129&amp;ID1=36476010&amp;VALUEID=01001&amp;SDATE=200704&amp;PERIODTYPE=QTR_STD&amp;window=popup_no_bar&amp;width=385&amp;height=120&amp;START_MAXIMIZED=FALSE&amp;creator=factset&amp;display_string=Audit"}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2339__FDSAUDITLINK__" localSheetId="20" hidden="1">{"fdsup://Directions/FactSet Auditing Viewer?action=AUDIT_VALUE&amp;DB=129&amp;ID1=03611510&amp;VALUEID=01001&amp;SDATE=200704&amp;PERIODTYPE=QTR_STD&amp;window=popup_no_bar&amp;width=385&amp;height=120&amp;START_MAXIMIZED=FALSE&amp;creator=factset&amp;display_string=Audit"}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234__FDSAUDITLINK__" localSheetId="20" hidden="1">{"fdsup://Directions/FactSet Auditing Viewer?action=AUDIT_VALUE&amp;DB=129&amp;ID1=36476010&amp;VALUEID=02101&amp;SDATE=200702&amp;PERIODTYPE=QTR_STD&amp;window=popup_no_bar&amp;width=385&amp;height=120&amp;START_MAXIMIZED=FALSE&amp;creator=factset&amp;display_string=Audit"}</definedName>
    <definedName name="_234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40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2340__FDSAUDITLINK__" localSheetId="20" hidden="1">{"fdsup://Directions/FactSet Auditing Viewer?action=AUDIT_VALUE&amp;DB=129&amp;ID1=03611510&amp;VALUEID=13040&amp;SDATE=200704&amp;PERIODTYPE=QTR_STD&amp;window=popup_no_bar&amp;width=385&amp;height=120&amp;START_MAXIMIZED=FALSE&amp;creator=factset&amp;display_string=Audit"}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2341__FDSAUDITLINK__" localSheetId="20" hidden="1">{"fdsup://Directions/FactSet Auditing Viewer?action=AUDIT_VALUE&amp;DB=129&amp;ID1=16890510&amp;VALUEID=01001&amp;SDATE=200704&amp;PERIODTYPE=QTR_STD&amp;window=popup_no_bar&amp;width=385&amp;height=120&amp;START_MAXIMIZED=FALSE&amp;creator=factset&amp;display_string=Audit"}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2342__FDSAUDITLINK__" localSheetId="20" hidden="1">{"fdsup://Directions/FactSet Auditing Viewer?action=AUDIT_VALUE&amp;DB=129&amp;ID1=00786510&amp;VALUEID=01001&amp;SDATE=200704&amp;PERIODTYPE=QTR_STD&amp;window=popup_no_bar&amp;width=385&amp;height=120&amp;START_MAXIMIZED=FALSE&amp;creator=factset&amp;display_string=Audit"}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2343__FDSAUDITLINK__" localSheetId="20" hidden="1">{"fdsup://Directions/FactSet Auditing Viewer?action=AUDIT_VALUE&amp;DB=129&amp;ID1=87416110&amp;VALUEID=02101&amp;SDATE=200703&amp;PERIODTYPE=QTR_STD&amp;window=popup_no_bar&amp;width=385&amp;height=120&amp;START_MAXIMIZED=FALSE&amp;creator=factset&amp;display_string=Audit"}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2344__FDSAUDITLINK__" localSheetId="20" hidden="1">{"fdsup://Directions/FactSet Auditing Viewer?action=AUDIT_VALUE&amp;DB=129&amp;ID1=87416110&amp;VALUEID=01001&amp;SDATE=200703&amp;PERIODTYPE=QTR_STD&amp;window=popup_no_bar&amp;width=385&amp;height=120&amp;START_MAXIMIZED=FALSE&amp;creator=factset&amp;display_string=Audit"}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2345__FDSAUDITLINK__" localSheetId="20" hidden="1">{"fdsup://Directions/FactSet Auditing Viewer?action=AUDIT_VALUE&amp;DB=129&amp;ID1=53271610&amp;VALUEID=02101&amp;SDATE=200703&amp;PERIODTYPE=QTR_STD&amp;window=popup_no_bar&amp;width=385&amp;height=120&amp;START_MAXIMIZED=FALSE&amp;creator=factset&amp;display_string=Audit"}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2346__FDSAUDITLINK__" localSheetId="20" hidden="1">{"fdsup://Directions/FactSet Auditing Viewer?action=AUDIT_VALUE&amp;DB=129&amp;ID1=53271610&amp;VALUEID=01001&amp;SDATE=200703&amp;PERIODTYPE=QTR_STD&amp;window=popup_no_bar&amp;width=385&amp;height=120&amp;START_MAXIMIZED=FALSE&amp;creator=factset&amp;display_string=Audit"}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2347__FDSAUDITLINK__" localSheetId="20" hidden="1">{"fdsup://Directions/FactSet Auditing Viewer?action=AUDIT_VALUE&amp;DB=129&amp;ID1=53271610&amp;VALUEID=13040&amp;SDATE=200703&amp;PERIODTYPE=QTR_STD&amp;window=popup_no_bar&amp;width=385&amp;height=120&amp;START_MAXIMIZED=FALSE&amp;creator=factset&amp;display_string=Audit"}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2348__FDSAUDITLINK__" localSheetId="20" hidden="1">{"fdsup://Directions/FactSet Auditing Viewer?action=AUDIT_VALUE&amp;DB=129&amp;ID1=46612H40&amp;VALUEID=02101&amp;SDATE=200703&amp;PERIODTYPE=QTR_STD&amp;window=popup_no_bar&amp;width=385&amp;height=120&amp;START_MAXIMIZED=FALSE&amp;creator=factset&amp;display_string=Audit"}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2349__FDSAUDITLINK__" localSheetId="20" hidden="1">{"fdsup://Directions/FactSet Auditing Viewer?action=AUDIT_VALUE&amp;DB=129&amp;ID1=46612H40&amp;VALUEID=01001&amp;SDATE=200703&amp;PERIODTYPE=QTR_STD&amp;window=popup_no_bar&amp;width=385&amp;height=120&amp;START_MAXIMIZED=FALSE&amp;creator=factset&amp;display_string=Audit"}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235__FDSAUDITLINK__" localSheetId="20" hidden="1">{"fdsup://Directions/FactSet Auditing Viewer?action=AUDIT_VALUE&amp;DB=129&amp;ID1=36476010&amp;VALUEID=01001&amp;SDATE=200702&amp;PERIODTYPE=QTR_STD&amp;window=popup_no_bar&amp;width=385&amp;height=120&amp;START_MAXIMIZED=FALSE&amp;creator=factset&amp;display_string=Audit"}</definedName>
    <definedName name="_235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50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2350__FDSAUDITLINK__" localSheetId="20" hidden="1">{"fdsup://Directions/FactSet Auditing Viewer?action=AUDIT_VALUE&amp;DB=129&amp;ID1=46612H40&amp;VALUEID=13040&amp;SDATE=200703&amp;PERIODTYPE=QTR_STD&amp;window=popup_no_bar&amp;width=385&amp;height=120&amp;START_MAXIMIZED=FALSE&amp;creator=factset&amp;display_string=Audit"}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2351__FDSAUDITLINK__" localSheetId="20" hidden="1">{"fdsup://Directions/FactSet Auditing Viewer?action=AUDIT_VALUE&amp;DB=129&amp;ID1=36476010&amp;VALUEID=02101&amp;SDATE=200703&amp;PERIODTYPE=QTR_STD&amp;window=popup_no_bar&amp;width=385&amp;height=120&amp;START_MAXIMIZED=FALSE&amp;creator=factset&amp;display_string=Audit"}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2352__FDSAUDITLINK__" localSheetId="20" hidden="1">{"fdsup://Directions/FactSet Auditing Viewer?action=AUDIT_VALUE&amp;DB=129&amp;ID1=36476010&amp;VALUEID=01001&amp;SDATE=200703&amp;PERIODTYPE=QTR_STD&amp;window=popup_no_bar&amp;width=385&amp;height=120&amp;START_MAXIMIZED=FALSE&amp;creator=factset&amp;display_string=Audit"}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2353__FDSAUDITLINK__" localSheetId="20" hidden="1">{"fdsup://Directions/FactSet Auditing Viewer?action=AUDIT_VALUE&amp;DB=129&amp;ID1=36476010&amp;VALUEID=13040&amp;SDATE=200703&amp;PERIODTYPE=QTR_STD&amp;window=popup_no_bar&amp;width=385&amp;height=120&amp;START_MAXIMIZED=FALSE&amp;creator=factset&amp;display_string=Audit"}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2354__FDSAUDITLINK__" localSheetId="20" hidden="1">{"fdsup://Directions/FactSet Auditing Viewer?action=AUDIT_VALUE&amp;DB=129&amp;ID1=03611510&amp;VALUEID=02101&amp;SDATE=200703&amp;PERIODTYPE=QTR_STD&amp;window=popup_no_bar&amp;width=385&amp;height=120&amp;START_MAXIMIZED=FALSE&amp;creator=factset&amp;display_string=Audit"}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2355__FDSAUDITLINK__" localSheetId="20" hidden="1">{"fdsup://Directions/FactSet Auditing Viewer?action=AUDIT_VALUE&amp;DB=129&amp;ID1=03611510&amp;VALUEID=01001&amp;SDATE=200703&amp;PERIODTYPE=QTR_STD&amp;window=popup_no_bar&amp;width=385&amp;height=120&amp;START_MAXIMIZED=FALSE&amp;creator=factset&amp;display_string=Audit"}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2356__FDSAUDITLINK__" localSheetId="20" hidden="1">{"fdsup://Directions/FactSet Auditing Viewer?action=AUDIT_VALUE&amp;DB=129&amp;ID1=03611510&amp;VALUEID=13040&amp;SDATE=200703&amp;PERIODTYPE=QTR_STD&amp;window=popup_no_bar&amp;width=385&amp;height=120&amp;START_MAXIMIZED=FALSE&amp;creator=factset&amp;display_string=Audit"}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2357__FDSAUDITLINK__" localSheetId="20" hidden="1">{"fdsup://Directions/FactSet Auditing Viewer?action=AUDIT_VALUE&amp;DB=129&amp;ID1=16890510&amp;VALUEID=02101&amp;SDATE=200703&amp;PERIODTYPE=QTR_STD&amp;window=popup_no_bar&amp;width=385&amp;height=120&amp;START_MAXIMIZED=FALSE&amp;creator=factset&amp;display_string=Audit"}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2358__FDSAUDITLINK__" localSheetId="20" hidden="1">{"fdsup://Directions/FactSet Auditing Viewer?action=AUDIT_VALUE&amp;DB=129&amp;ID1=16890510&amp;VALUEID=01001&amp;SDATE=200703&amp;PERIODTYPE=QTR_STD&amp;window=popup_no_bar&amp;width=385&amp;height=120&amp;START_MAXIMIZED=FALSE&amp;creator=factset&amp;display_string=Audit"}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2359__FDSAUDITLINK__" localSheetId="20" hidden="1">{"fdsup://Directions/FactSet Auditing Viewer?action=AUDIT_VALUE&amp;DB=129&amp;ID1=91704710&amp;VALUEID=02101&amp;SDATE=200703&amp;PERIODTYPE=QTR_STD&amp;window=popup_no_bar&amp;width=385&amp;height=120&amp;START_MAXIMIZED=FALSE&amp;creator=factset&amp;display_string=Audit"}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236__FDSAUDITLINK__" localSheetId="20" hidden="1">{"fdsup://Directions/FactSet Auditing Viewer?action=AUDIT_VALUE&amp;DB=129&amp;ID1=03611510&amp;VALUEID=02101&amp;SDATE=200702&amp;PERIODTYPE=QTR_STD&amp;window=popup_no_bar&amp;width=385&amp;height=120&amp;START_MAXIMIZED=FALSE&amp;creator=factset&amp;display_string=Audit"}</definedName>
    <definedName name="_236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60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2360__FDSAUDITLINK__" localSheetId="20" hidden="1">{"fdsup://Directions/FactSet Auditing Viewer?action=AUDIT_VALUE&amp;DB=129&amp;ID1=91704710&amp;VALUEID=01001&amp;SDATE=200703&amp;PERIODTYPE=QTR_STD&amp;window=popup_no_bar&amp;width=385&amp;height=120&amp;START_MAXIMIZED=FALSE&amp;creator=factset&amp;display_string=Audit"}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2361__FDSAUDITLINK__" localSheetId="20" hidden="1">{"fdsup://Directions/FactSet Auditing Viewer?action=AUDIT_VALUE&amp;DB=129&amp;ID1=91704710&amp;VALUEID=13040&amp;SDATE=200703&amp;PERIODTYPE=QTR_STD&amp;window=popup_no_bar&amp;width=385&amp;height=120&amp;START_MAXIMIZED=FALSE&amp;creator=factset&amp;display_string=Audit"}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2362__FDSAUDITLINK__" localSheetId="20" hidden="1">{"fdsup://Directions/FactSet Auditing Viewer?action=AUDIT_VALUE&amp;DB=129&amp;ID1=02553E10&amp;VALUEID=02101&amp;SDATE=200703&amp;PERIODTYPE=QTR_STD&amp;window=popup_no_bar&amp;width=385&amp;height=120&amp;START_MAXIMIZED=FALSE&amp;creator=factset&amp;display_string=Audit"}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2363__FDSAUDITLINK__" localSheetId="20" hidden="1">{"fdsup://Directions/FactSet Auditing Viewer?action=AUDIT_VALUE&amp;DB=129&amp;ID1=02553E10&amp;VALUEID=01001&amp;SDATE=200703&amp;PERIODTYPE=QTR_STD&amp;window=popup_no_bar&amp;width=385&amp;height=120&amp;START_MAXIMIZED=FALSE&amp;creator=factset&amp;display_string=Audit"}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2364__FDSAUDITLINK__" localSheetId="20" hidden="1">{"fdsup://Directions/FactSet Auditing Viewer?action=AUDIT_VALUE&amp;DB=129&amp;ID1=00786510&amp;VALUEID=02101&amp;SDATE=200703&amp;PERIODTYPE=QTR_STD&amp;window=popup_no_bar&amp;width=385&amp;height=120&amp;START_MAXIMIZED=FALSE&amp;creator=factset&amp;display_string=Audit"}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2365__FDSAUDITLINK__" localSheetId="20" hidden="1">{"fdsup://Directions/FactSet Auditing Viewer?action=AUDIT_VALUE&amp;DB=129&amp;ID1=00786510&amp;VALUEID=01001&amp;SDATE=200703&amp;PERIODTYPE=QTR_STD&amp;window=popup_no_bar&amp;width=385&amp;height=120&amp;START_MAXIMIZED=FALSE&amp;creator=factset&amp;display_string=Audit"}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2366__FDSAUDITLINK__" localSheetId="20" hidden="1">{"fdsup://Directions/FactSet Auditing Viewer?action=AUDIT_VALUE&amp;DB=129&amp;ID1=00786510&amp;VALUEID=13040&amp;SDATE=200703&amp;PERIODTYPE=QTR_STD&amp;window=popup_no_bar&amp;width=385&amp;height=120&amp;START_MAXIMIZED=FALSE&amp;creator=factset&amp;display_string=Audit"}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2367__FDSAUDITLINK__" localSheetId="20" hidden="1">{"fdsup://Directions/FactSet Auditing Viewer?action=AUDIT_VALUE&amp;DB=129&amp;ID1=00289620&amp;VALUEID=02101&amp;SDATE=200703&amp;PERIODTYPE=QTR_STD&amp;window=popup_no_bar&amp;width=385&amp;height=120&amp;START_MAXIMIZED=FALSE&amp;creator=factset&amp;display_string=Audit"}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2368__FDSAUDITLINK__" localSheetId="20" hidden="1">{"fdsup://Directions/FactSet Auditing Viewer?action=AUDIT_VALUE&amp;DB=129&amp;ID1=00289620&amp;VALUEID=01001&amp;SDATE=200703&amp;PERIODTYPE=QTR_STD&amp;window=popup_no_bar&amp;width=385&amp;height=120&amp;START_MAXIMIZED=FALSE&amp;creator=factset&amp;display_string=Audit"}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2369__FDSAUDITLINK__" localSheetId="20" hidden="1">{"fdsup://Directions/FactSet Auditing Viewer?action=AUDIT_VALUE&amp;DB=129&amp;ID1=00289620&amp;VALUEID=13040&amp;SDATE=200703&amp;PERIODTYPE=QTR_STD&amp;window=popup_no_bar&amp;width=385&amp;height=120&amp;START_MAXIMIZED=FALSE&amp;creator=factset&amp;display_string=Audit"}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237__FDSAUDITLINK__" localSheetId="20" hidden="1">{"fdsup://Directions/FactSet Auditing Viewer?action=AUDIT_VALUE&amp;DB=129&amp;ID1=03611510&amp;VALUEID=01001&amp;SDATE=200702&amp;PERIODTYPE=QTR_STD&amp;window=popup_no_bar&amp;width=385&amp;height=120&amp;START_MAXIMIZED=FALSE&amp;creator=factset&amp;display_string=Audit"}</definedName>
    <definedName name="_237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70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2370__FDSAUDITLINK__" localSheetId="20" hidden="1">{"fdsup://Directions/FactSet Auditing Viewer?action=AUDIT_VALUE&amp;DB=129&amp;ID1=87416110&amp;VALUEID=02101&amp;SDATE=200702&amp;PERIODTYPE=QTR_STD&amp;window=popup_no_bar&amp;width=385&amp;height=120&amp;START_MAXIMIZED=FALSE&amp;creator=factset&amp;display_string=Audit"}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2371__FDSAUDITLINK__" localSheetId="20" hidden="1">{"fdsup://Directions/FactSet Auditing Viewer?action=AUDIT_VALUE&amp;DB=129&amp;ID1=87416110&amp;VALUEID=01001&amp;SDATE=200702&amp;PERIODTYPE=QTR_STD&amp;window=popup_no_bar&amp;width=385&amp;height=120&amp;START_MAXIMIZED=FALSE&amp;creator=factset&amp;display_string=Audit"}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2372__FDSAUDITLINK__" localSheetId="20" hidden="1">{"fdsup://Directions/FactSet Auditing Viewer?action=AUDIT_VALUE&amp;DB=129&amp;ID1=53271610&amp;VALUEID=02101&amp;SDATE=200702&amp;PERIODTYPE=QTR_STD&amp;window=popup_no_bar&amp;width=385&amp;height=120&amp;START_MAXIMIZED=FALSE&amp;creator=factset&amp;display_string=Audit"}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2373__FDSAUDITLINK__" localSheetId="20" hidden="1">{"fdsup://Directions/FactSet Auditing Viewer?action=AUDIT_VALUE&amp;DB=129&amp;ID1=53271610&amp;VALUEID=01001&amp;SDATE=200702&amp;PERIODTYPE=QTR_STD&amp;window=popup_no_bar&amp;width=385&amp;height=120&amp;START_MAXIMIZED=FALSE&amp;creator=factset&amp;display_string=Audit"}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2374__FDSAUDITLINK__" localSheetId="20" hidden="1">{"fdsup://Directions/FactSet Auditing Viewer?action=AUDIT_VALUE&amp;DB=129&amp;ID1=53271610&amp;VALUEID=13040&amp;SDATE=200702&amp;PERIODTYPE=QTR_STD&amp;window=popup_no_bar&amp;width=385&amp;height=120&amp;START_MAXIMIZED=FALSE&amp;creator=factset&amp;display_string=Audit"}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2375__FDSAUDITLINK__" localSheetId="20" hidden="1">{"fdsup://Directions/FactSet Auditing Viewer?action=AUDIT_VALUE&amp;DB=129&amp;ID1=46612H40&amp;VALUEID=02101&amp;SDATE=200702&amp;PERIODTYPE=QTR_STD&amp;window=popup_no_bar&amp;width=385&amp;height=120&amp;START_MAXIMIZED=FALSE&amp;creator=factset&amp;display_string=Audit"}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2376__FDSAUDITLINK__" localSheetId="20" hidden="1">{"fdsup://Directions/FactSet Auditing Viewer?action=AUDIT_VALUE&amp;DB=129&amp;ID1=46612H40&amp;VALUEID=01001&amp;SDATE=200702&amp;PERIODTYPE=QTR_STD&amp;window=popup_no_bar&amp;width=385&amp;height=120&amp;START_MAXIMIZED=FALSE&amp;creator=factset&amp;display_string=Audit"}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2377__FDSAUDITLINK__" localSheetId="20" hidden="1">{"fdsup://Directions/FactSet Auditing Viewer?action=AUDIT_VALUE&amp;DB=129&amp;ID1=46612H40&amp;VALUEID=13040&amp;SDATE=200702&amp;PERIODTYPE=QTR_STD&amp;window=popup_no_bar&amp;width=385&amp;height=120&amp;START_MAXIMIZED=FALSE&amp;creator=factset&amp;display_string=Audit"}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2378__FDSAUDITLINK__" localSheetId="20" hidden="1">{"fdsup://Directions/FactSet Auditing Viewer?action=AUDIT_VALUE&amp;DB=129&amp;ID1=36476010&amp;VALUEID=02101&amp;SDATE=200702&amp;PERIODTYPE=QTR_STD&amp;window=popup_no_bar&amp;width=385&amp;height=120&amp;START_MAXIMIZED=FALSE&amp;creator=factset&amp;display_string=Audit"}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2379__FDSAUDITLINK__" localSheetId="20" hidden="1">{"fdsup://Directions/FactSet Auditing Viewer?action=AUDIT_VALUE&amp;DB=129&amp;ID1=36476010&amp;VALUEID=01001&amp;SDATE=200702&amp;PERIODTYPE=QTR_STD&amp;window=popup_no_bar&amp;width=385&amp;height=120&amp;START_MAXIMIZED=FALSE&amp;creator=factset&amp;display_string=Audit"}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238__FDSAUDITLINK__" localSheetId="20" hidden="1">{"fdsup://Directions/FactSet Auditing Viewer?action=AUDIT_VALUE&amp;DB=129&amp;ID1=03611510&amp;VALUEID=13040&amp;SDATE=200702&amp;PERIODTYPE=QTR_STD&amp;window=popup_no_bar&amp;width=385&amp;height=120&amp;START_MAXIMIZED=FALSE&amp;creator=factset&amp;display_string=Audit"}</definedName>
    <definedName name="_238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0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2380__FDSAUDITLINK__" localSheetId="20" hidden="1">{"fdsup://Directions/FactSet Auditing Viewer?action=AUDIT_VALUE&amp;DB=129&amp;ID1=03611510&amp;VALUEID=02101&amp;SDATE=200702&amp;PERIODTYPE=QTR_STD&amp;window=popup_no_bar&amp;width=385&amp;height=120&amp;START_MAXIMIZED=FALSE&amp;creator=factset&amp;display_string=Audit"}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2381__FDSAUDITLINK__" localSheetId="20" hidden="1">{"fdsup://Directions/FactSet Auditing Viewer?action=AUDIT_VALUE&amp;DB=129&amp;ID1=03611510&amp;VALUEID=01001&amp;SDATE=200702&amp;PERIODTYPE=QTR_STD&amp;window=popup_no_bar&amp;width=385&amp;height=120&amp;START_MAXIMIZED=FALSE&amp;creator=factset&amp;display_string=Audit"}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2382__FDSAUDITLINK__" localSheetId="20" hidden="1">{"fdsup://Directions/FactSet Auditing Viewer?action=AUDIT_VALUE&amp;DB=129&amp;ID1=03611510&amp;VALUEID=13040&amp;SDATE=200702&amp;PERIODTYPE=QTR_STD&amp;window=popup_no_bar&amp;width=385&amp;height=120&amp;START_MAXIMIZED=FALSE&amp;creator=factset&amp;display_string=Audit"}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2383__FDSAUDITLINK__" localSheetId="20" hidden="1">{"fdsup://Directions/FactSet Auditing Viewer?action=AUDIT_VALUE&amp;DB=129&amp;ID1=16890510&amp;VALUEID=02101&amp;SDATE=200702&amp;PERIODTYPE=QTR_STD&amp;window=popup_no_bar&amp;width=385&amp;height=120&amp;START_MAXIMIZED=FALSE&amp;creator=factset&amp;display_string=Audit"}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2384__FDSAUDITLINK__" localSheetId="20" hidden="1">{"fdsup://Directions/FactSet Auditing Viewer?action=AUDIT_VALUE&amp;DB=129&amp;ID1=16890510&amp;VALUEID=01001&amp;SDATE=200702&amp;PERIODTYPE=QTR_STD&amp;window=popup_no_bar&amp;width=385&amp;height=120&amp;START_MAXIMIZED=FALSE&amp;creator=factset&amp;display_string=Audit"}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2385__FDSAUDITLINK__" localSheetId="20" hidden="1">{"fdsup://Directions/FactSet Auditing Viewer?action=AUDIT_VALUE&amp;DB=129&amp;ID1=91704710&amp;VALUEID=02101&amp;SDATE=200702&amp;PERIODTYPE=QTR_STD&amp;window=popup_no_bar&amp;width=385&amp;height=120&amp;START_MAXIMIZED=FALSE&amp;creator=factset&amp;display_string=Audit"}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2386__FDSAUDITLINK__" localSheetId="20" hidden="1">{"fdsup://Directions/FactSet Auditing Viewer?action=AUDIT_VALUE&amp;DB=129&amp;ID1=91704710&amp;VALUEID=01001&amp;SDATE=200702&amp;PERIODTYPE=QTR_STD&amp;window=popup_no_bar&amp;width=385&amp;height=120&amp;START_MAXIMIZED=FALSE&amp;creator=factset&amp;display_string=Audit"}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2387__FDSAUDITLINK__" localSheetId="20" hidden="1">{"fdsup://Directions/FactSet Auditing Viewer?action=AUDIT_VALUE&amp;DB=129&amp;ID1=91704710&amp;VALUEID=13040&amp;SDATE=200702&amp;PERIODTYPE=QTR_STD&amp;window=popup_no_bar&amp;width=385&amp;height=120&amp;START_MAXIMIZED=FALSE&amp;creator=factset&amp;display_string=Audit"}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2388__FDSAUDITLINK__" localSheetId="20" hidden="1">{"fdsup://Directions/FactSet Auditing Viewer?action=AUDIT_VALUE&amp;DB=129&amp;ID1=02553E10&amp;VALUEID=02101&amp;SDATE=200702&amp;PERIODTYPE=QTR_STD&amp;window=popup_no_bar&amp;width=385&amp;height=120&amp;START_MAXIMIZED=FALSE&amp;creator=factset&amp;display_string=Audit"}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2389__FDSAUDITLINK__" localSheetId="20" hidden="1">{"fdsup://Directions/FactSet Auditing Viewer?action=AUDIT_VALUE&amp;DB=129&amp;ID1=02553E10&amp;VALUEID=01001&amp;SDATE=200702&amp;PERIODTYPE=QTR_STD&amp;window=popup_no_bar&amp;width=385&amp;height=120&amp;START_MAXIMIZED=FALSE&amp;creator=factset&amp;display_string=Audit"}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239__FDSAUDITLINK__" localSheetId="20" hidden="1">{"fdsup://Directions/FactSet Auditing Viewer?action=AUDIT_VALUE&amp;DB=129&amp;ID1=16890510&amp;VALUEID=02101&amp;SDATE=200702&amp;PERIODTYPE=QTR_STD&amp;window=popup_no_bar&amp;width=385&amp;height=120&amp;START_MAXIMIZED=FALSE&amp;creator=factset&amp;display_string=Audit"}</definedName>
    <definedName name="_239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90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2390__FDSAUDITLINK__" localSheetId="20" hidden="1">{"fdsup://Directions/FactSet Auditing Viewer?action=AUDIT_VALUE&amp;DB=129&amp;ID1=02553E10&amp;VALUEID=13040&amp;SDATE=200702&amp;PERIODTYPE=QTR_STD&amp;window=popup_no_bar&amp;width=385&amp;height=120&amp;START_MAXIMIZED=FALSE&amp;creator=factset&amp;display_string=Audit"}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2391__FDSAUDITLINK__" localSheetId="20" hidden="1">{"fdsup://Directions/FactSet Auditing Viewer?action=AUDIT_VALUE&amp;DB=129&amp;ID1=00786510&amp;VALUEID=02101&amp;SDATE=200702&amp;PERIODTYPE=QTR_STD&amp;window=popup_no_bar&amp;width=385&amp;height=120&amp;START_MAXIMIZED=FALSE&amp;creator=factset&amp;display_string=Audit"}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2392__FDSAUDITLINK__" localSheetId="20" hidden="1">{"fdsup://Directions/FactSet Auditing Viewer?action=AUDIT_VALUE&amp;DB=129&amp;ID1=00786510&amp;VALUEID=01001&amp;SDATE=200702&amp;PERIODTYPE=QTR_STD&amp;window=popup_no_bar&amp;width=385&amp;height=120&amp;START_MAXIMIZED=FALSE&amp;creator=factset&amp;display_string=Audit"}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2393__FDSAUDITLINK__" localSheetId="20" hidden="1">{"fdsup://Directions/FactSet Auditing Viewer?action=AUDIT_VALUE&amp;DB=129&amp;ID1=00786510&amp;VALUEID=13040&amp;SDATE=200702&amp;PERIODTYPE=QTR_STD&amp;window=popup_no_bar&amp;width=385&amp;height=120&amp;START_MAXIMIZED=FALSE&amp;creator=factset&amp;display_string=Audit"}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2394__FDSAUDITLINK__" localSheetId="20" hidden="1">{"fdsup://Directions/FactSet Auditing Viewer?action=AUDIT_VALUE&amp;DB=129&amp;ID1=00289620&amp;VALUEID=02101&amp;SDATE=200702&amp;PERIODTYPE=QTR_STD&amp;window=popup_no_bar&amp;width=385&amp;height=120&amp;START_MAXIMIZED=FALSE&amp;creator=factset&amp;display_string=Audit"}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2395__FDSAUDITLINK__" localSheetId="20" hidden="1">{"fdsup://Directions/FactSet Auditing Viewer?action=AUDIT_VALUE&amp;DB=129&amp;ID1=00289620&amp;VALUEID=01001&amp;SDATE=200702&amp;PERIODTYPE=QTR_STD&amp;window=popup_no_bar&amp;width=385&amp;height=120&amp;START_MAXIMIZED=FALSE&amp;creator=factset&amp;display_string=Audit"}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2396__FDSAUDITLINK__" localSheetId="20" hidden="1">{"fdsup://Directions/FactSet Auditing Viewer?action=AUDIT_VALUE&amp;DB=129&amp;ID1=87416110&amp;VALUEID=02101&amp;SDATE=200701&amp;PERIODTYPE=QTR_STD&amp;window=popup_no_bar&amp;width=385&amp;height=120&amp;START_MAXIMIZED=FALSE&amp;creator=factset&amp;display_string=Audit"}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2397__FDSAUDITLINK__" localSheetId="20" hidden="1">{"fdsup://Directions/FactSet Auditing Viewer?action=AUDIT_VALUE&amp;DB=129&amp;ID1=87416110&amp;VALUEID=01001&amp;SDATE=200701&amp;PERIODTYPE=QTR_STD&amp;window=popup_no_bar&amp;width=385&amp;height=120&amp;START_MAXIMIZED=FALSE&amp;creator=factset&amp;display_string=Audit"}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2398__FDSAUDITLINK__" localSheetId="20" hidden="1">{"fdsup://Directions/FactSet Auditing Viewer?action=AUDIT_VALUE&amp;DB=129&amp;ID1=53271610&amp;VALUEID=02101&amp;SDATE=200701&amp;PERIODTYPE=QTR_STD&amp;window=popup_no_bar&amp;width=385&amp;height=120&amp;START_MAXIMIZED=FALSE&amp;creator=factset&amp;display_string=Audit"}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2399__FDSAUDITLINK__" localSheetId="20" hidden="1">{"fdsup://Directions/FactSet Auditing Viewer?action=AUDIT_VALUE&amp;DB=129&amp;ID1=53271610&amp;VALUEID=01001&amp;SDATE=200701&amp;PERIODTYPE=QTR_STD&amp;window=popup_no_bar&amp;width=385&amp;height=120&amp;START_MAXIMIZED=FALSE&amp;creator=factset&amp;display_string=Audit"}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localSheetId="1" hidden="1">{"fdsup://directions/FAT Viewer?action=UPDATE&amp;creator=factset&amp;DYN_ARGS=TRUE&amp;DOC_NAME=FAT:FQL_AUDITING_CLIENT_TEMPLATE.FAT&amp;display_string=Audit&amp;VAR:KEY=IJCLQROPEB&amp;VAR:QUERY=RkZfRU5UUlBSX1ZBTF9FQklUREFfT1BFUihBTk4sMCk=&amp;WINDOW=FIRST_POPUP&amp;HEIGHT=450&amp;WIDTH=450&amp;","START_MAXIMIZED=FALSE&amp;VAR:CALENDAR=FIVEDAY&amp;VAR:SYMBOL=ANN&amp;VAR:INDEX=0"}</definedName>
    <definedName name="_24__FDSAUDITLINK__" localSheetId="20" hidden="1">{"fdsup://Directions/FactSet Auditing Viewer?action=AUDIT_VALUE&amp;DB=129&amp;ID1=36476010&amp;VALUEID=01001&amp;SDATE=200904&amp;PERIODTYPE=QTR_STD&amp;window=popup_no_bar&amp;width=385&amp;height=120&amp;START_MAXIMIZED=FALSE&amp;creator=factset&amp;display_string=Audit"}</definedName>
    <definedName name="_24__FDSAUDITLINK__" hidden="1">{"fdsup://directions/FAT Viewer?action=UPDATE&amp;creator=factset&amp;DYN_ARGS=TRUE&amp;DOC_NAME=FAT:FQL_AUDITING_CLIENT_TEMPLATE.FAT&amp;display_string=Audit&amp;VAR:KEY=IJCLQROPEB&amp;VAR:QUERY=RkZfRU5UUlBSX1ZBTF9FQklUREFfT1BFUihBTk4sMCk=&amp;WINDOW=FIRST_POPUP&amp;HEIGHT=450&amp;WIDTH=450&amp;","START_MAXIMIZED=FALSE&amp;VAR:CALENDAR=FIVEDAY&amp;VAR:SYMBOL=ANN&amp;VAR:INDEX=0"}</definedName>
    <definedName name="_240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240__FDSAUDITLINK__" localSheetId="20" hidden="1">{"fdsup://Directions/FactSet Auditing Viewer?action=AUDIT_VALUE&amp;DB=129&amp;ID1=16890510&amp;VALUEID=01001&amp;SDATE=200702&amp;PERIODTYPE=QTR_STD&amp;window=popup_no_bar&amp;width=385&amp;height=120&amp;START_MAXIMIZED=FALSE&amp;creator=factset&amp;display_string=Audit"}</definedName>
    <definedName name="_240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400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2400__FDSAUDITLINK__" localSheetId="20" hidden="1">{"fdsup://Directions/FactSet Auditing Viewer?action=AUDIT_VALUE&amp;DB=129&amp;ID1=53271610&amp;VALUEID=13040&amp;SDATE=200701&amp;PERIODTYPE=QTR_STD&amp;window=popup_no_bar&amp;width=385&amp;height=120&amp;START_MAXIMIZED=FALSE&amp;creator=factset&amp;display_string=Audit"}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2401__FDSAUDITLINK__" localSheetId="20" hidden="1">{"fdsup://Directions/FactSet Auditing Viewer?action=AUDIT_VALUE&amp;DB=129&amp;ID1=46612H40&amp;VALUEID=02101&amp;SDATE=200701&amp;PERIODTYPE=QTR_STD&amp;window=popup_no_bar&amp;width=385&amp;height=120&amp;START_MAXIMIZED=FALSE&amp;creator=factset&amp;display_string=Audit"}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2402__FDSAUDITLINK__" localSheetId="20" hidden="1">{"fdsup://Directions/FactSet Auditing Viewer?action=AUDIT_VALUE&amp;DB=129&amp;ID1=46612H40&amp;VALUEID=01001&amp;SDATE=200701&amp;PERIODTYPE=QTR_STD&amp;window=popup_no_bar&amp;width=385&amp;height=120&amp;START_MAXIMIZED=FALSE&amp;creator=factset&amp;display_string=Audit"}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2403__FDSAUDITLINK__" localSheetId="20" hidden="1">{"fdsup://Directions/FactSet Auditing Viewer?action=AUDIT_VALUE&amp;DB=129&amp;ID1=46612H40&amp;VALUEID=13040&amp;SDATE=200701&amp;PERIODTYPE=QTR_STD&amp;window=popup_no_bar&amp;width=385&amp;height=120&amp;START_MAXIMIZED=FALSE&amp;creator=factset&amp;display_string=Audit"}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2404__FDSAUDITLINK__" localSheetId="20" hidden="1">{"fdsup://Directions/FactSet Auditing Viewer?action=AUDIT_VALUE&amp;DB=129&amp;ID1=36476010&amp;VALUEID=02101&amp;SDATE=200701&amp;PERIODTYPE=QTR_STD&amp;window=popup_no_bar&amp;width=385&amp;height=120&amp;START_MAXIMIZED=FALSE&amp;creator=factset&amp;display_string=Audit"}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2405__FDSAUDITLINK__" localSheetId="20" hidden="1">{"fdsup://Directions/FactSet Auditing Viewer?action=AUDIT_VALUE&amp;DB=129&amp;ID1=36476010&amp;VALUEID=01001&amp;SDATE=200701&amp;PERIODTYPE=QTR_STD&amp;window=popup_no_bar&amp;width=385&amp;height=120&amp;START_MAXIMIZED=FALSE&amp;creator=factset&amp;display_string=Audit"}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2406__FDSAUDITLINK__" localSheetId="20" hidden="1">{"fdsup://Directions/FactSet Auditing Viewer?action=AUDIT_VALUE&amp;DB=129&amp;ID1=36476010&amp;VALUEID=13040&amp;SDATE=200701&amp;PERIODTYPE=QTR_STD&amp;window=popup_no_bar&amp;width=385&amp;height=120&amp;START_MAXIMIZED=FALSE&amp;creator=factset&amp;display_string=Audit"}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2407__FDSAUDITLINK__" localSheetId="20" hidden="1">{"fdsup://Directions/FactSet Auditing Viewer?action=AUDIT_VALUE&amp;DB=129&amp;ID1=03611510&amp;VALUEID=02101&amp;SDATE=200701&amp;PERIODTYPE=QTR_STD&amp;window=popup_no_bar&amp;width=385&amp;height=120&amp;START_MAXIMIZED=FALSE&amp;creator=factset&amp;display_string=Audit"}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2408__FDSAUDITLINK__" localSheetId="20" hidden="1">{"fdsup://Directions/FactSet Auditing Viewer?action=AUDIT_VALUE&amp;DB=129&amp;ID1=03611510&amp;VALUEID=01001&amp;SDATE=200701&amp;PERIODTYPE=QTR_STD&amp;window=popup_no_bar&amp;width=385&amp;height=120&amp;START_MAXIMIZED=FALSE&amp;creator=factset&amp;display_string=Audit"}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2409__FDSAUDITLINK__" localSheetId="20" hidden="1">{"fdsup://Directions/FactSet Auditing Viewer?action=AUDIT_VALUE&amp;DB=129&amp;ID1=03611510&amp;VALUEID=13040&amp;SDATE=200701&amp;PERIODTYPE=QTR_STD&amp;window=popup_no_bar&amp;width=385&amp;height=120&amp;START_MAXIMIZED=FALSE&amp;creator=factset&amp;display_string=Audit"}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241__FDSAUDITLINK__" localSheetId="20" hidden="1">{"fdsup://Directions/FactSet Auditing Viewer?action=AUDIT_VALUE&amp;DB=129&amp;ID1=91704710&amp;VALUEID=02101&amp;SDATE=200702&amp;PERIODTYPE=QTR_STD&amp;window=popup_no_bar&amp;width=385&amp;height=120&amp;START_MAXIMIZED=FALSE&amp;creator=factset&amp;display_string=Audit"}</definedName>
    <definedName name="_241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410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2410__FDSAUDITLINK__" localSheetId="20" hidden="1">{"fdsup://Directions/FactSet Auditing Viewer?action=AUDIT_VALUE&amp;DB=129&amp;ID1=16890510&amp;VALUEID=02101&amp;SDATE=200701&amp;PERIODTYPE=QTR_STD&amp;window=popup_no_bar&amp;width=385&amp;height=120&amp;START_MAXIMIZED=FALSE&amp;creator=factset&amp;display_string=Audit"}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2411__FDSAUDITLINK__" localSheetId="20" hidden="1">{"fdsup://Directions/FactSet Auditing Viewer?action=AUDIT_VALUE&amp;DB=129&amp;ID1=16890510&amp;VALUEID=01001&amp;SDATE=200701&amp;PERIODTYPE=QTR_STD&amp;window=popup_no_bar&amp;width=385&amp;height=120&amp;START_MAXIMIZED=FALSE&amp;creator=factset&amp;display_string=Audit"}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2412__FDSAUDITLINK__" localSheetId="20" hidden="1">{"fdsup://Directions/FactSet Auditing Viewer?action=AUDIT_VALUE&amp;DB=129&amp;ID1=91704710&amp;VALUEID=02101&amp;SDATE=200701&amp;PERIODTYPE=QTR_STD&amp;window=popup_no_bar&amp;width=385&amp;height=120&amp;START_MAXIMIZED=FALSE&amp;creator=factset&amp;display_string=Audit"}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2413__FDSAUDITLINK__" localSheetId="20" hidden="1">{"fdsup://Directions/FactSet Auditing Viewer?action=AUDIT_VALUE&amp;DB=129&amp;ID1=91704710&amp;VALUEID=01001&amp;SDATE=200701&amp;PERIODTYPE=QTR_STD&amp;window=popup_no_bar&amp;width=385&amp;height=120&amp;START_MAXIMIZED=FALSE&amp;creator=factset&amp;display_string=Audit"}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2414__FDSAUDITLINK__" localSheetId="20" hidden="1">{"fdsup://Directions/FactSet Auditing Viewer?action=AUDIT_VALUE&amp;DB=129&amp;ID1=91704710&amp;VALUEID=13040&amp;SDATE=200701&amp;PERIODTYPE=QTR_STD&amp;window=popup_no_bar&amp;width=385&amp;height=120&amp;START_MAXIMIZED=FALSE&amp;creator=factset&amp;display_string=Audit"}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2415__FDSAUDITLINK__" localSheetId="20" hidden="1">{"fdsup://Directions/FactSet Auditing Viewer?action=AUDIT_VALUE&amp;DB=129&amp;ID1=02553E10&amp;VALUEID=02101&amp;SDATE=200701&amp;PERIODTYPE=QTR_STD&amp;window=popup_no_bar&amp;width=385&amp;height=120&amp;START_MAXIMIZED=FALSE&amp;creator=factset&amp;display_string=Audit"}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2416__FDSAUDITLINK__" localSheetId="20" hidden="1">{"fdsup://Directions/FactSet Auditing Viewer?action=AUDIT_VALUE&amp;DB=129&amp;ID1=02553E10&amp;VALUEID=01001&amp;SDATE=200701&amp;PERIODTYPE=QTR_STD&amp;window=popup_no_bar&amp;width=385&amp;height=120&amp;START_MAXIMIZED=FALSE&amp;creator=factset&amp;display_string=Audit"}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2417__FDSAUDITLINK__" localSheetId="20" hidden="1">{"fdsup://Directions/FactSet Auditing Viewer?action=AUDIT_VALUE&amp;DB=129&amp;ID1=02553E10&amp;VALUEID=13040&amp;SDATE=200701&amp;PERIODTYPE=QTR_STD&amp;window=popup_no_bar&amp;width=385&amp;height=120&amp;START_MAXIMIZED=FALSE&amp;creator=factset&amp;display_string=Audit"}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2418__FDSAUDITLINK__" localSheetId="20" hidden="1">{"fdsup://Directions/FactSet Auditing Viewer?action=AUDIT_VALUE&amp;DB=129&amp;ID1=00786510&amp;VALUEID=02101&amp;SDATE=200701&amp;PERIODTYPE=QTR_STD&amp;window=popup_no_bar&amp;width=385&amp;height=120&amp;START_MAXIMIZED=FALSE&amp;creator=factset&amp;display_string=Audit"}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2419__FDSAUDITLINK__" localSheetId="20" hidden="1">{"fdsup://Directions/FactSet Auditing Viewer?action=AUDIT_VALUE&amp;DB=129&amp;ID1=00786510&amp;VALUEID=01001&amp;SDATE=200701&amp;PERIODTYPE=QTR_STD&amp;window=popup_no_bar&amp;width=385&amp;height=120&amp;START_MAXIMIZED=FALSE&amp;creator=factset&amp;display_string=Audit"}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242__FDSAUDITLINK__" localSheetId="20" hidden="1">{"fdsup://Directions/FactSet Auditing Viewer?action=AUDIT_VALUE&amp;DB=129&amp;ID1=91704710&amp;VALUEID=01001&amp;SDATE=200702&amp;PERIODTYPE=QTR_STD&amp;window=popup_no_bar&amp;width=385&amp;height=120&amp;START_MAXIMIZED=FALSE&amp;creator=factset&amp;display_string=Audit"}</definedName>
    <definedName name="_242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420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2420__FDSAUDITLINK__" localSheetId="20" hidden="1">{"fdsup://Directions/FactSet Auditing Viewer?action=AUDIT_VALUE&amp;DB=129&amp;ID1=00786510&amp;VALUEID=13040&amp;SDATE=200701&amp;PERIODTYPE=QTR_STD&amp;window=popup_no_bar&amp;width=385&amp;height=120&amp;START_MAXIMIZED=FALSE&amp;creator=factset&amp;display_string=Audit"}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2421__FDSAUDITLINK__" localSheetId="20" hidden="1">{"fdsup://Directions/FactSet Auditing Viewer?action=AUDIT_VALUE&amp;DB=129&amp;ID1=00289620&amp;VALUEID=02101&amp;SDATE=200701&amp;PERIODTYPE=QTR_STD&amp;window=popup_no_bar&amp;width=385&amp;height=120&amp;START_MAXIMIZED=FALSE&amp;creator=factset&amp;display_string=Audit"}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2422__FDSAUDITLINK__" localSheetId="20" hidden="1">{"fdsup://Directions/FactSet Auditing Viewer?action=AUDIT_VALUE&amp;DB=129&amp;ID1=00289620&amp;VALUEID=01001&amp;SDATE=200701&amp;PERIODTYPE=QTR_STD&amp;window=popup_no_bar&amp;width=385&amp;height=120&amp;START_MAXIMIZED=FALSE&amp;creator=factset&amp;display_string=Audit"}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2423__FDSAUDITLINK__" localSheetId="20" hidden="1">{"fdsup://Directions/FactSet Auditing Viewer?action=AUDIT_VALUE&amp;DB=129&amp;ID1=00289620&amp;VALUEID=13040&amp;SDATE=200701&amp;PERIODTYPE=QTR_STD&amp;window=popup_no_bar&amp;width=385&amp;height=120&amp;START_MAXIMIZED=FALSE&amp;creator=factset&amp;display_string=Audit"}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2424__FDSAUDITLINK__" localSheetId="20" hidden="1">{"fdsup://Directions/FactSet Auditing Viewer?action=AUDIT_VALUE&amp;DB=129&amp;ID1=87416110&amp;VALUEID=01001&amp;SDATE=200604&amp;PERIODTYPE=QTR_STD&amp;window=popup_no_bar&amp;width=385&amp;height=120&amp;START_MAXIMIZED=FALSE&amp;creator=factset&amp;display_string=Audit"}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2425__FDSAUDITLINK__" localSheetId="20" hidden="1">{"fdsup://Directions/FactSet Auditing Viewer?action=AUDIT_VALUE&amp;DB=129&amp;ID1=46612H40&amp;VALUEID=01001&amp;SDATE=200604&amp;PERIODTYPE=QTR_STD&amp;window=popup_no_bar&amp;width=385&amp;height=120&amp;START_MAXIMIZED=FALSE&amp;creator=factset&amp;display_string=Audit"}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2426__FDSAUDITLINK__" localSheetId="20" hidden="1">{"fdsup://Directions/FactSet Auditing Viewer?action=AUDIT_VALUE&amp;DB=129&amp;ID1=36476010&amp;VALUEID=01001&amp;SDATE=200604&amp;PERIODTYPE=QTR_STD&amp;window=popup_no_bar&amp;width=385&amp;height=120&amp;START_MAXIMIZED=FALSE&amp;creator=factset&amp;display_string=Audit"}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2427__FDSAUDITLINK__" localSheetId="20" hidden="1">{"fdsup://Directions/FactSet Auditing Viewer?action=AUDIT_VALUE&amp;DB=129&amp;ID1=03611510&amp;VALUEID=01001&amp;SDATE=200604&amp;PERIODTYPE=QTR_STD&amp;window=popup_no_bar&amp;width=385&amp;height=120&amp;START_MAXIMIZED=FALSE&amp;creator=factset&amp;display_string=Audit"}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2428__FDSAUDITLINK__" localSheetId="20" hidden="1">{"fdsup://Directions/FactSet Auditing Viewer?action=AUDIT_VALUE&amp;DB=129&amp;ID1=16890510&amp;VALUEID=01001&amp;SDATE=200604&amp;PERIODTYPE=QTR_STD&amp;window=popup_no_bar&amp;width=385&amp;height=120&amp;START_MAXIMIZED=FALSE&amp;creator=factset&amp;display_string=Audit"}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29__FDSAUDITLINK__" localSheetId="20"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243__FDSAUDITLINK__" localSheetId="20" hidden="1">{"fdsup://Directions/FactSet Auditing Viewer?action=AUDIT_VALUE&amp;DB=129&amp;ID1=91704710&amp;VALUEID=13040&amp;SDATE=200702&amp;PERIODTYPE=QTR_STD&amp;window=popup_no_bar&amp;width=385&amp;height=120&amp;START_MAXIMIZED=FALSE&amp;creator=factset&amp;display_string=Audit"}</definedName>
    <definedName name="_243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430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2430__FDSAUDITLINK__" localSheetId="20" hidden="1">{"fdsup://Directions/FactSet Auditing Viewer?action=AUDIT_VALUE&amp;DB=129&amp;ID1=00786510&amp;VALUEID=01001&amp;SDATE=200604&amp;PERIODTYPE=QTR_STD&amp;window=popup_no_bar&amp;width=385&amp;height=120&amp;START_MAXIMIZED=FALSE&amp;creator=factset&amp;display_string=Audit"}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2431__FDSAUDITLINK__" localSheetId="20" hidden="1">{"fdsup://Directions/FactSet Auditing Viewer?action=AUDIT_VALUE&amp;DB=129&amp;ID1=87416110&amp;VALUEID=02101&amp;SDATE=200603&amp;PERIODTYPE=QTR_STD&amp;window=popup_no_bar&amp;width=385&amp;height=120&amp;START_MAXIMIZED=FALSE&amp;creator=factset&amp;display_string=Audit"}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2432__FDSAUDITLINK__" localSheetId="20" hidden="1">{"fdsup://Directions/FactSet Auditing Viewer?action=AUDIT_VALUE&amp;DB=129&amp;ID1=87416110&amp;VALUEID=01001&amp;SDATE=200603&amp;PERIODTYPE=QTR_STD&amp;window=popup_no_bar&amp;width=385&amp;height=120&amp;START_MAXIMIZED=FALSE&amp;creator=factset&amp;display_string=Audit"}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2433__FDSAUDITLINK__" localSheetId="20" hidden="1">{"fdsup://Directions/FactSet Auditing Viewer?action=AUDIT_VALUE&amp;DB=129&amp;ID1=53271610&amp;VALUEID=02101&amp;SDATE=200603&amp;PERIODTYPE=QTR_STD&amp;window=popup_no_bar&amp;width=385&amp;height=120&amp;START_MAXIMIZED=FALSE&amp;creator=factset&amp;display_string=Audit"}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2434__FDSAUDITLINK__" localSheetId="20" hidden="1">{"fdsup://Directions/FactSet Auditing Viewer?action=AUDIT_VALUE&amp;DB=129&amp;ID1=53271610&amp;VALUEID=01001&amp;SDATE=200603&amp;PERIODTYPE=QTR_STD&amp;window=popup_no_bar&amp;width=385&amp;height=120&amp;START_MAXIMIZED=FALSE&amp;creator=factset&amp;display_string=Audit"}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2435__FDSAUDITLINK__" localSheetId="20" hidden="1">{"fdsup://Directions/FactSet Auditing Viewer?action=AUDIT_VALUE&amp;DB=129&amp;ID1=53271610&amp;VALUEID=13040&amp;SDATE=200603&amp;PERIODTYPE=QTR_STD&amp;window=popup_no_bar&amp;width=385&amp;height=120&amp;START_MAXIMIZED=FALSE&amp;creator=factset&amp;display_string=Audit"}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2436__FDSAUDITLINK__" localSheetId="20" hidden="1">{"fdsup://Directions/FactSet Auditing Viewer?action=AUDIT_VALUE&amp;DB=129&amp;ID1=46612H40&amp;VALUEID=02101&amp;SDATE=200603&amp;PERIODTYPE=QTR_STD&amp;window=popup_no_bar&amp;width=385&amp;height=120&amp;START_MAXIMIZED=FALSE&amp;creator=factset&amp;display_string=Audit"}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2437__FDSAUDITLINK__" localSheetId="20" hidden="1">{"fdsup://Directions/FactSet Auditing Viewer?action=AUDIT_VALUE&amp;DB=129&amp;ID1=46612H40&amp;VALUEID=01001&amp;SDATE=200603&amp;PERIODTYPE=QTR_STD&amp;window=popup_no_bar&amp;width=385&amp;height=120&amp;START_MAXIMIZED=FALSE&amp;creator=factset&amp;display_string=Audit"}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2438__FDSAUDITLINK__" localSheetId="20" hidden="1">{"fdsup://Directions/FactSet Auditing Viewer?action=AUDIT_VALUE&amp;DB=129&amp;ID1=46612H40&amp;VALUEID=13040&amp;SDATE=200603&amp;PERIODTYPE=QTR_STD&amp;window=popup_no_bar&amp;width=385&amp;height=120&amp;START_MAXIMIZED=FALSE&amp;creator=factset&amp;display_string=Audit"}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2439__FDSAUDITLINK__" localSheetId="20" hidden="1">{"fdsup://Directions/FactSet Auditing Viewer?action=AUDIT_VALUE&amp;DB=129&amp;ID1=36476010&amp;VALUEID=02101&amp;SDATE=200603&amp;PERIODTYPE=QTR_STD&amp;window=popup_no_bar&amp;width=385&amp;height=120&amp;START_MAXIMIZED=FALSE&amp;creator=factset&amp;display_string=Audit"}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244__FDSAUDITLINK__" localSheetId="20" hidden="1">{"fdsup://Directions/FactSet Auditing Viewer?action=AUDIT_VALUE&amp;DB=129&amp;ID1=02553E10&amp;VALUEID=02101&amp;SDATE=200702&amp;PERIODTYPE=QTR_STD&amp;window=popup_no_bar&amp;width=385&amp;height=120&amp;START_MAXIMIZED=FALSE&amp;creator=factset&amp;display_string=Audit"}</definedName>
    <definedName name="_244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440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2440__FDSAUDITLINK__" localSheetId="20" hidden="1">{"fdsup://Directions/FactSet Auditing Viewer?action=AUDIT_VALUE&amp;DB=129&amp;ID1=36476010&amp;VALUEID=01001&amp;SDATE=200603&amp;PERIODTYPE=QTR_STD&amp;window=popup_no_bar&amp;width=385&amp;height=120&amp;START_MAXIMIZED=FALSE&amp;creator=factset&amp;display_string=Audit"}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2441__FDSAUDITLINK__" localSheetId="20" hidden="1">{"fdsup://Directions/FactSet Auditing Viewer?action=AUDIT_VALUE&amp;DB=129&amp;ID1=36476010&amp;VALUEID=13040&amp;SDATE=200603&amp;PERIODTYPE=QTR_STD&amp;window=popup_no_bar&amp;width=385&amp;height=120&amp;START_MAXIMIZED=FALSE&amp;creator=factset&amp;display_string=Audit"}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2442__FDSAUDITLINK__" localSheetId="20" hidden="1">{"fdsup://Directions/FactSet Auditing Viewer?action=AUDIT_VALUE&amp;DB=129&amp;ID1=03611510&amp;VALUEID=02101&amp;SDATE=200603&amp;PERIODTYPE=QTR_STD&amp;window=popup_no_bar&amp;width=385&amp;height=120&amp;START_MAXIMIZED=FALSE&amp;creator=factset&amp;display_string=Audit"}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2443__FDSAUDITLINK__" localSheetId="20" hidden="1">{"fdsup://Directions/FactSet Auditing Viewer?action=AUDIT_VALUE&amp;DB=129&amp;ID1=03611510&amp;VALUEID=01001&amp;SDATE=200603&amp;PERIODTYPE=QTR_STD&amp;window=popup_no_bar&amp;width=385&amp;height=120&amp;START_MAXIMIZED=FALSE&amp;creator=factset&amp;display_string=Audit"}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2444__FDSAUDITLINK__" localSheetId="20" hidden="1">{"fdsup://Directions/FactSet Auditing Viewer?action=AUDIT_VALUE&amp;DB=129&amp;ID1=03611510&amp;VALUEID=13040&amp;SDATE=200603&amp;PERIODTYPE=QTR_STD&amp;window=popup_no_bar&amp;width=385&amp;height=120&amp;START_MAXIMIZED=FALSE&amp;creator=factset&amp;display_string=Audit"}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2445__FDSAUDITLINK__" localSheetId="20" hidden="1">{"fdsup://Directions/FactSet Auditing Viewer?action=AUDIT_VALUE&amp;DB=129&amp;ID1=16890510&amp;VALUEID=02101&amp;SDATE=200603&amp;PERIODTYPE=QTR_STD&amp;window=popup_no_bar&amp;width=385&amp;height=120&amp;START_MAXIMIZED=FALSE&amp;creator=factset&amp;display_string=Audit"}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2446__FDSAUDITLINK__" localSheetId="20" hidden="1">{"fdsup://Directions/FactSet Auditing Viewer?action=AUDIT_VALUE&amp;DB=129&amp;ID1=16890510&amp;VALUEID=01001&amp;SDATE=200603&amp;PERIODTYPE=QTR_STD&amp;window=popup_no_bar&amp;width=385&amp;height=120&amp;START_MAXIMIZED=FALSE&amp;creator=factset&amp;display_string=Audit"}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2447__FDSAUDITLINK__" localSheetId="20" hidden="1">{"fdsup://Directions/FactSet Auditing Viewer?action=AUDIT_VALUE&amp;DB=129&amp;ID1=91704710&amp;VALUEID=02101&amp;SDATE=200603&amp;PERIODTYPE=QTR_STD&amp;window=popup_no_bar&amp;width=385&amp;height=120&amp;START_MAXIMIZED=FALSE&amp;creator=factset&amp;display_string=Audit"}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2448__FDSAUDITLINK__" localSheetId="20" hidden="1">{"fdsup://Directions/FactSet Auditing Viewer?action=AUDIT_VALUE&amp;DB=129&amp;ID1=91704710&amp;VALUEID=01001&amp;SDATE=200603&amp;PERIODTYPE=QTR_STD&amp;window=popup_no_bar&amp;width=385&amp;height=120&amp;START_MAXIMIZED=FALSE&amp;creator=factset&amp;display_string=Audit"}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2449__FDSAUDITLINK__" localSheetId="20" hidden="1">{"fdsup://Directions/FactSet Auditing Viewer?action=AUDIT_VALUE&amp;DB=129&amp;ID1=91704710&amp;VALUEID=13040&amp;SDATE=200603&amp;PERIODTYPE=QTR_STD&amp;window=popup_no_bar&amp;width=385&amp;height=120&amp;START_MAXIMIZED=FALSE&amp;creator=factset&amp;display_string=Audit"}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245__FDSAUDITLINK__" localSheetId="20" hidden="1">{"fdsup://Directions/FactSet Auditing Viewer?action=AUDIT_VALUE&amp;DB=129&amp;ID1=02553E10&amp;VALUEID=01001&amp;SDATE=200702&amp;PERIODTYPE=QTR_STD&amp;window=popup_no_bar&amp;width=385&amp;height=120&amp;START_MAXIMIZED=FALSE&amp;creator=factset&amp;display_string=Audit"}</definedName>
    <definedName name="_245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450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0__FDSAUDITLINK__" localSheetId="20"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2451__FDSAUDITLINK__" localSheetId="20" hidden="1">{"fdsup://Directions/FactSet Auditing Viewer?action=AUDIT_VALUE&amp;DB=129&amp;ID1=00786510&amp;VALUEID=02101&amp;SDATE=200603&amp;PERIODTYPE=QTR_STD&amp;window=popup_no_bar&amp;width=385&amp;height=120&amp;START_MAXIMIZED=FALSE&amp;creator=factset&amp;display_string=Audit"}</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2452__FDSAUDITLINK__" localSheetId="20" hidden="1">{"fdsup://Directions/FactSet Auditing Viewer?action=AUDIT_VALUE&amp;DB=129&amp;ID1=00786510&amp;VALUEID=01001&amp;SDATE=200603&amp;PERIODTYPE=QTR_STD&amp;window=popup_no_bar&amp;width=385&amp;height=120&amp;START_MAXIMIZED=FALSE&amp;creator=factset&amp;display_string=Audit"}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2453__FDSAUDITLINK__" localSheetId="20" hidden="1">{"fdsup://Directions/FactSet Auditing Viewer?action=AUDIT_VALUE&amp;DB=129&amp;ID1=00786510&amp;VALUEID=13040&amp;SDATE=200603&amp;PERIODTYPE=QTR_STD&amp;window=popup_no_bar&amp;width=385&amp;height=120&amp;START_MAXIMIZED=FALSE&amp;creator=factset&amp;display_string=Audit"}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2454__FDSAUDITLINK__" localSheetId="20" hidden="1">{"fdsup://Directions/FactSet Auditing Viewer?action=AUDIT_VALUE&amp;DB=129&amp;ID1=00289620&amp;VALUEID=02101&amp;SDATE=200603&amp;PERIODTYPE=QTR_STD&amp;window=popup_no_bar&amp;width=385&amp;height=120&amp;START_MAXIMIZED=FALSE&amp;creator=factset&amp;display_string=Audit"}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2455__FDSAUDITLINK__" localSheetId="20" hidden="1">{"fdsup://Directions/FactSet Auditing Viewer?action=AUDIT_VALUE&amp;DB=129&amp;ID1=00289620&amp;VALUEID=01001&amp;SDATE=200603&amp;PERIODTYPE=QTR_STD&amp;window=popup_no_bar&amp;width=385&amp;height=120&amp;START_MAXIMIZED=FALSE&amp;creator=factset&amp;display_string=Audit"}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2456__FDSAUDITLINK__" localSheetId="20" hidden="1">{"fdsup://Directions/FactSet Auditing Viewer?action=AUDIT_VALUE&amp;DB=129&amp;ID1=00289620&amp;VALUEID=13040&amp;SDATE=200603&amp;PERIODTYPE=QTR_STD&amp;window=popup_no_bar&amp;width=385&amp;height=120&amp;START_MAXIMIZED=FALSE&amp;creator=factset&amp;display_string=Audit"}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2457__FDSAUDITLINK__" localSheetId="20" hidden="1">{"fdsup://Directions/FactSet Auditing Viewer?action=AUDIT_VALUE&amp;DB=129&amp;ID1=87416110&amp;VALUEID=02101&amp;SDATE=200602&amp;PERIODTYPE=QTR_STD&amp;window=popup_no_bar&amp;width=385&amp;height=120&amp;START_MAXIMIZED=FALSE&amp;creator=factset&amp;display_string=Audit"}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2458__FDSAUDITLINK__" localSheetId="20" hidden="1">{"fdsup://Directions/FactSet Auditing Viewer?action=AUDIT_VALUE&amp;DB=129&amp;ID1=87416110&amp;VALUEID=01001&amp;SDATE=200602&amp;PERIODTYPE=QTR_STD&amp;window=popup_no_bar&amp;width=385&amp;height=120&amp;START_MAXIMIZED=FALSE&amp;creator=factset&amp;display_string=Audit"}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2459__FDSAUDITLINK__" localSheetId="20" hidden="1">{"fdsup://Directions/FactSet Auditing Viewer?action=AUDIT_VALUE&amp;DB=129&amp;ID1=53271610&amp;VALUEID=02101&amp;SDATE=200602&amp;PERIODTYPE=QTR_STD&amp;window=popup_no_bar&amp;width=385&amp;height=120&amp;START_MAXIMIZED=FALSE&amp;creator=factset&amp;display_string=Audit"}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246__FDSAUDITLINK__" localSheetId="20" hidden="1">{"fdsup://Directions/FactSet Auditing Viewer?action=AUDIT_VALUE&amp;DB=129&amp;ID1=02553E10&amp;VALUEID=13040&amp;SDATE=200702&amp;PERIODTYPE=QTR_STD&amp;window=popup_no_bar&amp;width=385&amp;height=120&amp;START_MAXIMIZED=FALSE&amp;creator=factset&amp;display_string=Audit"}</definedName>
    <definedName name="_246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460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2460__FDSAUDITLINK__" localSheetId="20" hidden="1">{"fdsup://Directions/FactSet Auditing Viewer?action=AUDIT_VALUE&amp;DB=129&amp;ID1=53271610&amp;VALUEID=01001&amp;SDATE=200602&amp;PERIODTYPE=QTR_STD&amp;window=popup_no_bar&amp;width=385&amp;height=120&amp;START_MAXIMIZED=FALSE&amp;creator=factset&amp;display_string=Audit"}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2461__FDSAUDITLINK__" localSheetId="20" hidden="1">{"fdsup://Directions/FactSet Auditing Viewer?action=AUDIT_VALUE&amp;DB=129&amp;ID1=53271610&amp;VALUEID=13040&amp;SDATE=200602&amp;PERIODTYPE=QTR_STD&amp;window=popup_no_bar&amp;width=385&amp;height=120&amp;START_MAXIMIZED=FALSE&amp;creator=factset&amp;display_string=Audit"}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2462__FDSAUDITLINK__" localSheetId="20" hidden="1">{"fdsup://Directions/FactSet Auditing Viewer?action=AUDIT_VALUE&amp;DB=129&amp;ID1=46612H40&amp;VALUEID=02101&amp;SDATE=200602&amp;PERIODTYPE=QTR_STD&amp;window=popup_no_bar&amp;width=385&amp;height=120&amp;START_MAXIMIZED=FALSE&amp;creator=factset&amp;display_string=Audit"}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2463__FDSAUDITLINK__" localSheetId="20" hidden="1">{"fdsup://Directions/FactSet Auditing Viewer?action=AUDIT_VALUE&amp;DB=129&amp;ID1=46612H40&amp;VALUEID=01001&amp;SDATE=200602&amp;PERIODTYPE=QTR_STD&amp;window=popup_no_bar&amp;width=385&amp;height=120&amp;START_MAXIMIZED=FALSE&amp;creator=factset&amp;display_string=Audit"}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2464__FDSAUDITLINK__" localSheetId="20" hidden="1">{"fdsup://Directions/FactSet Auditing Viewer?action=AUDIT_VALUE&amp;DB=129&amp;ID1=46612H40&amp;VALUEID=13040&amp;SDATE=200602&amp;PERIODTYPE=QTR_STD&amp;window=popup_no_bar&amp;width=385&amp;height=120&amp;START_MAXIMIZED=FALSE&amp;creator=factset&amp;display_string=Audit"}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2465__FDSAUDITLINK__" localSheetId="20" hidden="1">{"fdsup://Directions/FactSet Auditing Viewer?action=AUDIT_VALUE&amp;DB=129&amp;ID1=36476010&amp;VALUEID=02101&amp;SDATE=200602&amp;PERIODTYPE=QTR_STD&amp;window=popup_no_bar&amp;width=385&amp;height=120&amp;START_MAXIMIZED=FALSE&amp;creator=factset&amp;display_string=Audit"}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2466__FDSAUDITLINK__" localSheetId="20" hidden="1">{"fdsup://Directions/FactSet Auditing Viewer?action=AUDIT_VALUE&amp;DB=129&amp;ID1=36476010&amp;VALUEID=01001&amp;SDATE=200602&amp;PERIODTYPE=QTR_STD&amp;window=popup_no_bar&amp;width=385&amp;height=120&amp;START_MAXIMIZED=FALSE&amp;creator=factset&amp;display_string=Audit"}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2467__FDSAUDITLINK__" localSheetId="20" hidden="1">{"fdsup://Directions/FactSet Auditing Viewer?action=AUDIT_VALUE&amp;DB=129&amp;ID1=36476010&amp;VALUEID=13040&amp;SDATE=200602&amp;PERIODTYPE=QTR_STD&amp;window=popup_no_bar&amp;width=385&amp;height=120&amp;START_MAXIMIZED=FALSE&amp;creator=factset&amp;display_string=Audit"}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2468__FDSAUDITLINK__" localSheetId="20" hidden="1">{"fdsup://Directions/FactSet Auditing Viewer?action=AUDIT_VALUE&amp;DB=129&amp;ID1=03611510&amp;VALUEID=02101&amp;SDATE=200602&amp;PERIODTYPE=QTR_STD&amp;window=popup_no_bar&amp;width=385&amp;height=120&amp;START_MAXIMIZED=FALSE&amp;creator=factset&amp;display_string=Audit"}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2469__FDSAUDITLINK__" localSheetId="20" hidden="1">{"fdsup://Directions/FactSet Auditing Viewer?action=AUDIT_VALUE&amp;DB=129&amp;ID1=03611510&amp;VALUEID=01001&amp;SDATE=200602&amp;PERIODTYPE=QTR_STD&amp;window=popup_no_bar&amp;width=385&amp;height=120&amp;START_MAXIMIZED=FALSE&amp;creator=factset&amp;display_string=Audit"}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247__FDSAUDITLINK__" localSheetId="20" hidden="1">{"fdsup://Directions/FactSet Auditing Viewer?action=AUDIT_VALUE&amp;DB=129&amp;ID1=00786510&amp;VALUEID=02101&amp;SDATE=200702&amp;PERIODTYPE=QTR_STD&amp;window=popup_no_bar&amp;width=385&amp;height=120&amp;START_MAXIMIZED=FALSE&amp;creator=factset&amp;display_string=Audit"}</definedName>
    <definedName name="_247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470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2470__FDSAUDITLINK__" localSheetId="20" hidden="1">{"fdsup://Directions/FactSet Auditing Viewer?action=AUDIT_VALUE&amp;DB=129&amp;ID1=03611510&amp;VALUEID=13040&amp;SDATE=200602&amp;PERIODTYPE=QTR_STD&amp;window=popup_no_bar&amp;width=385&amp;height=120&amp;START_MAXIMIZED=FALSE&amp;creator=factset&amp;display_string=Audit"}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2471__FDSAUDITLINK__" localSheetId="20" hidden="1">{"fdsup://Directions/FactSet Auditing Viewer?action=AUDIT_VALUE&amp;DB=129&amp;ID1=16890510&amp;VALUEID=02101&amp;SDATE=200602&amp;PERIODTYPE=QTR_STD&amp;window=popup_no_bar&amp;width=385&amp;height=120&amp;START_MAXIMIZED=FALSE&amp;creator=factset&amp;display_string=Audit"}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2472__FDSAUDITLINK__" localSheetId="20" hidden="1">{"fdsup://Directions/FactSet Auditing Viewer?action=AUDIT_VALUE&amp;DB=129&amp;ID1=16890510&amp;VALUEID=01001&amp;SDATE=200602&amp;PERIODTYPE=QTR_STD&amp;window=popup_no_bar&amp;width=385&amp;height=120&amp;START_MAXIMIZED=FALSE&amp;creator=factset&amp;display_string=Audit"}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2473__FDSAUDITLINK__" localSheetId="20" hidden="1">{"fdsup://Directions/FactSet Auditing Viewer?action=AUDIT_VALUE&amp;DB=129&amp;ID1=91704710&amp;VALUEID=02101&amp;SDATE=200602&amp;PERIODTYPE=QTR_STD&amp;window=popup_no_bar&amp;width=385&amp;height=120&amp;START_MAXIMIZED=FALSE&amp;creator=factset&amp;display_string=Audit"}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2474__FDSAUDITLINK__" localSheetId="20" hidden="1">{"fdsup://Directions/FactSet Auditing Viewer?action=AUDIT_VALUE&amp;DB=129&amp;ID1=91704710&amp;VALUEID=01001&amp;SDATE=200602&amp;PERIODTYPE=QTR_STD&amp;window=popup_no_bar&amp;width=385&amp;height=120&amp;START_MAXIMIZED=FALSE&amp;creator=factset&amp;display_string=Audit"}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2475__FDSAUDITLINK__" localSheetId="20" hidden="1">{"fdsup://Directions/FactSet Auditing Viewer?action=AUDIT_VALUE&amp;DB=129&amp;ID1=91704710&amp;VALUEID=13040&amp;SDATE=200602&amp;PERIODTYPE=QTR_STD&amp;window=popup_no_bar&amp;width=385&amp;height=120&amp;START_MAXIMIZED=FALSE&amp;creator=factset&amp;display_string=Audit"}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6__FDSAUDITLINK__" localSheetId="20"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2477__FDSAUDITLINK__" localSheetId="20" hidden="1">{"fdsup://Directions/FactSet Auditing Viewer?action=AUDIT_VALUE&amp;DB=129&amp;ID1=00786510&amp;VALUEID=02101&amp;SDATE=200602&amp;PERIODTYPE=QTR_STD&amp;window=popup_no_bar&amp;width=385&amp;height=120&amp;START_MAXIMIZED=FALSE&amp;creator=factset&amp;display_string=Audit"}</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2478__FDSAUDITLINK__" localSheetId="20" hidden="1">{"fdsup://Directions/FactSet Auditing Viewer?action=AUDIT_VALUE&amp;DB=129&amp;ID1=00786510&amp;VALUEID=01001&amp;SDATE=200602&amp;PERIODTYPE=QTR_STD&amp;window=popup_no_bar&amp;width=385&amp;height=120&amp;START_MAXIMIZED=FALSE&amp;creator=factset&amp;display_string=Audit"}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2479__FDSAUDITLINK__" localSheetId="20" hidden="1">{"fdsup://Directions/FactSet Auditing Viewer?action=AUDIT_VALUE&amp;DB=129&amp;ID1=00786510&amp;VALUEID=13040&amp;SDATE=200602&amp;PERIODTYPE=QTR_STD&amp;window=popup_no_bar&amp;width=385&amp;height=120&amp;START_MAXIMIZED=FALSE&amp;creator=factset&amp;display_string=Audit"}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248__FDSAUDITLINK__" localSheetId="20" hidden="1">{"fdsup://Directions/FactSet Auditing Viewer?action=AUDIT_VALUE&amp;DB=129&amp;ID1=00786510&amp;VALUEID=01001&amp;SDATE=200702&amp;PERIODTYPE=QTR_STD&amp;window=popup_no_bar&amp;width=385&amp;height=120&amp;START_MAXIMIZED=FALSE&amp;creator=factset&amp;display_string=Audit"}</definedName>
    <definedName name="_248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480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2480__FDSAUDITLINK__" localSheetId="20" hidden="1">{"fdsup://Directions/FactSet Auditing Viewer?action=AUDIT_VALUE&amp;DB=129&amp;ID1=00289620&amp;VALUEID=02101&amp;SDATE=200602&amp;PERIODTYPE=QTR_STD&amp;window=popup_no_bar&amp;width=385&amp;height=120&amp;START_MAXIMIZED=FALSE&amp;creator=factset&amp;display_string=Audit"}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2481__FDSAUDITLINK__" localSheetId="20" hidden="1">{"fdsup://Directions/FactSet Auditing Viewer?action=AUDIT_VALUE&amp;DB=129&amp;ID1=00289620&amp;VALUEID=01001&amp;SDATE=200602&amp;PERIODTYPE=QTR_STD&amp;window=popup_no_bar&amp;width=385&amp;height=120&amp;START_MAXIMIZED=FALSE&amp;creator=factset&amp;display_string=Audit"}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2482__FDSAUDITLINK__" localSheetId="20" hidden="1">{"fdsup://Directions/FactSet Auditing Viewer?action=AUDIT_VALUE&amp;DB=129&amp;ID1=00289620&amp;VALUEID=13040&amp;SDATE=200602&amp;PERIODTYPE=QTR_STD&amp;window=popup_no_bar&amp;width=385&amp;height=120&amp;START_MAXIMIZED=FALSE&amp;creator=factset&amp;display_string=Audit"}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2483__FDSAUDITLINK__" localSheetId="20" hidden="1">{"fdsup://Directions/FactSet Auditing Viewer?action=AUDIT_VALUE&amp;DB=129&amp;ID1=87416110&amp;VALUEID=02101&amp;SDATE=200601&amp;PERIODTYPE=QTR_STD&amp;window=popup_no_bar&amp;width=385&amp;height=120&amp;START_MAXIMIZED=FALSE&amp;creator=factset&amp;display_string=Audit"}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2484__FDSAUDITLINK__" localSheetId="20" hidden="1">{"fdsup://Directions/FactSet Auditing Viewer?action=AUDIT_VALUE&amp;DB=129&amp;ID1=87416110&amp;VALUEID=01001&amp;SDATE=200601&amp;PERIODTYPE=QTR_STD&amp;window=popup_no_bar&amp;width=385&amp;height=120&amp;START_MAXIMIZED=FALSE&amp;creator=factset&amp;display_string=Audit"}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2485__FDSAUDITLINK__" localSheetId="20" hidden="1">{"fdsup://Directions/FactSet Auditing Viewer?action=AUDIT_VALUE&amp;DB=129&amp;ID1=87416110&amp;VALUEID=13040&amp;SDATE=200601&amp;PERIODTYPE=QTR_STD&amp;window=popup_no_bar&amp;width=385&amp;height=120&amp;START_MAXIMIZED=FALSE&amp;creator=factset&amp;display_string=Audit"}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6__FDSAUDITLINK__" localSheetId="20"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2487__FDSAUDITLINK__" localSheetId="20" hidden="1">{"fdsup://Directions/FactSet Auditing Viewer?action=AUDIT_VALUE&amp;DB=129&amp;ID1=53271610&amp;VALUEID=02101&amp;SDATE=200601&amp;PERIODTYPE=QTR_STD&amp;window=popup_no_bar&amp;width=385&amp;height=120&amp;START_MAXIMIZED=FALSE&amp;creator=factset&amp;display_string=Audit"}</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2488__FDSAUDITLINK__" localSheetId="20" hidden="1">{"fdsup://Directions/FactSet Auditing Viewer?action=AUDIT_VALUE&amp;DB=129&amp;ID1=53271610&amp;VALUEID=01001&amp;SDATE=200601&amp;PERIODTYPE=QTR_STD&amp;window=popup_no_bar&amp;width=385&amp;height=120&amp;START_MAXIMIZED=FALSE&amp;creator=factset&amp;display_string=Audit"}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2489__FDSAUDITLINK__" localSheetId="20" hidden="1">{"fdsup://Directions/FactSet Auditing Viewer?action=AUDIT_VALUE&amp;DB=129&amp;ID1=53271610&amp;VALUEID=13040&amp;SDATE=200601&amp;PERIODTYPE=QTR_STD&amp;window=popup_no_bar&amp;width=385&amp;height=120&amp;START_MAXIMIZED=FALSE&amp;creator=factset&amp;display_string=Audit"}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249__FDSAUDITLINK__" localSheetId="20" hidden="1">{"fdsup://Directions/FactSet Auditing Viewer?action=AUDIT_VALUE&amp;DB=129&amp;ID1=00786510&amp;VALUEID=13040&amp;SDATE=200702&amp;PERIODTYPE=QTR_STD&amp;window=popup_no_bar&amp;width=385&amp;height=120&amp;START_MAXIMIZED=FALSE&amp;creator=factset&amp;display_string=Audit"}</definedName>
    <definedName name="_249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490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2490__FDSAUDITLINK__" localSheetId="20" hidden="1">{"fdsup://Directions/FactSet Auditing Viewer?action=AUDIT_VALUE&amp;DB=129&amp;ID1=46612H40&amp;VALUEID=02101&amp;SDATE=200601&amp;PERIODTYPE=QTR_STD&amp;window=popup_no_bar&amp;width=385&amp;height=120&amp;START_MAXIMIZED=FALSE&amp;creator=factset&amp;display_string=Audit"}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2491__FDSAUDITLINK__" localSheetId="20" hidden="1">{"fdsup://Directions/FactSet Auditing Viewer?action=AUDIT_VALUE&amp;DB=129&amp;ID1=46612H40&amp;VALUEID=01001&amp;SDATE=200601&amp;PERIODTYPE=QTR_STD&amp;window=popup_no_bar&amp;width=385&amp;height=120&amp;START_MAXIMIZED=FALSE&amp;creator=factset&amp;display_string=Audit"}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2492__FDSAUDITLINK__" localSheetId="20" hidden="1">{"fdsup://Directions/FactSet Auditing Viewer?action=AUDIT_VALUE&amp;DB=129&amp;ID1=46612H40&amp;VALUEID=13040&amp;SDATE=200601&amp;PERIODTYPE=QTR_STD&amp;window=popup_no_bar&amp;width=385&amp;height=120&amp;START_MAXIMIZED=FALSE&amp;creator=factset&amp;display_string=Audit"}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2493__FDSAUDITLINK__" localSheetId="20" hidden="1">{"fdsup://Directions/FactSet Auditing Viewer?action=AUDIT_VALUE&amp;DB=129&amp;ID1=36476010&amp;VALUEID=02101&amp;SDATE=200601&amp;PERIODTYPE=QTR_STD&amp;window=popup_no_bar&amp;width=385&amp;height=120&amp;START_MAXIMIZED=FALSE&amp;creator=factset&amp;display_string=Audit"}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2494__FDSAUDITLINK__" localSheetId="20" hidden="1">{"fdsup://Directions/FactSet Auditing Viewer?action=AUDIT_VALUE&amp;DB=129&amp;ID1=36476010&amp;VALUEID=01001&amp;SDATE=200601&amp;PERIODTYPE=QTR_STD&amp;window=popup_no_bar&amp;width=385&amp;height=120&amp;START_MAXIMIZED=FALSE&amp;creator=factset&amp;display_string=Audit"}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2495__FDSAUDITLINK__" localSheetId="20" hidden="1">{"fdsup://Directions/FactSet Auditing Viewer?action=AUDIT_VALUE&amp;DB=129&amp;ID1=36476010&amp;VALUEID=13040&amp;SDATE=200601&amp;PERIODTYPE=QTR_STD&amp;window=popup_no_bar&amp;width=385&amp;height=120&amp;START_MAXIMIZED=FALSE&amp;creator=factset&amp;display_string=Audit"}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2496__FDSAUDITLINK__" localSheetId="20" hidden="1">{"fdsup://Directions/FactSet Auditing Viewer?action=AUDIT_VALUE&amp;DB=129&amp;ID1=03611510&amp;VALUEID=02101&amp;SDATE=200601&amp;PERIODTYPE=QTR_STD&amp;window=popup_no_bar&amp;width=385&amp;height=120&amp;START_MAXIMIZED=FALSE&amp;creator=factset&amp;display_string=Audit"}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2497__FDSAUDITLINK__" localSheetId="20" hidden="1">{"fdsup://Directions/FactSet Auditing Viewer?action=AUDIT_VALUE&amp;DB=129&amp;ID1=03611510&amp;VALUEID=13040&amp;SDATE=200601&amp;PERIODTYPE=QTR_STD&amp;window=popup_no_bar&amp;width=385&amp;height=120&amp;START_MAXIMIZED=FALSE&amp;creator=factset&amp;display_string=Audit"}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2498__FDSAUDITLINK__" localSheetId="20" hidden="1">{"fdsup://Directions/FactSet Auditing Viewer?action=AUDIT_VALUE&amp;DB=129&amp;ID1=16890510&amp;VALUEID=02101&amp;SDATE=200601&amp;PERIODTYPE=QTR_STD&amp;window=popup_no_bar&amp;width=385&amp;height=120&amp;START_MAXIMIZED=FALSE&amp;creator=factset&amp;display_string=Audit"}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2499__FDSAUDITLINK__" localSheetId="20" hidden="1">{"fdsup://Directions/FactSet Auditing Viewer?action=AUDIT_VALUE&amp;DB=129&amp;ID1=16890510&amp;VALUEID=01001&amp;SDATE=200601&amp;PERIODTYPE=QTR_STD&amp;window=popup_no_bar&amp;width=385&amp;height=120&amp;START_MAXIMIZED=FALSE&amp;creator=factset&amp;display_string=Audit"}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localSheetId="1" hidden="1">{"fdsup://directions/FAT Viewer?action=UPDATE&amp;creator=factset&amp;DYN_ARGS=TRUE&amp;DOC_NAME=FAT:FQL_AUDITING_CLIENT_TEMPLATE.FAT&amp;display_string=Audit&amp;VAR:KEY=MXQBSHMBET&amp;VAR:QUERY=RkZfRU5UUlBSX1ZBTF9FQklUREFfT1BFUihBTk4sMCk=&amp;WINDOW=FIRST_POPUP&amp;HEIGHT=450&amp;WIDTH=450&amp;","START_MAXIMIZED=FALSE&amp;VAR:CALENDAR=FIVEDAY&amp;VAR:SYMBOL=ANF&amp;VAR:INDEX=0"}</definedName>
    <definedName name="_25__FDSAUDITLINK__" localSheetId="20" hidden="1">{"fdsup://Directions/FactSet Auditing Viewer?action=AUDIT_VALUE&amp;DB=129&amp;ID1=03611510&amp;VALUEID=01001&amp;SDATE=200904&amp;PERIODTYPE=QTR_STD&amp;window=popup_no_bar&amp;width=385&amp;height=120&amp;START_MAXIMIZED=FALSE&amp;creator=factset&amp;display_string=Audit"}</definedName>
    <definedName name="_25__FDSAUDITLINK__" hidden="1">{"fdsup://directions/FAT Viewer?action=UPDATE&amp;creator=factset&amp;DYN_ARGS=TRUE&amp;DOC_NAME=FAT:FQL_AUDITING_CLIENT_TEMPLATE.FAT&amp;display_string=Audit&amp;VAR:KEY=MXQBSHMBET&amp;VAR:QUERY=RkZfRU5UUlBSX1ZBTF9FQklUREFfT1BFUihBTk4sMCk=&amp;WINDOW=FIRST_POPUP&amp;HEIGHT=450&amp;WIDTH=450&amp;","START_MAXIMIZED=FALSE&amp;VAR:CALENDAR=FIVEDAY&amp;VAR:SYMBOL=ANF&amp;VAR:INDEX=0"}</definedName>
    <definedName name="_250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250__FDSAUDITLINK__" localSheetId="20" hidden="1">{"fdsup://Directions/FactSet Auditing Viewer?action=AUDIT_VALUE&amp;DB=129&amp;ID1=00289620&amp;VALUEID=02101&amp;SDATE=200702&amp;PERIODTYPE=QTR_STD&amp;window=popup_no_bar&amp;width=385&amp;height=120&amp;START_MAXIMIZED=FALSE&amp;creator=factset&amp;display_string=Audit"}</definedName>
    <definedName name="_250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500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2500__FDSAUDITLINK__" localSheetId="20" hidden="1">{"fdsup://Directions/FactSet Auditing Viewer?action=AUDIT_VALUE&amp;DB=129&amp;ID1=91704710&amp;VALUEID=02101&amp;SDATE=200601&amp;PERIODTYPE=QTR_STD&amp;window=popup_no_bar&amp;width=385&amp;height=120&amp;START_MAXIMIZED=FALSE&amp;creator=factset&amp;display_string=Audit"}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2501__FDSAUDITLINK__" localSheetId="20" hidden="1">{"fdsup://Directions/FactSet Auditing Viewer?action=AUDIT_VALUE&amp;DB=129&amp;ID1=91704710&amp;VALUEID=01001&amp;SDATE=200601&amp;PERIODTYPE=QTR_STD&amp;window=popup_no_bar&amp;width=385&amp;height=120&amp;START_MAXIMIZED=FALSE&amp;creator=factset&amp;display_string=Audit"}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2502__FDSAUDITLINK__" localSheetId="20" hidden="1">{"fdsup://Directions/FactSet Auditing Viewer?action=AUDIT_VALUE&amp;DB=129&amp;ID1=91704710&amp;VALUEID=13040&amp;SDATE=200601&amp;PERIODTYPE=QTR_STD&amp;window=popup_no_bar&amp;width=385&amp;height=120&amp;START_MAXIMIZED=FALSE&amp;creator=factset&amp;display_string=Audit"}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2503__FDSAUDITLINK__" localSheetId="20" hidden="1">{"fdsup://Directions/FactSet Auditing Viewer?action=AUDIT_VALUE&amp;DB=129&amp;ID1=02553E10&amp;VALUEID=02101&amp;SDATE=200601&amp;PERIODTYPE=QTR_STD&amp;window=popup_no_bar&amp;width=385&amp;height=120&amp;START_MAXIMIZED=FALSE&amp;creator=factset&amp;display_string=Audit"}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2504__FDSAUDITLINK__" localSheetId="20" hidden="1">{"fdsup://Directions/FactSet Auditing Viewer?action=AUDIT_VALUE&amp;DB=129&amp;ID1=02553E10&amp;VALUEID=01001&amp;SDATE=200601&amp;PERIODTYPE=QTR_STD&amp;window=popup_no_bar&amp;width=385&amp;height=120&amp;START_MAXIMIZED=FALSE&amp;creator=factset&amp;display_string=Audit"}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2505__FDSAUDITLINK__" localSheetId="20" hidden="1">{"fdsup://Directions/FactSet Auditing Viewer?action=AUDIT_VALUE&amp;DB=129&amp;ID1=02553E10&amp;VALUEID=13040&amp;SDATE=200601&amp;PERIODTYPE=QTR_STD&amp;window=popup_no_bar&amp;width=385&amp;height=120&amp;START_MAXIMIZED=FALSE&amp;creator=factset&amp;display_string=Audit"}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6__FDSAUDITLINK__" localSheetId="20"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2507__FDSAUDITLINK__" localSheetId="20" hidden="1">{"fdsup://Directions/FactSet Auditing Viewer?action=AUDIT_VALUE&amp;DB=129&amp;ID1=00786510&amp;VALUEID=02101&amp;SDATE=200601&amp;PERIODTYPE=QTR_STD&amp;window=popup_no_bar&amp;width=385&amp;height=120&amp;START_MAXIMIZED=FALSE&amp;creator=factset&amp;display_string=Audit"}</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2508__FDSAUDITLINK__" localSheetId="20" hidden="1">{"fdsup://Directions/FactSet Auditing Viewer?action=AUDIT_VALUE&amp;DB=129&amp;ID1=00786510&amp;VALUEID=01001&amp;SDATE=200601&amp;PERIODTYPE=QTR_STD&amp;window=popup_no_bar&amp;width=385&amp;height=120&amp;START_MAXIMIZED=FALSE&amp;creator=factset&amp;display_string=Audit"}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2509__FDSAUDITLINK__" localSheetId="20" hidden="1">{"fdsup://Directions/FactSet Auditing Viewer?action=AUDIT_VALUE&amp;DB=129&amp;ID1=00786510&amp;VALUEID=13040&amp;SDATE=200601&amp;PERIODTYPE=QTR_STD&amp;window=popup_no_bar&amp;width=385&amp;height=120&amp;START_MAXIMIZED=FALSE&amp;creator=factset&amp;display_string=Audit"}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251__FDSAUDITLINK__" localSheetId="20" hidden="1">{"fdsup://Directions/FactSet Auditing Viewer?action=AUDIT_VALUE&amp;DB=129&amp;ID1=00289620&amp;VALUEID=01001&amp;SDATE=200702&amp;PERIODTYPE=QTR_STD&amp;window=popup_no_bar&amp;width=385&amp;height=120&amp;START_MAXIMIZED=FALSE&amp;creator=factset&amp;display_string=Audit"}</definedName>
    <definedName name="_251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510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2510__FDSAUDITLINK__" localSheetId="20" hidden="1">{"fdsup://Directions/FactSet Auditing Viewer?action=AUDIT_VALUE&amp;DB=129&amp;ID1=00289620&amp;VALUEID=02101&amp;SDATE=200601&amp;PERIODTYPE=QTR_STD&amp;window=popup_no_bar&amp;width=385&amp;height=120&amp;START_MAXIMIZED=FALSE&amp;creator=factset&amp;display_string=Audit"}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2511__FDSAUDITLINK__" localSheetId="20" hidden="1">{"fdsup://Directions/FactSet Auditing Viewer?action=AUDIT_VALUE&amp;DB=129&amp;ID1=00289620&amp;VALUEID=01001&amp;SDATE=200601&amp;PERIODTYPE=QTR_STD&amp;window=popup_no_bar&amp;width=385&amp;height=120&amp;START_MAXIMIZED=FALSE&amp;creator=factset&amp;display_string=Audit"}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2512__FDSAUDITLINK__" localSheetId="20" hidden="1">{"fdsup://Directions/FactSet Auditing Viewer?action=AUDIT_VALUE&amp;DB=129&amp;ID1=00289620&amp;VALUEID=13040&amp;SDATE=200601&amp;PERIODTYPE=QTR_STD&amp;window=popup_no_bar&amp;width=385&amp;height=120&amp;START_MAXIMIZED=FALSE&amp;creator=factset&amp;display_string=Audit"}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3__FDSAUDITLINK__" localSheetId="20"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4__FDSAUDITLINK__" localSheetId="20"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5__FDSAUDITLINK__" localSheetId="20"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2516__FDSAUDITLINK__" localSheetId="20" hidden="1">{"fdsup://Directions/FactSet Auditing Viewer?action=AUDIT_VALUE&amp;DB=129&amp;ID1=03611510&amp;VALUEID=13040&amp;SDATE=200503&amp;PERIODTYPE=QTR_STD&amp;window=popup_no_bar&amp;width=385&amp;height=120&amp;START_MAXIMIZED=FALSE&amp;creator=factset&amp;display_string=Audit"}</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7__FDSAUDITLINK__" localSheetId="20"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8__FDSAUDITLINK__" localSheetId="20"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2519__FDSAUDITLINK__" localSheetId="20" hidden="1">{"fdsup://Directions/FactSet Auditing Viewer?action=AUDIT_VALUE&amp;DB=129&amp;ID1=03611510&amp;VALUEID=13040&amp;SDATE=200502&amp;PERIODTYPE=QTR_STD&amp;window=popup_no_bar&amp;width=385&amp;height=120&amp;START_MAXIMIZED=FALSE&amp;creator=factset&amp;display_string=Audit"}</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252__FDSAUDITLINK__" localSheetId="20" hidden="1">{"fdsup://Directions/FactSet Auditing Viewer?action=AUDIT_VALUE&amp;DB=129&amp;ID1=87416110&amp;VALUEID=02101&amp;SDATE=200701&amp;PERIODTYPE=QTR_STD&amp;window=popup_no_bar&amp;width=385&amp;height=120&amp;START_MAXIMIZED=FALSE&amp;creator=factset&amp;display_string=Audit"}</definedName>
    <definedName name="_252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520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0__FDSAUDITLINK__" localSheetId="20"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1__FDSAUDITLINK__" localSheetId="20"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2522__FDSAUDITLINK__" localSheetId="20" hidden="1">{"fdsup://Directions/FactSet Auditing Viewer?action=AUDIT_VALUE&amp;DB=129&amp;ID1=03611510&amp;VALUEID=13040&amp;SDATE=200501&amp;PERIODTYPE=QTR_STD&amp;window=popup_no_bar&amp;width=385&amp;height=120&amp;START_MAXIMIZED=FALSE&amp;creator=factset&amp;display_string=Audit"}</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3__FDSAUDITLINK__" localSheetId="20"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2524__FDSAUDITLINK__" localSheetId="20" hidden="1">{"fdsup://Directions/FactSet Auditing Viewer?action=AUDIT_VALUE&amp;DB=129&amp;ID1=16890510&amp;VALUEID=13040&amp;SDATE=200602&amp;PERIODTYPE=QTR_STD&amp;window=popup_no_bar&amp;width=385&amp;height=120&amp;START_MAXIMIZED=FALSE&amp;creator=factset&amp;display_string=Audit"}</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2525__FDSAUDITLINK__" localSheetId="20" hidden="1">{"fdsup://Directions/FactSet Auditing Viewer?action=AUDIT_VALUE&amp;DB=129&amp;ID1=16890510&amp;VALUEID=13040&amp;SDATE=200601&amp;PERIODTYPE=QTR_STD&amp;window=popup_no_bar&amp;width=385&amp;height=120&amp;START_MAXIMIZED=FALSE&amp;creator=factset&amp;display_string=Audit"}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2526__FDSAUDITLINK__" localSheetId="20" hidden="1">{"fdsup://Directions/FactSet Auditing Viewer?action=AUDIT_VALUE&amp;DB=129&amp;ID1=16890510&amp;VALUEID=13040&amp;SDATE=200603&amp;PERIODTYPE=QTR_STD&amp;window=popup_no_bar&amp;width=385&amp;height=120&amp;START_MAXIMIZED=FALSE&amp;creator=factset&amp;display_string=Audit"}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2527__FDSAUDITLINK__" localSheetId="20" hidden="1">{"fdsup://Directions/FactSet Auditing Viewer?action=AUDIT_VALUE&amp;DB=129&amp;ID1=16890510&amp;VALUEID=13040&amp;SDATE=200702&amp;PERIODTYPE=QTR_STD&amp;window=popup_no_bar&amp;width=385&amp;height=120&amp;START_MAXIMIZED=FALSE&amp;creator=factset&amp;display_string=Audit"}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2528__FDSAUDITLINK__" localSheetId="20" hidden="1">{"fdsup://Directions/FactSet Auditing Viewer?action=AUDIT_VALUE&amp;DB=129&amp;ID1=16890510&amp;VALUEID=13040&amp;SDATE=200701&amp;PERIODTYPE=QTR_STD&amp;window=popup_no_bar&amp;width=385&amp;height=120&amp;START_MAXIMIZED=FALSE&amp;creator=factset&amp;display_string=Audit"}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2529__FDSAUDITLINK__" localSheetId="20" hidden="1">{"fdsup://Directions/FactSet Auditing Viewer?action=AUDIT_VALUE&amp;DB=129&amp;ID1=16890510&amp;VALUEID=13040&amp;SDATE=200703&amp;PERIODTYPE=QTR_STD&amp;window=popup_no_bar&amp;width=385&amp;height=120&amp;START_MAXIMIZED=FALSE&amp;creator=factset&amp;display_string=Audit"}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253__FDSAUDITLINK__" localSheetId="20" hidden="1">{"fdsup://Directions/FactSet Auditing Viewer?action=AUDIT_VALUE&amp;DB=129&amp;ID1=87416110&amp;VALUEID=01001&amp;SDATE=200701&amp;PERIODTYPE=QTR_STD&amp;window=popup_no_bar&amp;width=385&amp;height=120&amp;START_MAXIMIZED=FALSE&amp;creator=factset&amp;display_string=Audit"}</definedName>
    <definedName name="_253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530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2530__FDSAUDITLINK__" localSheetId="20" hidden="1">{"fdsup://Directions/FactSet Auditing Viewer?action=AUDIT_VALUE&amp;DB=129&amp;ID1=16890510&amp;VALUEID=13040&amp;SDATE=200802&amp;PERIODTYPE=QTR_STD&amp;window=popup_no_bar&amp;width=385&amp;height=120&amp;START_MAXIMIZED=FALSE&amp;creator=factset&amp;display_string=Audit"}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2531__FDSAUDITLINK__" localSheetId="20" hidden="1">{"fdsup://Directions/FactSet Auditing Viewer?action=AUDIT_VALUE&amp;DB=129&amp;ID1=16890510&amp;VALUEID=13040&amp;SDATE=200801&amp;PERIODTYPE=QTR_STD&amp;window=popup_no_bar&amp;width=385&amp;height=120&amp;START_MAXIMIZED=FALSE&amp;creator=factset&amp;display_string=Audit"}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2532__FDSAUDITLINK__" localSheetId="20" hidden="1">{"fdsup://Directions/FactSet Auditing Viewer?action=AUDIT_VALUE&amp;DB=129&amp;ID1=16890510&amp;VALUEID=13040&amp;SDATE=200803&amp;PERIODTYPE=QTR_STD&amp;window=popup_no_bar&amp;width=385&amp;height=120&amp;START_MAXIMIZED=FALSE&amp;creator=factset&amp;display_string=Audit"}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2533__FDSAUDITLINK__" localSheetId="20" hidden="1">{"fdsup://Directions/FactSet Auditing Viewer?action=AUDIT_VALUE&amp;DB=129&amp;ID1=16890510&amp;VALUEID=13040&amp;SDATE=200902&amp;PERIODTYPE=QTR_STD&amp;window=popup_no_bar&amp;width=385&amp;height=120&amp;START_MAXIMIZED=FALSE&amp;creator=factset&amp;display_string=Audit"}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2534__FDSAUDITLINK__" localSheetId="20" hidden="1">{"fdsup://Directions/FactSet Auditing Viewer?action=AUDIT_VALUE&amp;DB=129&amp;ID1=16890510&amp;VALUEID=13040&amp;SDATE=200903&amp;PERIODTYPE=QTR_STD&amp;window=popup_no_bar&amp;width=385&amp;height=120&amp;START_MAXIMIZED=FALSE&amp;creator=factset&amp;display_string=Audit"}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2535__FDSAUDITLINK__" localSheetId="20" hidden="1">{"fdsup://Directions/FactSet Auditing Viewer?action=AUDIT_VALUE&amp;DB=129&amp;ID1=16890510&amp;VALUEID=13040&amp;SDATE=201001&amp;PERIODTYPE=QTR_STD&amp;window=popup_no_bar&amp;width=385&amp;height=120&amp;START_MAXIMIZED=FALSE&amp;creator=factset&amp;display_string=Audit"}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localSheetId="1" hidden="1">{"fdsup://Directions/FactSet Auditing Viewer?action=AUDIT_VALUE&amp;DB=129&amp;ID1=40377710&amp;VALUEID=01001&amp;SDATE=200601&amp;PERIODTYPE=QTR_STD&amp;window=popup_no_bar&amp;width=385&amp;height=120&amp;START_MAXIMIZED=FALSE&amp;creator=factset&amp;display_string=Audit"}</definedName>
    <definedName name="_2536__FDSAUDITLINK__" localSheetId="20" hidden="1">{"fdsup://Directions/FactSet Auditing Viewer?action=AUDIT_VALUE&amp;DB=129&amp;ID1=40377710&amp;VALUEID=01001&amp;SDATE=200601&amp;PERIODTYPE=QTR_STD&amp;window=popup_no_bar&amp;width=385&amp;height=120&amp;START_MAXIMIZED=FALSE&amp;creator=factset&amp;display_string=Audit"}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localSheetId="1" hidden="1">{"fdsup://Directions/FactSet Auditing Viewer?action=AUDIT_VALUE&amp;DB=129&amp;ID1=40377710&amp;VALUEID=02101&amp;SDATE=200601&amp;PERIODTYPE=QTR_STD&amp;window=popup_no_bar&amp;width=385&amp;height=120&amp;START_MAXIMIZED=FALSE&amp;creator=factset&amp;display_string=Audit"}</definedName>
    <definedName name="_2537__FDSAUDITLINK__" localSheetId="20" hidden="1">{"fdsup://Directions/FactSet Auditing Viewer?action=AUDIT_VALUE&amp;DB=129&amp;ID1=40377710&amp;VALUEID=02101&amp;SDATE=200601&amp;PERIODTYPE=QTR_STD&amp;window=popup_no_bar&amp;width=385&amp;height=120&amp;START_MAXIMIZED=FALSE&amp;creator=factset&amp;display_string=Audit"}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localSheetId="1" hidden="1">{"fdsup://Directions/FactSet Auditing Viewer?action=AUDIT_VALUE&amp;DB=129&amp;ID1=40377710&amp;VALUEID=01001&amp;SDATE=200602&amp;PERIODTYPE=QTR_STD&amp;window=popup_no_bar&amp;width=385&amp;height=120&amp;START_MAXIMIZED=FALSE&amp;creator=factset&amp;display_string=Audit"}</definedName>
    <definedName name="_2538__FDSAUDITLINK__" localSheetId="20" hidden="1">{"fdsup://Directions/FactSet Auditing Viewer?action=AUDIT_VALUE&amp;DB=129&amp;ID1=40377710&amp;VALUEID=01001&amp;SDATE=200602&amp;PERIODTYPE=QTR_STD&amp;window=popup_no_bar&amp;width=385&amp;height=120&amp;START_MAXIMIZED=FALSE&amp;creator=factset&amp;display_string=Audit"}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localSheetId="1" hidden="1">{"fdsup://Directions/FactSet Auditing Viewer?action=AUDIT_VALUE&amp;DB=129&amp;ID1=40377710&amp;VALUEID=02101&amp;SDATE=200602&amp;PERIODTYPE=QTR_STD&amp;window=popup_no_bar&amp;width=385&amp;height=120&amp;START_MAXIMIZED=FALSE&amp;creator=factset&amp;display_string=Audit"}</definedName>
    <definedName name="_2539__FDSAUDITLINK__" localSheetId="20" hidden="1">{"fdsup://Directions/FactSet Auditing Viewer?action=AUDIT_VALUE&amp;DB=129&amp;ID1=40377710&amp;VALUEID=02101&amp;SDATE=200602&amp;PERIODTYPE=QTR_STD&amp;window=popup_no_bar&amp;width=385&amp;height=120&amp;START_MAXIMIZED=FALSE&amp;creator=factset&amp;display_string=Audit"}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254__FDSAUDITLINK__" localSheetId="20" hidden="1">{"fdsup://Directions/FactSet Auditing Viewer?action=AUDIT_VALUE&amp;DB=129&amp;ID1=53271610&amp;VALUEID=02101&amp;SDATE=200701&amp;PERIODTYPE=QTR_STD&amp;window=popup_no_bar&amp;width=385&amp;height=120&amp;START_MAXIMIZED=FALSE&amp;creator=factset&amp;display_string=Audit"}</definedName>
    <definedName name="_254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540__FDSAUDITLINK__" localSheetId="1" hidden="1">{"fdsup://Directions/FactSet Auditing Viewer?action=AUDIT_VALUE&amp;DB=129&amp;ID1=40377710&amp;VALUEID=01001&amp;SDATE=200603&amp;PERIODTYPE=QTR_STD&amp;window=popup_no_bar&amp;width=385&amp;height=120&amp;START_MAXIMIZED=FALSE&amp;creator=factset&amp;display_string=Audit"}</definedName>
    <definedName name="_2540__FDSAUDITLINK__" localSheetId="20" hidden="1">{"fdsup://Directions/FactSet Auditing Viewer?action=AUDIT_VALUE&amp;DB=129&amp;ID1=40377710&amp;VALUEID=01001&amp;SDATE=200603&amp;PERIODTYPE=QTR_STD&amp;window=popup_no_bar&amp;width=385&amp;height=120&amp;START_MAXIMIZED=FALSE&amp;creator=factset&amp;display_string=Audit"}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localSheetId="1" hidden="1">{"fdsup://Directions/FactSet Auditing Viewer?action=AUDIT_VALUE&amp;DB=129&amp;ID1=40377710&amp;VALUEID=02101&amp;SDATE=200603&amp;PERIODTYPE=QTR_STD&amp;window=popup_no_bar&amp;width=385&amp;height=120&amp;START_MAXIMIZED=FALSE&amp;creator=factset&amp;display_string=Audit"}</definedName>
    <definedName name="_2541__FDSAUDITLINK__" localSheetId="20" hidden="1">{"fdsup://Directions/FactSet Auditing Viewer?action=AUDIT_VALUE&amp;DB=129&amp;ID1=40377710&amp;VALUEID=02101&amp;SDATE=200603&amp;PERIODTYPE=QTR_STD&amp;window=popup_no_bar&amp;width=385&amp;height=120&amp;START_MAXIMIZED=FALSE&amp;creator=factset&amp;display_string=Audit"}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localSheetId="1" hidden="1">{"fdsup://Directions/FactSet Auditing Viewer?action=AUDIT_VALUE&amp;DB=129&amp;ID1=40377710&amp;VALUEID=01001&amp;SDATE=200604&amp;PERIODTYPE=QTR_STD&amp;window=popup_no_bar&amp;width=385&amp;height=120&amp;START_MAXIMIZED=FALSE&amp;creator=factset&amp;display_string=Audit"}</definedName>
    <definedName name="_2542__FDSAUDITLINK__" localSheetId="20" hidden="1">{"fdsup://Directions/FactSet Auditing Viewer?action=AUDIT_VALUE&amp;DB=129&amp;ID1=40377710&amp;VALUEID=01001&amp;SDATE=200604&amp;PERIODTYPE=QTR_STD&amp;window=popup_no_bar&amp;width=385&amp;height=120&amp;START_MAXIMIZED=FALSE&amp;creator=factset&amp;display_string=Audit"}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localSheetId="1" hidden="1">{"fdsup://Directions/FactSet Auditing Viewer?action=AUDIT_VALUE&amp;DB=129&amp;ID1=40377710&amp;VALUEID=01001&amp;SDATE=200701&amp;PERIODTYPE=QTR_STD&amp;window=popup_no_bar&amp;width=385&amp;height=120&amp;START_MAXIMIZED=FALSE&amp;creator=factset&amp;display_string=Audit"}</definedName>
    <definedName name="_2543__FDSAUDITLINK__" localSheetId="20" hidden="1">{"fdsup://Directions/FactSet Auditing Viewer?action=AUDIT_VALUE&amp;DB=129&amp;ID1=40377710&amp;VALUEID=01001&amp;SDATE=200701&amp;PERIODTYPE=QTR_STD&amp;window=popup_no_bar&amp;width=385&amp;height=120&amp;START_MAXIMIZED=FALSE&amp;creator=factset&amp;display_string=Audit"}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localSheetId="1" hidden="1">{"fdsup://Directions/FactSet Auditing Viewer?action=AUDIT_VALUE&amp;DB=129&amp;ID1=40377710&amp;VALUEID=02101&amp;SDATE=200701&amp;PERIODTYPE=QTR_STD&amp;window=popup_no_bar&amp;width=385&amp;height=120&amp;START_MAXIMIZED=FALSE&amp;creator=factset&amp;display_string=Audit"}</definedName>
    <definedName name="_2544__FDSAUDITLINK__" localSheetId="20" hidden="1">{"fdsup://Directions/FactSet Auditing Viewer?action=AUDIT_VALUE&amp;DB=129&amp;ID1=40377710&amp;VALUEID=02101&amp;SDATE=200701&amp;PERIODTYPE=QTR_STD&amp;window=popup_no_bar&amp;width=385&amp;height=120&amp;START_MAXIMIZED=FALSE&amp;creator=factset&amp;display_string=Audit"}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localSheetId="1" hidden="1">{"fdsup://Directions/FactSet Auditing Viewer?action=AUDIT_VALUE&amp;DB=129&amp;ID1=40377710&amp;VALUEID=01001&amp;SDATE=200702&amp;PERIODTYPE=QTR_STD&amp;window=popup_no_bar&amp;width=385&amp;height=120&amp;START_MAXIMIZED=FALSE&amp;creator=factset&amp;display_string=Audit"}</definedName>
    <definedName name="_2545__FDSAUDITLINK__" localSheetId="20" hidden="1">{"fdsup://Directions/FactSet Auditing Viewer?action=AUDIT_VALUE&amp;DB=129&amp;ID1=40377710&amp;VALUEID=01001&amp;SDATE=200702&amp;PERIODTYPE=QTR_STD&amp;window=popup_no_bar&amp;width=385&amp;height=120&amp;START_MAXIMIZED=FALSE&amp;creator=factset&amp;display_string=Audit"}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localSheetId="1" hidden="1">{"fdsup://Directions/FactSet Auditing Viewer?action=AUDIT_VALUE&amp;DB=129&amp;ID1=40377710&amp;VALUEID=02101&amp;SDATE=200702&amp;PERIODTYPE=QTR_STD&amp;window=popup_no_bar&amp;width=385&amp;height=120&amp;START_MAXIMIZED=FALSE&amp;creator=factset&amp;display_string=Audit"}</definedName>
    <definedName name="_2546__FDSAUDITLINK__" localSheetId="20" hidden="1">{"fdsup://Directions/FactSet Auditing Viewer?action=AUDIT_VALUE&amp;DB=129&amp;ID1=40377710&amp;VALUEID=02101&amp;SDATE=200702&amp;PERIODTYPE=QTR_STD&amp;window=popup_no_bar&amp;width=385&amp;height=120&amp;START_MAXIMIZED=FALSE&amp;creator=factset&amp;display_string=Audit"}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localSheetId="1" hidden="1">{"fdsup://Directions/FactSet Auditing Viewer?action=AUDIT_VALUE&amp;DB=129&amp;ID1=40377710&amp;VALUEID=01001&amp;SDATE=200703&amp;PERIODTYPE=QTR_STD&amp;window=popup_no_bar&amp;width=385&amp;height=120&amp;START_MAXIMIZED=FALSE&amp;creator=factset&amp;display_string=Audit"}</definedName>
    <definedName name="_2547__FDSAUDITLINK__" localSheetId="20" hidden="1">{"fdsup://Directions/FactSet Auditing Viewer?action=AUDIT_VALUE&amp;DB=129&amp;ID1=40377710&amp;VALUEID=01001&amp;SDATE=200703&amp;PERIODTYPE=QTR_STD&amp;window=popup_no_bar&amp;width=385&amp;height=120&amp;START_MAXIMIZED=FALSE&amp;creator=factset&amp;display_string=Audit"}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localSheetId="1" hidden="1">{"fdsup://Directions/FactSet Auditing Viewer?action=AUDIT_VALUE&amp;DB=129&amp;ID1=40377710&amp;VALUEID=02101&amp;SDATE=200703&amp;PERIODTYPE=QTR_STD&amp;window=popup_no_bar&amp;width=385&amp;height=120&amp;START_MAXIMIZED=FALSE&amp;creator=factset&amp;display_string=Audit"}</definedName>
    <definedName name="_2548__FDSAUDITLINK__" localSheetId="20" hidden="1">{"fdsup://Directions/FactSet Auditing Viewer?action=AUDIT_VALUE&amp;DB=129&amp;ID1=40377710&amp;VALUEID=02101&amp;SDATE=200703&amp;PERIODTYPE=QTR_STD&amp;window=popup_no_bar&amp;width=385&amp;height=120&amp;START_MAXIMIZED=FALSE&amp;creator=factset&amp;display_string=Audit"}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localSheetId="1" hidden="1">{"fdsup://Directions/FactSet Auditing Viewer?action=AUDIT_VALUE&amp;DB=129&amp;ID1=40377710&amp;VALUEID=01001&amp;SDATE=200704&amp;PERIODTYPE=QTR_STD&amp;window=popup_no_bar&amp;width=385&amp;height=120&amp;START_MAXIMIZED=FALSE&amp;creator=factset&amp;display_string=Audit"}</definedName>
    <definedName name="_2549__FDSAUDITLINK__" localSheetId="20" hidden="1">{"fdsup://Directions/FactSet Auditing Viewer?action=AUDIT_VALUE&amp;DB=129&amp;ID1=40377710&amp;VALUEID=01001&amp;SDATE=200704&amp;PERIODTYPE=QTR_STD&amp;window=popup_no_bar&amp;width=385&amp;height=120&amp;START_MAXIMIZED=FALSE&amp;creator=factset&amp;display_string=Audit"}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255__FDSAUDITLINK__" localSheetId="20" hidden="1">{"fdsup://Directions/FactSet Auditing Viewer?action=AUDIT_VALUE&amp;DB=129&amp;ID1=53271610&amp;VALUEID=01001&amp;SDATE=200701&amp;PERIODTYPE=QTR_STD&amp;window=popup_no_bar&amp;width=385&amp;height=120&amp;START_MAXIMIZED=FALSE&amp;creator=factset&amp;display_string=Audit"}</definedName>
    <definedName name="_255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550__FDSAUDITLINK__" localSheetId="1" hidden="1">{"fdsup://Directions/FactSet Auditing Viewer?action=AUDIT_VALUE&amp;DB=129&amp;ID1=40377710&amp;VALUEID=01001&amp;SDATE=200801&amp;PERIODTYPE=QTR_STD&amp;window=popup_no_bar&amp;width=385&amp;height=120&amp;START_MAXIMIZED=FALSE&amp;creator=factset&amp;display_string=Audit"}</definedName>
    <definedName name="_2550__FDSAUDITLINK__" localSheetId="20" hidden="1">{"fdsup://Directions/FactSet Auditing Viewer?action=AUDIT_VALUE&amp;DB=129&amp;ID1=40377710&amp;VALUEID=01001&amp;SDATE=200801&amp;PERIODTYPE=QTR_STD&amp;window=popup_no_bar&amp;width=385&amp;height=120&amp;START_MAXIMIZED=FALSE&amp;creator=factset&amp;display_string=Audit"}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localSheetId="1" hidden="1">{"fdsup://Directions/FactSet Auditing Viewer?action=AUDIT_VALUE&amp;DB=129&amp;ID1=40377710&amp;VALUEID=02101&amp;SDATE=200801&amp;PERIODTYPE=QTR_STD&amp;window=popup_no_bar&amp;width=385&amp;height=120&amp;START_MAXIMIZED=FALSE&amp;creator=factset&amp;display_string=Audit"}</definedName>
    <definedName name="_2551__FDSAUDITLINK__" localSheetId="20" hidden="1">{"fdsup://Directions/FactSet Auditing Viewer?action=AUDIT_VALUE&amp;DB=129&amp;ID1=40377710&amp;VALUEID=02101&amp;SDATE=200801&amp;PERIODTYPE=QTR_STD&amp;window=popup_no_bar&amp;width=385&amp;height=120&amp;START_MAXIMIZED=FALSE&amp;creator=factset&amp;display_string=Audit"}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localSheetId="1" hidden="1">{"fdsup://Directions/FactSet Auditing Viewer?action=AUDIT_VALUE&amp;DB=129&amp;ID1=40377710&amp;VALUEID=01001&amp;SDATE=200802&amp;PERIODTYPE=QTR_STD&amp;window=popup_no_bar&amp;width=385&amp;height=120&amp;START_MAXIMIZED=FALSE&amp;creator=factset&amp;display_string=Audit"}</definedName>
    <definedName name="_2552__FDSAUDITLINK__" localSheetId="20" hidden="1">{"fdsup://Directions/FactSet Auditing Viewer?action=AUDIT_VALUE&amp;DB=129&amp;ID1=40377710&amp;VALUEID=01001&amp;SDATE=200802&amp;PERIODTYPE=QTR_STD&amp;window=popup_no_bar&amp;width=385&amp;height=120&amp;START_MAXIMIZED=FALSE&amp;creator=factset&amp;display_string=Audit"}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localSheetId="1" hidden="1">{"fdsup://Directions/FactSet Auditing Viewer?action=AUDIT_VALUE&amp;DB=129&amp;ID1=40377710&amp;VALUEID=02101&amp;SDATE=200802&amp;PERIODTYPE=QTR_STD&amp;window=popup_no_bar&amp;width=385&amp;height=120&amp;START_MAXIMIZED=FALSE&amp;creator=factset&amp;display_string=Audit"}</definedName>
    <definedName name="_2553__FDSAUDITLINK__" localSheetId="20" hidden="1">{"fdsup://Directions/FactSet Auditing Viewer?action=AUDIT_VALUE&amp;DB=129&amp;ID1=40377710&amp;VALUEID=02101&amp;SDATE=200802&amp;PERIODTYPE=QTR_STD&amp;window=popup_no_bar&amp;width=385&amp;height=120&amp;START_MAXIMIZED=FALSE&amp;creator=factset&amp;display_string=Audit"}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localSheetId="1" hidden="1">{"fdsup://Directions/FactSet Auditing Viewer?action=AUDIT_VALUE&amp;DB=129&amp;ID1=40377710&amp;VALUEID=01001&amp;SDATE=200803&amp;PERIODTYPE=QTR_STD&amp;window=popup_no_bar&amp;width=385&amp;height=120&amp;START_MAXIMIZED=FALSE&amp;creator=factset&amp;display_string=Audit"}</definedName>
    <definedName name="_2554__FDSAUDITLINK__" localSheetId="20" hidden="1">{"fdsup://Directions/FactSet Auditing Viewer?action=AUDIT_VALUE&amp;DB=129&amp;ID1=40377710&amp;VALUEID=01001&amp;SDATE=200803&amp;PERIODTYPE=QTR_STD&amp;window=popup_no_bar&amp;width=385&amp;height=120&amp;START_MAXIMIZED=FALSE&amp;creator=factset&amp;display_string=Audit"}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localSheetId="1" hidden="1">{"fdsup://Directions/FactSet Auditing Viewer?action=AUDIT_VALUE&amp;DB=129&amp;ID1=40377710&amp;VALUEID=02101&amp;SDATE=200803&amp;PERIODTYPE=QTR_STD&amp;window=popup_no_bar&amp;width=385&amp;height=120&amp;START_MAXIMIZED=FALSE&amp;creator=factset&amp;display_string=Audit"}</definedName>
    <definedName name="_2555__FDSAUDITLINK__" localSheetId="20" hidden="1">{"fdsup://Directions/FactSet Auditing Viewer?action=AUDIT_VALUE&amp;DB=129&amp;ID1=40377710&amp;VALUEID=02101&amp;SDATE=200803&amp;PERIODTYPE=QTR_STD&amp;window=popup_no_bar&amp;width=385&amp;height=120&amp;START_MAXIMIZED=FALSE&amp;creator=factset&amp;display_string=Audit"}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localSheetId="1" hidden="1">{"fdsup://Directions/FactSet Auditing Viewer?action=AUDIT_VALUE&amp;DB=129&amp;ID1=40377710&amp;VALUEID=01001&amp;SDATE=200804&amp;PERIODTYPE=QTR_STD&amp;window=popup_no_bar&amp;width=385&amp;height=120&amp;START_MAXIMIZED=FALSE&amp;creator=factset&amp;display_string=Audit"}</definedName>
    <definedName name="_2556__FDSAUDITLINK__" localSheetId="20" hidden="1">{"fdsup://Directions/FactSet Auditing Viewer?action=AUDIT_VALUE&amp;DB=129&amp;ID1=40377710&amp;VALUEID=01001&amp;SDATE=200804&amp;PERIODTYPE=QTR_STD&amp;window=popup_no_bar&amp;width=385&amp;height=120&amp;START_MAXIMIZED=FALSE&amp;creator=factset&amp;display_string=Audit"}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localSheetId="1" hidden="1">{"fdsup://Directions/FactSet Auditing Viewer?action=AUDIT_VALUE&amp;DB=129&amp;ID1=40377710&amp;VALUEID=01001&amp;SDATE=200901&amp;PERIODTYPE=QTR_STD&amp;window=popup_no_bar&amp;width=385&amp;height=120&amp;START_MAXIMIZED=FALSE&amp;creator=factset&amp;display_string=Audit"}</definedName>
    <definedName name="_2557__FDSAUDITLINK__" localSheetId="20" hidden="1">{"fdsup://Directions/FactSet Auditing Viewer?action=AUDIT_VALUE&amp;DB=129&amp;ID1=40377710&amp;VALUEID=01001&amp;SDATE=200901&amp;PERIODTYPE=QTR_STD&amp;window=popup_no_bar&amp;width=385&amp;height=120&amp;START_MAXIMIZED=FALSE&amp;creator=factset&amp;display_string=Audit"}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localSheetId="1" hidden="1">{"fdsup://Directions/FactSet Auditing Viewer?action=AUDIT_VALUE&amp;DB=129&amp;ID1=40377710&amp;VALUEID=02101&amp;SDATE=200901&amp;PERIODTYPE=QTR_STD&amp;window=popup_no_bar&amp;width=385&amp;height=120&amp;START_MAXIMIZED=FALSE&amp;creator=factset&amp;display_string=Audit"}</definedName>
    <definedName name="_2558__FDSAUDITLINK__" localSheetId="20" hidden="1">{"fdsup://Directions/FactSet Auditing Viewer?action=AUDIT_VALUE&amp;DB=129&amp;ID1=40377710&amp;VALUEID=02101&amp;SDATE=200901&amp;PERIODTYPE=QTR_STD&amp;window=popup_no_bar&amp;width=385&amp;height=120&amp;START_MAXIMIZED=FALSE&amp;creator=factset&amp;display_string=Audit"}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localSheetId="1" hidden="1">{"fdsup://Directions/FactSet Auditing Viewer?action=AUDIT_VALUE&amp;DB=129&amp;ID1=40377710&amp;VALUEID=01001&amp;SDATE=200902&amp;PERIODTYPE=QTR_STD&amp;window=popup_no_bar&amp;width=385&amp;height=120&amp;START_MAXIMIZED=FALSE&amp;creator=factset&amp;display_string=Audit"}</definedName>
    <definedName name="_2559__FDSAUDITLINK__" localSheetId="20" hidden="1">{"fdsup://Directions/FactSet Auditing Viewer?action=AUDIT_VALUE&amp;DB=129&amp;ID1=40377710&amp;VALUEID=01001&amp;SDATE=200902&amp;PERIODTYPE=QTR_STD&amp;window=popup_no_bar&amp;width=385&amp;height=120&amp;START_MAXIMIZED=FALSE&amp;creator=factset&amp;display_string=Audit"}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256__FDSAUDITLINK__" localSheetId="20" hidden="1">{"fdsup://Directions/FactSet Auditing Viewer?action=AUDIT_VALUE&amp;DB=129&amp;ID1=53271610&amp;VALUEID=13040&amp;SDATE=200701&amp;PERIODTYPE=QTR_STD&amp;window=popup_no_bar&amp;width=385&amp;height=120&amp;START_MAXIMIZED=FALSE&amp;creator=factset&amp;display_string=Audit"}</definedName>
    <definedName name="_256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560__FDSAUDITLINK__" localSheetId="1" hidden="1">{"fdsup://Directions/FactSet Auditing Viewer?action=AUDIT_VALUE&amp;DB=129&amp;ID1=40377710&amp;VALUEID=02101&amp;SDATE=200902&amp;PERIODTYPE=QTR_STD&amp;window=popup_no_bar&amp;width=385&amp;height=120&amp;START_MAXIMIZED=FALSE&amp;creator=factset&amp;display_string=Audit"}</definedName>
    <definedName name="_2560__FDSAUDITLINK__" localSheetId="20" hidden="1">{"fdsup://Directions/FactSet Auditing Viewer?action=AUDIT_VALUE&amp;DB=129&amp;ID1=40377710&amp;VALUEID=02101&amp;SDATE=200902&amp;PERIODTYPE=QTR_STD&amp;window=popup_no_bar&amp;width=385&amp;height=120&amp;START_MAXIMIZED=FALSE&amp;creator=factset&amp;display_string=Audit"}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localSheetId="1" hidden="1">{"fdsup://Directions/FactSet Auditing Viewer?action=AUDIT_VALUE&amp;DB=129&amp;ID1=40377710&amp;VALUEID=01001&amp;SDATE=200903&amp;PERIODTYPE=QTR_STD&amp;window=popup_no_bar&amp;width=385&amp;height=120&amp;START_MAXIMIZED=FALSE&amp;creator=factset&amp;display_string=Audit"}</definedName>
    <definedName name="_2561__FDSAUDITLINK__" localSheetId="20" hidden="1">{"fdsup://Directions/FactSet Auditing Viewer?action=AUDIT_VALUE&amp;DB=129&amp;ID1=40377710&amp;VALUEID=01001&amp;SDATE=200903&amp;PERIODTYPE=QTR_STD&amp;window=popup_no_bar&amp;width=385&amp;height=120&amp;START_MAXIMIZED=FALSE&amp;creator=factset&amp;display_string=Audit"}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localSheetId="1" hidden="1">{"fdsup://Directions/FactSet Auditing Viewer?action=AUDIT_VALUE&amp;DB=129&amp;ID1=40377710&amp;VALUEID=02101&amp;SDATE=200903&amp;PERIODTYPE=QTR_STD&amp;window=popup_no_bar&amp;width=385&amp;height=120&amp;START_MAXIMIZED=FALSE&amp;creator=factset&amp;display_string=Audit"}</definedName>
    <definedName name="_2562__FDSAUDITLINK__" localSheetId="20" hidden="1">{"fdsup://Directions/FactSet Auditing Viewer?action=AUDIT_VALUE&amp;DB=129&amp;ID1=40377710&amp;VALUEID=02101&amp;SDATE=200903&amp;PERIODTYPE=QTR_STD&amp;window=popup_no_bar&amp;width=385&amp;height=120&amp;START_MAXIMIZED=FALSE&amp;creator=factset&amp;display_string=Audit"}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localSheetId="1" hidden="1">{"fdsup://Directions/FactSet Auditing Viewer?action=AUDIT_VALUE&amp;DB=129&amp;ID1=40377710&amp;VALUEID=01001&amp;SDATE=200904&amp;PERIODTYPE=QTR_STD&amp;window=popup_no_bar&amp;width=385&amp;height=120&amp;START_MAXIMIZED=FALSE&amp;creator=factset&amp;display_string=Audit"}</definedName>
    <definedName name="_2563__FDSAUDITLINK__" localSheetId="20" hidden="1">{"fdsup://Directions/FactSet Auditing Viewer?action=AUDIT_VALUE&amp;DB=129&amp;ID1=40377710&amp;VALUEID=01001&amp;SDATE=200904&amp;PERIODTYPE=QTR_STD&amp;window=popup_no_bar&amp;width=385&amp;height=120&amp;START_MAXIMIZED=FALSE&amp;creator=factset&amp;display_string=Audit"}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localSheetId="1" hidden="1">{"fdsup://Directions/FactSet Auditing Viewer?action=AUDIT_VALUE&amp;DB=129&amp;ID1=40377710&amp;VALUEID=02101&amp;SDATE=201001&amp;PERIODTYPE=QTR_STD&amp;window=popup_no_bar&amp;width=385&amp;height=120&amp;START_MAXIMIZED=FALSE&amp;creator=factset&amp;display_string=Audit"}</definedName>
    <definedName name="_2564__FDSAUDITLINK__" localSheetId="20" hidden="1">{"fdsup://Directions/FactSet Auditing Viewer?action=AUDIT_VALUE&amp;DB=129&amp;ID1=40377710&amp;VALUEID=02101&amp;SDATE=201001&amp;PERIODTYPE=QTR_STD&amp;window=popup_no_bar&amp;width=385&amp;height=120&amp;START_MAXIMIZED=FALSE&amp;creator=factset&amp;display_string=Audit"}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localSheetId="1"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5__FDSAUDITLINK__" localSheetId="20"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localSheetId="1"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6__FDSAUDITLINK__" localSheetId="20"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localSheetId="1"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7__FDSAUDITLINK__" localSheetId="20"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localSheetId="1"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8__FDSAUDITLINK__" localSheetId="20"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localSheetId="1"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69__FDSAUDITLINK__" localSheetId="20"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257__FDSAUDITLINK__" localSheetId="20" hidden="1">{"fdsup://Directions/FactSet Auditing Viewer?action=AUDIT_VALUE&amp;DB=129&amp;ID1=46612H40&amp;VALUEID=02101&amp;SDATE=200701&amp;PERIODTYPE=QTR_STD&amp;window=popup_no_bar&amp;width=385&amp;height=120&amp;START_MAXIMIZED=FALSE&amp;creator=factset&amp;display_string=Audit"}</definedName>
    <definedName name="_257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570__FDSAUDITLINK__" localSheetId="1"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0__FDSAUDITLINK__" localSheetId="20"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localSheetId="1"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1__FDSAUDITLINK__" localSheetId="20"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localSheetId="1"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2__FDSAUDITLINK__" localSheetId="20"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localSheetId="1"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3__FDSAUDITLINK__" localSheetId="20"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localSheetId="1"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4__FDSAUDITLINK__" localSheetId="20"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localSheetId="1"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5__FDSAUDITLINK__" localSheetId="20"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localSheetId="1"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6__FDSAUDITLINK__" localSheetId="20"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localSheetId="1"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7__FDSAUDITLINK__" localSheetId="20"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localSheetId="1"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8__FDSAUDITLINK__" localSheetId="20"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localSheetId="1"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79__FDSAUDITLINK__" localSheetId="20"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258__FDSAUDITLINK__" localSheetId="20" hidden="1">{"fdsup://Directions/FactSet Auditing Viewer?action=AUDIT_VALUE&amp;DB=129&amp;ID1=46612H40&amp;VALUEID=01001&amp;SDATE=200701&amp;PERIODTYPE=QTR_STD&amp;window=popup_no_bar&amp;width=385&amp;height=120&amp;START_MAXIMIZED=FALSE&amp;creator=factset&amp;display_string=Audit"}</definedName>
    <definedName name="_258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580__FDSAUDITLINK__" localSheetId="1"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0__FDSAUDITLINK__" localSheetId="20"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localSheetId="1"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1__FDSAUDITLINK__" localSheetId="20"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localSheetId="1"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2__FDSAUDITLINK__" localSheetId="20"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localSheetId="1"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3__FDSAUDITLINK__" localSheetId="20"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localSheetId="1"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4__FDSAUDITLINK__" localSheetId="20"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localSheetId="1"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5__FDSAUDITLINK__" localSheetId="20"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localSheetId="1"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6__FDSAUDITLINK__" localSheetId="20"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localSheetId="1"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7__FDSAUDITLINK__" localSheetId="20"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localSheetId="1"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8__FDSAUDITLINK__" localSheetId="20"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localSheetId="1"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89__FDSAUDITLINK__" localSheetId="20"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259__FDSAUDITLINK__" localSheetId="20" hidden="1">{"fdsup://Directions/FactSet Auditing Viewer?action=AUDIT_VALUE&amp;DB=129&amp;ID1=46612H40&amp;VALUEID=13040&amp;SDATE=200701&amp;PERIODTYPE=QTR_STD&amp;window=popup_no_bar&amp;width=385&amp;height=120&amp;START_MAXIMIZED=FALSE&amp;creator=factset&amp;display_string=Audit"}</definedName>
    <definedName name="_259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590__FDSAUDITLINK__" localSheetId="1"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0__FDSAUDITLINK__" localSheetId="20"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localSheetId="1"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1__FDSAUDITLINK__" localSheetId="20"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2592__FDSAUDITLINK__" localSheetId="20" hidden="1">{"fdsup://Directions/FactSet Auditing Viewer?action=AUDIT_VALUE&amp;DB=129&amp;ID1=40377710&amp;VALUEID=13040&amp;SDATE=200802&amp;PERIODTYPE=QTR_STD&amp;window=popup_no_bar&amp;width=385&amp;height=120&amp;START_MAXIMIZED=FALSE&amp;creator=factset&amp;display_string=Audit"}</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localSheetId="1"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3__FDSAUDITLINK__" localSheetId="20"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2594__FDSAUDITLINK__" localSheetId="20" hidden="1">{"fdsup://Directions/FactSet Auditing Viewer?action=AUDIT_VALUE&amp;DB=129&amp;ID1=40377710&amp;VALUEID=13040&amp;SDATE=200803&amp;PERIODTYPE=QTR_STD&amp;window=popup_no_bar&amp;width=385&amp;height=120&amp;START_MAXIMIZED=FALSE&amp;creator=factset&amp;display_string=Audit"}</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localSheetId="1"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5__FDSAUDITLINK__" localSheetId="20"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localSheetId="1"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6__FDSAUDITLINK__" localSheetId="20"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2597__FDSAUDITLINK__" localSheetId="20" hidden="1">{"fdsup://Directions/FactSet Auditing Viewer?action=AUDIT_VALUE&amp;DB=129&amp;ID1=40377710&amp;VALUEID=13040&amp;SDATE=200901&amp;PERIODTYPE=QTR_STD&amp;window=popup_no_bar&amp;width=385&amp;height=120&amp;START_MAXIMIZED=FALSE&amp;creator=factset&amp;display_string=Audit"}</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localSheetId="1"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8__FDSAUDITLINK__" localSheetId="20"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2599__FDSAUDITLINK__" localSheetId="20" hidden="1">{"fdsup://Directions/FactSet Auditing Viewer?action=AUDIT_VALUE&amp;DB=129&amp;ID1=40377710&amp;VALUEID=13040&amp;SDATE=201001&amp;PERIODTYPE=QTR_STD&amp;window=popup_no_bar&amp;width=385&amp;height=120&amp;START_MAXIMIZED=FALSE&amp;creator=factset&amp;display_string=Audit"}</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localSheetId="1" hidden="1">{"fdsup://directions/FAT Viewer?action=UPDATE&amp;creator=factset&amp;DYN_ARGS=TRUE&amp;DOC_NAME=FAT:FQL_AUDITING_CLIENT_TEMPLATE.FAT&amp;display_string=Audit&amp;VAR:KEY=ORULAPKDCX&amp;VAR:QUERY=RkZfRU5UUlBSX1ZBTF9FQklUREFfT1BFUihBTk4sMCk=&amp;WINDOW=FIRST_POPUP&amp;HEIGHT=450&amp;WIDTH=450&amp;","START_MAXIMIZED=FALSE&amp;VAR:CALENDAR=FIVEDAY&amp;VAR:SYMBOL=AEO&amp;VAR:INDEX=0"}</definedName>
    <definedName name="_26__FDSAUDITLINK__" localSheetId="20" hidden="1">{"fdsup://Directions/FactSet Auditing Viewer?action=AUDIT_VALUE&amp;DB=129&amp;ID1=16890510&amp;VALUEID=01001&amp;SDATE=200904&amp;PERIODTYPE=QTR_STD&amp;window=popup_no_bar&amp;width=385&amp;height=120&amp;START_MAXIMIZED=FALSE&amp;creator=factset&amp;display_string=Audit"}</definedName>
    <definedName name="_26__FDSAUDITLINK__" hidden="1">{"fdsup://directions/FAT Viewer?action=UPDATE&amp;creator=factset&amp;DYN_ARGS=TRUE&amp;DOC_NAME=FAT:FQL_AUDITING_CLIENT_TEMPLATE.FAT&amp;display_string=Audit&amp;VAR:KEY=ORULAPKDCX&amp;VAR:QUERY=RkZfRU5UUlBSX1ZBTF9FQklUREFfT1BFUihBTk4sMCk=&amp;WINDOW=FIRST_POPUP&amp;HEIGHT=450&amp;WIDTH=450&amp;","START_MAXIMIZED=FALSE&amp;VAR:CALENDAR=FIVEDAY&amp;VAR:SYMBOL=AEO&amp;VAR:INDEX=0"}</definedName>
    <definedName name="_260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260__FDSAUDITLINK__" localSheetId="20" hidden="1">{"fdsup://Directions/FactSet Auditing Viewer?action=AUDIT_VALUE&amp;DB=129&amp;ID1=36476010&amp;VALUEID=02101&amp;SDATE=200701&amp;PERIODTYPE=QTR_STD&amp;window=popup_no_bar&amp;width=385&amp;height=120&amp;START_MAXIMIZED=FALSE&amp;creator=factset&amp;display_string=Audit"}</definedName>
    <definedName name="_260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600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2600__FDSAUDITLINK__" localSheetId="20" hidden="1">{"fdsup://Directions/FactSet Auditing Viewer?action=AUDIT_VALUE&amp;DB=129&amp;ID1=40377710&amp;VALUEID=13040&amp;SDATE=200602&amp;PERIODTYPE=QTR_STD&amp;window=popup_no_bar&amp;width=385&amp;height=120&amp;START_MAXIMIZED=FALSE&amp;creator=factset&amp;display_string=Audit"}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2601__FDSAUDITLINK__" localSheetId="20" hidden="1">{"fdsup://Directions/FactSet Auditing Viewer?action=AUDIT_VALUE&amp;DB=129&amp;ID1=40377710&amp;VALUEID=13040&amp;SDATE=200601&amp;PERIODTYPE=QTR_STD&amp;window=popup_no_bar&amp;width=385&amp;height=120&amp;START_MAXIMIZED=FALSE&amp;creator=factset&amp;display_string=Audit"}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localSheetId="1"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2__FDSAUDITLINK__" localSheetId="20"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2603__FDSAUDITLINK__" localSheetId="20" hidden="1">{"fdsup://Directions/FactSet Auditing Viewer?action=AUDIT_VALUE&amp;DB=129&amp;ID1=40377710&amp;VALUEID=13040&amp;SDATE=200603&amp;PERIODTYPE=QTR_STD&amp;window=popup_no_bar&amp;width=385&amp;height=120&amp;START_MAXIMIZED=FALSE&amp;creator=factset&amp;display_string=Audit"}</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2604__FDSAUDITLINK__" localSheetId="20" hidden="1">{"fdsup://Directions/FactSet Auditing Viewer?action=AUDIT_VALUE&amp;DB=129&amp;ID1=40377710&amp;VALUEID=13040&amp;SDATE=200702&amp;PERIODTYPE=QTR_STD&amp;window=popup_no_bar&amp;width=385&amp;height=120&amp;START_MAXIMIZED=FALSE&amp;creator=factset&amp;display_string=Audit"}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2605__FDSAUDITLINK__" localSheetId="20" hidden="1">{"fdsup://Directions/FactSet Auditing Viewer?action=AUDIT_VALUE&amp;DB=129&amp;ID1=40377710&amp;VALUEID=13040&amp;SDATE=200701&amp;PERIODTYPE=QTR_STD&amp;window=popup_no_bar&amp;width=385&amp;height=120&amp;START_MAXIMIZED=FALSE&amp;creator=factset&amp;display_string=Audit"}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localSheetId="1"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6__FDSAUDITLINK__" localSheetId="20"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2607__FDSAUDITLINK__" localSheetId="20" hidden="1">{"fdsup://Directions/FactSet Auditing Viewer?action=AUDIT_VALUE&amp;DB=129&amp;ID1=40377710&amp;VALUEID=13040&amp;SDATE=200703&amp;PERIODTYPE=QTR_STD&amp;window=popup_no_bar&amp;width=385&amp;height=120&amp;START_MAXIMIZED=FALSE&amp;creator=factset&amp;display_string=Audit"}</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2608__FDSAUDITLINK__" localSheetId="20" hidden="1">{"fdsup://Directions/FactSet Auditing Viewer?action=AUDIT_VALUE&amp;DB=129&amp;ID1=40377710&amp;VALUEID=13040&amp;SDATE=200801&amp;PERIODTYPE=QTR_STD&amp;window=popup_no_bar&amp;width=385&amp;height=120&amp;START_MAXIMIZED=FALSE&amp;creator=factset&amp;display_string=Audit"}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2609__FDSAUDITLINK__" localSheetId="20" hidden="1">{"fdsup://Directions/FactSet Auditing Viewer?action=AUDIT_VALUE&amp;DB=129&amp;ID1=40377710&amp;VALUEID=13040&amp;SDATE=200704&amp;PERIODTYPE=QTR_STD&amp;window=popup_no_bar&amp;width=385&amp;height=120&amp;START_MAXIMIZED=FALSE&amp;creator=factset&amp;display_string=Audit"}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261__FDSAUDITLINK__" localSheetId="20" hidden="1">{"fdsup://Directions/FactSet Auditing Viewer?action=AUDIT_VALUE&amp;DB=129&amp;ID1=36476010&amp;VALUEID=01001&amp;SDATE=200701&amp;PERIODTYPE=QTR_STD&amp;window=popup_no_bar&amp;width=385&amp;height=120&amp;START_MAXIMIZED=FALSE&amp;creator=factset&amp;display_string=Audit"}</definedName>
    <definedName name="_261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610__FDSAUDITLINK__" localSheetId="1"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0__FDSAUDITLINK__" localSheetId="20"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2611__FDSAUDITLINK__" localSheetId="20" hidden="1">{"fdsup://Directions/FactSet Auditing Viewer?action=AUDIT_VALUE&amp;DB=129&amp;ID1=40377710&amp;VALUEID=13040&amp;SDATE=200903&amp;PERIODTYPE=QTR_STD&amp;window=popup_no_bar&amp;width=385&amp;height=120&amp;START_MAXIMIZED=FALSE&amp;creator=factset&amp;display_string=Audit"}</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2612__FDSAUDITLINK__" localSheetId="20" hidden="1">{"fdsup://Directions/FactSet Auditing Viewer?action=AUDIT_VALUE&amp;DB=129&amp;ID1=40377710&amp;VALUEID=13040&amp;SDATE=200902&amp;PERIODTYPE=QTR_STD&amp;window=popup_no_bar&amp;width=385&amp;height=120&amp;START_MAXIMIZED=FALSE&amp;creator=factset&amp;display_string=Audit"}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localSheetId="1" hidden="1">{"fdsup://Directions/FactSet Auditing Viewer?action=AUDIT_VALUE&amp;DB=129&amp;ID1=58711810&amp;VALUEID=01001&amp;SDATE=200601&amp;PERIODTYPE=QTR_STD&amp;window=popup_no_bar&amp;width=385&amp;height=120&amp;START_MAXIMIZED=FALSE&amp;creator=factset&amp;display_string=Audit"}</definedName>
    <definedName name="_2613__FDSAUDITLINK__" localSheetId="20" hidden="1">{"fdsup://Directions/FactSet Auditing Viewer?action=AUDIT_VALUE&amp;DB=129&amp;ID1=58711810&amp;VALUEID=01001&amp;SDATE=200601&amp;PERIODTYPE=QTR_STD&amp;window=popup_no_bar&amp;width=385&amp;height=120&amp;START_MAXIMIZED=FALSE&amp;creator=factset&amp;display_string=Audit"}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localSheetId="1" hidden="1">{"fdsup://Directions/FactSet Auditing Viewer?action=AUDIT_VALUE&amp;DB=129&amp;ID1=58711810&amp;VALUEID=02101&amp;SDATE=200601&amp;PERIODTYPE=QTR_STD&amp;window=popup_no_bar&amp;width=385&amp;height=120&amp;START_MAXIMIZED=FALSE&amp;creator=factset&amp;display_string=Audit"}</definedName>
    <definedName name="_2614__FDSAUDITLINK__" localSheetId="20" hidden="1">{"fdsup://Directions/FactSet Auditing Viewer?action=AUDIT_VALUE&amp;DB=129&amp;ID1=58711810&amp;VALUEID=02101&amp;SDATE=200601&amp;PERIODTYPE=QTR_STD&amp;window=popup_no_bar&amp;width=385&amp;height=120&amp;START_MAXIMIZED=FALSE&amp;creator=factset&amp;display_string=Audit"}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localSheetId="1" hidden="1">{"fdsup://Directions/FactSet Auditing Viewer?action=AUDIT_VALUE&amp;DB=129&amp;ID1=58711810&amp;VALUEID=01001&amp;SDATE=200602&amp;PERIODTYPE=QTR_STD&amp;window=popup_no_bar&amp;width=385&amp;height=120&amp;START_MAXIMIZED=FALSE&amp;creator=factset&amp;display_string=Audit"}</definedName>
    <definedName name="_2615__FDSAUDITLINK__" localSheetId="20" hidden="1">{"fdsup://Directions/FactSet Auditing Viewer?action=AUDIT_VALUE&amp;DB=129&amp;ID1=58711810&amp;VALUEID=01001&amp;SDATE=200602&amp;PERIODTYPE=QTR_STD&amp;window=popup_no_bar&amp;width=385&amp;height=120&amp;START_MAXIMIZED=FALSE&amp;creator=factset&amp;display_string=Audit"}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localSheetId="1" hidden="1">{"fdsup://Directions/FactSet Auditing Viewer?action=AUDIT_VALUE&amp;DB=129&amp;ID1=58711810&amp;VALUEID=02101&amp;SDATE=200602&amp;PERIODTYPE=QTR_STD&amp;window=popup_no_bar&amp;width=385&amp;height=120&amp;START_MAXIMIZED=FALSE&amp;creator=factset&amp;display_string=Audit"}</definedName>
    <definedName name="_2616__FDSAUDITLINK__" localSheetId="20" hidden="1">{"fdsup://Directions/FactSet Auditing Viewer?action=AUDIT_VALUE&amp;DB=129&amp;ID1=58711810&amp;VALUEID=02101&amp;SDATE=200602&amp;PERIODTYPE=QTR_STD&amp;window=popup_no_bar&amp;width=385&amp;height=120&amp;START_MAXIMIZED=FALSE&amp;creator=factset&amp;display_string=Audit"}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localSheetId="1" hidden="1">{"fdsup://Directions/FactSet Auditing Viewer?action=AUDIT_VALUE&amp;DB=129&amp;ID1=58711810&amp;VALUEID=01001&amp;SDATE=200603&amp;PERIODTYPE=QTR_STD&amp;window=popup_no_bar&amp;width=385&amp;height=120&amp;START_MAXIMIZED=FALSE&amp;creator=factset&amp;display_string=Audit"}</definedName>
    <definedName name="_2617__FDSAUDITLINK__" localSheetId="20" hidden="1">{"fdsup://Directions/FactSet Auditing Viewer?action=AUDIT_VALUE&amp;DB=129&amp;ID1=58711810&amp;VALUEID=01001&amp;SDATE=200603&amp;PERIODTYPE=QTR_STD&amp;window=popup_no_bar&amp;width=385&amp;height=120&amp;START_MAXIMIZED=FALSE&amp;creator=factset&amp;display_string=Audit"}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localSheetId="1" hidden="1">{"fdsup://Directions/FactSet Auditing Viewer?action=AUDIT_VALUE&amp;DB=129&amp;ID1=58711810&amp;VALUEID=02101&amp;SDATE=200603&amp;PERIODTYPE=QTR_STD&amp;window=popup_no_bar&amp;width=385&amp;height=120&amp;START_MAXIMIZED=FALSE&amp;creator=factset&amp;display_string=Audit"}</definedName>
    <definedName name="_2618__FDSAUDITLINK__" localSheetId="20" hidden="1">{"fdsup://Directions/FactSet Auditing Viewer?action=AUDIT_VALUE&amp;DB=129&amp;ID1=58711810&amp;VALUEID=02101&amp;SDATE=200603&amp;PERIODTYPE=QTR_STD&amp;window=popup_no_bar&amp;width=385&amp;height=120&amp;START_MAXIMIZED=FALSE&amp;creator=factset&amp;display_string=Audit"}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localSheetId="1" hidden="1">{"fdsup://Directions/FactSet Auditing Viewer?action=AUDIT_VALUE&amp;DB=129&amp;ID1=58711810&amp;VALUEID=01001&amp;SDATE=200604&amp;PERIODTYPE=QTR_STD&amp;window=popup_no_bar&amp;width=385&amp;height=120&amp;START_MAXIMIZED=FALSE&amp;creator=factset&amp;display_string=Audit"}</definedName>
    <definedName name="_2619__FDSAUDITLINK__" localSheetId="20" hidden="1">{"fdsup://Directions/FactSet Auditing Viewer?action=AUDIT_VALUE&amp;DB=129&amp;ID1=58711810&amp;VALUEID=01001&amp;SDATE=200604&amp;PERIODTYPE=QTR_STD&amp;window=popup_no_bar&amp;width=385&amp;height=120&amp;START_MAXIMIZED=FALSE&amp;creator=factset&amp;display_string=Audit"}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262__FDSAUDITLINK__" localSheetId="20" hidden="1">{"fdsup://Directions/FactSet Auditing Viewer?action=AUDIT_VALUE&amp;DB=129&amp;ID1=36476010&amp;VALUEID=13040&amp;SDATE=200701&amp;PERIODTYPE=QTR_STD&amp;window=popup_no_bar&amp;width=385&amp;height=120&amp;START_MAXIMIZED=FALSE&amp;creator=factset&amp;display_string=Audit"}</definedName>
    <definedName name="_262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620__FDSAUDITLINK__" localSheetId="1" hidden="1">{"fdsup://Directions/FactSet Auditing Viewer?action=AUDIT_VALUE&amp;DB=129&amp;ID1=58711810&amp;VALUEID=01001&amp;SDATE=200701&amp;PERIODTYPE=QTR_STD&amp;window=popup_no_bar&amp;width=385&amp;height=120&amp;START_MAXIMIZED=FALSE&amp;creator=factset&amp;display_string=Audit"}</definedName>
    <definedName name="_2620__FDSAUDITLINK__" localSheetId="20" hidden="1">{"fdsup://Directions/FactSet Auditing Viewer?action=AUDIT_VALUE&amp;DB=129&amp;ID1=58711810&amp;VALUEID=01001&amp;SDATE=200701&amp;PERIODTYPE=QTR_STD&amp;window=popup_no_bar&amp;width=385&amp;height=120&amp;START_MAXIMIZED=FALSE&amp;creator=factset&amp;display_string=Audit"}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localSheetId="1" hidden="1">{"fdsup://Directions/FactSet Auditing Viewer?action=AUDIT_VALUE&amp;DB=129&amp;ID1=58711810&amp;VALUEID=02101&amp;SDATE=200701&amp;PERIODTYPE=QTR_STD&amp;window=popup_no_bar&amp;width=385&amp;height=120&amp;START_MAXIMIZED=FALSE&amp;creator=factset&amp;display_string=Audit"}</definedName>
    <definedName name="_2621__FDSAUDITLINK__" localSheetId="20" hidden="1">{"fdsup://Directions/FactSet Auditing Viewer?action=AUDIT_VALUE&amp;DB=129&amp;ID1=58711810&amp;VALUEID=02101&amp;SDATE=200701&amp;PERIODTYPE=QTR_STD&amp;window=popup_no_bar&amp;width=385&amp;height=120&amp;START_MAXIMIZED=FALSE&amp;creator=factset&amp;display_string=Audit"}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localSheetId="1" hidden="1">{"fdsup://Directions/FactSet Auditing Viewer?action=AUDIT_VALUE&amp;DB=129&amp;ID1=58711810&amp;VALUEID=01001&amp;SDATE=200702&amp;PERIODTYPE=QTR_STD&amp;window=popup_no_bar&amp;width=385&amp;height=120&amp;START_MAXIMIZED=FALSE&amp;creator=factset&amp;display_string=Audit"}</definedName>
    <definedName name="_2622__FDSAUDITLINK__" localSheetId="20" hidden="1">{"fdsup://Directions/FactSet Auditing Viewer?action=AUDIT_VALUE&amp;DB=129&amp;ID1=58711810&amp;VALUEID=01001&amp;SDATE=200702&amp;PERIODTYPE=QTR_STD&amp;window=popup_no_bar&amp;width=385&amp;height=120&amp;START_MAXIMIZED=FALSE&amp;creator=factset&amp;display_string=Audit"}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localSheetId="1" hidden="1">{"fdsup://Directions/FactSet Auditing Viewer?action=AUDIT_VALUE&amp;DB=129&amp;ID1=58711810&amp;VALUEID=02101&amp;SDATE=200702&amp;PERIODTYPE=QTR_STD&amp;window=popup_no_bar&amp;width=385&amp;height=120&amp;START_MAXIMIZED=FALSE&amp;creator=factset&amp;display_string=Audit"}</definedName>
    <definedName name="_2623__FDSAUDITLINK__" localSheetId="20" hidden="1">{"fdsup://Directions/FactSet Auditing Viewer?action=AUDIT_VALUE&amp;DB=129&amp;ID1=58711810&amp;VALUEID=02101&amp;SDATE=200702&amp;PERIODTYPE=QTR_STD&amp;window=popup_no_bar&amp;width=385&amp;height=120&amp;START_MAXIMIZED=FALSE&amp;creator=factset&amp;display_string=Audit"}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localSheetId="1" hidden="1">{"fdsup://Directions/FactSet Auditing Viewer?action=AUDIT_VALUE&amp;DB=129&amp;ID1=58711810&amp;VALUEID=01001&amp;SDATE=200703&amp;PERIODTYPE=QTR_STD&amp;window=popup_no_bar&amp;width=385&amp;height=120&amp;START_MAXIMIZED=FALSE&amp;creator=factset&amp;display_string=Audit"}</definedName>
    <definedName name="_2624__FDSAUDITLINK__" localSheetId="20" hidden="1">{"fdsup://Directions/FactSet Auditing Viewer?action=AUDIT_VALUE&amp;DB=129&amp;ID1=58711810&amp;VALUEID=01001&amp;SDATE=200703&amp;PERIODTYPE=QTR_STD&amp;window=popup_no_bar&amp;width=385&amp;height=120&amp;START_MAXIMIZED=FALSE&amp;creator=factset&amp;display_string=Audit"}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localSheetId="1" hidden="1">{"fdsup://Directions/FactSet Auditing Viewer?action=AUDIT_VALUE&amp;DB=129&amp;ID1=58711810&amp;VALUEID=02101&amp;SDATE=200703&amp;PERIODTYPE=QTR_STD&amp;window=popup_no_bar&amp;width=385&amp;height=120&amp;START_MAXIMIZED=FALSE&amp;creator=factset&amp;display_string=Audit"}</definedName>
    <definedName name="_2625__FDSAUDITLINK__" localSheetId="20" hidden="1">{"fdsup://Directions/FactSet Auditing Viewer?action=AUDIT_VALUE&amp;DB=129&amp;ID1=58711810&amp;VALUEID=02101&amp;SDATE=200703&amp;PERIODTYPE=QTR_STD&amp;window=popup_no_bar&amp;width=385&amp;height=120&amp;START_MAXIMIZED=FALSE&amp;creator=factset&amp;display_string=Audit"}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localSheetId="1" hidden="1">{"fdsup://Directions/FactSet Auditing Viewer?action=AUDIT_VALUE&amp;DB=129&amp;ID1=58711810&amp;VALUEID=01001&amp;SDATE=200704&amp;PERIODTYPE=QTR_STD&amp;window=popup_no_bar&amp;width=385&amp;height=120&amp;START_MAXIMIZED=FALSE&amp;creator=factset&amp;display_string=Audit"}</definedName>
    <definedName name="_2626__FDSAUDITLINK__" localSheetId="20" hidden="1">{"fdsup://Directions/FactSet Auditing Viewer?action=AUDIT_VALUE&amp;DB=129&amp;ID1=58711810&amp;VALUEID=01001&amp;SDATE=200704&amp;PERIODTYPE=QTR_STD&amp;window=popup_no_bar&amp;width=385&amp;height=120&amp;START_MAXIMIZED=FALSE&amp;creator=factset&amp;display_string=Audit"}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localSheetId="1" hidden="1">{"fdsup://Directions/FactSet Auditing Viewer?action=AUDIT_VALUE&amp;DB=129&amp;ID1=58711810&amp;VALUEID=01001&amp;SDATE=200801&amp;PERIODTYPE=QTR_STD&amp;window=popup_no_bar&amp;width=385&amp;height=120&amp;START_MAXIMIZED=FALSE&amp;creator=factset&amp;display_string=Audit"}</definedName>
    <definedName name="_2627__FDSAUDITLINK__" localSheetId="20" hidden="1">{"fdsup://Directions/FactSet Auditing Viewer?action=AUDIT_VALUE&amp;DB=129&amp;ID1=58711810&amp;VALUEID=01001&amp;SDATE=200801&amp;PERIODTYPE=QTR_STD&amp;window=popup_no_bar&amp;width=385&amp;height=120&amp;START_MAXIMIZED=FALSE&amp;creator=factset&amp;display_string=Audit"}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localSheetId="1" hidden="1">{"fdsup://Directions/FactSet Auditing Viewer?action=AUDIT_VALUE&amp;DB=129&amp;ID1=58711810&amp;VALUEID=02101&amp;SDATE=200801&amp;PERIODTYPE=QTR_STD&amp;window=popup_no_bar&amp;width=385&amp;height=120&amp;START_MAXIMIZED=FALSE&amp;creator=factset&amp;display_string=Audit"}</definedName>
    <definedName name="_2628__FDSAUDITLINK__" localSheetId="20" hidden="1">{"fdsup://Directions/FactSet Auditing Viewer?action=AUDIT_VALUE&amp;DB=129&amp;ID1=58711810&amp;VALUEID=02101&amp;SDATE=200801&amp;PERIODTYPE=QTR_STD&amp;window=popup_no_bar&amp;width=385&amp;height=120&amp;START_MAXIMIZED=FALSE&amp;creator=factset&amp;display_string=Audit"}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localSheetId="1" hidden="1">{"fdsup://Directions/FactSet Auditing Viewer?action=AUDIT_VALUE&amp;DB=129&amp;ID1=58711810&amp;VALUEID=01001&amp;SDATE=200802&amp;PERIODTYPE=QTR_STD&amp;window=popup_no_bar&amp;width=385&amp;height=120&amp;START_MAXIMIZED=FALSE&amp;creator=factset&amp;display_string=Audit"}</definedName>
    <definedName name="_2629__FDSAUDITLINK__" localSheetId="20" hidden="1">{"fdsup://Directions/FactSet Auditing Viewer?action=AUDIT_VALUE&amp;DB=129&amp;ID1=58711810&amp;VALUEID=01001&amp;SDATE=200802&amp;PERIODTYPE=QTR_STD&amp;window=popup_no_bar&amp;width=385&amp;height=120&amp;START_MAXIMIZED=FALSE&amp;creator=factset&amp;display_string=Audit"}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263__FDSAUDITLINK__" localSheetId="20" hidden="1">{"fdsup://Directions/FactSet Auditing Viewer?action=AUDIT_VALUE&amp;DB=129&amp;ID1=03611510&amp;VALUEID=02101&amp;SDATE=200701&amp;PERIODTYPE=QTR_STD&amp;window=popup_no_bar&amp;width=385&amp;height=120&amp;START_MAXIMIZED=FALSE&amp;creator=factset&amp;display_string=Audit"}</definedName>
    <definedName name="_263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630__FDSAUDITLINK__" localSheetId="1" hidden="1">{"fdsup://Directions/FactSet Auditing Viewer?action=AUDIT_VALUE&amp;DB=129&amp;ID1=58711810&amp;VALUEID=02101&amp;SDATE=200802&amp;PERIODTYPE=QTR_STD&amp;window=popup_no_bar&amp;width=385&amp;height=120&amp;START_MAXIMIZED=FALSE&amp;creator=factset&amp;display_string=Audit"}</definedName>
    <definedName name="_2630__FDSAUDITLINK__" localSheetId="20" hidden="1">{"fdsup://Directions/FactSet Auditing Viewer?action=AUDIT_VALUE&amp;DB=129&amp;ID1=58711810&amp;VALUEID=02101&amp;SDATE=200802&amp;PERIODTYPE=QTR_STD&amp;window=popup_no_bar&amp;width=385&amp;height=120&amp;START_MAXIMIZED=FALSE&amp;creator=factset&amp;display_string=Audit"}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localSheetId="1" hidden="1">{"fdsup://Directions/FactSet Auditing Viewer?action=AUDIT_VALUE&amp;DB=129&amp;ID1=58711810&amp;VALUEID=01001&amp;SDATE=200803&amp;PERIODTYPE=QTR_STD&amp;window=popup_no_bar&amp;width=385&amp;height=120&amp;START_MAXIMIZED=FALSE&amp;creator=factset&amp;display_string=Audit"}</definedName>
    <definedName name="_2631__FDSAUDITLINK__" localSheetId="20" hidden="1">{"fdsup://Directions/FactSet Auditing Viewer?action=AUDIT_VALUE&amp;DB=129&amp;ID1=58711810&amp;VALUEID=01001&amp;SDATE=200803&amp;PERIODTYPE=QTR_STD&amp;window=popup_no_bar&amp;width=385&amp;height=120&amp;START_MAXIMIZED=FALSE&amp;creator=factset&amp;display_string=Audit"}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localSheetId="1" hidden="1">{"fdsup://Directions/FactSet Auditing Viewer?action=AUDIT_VALUE&amp;DB=129&amp;ID1=58711810&amp;VALUEID=02101&amp;SDATE=200803&amp;PERIODTYPE=QTR_STD&amp;window=popup_no_bar&amp;width=385&amp;height=120&amp;START_MAXIMIZED=FALSE&amp;creator=factset&amp;display_string=Audit"}</definedName>
    <definedName name="_2632__FDSAUDITLINK__" localSheetId="20" hidden="1">{"fdsup://Directions/FactSet Auditing Viewer?action=AUDIT_VALUE&amp;DB=129&amp;ID1=58711810&amp;VALUEID=02101&amp;SDATE=200803&amp;PERIODTYPE=QTR_STD&amp;window=popup_no_bar&amp;width=385&amp;height=120&amp;START_MAXIMIZED=FALSE&amp;creator=factset&amp;display_string=Audit"}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localSheetId="1" hidden="1">{"fdsup://Directions/FactSet Auditing Viewer?action=AUDIT_VALUE&amp;DB=129&amp;ID1=58711810&amp;VALUEID=01001&amp;SDATE=200804&amp;PERIODTYPE=QTR_STD&amp;window=popup_no_bar&amp;width=385&amp;height=120&amp;START_MAXIMIZED=FALSE&amp;creator=factset&amp;display_string=Audit"}</definedName>
    <definedName name="_2633__FDSAUDITLINK__" localSheetId="20" hidden="1">{"fdsup://Directions/FactSet Auditing Viewer?action=AUDIT_VALUE&amp;DB=129&amp;ID1=58711810&amp;VALUEID=01001&amp;SDATE=200804&amp;PERIODTYPE=QTR_STD&amp;window=popup_no_bar&amp;width=385&amp;height=120&amp;START_MAXIMIZED=FALSE&amp;creator=factset&amp;display_string=Audit"}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localSheetId="1" hidden="1">{"fdsup://Directions/FactSet Auditing Viewer?action=AUDIT_VALUE&amp;DB=129&amp;ID1=58711810&amp;VALUEID=01001&amp;SDATE=200902&amp;PERIODTYPE=QTR_STD&amp;window=popup_no_bar&amp;width=385&amp;height=120&amp;START_MAXIMIZED=FALSE&amp;creator=factset&amp;display_string=Audit"}</definedName>
    <definedName name="_2634__FDSAUDITLINK__" localSheetId="20" hidden="1">{"fdsup://Directions/FactSet Auditing Viewer?action=AUDIT_VALUE&amp;DB=129&amp;ID1=58711810&amp;VALUEID=01001&amp;SDATE=200902&amp;PERIODTYPE=QTR_STD&amp;window=popup_no_bar&amp;width=385&amp;height=120&amp;START_MAXIMIZED=FALSE&amp;creator=factset&amp;display_string=Audit"}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localSheetId="1" hidden="1">{"fdsup://Directions/FactSet Auditing Viewer?action=AUDIT_VALUE&amp;DB=129&amp;ID1=58711810&amp;VALUEID=02101&amp;SDATE=200902&amp;PERIODTYPE=QTR_STD&amp;window=popup_no_bar&amp;width=385&amp;height=120&amp;START_MAXIMIZED=FALSE&amp;creator=factset&amp;display_string=Audit"}</definedName>
    <definedName name="_2635__FDSAUDITLINK__" localSheetId="20" hidden="1">{"fdsup://Directions/FactSet Auditing Viewer?action=AUDIT_VALUE&amp;DB=129&amp;ID1=58711810&amp;VALUEID=02101&amp;SDATE=200902&amp;PERIODTYPE=QTR_STD&amp;window=popup_no_bar&amp;width=385&amp;height=120&amp;START_MAXIMIZED=FALSE&amp;creator=factset&amp;display_string=Audit"}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localSheetId="1" hidden="1">{"fdsup://Directions/FactSet Auditing Viewer?action=AUDIT_VALUE&amp;DB=129&amp;ID1=58711810&amp;VALUEID=01001&amp;SDATE=200903&amp;PERIODTYPE=QTR_STD&amp;window=popup_no_bar&amp;width=385&amp;height=120&amp;START_MAXIMIZED=FALSE&amp;creator=factset&amp;display_string=Audit"}</definedName>
    <definedName name="_2636__FDSAUDITLINK__" localSheetId="20" hidden="1">{"fdsup://Directions/FactSet Auditing Viewer?action=AUDIT_VALUE&amp;DB=129&amp;ID1=58711810&amp;VALUEID=01001&amp;SDATE=200903&amp;PERIODTYPE=QTR_STD&amp;window=popup_no_bar&amp;width=385&amp;height=120&amp;START_MAXIMIZED=FALSE&amp;creator=factset&amp;display_string=Audit"}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localSheetId="1" hidden="1">{"fdsup://Directions/FactSet Auditing Viewer?action=AUDIT_VALUE&amp;DB=129&amp;ID1=58711810&amp;VALUEID=02101&amp;SDATE=200903&amp;PERIODTYPE=QTR_STD&amp;window=popup_no_bar&amp;width=385&amp;height=120&amp;START_MAXIMIZED=FALSE&amp;creator=factset&amp;display_string=Audit"}</definedName>
    <definedName name="_2637__FDSAUDITLINK__" localSheetId="20" hidden="1">{"fdsup://Directions/FactSet Auditing Viewer?action=AUDIT_VALUE&amp;DB=129&amp;ID1=58711810&amp;VALUEID=02101&amp;SDATE=200903&amp;PERIODTYPE=QTR_STD&amp;window=popup_no_bar&amp;width=385&amp;height=120&amp;START_MAXIMIZED=FALSE&amp;creator=factset&amp;display_string=Audit"}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localSheetId="1" hidden="1">{"fdsup://Directions/FactSet Auditing Viewer?action=AUDIT_VALUE&amp;DB=129&amp;ID1=58711810&amp;VALUEID=01001&amp;SDATE=200904&amp;PERIODTYPE=QTR_STD&amp;window=popup_no_bar&amp;width=385&amp;height=120&amp;START_MAXIMIZED=FALSE&amp;creator=factset&amp;display_string=Audit"}</definedName>
    <definedName name="_2638__FDSAUDITLINK__" localSheetId="20" hidden="1">{"fdsup://Directions/FactSet Auditing Viewer?action=AUDIT_VALUE&amp;DB=129&amp;ID1=58711810&amp;VALUEID=01001&amp;SDATE=200904&amp;PERIODTYPE=QTR_STD&amp;window=popup_no_bar&amp;width=385&amp;height=120&amp;START_MAXIMIZED=FALSE&amp;creator=factset&amp;display_string=Audit"}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localSheetId="1" hidden="1">{"fdsup://Directions/FactSet Auditing Viewer?action=AUDIT_VALUE&amp;DB=129&amp;ID1=58711810&amp;VALUEID=02101&amp;SDATE=201001&amp;PERIODTYPE=QTR_STD&amp;window=popup_no_bar&amp;width=385&amp;height=120&amp;START_MAXIMIZED=FALSE&amp;creator=factset&amp;display_string=Audit"}</definedName>
    <definedName name="_2639__FDSAUDITLINK__" localSheetId="20" hidden="1">{"fdsup://Directions/FactSet Auditing Viewer?action=AUDIT_VALUE&amp;DB=129&amp;ID1=58711810&amp;VALUEID=02101&amp;SDATE=201001&amp;PERIODTYPE=QTR_STD&amp;window=popup_no_bar&amp;width=385&amp;height=120&amp;START_MAXIMIZED=FALSE&amp;creator=factset&amp;display_string=Audit"}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264__FDSAUDITLINK__" localSheetId="20" hidden="1">{"fdsup://Directions/FactSet Auditing Viewer?action=AUDIT_VALUE&amp;DB=129&amp;ID1=03611510&amp;VALUEID=01001&amp;SDATE=200701&amp;PERIODTYPE=QTR_STD&amp;window=popup_no_bar&amp;width=385&amp;height=120&amp;START_MAXIMIZED=FALSE&amp;creator=factset&amp;display_string=Audit"}</definedName>
    <definedName name="_264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640__FDSAUDITLINK__" localSheetId="1"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0__FDSAUDITLINK__" localSheetId="20"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localSheetId="1"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1__FDSAUDITLINK__" localSheetId="20"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localSheetId="1"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2__FDSAUDITLINK__" localSheetId="20"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localSheetId="1"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3__FDSAUDITLINK__" localSheetId="20"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localSheetId="1"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4__FDSAUDITLINK__" localSheetId="20"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localSheetId="1"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5__FDSAUDITLINK__" localSheetId="20"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localSheetId="1"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6__FDSAUDITLINK__" localSheetId="20"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localSheetId="1"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7__FDSAUDITLINK__" localSheetId="20"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localSheetId="1"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8__FDSAUDITLINK__" localSheetId="20"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localSheetId="1"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49__FDSAUDITLINK__" localSheetId="20"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265__FDSAUDITLINK__" localSheetId="20" hidden="1">{"fdsup://Directions/FactSet Auditing Viewer?action=AUDIT_VALUE&amp;DB=129&amp;ID1=03611510&amp;VALUEID=13040&amp;SDATE=200701&amp;PERIODTYPE=QTR_STD&amp;window=popup_no_bar&amp;width=385&amp;height=120&amp;START_MAXIMIZED=FALSE&amp;creator=factset&amp;display_string=Audit"}</definedName>
    <definedName name="_265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650__FDSAUDITLINK__" localSheetId="1"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0__FDSAUDITLINK__" localSheetId="20"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localSheetId="1"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1__FDSAUDITLINK__" localSheetId="20"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localSheetId="1"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2__FDSAUDITLINK__" localSheetId="20"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localSheetId="1"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3__FDSAUDITLINK__" localSheetId="20"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localSheetId="1"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4__FDSAUDITLINK__" localSheetId="20"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localSheetId="1"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5__FDSAUDITLINK__" localSheetId="20"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localSheetId="1"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6__FDSAUDITLINK__" localSheetId="20"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localSheetId="1"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7__FDSAUDITLINK__" localSheetId="20"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localSheetId="1"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8__FDSAUDITLINK__" localSheetId="20"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localSheetId="1"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59__FDSAUDITLINK__" localSheetId="20"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266__FDSAUDITLINK__" localSheetId="20" hidden="1">{"fdsup://Directions/FactSet Auditing Viewer?action=AUDIT_VALUE&amp;DB=129&amp;ID1=16890510&amp;VALUEID=02101&amp;SDATE=200701&amp;PERIODTYPE=QTR_STD&amp;window=popup_no_bar&amp;width=385&amp;height=120&amp;START_MAXIMIZED=FALSE&amp;creator=factset&amp;display_string=Audit"}</definedName>
    <definedName name="_266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660__FDSAUDITLINK__" localSheetId="1"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0__FDSAUDITLINK__" localSheetId="20"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localSheetId="1"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1__FDSAUDITLINK__" localSheetId="20"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localSheetId="1"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2__FDSAUDITLINK__" localSheetId="20"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localSheetId="1"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3__FDSAUDITLINK__" localSheetId="20"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localSheetId="1"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4__FDSAUDITLINK__" localSheetId="20"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localSheetId="1"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5__FDSAUDITLINK__" localSheetId="20"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localSheetId="1"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6__FDSAUDITLINK__" localSheetId="20"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localSheetId="1" hidden="1">{"fdsup://Directions/FactSet Auditing Viewer?action=AUDIT_VALUE&amp;DB=129&amp;ID1=58711810&amp;VALUEID=13040&amp;SDATE=200702&amp;PERIODTYPE=QTR_STD&amp;window=popup_no_bar&amp;width=385&amp;height=120&amp;START_MAXIMIZED=FALSE&amp;creator=factset&amp;display_string=Audit"}</definedName>
    <definedName name="_2667__FDSAUDITLINK__" localSheetId="20" hidden="1">{"fdsup://Directions/FactSet Auditing Viewer?action=AUDIT_VALUE&amp;DB=129&amp;ID1=58711810&amp;VALUEID=13040&amp;SDATE=200702&amp;PERIODTYPE=QTR_STD&amp;window=popup_no_bar&amp;width=385&amp;height=120&amp;START_MAXIMIZED=FALSE&amp;creator=factset&amp;display_string=Audit"}</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localSheetId="1" hidden="1">{"fdsup://Directions/FactSet Auditing Viewer?action=AUDIT_VALUE&amp;DB=129&amp;ID1=58711810&amp;VALUEID=13040&amp;SDATE=200701&amp;PERIODTYPE=QTR_STD&amp;window=popup_no_bar&amp;width=385&amp;height=120&amp;START_MAXIMIZED=FALSE&amp;creator=factset&amp;display_string=Audit"}</definedName>
    <definedName name="_2668__FDSAUDITLINK__" localSheetId="20" hidden="1">{"fdsup://Directions/FactSet Auditing Viewer?action=AUDIT_VALUE&amp;DB=129&amp;ID1=58711810&amp;VALUEID=13040&amp;SDATE=200701&amp;PERIODTYPE=QTR_STD&amp;window=popup_no_bar&amp;width=385&amp;height=120&amp;START_MAXIMIZED=FALSE&amp;creator=factset&amp;display_string=Audit"}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localSheetId="1" hidden="1">{"fdsup://Directions/FactSet Auditing Viewer?action=AUDIT_VALUE&amp;DB=129&amp;ID1=58711810&amp;VALUEID=13040&amp;SDATE=200703&amp;PERIODTYPE=QTR_STD&amp;window=popup_no_bar&amp;width=385&amp;height=120&amp;START_MAXIMIZED=FALSE&amp;creator=factset&amp;display_string=Audit"}</definedName>
    <definedName name="_2669__FDSAUDITLINK__" localSheetId="20" hidden="1">{"fdsup://Directions/FactSet Auditing Viewer?action=AUDIT_VALUE&amp;DB=129&amp;ID1=58711810&amp;VALUEID=13040&amp;SDATE=200703&amp;PERIODTYPE=QTR_STD&amp;window=popup_no_bar&amp;width=385&amp;height=120&amp;START_MAXIMIZED=FALSE&amp;creator=factset&amp;display_string=Audit"}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267__FDSAUDITLINK__" localSheetId="20" hidden="1">{"fdsup://Directions/FactSet Auditing Viewer?action=AUDIT_VALUE&amp;DB=129&amp;ID1=16890510&amp;VALUEID=01001&amp;SDATE=200701&amp;PERIODTYPE=QTR_STD&amp;window=popup_no_bar&amp;width=385&amp;height=120&amp;START_MAXIMIZED=FALSE&amp;creator=factset&amp;display_string=Audit"}</definedName>
    <definedName name="_267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670__FDSAUDITLINK__" localSheetId="1" hidden="1">{"fdsup://Directions/FactSet Auditing Viewer?action=AUDIT_VALUE&amp;DB=129&amp;ID1=58711810&amp;VALUEID=13040&amp;SDATE=200802&amp;PERIODTYPE=QTR_STD&amp;window=popup_no_bar&amp;width=385&amp;height=120&amp;START_MAXIMIZED=FALSE&amp;creator=factset&amp;display_string=Audit"}</definedName>
    <definedName name="_2670__FDSAUDITLINK__" localSheetId="20" hidden="1">{"fdsup://Directions/FactSet Auditing Viewer?action=AUDIT_VALUE&amp;DB=129&amp;ID1=58711810&amp;VALUEID=13040&amp;SDATE=200802&amp;PERIODTYPE=QTR_STD&amp;window=popup_no_bar&amp;width=385&amp;height=120&amp;START_MAXIMIZED=FALSE&amp;creator=factset&amp;display_string=Audit"}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localSheetId="1" hidden="1">{"fdsup://Directions/FactSet Auditing Viewer?action=AUDIT_VALUE&amp;DB=129&amp;ID1=58711810&amp;VALUEID=13040&amp;SDATE=200801&amp;PERIODTYPE=QTR_STD&amp;window=popup_no_bar&amp;width=385&amp;height=120&amp;START_MAXIMIZED=FALSE&amp;creator=factset&amp;display_string=Audit"}</definedName>
    <definedName name="_2671__FDSAUDITLINK__" localSheetId="20" hidden="1">{"fdsup://Directions/FactSet Auditing Viewer?action=AUDIT_VALUE&amp;DB=129&amp;ID1=58711810&amp;VALUEID=13040&amp;SDATE=200801&amp;PERIODTYPE=QTR_STD&amp;window=popup_no_bar&amp;width=385&amp;height=120&amp;START_MAXIMIZED=FALSE&amp;creator=factset&amp;display_string=Audit"}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localSheetId="1"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2__FDSAUDITLINK__" localSheetId="20"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localSheetId="1" hidden="1">{"fdsup://Directions/FactSet Auditing Viewer?action=AUDIT_VALUE&amp;DB=129&amp;ID1=58711810&amp;VALUEID=13040&amp;SDATE=200803&amp;PERIODTYPE=QTR_STD&amp;window=popup_no_bar&amp;width=385&amp;height=120&amp;START_MAXIMIZED=FALSE&amp;creator=factset&amp;display_string=Audit"}</definedName>
    <definedName name="_2673__FDSAUDITLINK__" localSheetId="20" hidden="1">{"fdsup://Directions/FactSet Auditing Viewer?action=AUDIT_VALUE&amp;DB=129&amp;ID1=58711810&amp;VALUEID=13040&amp;SDATE=200803&amp;PERIODTYPE=QTR_STD&amp;window=popup_no_bar&amp;width=385&amp;height=120&amp;START_MAXIMIZED=FALSE&amp;creator=factset&amp;display_string=Audit"}</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localSheetId="1" hidden="1">{"fdsup://Directions/FactSet Auditing Viewer?action=AUDIT_VALUE&amp;DB=129&amp;ID1=58711810&amp;VALUEID=13040&amp;SDATE=200902&amp;PERIODTYPE=QTR_STD&amp;window=popup_no_bar&amp;width=385&amp;height=120&amp;START_MAXIMIZED=FALSE&amp;creator=factset&amp;display_string=Audit"}</definedName>
    <definedName name="_2674__FDSAUDITLINK__" localSheetId="20" hidden="1">{"fdsup://Directions/FactSet Auditing Viewer?action=AUDIT_VALUE&amp;DB=129&amp;ID1=58711810&amp;VALUEID=13040&amp;SDATE=200902&amp;PERIODTYPE=QTR_STD&amp;window=popup_no_bar&amp;width=385&amp;height=120&amp;START_MAXIMIZED=FALSE&amp;creator=factset&amp;display_string=Audit"}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localSheetId="1"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5__FDSAUDITLINK__" localSheetId="20"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localSheetId="1" hidden="1">{"fdsup://Directions/FactSet Auditing Viewer?action=AUDIT_VALUE&amp;DB=129&amp;ID1=58711810&amp;VALUEID=13040&amp;SDATE=200903&amp;PERIODTYPE=QTR_STD&amp;window=popup_no_bar&amp;width=385&amp;height=120&amp;START_MAXIMIZED=FALSE&amp;creator=factset&amp;display_string=Audit"}</definedName>
    <definedName name="_2676__FDSAUDITLINK__" localSheetId="20" hidden="1">{"fdsup://Directions/FactSet Auditing Viewer?action=AUDIT_VALUE&amp;DB=129&amp;ID1=58711810&amp;VALUEID=13040&amp;SDATE=200903&amp;PERIODTYPE=QTR_STD&amp;window=popup_no_bar&amp;width=385&amp;height=120&amp;START_MAXIMIZED=FALSE&amp;creator=factset&amp;display_string=Audit"}</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localSheetId="1" hidden="1">{"fdsup://Directions/FactSet Auditing Viewer?action=AUDIT_VALUE&amp;DB=129&amp;ID1=58711810&amp;VALUEID=13040&amp;SDATE=200602&amp;PERIODTYPE=QTR_STD&amp;window=popup_no_bar&amp;width=385&amp;height=120&amp;START_MAXIMIZED=FALSE&amp;creator=factset&amp;display_string=Audit"}</definedName>
    <definedName name="_2677__FDSAUDITLINK__" localSheetId="20" hidden="1">{"fdsup://Directions/FactSet Auditing Viewer?action=AUDIT_VALUE&amp;DB=129&amp;ID1=58711810&amp;VALUEID=13040&amp;SDATE=200602&amp;PERIODTYPE=QTR_STD&amp;window=popup_no_bar&amp;width=385&amp;height=120&amp;START_MAXIMIZED=FALSE&amp;creator=factset&amp;display_string=Audit"}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localSheetId="1" hidden="1">{"fdsup://Directions/FactSet Auditing Viewer?action=AUDIT_VALUE&amp;DB=129&amp;ID1=58711810&amp;VALUEID=13040&amp;SDATE=200601&amp;PERIODTYPE=QTR_STD&amp;window=popup_no_bar&amp;width=385&amp;height=120&amp;START_MAXIMIZED=FALSE&amp;creator=factset&amp;display_string=Audit"}</definedName>
    <definedName name="_2678__FDSAUDITLINK__" localSheetId="20" hidden="1">{"fdsup://Directions/FactSet Auditing Viewer?action=AUDIT_VALUE&amp;DB=129&amp;ID1=58711810&amp;VALUEID=13040&amp;SDATE=200601&amp;PERIODTYPE=QTR_STD&amp;window=popup_no_bar&amp;width=385&amp;height=120&amp;START_MAXIMIZED=FALSE&amp;creator=factset&amp;display_string=Audit"}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localSheetId="1"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79__FDSAUDITLINK__" localSheetId="20"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268__FDSAUDITLINK__" localSheetId="20" hidden="1">{"fdsup://Directions/FactSet Auditing Viewer?action=AUDIT_VALUE&amp;DB=129&amp;ID1=91704710&amp;VALUEID=02101&amp;SDATE=200701&amp;PERIODTYPE=QTR_STD&amp;window=popup_no_bar&amp;width=385&amp;height=120&amp;START_MAXIMIZED=FALSE&amp;creator=factset&amp;display_string=Audit"}</definedName>
    <definedName name="_268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680__FDSAUDITLINK__" localSheetId="1" hidden="1">{"fdsup://Directions/FactSet Auditing Viewer?action=AUDIT_VALUE&amp;DB=129&amp;ID1=58711810&amp;VALUEID=13040&amp;SDATE=200603&amp;PERIODTYPE=QTR_STD&amp;window=popup_no_bar&amp;width=385&amp;height=120&amp;START_MAXIMIZED=FALSE&amp;creator=factset&amp;display_string=Audit"}</definedName>
    <definedName name="_2680__FDSAUDITLINK__" localSheetId="20" hidden="1">{"fdsup://Directions/FactSet Auditing Viewer?action=AUDIT_VALUE&amp;DB=129&amp;ID1=58711810&amp;VALUEID=13040&amp;SDATE=200603&amp;PERIODTYPE=QTR_STD&amp;window=popup_no_bar&amp;width=385&amp;height=120&amp;START_MAXIMIZED=FALSE&amp;creator=factset&amp;display_string=Audit"}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localSheetId="1"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1__FDSAUDITLINK__" localSheetId="20"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localSheetId="1" hidden="1">{"fdsup://Directions/FactSet Auditing Viewer?action=AUDIT_VALUE&amp;DB=129&amp;ID1=58711810&amp;VALUEID=13040&amp;SDATE=201001&amp;PERIODTYPE=QTR_STD&amp;window=popup_no_bar&amp;width=385&amp;height=120&amp;START_MAXIMIZED=FALSE&amp;creator=factset&amp;display_string=Audit"}</definedName>
    <definedName name="_2682__FDSAUDITLINK__" localSheetId="20" hidden="1">{"fdsup://Directions/FactSet Auditing Viewer?action=AUDIT_VALUE&amp;DB=129&amp;ID1=58711810&amp;VALUEID=13040&amp;SDATE=201001&amp;PERIODTYPE=QTR_STD&amp;window=popup_no_bar&amp;width=385&amp;height=120&amp;START_MAXIMIZED=FALSE&amp;creator=factset&amp;display_string=Audit"}</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localSheetId="1" hidden="1">{"fdsup://Directions/FactSet Auditing Viewer?action=AUDIT_VALUE&amp;DB=129&amp;ID1=58711810&amp;VALUEID=13040&amp;SDATE=200904&amp;PERIODTYPE=QTR_STD&amp;window=popup_no_bar&amp;width=385&amp;height=120&amp;START_MAXIMIZED=FALSE&amp;creator=factset&amp;display_string=Audit"}</definedName>
    <definedName name="_2683__FDSAUDITLINK__" localSheetId="20" hidden="1">{"fdsup://Directions/FactSet Auditing Viewer?action=AUDIT_VALUE&amp;DB=129&amp;ID1=58711810&amp;VALUEID=13040&amp;SDATE=200904&amp;PERIODTYPE=QTR_STD&amp;window=popup_no_bar&amp;width=385&amp;height=120&amp;START_MAXIMIZED=FALSE&amp;creator=factset&amp;display_string=Audit"}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localSheetId="1"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4__FDSAUDITLINK__" localSheetId="20"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2685__FDSAUDITLINK__" localSheetId="20" hidden="1">{"fdsup://Directions/FactSet Auditing Viewer?action=AUDIT_VALUE&amp;DB=129&amp;ID1=87416110&amp;VALUEID=01001&amp;SDATE=201001&amp;PERIODTYPE=QTR_STD&amp;window=popup_no_bar&amp;width=385&amp;height=120&amp;START_MAXIMIZED=FALSE&amp;creator=factset&amp;display_string=Audit"}</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localSheetId="1" hidden="1">{"fdsup://Directions/FactSet Auditing Viewer?action=AUDIT_VALUE&amp;DB=129&amp;ID1=58711810&amp;VALUEID=01001&amp;SDATE=201001&amp;PERIODTYPE=QTR_STD&amp;window=popup_no_bar&amp;width=385&amp;height=120&amp;START_MAXIMIZED=FALSE&amp;creator=factset&amp;display_string=Audit"}</definedName>
    <definedName name="_2686__FDSAUDITLINK__" localSheetId="20" hidden="1">{"fdsup://Directions/FactSet Auditing Viewer?action=AUDIT_VALUE&amp;DB=129&amp;ID1=58711810&amp;VALUEID=01001&amp;SDATE=201001&amp;PERIODTYPE=QTR_STD&amp;window=popup_no_bar&amp;width=385&amp;height=120&amp;START_MAXIMIZED=FALSE&amp;creator=factset&amp;display_string=Audit"}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2687__FDSAUDITLINK__" localSheetId="20" hidden="1">{"fdsup://Directions/FactSet Auditing Viewer?action=AUDIT_VALUE&amp;DB=129&amp;ID1=53271610&amp;VALUEID=01001&amp;SDATE=201001&amp;PERIODTYPE=QTR_STD&amp;window=popup_no_bar&amp;width=385&amp;height=120&amp;START_MAXIMIZED=FALSE&amp;creator=factset&amp;display_string=Audit"}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2688__FDSAUDITLINK__" localSheetId="20" hidden="1">{"fdsup://Directions/FactSet Auditing Viewer?action=AUDIT_VALUE&amp;DB=129&amp;ID1=46612H40&amp;VALUEID=01001&amp;SDATE=201001&amp;PERIODTYPE=QTR_STD&amp;window=popup_no_bar&amp;width=385&amp;height=120&amp;START_MAXIMIZED=FALSE&amp;creator=factset&amp;display_string=Audit"}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2689__FDSAUDITLINK__" localSheetId="20" hidden="1">{"fdsup://Directions/FactSet Auditing Viewer?action=AUDIT_VALUE&amp;DB=129&amp;ID1=36476010&amp;VALUEID=01001&amp;SDATE=201001&amp;PERIODTYPE=QTR_STD&amp;window=popup_no_bar&amp;width=385&amp;height=120&amp;START_MAXIMIZED=FALSE&amp;creator=factset&amp;display_string=Audit"}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269__FDSAUDITLINK__" localSheetId="20" hidden="1">{"fdsup://Directions/FactSet Auditing Viewer?action=AUDIT_VALUE&amp;DB=129&amp;ID1=91704710&amp;VALUEID=01001&amp;SDATE=200701&amp;PERIODTYPE=QTR_STD&amp;window=popup_no_bar&amp;width=385&amp;height=120&amp;START_MAXIMIZED=FALSE&amp;creator=factset&amp;display_string=Audit"}</definedName>
    <definedName name="_269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690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2690__FDSAUDITLINK__" localSheetId="20" hidden="1">{"fdsup://Directions/FactSet Auditing Viewer?action=AUDIT_VALUE&amp;DB=129&amp;ID1=03611510&amp;VALUEID=01001&amp;SDATE=201001&amp;PERIODTYPE=QTR_STD&amp;window=popup_no_bar&amp;width=385&amp;height=120&amp;START_MAXIMIZED=FALSE&amp;creator=factset&amp;display_string=Audit"}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localSheetId="1" hidden="1">{"fdsup://Directions/FactSet Auditing Viewer?action=AUDIT_VALUE&amp;DB=129&amp;ID1=40377710&amp;VALUEID=01001&amp;SDATE=201001&amp;PERIODTYPE=QTR_STD&amp;window=popup_no_bar&amp;width=385&amp;height=120&amp;START_MAXIMIZED=FALSE&amp;creator=factset&amp;display_string=Audit"}</definedName>
    <definedName name="_2691__FDSAUDITLINK__" localSheetId="20" hidden="1">{"fdsup://Directions/FactSet Auditing Viewer?action=AUDIT_VALUE&amp;DB=129&amp;ID1=40377710&amp;VALUEID=01001&amp;SDATE=201001&amp;PERIODTYPE=QTR_STD&amp;window=popup_no_bar&amp;width=385&amp;height=120&amp;START_MAXIMIZED=FALSE&amp;creator=factset&amp;display_string=Audit"}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2692__FDSAUDITLINK__" localSheetId="20" hidden="1">{"fdsup://Directions/FactSet Auditing Viewer?action=AUDIT_VALUE&amp;DB=129&amp;ID1=16890510&amp;VALUEID=01001&amp;SDATE=201001&amp;PERIODTYPE=QTR_STD&amp;window=popup_no_bar&amp;width=385&amp;height=120&amp;START_MAXIMIZED=FALSE&amp;creator=factset&amp;display_string=Audit"}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2693__FDSAUDITLINK__" localSheetId="20" hidden="1">{"fdsup://Directions/FactSet Auditing Viewer?action=AUDIT_VALUE&amp;DB=129&amp;ID1=91704710&amp;VALUEID=01001&amp;SDATE=201001&amp;PERIODTYPE=QTR_STD&amp;window=popup_no_bar&amp;width=385&amp;height=120&amp;START_MAXIMIZED=FALSE&amp;creator=factset&amp;display_string=Audit"}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2694__FDSAUDITLINK__" localSheetId="20" hidden="1">{"fdsup://Directions/FactSet Auditing Viewer?action=AUDIT_VALUE&amp;DB=129&amp;ID1=02553E10&amp;VALUEID=01001&amp;SDATE=201001&amp;PERIODTYPE=QTR_STD&amp;window=popup_no_bar&amp;width=385&amp;height=120&amp;START_MAXIMIZED=FALSE&amp;creator=factset&amp;display_string=Audit"}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2695__FDSAUDITLINK__" localSheetId="20" hidden="1">{"fdsup://Directions/FactSet Auditing Viewer?action=AUDIT_VALUE&amp;DB=129&amp;ID1=00786510&amp;VALUEID=01001&amp;SDATE=201001&amp;PERIODTYPE=QTR_STD&amp;window=popup_no_bar&amp;width=385&amp;height=120&amp;START_MAXIMIZED=FALSE&amp;creator=factset&amp;display_string=Audit"}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2696__FDSAUDITLINK__" localSheetId="20" hidden="1">{"fdsup://Directions/FactSet Auditing Viewer?action=AUDIT_VALUE&amp;DB=129&amp;ID1=00289620&amp;VALUEID=01001&amp;SDATE=201001&amp;PERIODTYPE=QTR_STD&amp;window=popup_no_bar&amp;width=385&amp;height=120&amp;START_MAXIMIZED=FALSE&amp;creator=factset&amp;display_string=Audit"}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localSheetId="1" hidden="1">{"fdsup://Directions/FactSet Auditing Viewer?action=AUDIT_VALUE&amp;DB=129&amp;ID1=26157010&amp;VALUEID=13040&amp;SDATE=200602&amp;PERIODTYPE=QTR_STD&amp;window=popup_no_bar&amp;width=385&amp;height=120&amp;START_MAXIMIZED=FALSE&amp;creator=factset&amp;display_string=Audit"}</definedName>
    <definedName name="_2697__FDSAUDITLINK__" localSheetId="20" hidden="1">{"fdsup://Directions/FactSet Auditing Viewer?action=AUDIT_VALUE&amp;DB=129&amp;ID1=26157010&amp;VALUEID=13040&amp;SDATE=200602&amp;PERIODTYPE=QTR_STD&amp;window=popup_no_bar&amp;width=385&amp;height=120&amp;START_MAXIMIZED=FALSE&amp;creator=factset&amp;display_string=Audit"}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localSheetId="1" hidden="1">{"fdsup://Directions/FactSet Auditing Viewer?action=AUDIT_VALUE&amp;DB=129&amp;ID1=26157010&amp;VALUEID=01001&amp;SDATE=200602&amp;PERIODTYPE=QTR_STD&amp;window=popup_no_bar&amp;width=385&amp;height=120&amp;START_MAXIMIZED=FALSE&amp;creator=factset&amp;display_string=Audit"}</definedName>
    <definedName name="_2698__FDSAUDITLINK__" localSheetId="20" hidden="1">{"fdsup://Directions/FactSet Auditing Viewer?action=AUDIT_VALUE&amp;DB=129&amp;ID1=26157010&amp;VALUEID=01001&amp;SDATE=200602&amp;PERIODTYPE=QTR_STD&amp;window=popup_no_bar&amp;width=385&amp;height=120&amp;START_MAXIMIZED=FALSE&amp;creator=factset&amp;display_string=Audit"}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localSheetId="1" hidden="1">{"fdsup://Directions/FactSet Auditing Viewer?action=AUDIT_VALUE&amp;DB=129&amp;ID1=26157010&amp;VALUEID=02101&amp;SDATE=200602&amp;PERIODTYPE=QTR_STD&amp;window=popup_no_bar&amp;width=385&amp;height=120&amp;START_MAXIMIZED=FALSE&amp;creator=factset&amp;display_string=Audit"}</definedName>
    <definedName name="_2699__FDSAUDITLINK__" localSheetId="20" hidden="1">{"fdsup://Directions/FactSet Auditing Viewer?action=AUDIT_VALUE&amp;DB=129&amp;ID1=26157010&amp;VALUEID=02101&amp;SDATE=200602&amp;PERIODTYPE=QTR_STD&amp;window=popup_no_bar&amp;width=385&amp;height=120&amp;START_MAXIMIZED=FALSE&amp;creator=factset&amp;display_string=Audit"}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localSheetId="1" hidden="1">{"fdsup://directions/FAT Viewer?action=UPDATE&amp;creator=factset&amp;DYN_ARGS=TRUE&amp;DOC_NAME=FAT:FQL_AUDITING_CLIENT_TEMPLATE.FAT&amp;display_string=Audit&amp;VAR:KEY=LKDULIPEVO&amp;VAR:QUERY=RkZfU0FMRVMoTFRNUyw0MDg2MSwsLCxVU0Qp&amp;WINDOW=FIRST_POPUP&amp;HEIGHT=450&amp;WIDTH=450&amp;START_MA","XIMIZED=FALSE&amp;VAR:CALENDAR=US&amp;VAR:SYMBOL=TIF&amp;VAR:INDEX=0"}</definedName>
    <definedName name="_27__FDSAUDITLINK__" localSheetId="20" hidden="1">{"fdsup://Directions/FactSet Auditing Viewer?action=AUDIT_VALUE&amp;DB=129&amp;ID1=91704710&amp;VALUEID=01001&amp;SDATE=200904&amp;PERIODTYPE=QTR_STD&amp;window=popup_no_bar&amp;width=385&amp;height=120&amp;START_MAXIMIZED=FALSE&amp;creator=factset&amp;display_string=Audit"}</definedName>
    <definedName name="_27__FDSAUDITLINK__" hidden="1">{"fdsup://directions/FAT Viewer?action=UPDATE&amp;creator=factset&amp;DYN_ARGS=TRUE&amp;DOC_NAME=FAT:FQL_AUDITING_CLIENT_TEMPLATE.FAT&amp;display_string=Audit&amp;VAR:KEY=LKDULIPEVO&amp;VAR:QUERY=RkZfU0FMRVMoTFRNUyw0MDg2MSwsLCxVU0Qp&amp;WINDOW=FIRST_POPUP&amp;HEIGHT=450&amp;WIDTH=450&amp;START_MA","XIMIZED=FALSE&amp;VAR:CALENDAR=US&amp;VAR:SYMBOL=TIF&amp;VAR:INDEX=0"}</definedName>
    <definedName name="_270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270__FDSAUDITLINK__" localSheetId="20" hidden="1">{"fdsup://Directions/FactSet Auditing Viewer?action=AUDIT_VALUE&amp;DB=129&amp;ID1=91704710&amp;VALUEID=13040&amp;SDATE=200701&amp;PERIODTYPE=QTR_STD&amp;window=popup_no_bar&amp;width=385&amp;height=120&amp;START_MAXIMIZED=FALSE&amp;creator=factset&amp;display_string=Audit"}</definedName>
    <definedName name="_270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700__FDSAUDITLINK__" localSheetId="1" hidden="1">{"fdsup://Directions/FactSet Auditing Viewer?action=AUDIT_VALUE&amp;DB=129&amp;ID1=26157010&amp;VALUEID=13040&amp;SDATE=200603&amp;PERIODTYPE=QTR_STD&amp;window=popup_no_bar&amp;width=385&amp;height=120&amp;START_MAXIMIZED=FALSE&amp;creator=factset&amp;display_string=Audit"}</definedName>
    <definedName name="_2700__FDSAUDITLINK__" localSheetId="20" hidden="1">{"fdsup://Directions/FactSet Auditing Viewer?action=AUDIT_VALUE&amp;DB=129&amp;ID1=26157010&amp;VALUEID=13040&amp;SDATE=200603&amp;PERIODTYPE=QTR_STD&amp;window=popup_no_bar&amp;width=385&amp;height=120&amp;START_MAXIMIZED=FALSE&amp;creator=factset&amp;display_string=Audit"}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localSheetId="1" hidden="1">{"fdsup://Directions/FactSet Auditing Viewer?action=AUDIT_VALUE&amp;DB=129&amp;ID1=26157010&amp;VALUEID=01001&amp;SDATE=200603&amp;PERIODTYPE=QTR_STD&amp;window=popup_no_bar&amp;width=385&amp;height=120&amp;START_MAXIMIZED=FALSE&amp;creator=factset&amp;display_string=Audit"}</definedName>
    <definedName name="_2701__FDSAUDITLINK__" localSheetId="20" hidden="1">{"fdsup://Directions/FactSet Auditing Viewer?action=AUDIT_VALUE&amp;DB=129&amp;ID1=26157010&amp;VALUEID=01001&amp;SDATE=200603&amp;PERIODTYPE=QTR_STD&amp;window=popup_no_bar&amp;width=385&amp;height=120&amp;START_MAXIMIZED=FALSE&amp;creator=factset&amp;display_string=Audit"}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localSheetId="1" hidden="1">{"fdsup://Directions/FactSet Auditing Viewer?action=AUDIT_VALUE&amp;DB=129&amp;ID1=26157010&amp;VALUEID=02101&amp;SDATE=200603&amp;PERIODTYPE=QTR_STD&amp;window=popup_no_bar&amp;width=385&amp;height=120&amp;START_MAXIMIZED=FALSE&amp;creator=factset&amp;display_string=Audit"}</definedName>
    <definedName name="_2702__FDSAUDITLINK__" localSheetId="20" hidden="1">{"fdsup://Directions/FactSet Auditing Viewer?action=AUDIT_VALUE&amp;DB=129&amp;ID1=26157010&amp;VALUEID=02101&amp;SDATE=200603&amp;PERIODTYPE=QTR_STD&amp;window=popup_no_bar&amp;width=385&amp;height=120&amp;START_MAXIMIZED=FALSE&amp;creator=factset&amp;display_string=Audit"}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localSheetId="1" hidden="1">{"fdsup://Directions/FactSet Auditing Viewer?action=AUDIT_VALUE&amp;DB=129&amp;ID1=26157010&amp;VALUEID=13040&amp;SDATE=200701&amp;PERIODTYPE=QTR_STD&amp;window=popup_no_bar&amp;width=385&amp;height=120&amp;START_MAXIMIZED=FALSE&amp;creator=factset&amp;display_string=Audit"}</definedName>
    <definedName name="_2703__FDSAUDITLINK__" localSheetId="20" hidden="1">{"fdsup://Directions/FactSet Auditing Viewer?action=AUDIT_VALUE&amp;DB=129&amp;ID1=26157010&amp;VALUEID=13040&amp;SDATE=200701&amp;PERIODTYPE=QTR_STD&amp;window=popup_no_bar&amp;width=385&amp;height=120&amp;START_MAXIMIZED=FALSE&amp;creator=factset&amp;display_string=Audit"}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localSheetId="1" hidden="1">{"fdsup://Directions/FactSet Auditing Viewer?action=AUDIT_VALUE&amp;DB=129&amp;ID1=26157010&amp;VALUEID=01001&amp;SDATE=200701&amp;PERIODTYPE=QTR_STD&amp;window=popup_no_bar&amp;width=385&amp;height=120&amp;START_MAXIMIZED=FALSE&amp;creator=factset&amp;display_string=Audit"}</definedName>
    <definedName name="_2704__FDSAUDITLINK__" localSheetId="20" hidden="1">{"fdsup://Directions/FactSet Auditing Viewer?action=AUDIT_VALUE&amp;DB=129&amp;ID1=26157010&amp;VALUEID=01001&amp;SDATE=200701&amp;PERIODTYPE=QTR_STD&amp;window=popup_no_bar&amp;width=385&amp;height=120&amp;START_MAXIMIZED=FALSE&amp;creator=factset&amp;display_string=Audit"}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localSheetId="1" hidden="1">{"fdsup://Directions/FactSet Auditing Viewer?action=AUDIT_VALUE&amp;DB=129&amp;ID1=26157010&amp;VALUEID=02101&amp;SDATE=200701&amp;PERIODTYPE=QTR_STD&amp;window=popup_no_bar&amp;width=385&amp;height=120&amp;START_MAXIMIZED=FALSE&amp;creator=factset&amp;display_string=Audit"}</definedName>
    <definedName name="_2705__FDSAUDITLINK__" localSheetId="20" hidden="1">{"fdsup://Directions/FactSet Auditing Viewer?action=AUDIT_VALUE&amp;DB=129&amp;ID1=26157010&amp;VALUEID=02101&amp;SDATE=200701&amp;PERIODTYPE=QTR_STD&amp;window=popup_no_bar&amp;width=385&amp;height=120&amp;START_MAXIMIZED=FALSE&amp;creator=factset&amp;display_string=Audit"}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localSheetId="1" hidden="1">{"fdsup://Directions/FactSet Auditing Viewer?action=AUDIT_VALUE&amp;DB=129&amp;ID1=26157010&amp;VALUEID=13040&amp;SDATE=200702&amp;PERIODTYPE=QTR_STD&amp;window=popup_no_bar&amp;width=385&amp;height=120&amp;START_MAXIMIZED=FALSE&amp;creator=factset&amp;display_string=Audit"}</definedName>
    <definedName name="_2706__FDSAUDITLINK__" localSheetId="20" hidden="1">{"fdsup://Directions/FactSet Auditing Viewer?action=AUDIT_VALUE&amp;DB=129&amp;ID1=26157010&amp;VALUEID=13040&amp;SDATE=200702&amp;PERIODTYPE=QTR_STD&amp;window=popup_no_bar&amp;width=385&amp;height=120&amp;START_MAXIMIZED=FALSE&amp;creator=factset&amp;display_string=Audit"}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localSheetId="1" hidden="1">{"fdsup://Directions/FactSet Auditing Viewer?action=AUDIT_VALUE&amp;DB=129&amp;ID1=26157010&amp;VALUEID=01001&amp;SDATE=200702&amp;PERIODTYPE=QTR_STD&amp;window=popup_no_bar&amp;width=385&amp;height=120&amp;START_MAXIMIZED=FALSE&amp;creator=factset&amp;display_string=Audit"}</definedName>
    <definedName name="_2707__FDSAUDITLINK__" localSheetId="20" hidden="1">{"fdsup://Directions/FactSet Auditing Viewer?action=AUDIT_VALUE&amp;DB=129&amp;ID1=26157010&amp;VALUEID=01001&amp;SDATE=200702&amp;PERIODTYPE=QTR_STD&amp;window=popup_no_bar&amp;width=385&amp;height=120&amp;START_MAXIMIZED=FALSE&amp;creator=factset&amp;display_string=Audit"}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localSheetId="1" hidden="1">{"fdsup://Directions/FactSet Auditing Viewer?action=AUDIT_VALUE&amp;DB=129&amp;ID1=26157010&amp;VALUEID=02101&amp;SDATE=200702&amp;PERIODTYPE=QTR_STD&amp;window=popup_no_bar&amp;width=385&amp;height=120&amp;START_MAXIMIZED=FALSE&amp;creator=factset&amp;display_string=Audit"}</definedName>
    <definedName name="_2708__FDSAUDITLINK__" localSheetId="20" hidden="1">{"fdsup://Directions/FactSet Auditing Viewer?action=AUDIT_VALUE&amp;DB=129&amp;ID1=26157010&amp;VALUEID=02101&amp;SDATE=200702&amp;PERIODTYPE=QTR_STD&amp;window=popup_no_bar&amp;width=385&amp;height=120&amp;START_MAXIMIZED=FALSE&amp;creator=factset&amp;display_string=Audit"}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localSheetId="1" hidden="1">{"fdsup://Directions/FactSet Auditing Viewer?action=AUDIT_VALUE&amp;DB=129&amp;ID1=26157010&amp;VALUEID=13040&amp;SDATE=200703&amp;PERIODTYPE=QTR_STD&amp;window=popup_no_bar&amp;width=385&amp;height=120&amp;START_MAXIMIZED=FALSE&amp;creator=factset&amp;display_string=Audit"}</definedName>
    <definedName name="_2709__FDSAUDITLINK__" localSheetId="20" hidden="1">{"fdsup://Directions/FactSet Auditing Viewer?action=AUDIT_VALUE&amp;DB=129&amp;ID1=26157010&amp;VALUEID=13040&amp;SDATE=200703&amp;PERIODTYPE=QTR_STD&amp;window=popup_no_bar&amp;width=385&amp;height=120&amp;START_MAXIMIZED=FALSE&amp;creator=factset&amp;display_string=Audit"}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271__FDSAUDITLINK__" localSheetId="20" hidden="1">{"fdsup://Directions/FactSet Auditing Viewer?action=AUDIT_VALUE&amp;DB=129&amp;ID1=02553E10&amp;VALUEID=02101&amp;SDATE=200701&amp;PERIODTYPE=QTR_STD&amp;window=popup_no_bar&amp;width=385&amp;height=120&amp;START_MAXIMIZED=FALSE&amp;creator=factset&amp;display_string=Audit"}</definedName>
    <definedName name="_271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710__FDSAUDITLINK__" localSheetId="1" hidden="1">{"fdsup://Directions/FactSet Auditing Viewer?action=AUDIT_VALUE&amp;DB=129&amp;ID1=26157010&amp;VALUEID=01001&amp;SDATE=200703&amp;PERIODTYPE=QTR_STD&amp;window=popup_no_bar&amp;width=385&amp;height=120&amp;START_MAXIMIZED=FALSE&amp;creator=factset&amp;display_string=Audit"}</definedName>
    <definedName name="_2710__FDSAUDITLINK__" localSheetId="20" hidden="1">{"fdsup://Directions/FactSet Auditing Viewer?action=AUDIT_VALUE&amp;DB=129&amp;ID1=26157010&amp;VALUEID=01001&amp;SDATE=200703&amp;PERIODTYPE=QTR_STD&amp;window=popup_no_bar&amp;width=385&amp;height=120&amp;START_MAXIMIZED=FALSE&amp;creator=factset&amp;display_string=Audit"}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localSheetId="1" hidden="1">{"fdsup://Directions/FactSet Auditing Viewer?action=AUDIT_VALUE&amp;DB=129&amp;ID1=26157010&amp;VALUEID=02101&amp;SDATE=200703&amp;PERIODTYPE=QTR_STD&amp;window=popup_no_bar&amp;width=385&amp;height=120&amp;START_MAXIMIZED=FALSE&amp;creator=factset&amp;display_string=Audit"}</definedName>
    <definedName name="_2711__FDSAUDITLINK__" localSheetId="20" hidden="1">{"fdsup://Directions/FactSet Auditing Viewer?action=AUDIT_VALUE&amp;DB=129&amp;ID1=26157010&amp;VALUEID=02101&amp;SDATE=200703&amp;PERIODTYPE=QTR_STD&amp;window=popup_no_bar&amp;width=385&amp;height=120&amp;START_MAXIMIZED=FALSE&amp;creator=factset&amp;display_string=Audit"}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localSheetId="1" hidden="1">{"fdsup://Directions/FactSet Auditing Viewer?action=AUDIT_VALUE&amp;DB=129&amp;ID1=26157010&amp;VALUEID=01001&amp;SDATE=200704&amp;PERIODTYPE=QTR_STD&amp;window=popup_no_bar&amp;width=385&amp;height=120&amp;START_MAXIMIZED=FALSE&amp;creator=factset&amp;display_string=Audit"}</definedName>
    <definedName name="_2712__FDSAUDITLINK__" localSheetId="20" hidden="1">{"fdsup://Directions/FactSet Auditing Viewer?action=AUDIT_VALUE&amp;DB=129&amp;ID1=26157010&amp;VALUEID=01001&amp;SDATE=200704&amp;PERIODTYPE=QTR_STD&amp;window=popup_no_bar&amp;width=385&amp;height=120&amp;START_MAXIMIZED=FALSE&amp;creator=factset&amp;display_string=Audit"}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localSheetId="1" hidden="1">{"fdsup://Directions/FactSet Auditing Viewer?action=AUDIT_VALUE&amp;DB=129&amp;ID1=26157010&amp;VALUEID=13040&amp;SDATE=200801&amp;PERIODTYPE=QTR_STD&amp;window=popup_no_bar&amp;width=385&amp;height=120&amp;START_MAXIMIZED=FALSE&amp;creator=factset&amp;display_string=Audit"}</definedName>
    <definedName name="_2713__FDSAUDITLINK__" localSheetId="20" hidden="1">{"fdsup://Directions/FactSet Auditing Viewer?action=AUDIT_VALUE&amp;DB=129&amp;ID1=26157010&amp;VALUEID=13040&amp;SDATE=200801&amp;PERIODTYPE=QTR_STD&amp;window=popup_no_bar&amp;width=385&amp;height=120&amp;START_MAXIMIZED=FALSE&amp;creator=factset&amp;display_string=Audit"}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localSheetId="1" hidden="1">{"fdsup://Directions/FactSet Auditing Viewer?action=AUDIT_VALUE&amp;DB=129&amp;ID1=26157010&amp;VALUEID=01001&amp;SDATE=200801&amp;PERIODTYPE=QTR_STD&amp;window=popup_no_bar&amp;width=385&amp;height=120&amp;START_MAXIMIZED=FALSE&amp;creator=factset&amp;display_string=Audit"}</definedName>
    <definedName name="_2714__FDSAUDITLINK__" localSheetId="20" hidden="1">{"fdsup://Directions/FactSet Auditing Viewer?action=AUDIT_VALUE&amp;DB=129&amp;ID1=26157010&amp;VALUEID=01001&amp;SDATE=200801&amp;PERIODTYPE=QTR_STD&amp;window=popup_no_bar&amp;width=385&amp;height=120&amp;START_MAXIMIZED=FALSE&amp;creator=factset&amp;display_string=Audit"}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localSheetId="1" hidden="1">{"fdsup://Directions/FactSet Auditing Viewer?action=AUDIT_VALUE&amp;DB=129&amp;ID1=26157010&amp;VALUEID=02101&amp;SDATE=200801&amp;PERIODTYPE=QTR_STD&amp;window=popup_no_bar&amp;width=385&amp;height=120&amp;START_MAXIMIZED=FALSE&amp;creator=factset&amp;display_string=Audit"}</definedName>
    <definedName name="_2715__FDSAUDITLINK__" localSheetId="20" hidden="1">{"fdsup://Directions/FactSet Auditing Viewer?action=AUDIT_VALUE&amp;DB=129&amp;ID1=26157010&amp;VALUEID=02101&amp;SDATE=200801&amp;PERIODTYPE=QTR_STD&amp;window=popup_no_bar&amp;width=385&amp;height=120&amp;START_MAXIMIZED=FALSE&amp;creator=factset&amp;display_string=Audit"}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localSheetId="1" hidden="1">{"fdsup://Directions/FactSet Auditing Viewer?action=AUDIT_VALUE&amp;DB=129&amp;ID1=26157010&amp;VALUEID=01001&amp;SDATE=200802&amp;PERIODTYPE=QTR_STD&amp;window=popup_no_bar&amp;width=385&amp;height=120&amp;START_MAXIMIZED=FALSE&amp;creator=factset&amp;display_string=Audit"}</definedName>
    <definedName name="_2716__FDSAUDITLINK__" localSheetId="20" hidden="1">{"fdsup://Directions/FactSet Auditing Viewer?action=AUDIT_VALUE&amp;DB=129&amp;ID1=26157010&amp;VALUEID=01001&amp;SDATE=200802&amp;PERIODTYPE=QTR_STD&amp;window=popup_no_bar&amp;width=385&amp;height=120&amp;START_MAXIMIZED=FALSE&amp;creator=factset&amp;display_string=Audit"}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localSheetId="1" hidden="1">{"fdsup://Directions/FactSet Auditing Viewer?action=AUDIT_VALUE&amp;DB=129&amp;ID1=26157010&amp;VALUEID=02101&amp;SDATE=200802&amp;PERIODTYPE=QTR_STD&amp;window=popup_no_bar&amp;width=385&amp;height=120&amp;START_MAXIMIZED=FALSE&amp;creator=factset&amp;display_string=Audit"}</definedName>
    <definedName name="_2717__FDSAUDITLINK__" localSheetId="20" hidden="1">{"fdsup://Directions/FactSet Auditing Viewer?action=AUDIT_VALUE&amp;DB=129&amp;ID1=26157010&amp;VALUEID=02101&amp;SDATE=200802&amp;PERIODTYPE=QTR_STD&amp;window=popup_no_bar&amp;width=385&amp;height=120&amp;START_MAXIMIZED=FALSE&amp;creator=factset&amp;display_string=Audit"}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localSheetId="1" hidden="1">{"fdsup://Directions/FactSet Auditing Viewer?action=AUDIT_VALUE&amp;DB=129&amp;ID1=26157010&amp;VALUEID=13040&amp;SDATE=200803&amp;PERIODTYPE=QTR_STD&amp;window=popup_no_bar&amp;width=385&amp;height=120&amp;START_MAXIMIZED=FALSE&amp;creator=factset&amp;display_string=Audit"}</definedName>
    <definedName name="_2718__FDSAUDITLINK__" localSheetId="20" hidden="1">{"fdsup://Directions/FactSet Auditing Viewer?action=AUDIT_VALUE&amp;DB=129&amp;ID1=26157010&amp;VALUEID=13040&amp;SDATE=200803&amp;PERIODTYPE=QTR_STD&amp;window=popup_no_bar&amp;width=385&amp;height=120&amp;START_MAXIMIZED=FALSE&amp;creator=factset&amp;display_string=Audit"}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localSheetId="1" hidden="1">{"fdsup://Directions/FactSet Auditing Viewer?action=AUDIT_VALUE&amp;DB=129&amp;ID1=26157010&amp;VALUEID=01001&amp;SDATE=200803&amp;PERIODTYPE=QTR_STD&amp;window=popup_no_bar&amp;width=385&amp;height=120&amp;START_MAXIMIZED=FALSE&amp;creator=factset&amp;display_string=Audit"}</definedName>
    <definedName name="_2719__FDSAUDITLINK__" localSheetId="20" hidden="1">{"fdsup://Directions/FactSet Auditing Viewer?action=AUDIT_VALUE&amp;DB=129&amp;ID1=26157010&amp;VALUEID=01001&amp;SDATE=200803&amp;PERIODTYPE=QTR_STD&amp;window=popup_no_bar&amp;width=385&amp;height=120&amp;START_MAXIMIZED=FALSE&amp;creator=factset&amp;display_string=Audit"}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272__FDSAUDITLINK__" localSheetId="20" hidden="1">{"fdsup://Directions/FactSet Auditing Viewer?action=AUDIT_VALUE&amp;DB=129&amp;ID1=02553E10&amp;VALUEID=01001&amp;SDATE=200701&amp;PERIODTYPE=QTR_STD&amp;window=popup_no_bar&amp;width=385&amp;height=120&amp;START_MAXIMIZED=FALSE&amp;creator=factset&amp;display_string=Audit"}</definedName>
    <definedName name="_272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720__FDSAUDITLINK__" localSheetId="1" hidden="1">{"fdsup://Directions/FactSet Auditing Viewer?action=AUDIT_VALUE&amp;DB=129&amp;ID1=26157010&amp;VALUEID=02101&amp;SDATE=200803&amp;PERIODTYPE=QTR_STD&amp;window=popup_no_bar&amp;width=385&amp;height=120&amp;START_MAXIMIZED=FALSE&amp;creator=factset&amp;display_string=Audit"}</definedName>
    <definedName name="_2720__FDSAUDITLINK__" localSheetId="20" hidden="1">{"fdsup://Directions/FactSet Auditing Viewer?action=AUDIT_VALUE&amp;DB=129&amp;ID1=26157010&amp;VALUEID=02101&amp;SDATE=200803&amp;PERIODTYPE=QTR_STD&amp;window=popup_no_bar&amp;width=385&amp;height=120&amp;START_MAXIMIZED=FALSE&amp;creator=factset&amp;display_string=Audit"}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localSheetId="1" hidden="1">{"fdsup://Directions/FactSet Auditing Viewer?action=AUDIT_VALUE&amp;DB=129&amp;ID1=26157010&amp;VALUEID=13040&amp;SDATE=200901&amp;PERIODTYPE=QTR_STD&amp;window=popup_no_bar&amp;width=385&amp;height=120&amp;START_MAXIMIZED=FALSE&amp;creator=factset&amp;display_string=Audit"}</definedName>
    <definedName name="_2721__FDSAUDITLINK__" localSheetId="20" hidden="1">{"fdsup://Directions/FactSet Auditing Viewer?action=AUDIT_VALUE&amp;DB=129&amp;ID1=26157010&amp;VALUEID=13040&amp;SDATE=200901&amp;PERIODTYPE=QTR_STD&amp;window=popup_no_bar&amp;width=385&amp;height=120&amp;START_MAXIMIZED=FALSE&amp;creator=factset&amp;display_string=Audit"}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localSheetId="1" hidden="1">{"fdsup://Directions/FactSet Auditing Viewer?action=AUDIT_VALUE&amp;DB=129&amp;ID1=26157010&amp;VALUEID=01001&amp;SDATE=200901&amp;PERIODTYPE=QTR_STD&amp;window=popup_no_bar&amp;width=385&amp;height=120&amp;START_MAXIMIZED=FALSE&amp;creator=factset&amp;display_string=Audit"}</definedName>
    <definedName name="_2722__FDSAUDITLINK__" localSheetId="20" hidden="1">{"fdsup://Directions/FactSet Auditing Viewer?action=AUDIT_VALUE&amp;DB=129&amp;ID1=26157010&amp;VALUEID=01001&amp;SDATE=200901&amp;PERIODTYPE=QTR_STD&amp;window=popup_no_bar&amp;width=385&amp;height=120&amp;START_MAXIMIZED=FALSE&amp;creator=factset&amp;display_string=Audit"}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localSheetId="1" hidden="1">{"fdsup://Directions/FactSet Auditing Viewer?action=AUDIT_VALUE&amp;DB=129&amp;ID1=26157010&amp;VALUEID=02101&amp;SDATE=200901&amp;PERIODTYPE=QTR_STD&amp;window=popup_no_bar&amp;width=385&amp;height=120&amp;START_MAXIMIZED=FALSE&amp;creator=factset&amp;display_string=Audit"}</definedName>
    <definedName name="_2723__FDSAUDITLINK__" localSheetId="20" hidden="1">{"fdsup://Directions/FactSet Auditing Viewer?action=AUDIT_VALUE&amp;DB=129&amp;ID1=26157010&amp;VALUEID=02101&amp;SDATE=200901&amp;PERIODTYPE=QTR_STD&amp;window=popup_no_bar&amp;width=385&amp;height=120&amp;START_MAXIMIZED=FALSE&amp;creator=factset&amp;display_string=Audit"}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localSheetId="1" hidden="1">{"fdsup://Directions/FactSet Auditing Viewer?action=AUDIT_VALUE&amp;DB=129&amp;ID1=26157010&amp;VALUEID=13040&amp;SDATE=200902&amp;PERIODTYPE=QTR_STD&amp;window=popup_no_bar&amp;width=385&amp;height=120&amp;START_MAXIMIZED=FALSE&amp;creator=factset&amp;display_string=Audit"}</definedName>
    <definedName name="_2724__FDSAUDITLINK__" localSheetId="20" hidden="1">{"fdsup://Directions/FactSet Auditing Viewer?action=AUDIT_VALUE&amp;DB=129&amp;ID1=26157010&amp;VALUEID=13040&amp;SDATE=200902&amp;PERIODTYPE=QTR_STD&amp;window=popup_no_bar&amp;width=385&amp;height=120&amp;START_MAXIMIZED=FALSE&amp;creator=factset&amp;display_string=Audit"}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localSheetId="1" hidden="1">{"fdsup://Directions/FactSet Auditing Viewer?action=AUDIT_VALUE&amp;DB=129&amp;ID1=26157010&amp;VALUEID=01001&amp;SDATE=200902&amp;PERIODTYPE=QTR_STD&amp;window=popup_no_bar&amp;width=385&amp;height=120&amp;START_MAXIMIZED=FALSE&amp;creator=factset&amp;display_string=Audit"}</definedName>
    <definedName name="_2725__FDSAUDITLINK__" localSheetId="20" hidden="1">{"fdsup://Directions/FactSet Auditing Viewer?action=AUDIT_VALUE&amp;DB=129&amp;ID1=26157010&amp;VALUEID=01001&amp;SDATE=200902&amp;PERIODTYPE=QTR_STD&amp;window=popup_no_bar&amp;width=385&amp;height=120&amp;START_MAXIMIZED=FALSE&amp;creator=factset&amp;display_string=Audit"}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localSheetId="1" hidden="1">{"fdsup://Directions/FactSet Auditing Viewer?action=AUDIT_VALUE&amp;DB=129&amp;ID1=26157010&amp;VALUEID=02101&amp;SDATE=200902&amp;PERIODTYPE=QTR_STD&amp;window=popup_no_bar&amp;width=385&amp;height=120&amp;START_MAXIMIZED=FALSE&amp;creator=factset&amp;display_string=Audit"}</definedName>
    <definedName name="_2726__FDSAUDITLINK__" localSheetId="20" hidden="1">{"fdsup://Directions/FactSet Auditing Viewer?action=AUDIT_VALUE&amp;DB=129&amp;ID1=26157010&amp;VALUEID=02101&amp;SDATE=200902&amp;PERIODTYPE=QTR_STD&amp;window=popup_no_bar&amp;width=385&amp;height=120&amp;START_MAXIMIZED=FALSE&amp;creator=factset&amp;display_string=Audit"}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localSheetId="1" hidden="1">{"fdsup://Directions/FactSet Auditing Viewer?action=AUDIT_VALUE&amp;DB=129&amp;ID1=26157010&amp;VALUEID=01001&amp;SDATE=200904&amp;PERIODTYPE=QTR_STD&amp;window=popup_no_bar&amp;width=385&amp;height=120&amp;START_MAXIMIZED=FALSE&amp;creator=factset&amp;display_string=Audit"}</definedName>
    <definedName name="_2727__FDSAUDITLINK__" localSheetId="20" hidden="1">{"fdsup://Directions/FactSet Auditing Viewer?action=AUDIT_VALUE&amp;DB=129&amp;ID1=26157010&amp;VALUEID=01001&amp;SDATE=200904&amp;PERIODTYPE=QTR_STD&amp;window=popup_no_bar&amp;width=385&amp;height=120&amp;START_MAXIMIZED=FALSE&amp;creator=factset&amp;display_string=Audit"}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localSheetId="1" hidden="1">{"fdsup://Directions/FactSet Auditing Viewer?action=AUDIT_VALUE&amp;DB=129&amp;ID1=26157010&amp;VALUEID=13040&amp;SDATE=201001&amp;PERIODTYPE=QTR_STD&amp;window=popup_no_bar&amp;width=385&amp;height=120&amp;START_MAXIMIZED=FALSE&amp;creator=factset&amp;display_string=Audit"}</definedName>
    <definedName name="_2728__FDSAUDITLINK__" localSheetId="20" hidden="1">{"fdsup://Directions/FactSet Auditing Viewer?action=AUDIT_VALUE&amp;DB=129&amp;ID1=26157010&amp;VALUEID=13040&amp;SDATE=201001&amp;PERIODTYPE=QTR_STD&amp;window=popup_no_bar&amp;width=385&amp;height=120&amp;START_MAXIMIZED=FALSE&amp;creator=factset&amp;display_string=Audit"}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localSheetId="1" hidden="1">{"fdsup://Directions/FactSet Auditing Viewer?action=AUDIT_VALUE&amp;DB=129&amp;ID1=26157010&amp;VALUEID=01001&amp;SDATE=201001&amp;PERIODTYPE=QTR_STD&amp;window=popup_no_bar&amp;width=385&amp;height=120&amp;START_MAXIMIZED=FALSE&amp;creator=factset&amp;display_string=Audit"}</definedName>
    <definedName name="_2729__FDSAUDITLINK__" localSheetId="20" hidden="1">{"fdsup://Directions/FactSet Auditing Viewer?action=AUDIT_VALUE&amp;DB=129&amp;ID1=26157010&amp;VALUEID=01001&amp;SDATE=201001&amp;PERIODTYPE=QTR_STD&amp;window=popup_no_bar&amp;width=385&amp;height=120&amp;START_MAXIMIZED=FALSE&amp;creator=factset&amp;display_string=Audit"}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273__FDSAUDITLINK__" localSheetId="20" hidden="1">{"fdsup://Directions/FactSet Auditing Viewer?action=AUDIT_VALUE&amp;DB=129&amp;ID1=02553E10&amp;VALUEID=13040&amp;SDATE=200701&amp;PERIODTYPE=QTR_STD&amp;window=popup_no_bar&amp;width=385&amp;height=120&amp;START_MAXIMIZED=FALSE&amp;creator=factset&amp;display_string=Audit"}</definedName>
    <definedName name="_273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730__FDSAUDITLINK__" localSheetId="1" hidden="1">{"fdsup://Directions/FactSet Auditing Viewer?action=AUDIT_VALUE&amp;DB=129&amp;ID1=26157010&amp;VALUEID=02101&amp;SDATE=201001&amp;PERIODTYPE=QTR_STD&amp;window=popup_no_bar&amp;width=385&amp;height=120&amp;START_MAXIMIZED=FALSE&amp;creator=factset&amp;display_string=Audit"}</definedName>
    <definedName name="_2730__FDSAUDITLINK__" localSheetId="20" hidden="1">{"fdsup://Directions/FactSet Auditing Viewer?action=AUDIT_VALUE&amp;DB=129&amp;ID1=26157010&amp;VALUEID=02101&amp;SDATE=201001&amp;PERIODTYPE=QTR_STD&amp;window=popup_no_bar&amp;width=385&amp;height=120&amp;START_MAXIMIZED=FALSE&amp;creator=factset&amp;display_string=Audit"}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localSheetId="1" hidden="1">{"fdsup://Directions/FactSet Auditing Viewer?action=AUDIT_VALUE&amp;DB=129&amp;ID1=26157010&amp;VALUEID=01001&amp;SDATE=201002&amp;PERIODTYPE=QTR_STD&amp;window=popup_no_bar&amp;width=385&amp;height=120&amp;START_MAXIMIZED=FALSE&amp;creator=factset&amp;display_string=Audit"}</definedName>
    <definedName name="_2731__FDSAUDITLINK__" localSheetId="20" hidden="1">{"fdsup://Directions/FactSet Auditing Viewer?action=AUDIT_VALUE&amp;DB=129&amp;ID1=26157010&amp;VALUEID=01001&amp;SDATE=201002&amp;PERIODTYPE=QTR_STD&amp;window=popup_no_bar&amp;width=385&amp;height=120&amp;START_MAXIMIZED=FALSE&amp;creator=factset&amp;display_string=Audit"}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localSheetId="1" hidden="1">{"fdsup://Directions/FactSet Auditing Viewer?action=AUDIT_VALUE&amp;DB=129&amp;ID1=26157010&amp;VALUEID=02101&amp;SDATE=201002&amp;PERIODTYPE=QTR_STD&amp;window=popup_no_bar&amp;width=385&amp;height=120&amp;START_MAXIMIZED=FALSE&amp;creator=factset&amp;display_string=Audit"}</definedName>
    <definedName name="_2732__FDSAUDITLINK__" localSheetId="20" hidden="1">{"fdsup://Directions/FactSet Auditing Viewer?action=AUDIT_VALUE&amp;DB=129&amp;ID1=26157010&amp;VALUEID=02101&amp;SDATE=201002&amp;PERIODTYPE=QTR_STD&amp;window=popup_no_bar&amp;width=385&amp;height=120&amp;START_MAXIMIZED=FALSE&amp;creator=factset&amp;display_string=Audit"}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localSheetId="1" hidden="1">{"fdsup://Directions/FactSet Auditing Viewer?action=AUDIT_VALUE&amp;DB=129&amp;ID1=26157010&amp;VALUEID=13040&amp;SDATE=201003&amp;PERIODTYPE=QTR_STD&amp;window=popup_no_bar&amp;width=385&amp;height=120&amp;START_MAXIMIZED=FALSE&amp;creator=factset&amp;display_string=Audit"}</definedName>
    <definedName name="_2733__FDSAUDITLINK__" localSheetId="20" hidden="1">{"fdsup://Directions/FactSet Auditing Viewer?action=AUDIT_VALUE&amp;DB=129&amp;ID1=26157010&amp;VALUEID=13040&amp;SDATE=201003&amp;PERIODTYPE=QTR_STD&amp;window=popup_no_bar&amp;width=385&amp;height=120&amp;START_MAXIMIZED=FALSE&amp;creator=factset&amp;display_string=Audit"}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localSheetId="1" hidden="1">{"fdsup://Directions/FactSet Auditing Viewer?action=AUDIT_VALUE&amp;DB=129&amp;ID1=26157010&amp;VALUEID=01001&amp;SDATE=201003&amp;PERIODTYPE=QTR_STD&amp;window=popup_no_bar&amp;width=385&amp;height=120&amp;START_MAXIMIZED=FALSE&amp;creator=factset&amp;display_string=Audit"}</definedName>
    <definedName name="_2734__FDSAUDITLINK__" localSheetId="20" hidden="1">{"fdsup://Directions/FactSet Auditing Viewer?action=AUDIT_VALUE&amp;DB=129&amp;ID1=26157010&amp;VALUEID=01001&amp;SDATE=201003&amp;PERIODTYPE=QTR_STD&amp;window=popup_no_bar&amp;width=385&amp;height=120&amp;START_MAXIMIZED=FALSE&amp;creator=factset&amp;display_string=Audit"}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localSheetId="1" hidden="1">{"fdsup://Directions/FactSet Auditing Viewer?action=AUDIT_VALUE&amp;DB=129&amp;ID1=26157010&amp;VALUEID=02101&amp;SDATE=201003&amp;PERIODTYPE=QTR_STD&amp;window=popup_no_bar&amp;width=385&amp;height=120&amp;START_MAXIMIZED=FALSE&amp;creator=factset&amp;display_string=Audit"}</definedName>
    <definedName name="_2735__FDSAUDITLINK__" localSheetId="20" hidden="1">{"fdsup://Directions/FactSet Auditing Viewer?action=AUDIT_VALUE&amp;DB=129&amp;ID1=26157010&amp;VALUEID=02101&amp;SDATE=201003&amp;PERIODTYPE=QTR_STD&amp;window=popup_no_bar&amp;width=385&amp;height=120&amp;START_MAXIMIZED=FALSE&amp;creator=factset&amp;display_string=Audit"}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localSheetId="1"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6__FDSAUDITLINK__" localSheetId="20"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localSheetId="1"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7__FDSAUDITLINK__" localSheetId="20"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localSheetId="1"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8__FDSAUDITLINK__" localSheetId="20"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localSheetId="1"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39__FDSAUDITLINK__" localSheetId="20"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274__FDSAUDITLINK__" localSheetId="20" hidden="1">{"fdsup://Directions/FactSet Auditing Viewer?action=AUDIT_VALUE&amp;DB=129&amp;ID1=00786510&amp;VALUEID=02101&amp;SDATE=200701&amp;PERIODTYPE=QTR_STD&amp;window=popup_no_bar&amp;width=385&amp;height=120&amp;START_MAXIMIZED=FALSE&amp;creator=factset&amp;display_string=Audit"}</definedName>
    <definedName name="_274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740__FDSAUDITLINK__" localSheetId="1"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0__FDSAUDITLINK__" localSheetId="20"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localSheetId="1"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1__FDSAUDITLINK__" localSheetId="20"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localSheetId="1"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2__FDSAUDITLINK__" localSheetId="20"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localSheetId="1"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3__FDSAUDITLINK__" localSheetId="20"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localSheetId="1"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4__FDSAUDITLINK__" localSheetId="20"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localSheetId="1"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5__FDSAUDITLINK__" localSheetId="20"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localSheetId="1"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6__FDSAUDITLINK__" localSheetId="20"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localSheetId="1"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7__FDSAUDITLINK__" localSheetId="20"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localSheetId="1"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8__FDSAUDITLINK__" localSheetId="20"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localSheetId="1"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49__FDSAUDITLINK__" localSheetId="20"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275__FDSAUDITLINK__" localSheetId="20" hidden="1">{"fdsup://Directions/FactSet Auditing Viewer?action=AUDIT_VALUE&amp;DB=129&amp;ID1=00786510&amp;VALUEID=01001&amp;SDATE=200701&amp;PERIODTYPE=QTR_STD&amp;window=popup_no_bar&amp;width=385&amp;height=120&amp;START_MAXIMIZED=FALSE&amp;creator=factset&amp;display_string=Audit"}</definedName>
    <definedName name="_275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750__FDSAUDITLINK__" localSheetId="1"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0__FDSAUDITLINK__" localSheetId="20"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localSheetId="1"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1__FDSAUDITLINK__" localSheetId="20"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localSheetId="1"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2__FDSAUDITLINK__" localSheetId="20"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localSheetId="1"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3__FDSAUDITLINK__" localSheetId="20"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localSheetId="1"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4__FDSAUDITLINK__" localSheetId="20"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localSheetId="1"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5__FDSAUDITLINK__" localSheetId="20"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localSheetId="1"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6__FDSAUDITLINK__" localSheetId="20"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localSheetId="1"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7__FDSAUDITLINK__" localSheetId="20"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localSheetId="1"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8__FDSAUDITLINK__" localSheetId="20"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localSheetId="1"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59__FDSAUDITLINK__" localSheetId="20"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276__FDSAUDITLINK__" localSheetId="20" hidden="1">{"fdsup://Directions/FactSet Auditing Viewer?action=AUDIT_VALUE&amp;DB=129&amp;ID1=00786510&amp;VALUEID=13040&amp;SDATE=200701&amp;PERIODTYPE=QTR_STD&amp;window=popup_no_bar&amp;width=385&amp;height=120&amp;START_MAXIMIZED=FALSE&amp;creator=factset&amp;display_string=Audit"}</definedName>
    <definedName name="_276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760__FDSAUDITLINK__" localSheetId="1"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0__FDSAUDITLINK__" localSheetId="20"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localSheetId="1"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1__FDSAUDITLINK__" localSheetId="20"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localSheetId="1"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2__FDSAUDITLINK__" localSheetId="20"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localSheetId="1"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3__FDSAUDITLINK__" localSheetId="20"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localSheetId="1"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4__FDSAUDITLINK__" localSheetId="20"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localSheetId="1"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5__FDSAUDITLINK__" localSheetId="20"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localSheetId="1"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6__FDSAUDITLINK__" localSheetId="20"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localSheetId="1"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7__FDSAUDITLINK__" localSheetId="20"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localSheetId="1"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8__FDSAUDITLINK__" localSheetId="20"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localSheetId="1"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69__FDSAUDITLINK__" localSheetId="20"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277__FDSAUDITLINK__" localSheetId="20" hidden="1">{"fdsup://Directions/FactSet Auditing Viewer?action=AUDIT_VALUE&amp;DB=129&amp;ID1=00289620&amp;VALUEID=02101&amp;SDATE=200701&amp;PERIODTYPE=QTR_STD&amp;window=popup_no_bar&amp;width=385&amp;height=120&amp;START_MAXIMIZED=FALSE&amp;creator=factset&amp;display_string=Audit"}</definedName>
    <definedName name="_277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770__FDSAUDITLINK__" localSheetId="1"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0__FDSAUDITLINK__" localSheetId="20"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localSheetId="1"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1__FDSAUDITLINK__" localSheetId="20"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localSheetId="1"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2__FDSAUDITLINK__" localSheetId="20"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localSheetId="1"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3__FDSAUDITLINK__" localSheetId="20"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localSheetId="1"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4__FDSAUDITLINK__" localSheetId="20"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localSheetId="1"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5__FDSAUDITLINK__" localSheetId="20"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localSheetId="1"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6__FDSAUDITLINK__" localSheetId="20"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localSheetId="1"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7__FDSAUDITLINK__" localSheetId="20"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localSheetId="1"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8__FDSAUDITLINK__" localSheetId="20"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localSheetId="1"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79__FDSAUDITLINK__" localSheetId="20"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278__FDSAUDITLINK__" localSheetId="20" hidden="1">{"fdsup://Directions/FactSet Auditing Viewer?action=AUDIT_VALUE&amp;DB=129&amp;ID1=00289620&amp;VALUEID=01001&amp;SDATE=200701&amp;PERIODTYPE=QTR_STD&amp;window=popup_no_bar&amp;width=385&amp;height=120&amp;START_MAXIMIZED=FALSE&amp;creator=factset&amp;display_string=Audit"}</definedName>
    <definedName name="_278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780__FDSAUDITLINK__" localSheetId="1"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0__FDSAUDITLINK__" localSheetId="20"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localSheetId="1"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localSheetId="20"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localSheetId="1"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2__FDSAUDITLINK__" localSheetId="20"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localSheetId="1"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83__FDSAUDITLINK__" localSheetId="20"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279__FDSAUDITLINK__" localSheetId="20" hidden="1">{"fdsup://Directions/FactSet Auditing Viewer?action=AUDIT_VALUE&amp;DB=129&amp;ID1=00289620&amp;VALUEID=13040&amp;SDATE=200701&amp;PERIODTYPE=QTR_STD&amp;window=popup_no_bar&amp;width=385&amp;height=120&amp;START_MAXIMIZED=FALSE&amp;creator=factset&amp;display_string=Audit"}</definedName>
    <definedName name="_279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8__FDSAUDITLINK__" localSheetId="1" hidden="1">{"fdsup://directions/FAT Viewer?action=UPDATE&amp;creator=factset&amp;DYN_ARGS=TRUE&amp;DOC_NAME=FAT:FQL_AUDITING_CLIENT_TEMPLATE.FAT&amp;display_string=Audit&amp;VAR:KEY=RYDQJSXWTA&amp;VAR:QUERY=RkZfU0FMRVMoTFRNUyw0MDg2MSwsLCxVU0Qp&amp;WINDOW=FIRST_POPUP&amp;HEIGHT=450&amp;WIDTH=450&amp;START_MA","XIMIZED=FALSE&amp;VAR:CALENDAR=US&amp;VAR:SYMBOL=TJX&amp;VAR:INDEX=0"}</definedName>
    <definedName name="_28__FDSAUDITLINK__" localSheetId="20" hidden="1">{"fdsup://Directions/FactSet Auditing Viewer?action=AUDIT_VALUE&amp;DB=129&amp;ID1=02553E10&amp;VALUEID=01001&amp;SDATE=200904&amp;PERIODTYPE=QTR_STD&amp;window=popup_no_bar&amp;width=385&amp;height=120&amp;START_MAXIMIZED=FALSE&amp;creator=factset&amp;display_string=Audit"}</definedName>
    <definedName name="_28__FDSAUDITLINK__" hidden="1">{"fdsup://directions/FAT Viewer?action=UPDATE&amp;creator=factset&amp;DYN_ARGS=TRUE&amp;DOC_NAME=FAT:FQL_AUDITING_CLIENT_TEMPLATE.FAT&amp;display_string=Audit&amp;VAR:KEY=RYDQJSXWTA&amp;VAR:QUERY=RkZfU0FMRVMoTFRNUyw0MDg2MSwsLCxVU0Qp&amp;WINDOW=FIRST_POPUP&amp;HEIGHT=450&amp;WIDTH=450&amp;START_MA","XIMIZED=FALSE&amp;VAR:CALENDAR=US&amp;VAR:SYMBOL=TJX&amp;VAR:INDEX=0"}</definedName>
    <definedName name="_280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280__FDSAUDITLINK__" localSheetId="20" hidden="1">{"fdsup://Directions/FactSet Auditing Viewer?action=AUDIT_VALUE&amp;DB=129&amp;ID1=87416110&amp;VALUEID=01001&amp;SDATE=200604&amp;PERIODTYPE=QTR_STD&amp;window=popup_no_bar&amp;width=385&amp;height=120&amp;START_MAXIMIZED=FALSE&amp;creator=factset&amp;display_string=Audit"}</definedName>
    <definedName name="_280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81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281__FDSAUDITLINK__" localSheetId="20" hidden="1">{"fdsup://Directions/FactSet Auditing Viewer?action=AUDIT_VALUE&amp;DB=129&amp;ID1=46612H40&amp;VALUEID=01001&amp;SDATE=200604&amp;PERIODTYPE=QTR_STD&amp;window=popup_no_bar&amp;width=385&amp;height=120&amp;START_MAXIMIZED=FALSE&amp;creator=factset&amp;display_string=Audit"}</definedName>
    <definedName name="_281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82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282__FDSAUDITLINK__" localSheetId="20" hidden="1">{"fdsup://Directions/FactSet Auditing Viewer?action=AUDIT_VALUE&amp;DB=129&amp;ID1=36476010&amp;VALUEID=01001&amp;SDATE=200604&amp;PERIODTYPE=QTR_STD&amp;window=popup_no_bar&amp;width=385&amp;height=120&amp;START_MAXIMIZED=FALSE&amp;creator=factset&amp;display_string=Audit"}</definedName>
    <definedName name="_282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83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283__FDSAUDITLINK__" localSheetId="20" hidden="1">{"fdsup://Directions/FactSet Auditing Viewer?action=AUDIT_VALUE&amp;DB=129&amp;ID1=03611510&amp;VALUEID=01001&amp;SDATE=200604&amp;PERIODTYPE=QTR_STD&amp;window=popup_no_bar&amp;width=385&amp;height=120&amp;START_MAXIMIZED=FALSE&amp;creator=factset&amp;display_string=Audit"}</definedName>
    <definedName name="_28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84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284__FDSAUDITLINK__" localSheetId="20" hidden="1">{"fdsup://Directions/FactSet Auditing Viewer?action=AUDIT_VALUE&amp;DB=129&amp;ID1=16890510&amp;VALUEID=01001&amp;SDATE=200604&amp;PERIODTYPE=QTR_STD&amp;window=popup_no_bar&amp;width=385&amp;height=120&amp;START_MAXIMIZED=FALSE&amp;creator=factset&amp;display_string=Audit"}</definedName>
    <definedName name="_284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85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5__FDSAUDITLINK__" localSheetId="20"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5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6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286__FDSAUDITLINK__" localSheetId="20" hidden="1">{"fdsup://Directions/FactSet Auditing Viewer?action=AUDIT_VALUE&amp;DB=129&amp;ID1=00786510&amp;VALUEID=01001&amp;SDATE=200604&amp;PERIODTYPE=QTR_STD&amp;window=popup_no_bar&amp;width=385&amp;height=120&amp;START_MAXIMIZED=FALSE&amp;creator=factset&amp;display_string=Audit"}</definedName>
    <definedName name="_286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87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287__FDSAUDITLINK__" localSheetId="20" hidden="1">{"fdsup://Directions/FactSet Auditing Viewer?action=AUDIT_VALUE&amp;DB=129&amp;ID1=87416110&amp;VALUEID=02101&amp;SDATE=200603&amp;PERIODTYPE=QTR_STD&amp;window=popup_no_bar&amp;width=385&amp;height=120&amp;START_MAXIMIZED=FALSE&amp;creator=factset&amp;display_string=Audit"}</definedName>
    <definedName name="_287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88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288__FDSAUDITLINK__" localSheetId="20" hidden="1">{"fdsup://Directions/FactSet Auditing Viewer?action=AUDIT_VALUE&amp;DB=129&amp;ID1=87416110&amp;VALUEID=01001&amp;SDATE=200603&amp;PERIODTYPE=QTR_STD&amp;window=popup_no_bar&amp;width=385&amp;height=120&amp;START_MAXIMIZED=FALSE&amp;creator=factset&amp;display_string=Audit"}</definedName>
    <definedName name="_288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89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289__FDSAUDITLINK__" localSheetId="20" hidden="1">{"fdsup://Directions/FactSet Auditing Viewer?action=AUDIT_VALUE&amp;DB=129&amp;ID1=53271610&amp;VALUEID=02101&amp;SDATE=200603&amp;PERIODTYPE=QTR_STD&amp;window=popup_no_bar&amp;width=385&amp;height=120&amp;START_MAXIMIZED=FALSE&amp;creator=factset&amp;display_string=Audit"}</definedName>
    <definedName name="_289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9__FDSAUDITLINK__" localSheetId="1" hidden="1">{"fdsup://directions/FAT Viewer?action=UPDATE&amp;creator=factset&amp;DYN_ARGS=TRUE&amp;DOC_NAME=FAT:FQL_AUDITING_CLIENT_TEMPLATE.FAT&amp;display_string=Audit&amp;VAR:KEY=DSTWTOPADW&amp;VAR:QUERY=RkZfU0FMRVMoTFRNUyw0MDg2MSwsLCxVU0Qp&amp;WINDOW=FIRST_POPUP&amp;HEIGHT=450&amp;WIDTH=450&amp;START_MA","XIMIZED=FALSE&amp;VAR:CALENDAR=US&amp;VAR:SYMBOL=ROST&amp;VAR:INDEX=0"}</definedName>
    <definedName name="_29__FDSAUDITLINK__" localSheetId="20" hidden="1">{"fdsup://Directions/FactSet Auditing Viewer?action=AUDIT_VALUE&amp;DB=129&amp;ID1=00786510&amp;VALUEID=01001&amp;SDATE=200904&amp;PERIODTYPE=QTR_STD&amp;window=popup_no_bar&amp;width=385&amp;height=120&amp;START_MAXIMIZED=FALSE&amp;creator=factset&amp;display_string=Audit"}</definedName>
    <definedName name="_29__FDSAUDITLINK__" hidden="1">{"fdsup://directions/FAT Viewer?action=UPDATE&amp;creator=factset&amp;DYN_ARGS=TRUE&amp;DOC_NAME=FAT:FQL_AUDITING_CLIENT_TEMPLATE.FAT&amp;display_string=Audit&amp;VAR:KEY=DSTWTOPADW&amp;VAR:QUERY=RkZfU0FMRVMoTFRNUyw0MDg2MSwsLCxVU0Qp&amp;WINDOW=FIRST_POPUP&amp;HEIGHT=450&amp;WIDTH=450&amp;START_MA","XIMIZED=FALSE&amp;VAR:CALENDAR=US&amp;VAR:SYMBOL=ROST&amp;VAR:INDEX=0"}</definedName>
    <definedName name="_290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290__FDSAUDITLINK__" localSheetId="20" hidden="1">{"fdsup://Directions/FactSet Auditing Viewer?action=AUDIT_VALUE&amp;DB=129&amp;ID1=53271610&amp;VALUEID=01001&amp;SDATE=200603&amp;PERIODTYPE=QTR_STD&amp;window=popup_no_bar&amp;width=385&amp;height=120&amp;START_MAXIMIZED=FALSE&amp;creator=factset&amp;display_string=Audit"}</definedName>
    <definedName name="_290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91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291__FDSAUDITLINK__" localSheetId="20" hidden="1">{"fdsup://Directions/FactSet Auditing Viewer?action=AUDIT_VALUE&amp;DB=129&amp;ID1=53271610&amp;VALUEID=13040&amp;SDATE=200603&amp;PERIODTYPE=QTR_STD&amp;window=popup_no_bar&amp;width=385&amp;height=120&amp;START_MAXIMIZED=FALSE&amp;creator=factset&amp;display_string=Audit"}</definedName>
    <definedName name="_291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92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292__FDSAUDITLINK__" localSheetId="20" hidden="1">{"fdsup://Directions/FactSet Auditing Viewer?action=AUDIT_VALUE&amp;DB=129&amp;ID1=46612H40&amp;VALUEID=02101&amp;SDATE=200603&amp;PERIODTYPE=QTR_STD&amp;window=popup_no_bar&amp;width=385&amp;height=120&amp;START_MAXIMIZED=FALSE&amp;creator=factset&amp;display_string=Audit"}</definedName>
    <definedName name="_292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93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293__FDSAUDITLINK__" localSheetId="20" hidden="1">{"fdsup://Directions/FactSet Auditing Viewer?action=AUDIT_VALUE&amp;DB=129&amp;ID1=46612H40&amp;VALUEID=01001&amp;SDATE=200603&amp;PERIODTYPE=QTR_STD&amp;window=popup_no_bar&amp;width=385&amp;height=120&amp;START_MAXIMIZED=FALSE&amp;creator=factset&amp;display_string=Audit"}</definedName>
    <definedName name="_293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94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294__FDSAUDITLINK__" localSheetId="20" hidden="1">{"fdsup://Directions/FactSet Auditing Viewer?action=AUDIT_VALUE&amp;DB=129&amp;ID1=46612H40&amp;VALUEID=13040&amp;SDATE=200603&amp;PERIODTYPE=QTR_STD&amp;window=popup_no_bar&amp;width=385&amp;height=120&amp;START_MAXIMIZED=FALSE&amp;creator=factset&amp;display_string=Audit"}</definedName>
    <definedName name="_294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95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295__FDSAUDITLINK__" localSheetId="20" hidden="1">{"fdsup://Directions/FactSet Auditing Viewer?action=AUDIT_VALUE&amp;DB=129&amp;ID1=36476010&amp;VALUEID=02101&amp;SDATE=200603&amp;PERIODTYPE=QTR_STD&amp;window=popup_no_bar&amp;width=385&amp;height=120&amp;START_MAXIMIZED=FALSE&amp;creator=factset&amp;display_string=Audit"}</definedName>
    <definedName name="_295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96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296__FDSAUDITLINK__" localSheetId="20" hidden="1">{"fdsup://Directions/FactSet Auditing Viewer?action=AUDIT_VALUE&amp;DB=129&amp;ID1=36476010&amp;VALUEID=01001&amp;SDATE=200603&amp;PERIODTYPE=QTR_STD&amp;window=popup_no_bar&amp;width=385&amp;height=120&amp;START_MAXIMIZED=FALSE&amp;creator=factset&amp;display_string=Audit"}</definedName>
    <definedName name="_296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97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297__FDSAUDITLINK__" localSheetId="20" hidden="1">{"fdsup://Directions/FactSet Auditing Viewer?action=AUDIT_VALUE&amp;DB=129&amp;ID1=36476010&amp;VALUEID=13040&amp;SDATE=200603&amp;PERIODTYPE=QTR_STD&amp;window=popup_no_bar&amp;width=385&amp;height=120&amp;START_MAXIMIZED=FALSE&amp;creator=factset&amp;display_string=Audit"}</definedName>
    <definedName name="_297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98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298__FDSAUDITLINK__" localSheetId="20" hidden="1">{"fdsup://Directions/FactSet Auditing Viewer?action=AUDIT_VALUE&amp;DB=129&amp;ID1=03611510&amp;VALUEID=02101&amp;SDATE=200603&amp;PERIODTYPE=QTR_STD&amp;window=popup_no_bar&amp;width=385&amp;height=120&amp;START_MAXIMIZED=FALSE&amp;creator=factset&amp;display_string=Audit"}</definedName>
    <definedName name="_298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99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299__FDSAUDITLINK__" localSheetId="20" hidden="1">{"fdsup://Directions/FactSet Auditing Viewer?action=AUDIT_VALUE&amp;DB=129&amp;ID1=03611510&amp;VALUEID=01001&amp;SDATE=200603&amp;PERIODTYPE=QTR_STD&amp;window=popup_no_bar&amp;width=385&amp;height=120&amp;START_MAXIMIZED=FALSE&amp;creator=factset&amp;display_string=Audit"}</definedName>
    <definedName name="_299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3__FDSAUDITLINK__" localSheetId="1" hidden="1">{"fdsup://directions/FAT Viewer?action=UPDATE&amp;creator=factset&amp;DYN_ARGS=TRUE&amp;DOC_NAME=FAT:FQL_AUDITING_CLIENT_TEMPLATE.FAT&amp;display_string=Audit&amp;VAR:KEY=IDSTYTYJIX&amp;VAR:QUERY=RkZfRU5UUlBSX1ZBTF9FQklUREFfT1BFUihBTk4sMCk=&amp;WINDOW=FIRST_POPUP&amp;HEIGHT=450&amp;WIDTH=450&amp;","START_MAXIMIZED=FALSE&amp;VAR:CALENDAR=FIVEDAY&amp;VAR:SYMBOL=TJX&amp;VAR:INDEX=0"}</definedName>
    <definedName name="_3__FDSAUDITLINK__" localSheetId="20"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3__FDSAUDITLINK__" hidden="1">{"fdsup://directions/FAT Viewer?action=UPDATE&amp;creator=factset&amp;DYN_ARGS=TRUE&amp;DOC_NAME=FAT:FQL_AUDITING_CLIENT_TEMPLATE.FAT&amp;display_string=Audit&amp;VAR:KEY=IDSTYTYJIX&amp;VAR:QUERY=RkZfRU5UUlBSX1ZBTF9FQklUREFfT1BFUihBTk4sMCk=&amp;WINDOW=FIRST_POPUP&amp;HEIGHT=450&amp;WIDTH=450&amp;","START_MAXIMIZED=FALSE&amp;VAR:CALENDAR=FIVEDAY&amp;VAR:SYMBOL=TJX&amp;VAR:INDEX=0"}</definedName>
    <definedName name="_30__FDSAUDITLINK__" localSheetId="1" hidden="1">{"fdsup://directions/FAT Viewer?action=UPDATE&amp;creator=factset&amp;DYN_ARGS=TRUE&amp;DOC_NAME=FAT:FQL_AUDITING_CLIENT_TEMPLATE.FAT&amp;display_string=Audit&amp;VAR:KEY=FYHEVIRGNQ&amp;VAR:QUERY=RkZfU0FMRVMoTFRNUyw0MDg2MSwsLCxVU0Qp&amp;WINDOW=FIRST_POPUP&amp;HEIGHT=450&amp;WIDTH=450&amp;START_MA","XIMIZED=FALSE&amp;VAR:CALENDAR=US&amp;VAR:SYMBOL=URBN&amp;VAR:INDEX=0"}</definedName>
    <definedName name="_30__FDSAUDITLINK__" localSheetId="20" hidden="1">{"fdsup://Directions/FactSet Auditing Viewer?action=AUDIT_VALUE&amp;DB=129&amp;ID1=87416110&amp;VALUEID=02101&amp;SDATE=200903&amp;PERIODTYPE=QTR_STD&amp;window=popup_no_bar&amp;width=385&amp;height=120&amp;START_MAXIMIZED=FALSE&amp;creator=factset&amp;display_string=Audit"}</definedName>
    <definedName name="_30__FDSAUDITLINK__" hidden="1">{"fdsup://directions/FAT Viewer?action=UPDATE&amp;creator=factset&amp;DYN_ARGS=TRUE&amp;DOC_NAME=FAT:FQL_AUDITING_CLIENT_TEMPLATE.FAT&amp;display_string=Audit&amp;VAR:KEY=FYHEVIRGNQ&amp;VAR:QUERY=RkZfU0FMRVMoTFRNUyw0MDg2MSwsLCxVU0Qp&amp;WINDOW=FIRST_POPUP&amp;HEIGHT=450&amp;WIDTH=450&amp;START_MA","XIMIZED=FALSE&amp;VAR:CALENDAR=US&amp;VAR:SYMBOL=URBN&amp;VAR:INDEX=0"}</definedName>
    <definedName name="_300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300__FDSAUDITLINK__" localSheetId="20" hidden="1">{"fdsup://Directions/FactSet Auditing Viewer?action=AUDIT_VALUE&amp;DB=129&amp;ID1=03611510&amp;VALUEID=13040&amp;SDATE=200603&amp;PERIODTYPE=QTR_STD&amp;window=popup_no_bar&amp;width=385&amp;height=120&amp;START_MAXIMIZED=FALSE&amp;creator=factset&amp;display_string=Audit"}</definedName>
    <definedName name="_30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301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301__FDSAUDITLINK__" localSheetId="20" hidden="1">{"fdsup://Directions/FactSet Auditing Viewer?action=AUDIT_VALUE&amp;DB=129&amp;ID1=16890510&amp;VALUEID=02101&amp;SDATE=200603&amp;PERIODTYPE=QTR_STD&amp;window=popup_no_bar&amp;width=385&amp;height=120&amp;START_MAXIMIZED=FALSE&amp;creator=factset&amp;display_string=Audit"}</definedName>
    <definedName name="_301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302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302__FDSAUDITLINK__" localSheetId="20" hidden="1">{"fdsup://Directions/FactSet Auditing Viewer?action=AUDIT_VALUE&amp;DB=129&amp;ID1=16890510&amp;VALUEID=01001&amp;SDATE=200603&amp;PERIODTYPE=QTR_STD&amp;window=popup_no_bar&amp;width=385&amp;height=120&amp;START_MAXIMIZED=FALSE&amp;creator=factset&amp;display_string=Audit"}</definedName>
    <definedName name="_302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303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303__FDSAUDITLINK__" localSheetId="20" hidden="1">{"fdsup://Directions/FactSet Auditing Viewer?action=AUDIT_VALUE&amp;DB=129&amp;ID1=91704710&amp;VALUEID=02101&amp;SDATE=200603&amp;PERIODTYPE=QTR_STD&amp;window=popup_no_bar&amp;width=385&amp;height=120&amp;START_MAXIMIZED=FALSE&amp;creator=factset&amp;display_string=Audit"}</definedName>
    <definedName name="_303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304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304__FDSAUDITLINK__" localSheetId="20" hidden="1">{"fdsup://Directions/FactSet Auditing Viewer?action=AUDIT_VALUE&amp;DB=129&amp;ID1=91704710&amp;VALUEID=01001&amp;SDATE=200603&amp;PERIODTYPE=QTR_STD&amp;window=popup_no_bar&amp;width=385&amp;height=120&amp;START_MAXIMIZED=FALSE&amp;creator=factset&amp;display_string=Audit"}</definedName>
    <definedName name="_304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305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305__FDSAUDITLINK__" localSheetId="20" hidden="1">{"fdsup://Directions/FactSet Auditing Viewer?action=AUDIT_VALUE&amp;DB=129&amp;ID1=91704710&amp;VALUEID=13040&amp;SDATE=200603&amp;PERIODTYPE=QTR_STD&amp;window=popup_no_bar&amp;width=385&amp;height=120&amp;START_MAXIMIZED=FALSE&amp;creator=factset&amp;display_string=Audit"}</definedName>
    <definedName name="_305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306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6__FDSAUDITLINK__" localSheetId="20"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6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7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307__FDSAUDITLINK__" localSheetId="20" hidden="1">{"fdsup://Directions/FactSet Auditing Viewer?action=AUDIT_VALUE&amp;DB=129&amp;ID1=00786510&amp;VALUEID=02101&amp;SDATE=200603&amp;PERIODTYPE=QTR_STD&amp;window=popup_no_bar&amp;width=385&amp;height=120&amp;START_MAXIMIZED=FALSE&amp;creator=factset&amp;display_string=Audit"}</definedName>
    <definedName name="_307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308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308__FDSAUDITLINK__" localSheetId="20" hidden="1">{"fdsup://Directions/FactSet Auditing Viewer?action=AUDIT_VALUE&amp;DB=129&amp;ID1=00786510&amp;VALUEID=01001&amp;SDATE=200603&amp;PERIODTYPE=QTR_STD&amp;window=popup_no_bar&amp;width=385&amp;height=120&amp;START_MAXIMIZED=FALSE&amp;creator=factset&amp;display_string=Audit"}</definedName>
    <definedName name="_308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309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309__FDSAUDITLINK__" localSheetId="20" hidden="1">{"fdsup://Directions/FactSet Auditing Viewer?action=AUDIT_VALUE&amp;DB=129&amp;ID1=00786510&amp;VALUEID=13040&amp;SDATE=200603&amp;PERIODTYPE=QTR_STD&amp;window=popup_no_bar&amp;width=385&amp;height=120&amp;START_MAXIMIZED=FALSE&amp;creator=factset&amp;display_string=Audit"}</definedName>
    <definedName name="_309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31__FDSAUDITLINK__" localSheetId="1" hidden="1">{"fdsup://directions/FAT Viewer?action=UPDATE&amp;creator=factset&amp;DYN_ARGS=TRUE&amp;DOC_NAME=FAT:FQL_AUDITING_CLIENT_TEMPLATE.FAT&amp;display_string=Audit&amp;VAR:KEY=BYRGDILCJS&amp;VAR:QUERY=RkZfU0FMRVMoTFRNUyw0MDg2MSwsLCxVU0Qp&amp;WINDOW=FIRST_POPUP&amp;HEIGHT=450&amp;WIDTH=450&amp;START_MA","XIMIZED=FALSE&amp;VAR:CALENDAR=US&amp;VAR:SYMBOL=SKUL&amp;VAR:INDEX=0"}</definedName>
    <definedName name="_31__FDSAUDITLINK__" localSheetId="20" hidden="1">{"fdsup://Directions/FactSet Auditing Viewer?action=AUDIT_VALUE&amp;DB=129&amp;ID1=87416110&amp;VALUEID=01001&amp;SDATE=200903&amp;PERIODTYPE=QTR_STD&amp;window=popup_no_bar&amp;width=385&amp;height=120&amp;START_MAXIMIZED=FALSE&amp;creator=factset&amp;display_string=Audit"}</definedName>
    <definedName name="_31__FDSAUDITLINK__" hidden="1">{"fdsup://directions/FAT Viewer?action=UPDATE&amp;creator=factset&amp;DYN_ARGS=TRUE&amp;DOC_NAME=FAT:FQL_AUDITING_CLIENT_TEMPLATE.FAT&amp;display_string=Audit&amp;VAR:KEY=BYRGDILCJS&amp;VAR:QUERY=RkZfU0FMRVMoTFRNUyw0MDg2MSwsLCxVU0Qp&amp;WINDOW=FIRST_POPUP&amp;HEIGHT=450&amp;WIDTH=450&amp;START_MA","XIMIZED=FALSE&amp;VAR:CALENDAR=US&amp;VAR:SYMBOL=SKUL&amp;VAR:INDEX=0"}</definedName>
    <definedName name="_310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310__FDSAUDITLINK__" localSheetId="20" hidden="1">{"fdsup://Directions/FactSet Auditing Viewer?action=AUDIT_VALUE&amp;DB=129&amp;ID1=00289620&amp;VALUEID=02101&amp;SDATE=200603&amp;PERIODTYPE=QTR_STD&amp;window=popup_no_bar&amp;width=385&amp;height=120&amp;START_MAXIMIZED=FALSE&amp;creator=factset&amp;display_string=Audit"}</definedName>
    <definedName name="_310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311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311__FDSAUDITLINK__" localSheetId="20" hidden="1">{"fdsup://Directions/FactSet Auditing Viewer?action=AUDIT_VALUE&amp;DB=129&amp;ID1=00289620&amp;VALUEID=01001&amp;SDATE=200603&amp;PERIODTYPE=QTR_STD&amp;window=popup_no_bar&amp;width=385&amp;height=120&amp;START_MAXIMIZED=FALSE&amp;creator=factset&amp;display_string=Audit"}</definedName>
    <definedName name="_311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312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312__FDSAUDITLINK__" localSheetId="20" hidden="1">{"fdsup://Directions/FactSet Auditing Viewer?action=AUDIT_VALUE&amp;DB=129&amp;ID1=00289620&amp;VALUEID=13040&amp;SDATE=200603&amp;PERIODTYPE=QTR_STD&amp;window=popup_no_bar&amp;width=385&amp;height=120&amp;START_MAXIMIZED=FALSE&amp;creator=factset&amp;display_string=Audit"}</definedName>
    <definedName name="_312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313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313__FDSAUDITLINK__" localSheetId="20" hidden="1">{"fdsup://Directions/FactSet Auditing Viewer?action=AUDIT_VALUE&amp;DB=129&amp;ID1=87416110&amp;VALUEID=02101&amp;SDATE=200602&amp;PERIODTYPE=QTR_STD&amp;window=popup_no_bar&amp;width=385&amp;height=120&amp;START_MAXIMIZED=FALSE&amp;creator=factset&amp;display_string=Audit"}</definedName>
    <definedName name="_313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314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314__FDSAUDITLINK__" localSheetId="20" hidden="1">{"fdsup://Directions/FactSet Auditing Viewer?action=AUDIT_VALUE&amp;DB=129&amp;ID1=87416110&amp;VALUEID=01001&amp;SDATE=200602&amp;PERIODTYPE=QTR_STD&amp;window=popup_no_bar&amp;width=385&amp;height=120&amp;START_MAXIMIZED=FALSE&amp;creator=factset&amp;display_string=Audit"}</definedName>
    <definedName name="_314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315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315__FDSAUDITLINK__" localSheetId="20" hidden="1">{"fdsup://Directions/FactSet Auditing Viewer?action=AUDIT_VALUE&amp;DB=129&amp;ID1=53271610&amp;VALUEID=02101&amp;SDATE=200602&amp;PERIODTYPE=QTR_STD&amp;window=popup_no_bar&amp;width=385&amp;height=120&amp;START_MAXIMIZED=FALSE&amp;creator=factset&amp;display_string=Audit"}</definedName>
    <definedName name="_315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316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316__FDSAUDITLINK__" localSheetId="20" hidden="1">{"fdsup://Directions/FactSet Auditing Viewer?action=AUDIT_VALUE&amp;DB=129&amp;ID1=53271610&amp;VALUEID=01001&amp;SDATE=200602&amp;PERIODTYPE=QTR_STD&amp;window=popup_no_bar&amp;width=385&amp;height=120&amp;START_MAXIMIZED=FALSE&amp;creator=factset&amp;display_string=Audit"}</definedName>
    <definedName name="_316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317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317__FDSAUDITLINK__" localSheetId="20" hidden="1">{"fdsup://Directions/FactSet Auditing Viewer?action=AUDIT_VALUE&amp;DB=129&amp;ID1=53271610&amp;VALUEID=13040&amp;SDATE=200602&amp;PERIODTYPE=QTR_STD&amp;window=popup_no_bar&amp;width=385&amp;height=120&amp;START_MAXIMIZED=FALSE&amp;creator=factset&amp;display_string=Audit"}</definedName>
    <definedName name="_317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318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318__FDSAUDITLINK__" localSheetId="20" hidden="1">{"fdsup://Directions/FactSet Auditing Viewer?action=AUDIT_VALUE&amp;DB=129&amp;ID1=46612H40&amp;VALUEID=02101&amp;SDATE=200602&amp;PERIODTYPE=QTR_STD&amp;window=popup_no_bar&amp;width=385&amp;height=120&amp;START_MAXIMIZED=FALSE&amp;creator=factset&amp;display_string=Audit"}</definedName>
    <definedName name="_318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319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319__FDSAUDITLINK__" localSheetId="20" hidden="1">{"fdsup://Directions/FactSet Auditing Viewer?action=AUDIT_VALUE&amp;DB=129&amp;ID1=46612H40&amp;VALUEID=01001&amp;SDATE=200602&amp;PERIODTYPE=QTR_STD&amp;window=popup_no_bar&amp;width=385&amp;height=120&amp;START_MAXIMIZED=FALSE&amp;creator=factset&amp;display_string=Audit"}</definedName>
    <definedName name="_319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32__FDSAUDITLINK__" localSheetId="1" hidden="1">{"fdsup://directions/FAT Viewer?action=UPDATE&amp;creator=factset&amp;DYN_ARGS=TRUE&amp;DOC_NAME=FAT:FQL_AUDITING_CLIENT_TEMPLATE.FAT&amp;display_string=Audit&amp;VAR:KEY=RGRYFUJAHI&amp;VAR:QUERY=RkZfU0FMRVMoTFRNUyw0MDg2MSwsLCxVU0Qp&amp;WINDOW=FIRST_POPUP&amp;HEIGHT=450&amp;WIDTH=450&amp;START_MA","XIMIZED=FALSE&amp;VAR:CALENDAR=US&amp;VAR:SYMBOL=PLCE&amp;VAR:INDEX=0"}</definedName>
    <definedName name="_32__FDSAUDITLINK__" localSheetId="20" hidden="1">{"fdsup://Directions/FactSet Auditing Viewer?action=AUDIT_VALUE&amp;DB=129&amp;ID1=87416110&amp;VALUEID=13040&amp;SDATE=200903&amp;PERIODTYPE=QTR_STD&amp;window=popup_no_bar&amp;width=385&amp;height=120&amp;START_MAXIMIZED=FALSE&amp;creator=factset&amp;display_string=Audit"}</definedName>
    <definedName name="_32__FDSAUDITLINK__" hidden="1">{"fdsup://directions/FAT Viewer?action=UPDATE&amp;creator=factset&amp;DYN_ARGS=TRUE&amp;DOC_NAME=FAT:FQL_AUDITING_CLIENT_TEMPLATE.FAT&amp;display_string=Audit&amp;VAR:KEY=RGRYFUJAHI&amp;VAR:QUERY=RkZfU0FMRVMoTFRNUyw0MDg2MSwsLCxVU0Qp&amp;WINDOW=FIRST_POPUP&amp;HEIGHT=450&amp;WIDTH=450&amp;START_MA","XIMIZED=FALSE&amp;VAR:CALENDAR=US&amp;VAR:SYMBOL=PLCE&amp;VAR:INDEX=0"}</definedName>
    <definedName name="_320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320__FDSAUDITLINK__" localSheetId="20" hidden="1">{"fdsup://Directions/FactSet Auditing Viewer?action=AUDIT_VALUE&amp;DB=129&amp;ID1=46612H40&amp;VALUEID=13040&amp;SDATE=200602&amp;PERIODTYPE=QTR_STD&amp;window=popup_no_bar&amp;width=385&amp;height=120&amp;START_MAXIMIZED=FALSE&amp;creator=factset&amp;display_string=Audit"}</definedName>
    <definedName name="_320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321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321__FDSAUDITLINK__" localSheetId="20" hidden="1">{"fdsup://Directions/FactSet Auditing Viewer?action=AUDIT_VALUE&amp;DB=129&amp;ID1=36476010&amp;VALUEID=02101&amp;SDATE=200602&amp;PERIODTYPE=QTR_STD&amp;window=popup_no_bar&amp;width=385&amp;height=120&amp;START_MAXIMIZED=FALSE&amp;creator=factset&amp;display_string=Audit"}</definedName>
    <definedName name="_321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322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322__FDSAUDITLINK__" localSheetId="20" hidden="1">{"fdsup://Directions/FactSet Auditing Viewer?action=AUDIT_VALUE&amp;DB=129&amp;ID1=36476010&amp;VALUEID=01001&amp;SDATE=200602&amp;PERIODTYPE=QTR_STD&amp;window=popup_no_bar&amp;width=385&amp;height=120&amp;START_MAXIMIZED=FALSE&amp;creator=factset&amp;display_string=Audit"}</definedName>
    <definedName name="_322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323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323__FDSAUDITLINK__" localSheetId="20" hidden="1">{"fdsup://Directions/FactSet Auditing Viewer?action=AUDIT_VALUE&amp;DB=129&amp;ID1=36476010&amp;VALUEID=13040&amp;SDATE=200602&amp;PERIODTYPE=QTR_STD&amp;window=popup_no_bar&amp;width=385&amp;height=120&amp;START_MAXIMIZED=FALSE&amp;creator=factset&amp;display_string=Audit"}</definedName>
    <definedName name="_323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324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324__FDSAUDITLINK__" localSheetId="20" hidden="1">{"fdsup://Directions/FactSet Auditing Viewer?action=AUDIT_VALUE&amp;DB=129&amp;ID1=03611510&amp;VALUEID=02101&amp;SDATE=200602&amp;PERIODTYPE=QTR_STD&amp;window=popup_no_bar&amp;width=385&amp;height=120&amp;START_MAXIMIZED=FALSE&amp;creator=factset&amp;display_string=Audit"}</definedName>
    <definedName name="_324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325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325__FDSAUDITLINK__" localSheetId="20" hidden="1">{"fdsup://Directions/FactSet Auditing Viewer?action=AUDIT_VALUE&amp;DB=129&amp;ID1=03611510&amp;VALUEID=01001&amp;SDATE=200602&amp;PERIODTYPE=QTR_STD&amp;window=popup_no_bar&amp;width=385&amp;height=120&amp;START_MAXIMIZED=FALSE&amp;creator=factset&amp;display_string=Audit"}</definedName>
    <definedName name="_325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326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326__FDSAUDITLINK__" localSheetId="20" hidden="1">{"fdsup://Directions/FactSet Auditing Viewer?action=AUDIT_VALUE&amp;DB=129&amp;ID1=03611510&amp;VALUEID=13040&amp;SDATE=200602&amp;PERIODTYPE=QTR_STD&amp;window=popup_no_bar&amp;width=385&amp;height=120&amp;START_MAXIMIZED=FALSE&amp;creator=factset&amp;display_string=Audit"}</definedName>
    <definedName name="_326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327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327__FDSAUDITLINK__" localSheetId="20" hidden="1">{"fdsup://Directions/FactSet Auditing Viewer?action=AUDIT_VALUE&amp;DB=129&amp;ID1=16890510&amp;VALUEID=02101&amp;SDATE=200602&amp;PERIODTYPE=QTR_STD&amp;window=popup_no_bar&amp;width=385&amp;height=120&amp;START_MAXIMIZED=FALSE&amp;creator=factset&amp;display_string=Audit"}</definedName>
    <definedName name="_32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328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328__FDSAUDITLINK__" localSheetId="20" hidden="1">{"fdsup://Directions/FactSet Auditing Viewer?action=AUDIT_VALUE&amp;DB=129&amp;ID1=16890510&amp;VALUEID=01001&amp;SDATE=200602&amp;PERIODTYPE=QTR_STD&amp;window=popup_no_bar&amp;width=385&amp;height=120&amp;START_MAXIMIZED=FALSE&amp;creator=factset&amp;display_string=Audit"}</definedName>
    <definedName name="_328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329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329__FDSAUDITLINK__" localSheetId="20" hidden="1">{"fdsup://Directions/FactSet Auditing Viewer?action=AUDIT_VALUE&amp;DB=129&amp;ID1=91704710&amp;VALUEID=02101&amp;SDATE=200602&amp;PERIODTYPE=QTR_STD&amp;window=popup_no_bar&amp;width=385&amp;height=120&amp;START_MAXIMIZED=FALSE&amp;creator=factset&amp;display_string=Audit"}</definedName>
    <definedName name="_329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33__FDSAUDITLINK__" localSheetId="1" hidden="1">{"fdsup://directions/FAT Viewer?action=UPDATE&amp;creator=factset&amp;DYN_ARGS=TRUE&amp;DOC_NAME=FAT:FQL_AUDITING_CLIENT_TEMPLATE.FAT&amp;display_string=Audit&amp;VAR:KEY=FIXKRQPUBS&amp;VAR:QUERY=RkZfU0FMRVMoTFRNUyw0MDg2MSwsLCxVU0Qp&amp;WINDOW=FIRST_POPUP&amp;HEIGHT=450&amp;WIDTH=450&amp;START_MA","XIMIZED=FALSE&amp;VAR:CALENDAR=US&amp;VAR:SYMBOL=LTD&amp;VAR:INDEX=0"}</definedName>
    <definedName name="_33__FDSAUDITLINK__" localSheetId="20"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33__FDSAUDITLINK__" hidden="1">{"fdsup://directions/FAT Viewer?action=UPDATE&amp;creator=factset&amp;DYN_ARGS=TRUE&amp;DOC_NAME=FAT:FQL_AUDITING_CLIENT_TEMPLATE.FAT&amp;display_string=Audit&amp;VAR:KEY=FIXKRQPUBS&amp;VAR:QUERY=RkZfU0FMRVMoTFRNUyw0MDg2MSwsLCxVU0Qp&amp;WINDOW=FIRST_POPUP&amp;HEIGHT=450&amp;WIDTH=450&amp;START_MA","XIMIZED=FALSE&amp;VAR:CALENDAR=US&amp;VAR:SYMBOL=LTD&amp;VAR:INDEX=0"}</definedName>
    <definedName name="_330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330__FDSAUDITLINK__" localSheetId="20" hidden="1">{"fdsup://Directions/FactSet Auditing Viewer?action=AUDIT_VALUE&amp;DB=129&amp;ID1=91704710&amp;VALUEID=01001&amp;SDATE=200602&amp;PERIODTYPE=QTR_STD&amp;window=popup_no_bar&amp;width=385&amp;height=120&amp;START_MAXIMIZED=FALSE&amp;creator=factset&amp;display_string=Audit"}</definedName>
    <definedName name="_330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331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331__FDSAUDITLINK__" localSheetId="20" hidden="1">{"fdsup://Directions/FactSet Auditing Viewer?action=AUDIT_VALUE&amp;DB=129&amp;ID1=91704710&amp;VALUEID=13040&amp;SDATE=200602&amp;PERIODTYPE=QTR_STD&amp;window=popup_no_bar&amp;width=385&amp;height=120&amp;START_MAXIMIZED=FALSE&amp;creator=factset&amp;display_string=Audit"}</definedName>
    <definedName name="_331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332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2__FDSAUDITLINK__" localSheetId="20"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2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3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333__FDSAUDITLINK__" localSheetId="20" hidden="1">{"fdsup://Directions/FactSet Auditing Viewer?action=AUDIT_VALUE&amp;DB=129&amp;ID1=00786510&amp;VALUEID=02101&amp;SDATE=200602&amp;PERIODTYPE=QTR_STD&amp;window=popup_no_bar&amp;width=385&amp;height=120&amp;START_MAXIMIZED=FALSE&amp;creator=factset&amp;display_string=Audit"}</definedName>
    <definedName name="_333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334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334__FDSAUDITLINK__" localSheetId="20" hidden="1">{"fdsup://Directions/FactSet Auditing Viewer?action=AUDIT_VALUE&amp;DB=129&amp;ID1=00786510&amp;VALUEID=01001&amp;SDATE=200602&amp;PERIODTYPE=QTR_STD&amp;window=popup_no_bar&amp;width=385&amp;height=120&amp;START_MAXIMIZED=FALSE&amp;creator=factset&amp;display_string=Audit"}</definedName>
    <definedName name="_334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335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335__FDSAUDITLINK__" localSheetId="20" hidden="1">{"fdsup://Directions/FactSet Auditing Viewer?action=AUDIT_VALUE&amp;DB=129&amp;ID1=00786510&amp;VALUEID=13040&amp;SDATE=200602&amp;PERIODTYPE=QTR_STD&amp;window=popup_no_bar&amp;width=385&amp;height=120&amp;START_MAXIMIZED=FALSE&amp;creator=factset&amp;display_string=Audit"}</definedName>
    <definedName name="_335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336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336__FDSAUDITLINK__" localSheetId="20" hidden="1">{"fdsup://Directions/FactSet Auditing Viewer?action=AUDIT_VALUE&amp;DB=129&amp;ID1=00289620&amp;VALUEID=02101&amp;SDATE=200602&amp;PERIODTYPE=QTR_STD&amp;window=popup_no_bar&amp;width=385&amp;height=120&amp;START_MAXIMIZED=FALSE&amp;creator=factset&amp;display_string=Audit"}</definedName>
    <definedName name="_336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337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337__FDSAUDITLINK__" localSheetId="20" hidden="1">{"fdsup://Directions/FactSet Auditing Viewer?action=AUDIT_VALUE&amp;DB=129&amp;ID1=00289620&amp;VALUEID=01001&amp;SDATE=200602&amp;PERIODTYPE=QTR_STD&amp;window=popup_no_bar&amp;width=385&amp;height=120&amp;START_MAXIMIZED=FALSE&amp;creator=factset&amp;display_string=Audit"}</definedName>
    <definedName name="_337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338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338__FDSAUDITLINK__" localSheetId="20" hidden="1">{"fdsup://Directions/FactSet Auditing Viewer?action=AUDIT_VALUE&amp;DB=129&amp;ID1=00289620&amp;VALUEID=13040&amp;SDATE=200602&amp;PERIODTYPE=QTR_STD&amp;window=popup_no_bar&amp;width=385&amp;height=120&amp;START_MAXIMIZED=FALSE&amp;creator=factset&amp;display_string=Audit"}</definedName>
    <definedName name="_338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339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339__FDSAUDITLINK__" localSheetId="20" hidden="1">{"fdsup://Directions/FactSet Auditing Viewer?action=AUDIT_VALUE&amp;DB=129&amp;ID1=87416110&amp;VALUEID=02101&amp;SDATE=200601&amp;PERIODTYPE=QTR_STD&amp;window=popup_no_bar&amp;width=385&amp;height=120&amp;START_MAXIMIZED=FALSE&amp;creator=factset&amp;display_string=Audit"}</definedName>
    <definedName name="_339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34__FDSAUDITLINK__" localSheetId="1" hidden="1">{"fdsup://directions/FAT Viewer?action=UPDATE&amp;creator=factset&amp;DYN_ARGS=TRUE&amp;DOC_NAME=FAT:FQL_AUDITING_CLIENT_TEMPLATE.FAT&amp;display_string=Audit&amp;VAR:KEY=TWJEXANKXW&amp;VAR:QUERY=RkZfU0FMRVMoTFRNUyw0MDg2MSwsLCxVU0Qp&amp;WINDOW=FIRST_POPUP&amp;HEIGHT=450&amp;WIDTH=450&amp;START_MA","XIMIZED=FALSE&amp;VAR:CALENDAR=US&amp;VAR:SYMBOL=GPS&amp;VAR:INDEX=0"}</definedName>
    <definedName name="_34__FDSAUDITLINK__" localSheetId="20" hidden="1">{"fdsup://Directions/FactSet Auditing Viewer?action=AUDIT_VALUE&amp;DB=129&amp;ID1=53271610&amp;VALUEID=02101&amp;SDATE=200903&amp;PERIODTYPE=QTR_STD&amp;window=popup_no_bar&amp;width=385&amp;height=120&amp;START_MAXIMIZED=FALSE&amp;creator=factset&amp;display_string=Audit"}</definedName>
    <definedName name="_34__FDSAUDITLINK__" hidden="1">{"fdsup://directions/FAT Viewer?action=UPDATE&amp;creator=factset&amp;DYN_ARGS=TRUE&amp;DOC_NAME=FAT:FQL_AUDITING_CLIENT_TEMPLATE.FAT&amp;display_string=Audit&amp;VAR:KEY=TWJEXANKXW&amp;VAR:QUERY=RkZfU0FMRVMoTFRNUyw0MDg2MSwsLCxVU0Qp&amp;WINDOW=FIRST_POPUP&amp;HEIGHT=450&amp;WIDTH=450&amp;START_MA","XIMIZED=FALSE&amp;VAR:CALENDAR=US&amp;VAR:SYMBOL=GPS&amp;VAR:INDEX=0"}</definedName>
    <definedName name="_340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340__FDSAUDITLINK__" localSheetId="20" hidden="1">{"fdsup://Directions/FactSet Auditing Viewer?action=AUDIT_VALUE&amp;DB=129&amp;ID1=87416110&amp;VALUEID=01001&amp;SDATE=200601&amp;PERIODTYPE=QTR_STD&amp;window=popup_no_bar&amp;width=385&amp;height=120&amp;START_MAXIMIZED=FALSE&amp;creator=factset&amp;display_string=Audit"}</definedName>
    <definedName name="_340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341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341__FDSAUDITLINK__" localSheetId="20" hidden="1">{"fdsup://Directions/FactSet Auditing Viewer?action=AUDIT_VALUE&amp;DB=129&amp;ID1=87416110&amp;VALUEID=13040&amp;SDATE=200601&amp;PERIODTYPE=QTR_STD&amp;window=popup_no_bar&amp;width=385&amp;height=120&amp;START_MAXIMIZED=FALSE&amp;creator=factset&amp;display_string=Audit"}</definedName>
    <definedName name="_341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342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2__FDSAUDITLINK__" localSheetId="20"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2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3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343__FDSAUDITLINK__" localSheetId="20" hidden="1">{"fdsup://Directions/FactSet Auditing Viewer?action=AUDIT_VALUE&amp;DB=129&amp;ID1=53271610&amp;VALUEID=02101&amp;SDATE=200601&amp;PERIODTYPE=QTR_STD&amp;window=popup_no_bar&amp;width=385&amp;height=120&amp;START_MAXIMIZED=FALSE&amp;creator=factset&amp;display_string=Audit"}</definedName>
    <definedName name="_343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344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344__FDSAUDITLINK__" localSheetId="20" hidden="1">{"fdsup://Directions/FactSet Auditing Viewer?action=AUDIT_VALUE&amp;DB=129&amp;ID1=53271610&amp;VALUEID=01001&amp;SDATE=200601&amp;PERIODTYPE=QTR_STD&amp;window=popup_no_bar&amp;width=385&amp;height=120&amp;START_MAXIMIZED=FALSE&amp;creator=factset&amp;display_string=Audit"}</definedName>
    <definedName name="_344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345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345__FDSAUDITLINK__" localSheetId="20" hidden="1">{"fdsup://Directions/FactSet Auditing Viewer?action=AUDIT_VALUE&amp;DB=129&amp;ID1=53271610&amp;VALUEID=13040&amp;SDATE=200601&amp;PERIODTYPE=QTR_STD&amp;window=popup_no_bar&amp;width=385&amp;height=120&amp;START_MAXIMIZED=FALSE&amp;creator=factset&amp;display_string=Audit"}</definedName>
    <definedName name="_345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346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346__FDSAUDITLINK__" localSheetId="20" hidden="1">{"fdsup://Directions/FactSet Auditing Viewer?action=AUDIT_VALUE&amp;DB=129&amp;ID1=46612H40&amp;VALUEID=02101&amp;SDATE=200601&amp;PERIODTYPE=QTR_STD&amp;window=popup_no_bar&amp;width=385&amp;height=120&amp;START_MAXIMIZED=FALSE&amp;creator=factset&amp;display_string=Audit"}</definedName>
    <definedName name="_346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347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347__FDSAUDITLINK__" localSheetId="20" hidden="1">{"fdsup://Directions/FactSet Auditing Viewer?action=AUDIT_VALUE&amp;DB=129&amp;ID1=46612H40&amp;VALUEID=01001&amp;SDATE=200601&amp;PERIODTYPE=QTR_STD&amp;window=popup_no_bar&amp;width=385&amp;height=120&amp;START_MAXIMIZED=FALSE&amp;creator=factset&amp;display_string=Audit"}</definedName>
    <definedName name="_347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348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348__FDSAUDITLINK__" localSheetId="20" hidden="1">{"fdsup://Directions/FactSet Auditing Viewer?action=AUDIT_VALUE&amp;DB=129&amp;ID1=46612H40&amp;VALUEID=13040&amp;SDATE=200601&amp;PERIODTYPE=QTR_STD&amp;window=popup_no_bar&amp;width=385&amp;height=120&amp;START_MAXIMIZED=FALSE&amp;creator=factset&amp;display_string=Audit"}</definedName>
    <definedName name="_348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349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349__FDSAUDITLINK__" localSheetId="20" hidden="1">{"fdsup://Directions/FactSet Auditing Viewer?action=AUDIT_VALUE&amp;DB=129&amp;ID1=36476010&amp;VALUEID=02101&amp;SDATE=200601&amp;PERIODTYPE=QTR_STD&amp;window=popup_no_bar&amp;width=385&amp;height=120&amp;START_MAXIMIZED=FALSE&amp;creator=factset&amp;display_string=Audit"}</definedName>
    <definedName name="_349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35__FDSAUDITLINK__" localSheetId="1" hidden="1">{"fdsup://directions/FAT Viewer?action=UPDATE&amp;creator=factset&amp;DYN_ARGS=TRUE&amp;DOC_NAME=FAT:FQL_AUDITING_CLIENT_TEMPLATE.FAT&amp;display_string=Audit&amp;VAR:KEY=XGJGXCTIBW&amp;VAR:QUERY=RkZfU0FMRVMoTFRNUyw0MDg2MSwsLCxVU0Qp&amp;WINDOW=FIRST_POPUP&amp;HEIGHT=450&amp;WIDTH=450&amp;START_MA","XIMIZED=FALSE&amp;VAR:CALENDAR=US&amp;VAR:SYMBOL=CHS&amp;VAR:INDEX=0"}</definedName>
    <definedName name="_35__FDSAUDITLINK__" localSheetId="20" hidden="1">{"fdsup://Directions/FactSet Auditing Viewer?action=AUDIT_VALUE&amp;DB=129&amp;ID1=53271610&amp;VALUEID=01001&amp;SDATE=200903&amp;PERIODTYPE=QTR_STD&amp;window=popup_no_bar&amp;width=385&amp;height=120&amp;START_MAXIMIZED=FALSE&amp;creator=factset&amp;display_string=Audit"}</definedName>
    <definedName name="_35__FDSAUDITLINK__" hidden="1">{"fdsup://directions/FAT Viewer?action=UPDATE&amp;creator=factset&amp;DYN_ARGS=TRUE&amp;DOC_NAME=FAT:FQL_AUDITING_CLIENT_TEMPLATE.FAT&amp;display_string=Audit&amp;VAR:KEY=XGJGXCTIBW&amp;VAR:QUERY=RkZfU0FMRVMoTFRNUyw0MDg2MSwsLCxVU0Qp&amp;WINDOW=FIRST_POPUP&amp;HEIGHT=450&amp;WIDTH=450&amp;START_MA","XIMIZED=FALSE&amp;VAR:CALENDAR=US&amp;VAR:SYMBOL=CHS&amp;VAR:INDEX=0"}</definedName>
    <definedName name="_350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350__FDSAUDITLINK__" localSheetId="20" hidden="1">{"fdsup://Directions/FactSet Auditing Viewer?action=AUDIT_VALUE&amp;DB=129&amp;ID1=36476010&amp;VALUEID=01001&amp;SDATE=200601&amp;PERIODTYPE=QTR_STD&amp;window=popup_no_bar&amp;width=385&amp;height=120&amp;START_MAXIMIZED=FALSE&amp;creator=factset&amp;display_string=Audit"}</definedName>
    <definedName name="_350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351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351__FDSAUDITLINK__" localSheetId="20" hidden="1">{"fdsup://Directions/FactSet Auditing Viewer?action=AUDIT_VALUE&amp;DB=129&amp;ID1=36476010&amp;VALUEID=13040&amp;SDATE=200601&amp;PERIODTYPE=QTR_STD&amp;window=popup_no_bar&amp;width=385&amp;height=120&amp;START_MAXIMIZED=FALSE&amp;creator=factset&amp;display_string=Audit"}</definedName>
    <definedName name="_351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352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352__FDSAUDITLINK__" localSheetId="20" hidden="1">{"fdsup://Directions/FactSet Auditing Viewer?action=AUDIT_VALUE&amp;DB=129&amp;ID1=03611510&amp;VALUEID=02101&amp;SDATE=200601&amp;PERIODTYPE=QTR_STD&amp;window=popup_no_bar&amp;width=385&amp;height=120&amp;START_MAXIMIZED=FALSE&amp;creator=factset&amp;display_string=Audit"}</definedName>
    <definedName name="_352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353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353__FDSAUDITLINK__" localSheetId="20" hidden="1">{"fdsup://Directions/FactSet Auditing Viewer?action=AUDIT_VALUE&amp;DB=129&amp;ID1=03611510&amp;VALUEID=13040&amp;SDATE=200601&amp;PERIODTYPE=QTR_STD&amp;window=popup_no_bar&amp;width=385&amp;height=120&amp;START_MAXIMIZED=FALSE&amp;creator=factset&amp;display_string=Audit"}</definedName>
    <definedName name="_353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354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354__FDSAUDITLINK__" localSheetId="20" hidden="1">{"fdsup://Directions/FactSet Auditing Viewer?action=AUDIT_VALUE&amp;DB=129&amp;ID1=16890510&amp;VALUEID=02101&amp;SDATE=200601&amp;PERIODTYPE=QTR_STD&amp;window=popup_no_bar&amp;width=385&amp;height=120&amp;START_MAXIMIZED=FALSE&amp;creator=factset&amp;display_string=Audit"}</definedName>
    <definedName name="_354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355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355__FDSAUDITLINK__" localSheetId="20" hidden="1">{"fdsup://Directions/FactSet Auditing Viewer?action=AUDIT_VALUE&amp;DB=129&amp;ID1=16890510&amp;VALUEID=01001&amp;SDATE=200601&amp;PERIODTYPE=QTR_STD&amp;window=popup_no_bar&amp;width=385&amp;height=120&amp;START_MAXIMIZED=FALSE&amp;creator=factset&amp;display_string=Audit"}</definedName>
    <definedName name="_355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356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356__FDSAUDITLINK__" localSheetId="20" hidden="1">{"fdsup://Directions/FactSet Auditing Viewer?action=AUDIT_VALUE&amp;DB=129&amp;ID1=91704710&amp;VALUEID=02101&amp;SDATE=200601&amp;PERIODTYPE=QTR_STD&amp;window=popup_no_bar&amp;width=385&amp;height=120&amp;START_MAXIMIZED=FALSE&amp;creator=factset&amp;display_string=Audit"}</definedName>
    <definedName name="_356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357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357__FDSAUDITLINK__" localSheetId="20" hidden="1">{"fdsup://Directions/FactSet Auditing Viewer?action=AUDIT_VALUE&amp;DB=129&amp;ID1=91704710&amp;VALUEID=01001&amp;SDATE=200601&amp;PERIODTYPE=QTR_STD&amp;window=popup_no_bar&amp;width=385&amp;height=120&amp;START_MAXIMIZED=FALSE&amp;creator=factset&amp;display_string=Audit"}</definedName>
    <definedName name="_357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358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358__FDSAUDITLINK__" localSheetId="20" hidden="1">{"fdsup://Directions/FactSet Auditing Viewer?action=AUDIT_VALUE&amp;DB=129&amp;ID1=91704710&amp;VALUEID=13040&amp;SDATE=200601&amp;PERIODTYPE=QTR_STD&amp;window=popup_no_bar&amp;width=385&amp;height=120&amp;START_MAXIMIZED=FALSE&amp;creator=factset&amp;display_string=Audit"}</definedName>
    <definedName name="_358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359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359__FDSAUDITLINK__" localSheetId="20" hidden="1">{"fdsup://Directions/FactSet Auditing Viewer?action=AUDIT_VALUE&amp;DB=129&amp;ID1=02553E10&amp;VALUEID=02101&amp;SDATE=200601&amp;PERIODTYPE=QTR_STD&amp;window=popup_no_bar&amp;width=385&amp;height=120&amp;START_MAXIMIZED=FALSE&amp;creator=factset&amp;display_string=Audit"}</definedName>
    <definedName name="_359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36__FDSAUDITLINK__" localSheetId="1" hidden="1">{"fdsup://directions/FAT Viewer?action=UPDATE&amp;creator=factset&amp;DYN_ARGS=TRUE&amp;DOC_NAME=FAT:FQL_AUDITING_CLIENT_TEMPLATE.FAT&amp;display_string=Audit&amp;VAR:KEY=VSXMFIHYRG&amp;VAR:QUERY=RkZfU0FMRVMoTFRNUyw0MDg2MSwsLCxVU0Qp&amp;WINDOW=FIRST_POPUP&amp;HEIGHT=450&amp;WIDTH=450&amp;START_MA","XIMIZED=FALSE&amp;VAR:CALENDAR=US&amp;VAR:SYMBOL=ARO&amp;VAR:INDEX=0"}</definedName>
    <definedName name="_36__FDSAUDITLINK__" localSheetId="20" hidden="1">{"fdsup://Directions/FactSet Auditing Viewer?action=AUDIT_VALUE&amp;DB=129&amp;ID1=53271610&amp;VALUEID=13040&amp;SDATE=200903&amp;PERIODTYPE=QTR_STD&amp;window=popup_no_bar&amp;width=385&amp;height=120&amp;START_MAXIMIZED=FALSE&amp;creator=factset&amp;display_string=Audit"}</definedName>
    <definedName name="_36__FDSAUDITLINK__" hidden="1">{"fdsup://directions/FAT Viewer?action=UPDATE&amp;creator=factset&amp;DYN_ARGS=TRUE&amp;DOC_NAME=FAT:FQL_AUDITING_CLIENT_TEMPLATE.FAT&amp;display_string=Audit&amp;VAR:KEY=VSXMFIHYRG&amp;VAR:QUERY=RkZfU0FMRVMoTFRNUyw0MDg2MSwsLCxVU0Qp&amp;WINDOW=FIRST_POPUP&amp;HEIGHT=450&amp;WIDTH=450&amp;START_MA","XIMIZED=FALSE&amp;VAR:CALENDAR=US&amp;VAR:SYMBOL=ARO&amp;VAR:INDEX=0"}</definedName>
    <definedName name="_360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360__FDSAUDITLINK__" localSheetId="20" hidden="1">{"fdsup://Directions/FactSet Auditing Viewer?action=AUDIT_VALUE&amp;DB=129&amp;ID1=02553E10&amp;VALUEID=01001&amp;SDATE=200601&amp;PERIODTYPE=QTR_STD&amp;window=popup_no_bar&amp;width=385&amp;height=120&amp;START_MAXIMIZED=FALSE&amp;creator=factset&amp;display_string=Audit"}</definedName>
    <definedName name="_360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361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361__FDSAUDITLINK__" localSheetId="20" hidden="1">{"fdsup://Directions/FactSet Auditing Viewer?action=AUDIT_VALUE&amp;DB=129&amp;ID1=02553E10&amp;VALUEID=13040&amp;SDATE=200601&amp;PERIODTYPE=QTR_STD&amp;window=popup_no_bar&amp;width=385&amp;height=120&amp;START_MAXIMIZED=FALSE&amp;creator=factset&amp;display_string=Audit"}</definedName>
    <definedName name="_361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362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2__FDSAUDITLINK__" localSheetId="20"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2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3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363__FDSAUDITLINK__" localSheetId="20" hidden="1">{"fdsup://Directions/FactSet Auditing Viewer?action=AUDIT_VALUE&amp;DB=129&amp;ID1=00786510&amp;VALUEID=02101&amp;SDATE=200601&amp;PERIODTYPE=QTR_STD&amp;window=popup_no_bar&amp;width=385&amp;height=120&amp;START_MAXIMIZED=FALSE&amp;creator=factset&amp;display_string=Audit"}</definedName>
    <definedName name="_363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364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364__FDSAUDITLINK__" localSheetId="20" hidden="1">{"fdsup://Directions/FactSet Auditing Viewer?action=AUDIT_VALUE&amp;DB=129&amp;ID1=00786510&amp;VALUEID=01001&amp;SDATE=200601&amp;PERIODTYPE=QTR_STD&amp;window=popup_no_bar&amp;width=385&amp;height=120&amp;START_MAXIMIZED=FALSE&amp;creator=factset&amp;display_string=Audit"}</definedName>
    <definedName name="_364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365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365__FDSAUDITLINK__" localSheetId="20" hidden="1">{"fdsup://Directions/FactSet Auditing Viewer?action=AUDIT_VALUE&amp;DB=129&amp;ID1=00786510&amp;VALUEID=13040&amp;SDATE=200601&amp;PERIODTYPE=QTR_STD&amp;window=popup_no_bar&amp;width=385&amp;height=120&amp;START_MAXIMIZED=FALSE&amp;creator=factset&amp;display_string=Audit"}</definedName>
    <definedName name="_365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366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366__FDSAUDITLINK__" localSheetId="20" hidden="1">{"fdsup://Directions/FactSet Auditing Viewer?action=AUDIT_VALUE&amp;DB=129&amp;ID1=00289620&amp;VALUEID=02101&amp;SDATE=200601&amp;PERIODTYPE=QTR_STD&amp;window=popup_no_bar&amp;width=385&amp;height=120&amp;START_MAXIMIZED=FALSE&amp;creator=factset&amp;display_string=Audit"}</definedName>
    <definedName name="_366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367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367__FDSAUDITLINK__" localSheetId="20" hidden="1">{"fdsup://Directions/FactSet Auditing Viewer?action=AUDIT_VALUE&amp;DB=129&amp;ID1=00289620&amp;VALUEID=01001&amp;SDATE=200601&amp;PERIODTYPE=QTR_STD&amp;window=popup_no_bar&amp;width=385&amp;height=120&amp;START_MAXIMIZED=FALSE&amp;creator=factset&amp;display_string=Audit"}</definedName>
    <definedName name="_367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368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368__FDSAUDITLINK__" localSheetId="20" hidden="1">{"fdsup://Directions/FactSet Auditing Viewer?action=AUDIT_VALUE&amp;DB=129&amp;ID1=00289620&amp;VALUEID=13040&amp;SDATE=200601&amp;PERIODTYPE=QTR_STD&amp;window=popup_no_bar&amp;width=385&amp;height=120&amp;START_MAXIMIZED=FALSE&amp;creator=factset&amp;display_string=Audit"}</definedName>
    <definedName name="_368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369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69__FDSAUDITLINK__" localSheetId="20"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69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7__FDSAUDITLINK__" localSheetId="1" hidden="1">{"fdsup://directions/FAT Viewer?action=UPDATE&amp;creator=factset&amp;DYN_ARGS=TRUE&amp;DOC_NAME=FAT:FQL_AUDITING_CLIENT_TEMPLATE.FAT&amp;display_string=Audit&amp;VAR:KEY=FAZEHGLUPW&amp;VAR:QUERY=RkZfU0FMRVMoTFRNUyw0MDg2MSwsLCxVU0Qp&amp;WINDOW=FIRST_POPUP&amp;HEIGHT=450&amp;WIDTH=450&amp;START_MA","XIMIZED=FALSE&amp;VAR:CALENDAR=US&amp;VAR:SYMBOL=ANN&amp;VAR:INDEX=0"}</definedName>
    <definedName name="_37__FDSAUDITLINK__" localSheetId="20" hidden="1">{"fdsup://Directions/FactSet Auditing Viewer?action=AUDIT_VALUE&amp;DB=129&amp;ID1=46612H40&amp;VALUEID=02101&amp;SDATE=200903&amp;PERIODTYPE=QTR_STD&amp;window=popup_no_bar&amp;width=385&amp;height=120&amp;START_MAXIMIZED=FALSE&amp;creator=factset&amp;display_string=Audit"}</definedName>
    <definedName name="_37__FDSAUDITLINK__" hidden="1">{"fdsup://directions/FAT Viewer?action=UPDATE&amp;creator=factset&amp;DYN_ARGS=TRUE&amp;DOC_NAME=FAT:FQL_AUDITING_CLIENT_TEMPLATE.FAT&amp;display_string=Audit&amp;VAR:KEY=FAZEHGLUPW&amp;VAR:QUERY=RkZfU0FMRVMoTFRNUyw0MDg2MSwsLCxVU0Qp&amp;WINDOW=FIRST_POPUP&amp;HEIGHT=450&amp;WIDTH=450&amp;START_MA","XIMIZED=FALSE&amp;VAR:CALENDAR=US&amp;VAR:SYMBOL=ANN&amp;VAR:INDEX=0"}</definedName>
    <definedName name="_370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0__FDSAUDITLINK__" localSheetId="20"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0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1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1__FDSAUDITLINK__" localSheetId="20"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1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2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372__FDSAUDITLINK__" localSheetId="20" hidden="1">{"fdsup://Directions/FactSet Auditing Viewer?action=AUDIT_VALUE&amp;DB=129&amp;ID1=03611510&amp;VALUEID=13040&amp;SDATE=200503&amp;PERIODTYPE=QTR_STD&amp;window=popup_no_bar&amp;width=385&amp;height=120&amp;START_MAXIMIZED=FALSE&amp;creator=factset&amp;display_string=Audit"}</definedName>
    <definedName name="_372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373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3__FDSAUDITLINK__" localSheetId="20"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3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4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4__FDSAUDITLINK__" localSheetId="20"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4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5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375__FDSAUDITLINK__" localSheetId="20" hidden="1">{"fdsup://Directions/FactSet Auditing Viewer?action=AUDIT_VALUE&amp;DB=129&amp;ID1=03611510&amp;VALUEID=13040&amp;SDATE=200502&amp;PERIODTYPE=QTR_STD&amp;window=popup_no_bar&amp;width=385&amp;height=120&amp;START_MAXIMIZED=FALSE&amp;creator=factset&amp;display_string=Audit"}</definedName>
    <definedName name="_375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376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6__FDSAUDITLINK__" localSheetId="20"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6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7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7__FDSAUDITLINK__" localSheetId="20"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7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8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378__FDSAUDITLINK__" localSheetId="20" hidden="1">{"fdsup://Directions/FactSet Auditing Viewer?action=AUDIT_VALUE&amp;DB=129&amp;ID1=03611510&amp;VALUEID=13040&amp;SDATE=200501&amp;PERIODTYPE=QTR_STD&amp;window=popup_no_bar&amp;width=385&amp;height=120&amp;START_MAXIMIZED=FALSE&amp;creator=factset&amp;display_string=Audit"}</definedName>
    <definedName name="_378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379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79__FDSAUDITLINK__" localSheetId="20"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79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8__FDSAUDITLINK__" localSheetId="1" hidden="1">{"fdsup://directions/FAT Viewer?action=UPDATE&amp;creator=factset&amp;DYN_ARGS=TRUE&amp;DOC_NAME=FAT:FQL_AUDITING_CLIENT_TEMPLATE.FAT&amp;display_string=Audit&amp;VAR:KEY=LMHYVORSXE&amp;VAR:QUERY=RkZfU0FMRVMoTFRNUyw0MDg2MSwsLCxVU0Qp&amp;WINDOW=FIRST_POPUP&amp;HEIGHT=450&amp;WIDTH=450&amp;START_MA","XIMIZED=FALSE&amp;VAR:CALENDAR=US&amp;VAR:SYMBOL=ANF&amp;VAR:INDEX=0"}</definedName>
    <definedName name="_38__FDSAUDITLINK__" localSheetId="20" hidden="1">{"fdsup://Directions/FactSet Auditing Viewer?action=AUDIT_VALUE&amp;DB=129&amp;ID1=46612H40&amp;VALUEID=01001&amp;SDATE=200903&amp;PERIODTYPE=QTR_STD&amp;window=popup_no_bar&amp;width=385&amp;height=120&amp;START_MAXIMIZED=FALSE&amp;creator=factset&amp;display_string=Audit"}</definedName>
    <definedName name="_38__FDSAUDITLINK__" hidden="1">{"fdsup://directions/FAT Viewer?action=UPDATE&amp;creator=factset&amp;DYN_ARGS=TRUE&amp;DOC_NAME=FAT:FQL_AUDITING_CLIENT_TEMPLATE.FAT&amp;display_string=Audit&amp;VAR:KEY=LMHYVORSXE&amp;VAR:QUERY=RkZfU0FMRVMoTFRNUyw0MDg2MSwsLCxVU0Qp&amp;WINDOW=FIRST_POPUP&amp;HEIGHT=450&amp;WIDTH=450&amp;START_MA","XIMIZED=FALSE&amp;VAR:CALENDAR=US&amp;VAR:SYMBOL=ANF&amp;VAR:INDEX=0"}</definedName>
    <definedName name="_380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380__FDSAUDITLINK__" localSheetId="20" hidden="1">{"fdsup://Directions/FactSet Auditing Viewer?action=AUDIT_VALUE&amp;DB=129&amp;ID1=16890510&amp;VALUEID=13040&amp;SDATE=200602&amp;PERIODTYPE=QTR_STD&amp;window=popup_no_bar&amp;width=385&amp;height=120&amp;START_MAXIMIZED=FALSE&amp;creator=factset&amp;display_string=Audit"}</definedName>
    <definedName name="_380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381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381__FDSAUDITLINK__" localSheetId="20" hidden="1">{"fdsup://Directions/FactSet Auditing Viewer?action=AUDIT_VALUE&amp;DB=129&amp;ID1=16890510&amp;VALUEID=13040&amp;SDATE=200601&amp;PERIODTYPE=QTR_STD&amp;window=popup_no_bar&amp;width=385&amp;height=120&amp;START_MAXIMIZED=FALSE&amp;creator=factset&amp;display_string=Audit"}</definedName>
    <definedName name="_381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382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382__FDSAUDITLINK__" localSheetId="20" hidden="1">{"fdsup://Directions/FactSet Auditing Viewer?action=AUDIT_VALUE&amp;DB=129&amp;ID1=16890510&amp;VALUEID=13040&amp;SDATE=200603&amp;PERIODTYPE=QTR_STD&amp;window=popup_no_bar&amp;width=385&amp;height=120&amp;START_MAXIMIZED=FALSE&amp;creator=factset&amp;display_string=Audit"}</definedName>
    <definedName name="_382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383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383__FDSAUDITLINK__" localSheetId="20" hidden="1">{"fdsup://Directions/FactSet Auditing Viewer?action=AUDIT_VALUE&amp;DB=129&amp;ID1=16890510&amp;VALUEID=13040&amp;SDATE=200702&amp;PERIODTYPE=QTR_STD&amp;window=popup_no_bar&amp;width=385&amp;height=120&amp;START_MAXIMIZED=FALSE&amp;creator=factset&amp;display_string=Audit"}</definedName>
    <definedName name="_383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384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384__FDSAUDITLINK__" localSheetId="20" hidden="1">{"fdsup://Directions/FactSet Auditing Viewer?action=AUDIT_VALUE&amp;DB=129&amp;ID1=16890510&amp;VALUEID=13040&amp;SDATE=200701&amp;PERIODTYPE=QTR_STD&amp;window=popup_no_bar&amp;width=385&amp;height=120&amp;START_MAXIMIZED=FALSE&amp;creator=factset&amp;display_string=Audit"}</definedName>
    <definedName name="_38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385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385__FDSAUDITLINK__" localSheetId="20" hidden="1">{"fdsup://Directions/FactSet Auditing Viewer?action=AUDIT_VALUE&amp;DB=129&amp;ID1=16890510&amp;VALUEID=13040&amp;SDATE=200703&amp;PERIODTYPE=QTR_STD&amp;window=popup_no_bar&amp;width=385&amp;height=120&amp;START_MAXIMIZED=FALSE&amp;creator=factset&amp;display_string=Audit"}</definedName>
    <definedName name="_385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386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386__FDSAUDITLINK__" localSheetId="20" hidden="1">{"fdsup://Directions/FactSet Auditing Viewer?action=AUDIT_VALUE&amp;DB=129&amp;ID1=16890510&amp;VALUEID=13040&amp;SDATE=200802&amp;PERIODTYPE=QTR_STD&amp;window=popup_no_bar&amp;width=385&amp;height=120&amp;START_MAXIMIZED=FALSE&amp;creator=factset&amp;display_string=Audit"}</definedName>
    <definedName name="_386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387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387__FDSAUDITLINK__" localSheetId="20" hidden="1">{"fdsup://Directions/FactSet Auditing Viewer?action=AUDIT_VALUE&amp;DB=129&amp;ID1=16890510&amp;VALUEID=13040&amp;SDATE=200801&amp;PERIODTYPE=QTR_STD&amp;window=popup_no_bar&amp;width=385&amp;height=120&amp;START_MAXIMIZED=FALSE&amp;creator=factset&amp;display_string=Audit"}</definedName>
    <definedName name="_387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388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388__FDSAUDITLINK__" localSheetId="20" hidden="1">{"fdsup://Directions/FactSet Auditing Viewer?action=AUDIT_VALUE&amp;DB=129&amp;ID1=16890510&amp;VALUEID=13040&amp;SDATE=200803&amp;PERIODTYPE=QTR_STD&amp;window=popup_no_bar&amp;width=385&amp;height=120&amp;START_MAXIMIZED=FALSE&amp;creator=factset&amp;display_string=Audit"}</definedName>
    <definedName name="_38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389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389__FDSAUDITLINK__" localSheetId="20" hidden="1">{"fdsup://Directions/FactSet Auditing Viewer?action=AUDIT_VALUE&amp;DB=129&amp;ID1=16890510&amp;VALUEID=13040&amp;SDATE=200902&amp;PERIODTYPE=QTR_STD&amp;window=popup_no_bar&amp;width=385&amp;height=120&amp;START_MAXIMIZED=FALSE&amp;creator=factset&amp;display_string=Audit"}</definedName>
    <definedName name="_389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39__FDSAUDITLINK__" localSheetId="1" hidden="1">{"fdsup://directions/FAT Viewer?action=UPDATE&amp;creator=factset&amp;DYN_ARGS=TRUE&amp;DOC_NAME=FAT:FQL_AUDITING_CLIENT_TEMPLATE.FAT&amp;display_string=Audit&amp;VAR:KEY=NAVUFCTYRS&amp;VAR:QUERY=RkZfU0FMRVMoTFRNUyw0MDg2MSwsLCxVU0Qp&amp;WINDOW=FIRST_POPUP&amp;HEIGHT=450&amp;WIDTH=450&amp;START_MA","XIMIZED=FALSE&amp;VAR:CALENDAR=US&amp;VAR:SYMBOL=AEO&amp;VAR:INDEX=0"}</definedName>
    <definedName name="_39__FDSAUDITLINK__" localSheetId="20" hidden="1">{"fdsup://Directions/FactSet Auditing Viewer?action=AUDIT_VALUE&amp;DB=129&amp;ID1=46612H40&amp;VALUEID=13040&amp;SDATE=200903&amp;PERIODTYPE=QTR_STD&amp;window=popup_no_bar&amp;width=385&amp;height=120&amp;START_MAXIMIZED=FALSE&amp;creator=factset&amp;display_string=Audit"}</definedName>
    <definedName name="_39__FDSAUDITLINK__" hidden="1">{"fdsup://directions/FAT Viewer?action=UPDATE&amp;creator=factset&amp;DYN_ARGS=TRUE&amp;DOC_NAME=FAT:FQL_AUDITING_CLIENT_TEMPLATE.FAT&amp;display_string=Audit&amp;VAR:KEY=NAVUFCTYRS&amp;VAR:QUERY=RkZfU0FMRVMoTFRNUyw0MDg2MSwsLCxVU0Qp&amp;WINDOW=FIRST_POPUP&amp;HEIGHT=450&amp;WIDTH=450&amp;START_MA","XIMIZED=FALSE&amp;VAR:CALENDAR=US&amp;VAR:SYMBOL=AEO&amp;VAR:INDEX=0"}</definedName>
    <definedName name="_390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390__FDSAUDITLINK__" localSheetId="20" hidden="1">{"fdsup://Directions/FactSet Auditing Viewer?action=AUDIT_VALUE&amp;DB=129&amp;ID1=16890510&amp;VALUEID=13040&amp;SDATE=200903&amp;PERIODTYPE=QTR_STD&amp;window=popup_no_bar&amp;width=385&amp;height=120&amp;START_MAXIMIZED=FALSE&amp;creator=factset&amp;display_string=Audit"}</definedName>
    <definedName name="_390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391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391__FDSAUDITLINK__" localSheetId="20" hidden="1">{"fdsup://Directions/FactSet Auditing Viewer?action=AUDIT_VALUE&amp;DB=129&amp;ID1=16890510&amp;VALUEID=13040&amp;SDATE=201001&amp;PERIODTYPE=QTR_STD&amp;window=popup_no_bar&amp;width=385&amp;height=120&amp;START_MAXIMIZED=FALSE&amp;creator=factset&amp;display_string=Audit"}</definedName>
    <definedName name="_39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392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392__FDSAUDITLINK__" localSheetId="20" hidden="1">{"fdsup://Directions/FactSet Auditing Viewer?action=AUDIT_VALUE&amp;DB=129&amp;ID1=87416110&amp;VALUEID=01001&amp;SDATE=201001&amp;PERIODTYPE=QTR_STD&amp;window=popup_no_bar&amp;width=385&amp;height=120&amp;START_MAXIMIZED=FALSE&amp;creator=factset&amp;display_string=Audit"}</definedName>
    <definedName name="_392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393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393__FDSAUDITLINK__" localSheetId="20" hidden="1">{"fdsup://Directions/FactSet Auditing Viewer?action=AUDIT_VALUE&amp;DB=129&amp;ID1=46612H40&amp;VALUEID=01001&amp;SDATE=201001&amp;PERIODTYPE=QTR_STD&amp;window=popup_no_bar&amp;width=385&amp;height=120&amp;START_MAXIMIZED=FALSE&amp;creator=factset&amp;display_string=Audit"}</definedName>
    <definedName name="_393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394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394__FDSAUDITLINK__" localSheetId="20" hidden="1">{"fdsup://Directions/FactSet Auditing Viewer?action=AUDIT_VALUE&amp;DB=129&amp;ID1=03611510&amp;VALUEID=01001&amp;SDATE=201001&amp;PERIODTYPE=QTR_STD&amp;window=popup_no_bar&amp;width=385&amp;height=120&amp;START_MAXIMIZED=FALSE&amp;creator=factset&amp;display_string=Audit"}</definedName>
    <definedName name="_394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395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395__FDSAUDITLINK__" localSheetId="20" hidden="1">{"fdsup://Directions/FactSet Auditing Viewer?action=AUDIT_VALUE&amp;DB=129&amp;ID1=16890510&amp;VALUEID=01001&amp;SDATE=201001&amp;PERIODTYPE=QTR_STD&amp;window=popup_no_bar&amp;width=385&amp;height=120&amp;START_MAXIMIZED=FALSE&amp;creator=factset&amp;display_string=Audit"}</definedName>
    <definedName name="_395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396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396__FDSAUDITLINK__" localSheetId="20" hidden="1">{"fdsup://Directions/FactSet Auditing Viewer?action=AUDIT_VALUE&amp;DB=129&amp;ID1=91704710&amp;VALUEID=01001&amp;SDATE=201001&amp;PERIODTYPE=QTR_STD&amp;window=popup_no_bar&amp;width=385&amp;height=120&amp;START_MAXIMIZED=FALSE&amp;creator=factset&amp;display_string=Audit"}</definedName>
    <definedName name="_396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397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397__FDSAUDITLINK__" localSheetId="20" hidden="1">{"fdsup://Directions/FactSet Auditing Viewer?action=AUDIT_VALUE&amp;DB=129&amp;ID1=02553E10&amp;VALUEID=01001&amp;SDATE=201001&amp;PERIODTYPE=QTR_STD&amp;window=popup_no_bar&amp;width=385&amp;height=120&amp;START_MAXIMIZED=FALSE&amp;creator=factset&amp;display_string=Audit"}</definedName>
    <definedName name="_397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398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398__FDSAUDITLINK__" localSheetId="20" hidden="1">{"fdsup://Directions/FactSet Auditing Viewer?action=AUDIT_VALUE&amp;DB=129&amp;ID1=00786510&amp;VALUEID=01001&amp;SDATE=201001&amp;PERIODTYPE=QTR_STD&amp;window=popup_no_bar&amp;width=385&amp;height=120&amp;START_MAXIMIZED=FALSE&amp;creator=factset&amp;display_string=Audit"}</definedName>
    <definedName name="_398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399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399__FDSAUDITLINK__" localSheetId="20" hidden="1">{"fdsup://Directions/FactSet Auditing Viewer?action=AUDIT_VALUE&amp;DB=129&amp;ID1=00289620&amp;VALUEID=01001&amp;SDATE=201001&amp;PERIODTYPE=QTR_STD&amp;window=popup_no_bar&amp;width=385&amp;height=120&amp;START_MAXIMIZED=FALSE&amp;creator=factset&amp;display_string=Audit"}</definedName>
    <definedName name="_399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4__FDSAUDITLINK__" localSheetId="1" hidden="1">{"fdsup://directions/FAT Viewer?action=UPDATE&amp;creator=factset&amp;DYN_ARGS=TRUE&amp;DOC_NAME=FAT:FQL_AUDITING_CLIENT_TEMPLATE.FAT&amp;display_string=Audit&amp;VAR:KEY=CXKBEHERUT&amp;VAR:QUERY=RkZfRU5UUlBSX1ZBTF9FQklUREFfT1BFUihBTk4sMCk=&amp;WINDOW=FIRST_POPUP&amp;HEIGHT=450&amp;WIDTH=450&amp;","START_MAXIMIZED=FALSE&amp;VAR:CALENDAR=FIVEDAY&amp;VAR:SYMBOL=TIF&amp;VAR:INDEX=0"}</definedName>
    <definedName name="_4__FDSAUDITLINK__" localSheetId="20" hidden="1">{"fdsup://Directions/FactSet Auditing Viewer?action=AUDIT_VALUE&amp;DB=129&amp;ID1=53271610&amp;VALUEID=02101&amp;SDATE=201001&amp;PERIODTYPE=QTR_STD&amp;window=popup_no_bar&amp;width=385&amp;height=120&amp;START_MAXIMIZED=FALSE&amp;creator=factset&amp;display_string=Audit"}</definedName>
    <definedName name="_4__FDSAUDITLINK__" hidden="1">{"fdsup://directions/FAT Viewer?action=UPDATE&amp;creator=factset&amp;DYN_ARGS=TRUE&amp;DOC_NAME=FAT:FQL_AUDITING_CLIENT_TEMPLATE.FAT&amp;display_string=Audit&amp;VAR:KEY=CXKBEHERUT&amp;VAR:QUERY=RkZfRU5UUlBSX1ZBTF9FQklUREFfT1BFUihBTk4sMCk=&amp;WINDOW=FIRST_POPUP&amp;HEIGHT=450&amp;WIDTH=450&amp;","START_MAXIMIZED=FALSE&amp;VAR:CALENDAR=FIVEDAY&amp;VAR:SYMBOL=TIF&amp;VAR:INDEX=0"}</definedName>
    <definedName name="_40__FDSAUDITLINK__" localSheetId="1" hidden="1">{"fdsup://Directions/FactSet Auditing Viewer?action=AUDIT_VALUE&amp;DB=129&amp;ID1=98885810&amp;VALUEID=01001&amp;SDATE=2011&amp;PERIODTYPE=ANN_STD&amp;SCFT=3&amp;window=popup_no_bar&amp;width=385&amp;height=120&amp;START_MAXIMIZED=FALSE&amp;creator=factset&amp;display_string=Audit"}</definedName>
    <definedName name="_40__FDSAUDITLINK__" localSheetId="20" hidden="1">{"fdsup://Directions/FactSet Auditing Viewer?action=AUDIT_VALUE&amp;DB=129&amp;ID1=36476010&amp;VALUEID=02101&amp;SDATE=200903&amp;PERIODTYPE=QTR_STD&amp;window=popup_no_bar&amp;width=385&amp;height=120&amp;START_MAXIMIZED=FALSE&amp;creator=factset&amp;display_string=Audit"}</definedName>
    <definedName name="_40__FDSAUDITLINK__" hidden="1">{"fdsup://Directions/FactSet Auditing Viewer?action=AUDIT_VALUE&amp;DB=129&amp;ID1=98885810&amp;VALUEID=01001&amp;SDATE=2011&amp;PERIODTYPE=ANN_STD&amp;SCFT=3&amp;window=popup_no_bar&amp;width=385&amp;height=120&amp;START_MAXIMIZED=FALSE&amp;creator=factset&amp;display_string=Audit"}</definedName>
    <definedName name="_400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400__FDSAUDITLINK__" localSheetId="20" hidden="1">{"fdsup://Directions/FactSet Auditing Viewer?action=AUDIT_VALUE&amp;DB=129&amp;ID1=53271610&amp;VALUEID=01001&amp;SDATE=201001&amp;PERIODTYPE=QTR_STD&amp;window=popup_no_bar&amp;width=385&amp;height=120&amp;START_MAXIMIZED=FALSE&amp;creator=factset&amp;display_string=Audit"}</definedName>
    <definedName name="_40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401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401__FDSAUDITLINK__" localSheetId="20" hidden="1">{"fdsup://Directions/FactSet Auditing Viewer?action=AUDIT_VALUE&amp;DB=129&amp;ID1=36476010&amp;VALUEID=01001&amp;SDATE=201001&amp;PERIODTYPE=QTR_STD&amp;window=popup_no_bar&amp;width=385&amp;height=120&amp;START_MAXIMIZED=FALSE&amp;creator=factset&amp;display_string=Audit"}</definedName>
    <definedName name="_401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402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402__FDSAUDITLINK__" localSheetId="20" hidden="1">{"fdsup://Directions/FactSet Auditing Viewer?action=AUDIT_VALUE&amp;DB=129&amp;ID1=16890510&amp;VALUEID=01001&amp;SDATE=200601&amp;PERIODTYPE=QTR_STD&amp;window=popup_no_bar&amp;width=385&amp;height=120&amp;START_MAXIMIZED=FALSE&amp;creator=factset&amp;display_string=Audit"}</definedName>
    <definedName name="_402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403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403__FDSAUDITLINK__" localSheetId="20" hidden="1">{"fdsup://Directions/FactSet Auditing Viewer?action=AUDIT_VALUE&amp;DB=129&amp;ID1=16890510&amp;VALUEID=02101&amp;SDATE=200601&amp;PERIODTYPE=QTR_STD&amp;window=popup_no_bar&amp;width=385&amp;height=120&amp;START_MAXIMIZED=FALSE&amp;creator=factset&amp;display_string=Audit"}</definedName>
    <definedName name="_4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404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404__FDSAUDITLINK__" localSheetId="20" hidden="1">{"fdsup://Directions/FactSet Auditing Viewer?action=AUDIT_VALUE&amp;DB=129&amp;ID1=16890510&amp;VALUEID=13040&amp;SDATE=200601&amp;PERIODTYPE=QTR_STD&amp;window=popup_no_bar&amp;width=385&amp;height=120&amp;START_MAXIMIZED=FALSE&amp;creator=factset&amp;display_string=Audit"}</definedName>
    <definedName name="_40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405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405__FDSAUDITLINK__" localSheetId="20" hidden="1">{"fdsup://Directions/FactSet Auditing Viewer?action=AUDIT_VALUE&amp;DB=129&amp;ID1=16890510&amp;VALUEID=13040&amp;SDATE=200602&amp;PERIODTYPE=QTR_STD&amp;window=popup_no_bar&amp;width=385&amp;height=120&amp;START_MAXIMIZED=FALSE&amp;creator=factset&amp;display_string=Audit"}</definedName>
    <definedName name="_405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406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406__FDSAUDITLINK__" localSheetId="20" hidden="1">{"fdsup://Directions/FactSet Auditing Viewer?action=AUDIT_VALUE&amp;DB=129&amp;ID1=16890510&amp;VALUEID=01001&amp;SDATE=200602&amp;PERIODTYPE=QTR_STD&amp;window=popup_no_bar&amp;width=385&amp;height=120&amp;START_MAXIMIZED=FALSE&amp;creator=factset&amp;display_string=Audit"}</definedName>
    <definedName name="_406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407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407__FDSAUDITLINK__" localSheetId="20" hidden="1">{"fdsup://Directions/FactSet Auditing Viewer?action=AUDIT_VALUE&amp;DB=129&amp;ID1=16890510&amp;VALUEID=02101&amp;SDATE=200602&amp;PERIODTYPE=QTR_STD&amp;window=popup_no_bar&amp;width=385&amp;height=120&amp;START_MAXIMIZED=FALSE&amp;creator=factset&amp;display_string=Audit"}</definedName>
    <definedName name="_40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408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408__FDSAUDITLINK__" localSheetId="20" hidden="1">{"fdsup://Directions/FactSet Auditing Viewer?action=AUDIT_VALUE&amp;DB=129&amp;ID1=16890510&amp;VALUEID=13040&amp;SDATE=200603&amp;PERIODTYPE=QTR_STD&amp;window=popup_no_bar&amp;width=385&amp;height=120&amp;START_MAXIMIZED=FALSE&amp;creator=factset&amp;display_string=Audit"}</definedName>
    <definedName name="_408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409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409__FDSAUDITLINK__" localSheetId="20" hidden="1">{"fdsup://Directions/FactSet Auditing Viewer?action=AUDIT_VALUE&amp;DB=129&amp;ID1=16890510&amp;VALUEID=01001&amp;SDATE=200603&amp;PERIODTYPE=QTR_STD&amp;window=popup_no_bar&amp;width=385&amp;height=120&amp;START_MAXIMIZED=FALSE&amp;creator=factset&amp;display_string=Audit"}</definedName>
    <definedName name="_409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41__FDSAUDITLINK__" localSheetId="1" hidden="1">{"fdsup://Directions/FactSet Auditing Viewer?action=AUDIT_VALUE&amp;DB=129&amp;ID1=19421W10&amp;VALUEID=01001&amp;SDATE=2010&amp;PERIODTYPE=ANN_STD&amp;SCFT=3&amp;window=popup_no_bar&amp;width=385&amp;height=120&amp;START_MAXIMIZED=FALSE&amp;creator=factset&amp;display_string=Audit"}</definedName>
    <definedName name="_41__FDSAUDITLINK__" localSheetId="20" hidden="1">{"fdsup://Directions/FactSet Auditing Viewer?action=AUDIT_VALUE&amp;DB=129&amp;ID1=36476010&amp;VALUEID=01001&amp;SDATE=200903&amp;PERIODTYPE=QTR_STD&amp;window=popup_no_bar&amp;width=385&amp;height=120&amp;START_MAXIMIZED=FALSE&amp;creator=factset&amp;display_string=Audit"}</definedName>
    <definedName name="_41__FDSAUDITLINK__" hidden="1">{"fdsup://Directions/FactSet Auditing Viewer?action=AUDIT_VALUE&amp;DB=129&amp;ID1=19421W10&amp;VALUEID=01001&amp;SDATE=2010&amp;PERIODTYPE=ANN_STD&amp;SCFT=3&amp;window=popup_no_bar&amp;width=385&amp;height=120&amp;START_MAXIMIZED=FALSE&amp;creator=factset&amp;display_string=Audit"}</definedName>
    <definedName name="_410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410__FDSAUDITLINK__" localSheetId="20" hidden="1">{"fdsup://Directions/FactSet Auditing Viewer?action=AUDIT_VALUE&amp;DB=129&amp;ID1=16890510&amp;VALUEID=02101&amp;SDATE=200603&amp;PERIODTYPE=QTR_STD&amp;window=popup_no_bar&amp;width=385&amp;height=120&amp;START_MAXIMIZED=FALSE&amp;creator=factset&amp;display_string=Audit"}</definedName>
    <definedName name="_41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411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411__FDSAUDITLINK__" localSheetId="20" hidden="1">{"fdsup://Directions/FactSet Auditing Viewer?action=AUDIT_VALUE&amp;DB=129&amp;ID1=16890510&amp;VALUEID=01001&amp;SDATE=200604&amp;PERIODTYPE=QTR_STD&amp;window=popup_no_bar&amp;width=385&amp;height=120&amp;START_MAXIMIZED=FALSE&amp;creator=factset&amp;display_string=Audit"}</definedName>
    <definedName name="_411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412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412__FDSAUDITLINK__" localSheetId="20" hidden="1">{"fdsup://Directions/FactSet Auditing Viewer?action=AUDIT_VALUE&amp;DB=129&amp;ID1=16890510&amp;VALUEID=01001&amp;SDATE=200701&amp;PERIODTYPE=QTR_STD&amp;window=popup_no_bar&amp;width=385&amp;height=120&amp;START_MAXIMIZED=FALSE&amp;creator=factset&amp;display_string=Audit"}</definedName>
    <definedName name="_412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413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413__FDSAUDITLINK__" localSheetId="20" hidden="1">{"fdsup://Directions/FactSet Auditing Viewer?action=AUDIT_VALUE&amp;DB=129&amp;ID1=16890510&amp;VALUEID=02101&amp;SDATE=200701&amp;PERIODTYPE=QTR_STD&amp;window=popup_no_bar&amp;width=385&amp;height=120&amp;START_MAXIMIZED=FALSE&amp;creator=factset&amp;display_string=Audit"}</definedName>
    <definedName name="_413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414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414__FDSAUDITLINK__" localSheetId="20" hidden="1">{"fdsup://Directions/FactSet Auditing Viewer?action=AUDIT_VALUE&amp;DB=129&amp;ID1=16890510&amp;VALUEID=13040&amp;SDATE=200701&amp;PERIODTYPE=QTR_STD&amp;window=popup_no_bar&amp;width=385&amp;height=120&amp;START_MAXIMIZED=FALSE&amp;creator=factset&amp;display_string=Audit"}</definedName>
    <definedName name="_41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415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415__FDSAUDITLINK__" localSheetId="20" hidden="1">{"fdsup://Directions/FactSet Auditing Viewer?action=AUDIT_VALUE&amp;DB=129&amp;ID1=16890510&amp;VALUEID=13040&amp;SDATE=200702&amp;PERIODTYPE=QTR_STD&amp;window=popup_no_bar&amp;width=385&amp;height=120&amp;START_MAXIMIZED=FALSE&amp;creator=factset&amp;display_string=Audit"}</definedName>
    <definedName name="_415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416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416__FDSAUDITLINK__" localSheetId="20" hidden="1">{"fdsup://Directions/FactSet Auditing Viewer?action=AUDIT_VALUE&amp;DB=129&amp;ID1=16890510&amp;VALUEID=01001&amp;SDATE=200702&amp;PERIODTYPE=QTR_STD&amp;window=popup_no_bar&amp;width=385&amp;height=120&amp;START_MAXIMIZED=FALSE&amp;creator=factset&amp;display_string=Audit"}</definedName>
    <definedName name="_416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417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417__FDSAUDITLINK__" localSheetId="20" hidden="1">{"fdsup://Directions/FactSet Auditing Viewer?action=AUDIT_VALUE&amp;DB=129&amp;ID1=16890510&amp;VALUEID=02101&amp;SDATE=200702&amp;PERIODTYPE=QTR_STD&amp;window=popup_no_bar&amp;width=385&amp;height=120&amp;START_MAXIMIZED=FALSE&amp;creator=factset&amp;display_string=Audit"}</definedName>
    <definedName name="_417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418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418__FDSAUDITLINK__" localSheetId="20" hidden="1">{"fdsup://Directions/FactSet Auditing Viewer?action=AUDIT_VALUE&amp;DB=129&amp;ID1=16890510&amp;VALUEID=13040&amp;SDATE=200703&amp;PERIODTYPE=QTR_STD&amp;window=popup_no_bar&amp;width=385&amp;height=120&amp;START_MAXIMIZED=FALSE&amp;creator=factset&amp;display_string=Audit"}</definedName>
    <definedName name="_41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419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419__FDSAUDITLINK__" localSheetId="20" hidden="1">{"fdsup://Directions/FactSet Auditing Viewer?action=AUDIT_VALUE&amp;DB=129&amp;ID1=16890510&amp;VALUEID=01001&amp;SDATE=200703&amp;PERIODTYPE=QTR_STD&amp;window=popup_no_bar&amp;width=385&amp;height=120&amp;START_MAXIMIZED=FALSE&amp;creator=factset&amp;display_string=Audit"}</definedName>
    <definedName name="_419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42__FDSAUDITLINK__" localSheetId="1" hidden="1">{"fdsup://Directions/FactSet Auditing Viewer?action=AUDIT_VALUE&amp;DB=129&amp;ID1=34484910&amp;VALUEID=01001&amp;SDATE=2010&amp;PERIODTYPE=ANN_STD&amp;SCFT=3&amp;window=popup_no_bar&amp;width=385&amp;height=120&amp;START_MAXIMIZED=FALSE&amp;creator=factset&amp;display_string=Audit"}</definedName>
    <definedName name="_42__FDSAUDITLINK__" localSheetId="20" hidden="1">{"fdsup://Directions/FactSet Auditing Viewer?action=AUDIT_VALUE&amp;DB=129&amp;ID1=36476010&amp;VALUEID=13040&amp;SDATE=200903&amp;PERIODTYPE=QTR_STD&amp;window=popup_no_bar&amp;width=385&amp;height=120&amp;START_MAXIMIZED=FALSE&amp;creator=factset&amp;display_string=Audit"}</definedName>
    <definedName name="_42__FDSAUDITLINK__" hidden="1">{"fdsup://Directions/FactSet Auditing Viewer?action=AUDIT_VALUE&amp;DB=129&amp;ID1=34484910&amp;VALUEID=01001&amp;SDATE=2010&amp;PERIODTYPE=ANN_STD&amp;SCFT=3&amp;window=popup_no_bar&amp;width=385&amp;height=120&amp;START_MAXIMIZED=FALSE&amp;creator=factset&amp;display_string=Audit"}</definedName>
    <definedName name="_420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420__FDSAUDITLINK__" localSheetId="20" hidden="1">{"fdsup://Directions/FactSet Auditing Viewer?action=AUDIT_VALUE&amp;DB=129&amp;ID1=16890510&amp;VALUEID=02101&amp;SDATE=200703&amp;PERIODTYPE=QTR_STD&amp;window=popup_no_bar&amp;width=385&amp;height=120&amp;START_MAXIMIZED=FALSE&amp;creator=factset&amp;display_string=Audit"}</definedName>
    <definedName name="_420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421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421__FDSAUDITLINK__" localSheetId="20" hidden="1">{"fdsup://Directions/FactSet Auditing Viewer?action=AUDIT_VALUE&amp;DB=129&amp;ID1=16890510&amp;VALUEID=01001&amp;SDATE=200704&amp;PERIODTYPE=QTR_STD&amp;window=popup_no_bar&amp;width=385&amp;height=120&amp;START_MAXIMIZED=FALSE&amp;creator=factset&amp;display_string=Audit"}</definedName>
    <definedName name="_42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422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422__FDSAUDITLINK__" localSheetId="20" hidden="1">{"fdsup://Directions/FactSet Auditing Viewer?action=AUDIT_VALUE&amp;DB=129&amp;ID1=16890510&amp;VALUEID=01001&amp;SDATE=200801&amp;PERIODTYPE=QTR_STD&amp;window=popup_no_bar&amp;width=385&amp;height=120&amp;START_MAXIMIZED=FALSE&amp;creator=factset&amp;display_string=Audit"}</definedName>
    <definedName name="_4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423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423__FDSAUDITLINK__" localSheetId="20" hidden="1">{"fdsup://Directions/FactSet Auditing Viewer?action=AUDIT_VALUE&amp;DB=129&amp;ID1=16890510&amp;VALUEID=02101&amp;SDATE=200801&amp;PERIODTYPE=QTR_STD&amp;window=popup_no_bar&amp;width=385&amp;height=120&amp;START_MAXIMIZED=FALSE&amp;creator=factset&amp;display_string=Audit"}</definedName>
    <definedName name="_423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424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424__FDSAUDITLINK__" localSheetId="20" hidden="1">{"fdsup://Directions/FactSet Auditing Viewer?action=AUDIT_VALUE&amp;DB=129&amp;ID1=16890510&amp;VALUEID=13040&amp;SDATE=200801&amp;PERIODTYPE=QTR_STD&amp;window=popup_no_bar&amp;width=385&amp;height=120&amp;START_MAXIMIZED=FALSE&amp;creator=factset&amp;display_string=Audit"}</definedName>
    <definedName name="_424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425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425__FDSAUDITLINK__" localSheetId="20" hidden="1">{"fdsup://Directions/FactSet Auditing Viewer?action=AUDIT_VALUE&amp;DB=129&amp;ID1=16890510&amp;VALUEID=13040&amp;SDATE=200802&amp;PERIODTYPE=QTR_STD&amp;window=popup_no_bar&amp;width=385&amp;height=120&amp;START_MAXIMIZED=FALSE&amp;creator=factset&amp;display_string=Audit"}</definedName>
    <definedName name="_42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426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426__FDSAUDITLINK__" localSheetId="20" hidden="1">{"fdsup://Directions/FactSet Auditing Viewer?action=AUDIT_VALUE&amp;DB=129&amp;ID1=16890510&amp;VALUEID=01001&amp;SDATE=200802&amp;PERIODTYPE=QTR_STD&amp;window=popup_no_bar&amp;width=385&amp;height=120&amp;START_MAXIMIZED=FALSE&amp;creator=factset&amp;display_string=Audit"}</definedName>
    <definedName name="_426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427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427__FDSAUDITLINK__" localSheetId="20" hidden="1">{"fdsup://Directions/FactSet Auditing Viewer?action=AUDIT_VALUE&amp;DB=129&amp;ID1=16890510&amp;VALUEID=02101&amp;SDATE=200802&amp;PERIODTYPE=QTR_STD&amp;window=popup_no_bar&amp;width=385&amp;height=120&amp;START_MAXIMIZED=FALSE&amp;creator=factset&amp;display_string=Audit"}</definedName>
    <definedName name="_427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428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428__FDSAUDITLINK__" localSheetId="20" hidden="1">{"fdsup://Directions/FactSet Auditing Viewer?action=AUDIT_VALUE&amp;DB=129&amp;ID1=16890510&amp;VALUEID=13040&amp;SDATE=200803&amp;PERIODTYPE=QTR_STD&amp;window=popup_no_bar&amp;width=385&amp;height=120&amp;START_MAXIMIZED=FALSE&amp;creator=factset&amp;display_string=Audit"}</definedName>
    <definedName name="_42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429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429__FDSAUDITLINK__" localSheetId="20" hidden="1">{"fdsup://Directions/FactSet Auditing Viewer?action=AUDIT_VALUE&amp;DB=129&amp;ID1=16890510&amp;VALUEID=01001&amp;SDATE=200803&amp;PERIODTYPE=QTR_STD&amp;window=popup_no_bar&amp;width=385&amp;height=120&amp;START_MAXIMIZED=FALSE&amp;creator=factset&amp;display_string=Audit"}</definedName>
    <definedName name="_429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43__FDSAUDITLINK__" localSheetId="1" hidden="1">{"fdsup://Directions/FactSet Auditing Viewer?action=AUDIT_VALUE&amp;DB=129&amp;ID1=58711810&amp;VALUEID=01001&amp;SDATE=2010&amp;PERIODTYPE=ANN_STD&amp;SCFT=3&amp;window=popup_no_bar&amp;width=385&amp;height=120&amp;START_MAXIMIZED=FALSE&amp;creator=factset&amp;display_string=Audit"}</definedName>
    <definedName name="_43__FDSAUDITLINK__" localSheetId="20" hidden="1">{"fdsup://Directions/FactSet Auditing Viewer?action=AUDIT_VALUE&amp;DB=129&amp;ID1=03611510&amp;VALUEID=02101&amp;SDATE=200903&amp;PERIODTYPE=QTR_STD&amp;window=popup_no_bar&amp;width=385&amp;height=120&amp;START_MAXIMIZED=FALSE&amp;creator=factset&amp;display_string=Audit"}</definedName>
    <definedName name="_43__FDSAUDITLINK__" hidden="1">{"fdsup://Directions/FactSet Auditing Viewer?action=AUDIT_VALUE&amp;DB=129&amp;ID1=58711810&amp;VALUEID=01001&amp;SDATE=2010&amp;PERIODTYPE=ANN_STD&amp;SCFT=3&amp;window=popup_no_bar&amp;width=385&amp;height=120&amp;START_MAXIMIZED=FALSE&amp;creator=factset&amp;display_string=Audit"}</definedName>
    <definedName name="_430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430__FDSAUDITLINK__" localSheetId="20" hidden="1">{"fdsup://Directions/FactSet Auditing Viewer?action=AUDIT_VALUE&amp;DB=129&amp;ID1=16890510&amp;VALUEID=02101&amp;SDATE=200803&amp;PERIODTYPE=QTR_STD&amp;window=popup_no_bar&amp;width=385&amp;height=120&amp;START_MAXIMIZED=FALSE&amp;creator=factset&amp;display_string=Audit"}</definedName>
    <definedName name="_430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431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431__FDSAUDITLINK__" localSheetId="20" hidden="1">{"fdsup://Directions/FactSet Auditing Viewer?action=AUDIT_VALUE&amp;DB=129&amp;ID1=16890510&amp;VALUEID=01001&amp;SDATE=200804&amp;PERIODTYPE=QTR_STD&amp;window=popup_no_bar&amp;width=385&amp;height=120&amp;START_MAXIMIZED=FALSE&amp;creator=factset&amp;display_string=Audit"}</definedName>
    <definedName name="_43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432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432__FDSAUDITLINK__" localSheetId="20" hidden="1">{"fdsup://Directions/FactSet Auditing Viewer?action=AUDIT_VALUE&amp;DB=129&amp;ID1=16890510&amp;VALUEID=01001&amp;SDATE=200901&amp;PERIODTYPE=QTR_STD&amp;window=popup_no_bar&amp;width=385&amp;height=120&amp;START_MAXIMIZED=FALSE&amp;creator=factset&amp;display_string=Audit"}</definedName>
    <definedName name="_432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433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433__FDSAUDITLINK__" localSheetId="20" hidden="1">{"fdsup://Directions/FactSet Auditing Viewer?action=AUDIT_VALUE&amp;DB=129&amp;ID1=16890510&amp;VALUEID=02101&amp;SDATE=200901&amp;PERIODTYPE=QTR_STD&amp;window=popup_no_bar&amp;width=385&amp;height=120&amp;START_MAXIMIZED=FALSE&amp;creator=factset&amp;display_string=Audit"}</definedName>
    <definedName name="_433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434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434__FDSAUDITLINK__" localSheetId="20" hidden="1">{"fdsup://Directions/FactSet Auditing Viewer?action=AUDIT_VALUE&amp;DB=129&amp;ID1=16890510&amp;VALUEID=13040&amp;SDATE=200902&amp;PERIODTYPE=QTR_STD&amp;window=popup_no_bar&amp;width=385&amp;height=120&amp;START_MAXIMIZED=FALSE&amp;creator=factset&amp;display_string=Audit"}</definedName>
    <definedName name="_434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435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435__FDSAUDITLINK__" localSheetId="20" hidden="1">{"fdsup://Directions/FactSet Auditing Viewer?action=AUDIT_VALUE&amp;DB=129&amp;ID1=16890510&amp;VALUEID=01001&amp;SDATE=200902&amp;PERIODTYPE=QTR_STD&amp;window=popup_no_bar&amp;width=385&amp;height=120&amp;START_MAXIMIZED=FALSE&amp;creator=factset&amp;display_string=Audit"}</definedName>
    <definedName name="_43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436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436__FDSAUDITLINK__" localSheetId="20" hidden="1">{"fdsup://Directions/FactSet Auditing Viewer?action=AUDIT_VALUE&amp;DB=129&amp;ID1=16890510&amp;VALUEID=02101&amp;SDATE=200902&amp;PERIODTYPE=QTR_STD&amp;window=popup_no_bar&amp;width=385&amp;height=120&amp;START_MAXIMIZED=FALSE&amp;creator=factset&amp;display_string=Audit"}</definedName>
    <definedName name="_43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437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437__FDSAUDITLINK__" localSheetId="20" hidden="1">{"fdsup://Directions/FactSet Auditing Viewer?action=AUDIT_VALUE&amp;DB=129&amp;ID1=16890510&amp;VALUEID=13040&amp;SDATE=200903&amp;PERIODTYPE=QTR_STD&amp;window=popup_no_bar&amp;width=385&amp;height=120&amp;START_MAXIMIZED=FALSE&amp;creator=factset&amp;display_string=Audit"}</definedName>
    <definedName name="_437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438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438__FDSAUDITLINK__" localSheetId="20" hidden="1">{"fdsup://Directions/FactSet Auditing Viewer?action=AUDIT_VALUE&amp;DB=129&amp;ID1=16890510&amp;VALUEID=01001&amp;SDATE=200903&amp;PERIODTYPE=QTR_STD&amp;window=popup_no_bar&amp;width=385&amp;height=120&amp;START_MAXIMIZED=FALSE&amp;creator=factset&amp;display_string=Audit"}</definedName>
    <definedName name="_43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39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439__FDSAUDITLINK__" localSheetId="20" hidden="1">{"fdsup://Directions/FactSet Auditing Viewer?action=AUDIT_VALUE&amp;DB=129&amp;ID1=16890510&amp;VALUEID=02101&amp;SDATE=200903&amp;PERIODTYPE=QTR_STD&amp;window=popup_no_bar&amp;width=385&amp;height=120&amp;START_MAXIMIZED=FALSE&amp;creator=factset&amp;display_string=Audit"}</definedName>
    <definedName name="_43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4__FDSAUDITLINK__" localSheetId="1" hidden="1">{"fdsup://Directions/FactSet Auditing Viewer?action=AUDIT_VALUE&amp;DB=129&amp;ID1=85837510&amp;VALUEID=01001&amp;SDATE=2010&amp;PERIODTYPE=ANN_STD&amp;SCFT=3&amp;window=popup_no_bar&amp;width=385&amp;height=120&amp;START_MAXIMIZED=FALSE&amp;creator=factset&amp;display_string=Audit"}</definedName>
    <definedName name="_44__FDSAUDITLINK__" localSheetId="20" hidden="1">{"fdsup://Directions/FactSet Auditing Viewer?action=AUDIT_VALUE&amp;DB=129&amp;ID1=03611510&amp;VALUEID=01001&amp;SDATE=200903&amp;PERIODTYPE=QTR_STD&amp;window=popup_no_bar&amp;width=385&amp;height=120&amp;START_MAXIMIZED=FALSE&amp;creator=factset&amp;display_string=Audit"}</definedName>
    <definedName name="_44__FDSAUDITLINK__" hidden="1">{"fdsup://Directions/FactSet Auditing Viewer?action=AUDIT_VALUE&amp;DB=129&amp;ID1=85837510&amp;VALUEID=01001&amp;SDATE=2010&amp;PERIODTYPE=ANN_STD&amp;SCFT=3&amp;window=popup_no_bar&amp;width=385&amp;height=120&amp;START_MAXIMIZED=FALSE&amp;creator=factset&amp;display_string=Audit"}</definedName>
    <definedName name="_440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440__FDSAUDITLINK__" localSheetId="20" hidden="1">{"fdsup://Directions/FactSet Auditing Viewer?action=AUDIT_VALUE&amp;DB=129&amp;ID1=16890510&amp;VALUEID=01001&amp;SDATE=200904&amp;PERIODTYPE=QTR_STD&amp;window=popup_no_bar&amp;width=385&amp;height=120&amp;START_MAXIMIZED=FALSE&amp;creator=factset&amp;display_string=Audit"}</definedName>
    <definedName name="_44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41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441__FDSAUDITLINK__" localSheetId="20" hidden="1">{"fdsup://Directions/FactSet Auditing Viewer?action=AUDIT_VALUE&amp;DB=129&amp;ID1=16890510&amp;VALUEID=13040&amp;SDATE=201001&amp;PERIODTYPE=QTR_STD&amp;window=popup_no_bar&amp;width=385&amp;height=120&amp;START_MAXIMIZED=FALSE&amp;creator=factset&amp;display_string=Audit"}</definedName>
    <definedName name="_44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442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442__FDSAUDITLINK__" localSheetId="20" hidden="1">{"fdsup://Directions/FactSet Auditing Viewer?action=AUDIT_VALUE&amp;DB=129&amp;ID1=16890510&amp;VALUEID=01001&amp;SDATE=201001&amp;PERIODTYPE=QTR_STD&amp;window=popup_no_bar&amp;width=385&amp;height=120&amp;START_MAXIMIZED=FALSE&amp;creator=factset&amp;display_string=Audit"}</definedName>
    <definedName name="_44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443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443__FDSAUDITLINK__" localSheetId="20" hidden="1">{"fdsup://Directions/FactSet Auditing Viewer?action=AUDIT_VALUE&amp;DB=129&amp;ID1=16890510&amp;VALUEID=02101&amp;SDATE=201001&amp;PERIODTYPE=QTR_STD&amp;window=popup_no_bar&amp;width=385&amp;height=120&amp;START_MAXIMIZED=FALSE&amp;creator=factset&amp;display_string=Audit"}</definedName>
    <definedName name="_44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44__FDSAUDITLINK__" localSheetId="1" hidden="1">{"fdsup://Directions/FactSet Auditing Viewer?action=AUDIT_VALUE&amp;DB=129&amp;ID1=87416110&amp;VALUEID=02101&amp;SDATE=201001&amp;PERIODTYPE=QTR_STD&amp;window=popup_no_bar&amp;width=385&amp;height=120&amp;START_MAXIMIZED=FALSE&amp;creator=factset&amp;display_string=Audit"}</definedName>
    <definedName name="_444__FDSAUDITLINK__" localSheetId="20" hidden="1">{"fdsup://Directions/FactSet Auditing Viewer?action=AUDIT_VALUE&amp;DB=129&amp;ID1=87416110&amp;VALUEID=02101&amp;SDATE=201001&amp;PERIODTYPE=QTR_STD&amp;window=popup_no_bar&amp;width=385&amp;height=120&amp;START_MAXIMIZED=FALSE&amp;creator=factset&amp;display_string=Audit"}</definedName>
    <definedName name="_444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445__FDSAUDITLINK__" localSheetId="1" hidden="1">{"fdsup://Directions/FactSet Auditing Viewer?action=AUDIT_VALUE&amp;DB=129&amp;ID1=87416110&amp;VALUEID=13040&amp;SDATE=201001&amp;PERIODTYPE=QTR_STD&amp;window=popup_no_bar&amp;width=385&amp;height=120&amp;START_MAXIMIZED=FALSE&amp;creator=factset&amp;display_string=Audit"}</definedName>
    <definedName name="_445__FDSAUDITLINK__" localSheetId="20" hidden="1">{"fdsup://Directions/FactSet Auditing Viewer?action=AUDIT_VALUE&amp;DB=129&amp;ID1=87416110&amp;VALUEID=13040&amp;SDATE=201001&amp;PERIODTYPE=QTR_STD&amp;window=popup_no_bar&amp;width=385&amp;height=120&amp;START_MAXIMIZED=FALSE&amp;creator=factset&amp;display_string=Audit"}</definedName>
    <definedName name="_445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446__FDSAUDITLINK__" localSheetId="1"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6__FDSAUDITLINK__" localSheetId="20"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6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7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447__FDSAUDITLINK__" localSheetId="20" hidden="1">{"fdsup://Directions/FactSet Auditing Viewer?action=AUDIT_VALUE&amp;DB=129&amp;ID1=53271610&amp;VALUEID=02101&amp;SDATE=201001&amp;PERIODTYPE=QTR_STD&amp;window=popup_no_bar&amp;width=385&amp;height=120&amp;START_MAXIMIZED=FALSE&amp;creator=factset&amp;display_string=Audit"}</definedName>
    <definedName name="_447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48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448__FDSAUDITLINK__" localSheetId="20" hidden="1">{"fdsup://Directions/FactSet Auditing Viewer?action=AUDIT_VALUE&amp;DB=129&amp;ID1=53271610&amp;VALUEID=13040&amp;SDATE=201001&amp;PERIODTYPE=QTR_STD&amp;window=popup_no_bar&amp;width=385&amp;height=120&amp;START_MAXIMIZED=FALSE&amp;creator=factset&amp;display_string=Audit"}</definedName>
    <definedName name="_448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449__FDSAUDITLINK__" localSheetId="1" hidden="1">{"fdsup://Directions/FactSet Auditing Viewer?action=AUDIT_VALUE&amp;DB=129&amp;ID1=46612H40&amp;VALUEID=02101&amp;SDATE=201001&amp;PERIODTYPE=QTR_STD&amp;window=popup_no_bar&amp;width=385&amp;height=120&amp;START_MAXIMIZED=FALSE&amp;creator=factset&amp;display_string=Audit"}</definedName>
    <definedName name="_449__FDSAUDITLINK__" localSheetId="20" hidden="1">{"fdsup://Directions/FactSet Auditing Viewer?action=AUDIT_VALUE&amp;DB=129&amp;ID1=46612H40&amp;VALUEID=02101&amp;SDATE=201001&amp;PERIODTYPE=QTR_STD&amp;window=popup_no_bar&amp;width=385&amp;height=120&amp;START_MAXIMIZED=FALSE&amp;creator=factset&amp;display_string=Audit"}</definedName>
    <definedName name="_449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45__FDSAUDITLINK__" localSheetId="1" hidden="1">{"fdsup://Directions/FactSet Auditing Viewer?action=AUDIT_VALUE&amp;DB=129&amp;ID1=04351G10&amp;VALUEID=01001&amp;SDATE=2011&amp;PERIODTYPE=ANN_STD&amp;SCFT=3&amp;window=popup_no_bar&amp;width=385&amp;height=120&amp;START_MAXIMIZED=FALSE&amp;creator=factset&amp;display_string=Audit"}</definedName>
    <definedName name="_45__FDSAUDITLINK__" localSheetId="20" hidden="1">{"fdsup://Directions/FactSet Auditing Viewer?action=AUDIT_VALUE&amp;DB=129&amp;ID1=03611510&amp;VALUEID=13040&amp;SDATE=200903&amp;PERIODTYPE=QTR_STD&amp;window=popup_no_bar&amp;width=385&amp;height=120&amp;START_MAXIMIZED=FALSE&amp;creator=factset&amp;display_string=Audit"}</definedName>
    <definedName name="_45__FDSAUDITLINK__" hidden="1">{"fdsup://Directions/FactSet Auditing Viewer?action=AUDIT_VALUE&amp;DB=129&amp;ID1=04351G10&amp;VALUEID=01001&amp;SDATE=2011&amp;PERIODTYPE=ANN_STD&amp;SCFT=3&amp;window=popup_no_bar&amp;width=385&amp;height=120&amp;START_MAXIMIZED=FALSE&amp;creator=factset&amp;display_string=Audit"}</definedName>
    <definedName name="_450__FDSAUDITLINK__" localSheetId="1" hidden="1">{"fdsup://Directions/FactSet Auditing Viewer?action=AUDIT_VALUE&amp;DB=129&amp;ID1=46612H40&amp;VALUEID=13040&amp;SDATE=201001&amp;PERIODTYPE=QTR_STD&amp;window=popup_no_bar&amp;width=385&amp;height=120&amp;START_MAXIMIZED=FALSE&amp;creator=factset&amp;display_string=Audit"}</definedName>
    <definedName name="_450__FDSAUDITLINK__" localSheetId="20" hidden="1">{"fdsup://Directions/FactSet Auditing Viewer?action=AUDIT_VALUE&amp;DB=129&amp;ID1=46612H40&amp;VALUEID=13040&amp;SDATE=201001&amp;PERIODTYPE=QTR_STD&amp;window=popup_no_bar&amp;width=385&amp;height=120&amp;START_MAXIMIZED=FALSE&amp;creator=factset&amp;display_string=Audit"}</definedName>
    <definedName name="_450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451__FDSAUDITLINK__" localSheetId="1" hidden="1">{"fdsup://Directions/FactSet Auditing Viewer?action=AUDIT_VALUE&amp;DB=129&amp;ID1=36476010&amp;VALUEID=02101&amp;SDATE=201001&amp;PERIODTYPE=QTR_STD&amp;window=popup_no_bar&amp;width=385&amp;height=120&amp;START_MAXIMIZED=FALSE&amp;creator=factset&amp;display_string=Audit"}</definedName>
    <definedName name="_451__FDSAUDITLINK__" localSheetId="20" hidden="1">{"fdsup://Directions/FactSet Auditing Viewer?action=AUDIT_VALUE&amp;DB=129&amp;ID1=36476010&amp;VALUEID=02101&amp;SDATE=201001&amp;PERIODTYPE=QTR_STD&amp;window=popup_no_bar&amp;width=385&amp;height=120&amp;START_MAXIMIZED=FALSE&amp;creator=factset&amp;display_string=Audit"}</definedName>
    <definedName name="_451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452__FDSAUDITLINK__" localSheetId="1" hidden="1">{"fdsup://Directions/FactSet Auditing Viewer?action=AUDIT_VALUE&amp;DB=129&amp;ID1=36476010&amp;VALUEID=13040&amp;SDATE=201001&amp;PERIODTYPE=QTR_STD&amp;window=popup_no_bar&amp;width=385&amp;height=120&amp;START_MAXIMIZED=FALSE&amp;creator=factset&amp;display_string=Audit"}</definedName>
    <definedName name="_452__FDSAUDITLINK__" localSheetId="20" hidden="1">{"fdsup://Directions/FactSet Auditing Viewer?action=AUDIT_VALUE&amp;DB=129&amp;ID1=36476010&amp;VALUEID=13040&amp;SDATE=201001&amp;PERIODTYPE=QTR_STD&amp;window=popup_no_bar&amp;width=385&amp;height=120&amp;START_MAXIMIZED=FALSE&amp;creator=factset&amp;display_string=Audit"}</definedName>
    <definedName name="_452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453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453__FDSAUDITLINK__" localSheetId="20" hidden="1">{"fdsup://Directions/FactSet Auditing Viewer?action=AUDIT_VALUE&amp;DB=129&amp;ID1=03611510&amp;VALUEID=02101&amp;SDATE=201001&amp;PERIODTYPE=QTR_STD&amp;window=popup_no_bar&amp;width=385&amp;height=120&amp;START_MAXIMIZED=FALSE&amp;creator=factset&amp;display_string=Audit"}</definedName>
    <definedName name="_453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454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454__FDSAUDITLINK__" localSheetId="20" hidden="1">{"fdsup://Directions/FactSet Auditing Viewer?action=AUDIT_VALUE&amp;DB=129&amp;ID1=03611510&amp;VALUEID=13040&amp;SDATE=201001&amp;PERIODTYPE=QTR_STD&amp;window=popup_no_bar&amp;width=385&amp;height=120&amp;START_MAXIMIZED=FALSE&amp;creator=factset&amp;display_string=Audit"}</definedName>
    <definedName name="_454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455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455__FDSAUDITLINK__" localSheetId="20" hidden="1">{"fdsup://Directions/FactSet Auditing Viewer?action=AUDIT_VALUE&amp;DB=129&amp;ID1=16890510&amp;VALUEID=02101&amp;SDATE=201001&amp;PERIODTYPE=QTR_STD&amp;window=popup_no_bar&amp;width=385&amp;height=120&amp;START_MAXIMIZED=FALSE&amp;creator=factset&amp;display_string=Audit"}</definedName>
    <definedName name="_455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56__FDSAUDITLINK__" localSheetId="1" hidden="1">{"fdsup://Directions/FactSet Auditing Viewer?action=AUDIT_VALUE&amp;DB=129&amp;ID1=91704710&amp;VALUEID=02101&amp;SDATE=201001&amp;PERIODTYPE=QTR_STD&amp;window=popup_no_bar&amp;width=385&amp;height=120&amp;START_MAXIMIZED=FALSE&amp;creator=factset&amp;display_string=Audit"}</definedName>
    <definedName name="_456__FDSAUDITLINK__" localSheetId="20" hidden="1">{"fdsup://Directions/FactSet Auditing Viewer?action=AUDIT_VALUE&amp;DB=129&amp;ID1=91704710&amp;VALUEID=02101&amp;SDATE=201001&amp;PERIODTYPE=QTR_STD&amp;window=popup_no_bar&amp;width=385&amp;height=120&amp;START_MAXIMIZED=FALSE&amp;creator=factset&amp;display_string=Audit"}</definedName>
    <definedName name="_456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457__FDSAUDITLINK__" localSheetId="1" hidden="1">{"fdsup://Directions/FactSet Auditing Viewer?action=AUDIT_VALUE&amp;DB=129&amp;ID1=91704710&amp;VALUEID=13040&amp;SDATE=201001&amp;PERIODTYPE=QTR_STD&amp;window=popup_no_bar&amp;width=385&amp;height=120&amp;START_MAXIMIZED=FALSE&amp;creator=factset&amp;display_string=Audit"}</definedName>
    <definedName name="_457__FDSAUDITLINK__" localSheetId="20" hidden="1">{"fdsup://Directions/FactSet Auditing Viewer?action=AUDIT_VALUE&amp;DB=129&amp;ID1=91704710&amp;VALUEID=13040&amp;SDATE=201001&amp;PERIODTYPE=QTR_STD&amp;window=popup_no_bar&amp;width=385&amp;height=120&amp;START_MAXIMIZED=FALSE&amp;creator=factset&amp;display_string=Audit"}</definedName>
    <definedName name="_457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458__FDSAUDITLINK__" localSheetId="1" hidden="1">{"fdsup://Directions/FactSet Auditing Viewer?action=AUDIT_VALUE&amp;DB=129&amp;ID1=02553E10&amp;VALUEID=02101&amp;SDATE=201001&amp;PERIODTYPE=QTR_STD&amp;window=popup_no_bar&amp;width=385&amp;height=120&amp;START_MAXIMIZED=FALSE&amp;creator=factset&amp;display_string=Audit"}</definedName>
    <definedName name="_458__FDSAUDITLINK__" localSheetId="20" hidden="1">{"fdsup://Directions/FactSet Auditing Viewer?action=AUDIT_VALUE&amp;DB=129&amp;ID1=02553E10&amp;VALUEID=02101&amp;SDATE=201001&amp;PERIODTYPE=QTR_STD&amp;window=popup_no_bar&amp;width=385&amp;height=120&amp;START_MAXIMIZED=FALSE&amp;creator=factset&amp;display_string=Audit"}</definedName>
    <definedName name="_458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459__FDSAUDITLINK__" localSheetId="1" hidden="1">{"fdsup://Directions/FactSet Auditing Viewer?action=AUDIT_VALUE&amp;DB=129&amp;ID1=02553E10&amp;VALUEID=13040&amp;SDATE=201001&amp;PERIODTYPE=QTR_STD&amp;window=popup_no_bar&amp;width=385&amp;height=120&amp;START_MAXIMIZED=FALSE&amp;creator=factset&amp;display_string=Audit"}</definedName>
    <definedName name="_459__FDSAUDITLINK__" localSheetId="20" hidden="1">{"fdsup://Directions/FactSet Auditing Viewer?action=AUDIT_VALUE&amp;DB=129&amp;ID1=02553E10&amp;VALUEID=13040&amp;SDATE=201001&amp;PERIODTYPE=QTR_STD&amp;window=popup_no_bar&amp;width=385&amp;height=120&amp;START_MAXIMIZED=FALSE&amp;creator=factset&amp;display_string=Audit"}</definedName>
    <definedName name="_459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46__FDSAUDITLINK__" localSheetId="1" hidden="1">{"fdsup://Directions/FactSet Auditing Viewer?action=AUDIT_VALUE&amp;DB=129&amp;ID1=96184010&amp;VALUEID=01001&amp;SDATE=2010&amp;PERIODTYPE=ANN_STD&amp;SCFT=3&amp;window=popup_no_bar&amp;width=385&amp;height=120&amp;START_MAXIMIZED=FALSE&amp;creator=factset&amp;display_string=Audit"}</definedName>
    <definedName name="_46__FDSAUDITLINK__" localSheetId="20" hidden="1">{"fdsup://Directions/FactSet Auditing Viewer?action=AUDIT_VALUE&amp;DB=129&amp;ID1=16890510&amp;VALUEID=02101&amp;SDATE=200903&amp;PERIODTYPE=QTR_STD&amp;window=popup_no_bar&amp;width=385&amp;height=120&amp;START_MAXIMIZED=FALSE&amp;creator=factset&amp;display_string=Audit"}</definedName>
    <definedName name="_46__FDSAUDITLINK__" hidden="1">{"fdsup://Directions/FactSet Auditing Viewer?action=AUDIT_VALUE&amp;DB=129&amp;ID1=96184010&amp;VALUEID=01001&amp;SDATE=2010&amp;PERIODTYPE=ANN_STD&amp;SCFT=3&amp;window=popup_no_bar&amp;width=385&amp;height=120&amp;START_MAXIMIZED=FALSE&amp;creator=factset&amp;display_string=Audit"}</definedName>
    <definedName name="_460__FDSAUDITLINK__" localSheetId="1" hidden="1">{"fdsup://Directions/FactSet Auditing Viewer?action=AUDIT_VALUE&amp;DB=129&amp;ID1=00786510&amp;VALUEID=02101&amp;SDATE=201001&amp;PERIODTYPE=QTR_STD&amp;window=popup_no_bar&amp;width=385&amp;height=120&amp;START_MAXIMIZED=FALSE&amp;creator=factset&amp;display_string=Audit"}</definedName>
    <definedName name="_460__FDSAUDITLINK__" localSheetId="20" hidden="1">{"fdsup://Directions/FactSet Auditing Viewer?action=AUDIT_VALUE&amp;DB=129&amp;ID1=00786510&amp;VALUEID=02101&amp;SDATE=201001&amp;PERIODTYPE=QTR_STD&amp;window=popup_no_bar&amp;width=385&amp;height=120&amp;START_MAXIMIZED=FALSE&amp;creator=factset&amp;display_string=Audit"}</definedName>
    <definedName name="_460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461__FDSAUDITLINK__" localSheetId="1" hidden="1">{"fdsup://Directions/FactSet Auditing Viewer?action=AUDIT_VALUE&amp;DB=129&amp;ID1=00786510&amp;VALUEID=13040&amp;SDATE=201001&amp;PERIODTYPE=QTR_STD&amp;window=popup_no_bar&amp;width=385&amp;height=120&amp;START_MAXIMIZED=FALSE&amp;creator=factset&amp;display_string=Audit"}</definedName>
    <definedName name="_461__FDSAUDITLINK__" localSheetId="20" hidden="1">{"fdsup://Directions/FactSet Auditing Viewer?action=AUDIT_VALUE&amp;DB=129&amp;ID1=00786510&amp;VALUEID=13040&amp;SDATE=201001&amp;PERIODTYPE=QTR_STD&amp;window=popup_no_bar&amp;width=385&amp;height=120&amp;START_MAXIMIZED=FALSE&amp;creator=factset&amp;display_string=Audit"}</definedName>
    <definedName name="_461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462__FDSAUDITLINK__" localSheetId="1" hidden="1">{"fdsup://Directions/FactSet Auditing Viewer?action=AUDIT_VALUE&amp;DB=129&amp;ID1=00289620&amp;VALUEID=02101&amp;SDATE=201001&amp;PERIODTYPE=QTR_STD&amp;window=popup_no_bar&amp;width=385&amp;height=120&amp;START_MAXIMIZED=FALSE&amp;creator=factset&amp;display_string=Audit"}</definedName>
    <definedName name="_462__FDSAUDITLINK__" localSheetId="20" hidden="1">{"fdsup://Directions/FactSet Auditing Viewer?action=AUDIT_VALUE&amp;DB=129&amp;ID1=00289620&amp;VALUEID=02101&amp;SDATE=201001&amp;PERIODTYPE=QTR_STD&amp;window=popup_no_bar&amp;width=385&amp;height=120&amp;START_MAXIMIZED=FALSE&amp;creator=factset&amp;display_string=Audit"}</definedName>
    <definedName name="_462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463__FDSAUDITLINK__" localSheetId="1" hidden="1">{"fdsup://Directions/FactSet Auditing Viewer?action=AUDIT_VALUE&amp;DB=129&amp;ID1=00289620&amp;VALUEID=13040&amp;SDATE=201001&amp;PERIODTYPE=QTR_STD&amp;window=popup_no_bar&amp;width=385&amp;height=120&amp;START_MAXIMIZED=FALSE&amp;creator=factset&amp;display_string=Audit"}</definedName>
    <definedName name="_463__FDSAUDITLINK__" localSheetId="20" hidden="1">{"fdsup://Directions/FactSet Auditing Viewer?action=AUDIT_VALUE&amp;DB=129&amp;ID1=00289620&amp;VALUEID=13040&amp;SDATE=201001&amp;PERIODTYPE=QTR_STD&amp;window=popup_no_bar&amp;width=385&amp;height=120&amp;START_MAXIMIZED=FALSE&amp;creator=factset&amp;display_string=Audit"}</definedName>
    <definedName name="_463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464__FDSAUDITLINK__" localSheetId="1" hidden="1">{"fdsup://Directions/FactSet Auditing Viewer?action=AUDIT_VALUE&amp;DB=129&amp;ID1=87416110&amp;VALUEID=01001&amp;SDATE=200904&amp;PERIODTYPE=QTR_STD&amp;window=popup_no_bar&amp;width=385&amp;height=120&amp;START_MAXIMIZED=FALSE&amp;creator=factset&amp;display_string=Audit"}</definedName>
    <definedName name="_464__FDSAUDITLINK__" localSheetId="20" hidden="1">{"fdsup://Directions/FactSet Auditing Viewer?action=AUDIT_VALUE&amp;DB=129&amp;ID1=87416110&amp;VALUEID=01001&amp;SDATE=200904&amp;PERIODTYPE=QTR_STD&amp;window=popup_no_bar&amp;width=385&amp;height=120&amp;START_MAXIMIZED=FALSE&amp;creator=factset&amp;display_string=Audit"}</definedName>
    <definedName name="_464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465__FDSAUDITLINK__" localSheetId="1"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5__FDSAUDITLINK__" localSheetId="20"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5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6__FDSAUDITLINK__" localSheetId="1" hidden="1">{"fdsup://Directions/FactSet Auditing Viewer?action=AUDIT_VALUE&amp;DB=129&amp;ID1=46612H40&amp;VALUEID=01001&amp;SDATE=200904&amp;PERIODTYPE=QTR_STD&amp;window=popup_no_bar&amp;width=385&amp;height=120&amp;START_MAXIMIZED=FALSE&amp;creator=factset&amp;display_string=Audit"}</definedName>
    <definedName name="_466__FDSAUDITLINK__" localSheetId="20" hidden="1">{"fdsup://Directions/FactSet Auditing Viewer?action=AUDIT_VALUE&amp;DB=129&amp;ID1=46612H40&amp;VALUEID=01001&amp;SDATE=200904&amp;PERIODTYPE=QTR_STD&amp;window=popup_no_bar&amp;width=385&amp;height=120&amp;START_MAXIMIZED=FALSE&amp;creator=factset&amp;display_string=Audit"}</definedName>
    <definedName name="_466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467__FDSAUDITLINK__" localSheetId="1" hidden="1">{"fdsup://Directions/FactSet Auditing Viewer?action=AUDIT_VALUE&amp;DB=129&amp;ID1=36476010&amp;VALUEID=01001&amp;SDATE=200904&amp;PERIODTYPE=QTR_STD&amp;window=popup_no_bar&amp;width=385&amp;height=120&amp;START_MAXIMIZED=FALSE&amp;creator=factset&amp;display_string=Audit"}</definedName>
    <definedName name="_467__FDSAUDITLINK__" localSheetId="20" hidden="1">{"fdsup://Directions/FactSet Auditing Viewer?action=AUDIT_VALUE&amp;DB=129&amp;ID1=36476010&amp;VALUEID=01001&amp;SDATE=200904&amp;PERIODTYPE=QTR_STD&amp;window=popup_no_bar&amp;width=385&amp;height=120&amp;START_MAXIMIZED=FALSE&amp;creator=factset&amp;display_string=Audit"}</definedName>
    <definedName name="_467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468__FDSAUDITLINK__" localSheetId="1" hidden="1">{"fdsup://Directions/FactSet Auditing Viewer?action=AUDIT_VALUE&amp;DB=129&amp;ID1=03611510&amp;VALUEID=01001&amp;SDATE=200904&amp;PERIODTYPE=QTR_STD&amp;window=popup_no_bar&amp;width=385&amp;height=120&amp;START_MAXIMIZED=FALSE&amp;creator=factset&amp;display_string=Audit"}</definedName>
    <definedName name="_468__FDSAUDITLINK__" localSheetId="20" hidden="1">{"fdsup://Directions/FactSet Auditing Viewer?action=AUDIT_VALUE&amp;DB=129&amp;ID1=03611510&amp;VALUEID=01001&amp;SDATE=200904&amp;PERIODTYPE=QTR_STD&amp;window=popup_no_bar&amp;width=385&amp;height=120&amp;START_MAXIMIZED=FALSE&amp;creator=factset&amp;display_string=Audit"}</definedName>
    <definedName name="_468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469__FDSAUDITLINK__" localSheetId="1" hidden="1">{"fdsup://Directions/FactSet Auditing Viewer?action=AUDIT_VALUE&amp;DB=129&amp;ID1=16890510&amp;VALUEID=01001&amp;SDATE=200904&amp;PERIODTYPE=QTR_STD&amp;window=popup_no_bar&amp;width=385&amp;height=120&amp;START_MAXIMIZED=FALSE&amp;creator=factset&amp;display_string=Audit"}</definedName>
    <definedName name="_469__FDSAUDITLINK__" localSheetId="20" hidden="1">{"fdsup://Directions/FactSet Auditing Viewer?action=AUDIT_VALUE&amp;DB=129&amp;ID1=16890510&amp;VALUEID=01001&amp;SDATE=200904&amp;PERIODTYPE=QTR_STD&amp;window=popup_no_bar&amp;width=385&amp;height=120&amp;START_MAXIMIZED=FALSE&amp;creator=factset&amp;display_string=Audit"}</definedName>
    <definedName name="_469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7__FDSAUDITLINK__" localSheetId="1" hidden="1">{"fdsup://Directions/FactSet Auditing Viewer?action=AUDIT_VALUE&amp;DB=129&amp;ID1=85254C30&amp;VALUEID=01001&amp;SDATE=2010&amp;PERIODTYPE=ANN_STD&amp;SCFT=3&amp;window=popup_no_bar&amp;width=385&amp;height=120&amp;START_MAXIMIZED=FALSE&amp;creator=factset&amp;display_string=Audit"}</definedName>
    <definedName name="_47__FDSAUDITLINK__" localSheetId="20" hidden="1">{"fdsup://Directions/FactSet Auditing Viewer?action=AUDIT_VALUE&amp;DB=129&amp;ID1=16890510&amp;VALUEID=01001&amp;SDATE=200903&amp;PERIODTYPE=QTR_STD&amp;window=popup_no_bar&amp;width=385&amp;height=120&amp;START_MAXIMIZED=FALSE&amp;creator=factset&amp;display_string=Audit"}</definedName>
    <definedName name="_47__FDSAUDITLINK__" hidden="1">{"fdsup://Directions/FactSet Auditing Viewer?action=AUDIT_VALUE&amp;DB=129&amp;ID1=85254C30&amp;VALUEID=01001&amp;SDATE=2010&amp;PERIODTYPE=ANN_STD&amp;SCFT=3&amp;window=popup_no_bar&amp;width=385&amp;height=120&amp;START_MAXIMIZED=FALSE&amp;creator=factset&amp;display_string=Audit"}</definedName>
    <definedName name="_470__FDSAUDITLINK__" localSheetId="1" hidden="1">{"fdsup://Directions/FactSet Auditing Viewer?action=AUDIT_VALUE&amp;DB=129&amp;ID1=91704710&amp;VALUEID=01001&amp;SDATE=200904&amp;PERIODTYPE=QTR_STD&amp;window=popup_no_bar&amp;width=385&amp;height=120&amp;START_MAXIMIZED=FALSE&amp;creator=factset&amp;display_string=Audit"}</definedName>
    <definedName name="_470__FDSAUDITLINK__" localSheetId="20" hidden="1">{"fdsup://Directions/FactSet Auditing Viewer?action=AUDIT_VALUE&amp;DB=129&amp;ID1=91704710&amp;VALUEID=01001&amp;SDATE=200904&amp;PERIODTYPE=QTR_STD&amp;window=popup_no_bar&amp;width=385&amp;height=120&amp;START_MAXIMIZED=FALSE&amp;creator=factset&amp;display_string=Audit"}</definedName>
    <definedName name="_470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471__FDSAUDITLINK__" localSheetId="1" hidden="1">{"fdsup://Directions/FactSet Auditing Viewer?action=AUDIT_VALUE&amp;DB=129&amp;ID1=02553E10&amp;VALUEID=01001&amp;SDATE=200904&amp;PERIODTYPE=QTR_STD&amp;window=popup_no_bar&amp;width=385&amp;height=120&amp;START_MAXIMIZED=FALSE&amp;creator=factset&amp;display_string=Audit"}</definedName>
    <definedName name="_471__FDSAUDITLINK__" localSheetId="20" hidden="1">{"fdsup://Directions/FactSet Auditing Viewer?action=AUDIT_VALUE&amp;DB=129&amp;ID1=02553E10&amp;VALUEID=01001&amp;SDATE=200904&amp;PERIODTYPE=QTR_STD&amp;window=popup_no_bar&amp;width=385&amp;height=120&amp;START_MAXIMIZED=FALSE&amp;creator=factset&amp;display_string=Audit"}</definedName>
    <definedName name="_471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472__FDSAUDITLINK__" localSheetId="1" hidden="1">{"fdsup://Directions/FactSet Auditing Viewer?action=AUDIT_VALUE&amp;DB=129&amp;ID1=00786510&amp;VALUEID=01001&amp;SDATE=200904&amp;PERIODTYPE=QTR_STD&amp;window=popup_no_bar&amp;width=385&amp;height=120&amp;START_MAXIMIZED=FALSE&amp;creator=factset&amp;display_string=Audit"}</definedName>
    <definedName name="_472__FDSAUDITLINK__" localSheetId="20" hidden="1">{"fdsup://Directions/FactSet Auditing Viewer?action=AUDIT_VALUE&amp;DB=129&amp;ID1=00786510&amp;VALUEID=01001&amp;SDATE=200904&amp;PERIODTYPE=QTR_STD&amp;window=popup_no_bar&amp;width=385&amp;height=120&amp;START_MAXIMIZED=FALSE&amp;creator=factset&amp;display_string=Audit"}</definedName>
    <definedName name="_472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473__FDSAUDITLINK__" localSheetId="1" hidden="1">{"fdsup://Directions/FactSet Auditing Viewer?action=AUDIT_VALUE&amp;DB=129&amp;ID1=87416110&amp;VALUEID=02101&amp;SDATE=200903&amp;PERIODTYPE=QTR_STD&amp;window=popup_no_bar&amp;width=385&amp;height=120&amp;START_MAXIMIZED=FALSE&amp;creator=factset&amp;display_string=Audit"}</definedName>
    <definedName name="_473__FDSAUDITLINK__" localSheetId="20" hidden="1">{"fdsup://Directions/FactSet Auditing Viewer?action=AUDIT_VALUE&amp;DB=129&amp;ID1=87416110&amp;VALUEID=02101&amp;SDATE=200903&amp;PERIODTYPE=QTR_STD&amp;window=popup_no_bar&amp;width=385&amp;height=120&amp;START_MAXIMIZED=FALSE&amp;creator=factset&amp;display_string=Audit"}</definedName>
    <definedName name="_473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474__FDSAUDITLINK__" localSheetId="1" hidden="1">{"fdsup://Directions/FactSet Auditing Viewer?action=AUDIT_VALUE&amp;DB=129&amp;ID1=87416110&amp;VALUEID=01001&amp;SDATE=200903&amp;PERIODTYPE=QTR_STD&amp;window=popup_no_bar&amp;width=385&amp;height=120&amp;START_MAXIMIZED=FALSE&amp;creator=factset&amp;display_string=Audit"}</definedName>
    <definedName name="_474__FDSAUDITLINK__" localSheetId="20" hidden="1">{"fdsup://Directions/FactSet Auditing Viewer?action=AUDIT_VALUE&amp;DB=129&amp;ID1=87416110&amp;VALUEID=01001&amp;SDATE=200903&amp;PERIODTYPE=QTR_STD&amp;window=popup_no_bar&amp;width=385&amp;height=120&amp;START_MAXIMIZED=FALSE&amp;creator=factset&amp;display_string=Audit"}</definedName>
    <definedName name="_474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475__FDSAUDITLINK__" localSheetId="1" hidden="1">{"fdsup://Directions/FactSet Auditing Viewer?action=AUDIT_VALUE&amp;DB=129&amp;ID1=87416110&amp;VALUEID=13040&amp;SDATE=200903&amp;PERIODTYPE=QTR_STD&amp;window=popup_no_bar&amp;width=385&amp;height=120&amp;START_MAXIMIZED=FALSE&amp;creator=factset&amp;display_string=Audit"}</definedName>
    <definedName name="_475__FDSAUDITLINK__" localSheetId="20" hidden="1">{"fdsup://Directions/FactSet Auditing Viewer?action=AUDIT_VALUE&amp;DB=129&amp;ID1=87416110&amp;VALUEID=13040&amp;SDATE=200903&amp;PERIODTYPE=QTR_STD&amp;window=popup_no_bar&amp;width=385&amp;height=120&amp;START_MAXIMIZED=FALSE&amp;creator=factset&amp;display_string=Audit"}</definedName>
    <definedName name="_475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476__FDSAUDITLINK__" localSheetId="1"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6__FDSAUDITLINK__" localSheetId="20"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6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7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477__FDSAUDITLINK__" localSheetId="20" hidden="1">{"fdsup://Directions/FactSet Auditing Viewer?action=AUDIT_VALUE&amp;DB=129&amp;ID1=53271610&amp;VALUEID=02101&amp;SDATE=200903&amp;PERIODTYPE=QTR_STD&amp;window=popup_no_bar&amp;width=385&amp;height=120&amp;START_MAXIMIZED=FALSE&amp;creator=factset&amp;display_string=Audit"}</definedName>
    <definedName name="_477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478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478__FDSAUDITLINK__" localSheetId="20" hidden="1">{"fdsup://Directions/FactSet Auditing Viewer?action=AUDIT_VALUE&amp;DB=129&amp;ID1=53271610&amp;VALUEID=01001&amp;SDATE=200903&amp;PERIODTYPE=QTR_STD&amp;window=popup_no_bar&amp;width=385&amp;height=120&amp;START_MAXIMIZED=FALSE&amp;creator=factset&amp;display_string=Audit"}</definedName>
    <definedName name="_478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479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479__FDSAUDITLINK__" localSheetId="20" hidden="1">{"fdsup://Directions/FactSet Auditing Viewer?action=AUDIT_VALUE&amp;DB=129&amp;ID1=53271610&amp;VALUEID=13040&amp;SDATE=200903&amp;PERIODTYPE=QTR_STD&amp;window=popup_no_bar&amp;width=385&amp;height=120&amp;START_MAXIMIZED=FALSE&amp;creator=factset&amp;display_string=Audit"}</definedName>
    <definedName name="_479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48__FDSAUDITLINK__" localSheetId="1" hidden="1">{"fdsup://Directions/FactSet Auditing Viewer?action=AUDIT_VALUE&amp;DB=129&amp;ID1=69487310&amp;VALUEID=01001&amp;SDATE=2010&amp;PERIODTYPE=ANN_STD&amp;SCFT=3&amp;window=popup_no_bar&amp;width=385&amp;height=120&amp;START_MAXIMIZED=FALSE&amp;creator=factset&amp;display_string=Audit"}</definedName>
    <definedName name="_48__FDSAUDITLINK__" localSheetId="20" hidden="1">{"fdsup://Directions/FactSet Auditing Viewer?action=AUDIT_VALUE&amp;DB=129&amp;ID1=91704710&amp;VALUEID=02101&amp;SDATE=200903&amp;PERIODTYPE=QTR_STD&amp;window=popup_no_bar&amp;width=385&amp;height=120&amp;START_MAXIMIZED=FALSE&amp;creator=factset&amp;display_string=Audit"}</definedName>
    <definedName name="_48__FDSAUDITLINK__" hidden="1">{"fdsup://Directions/FactSet Auditing Viewer?action=AUDIT_VALUE&amp;DB=129&amp;ID1=69487310&amp;VALUEID=01001&amp;SDATE=2010&amp;PERIODTYPE=ANN_STD&amp;SCFT=3&amp;window=popup_no_bar&amp;width=385&amp;height=120&amp;START_MAXIMIZED=FALSE&amp;creator=factset&amp;display_string=Audit"}</definedName>
    <definedName name="_480__FDSAUDITLINK__" localSheetId="1" hidden="1">{"fdsup://Directions/FactSet Auditing Viewer?action=AUDIT_VALUE&amp;DB=129&amp;ID1=46612H40&amp;VALUEID=02101&amp;SDATE=200903&amp;PERIODTYPE=QTR_STD&amp;window=popup_no_bar&amp;width=385&amp;height=120&amp;START_MAXIMIZED=FALSE&amp;creator=factset&amp;display_string=Audit"}</definedName>
    <definedName name="_480__FDSAUDITLINK__" localSheetId="20" hidden="1">{"fdsup://Directions/FactSet Auditing Viewer?action=AUDIT_VALUE&amp;DB=129&amp;ID1=46612H40&amp;VALUEID=02101&amp;SDATE=200903&amp;PERIODTYPE=QTR_STD&amp;window=popup_no_bar&amp;width=385&amp;height=120&amp;START_MAXIMIZED=FALSE&amp;creator=factset&amp;display_string=Audit"}</definedName>
    <definedName name="_480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481__FDSAUDITLINK__" localSheetId="1" hidden="1">{"fdsup://Directions/FactSet Auditing Viewer?action=AUDIT_VALUE&amp;DB=129&amp;ID1=46612H40&amp;VALUEID=01001&amp;SDATE=200903&amp;PERIODTYPE=QTR_STD&amp;window=popup_no_bar&amp;width=385&amp;height=120&amp;START_MAXIMIZED=FALSE&amp;creator=factset&amp;display_string=Audit"}</definedName>
    <definedName name="_481__FDSAUDITLINK__" localSheetId="20" hidden="1">{"fdsup://Directions/FactSet Auditing Viewer?action=AUDIT_VALUE&amp;DB=129&amp;ID1=46612H40&amp;VALUEID=01001&amp;SDATE=200903&amp;PERIODTYPE=QTR_STD&amp;window=popup_no_bar&amp;width=385&amp;height=120&amp;START_MAXIMIZED=FALSE&amp;creator=factset&amp;display_string=Audit"}</definedName>
    <definedName name="_481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482__FDSAUDITLINK__" localSheetId="1" hidden="1">{"fdsup://Directions/FactSet Auditing Viewer?action=AUDIT_VALUE&amp;DB=129&amp;ID1=46612H40&amp;VALUEID=13040&amp;SDATE=200903&amp;PERIODTYPE=QTR_STD&amp;window=popup_no_bar&amp;width=385&amp;height=120&amp;START_MAXIMIZED=FALSE&amp;creator=factset&amp;display_string=Audit"}</definedName>
    <definedName name="_482__FDSAUDITLINK__" localSheetId="20" hidden="1">{"fdsup://Directions/FactSet Auditing Viewer?action=AUDIT_VALUE&amp;DB=129&amp;ID1=46612H40&amp;VALUEID=13040&amp;SDATE=200903&amp;PERIODTYPE=QTR_STD&amp;window=popup_no_bar&amp;width=385&amp;height=120&amp;START_MAXIMIZED=FALSE&amp;creator=factset&amp;display_string=Audit"}</definedName>
    <definedName name="_482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483__FDSAUDITLINK__" localSheetId="1" hidden="1">{"fdsup://Directions/FactSet Auditing Viewer?action=AUDIT_VALUE&amp;DB=129&amp;ID1=36476010&amp;VALUEID=02101&amp;SDATE=200903&amp;PERIODTYPE=QTR_STD&amp;window=popup_no_bar&amp;width=385&amp;height=120&amp;START_MAXIMIZED=FALSE&amp;creator=factset&amp;display_string=Audit"}</definedName>
    <definedName name="_483__FDSAUDITLINK__" localSheetId="20" hidden="1">{"fdsup://Directions/FactSet Auditing Viewer?action=AUDIT_VALUE&amp;DB=129&amp;ID1=36476010&amp;VALUEID=02101&amp;SDATE=200903&amp;PERIODTYPE=QTR_STD&amp;window=popup_no_bar&amp;width=385&amp;height=120&amp;START_MAXIMIZED=FALSE&amp;creator=factset&amp;display_string=Audit"}</definedName>
    <definedName name="_483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84__FDSAUDITLINK__" localSheetId="1" hidden="1">{"fdsup://Directions/FactSet Auditing Viewer?action=AUDIT_VALUE&amp;DB=129&amp;ID1=36476010&amp;VALUEID=01001&amp;SDATE=200903&amp;PERIODTYPE=QTR_STD&amp;window=popup_no_bar&amp;width=385&amp;height=120&amp;START_MAXIMIZED=FALSE&amp;creator=factset&amp;display_string=Audit"}</definedName>
    <definedName name="_484__FDSAUDITLINK__" localSheetId="20" hidden="1">{"fdsup://Directions/FactSet Auditing Viewer?action=AUDIT_VALUE&amp;DB=129&amp;ID1=36476010&amp;VALUEID=01001&amp;SDATE=200903&amp;PERIODTYPE=QTR_STD&amp;window=popup_no_bar&amp;width=385&amp;height=120&amp;START_MAXIMIZED=FALSE&amp;creator=factset&amp;display_string=Audit"}</definedName>
    <definedName name="_484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85__FDSAUDITLINK__" localSheetId="1" hidden="1">{"fdsup://Directions/FactSet Auditing Viewer?action=AUDIT_VALUE&amp;DB=129&amp;ID1=36476010&amp;VALUEID=13040&amp;SDATE=200903&amp;PERIODTYPE=QTR_STD&amp;window=popup_no_bar&amp;width=385&amp;height=120&amp;START_MAXIMIZED=FALSE&amp;creator=factset&amp;display_string=Audit"}</definedName>
    <definedName name="_485__FDSAUDITLINK__" localSheetId="20" hidden="1">{"fdsup://Directions/FactSet Auditing Viewer?action=AUDIT_VALUE&amp;DB=129&amp;ID1=36476010&amp;VALUEID=13040&amp;SDATE=200903&amp;PERIODTYPE=QTR_STD&amp;window=popup_no_bar&amp;width=385&amp;height=120&amp;START_MAXIMIZED=FALSE&amp;creator=factset&amp;display_string=Audit"}</definedName>
    <definedName name="_485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86__FDSAUDITLINK__" localSheetId="1" hidden="1">{"fdsup://Directions/FactSet Auditing Viewer?action=AUDIT_VALUE&amp;DB=129&amp;ID1=03611510&amp;VALUEID=02101&amp;SDATE=200903&amp;PERIODTYPE=QTR_STD&amp;window=popup_no_bar&amp;width=385&amp;height=120&amp;START_MAXIMIZED=FALSE&amp;creator=factset&amp;display_string=Audit"}</definedName>
    <definedName name="_486__FDSAUDITLINK__" localSheetId="20" hidden="1">{"fdsup://Directions/FactSet Auditing Viewer?action=AUDIT_VALUE&amp;DB=129&amp;ID1=03611510&amp;VALUEID=02101&amp;SDATE=200903&amp;PERIODTYPE=QTR_STD&amp;window=popup_no_bar&amp;width=385&amp;height=120&amp;START_MAXIMIZED=FALSE&amp;creator=factset&amp;display_string=Audit"}</definedName>
    <definedName name="_486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87__FDSAUDITLINK__" localSheetId="1" hidden="1">{"fdsup://Directions/FactSet Auditing Viewer?action=AUDIT_VALUE&amp;DB=129&amp;ID1=03611510&amp;VALUEID=01001&amp;SDATE=200903&amp;PERIODTYPE=QTR_STD&amp;window=popup_no_bar&amp;width=385&amp;height=120&amp;START_MAXIMIZED=FALSE&amp;creator=factset&amp;display_string=Audit"}</definedName>
    <definedName name="_487__FDSAUDITLINK__" localSheetId="20" hidden="1">{"fdsup://Directions/FactSet Auditing Viewer?action=AUDIT_VALUE&amp;DB=129&amp;ID1=03611510&amp;VALUEID=01001&amp;SDATE=200903&amp;PERIODTYPE=QTR_STD&amp;window=popup_no_bar&amp;width=385&amp;height=120&amp;START_MAXIMIZED=FALSE&amp;creator=factset&amp;display_string=Audit"}</definedName>
    <definedName name="_487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88__FDSAUDITLINK__" localSheetId="1" hidden="1">{"fdsup://Directions/FactSet Auditing Viewer?action=AUDIT_VALUE&amp;DB=129&amp;ID1=03611510&amp;VALUEID=13040&amp;SDATE=200903&amp;PERIODTYPE=QTR_STD&amp;window=popup_no_bar&amp;width=385&amp;height=120&amp;START_MAXIMIZED=FALSE&amp;creator=factset&amp;display_string=Audit"}</definedName>
    <definedName name="_488__FDSAUDITLINK__" localSheetId="20" hidden="1">{"fdsup://Directions/FactSet Auditing Viewer?action=AUDIT_VALUE&amp;DB=129&amp;ID1=03611510&amp;VALUEID=13040&amp;SDATE=200903&amp;PERIODTYPE=QTR_STD&amp;window=popup_no_bar&amp;width=385&amp;height=120&amp;START_MAXIMIZED=FALSE&amp;creator=factset&amp;display_string=Audit"}</definedName>
    <definedName name="_48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89__FDSAUDITLINK__" localSheetId="1" hidden="1">{"fdsup://Directions/FactSet Auditing Viewer?action=AUDIT_VALUE&amp;DB=129&amp;ID1=16890510&amp;VALUEID=02101&amp;SDATE=200903&amp;PERIODTYPE=QTR_STD&amp;window=popup_no_bar&amp;width=385&amp;height=120&amp;START_MAXIMIZED=FALSE&amp;creator=factset&amp;display_string=Audit"}</definedName>
    <definedName name="_489__FDSAUDITLINK__" localSheetId="20" hidden="1">{"fdsup://Directions/FactSet Auditing Viewer?action=AUDIT_VALUE&amp;DB=129&amp;ID1=16890510&amp;VALUEID=02101&amp;SDATE=200903&amp;PERIODTYPE=QTR_STD&amp;window=popup_no_bar&amp;width=385&amp;height=120&amp;START_MAXIMIZED=FALSE&amp;creator=factset&amp;display_string=Audit"}</definedName>
    <definedName name="_48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9__FDSAUDITLINK__" localSheetId="1" hidden="1">{"fdsup://Directions/FactSet Auditing Viewer?action=AUDIT_VALUE&amp;DB=129&amp;ID1=78129510&amp;VALUEID=01001&amp;SDATE=2010&amp;PERIODTYPE=ANN_STD&amp;SCFT=3&amp;window=popup_no_bar&amp;width=385&amp;height=120&amp;START_MAXIMIZED=FALSE&amp;creator=factset&amp;display_string=Audit"}</definedName>
    <definedName name="_49__FDSAUDITLINK__" localSheetId="20" hidden="1">{"fdsup://Directions/FactSet Auditing Viewer?action=AUDIT_VALUE&amp;DB=129&amp;ID1=91704710&amp;VALUEID=01001&amp;SDATE=200903&amp;PERIODTYPE=QTR_STD&amp;window=popup_no_bar&amp;width=385&amp;height=120&amp;START_MAXIMIZED=FALSE&amp;creator=factset&amp;display_string=Audit"}</definedName>
    <definedName name="_49__FDSAUDITLINK__" hidden="1">{"fdsup://Directions/FactSet Auditing Viewer?action=AUDIT_VALUE&amp;DB=129&amp;ID1=78129510&amp;VALUEID=01001&amp;SDATE=2010&amp;PERIODTYPE=ANN_STD&amp;SCFT=3&amp;window=popup_no_bar&amp;width=385&amp;height=120&amp;START_MAXIMIZED=FALSE&amp;creator=factset&amp;display_string=Audit"}</definedName>
    <definedName name="_490__FDSAUDITLINK__" localSheetId="1" hidden="1">{"fdsup://Directions/FactSet Auditing Viewer?action=AUDIT_VALUE&amp;DB=129&amp;ID1=16890510&amp;VALUEID=01001&amp;SDATE=200903&amp;PERIODTYPE=QTR_STD&amp;window=popup_no_bar&amp;width=385&amp;height=120&amp;START_MAXIMIZED=FALSE&amp;creator=factset&amp;display_string=Audit"}</definedName>
    <definedName name="_490__FDSAUDITLINK__" localSheetId="20" hidden="1">{"fdsup://Directions/FactSet Auditing Viewer?action=AUDIT_VALUE&amp;DB=129&amp;ID1=16890510&amp;VALUEID=01001&amp;SDATE=200903&amp;PERIODTYPE=QTR_STD&amp;window=popup_no_bar&amp;width=385&amp;height=120&amp;START_MAXIMIZED=FALSE&amp;creator=factset&amp;display_string=Audit"}</definedName>
    <definedName name="_490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91__FDSAUDITLINK__" localSheetId="1" hidden="1">{"fdsup://Directions/FactSet Auditing Viewer?action=AUDIT_VALUE&amp;DB=129&amp;ID1=91704710&amp;VALUEID=02101&amp;SDATE=200903&amp;PERIODTYPE=QTR_STD&amp;window=popup_no_bar&amp;width=385&amp;height=120&amp;START_MAXIMIZED=FALSE&amp;creator=factset&amp;display_string=Audit"}</definedName>
    <definedName name="_491__FDSAUDITLINK__" localSheetId="20" hidden="1">{"fdsup://Directions/FactSet Auditing Viewer?action=AUDIT_VALUE&amp;DB=129&amp;ID1=91704710&amp;VALUEID=02101&amp;SDATE=200903&amp;PERIODTYPE=QTR_STD&amp;window=popup_no_bar&amp;width=385&amp;height=120&amp;START_MAXIMIZED=FALSE&amp;creator=factset&amp;display_string=Audit"}</definedName>
    <definedName name="_491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92__FDSAUDITLINK__" localSheetId="1" hidden="1">{"fdsup://Directions/FactSet Auditing Viewer?action=AUDIT_VALUE&amp;DB=129&amp;ID1=91704710&amp;VALUEID=01001&amp;SDATE=200903&amp;PERIODTYPE=QTR_STD&amp;window=popup_no_bar&amp;width=385&amp;height=120&amp;START_MAXIMIZED=FALSE&amp;creator=factset&amp;display_string=Audit"}</definedName>
    <definedName name="_492__FDSAUDITLINK__" localSheetId="20" hidden="1">{"fdsup://Directions/FactSet Auditing Viewer?action=AUDIT_VALUE&amp;DB=129&amp;ID1=91704710&amp;VALUEID=01001&amp;SDATE=200903&amp;PERIODTYPE=QTR_STD&amp;window=popup_no_bar&amp;width=385&amp;height=120&amp;START_MAXIMIZED=FALSE&amp;creator=factset&amp;display_string=Audit"}</definedName>
    <definedName name="_492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3__FDSAUDITLINK__" localSheetId="1" hidden="1">{"fdsup://Directions/FactSet Auditing Viewer?action=AUDIT_VALUE&amp;DB=129&amp;ID1=91704710&amp;VALUEID=13040&amp;SDATE=200903&amp;PERIODTYPE=QTR_STD&amp;window=popup_no_bar&amp;width=385&amp;height=120&amp;START_MAXIMIZED=FALSE&amp;creator=factset&amp;display_string=Audit"}</definedName>
    <definedName name="_493__FDSAUDITLINK__" localSheetId="20" hidden="1">{"fdsup://Directions/FactSet Auditing Viewer?action=AUDIT_VALUE&amp;DB=129&amp;ID1=91704710&amp;VALUEID=13040&amp;SDATE=200903&amp;PERIODTYPE=QTR_STD&amp;window=popup_no_bar&amp;width=385&amp;height=120&amp;START_MAXIMIZED=FALSE&amp;creator=factset&amp;display_string=Audit"}</definedName>
    <definedName name="_493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494__FDSAUDITLINK__" localSheetId="1" hidden="1">{"fdsup://Directions/FactSet Auditing Viewer?action=AUDIT_VALUE&amp;DB=129&amp;ID1=02553E10&amp;VALUEID=02101&amp;SDATE=200903&amp;PERIODTYPE=QTR_STD&amp;window=popup_no_bar&amp;width=385&amp;height=120&amp;START_MAXIMIZED=FALSE&amp;creator=factset&amp;display_string=Audit"}</definedName>
    <definedName name="_494__FDSAUDITLINK__" localSheetId="20" hidden="1">{"fdsup://Directions/FactSet Auditing Viewer?action=AUDIT_VALUE&amp;DB=129&amp;ID1=02553E10&amp;VALUEID=02101&amp;SDATE=200903&amp;PERIODTYPE=QTR_STD&amp;window=popup_no_bar&amp;width=385&amp;height=120&amp;START_MAXIMIZED=FALSE&amp;creator=factset&amp;display_string=Audit"}</definedName>
    <definedName name="_494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495__FDSAUDITLINK__" localSheetId="1" hidden="1">{"fdsup://Directions/FactSet Auditing Viewer?action=AUDIT_VALUE&amp;DB=129&amp;ID1=02553E10&amp;VALUEID=01001&amp;SDATE=200903&amp;PERIODTYPE=QTR_STD&amp;window=popup_no_bar&amp;width=385&amp;height=120&amp;START_MAXIMIZED=FALSE&amp;creator=factset&amp;display_string=Audit"}</definedName>
    <definedName name="_495__FDSAUDITLINK__" localSheetId="20" hidden="1">{"fdsup://Directions/FactSet Auditing Viewer?action=AUDIT_VALUE&amp;DB=129&amp;ID1=02553E10&amp;VALUEID=01001&amp;SDATE=200903&amp;PERIODTYPE=QTR_STD&amp;window=popup_no_bar&amp;width=385&amp;height=120&amp;START_MAXIMIZED=FALSE&amp;creator=factset&amp;display_string=Audit"}</definedName>
    <definedName name="_495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496__FDSAUDITLINK__" localSheetId="1" hidden="1">{"fdsup://Directions/FactSet Auditing Viewer?action=AUDIT_VALUE&amp;DB=129&amp;ID1=00786510&amp;VALUEID=02101&amp;SDATE=200903&amp;PERIODTYPE=QTR_STD&amp;window=popup_no_bar&amp;width=385&amp;height=120&amp;START_MAXIMIZED=FALSE&amp;creator=factset&amp;display_string=Audit"}</definedName>
    <definedName name="_496__FDSAUDITLINK__" localSheetId="20" hidden="1">{"fdsup://Directions/FactSet Auditing Viewer?action=AUDIT_VALUE&amp;DB=129&amp;ID1=00786510&amp;VALUEID=02101&amp;SDATE=200903&amp;PERIODTYPE=QTR_STD&amp;window=popup_no_bar&amp;width=385&amp;height=120&amp;START_MAXIMIZED=FALSE&amp;creator=factset&amp;display_string=Audit"}</definedName>
    <definedName name="_496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497__FDSAUDITLINK__" localSheetId="1" hidden="1">{"fdsup://Directions/FactSet Auditing Viewer?action=AUDIT_VALUE&amp;DB=129&amp;ID1=00786510&amp;VALUEID=01001&amp;SDATE=200903&amp;PERIODTYPE=QTR_STD&amp;window=popup_no_bar&amp;width=385&amp;height=120&amp;START_MAXIMIZED=FALSE&amp;creator=factset&amp;display_string=Audit"}</definedName>
    <definedName name="_497__FDSAUDITLINK__" localSheetId="20" hidden="1">{"fdsup://Directions/FactSet Auditing Viewer?action=AUDIT_VALUE&amp;DB=129&amp;ID1=00786510&amp;VALUEID=01001&amp;SDATE=200903&amp;PERIODTYPE=QTR_STD&amp;window=popup_no_bar&amp;width=385&amp;height=120&amp;START_MAXIMIZED=FALSE&amp;creator=factset&amp;display_string=Audit"}</definedName>
    <definedName name="_497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498__FDSAUDITLINK__" localSheetId="1" hidden="1">{"fdsup://Directions/FactSet Auditing Viewer?action=AUDIT_VALUE&amp;DB=129&amp;ID1=00786510&amp;VALUEID=13040&amp;SDATE=200903&amp;PERIODTYPE=QTR_STD&amp;window=popup_no_bar&amp;width=385&amp;height=120&amp;START_MAXIMIZED=FALSE&amp;creator=factset&amp;display_string=Audit"}</definedName>
    <definedName name="_498__FDSAUDITLINK__" localSheetId="20" hidden="1">{"fdsup://Directions/FactSet Auditing Viewer?action=AUDIT_VALUE&amp;DB=129&amp;ID1=00786510&amp;VALUEID=13040&amp;SDATE=200903&amp;PERIODTYPE=QTR_STD&amp;window=popup_no_bar&amp;width=385&amp;height=120&amp;START_MAXIMIZED=FALSE&amp;creator=factset&amp;display_string=Audit"}</definedName>
    <definedName name="_498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499__FDSAUDITLINK__" localSheetId="1" hidden="1">{"fdsup://Directions/FactSet Auditing Viewer?action=AUDIT_VALUE&amp;DB=129&amp;ID1=00289620&amp;VALUEID=02101&amp;SDATE=200903&amp;PERIODTYPE=QTR_STD&amp;window=popup_no_bar&amp;width=385&amp;height=120&amp;START_MAXIMIZED=FALSE&amp;creator=factset&amp;display_string=Audit"}</definedName>
    <definedName name="_499__FDSAUDITLINK__" localSheetId="20" hidden="1">{"fdsup://Directions/FactSet Auditing Viewer?action=AUDIT_VALUE&amp;DB=129&amp;ID1=00289620&amp;VALUEID=02101&amp;SDATE=200903&amp;PERIODTYPE=QTR_STD&amp;window=popup_no_bar&amp;width=385&amp;height=120&amp;START_MAXIMIZED=FALSE&amp;creator=factset&amp;display_string=Audit"}</definedName>
    <definedName name="_499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__123Graph_Aｸﾞﾗﾌ_1" hidden="1">[2]ｾｸﾞﾒﾝﾄ!$E$164:$I$164</definedName>
    <definedName name="_5__FDSAUDITLINK__" localSheetId="1" hidden="1">{"fdsup://directions/FAT Viewer?action=UPDATE&amp;creator=factset&amp;DYN_ARGS=TRUE&amp;DOC_NAME=FAT:FQL_AUDITING_CLIENT_TEMPLATE.FAT&amp;display_string=Audit&amp;VAR:KEY=SPIDKTUZOP&amp;VAR:QUERY=RkZfRU5UUlBSX1ZBTF9FQklUREFfT1BFUihBTk4sMCk=&amp;WINDOW=FIRST_POPUP&amp;HEIGHT=450&amp;WIDTH=450&amp;","START_MAXIMIZED=FALSE&amp;VAR:CALENDAR=FIVEDAY&amp;VAR:SYMBOL=SMRT&amp;VAR:INDEX=0"}</definedName>
    <definedName name="_5__FDSAUDITLINK__" localSheetId="20" hidden="1">{"fdsup://Directions/FactSet Auditing Viewer?action=AUDIT_VALUE&amp;DB=129&amp;ID1=53271610&amp;VALUEID=13040&amp;SDATE=201001&amp;PERIODTYPE=QTR_STD&amp;window=popup_no_bar&amp;width=385&amp;height=120&amp;START_MAXIMIZED=FALSE&amp;creator=factset&amp;display_string=Audit"}</definedName>
    <definedName name="_5__FDSAUDITLINK__" hidden="1">{"fdsup://directions/FAT Viewer?action=UPDATE&amp;creator=factset&amp;DYN_ARGS=TRUE&amp;DOC_NAME=FAT:FQL_AUDITING_CLIENT_TEMPLATE.FAT&amp;display_string=Audit&amp;VAR:KEY=SPIDKTUZOP&amp;VAR:QUERY=RkZfRU5UUlBSX1ZBTF9FQklUREFfT1BFUihBTk4sMCk=&amp;WINDOW=FIRST_POPUP&amp;HEIGHT=450&amp;WIDTH=450&amp;","START_MAXIMIZED=FALSE&amp;VAR:CALENDAR=FIVEDAY&amp;VAR:SYMBOL=SMRT&amp;VAR:INDEX=0"}</definedName>
    <definedName name="_50__FDSAUDITLINK__" localSheetId="1" hidden="1">{"fdsup://Directions/FactSet Auditing Viewer?action=AUDIT_VALUE&amp;DB=129&amp;ID1=64929510&amp;VALUEID=01001&amp;SDATE=2010&amp;PERIODTYPE=ANN_STD&amp;SCFT=3&amp;window=popup_no_bar&amp;width=385&amp;height=120&amp;START_MAXIMIZED=FALSE&amp;creator=factset&amp;display_string=Audit"}</definedName>
    <definedName name="_50__FDSAUDITLINK__" localSheetId="20" hidden="1">{"fdsup://Directions/FactSet Auditing Viewer?action=AUDIT_VALUE&amp;DB=129&amp;ID1=91704710&amp;VALUEID=13040&amp;SDATE=200903&amp;PERIODTYPE=QTR_STD&amp;window=popup_no_bar&amp;width=385&amp;height=120&amp;START_MAXIMIZED=FALSE&amp;creator=factset&amp;display_string=Audit"}</definedName>
    <definedName name="_50__FDSAUDITLINK__" hidden="1">{"fdsup://Directions/FactSet Auditing Viewer?action=AUDIT_VALUE&amp;DB=129&amp;ID1=64929510&amp;VALUEID=01001&amp;SDATE=2010&amp;PERIODTYPE=ANN_STD&amp;SCFT=3&amp;window=popup_no_bar&amp;width=385&amp;height=120&amp;START_MAXIMIZED=FALSE&amp;creator=factset&amp;display_string=Audit"}</definedName>
    <definedName name="_500__FDSAUDITLINK__" localSheetId="1" hidden="1">{"fdsup://Directions/FactSet Auditing Viewer?action=AUDIT_VALUE&amp;DB=129&amp;ID1=00289620&amp;VALUEID=01001&amp;SDATE=200903&amp;PERIODTYPE=QTR_STD&amp;window=popup_no_bar&amp;width=385&amp;height=120&amp;START_MAXIMIZED=FALSE&amp;creator=factset&amp;display_string=Audit"}</definedName>
    <definedName name="_500__FDSAUDITLINK__" localSheetId="20" hidden="1">{"fdsup://Directions/FactSet Auditing Viewer?action=AUDIT_VALUE&amp;DB=129&amp;ID1=00289620&amp;VALUEID=01001&amp;SDATE=200903&amp;PERIODTYPE=QTR_STD&amp;window=popup_no_bar&amp;width=385&amp;height=120&amp;START_MAXIMIZED=FALSE&amp;creator=factset&amp;display_string=Audit"}</definedName>
    <definedName name="_500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01__FDSAUDITLINK__" localSheetId="1" hidden="1">{"fdsup://Directions/FactSet Auditing Viewer?action=AUDIT_VALUE&amp;DB=129&amp;ID1=00289620&amp;VALUEID=13040&amp;SDATE=200903&amp;PERIODTYPE=QTR_STD&amp;window=popup_no_bar&amp;width=385&amp;height=120&amp;START_MAXIMIZED=FALSE&amp;creator=factset&amp;display_string=Audit"}</definedName>
    <definedName name="_501__FDSAUDITLINK__" localSheetId="20" hidden="1">{"fdsup://Directions/FactSet Auditing Viewer?action=AUDIT_VALUE&amp;DB=129&amp;ID1=00289620&amp;VALUEID=13040&amp;SDATE=200903&amp;PERIODTYPE=QTR_STD&amp;window=popup_no_bar&amp;width=385&amp;height=120&amp;START_MAXIMIZED=FALSE&amp;creator=factset&amp;display_string=Audit"}</definedName>
    <definedName name="_501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02__FDSAUDITLINK__" localSheetId="1" hidden="1">{"fdsup://Directions/FactSet Auditing Viewer?action=AUDIT_VALUE&amp;DB=129&amp;ID1=87416110&amp;VALUEID=02101&amp;SDATE=200902&amp;PERIODTYPE=QTR_STD&amp;window=popup_no_bar&amp;width=385&amp;height=120&amp;START_MAXIMIZED=FALSE&amp;creator=factset&amp;display_string=Audit"}</definedName>
    <definedName name="_502__FDSAUDITLINK__" localSheetId="20" hidden="1">{"fdsup://Directions/FactSet Auditing Viewer?action=AUDIT_VALUE&amp;DB=129&amp;ID1=87416110&amp;VALUEID=02101&amp;SDATE=200902&amp;PERIODTYPE=QTR_STD&amp;window=popup_no_bar&amp;width=385&amp;height=120&amp;START_MAXIMIZED=FALSE&amp;creator=factset&amp;display_string=Audit"}</definedName>
    <definedName name="_502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03__FDSAUDITLINK__" localSheetId="1" hidden="1">{"fdsup://Directions/FactSet Auditing Viewer?action=AUDIT_VALUE&amp;DB=129&amp;ID1=87416110&amp;VALUEID=01001&amp;SDATE=200902&amp;PERIODTYPE=QTR_STD&amp;window=popup_no_bar&amp;width=385&amp;height=120&amp;START_MAXIMIZED=FALSE&amp;creator=factset&amp;display_string=Audit"}</definedName>
    <definedName name="_503__FDSAUDITLINK__" localSheetId="20" hidden="1">{"fdsup://Directions/FactSet Auditing Viewer?action=AUDIT_VALUE&amp;DB=129&amp;ID1=87416110&amp;VALUEID=01001&amp;SDATE=200902&amp;PERIODTYPE=QTR_STD&amp;window=popup_no_bar&amp;width=385&amp;height=120&amp;START_MAXIMIZED=FALSE&amp;creator=factset&amp;display_string=Audit"}</definedName>
    <definedName name="_503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504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504__FDSAUDITLINK__" localSheetId="20" hidden="1">{"fdsup://Directions/FactSet Auditing Viewer?action=AUDIT_VALUE&amp;DB=129&amp;ID1=53271610&amp;VALUEID=02101&amp;SDATE=200902&amp;PERIODTYPE=QTR_STD&amp;window=popup_no_bar&amp;width=385&amp;height=120&amp;START_MAXIMIZED=FALSE&amp;creator=factset&amp;display_string=Audit"}</definedName>
    <definedName name="_504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505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505__FDSAUDITLINK__" localSheetId="20" hidden="1">{"fdsup://Directions/FactSet Auditing Viewer?action=AUDIT_VALUE&amp;DB=129&amp;ID1=53271610&amp;VALUEID=01001&amp;SDATE=200902&amp;PERIODTYPE=QTR_STD&amp;window=popup_no_bar&amp;width=385&amp;height=120&amp;START_MAXIMIZED=FALSE&amp;creator=factset&amp;display_string=Audit"}</definedName>
    <definedName name="_505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506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506__FDSAUDITLINK__" localSheetId="20" hidden="1">{"fdsup://Directions/FactSet Auditing Viewer?action=AUDIT_VALUE&amp;DB=129&amp;ID1=53271610&amp;VALUEID=13040&amp;SDATE=200902&amp;PERIODTYPE=QTR_STD&amp;window=popup_no_bar&amp;width=385&amp;height=120&amp;START_MAXIMIZED=FALSE&amp;creator=factset&amp;display_string=Audit"}</definedName>
    <definedName name="_506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507__FDSAUDITLINK__" localSheetId="1" hidden="1">{"fdsup://Directions/FactSet Auditing Viewer?action=AUDIT_VALUE&amp;DB=129&amp;ID1=46612H40&amp;VALUEID=02101&amp;SDATE=200902&amp;PERIODTYPE=QTR_STD&amp;window=popup_no_bar&amp;width=385&amp;height=120&amp;START_MAXIMIZED=FALSE&amp;creator=factset&amp;display_string=Audit"}</definedName>
    <definedName name="_507__FDSAUDITLINK__" localSheetId="20" hidden="1">{"fdsup://Directions/FactSet Auditing Viewer?action=AUDIT_VALUE&amp;DB=129&amp;ID1=46612H40&amp;VALUEID=02101&amp;SDATE=200902&amp;PERIODTYPE=QTR_STD&amp;window=popup_no_bar&amp;width=385&amp;height=120&amp;START_MAXIMIZED=FALSE&amp;creator=factset&amp;display_string=Audit"}</definedName>
    <definedName name="_507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508__FDSAUDITLINK__" localSheetId="1" hidden="1">{"fdsup://Directions/FactSet Auditing Viewer?action=AUDIT_VALUE&amp;DB=129&amp;ID1=46612H40&amp;VALUEID=01001&amp;SDATE=200902&amp;PERIODTYPE=QTR_STD&amp;window=popup_no_bar&amp;width=385&amp;height=120&amp;START_MAXIMIZED=FALSE&amp;creator=factset&amp;display_string=Audit"}</definedName>
    <definedName name="_508__FDSAUDITLINK__" localSheetId="20" hidden="1">{"fdsup://Directions/FactSet Auditing Viewer?action=AUDIT_VALUE&amp;DB=129&amp;ID1=46612H40&amp;VALUEID=01001&amp;SDATE=200902&amp;PERIODTYPE=QTR_STD&amp;window=popup_no_bar&amp;width=385&amp;height=120&amp;START_MAXIMIZED=FALSE&amp;creator=factset&amp;display_string=Audit"}</definedName>
    <definedName name="_508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509__FDSAUDITLINK__" localSheetId="1" hidden="1">{"fdsup://Directions/FactSet Auditing Viewer?action=AUDIT_VALUE&amp;DB=129&amp;ID1=46612H40&amp;VALUEID=13040&amp;SDATE=200902&amp;PERIODTYPE=QTR_STD&amp;window=popup_no_bar&amp;width=385&amp;height=120&amp;START_MAXIMIZED=FALSE&amp;creator=factset&amp;display_string=Audit"}</definedName>
    <definedName name="_509__FDSAUDITLINK__" localSheetId="20" hidden="1">{"fdsup://Directions/FactSet Auditing Viewer?action=AUDIT_VALUE&amp;DB=129&amp;ID1=46612H40&amp;VALUEID=13040&amp;SDATE=200902&amp;PERIODTYPE=QTR_STD&amp;window=popup_no_bar&amp;width=385&amp;height=120&amp;START_MAXIMIZED=FALSE&amp;creator=factset&amp;display_string=Audit"}</definedName>
    <definedName name="_509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51__FDSAUDITLINK__" localSheetId="1" hidden="1">{"fdsup://Directions/FactSet Auditing Viewer?action=AUDIT_VALUE&amp;DB=129&amp;ID1=48083810&amp;VALUEID=01001&amp;SDATE=2010&amp;PERIODTYPE=ANN_STD&amp;SCFT=3&amp;window=popup_no_bar&amp;width=385&amp;height=120&amp;START_MAXIMIZED=FALSE&amp;creator=factset&amp;display_string=Audit"}</definedName>
    <definedName name="_51__FDSAUDITLINK__" localSheetId="20" hidden="1">{"fdsup://Directions/FactSet Auditing Viewer?action=AUDIT_VALUE&amp;DB=129&amp;ID1=02553E10&amp;VALUEID=02101&amp;SDATE=200903&amp;PERIODTYPE=QTR_STD&amp;window=popup_no_bar&amp;width=385&amp;height=120&amp;START_MAXIMIZED=FALSE&amp;creator=factset&amp;display_string=Audit"}</definedName>
    <definedName name="_51__FDSAUDITLINK__" hidden="1">{"fdsup://Directions/FactSet Auditing Viewer?action=AUDIT_VALUE&amp;DB=129&amp;ID1=48083810&amp;VALUEID=01001&amp;SDATE=2010&amp;PERIODTYPE=ANN_STD&amp;SCFT=3&amp;window=popup_no_bar&amp;width=385&amp;height=120&amp;START_MAXIMIZED=FALSE&amp;creator=factset&amp;display_string=Audit"}</definedName>
    <definedName name="_510__FDSAUDITLINK__" localSheetId="1" hidden="1">{"fdsup://Directions/FactSet Auditing Viewer?action=AUDIT_VALUE&amp;DB=129&amp;ID1=36476010&amp;VALUEID=02101&amp;SDATE=200902&amp;PERIODTYPE=QTR_STD&amp;window=popup_no_bar&amp;width=385&amp;height=120&amp;START_MAXIMIZED=FALSE&amp;creator=factset&amp;display_string=Audit"}</definedName>
    <definedName name="_510__FDSAUDITLINK__" localSheetId="20" hidden="1">{"fdsup://Directions/FactSet Auditing Viewer?action=AUDIT_VALUE&amp;DB=129&amp;ID1=36476010&amp;VALUEID=02101&amp;SDATE=200902&amp;PERIODTYPE=QTR_STD&amp;window=popup_no_bar&amp;width=385&amp;height=120&amp;START_MAXIMIZED=FALSE&amp;creator=factset&amp;display_string=Audit"}</definedName>
    <definedName name="_510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511__FDSAUDITLINK__" localSheetId="1" hidden="1">{"fdsup://Directions/FactSet Auditing Viewer?action=AUDIT_VALUE&amp;DB=129&amp;ID1=36476010&amp;VALUEID=01001&amp;SDATE=200902&amp;PERIODTYPE=QTR_STD&amp;window=popup_no_bar&amp;width=385&amp;height=120&amp;START_MAXIMIZED=FALSE&amp;creator=factset&amp;display_string=Audit"}</definedName>
    <definedName name="_511__FDSAUDITLINK__" localSheetId="20" hidden="1">{"fdsup://Directions/FactSet Auditing Viewer?action=AUDIT_VALUE&amp;DB=129&amp;ID1=36476010&amp;VALUEID=01001&amp;SDATE=200902&amp;PERIODTYPE=QTR_STD&amp;window=popup_no_bar&amp;width=385&amp;height=120&amp;START_MAXIMIZED=FALSE&amp;creator=factset&amp;display_string=Audit"}</definedName>
    <definedName name="_511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512__FDSAUDITLINK__" localSheetId="1" hidden="1">{"fdsup://Directions/FactSet Auditing Viewer?action=AUDIT_VALUE&amp;DB=129&amp;ID1=36476010&amp;VALUEID=13040&amp;SDATE=200902&amp;PERIODTYPE=QTR_STD&amp;window=popup_no_bar&amp;width=385&amp;height=120&amp;START_MAXIMIZED=FALSE&amp;creator=factset&amp;display_string=Audit"}</definedName>
    <definedName name="_512__FDSAUDITLINK__" localSheetId="20" hidden="1">{"fdsup://Directions/FactSet Auditing Viewer?action=AUDIT_VALUE&amp;DB=129&amp;ID1=36476010&amp;VALUEID=13040&amp;SDATE=200902&amp;PERIODTYPE=QTR_STD&amp;window=popup_no_bar&amp;width=385&amp;height=120&amp;START_MAXIMIZED=FALSE&amp;creator=factset&amp;display_string=Audit"}</definedName>
    <definedName name="_512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513__FDSAUDITLINK__" localSheetId="1" hidden="1">{"fdsup://Directions/FactSet Auditing Viewer?action=AUDIT_VALUE&amp;DB=129&amp;ID1=03611510&amp;VALUEID=02101&amp;SDATE=200902&amp;PERIODTYPE=QTR_STD&amp;window=popup_no_bar&amp;width=385&amp;height=120&amp;START_MAXIMIZED=FALSE&amp;creator=factset&amp;display_string=Audit"}</definedName>
    <definedName name="_513__FDSAUDITLINK__" localSheetId="20" hidden="1">{"fdsup://Directions/FactSet Auditing Viewer?action=AUDIT_VALUE&amp;DB=129&amp;ID1=03611510&amp;VALUEID=02101&amp;SDATE=200902&amp;PERIODTYPE=QTR_STD&amp;window=popup_no_bar&amp;width=385&amp;height=120&amp;START_MAXIMIZED=FALSE&amp;creator=factset&amp;display_string=Audit"}</definedName>
    <definedName name="_513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514__FDSAUDITLINK__" localSheetId="1" hidden="1">{"fdsup://Directions/FactSet Auditing Viewer?action=AUDIT_VALUE&amp;DB=129&amp;ID1=03611510&amp;VALUEID=01001&amp;SDATE=200902&amp;PERIODTYPE=QTR_STD&amp;window=popup_no_bar&amp;width=385&amp;height=120&amp;START_MAXIMIZED=FALSE&amp;creator=factset&amp;display_string=Audit"}</definedName>
    <definedName name="_514__FDSAUDITLINK__" localSheetId="20" hidden="1">{"fdsup://Directions/FactSet Auditing Viewer?action=AUDIT_VALUE&amp;DB=129&amp;ID1=03611510&amp;VALUEID=01001&amp;SDATE=200902&amp;PERIODTYPE=QTR_STD&amp;window=popup_no_bar&amp;width=385&amp;height=120&amp;START_MAXIMIZED=FALSE&amp;creator=factset&amp;display_string=Audit"}</definedName>
    <definedName name="_514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515__FDSAUDITLINK__" localSheetId="1" hidden="1">{"fdsup://Directions/FactSet Auditing Viewer?action=AUDIT_VALUE&amp;DB=129&amp;ID1=03611510&amp;VALUEID=13040&amp;SDATE=200902&amp;PERIODTYPE=QTR_STD&amp;window=popup_no_bar&amp;width=385&amp;height=120&amp;START_MAXIMIZED=FALSE&amp;creator=factset&amp;display_string=Audit"}</definedName>
    <definedName name="_515__FDSAUDITLINK__" localSheetId="20" hidden="1">{"fdsup://Directions/FactSet Auditing Viewer?action=AUDIT_VALUE&amp;DB=129&amp;ID1=03611510&amp;VALUEID=13040&amp;SDATE=200902&amp;PERIODTYPE=QTR_STD&amp;window=popup_no_bar&amp;width=385&amp;height=120&amp;START_MAXIMIZED=FALSE&amp;creator=factset&amp;display_string=Audit"}</definedName>
    <definedName name="_51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516__FDSAUDITLINK__" localSheetId="1" hidden="1">{"fdsup://Directions/FactSet Auditing Viewer?action=AUDIT_VALUE&amp;DB=129&amp;ID1=16890510&amp;VALUEID=02101&amp;SDATE=200902&amp;PERIODTYPE=QTR_STD&amp;window=popup_no_bar&amp;width=385&amp;height=120&amp;START_MAXIMIZED=FALSE&amp;creator=factset&amp;display_string=Audit"}</definedName>
    <definedName name="_516__FDSAUDITLINK__" localSheetId="20" hidden="1">{"fdsup://Directions/FactSet Auditing Viewer?action=AUDIT_VALUE&amp;DB=129&amp;ID1=16890510&amp;VALUEID=02101&amp;SDATE=200902&amp;PERIODTYPE=QTR_STD&amp;window=popup_no_bar&amp;width=385&amp;height=120&amp;START_MAXIMIZED=FALSE&amp;creator=factset&amp;display_string=Audit"}</definedName>
    <definedName name="_51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517__FDSAUDITLINK__" localSheetId="1" hidden="1">{"fdsup://Directions/FactSet Auditing Viewer?action=AUDIT_VALUE&amp;DB=129&amp;ID1=16890510&amp;VALUEID=01001&amp;SDATE=200902&amp;PERIODTYPE=QTR_STD&amp;window=popup_no_bar&amp;width=385&amp;height=120&amp;START_MAXIMIZED=FALSE&amp;creator=factset&amp;display_string=Audit"}</definedName>
    <definedName name="_517__FDSAUDITLINK__" localSheetId="20" hidden="1">{"fdsup://Directions/FactSet Auditing Viewer?action=AUDIT_VALUE&amp;DB=129&amp;ID1=16890510&amp;VALUEID=01001&amp;SDATE=200902&amp;PERIODTYPE=QTR_STD&amp;window=popup_no_bar&amp;width=385&amp;height=120&amp;START_MAXIMIZED=FALSE&amp;creator=factset&amp;display_string=Audit"}</definedName>
    <definedName name="_517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518__FDSAUDITLINK__" localSheetId="1" hidden="1">{"fdsup://Directions/FactSet Auditing Viewer?action=AUDIT_VALUE&amp;DB=129&amp;ID1=91704710&amp;VALUEID=02101&amp;SDATE=200902&amp;PERIODTYPE=QTR_STD&amp;window=popup_no_bar&amp;width=385&amp;height=120&amp;START_MAXIMIZED=FALSE&amp;creator=factset&amp;display_string=Audit"}</definedName>
    <definedName name="_518__FDSAUDITLINK__" localSheetId="20" hidden="1">{"fdsup://Directions/FactSet Auditing Viewer?action=AUDIT_VALUE&amp;DB=129&amp;ID1=91704710&amp;VALUEID=02101&amp;SDATE=200902&amp;PERIODTYPE=QTR_STD&amp;window=popup_no_bar&amp;width=385&amp;height=120&amp;START_MAXIMIZED=FALSE&amp;creator=factset&amp;display_string=Audit"}</definedName>
    <definedName name="_518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519__FDSAUDITLINK__" localSheetId="1" hidden="1">{"fdsup://Directions/FactSet Auditing Viewer?action=AUDIT_VALUE&amp;DB=129&amp;ID1=91704710&amp;VALUEID=01001&amp;SDATE=200902&amp;PERIODTYPE=QTR_STD&amp;window=popup_no_bar&amp;width=385&amp;height=120&amp;START_MAXIMIZED=FALSE&amp;creator=factset&amp;display_string=Audit"}</definedName>
    <definedName name="_519__FDSAUDITLINK__" localSheetId="20" hidden="1">{"fdsup://Directions/FactSet Auditing Viewer?action=AUDIT_VALUE&amp;DB=129&amp;ID1=91704710&amp;VALUEID=01001&amp;SDATE=200902&amp;PERIODTYPE=QTR_STD&amp;window=popup_no_bar&amp;width=385&amp;height=120&amp;START_MAXIMIZED=FALSE&amp;creator=factset&amp;display_string=Audit"}</definedName>
    <definedName name="_519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52__FDSAUDITLINK__" localSheetId="1" hidden="1">{"fdsup://Directions/FactSet Auditing Viewer?action=AUDIT_VALUE&amp;DB=129&amp;ID1=44133910&amp;VALUEID=01001&amp;SDATE=2010&amp;PERIODTYPE=ANN_STD&amp;SCFT=3&amp;window=popup_no_bar&amp;width=385&amp;height=120&amp;START_MAXIMIZED=FALSE&amp;creator=factset&amp;display_string=Audit"}</definedName>
    <definedName name="_52__FDSAUDITLINK__" localSheetId="20" hidden="1">{"fdsup://Directions/FactSet Auditing Viewer?action=AUDIT_VALUE&amp;DB=129&amp;ID1=02553E10&amp;VALUEID=01001&amp;SDATE=200903&amp;PERIODTYPE=QTR_STD&amp;window=popup_no_bar&amp;width=385&amp;height=120&amp;START_MAXIMIZED=FALSE&amp;creator=factset&amp;display_string=Audit"}</definedName>
    <definedName name="_52__FDSAUDITLINK__" hidden="1">{"fdsup://Directions/FactSet Auditing Viewer?action=AUDIT_VALUE&amp;DB=129&amp;ID1=44133910&amp;VALUEID=01001&amp;SDATE=2010&amp;PERIODTYPE=ANN_STD&amp;SCFT=3&amp;window=popup_no_bar&amp;width=385&amp;height=120&amp;START_MAXIMIZED=FALSE&amp;creator=factset&amp;display_string=Audit"}</definedName>
    <definedName name="_520__FDSAUDITLINK__" localSheetId="1" hidden="1">{"fdsup://Directions/FactSet Auditing Viewer?action=AUDIT_VALUE&amp;DB=129&amp;ID1=02553E10&amp;VALUEID=02101&amp;SDATE=200902&amp;PERIODTYPE=QTR_STD&amp;window=popup_no_bar&amp;width=385&amp;height=120&amp;START_MAXIMIZED=FALSE&amp;creator=factset&amp;display_string=Audit"}</definedName>
    <definedName name="_520__FDSAUDITLINK__" localSheetId="20" hidden="1">{"fdsup://Directions/FactSet Auditing Viewer?action=AUDIT_VALUE&amp;DB=129&amp;ID1=02553E10&amp;VALUEID=02101&amp;SDATE=200902&amp;PERIODTYPE=QTR_STD&amp;window=popup_no_bar&amp;width=385&amp;height=120&amp;START_MAXIMIZED=FALSE&amp;creator=factset&amp;display_string=Audit"}</definedName>
    <definedName name="_520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521__FDSAUDITLINK__" localSheetId="1" hidden="1">{"fdsup://Directions/FactSet Auditing Viewer?action=AUDIT_VALUE&amp;DB=129&amp;ID1=02553E10&amp;VALUEID=01001&amp;SDATE=200902&amp;PERIODTYPE=QTR_STD&amp;window=popup_no_bar&amp;width=385&amp;height=120&amp;START_MAXIMIZED=FALSE&amp;creator=factset&amp;display_string=Audit"}</definedName>
    <definedName name="_521__FDSAUDITLINK__" localSheetId="20" hidden="1">{"fdsup://Directions/FactSet Auditing Viewer?action=AUDIT_VALUE&amp;DB=129&amp;ID1=02553E10&amp;VALUEID=01001&amp;SDATE=200902&amp;PERIODTYPE=QTR_STD&amp;window=popup_no_bar&amp;width=385&amp;height=120&amp;START_MAXIMIZED=FALSE&amp;creator=factset&amp;display_string=Audit"}</definedName>
    <definedName name="_521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522__FDSAUDITLINK__" localSheetId="1" hidden="1">{"fdsup://Directions/FactSet Auditing Viewer?action=AUDIT_VALUE&amp;DB=129&amp;ID1=02553E10&amp;VALUEID=13040&amp;SDATE=200902&amp;PERIODTYPE=QTR_STD&amp;window=popup_no_bar&amp;width=385&amp;height=120&amp;START_MAXIMIZED=FALSE&amp;creator=factset&amp;display_string=Audit"}</definedName>
    <definedName name="_522__FDSAUDITLINK__" localSheetId="20" hidden="1">{"fdsup://Directions/FactSet Auditing Viewer?action=AUDIT_VALUE&amp;DB=129&amp;ID1=02553E10&amp;VALUEID=13040&amp;SDATE=200902&amp;PERIODTYPE=QTR_STD&amp;window=popup_no_bar&amp;width=385&amp;height=120&amp;START_MAXIMIZED=FALSE&amp;creator=factset&amp;display_string=Audit"}</definedName>
    <definedName name="_522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523__FDSAUDITLINK__" localSheetId="1" hidden="1">{"fdsup://Directions/FactSet Auditing Viewer?action=AUDIT_VALUE&amp;DB=129&amp;ID1=00786510&amp;VALUEID=02101&amp;SDATE=200902&amp;PERIODTYPE=QTR_STD&amp;window=popup_no_bar&amp;width=385&amp;height=120&amp;START_MAXIMIZED=FALSE&amp;creator=factset&amp;display_string=Audit"}</definedName>
    <definedName name="_523__FDSAUDITLINK__" localSheetId="20" hidden="1">{"fdsup://Directions/FactSet Auditing Viewer?action=AUDIT_VALUE&amp;DB=129&amp;ID1=00786510&amp;VALUEID=02101&amp;SDATE=200902&amp;PERIODTYPE=QTR_STD&amp;window=popup_no_bar&amp;width=385&amp;height=120&amp;START_MAXIMIZED=FALSE&amp;creator=factset&amp;display_string=Audit"}</definedName>
    <definedName name="_523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524__FDSAUDITLINK__" localSheetId="1" hidden="1">{"fdsup://Directions/FactSet Auditing Viewer?action=AUDIT_VALUE&amp;DB=129&amp;ID1=00786510&amp;VALUEID=01001&amp;SDATE=200902&amp;PERIODTYPE=QTR_STD&amp;window=popup_no_bar&amp;width=385&amp;height=120&amp;START_MAXIMIZED=FALSE&amp;creator=factset&amp;display_string=Audit"}</definedName>
    <definedName name="_524__FDSAUDITLINK__" localSheetId="20" hidden="1">{"fdsup://Directions/FactSet Auditing Viewer?action=AUDIT_VALUE&amp;DB=129&amp;ID1=00786510&amp;VALUEID=01001&amp;SDATE=200902&amp;PERIODTYPE=QTR_STD&amp;window=popup_no_bar&amp;width=385&amp;height=120&amp;START_MAXIMIZED=FALSE&amp;creator=factset&amp;display_string=Audit"}</definedName>
    <definedName name="_524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525__FDSAUDITLINK__" localSheetId="1" hidden="1">{"fdsup://Directions/FactSet Auditing Viewer?action=AUDIT_VALUE&amp;DB=129&amp;ID1=00786510&amp;VALUEID=13040&amp;SDATE=200902&amp;PERIODTYPE=QTR_STD&amp;window=popup_no_bar&amp;width=385&amp;height=120&amp;START_MAXIMIZED=FALSE&amp;creator=factset&amp;display_string=Audit"}</definedName>
    <definedName name="_525__FDSAUDITLINK__" localSheetId="20" hidden="1">{"fdsup://Directions/FactSet Auditing Viewer?action=AUDIT_VALUE&amp;DB=129&amp;ID1=00786510&amp;VALUEID=13040&amp;SDATE=200902&amp;PERIODTYPE=QTR_STD&amp;window=popup_no_bar&amp;width=385&amp;height=120&amp;START_MAXIMIZED=FALSE&amp;creator=factset&amp;display_string=Audit"}</definedName>
    <definedName name="_525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526__FDSAUDITLINK__" localSheetId="1" hidden="1">{"fdsup://Directions/FactSet Auditing Viewer?action=AUDIT_VALUE&amp;DB=129&amp;ID1=00289620&amp;VALUEID=02101&amp;SDATE=200902&amp;PERIODTYPE=QTR_STD&amp;window=popup_no_bar&amp;width=385&amp;height=120&amp;START_MAXIMIZED=FALSE&amp;creator=factset&amp;display_string=Audit"}</definedName>
    <definedName name="_526__FDSAUDITLINK__" localSheetId="20" hidden="1">{"fdsup://Directions/FactSet Auditing Viewer?action=AUDIT_VALUE&amp;DB=129&amp;ID1=00289620&amp;VALUEID=02101&amp;SDATE=200902&amp;PERIODTYPE=QTR_STD&amp;window=popup_no_bar&amp;width=385&amp;height=120&amp;START_MAXIMIZED=FALSE&amp;creator=factset&amp;display_string=Audit"}</definedName>
    <definedName name="_526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527__FDSAUDITLINK__" localSheetId="1" hidden="1">{"fdsup://Directions/FactSet Auditing Viewer?action=AUDIT_VALUE&amp;DB=129&amp;ID1=00289620&amp;VALUEID=01001&amp;SDATE=200902&amp;PERIODTYPE=QTR_STD&amp;window=popup_no_bar&amp;width=385&amp;height=120&amp;START_MAXIMIZED=FALSE&amp;creator=factset&amp;display_string=Audit"}</definedName>
    <definedName name="_527__FDSAUDITLINK__" localSheetId="20" hidden="1">{"fdsup://Directions/FactSet Auditing Viewer?action=AUDIT_VALUE&amp;DB=129&amp;ID1=00289620&amp;VALUEID=01001&amp;SDATE=200902&amp;PERIODTYPE=QTR_STD&amp;window=popup_no_bar&amp;width=385&amp;height=120&amp;START_MAXIMIZED=FALSE&amp;creator=factset&amp;display_string=Audit"}</definedName>
    <definedName name="_527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528__FDSAUDITLINK__" localSheetId="1" hidden="1">{"fdsup://Directions/FactSet Auditing Viewer?action=AUDIT_VALUE&amp;DB=129&amp;ID1=00289620&amp;VALUEID=13040&amp;SDATE=200902&amp;PERIODTYPE=QTR_STD&amp;window=popup_no_bar&amp;width=385&amp;height=120&amp;START_MAXIMIZED=FALSE&amp;creator=factset&amp;display_string=Audit"}</definedName>
    <definedName name="_528__FDSAUDITLINK__" localSheetId="20" hidden="1">{"fdsup://Directions/FactSet Auditing Viewer?action=AUDIT_VALUE&amp;DB=129&amp;ID1=00289620&amp;VALUEID=13040&amp;SDATE=200902&amp;PERIODTYPE=QTR_STD&amp;window=popup_no_bar&amp;width=385&amp;height=120&amp;START_MAXIMIZED=FALSE&amp;creator=factset&amp;display_string=Audit"}</definedName>
    <definedName name="_528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529__FDSAUDITLINK__" localSheetId="1" hidden="1">{"fdsup://Directions/FactSet Auditing Viewer?action=AUDIT_VALUE&amp;DB=129&amp;ID1=87416110&amp;VALUEID=02101&amp;SDATE=200901&amp;PERIODTYPE=QTR_STD&amp;window=popup_no_bar&amp;width=385&amp;height=120&amp;START_MAXIMIZED=FALSE&amp;creator=factset&amp;display_string=Audit"}</definedName>
    <definedName name="_529__FDSAUDITLINK__" localSheetId="20" hidden="1">{"fdsup://Directions/FactSet Auditing Viewer?action=AUDIT_VALUE&amp;DB=129&amp;ID1=87416110&amp;VALUEID=02101&amp;SDATE=200901&amp;PERIODTYPE=QTR_STD&amp;window=popup_no_bar&amp;width=385&amp;height=120&amp;START_MAXIMIZED=FALSE&amp;creator=factset&amp;display_string=Audit"}</definedName>
    <definedName name="_529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53__FDSAUDITLINK__" localSheetId="1" hidden="1">{"fdsup://Directions/FactSet Auditing Viewer?action=AUDIT_VALUE&amp;DB=129&amp;ID1=19306810&amp;VALUEID=01001&amp;SDATE=2010&amp;PERIODTYPE=ANN_STD&amp;SCFT=3&amp;window=popup_no_bar&amp;width=385&amp;height=120&amp;START_MAXIMIZED=FALSE&amp;creator=factset&amp;display_string=Audit"}</definedName>
    <definedName name="_53__FDSAUDITLINK__" localSheetId="20" hidden="1">{"fdsup://Directions/FactSet Auditing Viewer?action=AUDIT_VALUE&amp;DB=129&amp;ID1=00786510&amp;VALUEID=02101&amp;SDATE=200903&amp;PERIODTYPE=QTR_STD&amp;window=popup_no_bar&amp;width=385&amp;height=120&amp;START_MAXIMIZED=FALSE&amp;creator=factset&amp;display_string=Audit"}</definedName>
    <definedName name="_53__FDSAUDITLINK__" hidden="1">{"fdsup://Directions/FactSet Auditing Viewer?action=AUDIT_VALUE&amp;DB=129&amp;ID1=19306810&amp;VALUEID=01001&amp;SDATE=2010&amp;PERIODTYPE=ANN_STD&amp;SCFT=3&amp;window=popup_no_bar&amp;width=385&amp;height=120&amp;START_MAXIMIZED=FALSE&amp;creator=factset&amp;display_string=Audit"}</definedName>
    <definedName name="_530__FDSAUDITLINK__" localSheetId="1" hidden="1">{"fdsup://Directions/FactSet Auditing Viewer?action=AUDIT_VALUE&amp;DB=129&amp;ID1=87416110&amp;VALUEID=01001&amp;SDATE=200901&amp;PERIODTYPE=QTR_STD&amp;window=popup_no_bar&amp;width=385&amp;height=120&amp;START_MAXIMIZED=FALSE&amp;creator=factset&amp;display_string=Audit"}</definedName>
    <definedName name="_530__FDSAUDITLINK__" localSheetId="20" hidden="1">{"fdsup://Directions/FactSet Auditing Viewer?action=AUDIT_VALUE&amp;DB=129&amp;ID1=87416110&amp;VALUEID=01001&amp;SDATE=200901&amp;PERIODTYPE=QTR_STD&amp;window=popup_no_bar&amp;width=385&amp;height=120&amp;START_MAXIMIZED=FALSE&amp;creator=factset&amp;display_string=Audit"}</definedName>
    <definedName name="_530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531__FDSAUDITLINK__" localSheetId="1" hidden="1">{"fdsup://Directions/FactSet Auditing Viewer?action=AUDIT_VALUE&amp;DB=129&amp;ID1=87416110&amp;VALUEID=13040&amp;SDATE=200901&amp;PERIODTYPE=QTR_STD&amp;window=popup_no_bar&amp;width=385&amp;height=120&amp;START_MAXIMIZED=FALSE&amp;creator=factset&amp;display_string=Audit"}</definedName>
    <definedName name="_531__FDSAUDITLINK__" localSheetId="20" hidden="1">{"fdsup://Directions/FactSet Auditing Viewer?action=AUDIT_VALUE&amp;DB=129&amp;ID1=87416110&amp;VALUEID=13040&amp;SDATE=200901&amp;PERIODTYPE=QTR_STD&amp;window=popup_no_bar&amp;width=385&amp;height=120&amp;START_MAXIMIZED=FALSE&amp;creator=factset&amp;display_string=Audit"}</definedName>
    <definedName name="_531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532__FDSAUDITLINK__" localSheetId="1"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2__FDSAUDITLINK__" localSheetId="20"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2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3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533__FDSAUDITLINK__" localSheetId="20" hidden="1">{"fdsup://Directions/FactSet Auditing Viewer?action=AUDIT_VALUE&amp;DB=129&amp;ID1=53271610&amp;VALUEID=13040&amp;SDATE=200901&amp;PERIODTYPE=QTR_STD&amp;window=popup_no_bar&amp;width=385&amp;height=120&amp;START_MAXIMIZED=FALSE&amp;creator=factset&amp;display_string=Audit"}</definedName>
    <definedName name="_533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534__FDSAUDITLINK__" localSheetId="1" hidden="1">{"fdsup://Directions/FactSet Auditing Viewer?action=AUDIT_VALUE&amp;DB=129&amp;ID1=46612H40&amp;VALUEID=02101&amp;SDATE=200901&amp;PERIODTYPE=QTR_STD&amp;window=popup_no_bar&amp;width=385&amp;height=120&amp;START_MAXIMIZED=FALSE&amp;creator=factset&amp;display_string=Audit"}</definedName>
    <definedName name="_534__FDSAUDITLINK__" localSheetId="20" hidden="1">{"fdsup://Directions/FactSet Auditing Viewer?action=AUDIT_VALUE&amp;DB=129&amp;ID1=46612H40&amp;VALUEID=02101&amp;SDATE=200901&amp;PERIODTYPE=QTR_STD&amp;window=popup_no_bar&amp;width=385&amp;height=120&amp;START_MAXIMIZED=FALSE&amp;creator=factset&amp;display_string=Audit"}</definedName>
    <definedName name="_534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535__FDSAUDITLINK__" localSheetId="1" hidden="1">{"fdsup://Directions/FactSet Auditing Viewer?action=AUDIT_VALUE&amp;DB=129&amp;ID1=46612H40&amp;VALUEID=01001&amp;SDATE=200901&amp;PERIODTYPE=QTR_STD&amp;window=popup_no_bar&amp;width=385&amp;height=120&amp;START_MAXIMIZED=FALSE&amp;creator=factset&amp;display_string=Audit"}</definedName>
    <definedName name="_535__FDSAUDITLINK__" localSheetId="20" hidden="1">{"fdsup://Directions/FactSet Auditing Viewer?action=AUDIT_VALUE&amp;DB=129&amp;ID1=46612H40&amp;VALUEID=01001&amp;SDATE=200901&amp;PERIODTYPE=QTR_STD&amp;window=popup_no_bar&amp;width=385&amp;height=120&amp;START_MAXIMIZED=FALSE&amp;creator=factset&amp;display_string=Audit"}</definedName>
    <definedName name="_535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536__FDSAUDITLINK__" localSheetId="1" hidden="1">{"fdsup://Directions/FactSet Auditing Viewer?action=AUDIT_VALUE&amp;DB=129&amp;ID1=46612H40&amp;VALUEID=13040&amp;SDATE=200901&amp;PERIODTYPE=QTR_STD&amp;window=popup_no_bar&amp;width=385&amp;height=120&amp;START_MAXIMIZED=FALSE&amp;creator=factset&amp;display_string=Audit"}</definedName>
    <definedName name="_536__FDSAUDITLINK__" localSheetId="20" hidden="1">{"fdsup://Directions/FactSet Auditing Viewer?action=AUDIT_VALUE&amp;DB=129&amp;ID1=46612H40&amp;VALUEID=13040&amp;SDATE=200901&amp;PERIODTYPE=QTR_STD&amp;window=popup_no_bar&amp;width=385&amp;height=120&amp;START_MAXIMIZED=FALSE&amp;creator=factset&amp;display_string=Audit"}</definedName>
    <definedName name="_536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537__FDSAUDITLINK__" localSheetId="1" hidden="1">{"fdsup://Directions/FactSet Auditing Viewer?action=AUDIT_VALUE&amp;DB=129&amp;ID1=03611510&amp;VALUEID=02101&amp;SDATE=200901&amp;PERIODTYPE=QTR_STD&amp;window=popup_no_bar&amp;width=385&amp;height=120&amp;START_MAXIMIZED=FALSE&amp;creator=factset&amp;display_string=Audit"}</definedName>
    <definedName name="_537__FDSAUDITLINK__" localSheetId="20" hidden="1">{"fdsup://Directions/FactSet Auditing Viewer?action=AUDIT_VALUE&amp;DB=129&amp;ID1=03611510&amp;VALUEID=02101&amp;SDATE=200901&amp;PERIODTYPE=QTR_STD&amp;window=popup_no_bar&amp;width=385&amp;height=120&amp;START_MAXIMIZED=FALSE&amp;creator=factset&amp;display_string=Audit"}</definedName>
    <definedName name="_537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538__FDSAUDITLINK__" localSheetId="1" hidden="1">{"fdsup://Directions/FactSet Auditing Viewer?action=AUDIT_VALUE&amp;DB=129&amp;ID1=03611510&amp;VALUEID=01001&amp;SDATE=200901&amp;PERIODTYPE=QTR_STD&amp;window=popup_no_bar&amp;width=385&amp;height=120&amp;START_MAXIMIZED=FALSE&amp;creator=factset&amp;display_string=Audit"}</definedName>
    <definedName name="_538__FDSAUDITLINK__" localSheetId="20" hidden="1">{"fdsup://Directions/FactSet Auditing Viewer?action=AUDIT_VALUE&amp;DB=129&amp;ID1=03611510&amp;VALUEID=01001&amp;SDATE=200901&amp;PERIODTYPE=QTR_STD&amp;window=popup_no_bar&amp;width=385&amp;height=120&amp;START_MAXIMIZED=FALSE&amp;creator=factset&amp;display_string=Audit"}</definedName>
    <definedName name="_538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539__FDSAUDITLINK__" localSheetId="1" hidden="1">{"fdsup://Directions/FactSet Auditing Viewer?action=AUDIT_VALUE&amp;DB=129&amp;ID1=16890510&amp;VALUEID=02101&amp;SDATE=200901&amp;PERIODTYPE=QTR_STD&amp;window=popup_no_bar&amp;width=385&amp;height=120&amp;START_MAXIMIZED=FALSE&amp;creator=factset&amp;display_string=Audit"}</definedName>
    <definedName name="_539__FDSAUDITLINK__" localSheetId="20" hidden="1">{"fdsup://Directions/FactSet Auditing Viewer?action=AUDIT_VALUE&amp;DB=129&amp;ID1=16890510&amp;VALUEID=02101&amp;SDATE=200901&amp;PERIODTYPE=QTR_STD&amp;window=popup_no_bar&amp;width=385&amp;height=120&amp;START_MAXIMIZED=FALSE&amp;creator=factset&amp;display_string=Audit"}</definedName>
    <definedName name="_539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54__FDSAUDITLINK__" localSheetId="1" hidden="1">{"fdsup://Directions/FactSet Auditing Viewer?action=AUDIT_VALUE&amp;DB=129&amp;ID1=14871130&amp;VALUEID=01001&amp;SDATE=2010&amp;PERIODTYPE=ANN_STD&amp;SCFT=3&amp;window=popup_no_bar&amp;width=385&amp;height=120&amp;START_MAXIMIZED=FALSE&amp;creator=factset&amp;display_string=Audit"}</definedName>
    <definedName name="_54__FDSAUDITLINK__" localSheetId="20" hidden="1">{"fdsup://Directions/FactSet Auditing Viewer?action=AUDIT_VALUE&amp;DB=129&amp;ID1=00786510&amp;VALUEID=01001&amp;SDATE=200903&amp;PERIODTYPE=QTR_STD&amp;window=popup_no_bar&amp;width=385&amp;height=120&amp;START_MAXIMIZED=FALSE&amp;creator=factset&amp;display_string=Audit"}</definedName>
    <definedName name="_54__FDSAUDITLINK__" hidden="1">{"fdsup://Directions/FactSet Auditing Viewer?action=AUDIT_VALUE&amp;DB=129&amp;ID1=14871130&amp;VALUEID=01001&amp;SDATE=2010&amp;PERIODTYPE=ANN_STD&amp;SCFT=3&amp;window=popup_no_bar&amp;width=385&amp;height=120&amp;START_MAXIMIZED=FALSE&amp;creator=factset&amp;display_string=Audit"}</definedName>
    <definedName name="_540__FDSAUDITLINK__" localSheetId="1" hidden="1">{"fdsup://Directions/FactSet Auditing Viewer?action=AUDIT_VALUE&amp;DB=129&amp;ID1=16890510&amp;VALUEID=01001&amp;SDATE=200901&amp;PERIODTYPE=QTR_STD&amp;window=popup_no_bar&amp;width=385&amp;height=120&amp;START_MAXIMIZED=FALSE&amp;creator=factset&amp;display_string=Audit"}</definedName>
    <definedName name="_540__FDSAUDITLINK__" localSheetId="20" hidden="1">{"fdsup://Directions/FactSet Auditing Viewer?action=AUDIT_VALUE&amp;DB=129&amp;ID1=16890510&amp;VALUEID=01001&amp;SDATE=200901&amp;PERIODTYPE=QTR_STD&amp;window=popup_no_bar&amp;width=385&amp;height=120&amp;START_MAXIMIZED=FALSE&amp;creator=factset&amp;display_string=Audit"}</definedName>
    <definedName name="_540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541__FDSAUDITLINK__" localSheetId="1" hidden="1">{"fdsup://Directions/FactSet Auditing Viewer?action=AUDIT_VALUE&amp;DB=129&amp;ID1=00786510&amp;VALUEID=02101&amp;SDATE=200901&amp;PERIODTYPE=QTR_STD&amp;window=popup_no_bar&amp;width=385&amp;height=120&amp;START_MAXIMIZED=FALSE&amp;creator=factset&amp;display_string=Audit"}</definedName>
    <definedName name="_541__FDSAUDITLINK__" localSheetId="20" hidden="1">{"fdsup://Directions/FactSet Auditing Viewer?action=AUDIT_VALUE&amp;DB=129&amp;ID1=00786510&amp;VALUEID=02101&amp;SDATE=200901&amp;PERIODTYPE=QTR_STD&amp;window=popup_no_bar&amp;width=385&amp;height=120&amp;START_MAXIMIZED=FALSE&amp;creator=factset&amp;display_string=Audit"}</definedName>
    <definedName name="_541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542__FDSAUDITLINK__" localSheetId="1" hidden="1">{"fdsup://Directions/FactSet Auditing Viewer?action=AUDIT_VALUE&amp;DB=129&amp;ID1=00786510&amp;VALUEID=01001&amp;SDATE=200901&amp;PERIODTYPE=QTR_STD&amp;window=popup_no_bar&amp;width=385&amp;height=120&amp;START_MAXIMIZED=FALSE&amp;creator=factset&amp;display_string=Audit"}</definedName>
    <definedName name="_542__FDSAUDITLINK__" localSheetId="20" hidden="1">{"fdsup://Directions/FactSet Auditing Viewer?action=AUDIT_VALUE&amp;DB=129&amp;ID1=00786510&amp;VALUEID=01001&amp;SDATE=200901&amp;PERIODTYPE=QTR_STD&amp;window=popup_no_bar&amp;width=385&amp;height=120&amp;START_MAXIMIZED=FALSE&amp;creator=factset&amp;display_string=Audit"}</definedName>
    <definedName name="_542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543__FDSAUDITLINK__" localSheetId="1" hidden="1">{"fdsup://Directions/FactSet Auditing Viewer?action=AUDIT_VALUE&amp;DB=129&amp;ID1=00786510&amp;VALUEID=13040&amp;SDATE=200901&amp;PERIODTYPE=QTR_STD&amp;window=popup_no_bar&amp;width=385&amp;height=120&amp;START_MAXIMIZED=FALSE&amp;creator=factset&amp;display_string=Audit"}</definedName>
    <definedName name="_543__FDSAUDITLINK__" localSheetId="20" hidden="1">{"fdsup://Directions/FactSet Auditing Viewer?action=AUDIT_VALUE&amp;DB=129&amp;ID1=00786510&amp;VALUEID=13040&amp;SDATE=200901&amp;PERIODTYPE=QTR_STD&amp;window=popup_no_bar&amp;width=385&amp;height=120&amp;START_MAXIMIZED=FALSE&amp;creator=factset&amp;display_string=Audit"}</definedName>
    <definedName name="_543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544__FDSAUDITLINK__" localSheetId="1" hidden="1">{"fdsup://Directions/FactSet Auditing Viewer?action=AUDIT_VALUE&amp;DB=129&amp;ID1=00289620&amp;VALUEID=13040&amp;SDATE=200901&amp;PERIODTYPE=QTR_STD&amp;window=popup_no_bar&amp;width=385&amp;height=120&amp;START_MAXIMIZED=FALSE&amp;creator=factset&amp;display_string=Audit"}</definedName>
    <definedName name="_544__FDSAUDITLINK__" localSheetId="20" hidden="1">{"fdsup://Directions/FactSet Auditing Viewer?action=AUDIT_VALUE&amp;DB=129&amp;ID1=00289620&amp;VALUEID=13040&amp;SDATE=200901&amp;PERIODTYPE=QTR_STD&amp;window=popup_no_bar&amp;width=385&amp;height=120&amp;START_MAXIMIZED=FALSE&amp;creator=factset&amp;display_string=Audit"}</definedName>
    <definedName name="_544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545__FDSAUDITLINK__" localSheetId="1" hidden="1">{"fdsup://Directions/FactSet Auditing Viewer?action=AUDIT_VALUE&amp;DB=129&amp;ID1=87416110&amp;VALUEID=01001&amp;SDATE=200804&amp;PERIODTYPE=QTR_STD&amp;window=popup_no_bar&amp;width=385&amp;height=120&amp;START_MAXIMIZED=FALSE&amp;creator=factset&amp;display_string=Audit"}</definedName>
    <definedName name="_545__FDSAUDITLINK__" localSheetId="20" hidden="1">{"fdsup://Directions/FactSet Auditing Viewer?action=AUDIT_VALUE&amp;DB=129&amp;ID1=87416110&amp;VALUEID=01001&amp;SDATE=200804&amp;PERIODTYPE=QTR_STD&amp;window=popup_no_bar&amp;width=385&amp;height=120&amp;START_MAXIMIZED=FALSE&amp;creator=factset&amp;display_string=Audit"}</definedName>
    <definedName name="_545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546__FDSAUDITLINK__" localSheetId="1"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6__FDSAUDITLINK__" localSheetId="20"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6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7__FDSAUDITLINK__" localSheetId="1" hidden="1">{"fdsup://Directions/FactSet Auditing Viewer?action=AUDIT_VALUE&amp;DB=129&amp;ID1=46612H40&amp;VALUEID=01001&amp;SDATE=200804&amp;PERIODTYPE=QTR_STD&amp;window=popup_no_bar&amp;width=385&amp;height=120&amp;START_MAXIMIZED=FALSE&amp;creator=factset&amp;display_string=Audit"}</definedName>
    <definedName name="_547__FDSAUDITLINK__" localSheetId="20" hidden="1">{"fdsup://Directions/FactSet Auditing Viewer?action=AUDIT_VALUE&amp;DB=129&amp;ID1=46612H40&amp;VALUEID=01001&amp;SDATE=200804&amp;PERIODTYPE=QTR_STD&amp;window=popup_no_bar&amp;width=385&amp;height=120&amp;START_MAXIMIZED=FALSE&amp;creator=factset&amp;display_string=Audit"}</definedName>
    <definedName name="_547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548__FDSAUDITLINK__" localSheetId="1" hidden="1">{"fdsup://Directions/FactSet Auditing Viewer?action=AUDIT_VALUE&amp;DB=129&amp;ID1=46612H40&amp;VALUEID=13040&amp;SDATE=200804&amp;PERIODTYPE=QTR_STD&amp;window=popup_no_bar&amp;width=385&amp;height=120&amp;START_MAXIMIZED=FALSE&amp;creator=factset&amp;display_string=Audit"}</definedName>
    <definedName name="_548__FDSAUDITLINK__" localSheetId="20" hidden="1">{"fdsup://Directions/FactSet Auditing Viewer?action=AUDIT_VALUE&amp;DB=129&amp;ID1=46612H40&amp;VALUEID=13040&amp;SDATE=200804&amp;PERIODTYPE=QTR_STD&amp;window=popup_no_bar&amp;width=385&amp;height=120&amp;START_MAXIMIZED=FALSE&amp;creator=factset&amp;display_string=Audit"}</definedName>
    <definedName name="_548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549__FDSAUDITLINK__" localSheetId="1" hidden="1">{"fdsup://Directions/FactSet Auditing Viewer?action=AUDIT_VALUE&amp;DB=129&amp;ID1=36476010&amp;VALUEID=01001&amp;SDATE=200804&amp;PERIODTYPE=QTR_STD&amp;window=popup_no_bar&amp;width=385&amp;height=120&amp;START_MAXIMIZED=FALSE&amp;creator=factset&amp;display_string=Audit"}</definedName>
    <definedName name="_549__FDSAUDITLINK__" localSheetId="20" hidden="1">{"fdsup://Directions/FactSet Auditing Viewer?action=AUDIT_VALUE&amp;DB=129&amp;ID1=36476010&amp;VALUEID=01001&amp;SDATE=200804&amp;PERIODTYPE=QTR_STD&amp;window=popup_no_bar&amp;width=385&amp;height=120&amp;START_MAXIMIZED=FALSE&amp;creator=factset&amp;display_string=Audit"}</definedName>
    <definedName name="_549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55__FDSAUDITLINK__" localSheetId="1" hidden="1">{"fdsup://Directions/FactSet Auditing Viewer?action=AUDIT_VALUE&amp;DB=129&amp;ID1=16113310&amp;VALUEID=01001&amp;SDATE=2010&amp;PERIODTYPE=ANN_STD&amp;SCFT=3&amp;window=popup_no_bar&amp;width=385&amp;height=120&amp;START_MAXIMIZED=FALSE&amp;creator=factset&amp;display_string=Audit"}</definedName>
    <definedName name="_55__FDSAUDITLINK__" localSheetId="20" hidden="1">{"fdsup://Directions/FactSet Auditing Viewer?action=AUDIT_VALUE&amp;DB=129&amp;ID1=00786510&amp;VALUEID=13040&amp;SDATE=200903&amp;PERIODTYPE=QTR_STD&amp;window=popup_no_bar&amp;width=385&amp;height=120&amp;START_MAXIMIZED=FALSE&amp;creator=factset&amp;display_string=Audit"}</definedName>
    <definedName name="_55__FDSAUDITLINK__" hidden="1">{"fdsup://Directions/FactSet Auditing Viewer?action=AUDIT_VALUE&amp;DB=129&amp;ID1=16113310&amp;VALUEID=01001&amp;SDATE=2010&amp;PERIODTYPE=ANN_STD&amp;SCFT=3&amp;window=popup_no_bar&amp;width=385&amp;height=120&amp;START_MAXIMIZED=FALSE&amp;creator=factset&amp;display_string=Audit"}</definedName>
    <definedName name="_550__FDSAUDITLINK__" localSheetId="1" hidden="1">{"fdsup://Directions/FactSet Auditing Viewer?action=AUDIT_VALUE&amp;DB=129&amp;ID1=03611510&amp;VALUEID=01001&amp;SDATE=200804&amp;PERIODTYPE=QTR_STD&amp;window=popup_no_bar&amp;width=385&amp;height=120&amp;START_MAXIMIZED=FALSE&amp;creator=factset&amp;display_string=Audit"}</definedName>
    <definedName name="_550__FDSAUDITLINK__" localSheetId="20" hidden="1">{"fdsup://Directions/FactSet Auditing Viewer?action=AUDIT_VALUE&amp;DB=129&amp;ID1=03611510&amp;VALUEID=01001&amp;SDATE=200804&amp;PERIODTYPE=QTR_STD&amp;window=popup_no_bar&amp;width=385&amp;height=120&amp;START_MAXIMIZED=FALSE&amp;creator=factset&amp;display_string=Audit"}</definedName>
    <definedName name="_550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551__FDSAUDITLINK__" localSheetId="1" hidden="1">{"fdsup://Directions/FactSet Auditing Viewer?action=AUDIT_VALUE&amp;DB=129&amp;ID1=16890510&amp;VALUEID=01001&amp;SDATE=200804&amp;PERIODTYPE=QTR_STD&amp;window=popup_no_bar&amp;width=385&amp;height=120&amp;START_MAXIMIZED=FALSE&amp;creator=factset&amp;display_string=Audit"}</definedName>
    <definedName name="_551__FDSAUDITLINK__" localSheetId="20" hidden="1">{"fdsup://Directions/FactSet Auditing Viewer?action=AUDIT_VALUE&amp;DB=129&amp;ID1=16890510&amp;VALUEID=01001&amp;SDATE=200804&amp;PERIODTYPE=QTR_STD&amp;window=popup_no_bar&amp;width=385&amp;height=120&amp;START_MAXIMIZED=FALSE&amp;creator=factset&amp;display_string=Audit"}</definedName>
    <definedName name="_55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552__FDSAUDITLINK__" localSheetId="1" hidden="1">{"fdsup://Directions/FactSet Auditing Viewer?action=AUDIT_VALUE&amp;DB=129&amp;ID1=00786510&amp;VALUEID=01001&amp;SDATE=200804&amp;PERIODTYPE=QTR_STD&amp;window=popup_no_bar&amp;width=385&amp;height=120&amp;START_MAXIMIZED=FALSE&amp;creator=factset&amp;display_string=Audit"}</definedName>
    <definedName name="_552__FDSAUDITLINK__" localSheetId="20" hidden="1">{"fdsup://Directions/FactSet Auditing Viewer?action=AUDIT_VALUE&amp;DB=129&amp;ID1=00786510&amp;VALUEID=01001&amp;SDATE=200804&amp;PERIODTYPE=QTR_STD&amp;window=popup_no_bar&amp;width=385&amp;height=120&amp;START_MAXIMIZED=FALSE&amp;creator=factset&amp;display_string=Audit"}</definedName>
    <definedName name="_552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553__FDSAUDITLINK__" localSheetId="1" hidden="1">{"fdsup://Directions/FactSet Auditing Viewer?action=AUDIT_VALUE&amp;DB=129&amp;ID1=87416110&amp;VALUEID=02101&amp;SDATE=200803&amp;PERIODTYPE=QTR_STD&amp;window=popup_no_bar&amp;width=385&amp;height=120&amp;START_MAXIMIZED=FALSE&amp;creator=factset&amp;display_string=Audit"}</definedName>
    <definedName name="_553__FDSAUDITLINK__" localSheetId="20" hidden="1">{"fdsup://Directions/FactSet Auditing Viewer?action=AUDIT_VALUE&amp;DB=129&amp;ID1=87416110&amp;VALUEID=02101&amp;SDATE=200803&amp;PERIODTYPE=QTR_STD&amp;window=popup_no_bar&amp;width=385&amp;height=120&amp;START_MAXIMIZED=FALSE&amp;creator=factset&amp;display_string=Audit"}</definedName>
    <definedName name="_553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554__FDSAUDITLINK__" localSheetId="1" hidden="1">{"fdsup://Directions/FactSet Auditing Viewer?action=AUDIT_VALUE&amp;DB=129&amp;ID1=87416110&amp;VALUEID=01001&amp;SDATE=200803&amp;PERIODTYPE=QTR_STD&amp;window=popup_no_bar&amp;width=385&amp;height=120&amp;START_MAXIMIZED=FALSE&amp;creator=factset&amp;display_string=Audit"}</definedName>
    <definedName name="_554__FDSAUDITLINK__" localSheetId="20" hidden="1">{"fdsup://Directions/FactSet Auditing Viewer?action=AUDIT_VALUE&amp;DB=129&amp;ID1=87416110&amp;VALUEID=01001&amp;SDATE=200803&amp;PERIODTYPE=QTR_STD&amp;window=popup_no_bar&amp;width=385&amp;height=120&amp;START_MAXIMIZED=FALSE&amp;creator=factset&amp;display_string=Audit"}</definedName>
    <definedName name="_554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555__FDSAUDITLINK__" localSheetId="1" hidden="1">{"fdsup://Directions/FactSet Auditing Viewer?action=AUDIT_VALUE&amp;DB=129&amp;ID1=87416110&amp;VALUEID=13040&amp;SDATE=200803&amp;PERIODTYPE=QTR_STD&amp;window=popup_no_bar&amp;width=385&amp;height=120&amp;START_MAXIMIZED=FALSE&amp;creator=factset&amp;display_string=Audit"}</definedName>
    <definedName name="_555__FDSAUDITLINK__" localSheetId="20" hidden="1">{"fdsup://Directions/FactSet Auditing Viewer?action=AUDIT_VALUE&amp;DB=129&amp;ID1=87416110&amp;VALUEID=13040&amp;SDATE=200803&amp;PERIODTYPE=QTR_STD&amp;window=popup_no_bar&amp;width=385&amp;height=120&amp;START_MAXIMIZED=FALSE&amp;creator=factset&amp;display_string=Audit"}</definedName>
    <definedName name="_555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556__FDSAUDITLINK__" localSheetId="1"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6__FDSAUDITLINK__" localSheetId="20"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6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7__FDSAUDITLINK__" localSheetId="1" hidden="1">{"fdsup://Directions/FactSet Auditing Viewer?action=AUDIT_VALUE&amp;DB=129&amp;ID1=46612H40&amp;VALUEID=02101&amp;SDATE=200803&amp;PERIODTYPE=QTR_STD&amp;window=popup_no_bar&amp;width=385&amp;height=120&amp;START_MAXIMIZED=FALSE&amp;creator=factset&amp;display_string=Audit"}</definedName>
    <definedName name="_557__FDSAUDITLINK__" localSheetId="20" hidden="1">{"fdsup://Directions/FactSet Auditing Viewer?action=AUDIT_VALUE&amp;DB=129&amp;ID1=46612H40&amp;VALUEID=02101&amp;SDATE=200803&amp;PERIODTYPE=QTR_STD&amp;window=popup_no_bar&amp;width=385&amp;height=120&amp;START_MAXIMIZED=FALSE&amp;creator=factset&amp;display_string=Audit"}</definedName>
    <definedName name="_557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558__FDSAUDITLINK__" localSheetId="1" hidden="1">{"fdsup://Directions/FactSet Auditing Viewer?action=AUDIT_VALUE&amp;DB=129&amp;ID1=46612H40&amp;VALUEID=01001&amp;SDATE=200803&amp;PERIODTYPE=QTR_STD&amp;window=popup_no_bar&amp;width=385&amp;height=120&amp;START_MAXIMIZED=FALSE&amp;creator=factset&amp;display_string=Audit"}</definedName>
    <definedName name="_558__FDSAUDITLINK__" localSheetId="20" hidden="1">{"fdsup://Directions/FactSet Auditing Viewer?action=AUDIT_VALUE&amp;DB=129&amp;ID1=46612H40&amp;VALUEID=01001&amp;SDATE=200803&amp;PERIODTYPE=QTR_STD&amp;window=popup_no_bar&amp;width=385&amp;height=120&amp;START_MAXIMIZED=FALSE&amp;creator=factset&amp;display_string=Audit"}</definedName>
    <definedName name="_558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559__FDSAUDITLINK__" localSheetId="1" hidden="1">{"fdsup://Directions/FactSet Auditing Viewer?action=AUDIT_VALUE&amp;DB=129&amp;ID1=46612H40&amp;VALUEID=13040&amp;SDATE=200803&amp;PERIODTYPE=QTR_STD&amp;window=popup_no_bar&amp;width=385&amp;height=120&amp;START_MAXIMIZED=FALSE&amp;creator=factset&amp;display_string=Audit"}</definedName>
    <definedName name="_559__FDSAUDITLINK__" localSheetId="20" hidden="1">{"fdsup://Directions/FactSet Auditing Viewer?action=AUDIT_VALUE&amp;DB=129&amp;ID1=46612H40&amp;VALUEID=13040&amp;SDATE=200803&amp;PERIODTYPE=QTR_STD&amp;window=popup_no_bar&amp;width=385&amp;height=120&amp;START_MAXIMIZED=FALSE&amp;creator=factset&amp;display_string=Audit"}</definedName>
    <definedName name="_559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56__FDSAUDITLINK__" localSheetId="1" hidden="1">{"fdsup://Directions/FactSet Auditing Viewer?action=AUDIT_VALUE&amp;DB=129&amp;ID1=17104610&amp;VALUEID=01001&amp;SDATE=2010&amp;PERIODTYPE=ANN_STD&amp;SCFT=3&amp;window=popup_no_bar&amp;width=385&amp;height=120&amp;START_MAXIMIZED=FALSE&amp;creator=factset&amp;display_string=Audit"}</definedName>
    <definedName name="_56__FDSAUDITLINK__" localSheetId="20" hidden="1">{"fdsup://Directions/FactSet Auditing Viewer?action=AUDIT_VALUE&amp;DB=129&amp;ID1=00289620&amp;VALUEID=02101&amp;SDATE=200903&amp;PERIODTYPE=QTR_STD&amp;window=popup_no_bar&amp;width=385&amp;height=120&amp;START_MAXIMIZED=FALSE&amp;creator=factset&amp;display_string=Audit"}</definedName>
    <definedName name="_56__FDSAUDITLINK__" hidden="1">{"fdsup://Directions/FactSet Auditing Viewer?action=AUDIT_VALUE&amp;DB=129&amp;ID1=17104610&amp;VALUEID=01001&amp;SDATE=2010&amp;PERIODTYPE=ANN_STD&amp;SCFT=3&amp;window=popup_no_bar&amp;width=385&amp;height=120&amp;START_MAXIMIZED=FALSE&amp;creator=factset&amp;display_string=Audit"}</definedName>
    <definedName name="_560__FDSAUDITLINK__" localSheetId="1" hidden="1">{"fdsup://Directions/FactSet Auditing Viewer?action=AUDIT_VALUE&amp;DB=129&amp;ID1=36476010&amp;VALUEID=02101&amp;SDATE=200803&amp;PERIODTYPE=QTR_STD&amp;window=popup_no_bar&amp;width=385&amp;height=120&amp;START_MAXIMIZED=FALSE&amp;creator=factset&amp;display_string=Audit"}</definedName>
    <definedName name="_560__FDSAUDITLINK__" localSheetId="20" hidden="1">{"fdsup://Directions/FactSet Auditing Viewer?action=AUDIT_VALUE&amp;DB=129&amp;ID1=36476010&amp;VALUEID=02101&amp;SDATE=200803&amp;PERIODTYPE=QTR_STD&amp;window=popup_no_bar&amp;width=385&amp;height=120&amp;START_MAXIMIZED=FALSE&amp;creator=factset&amp;display_string=Audit"}</definedName>
    <definedName name="_560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561__FDSAUDITLINK__" localSheetId="1" hidden="1">{"fdsup://Directions/FactSet Auditing Viewer?action=AUDIT_VALUE&amp;DB=129&amp;ID1=36476010&amp;VALUEID=01001&amp;SDATE=200803&amp;PERIODTYPE=QTR_STD&amp;window=popup_no_bar&amp;width=385&amp;height=120&amp;START_MAXIMIZED=FALSE&amp;creator=factset&amp;display_string=Audit"}</definedName>
    <definedName name="_561__FDSAUDITLINK__" localSheetId="20" hidden="1">{"fdsup://Directions/FactSet Auditing Viewer?action=AUDIT_VALUE&amp;DB=129&amp;ID1=36476010&amp;VALUEID=01001&amp;SDATE=200803&amp;PERIODTYPE=QTR_STD&amp;window=popup_no_bar&amp;width=385&amp;height=120&amp;START_MAXIMIZED=FALSE&amp;creator=factset&amp;display_string=Audit"}</definedName>
    <definedName name="_561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562__FDSAUDITLINK__" localSheetId="1" hidden="1">{"fdsup://Directions/FactSet Auditing Viewer?action=AUDIT_VALUE&amp;DB=129&amp;ID1=36476010&amp;VALUEID=13040&amp;SDATE=200803&amp;PERIODTYPE=QTR_STD&amp;window=popup_no_bar&amp;width=385&amp;height=120&amp;START_MAXIMIZED=FALSE&amp;creator=factset&amp;display_string=Audit"}</definedName>
    <definedName name="_562__FDSAUDITLINK__" localSheetId="20" hidden="1">{"fdsup://Directions/FactSet Auditing Viewer?action=AUDIT_VALUE&amp;DB=129&amp;ID1=36476010&amp;VALUEID=13040&amp;SDATE=200803&amp;PERIODTYPE=QTR_STD&amp;window=popup_no_bar&amp;width=385&amp;height=120&amp;START_MAXIMIZED=FALSE&amp;creator=factset&amp;display_string=Audit"}</definedName>
    <definedName name="_562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563__FDSAUDITLINK__" localSheetId="1" hidden="1">{"fdsup://Directions/FactSet Auditing Viewer?action=AUDIT_VALUE&amp;DB=129&amp;ID1=03611510&amp;VALUEID=02101&amp;SDATE=200803&amp;PERIODTYPE=QTR_STD&amp;window=popup_no_bar&amp;width=385&amp;height=120&amp;START_MAXIMIZED=FALSE&amp;creator=factset&amp;display_string=Audit"}</definedName>
    <definedName name="_563__FDSAUDITLINK__" localSheetId="20" hidden="1">{"fdsup://Directions/FactSet Auditing Viewer?action=AUDIT_VALUE&amp;DB=129&amp;ID1=03611510&amp;VALUEID=02101&amp;SDATE=200803&amp;PERIODTYPE=QTR_STD&amp;window=popup_no_bar&amp;width=385&amp;height=120&amp;START_MAXIMIZED=FALSE&amp;creator=factset&amp;display_string=Audit"}</definedName>
    <definedName name="_563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564__FDSAUDITLINK__" localSheetId="1" hidden="1">{"fdsup://Directions/FactSet Auditing Viewer?action=AUDIT_VALUE&amp;DB=129&amp;ID1=03611510&amp;VALUEID=01001&amp;SDATE=200803&amp;PERIODTYPE=QTR_STD&amp;window=popup_no_bar&amp;width=385&amp;height=120&amp;START_MAXIMIZED=FALSE&amp;creator=factset&amp;display_string=Audit"}</definedName>
    <definedName name="_564__FDSAUDITLINK__" localSheetId="20" hidden="1">{"fdsup://Directions/FactSet Auditing Viewer?action=AUDIT_VALUE&amp;DB=129&amp;ID1=03611510&amp;VALUEID=01001&amp;SDATE=200803&amp;PERIODTYPE=QTR_STD&amp;window=popup_no_bar&amp;width=385&amp;height=120&amp;START_MAXIMIZED=FALSE&amp;creator=factset&amp;display_string=Audit"}</definedName>
    <definedName name="_564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565__FDSAUDITLINK__" localSheetId="1" hidden="1">{"fdsup://Directions/FactSet Auditing Viewer?action=AUDIT_VALUE&amp;DB=129&amp;ID1=16890510&amp;VALUEID=02101&amp;SDATE=200803&amp;PERIODTYPE=QTR_STD&amp;window=popup_no_bar&amp;width=385&amp;height=120&amp;START_MAXIMIZED=FALSE&amp;creator=factset&amp;display_string=Audit"}</definedName>
    <definedName name="_565__FDSAUDITLINK__" localSheetId="20" hidden="1">{"fdsup://Directions/FactSet Auditing Viewer?action=AUDIT_VALUE&amp;DB=129&amp;ID1=16890510&amp;VALUEID=02101&amp;SDATE=200803&amp;PERIODTYPE=QTR_STD&amp;window=popup_no_bar&amp;width=385&amp;height=120&amp;START_MAXIMIZED=FALSE&amp;creator=factset&amp;display_string=Audit"}</definedName>
    <definedName name="_565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566__FDSAUDITLINK__" localSheetId="1" hidden="1">{"fdsup://Directions/FactSet Auditing Viewer?action=AUDIT_VALUE&amp;DB=129&amp;ID1=16890510&amp;VALUEID=01001&amp;SDATE=200803&amp;PERIODTYPE=QTR_STD&amp;window=popup_no_bar&amp;width=385&amp;height=120&amp;START_MAXIMIZED=FALSE&amp;creator=factset&amp;display_string=Audit"}</definedName>
    <definedName name="_566__FDSAUDITLINK__" localSheetId="20" hidden="1">{"fdsup://Directions/FactSet Auditing Viewer?action=AUDIT_VALUE&amp;DB=129&amp;ID1=16890510&amp;VALUEID=01001&amp;SDATE=200803&amp;PERIODTYPE=QTR_STD&amp;window=popup_no_bar&amp;width=385&amp;height=120&amp;START_MAXIMIZED=FALSE&amp;creator=factset&amp;display_string=Audit"}</definedName>
    <definedName name="_566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567__FDSAUDITLINK__" localSheetId="1" hidden="1">{"fdsup://Directions/FactSet Auditing Viewer?action=AUDIT_VALUE&amp;DB=129&amp;ID1=91704710&amp;VALUEID=02101&amp;SDATE=200803&amp;PERIODTYPE=QTR_STD&amp;window=popup_no_bar&amp;width=385&amp;height=120&amp;START_MAXIMIZED=FALSE&amp;creator=factset&amp;display_string=Audit"}</definedName>
    <definedName name="_567__FDSAUDITLINK__" localSheetId="20" hidden="1">{"fdsup://Directions/FactSet Auditing Viewer?action=AUDIT_VALUE&amp;DB=129&amp;ID1=91704710&amp;VALUEID=02101&amp;SDATE=200803&amp;PERIODTYPE=QTR_STD&amp;window=popup_no_bar&amp;width=385&amp;height=120&amp;START_MAXIMIZED=FALSE&amp;creator=factset&amp;display_string=Audit"}</definedName>
    <definedName name="_567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568__FDSAUDITLINK__" localSheetId="1" hidden="1">{"fdsup://Directions/FactSet Auditing Viewer?action=AUDIT_VALUE&amp;DB=129&amp;ID1=91704710&amp;VALUEID=01001&amp;SDATE=200803&amp;PERIODTYPE=QTR_STD&amp;window=popup_no_bar&amp;width=385&amp;height=120&amp;START_MAXIMIZED=FALSE&amp;creator=factset&amp;display_string=Audit"}</definedName>
    <definedName name="_568__FDSAUDITLINK__" localSheetId="20" hidden="1">{"fdsup://Directions/FactSet Auditing Viewer?action=AUDIT_VALUE&amp;DB=129&amp;ID1=91704710&amp;VALUEID=01001&amp;SDATE=200803&amp;PERIODTYPE=QTR_STD&amp;window=popup_no_bar&amp;width=385&amp;height=120&amp;START_MAXIMIZED=FALSE&amp;creator=factset&amp;display_string=Audit"}</definedName>
    <definedName name="_568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569__FDSAUDITLINK__" localSheetId="1" hidden="1">{"fdsup://Directions/FactSet Auditing Viewer?action=AUDIT_VALUE&amp;DB=129&amp;ID1=91704710&amp;VALUEID=13040&amp;SDATE=200803&amp;PERIODTYPE=QTR_STD&amp;window=popup_no_bar&amp;width=385&amp;height=120&amp;START_MAXIMIZED=FALSE&amp;creator=factset&amp;display_string=Audit"}</definedName>
    <definedName name="_569__FDSAUDITLINK__" localSheetId="20" hidden="1">{"fdsup://Directions/FactSet Auditing Viewer?action=AUDIT_VALUE&amp;DB=129&amp;ID1=91704710&amp;VALUEID=13040&amp;SDATE=200803&amp;PERIODTYPE=QTR_STD&amp;window=popup_no_bar&amp;width=385&amp;height=120&amp;START_MAXIMIZED=FALSE&amp;creator=factset&amp;display_string=Audit"}</definedName>
    <definedName name="_569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57__FDSAUDITLINK__" localSheetId="1" hidden="1">{"fdsup://Directions/FactSet Auditing Viewer?action=AUDIT_VALUE&amp;DB=129&amp;ID1=14920510&amp;VALUEID=01001&amp;SDATE=2010&amp;PERIODTYPE=ANN_STD&amp;SCFT=3&amp;window=popup_no_bar&amp;width=385&amp;height=120&amp;START_MAXIMIZED=FALSE&amp;creator=factset&amp;display_string=Audit"}</definedName>
    <definedName name="_57__FDSAUDITLINK__" localSheetId="20" hidden="1">{"fdsup://Directions/FactSet Auditing Viewer?action=AUDIT_VALUE&amp;DB=129&amp;ID1=00289620&amp;VALUEID=01001&amp;SDATE=200903&amp;PERIODTYPE=QTR_STD&amp;window=popup_no_bar&amp;width=385&amp;height=120&amp;START_MAXIMIZED=FALSE&amp;creator=factset&amp;display_string=Audit"}</definedName>
    <definedName name="_57__FDSAUDITLINK__" hidden="1">{"fdsup://Directions/FactSet Auditing Viewer?action=AUDIT_VALUE&amp;DB=129&amp;ID1=14920510&amp;VALUEID=01001&amp;SDATE=2010&amp;PERIODTYPE=ANN_STD&amp;SCFT=3&amp;window=popup_no_bar&amp;width=385&amp;height=120&amp;START_MAXIMIZED=FALSE&amp;creator=factset&amp;display_string=Audit"}</definedName>
    <definedName name="_570__FDSAUDITLINK__" localSheetId="1" hidden="1">{"fdsup://Directions/FactSet Auditing Viewer?action=AUDIT_VALUE&amp;DB=129&amp;ID1=02553E10&amp;VALUEID=02101&amp;SDATE=200803&amp;PERIODTYPE=QTR_STD&amp;window=popup_no_bar&amp;width=385&amp;height=120&amp;START_MAXIMIZED=FALSE&amp;creator=factset&amp;display_string=Audit"}</definedName>
    <definedName name="_570__FDSAUDITLINK__" localSheetId="20" hidden="1">{"fdsup://Directions/FactSet Auditing Viewer?action=AUDIT_VALUE&amp;DB=129&amp;ID1=02553E10&amp;VALUEID=02101&amp;SDATE=200803&amp;PERIODTYPE=QTR_STD&amp;window=popup_no_bar&amp;width=385&amp;height=120&amp;START_MAXIMIZED=FALSE&amp;creator=factset&amp;display_string=Audit"}</definedName>
    <definedName name="_570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571__FDSAUDITLINK__" localSheetId="1" hidden="1">{"fdsup://Directions/FactSet Auditing Viewer?action=AUDIT_VALUE&amp;DB=129&amp;ID1=02553E10&amp;VALUEID=01001&amp;SDATE=200803&amp;PERIODTYPE=QTR_STD&amp;window=popup_no_bar&amp;width=385&amp;height=120&amp;START_MAXIMIZED=FALSE&amp;creator=factset&amp;display_string=Audit"}</definedName>
    <definedName name="_571__FDSAUDITLINK__" localSheetId="20" hidden="1">{"fdsup://Directions/FactSet Auditing Viewer?action=AUDIT_VALUE&amp;DB=129&amp;ID1=02553E10&amp;VALUEID=01001&amp;SDATE=200803&amp;PERIODTYPE=QTR_STD&amp;window=popup_no_bar&amp;width=385&amp;height=120&amp;START_MAXIMIZED=FALSE&amp;creator=factset&amp;display_string=Audit"}</definedName>
    <definedName name="_571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572__FDSAUDITLINK__" localSheetId="1" hidden="1">{"fdsup://Directions/FactSet Auditing Viewer?action=AUDIT_VALUE&amp;DB=129&amp;ID1=02553E10&amp;VALUEID=13040&amp;SDATE=200803&amp;PERIODTYPE=QTR_STD&amp;window=popup_no_bar&amp;width=385&amp;height=120&amp;START_MAXIMIZED=FALSE&amp;creator=factset&amp;display_string=Audit"}</definedName>
    <definedName name="_572__FDSAUDITLINK__" localSheetId="20" hidden="1">{"fdsup://Directions/FactSet Auditing Viewer?action=AUDIT_VALUE&amp;DB=129&amp;ID1=02553E10&amp;VALUEID=13040&amp;SDATE=200803&amp;PERIODTYPE=QTR_STD&amp;window=popup_no_bar&amp;width=385&amp;height=120&amp;START_MAXIMIZED=FALSE&amp;creator=factset&amp;display_string=Audit"}</definedName>
    <definedName name="_572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573__FDSAUDITLINK__" localSheetId="1" hidden="1">{"fdsup://Directions/FactSet Auditing Viewer?action=AUDIT_VALUE&amp;DB=129&amp;ID1=00786510&amp;VALUEID=02101&amp;SDATE=200803&amp;PERIODTYPE=QTR_STD&amp;window=popup_no_bar&amp;width=385&amp;height=120&amp;START_MAXIMIZED=FALSE&amp;creator=factset&amp;display_string=Audit"}</definedName>
    <definedName name="_573__FDSAUDITLINK__" localSheetId="20" hidden="1">{"fdsup://Directions/FactSet Auditing Viewer?action=AUDIT_VALUE&amp;DB=129&amp;ID1=00786510&amp;VALUEID=02101&amp;SDATE=200803&amp;PERIODTYPE=QTR_STD&amp;window=popup_no_bar&amp;width=385&amp;height=120&amp;START_MAXIMIZED=FALSE&amp;creator=factset&amp;display_string=Audit"}</definedName>
    <definedName name="_573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574__FDSAUDITLINK__" localSheetId="1" hidden="1">{"fdsup://Directions/FactSet Auditing Viewer?action=AUDIT_VALUE&amp;DB=129&amp;ID1=00786510&amp;VALUEID=01001&amp;SDATE=200803&amp;PERIODTYPE=QTR_STD&amp;window=popup_no_bar&amp;width=385&amp;height=120&amp;START_MAXIMIZED=FALSE&amp;creator=factset&amp;display_string=Audit"}</definedName>
    <definedName name="_574__FDSAUDITLINK__" localSheetId="20" hidden="1">{"fdsup://Directions/FactSet Auditing Viewer?action=AUDIT_VALUE&amp;DB=129&amp;ID1=00786510&amp;VALUEID=01001&amp;SDATE=200803&amp;PERIODTYPE=QTR_STD&amp;window=popup_no_bar&amp;width=385&amp;height=120&amp;START_MAXIMIZED=FALSE&amp;creator=factset&amp;display_string=Audit"}</definedName>
    <definedName name="_574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575__FDSAUDITLINK__" localSheetId="1" hidden="1">{"fdsup://Directions/FactSet Auditing Viewer?action=AUDIT_VALUE&amp;DB=129&amp;ID1=00786510&amp;VALUEID=13040&amp;SDATE=200803&amp;PERIODTYPE=QTR_STD&amp;window=popup_no_bar&amp;width=385&amp;height=120&amp;START_MAXIMIZED=FALSE&amp;creator=factset&amp;display_string=Audit"}</definedName>
    <definedName name="_575__FDSAUDITLINK__" localSheetId="20" hidden="1">{"fdsup://Directions/FactSet Auditing Viewer?action=AUDIT_VALUE&amp;DB=129&amp;ID1=00786510&amp;VALUEID=13040&amp;SDATE=200803&amp;PERIODTYPE=QTR_STD&amp;window=popup_no_bar&amp;width=385&amp;height=120&amp;START_MAXIMIZED=FALSE&amp;creator=factset&amp;display_string=Audit"}</definedName>
    <definedName name="_575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576__FDSAUDITLINK__" localSheetId="1" hidden="1">{"fdsup://Directions/FactSet Auditing Viewer?action=AUDIT_VALUE&amp;DB=129&amp;ID1=00289620&amp;VALUEID=02101&amp;SDATE=200803&amp;PERIODTYPE=QTR_STD&amp;window=popup_no_bar&amp;width=385&amp;height=120&amp;START_MAXIMIZED=FALSE&amp;creator=factset&amp;display_string=Audit"}</definedName>
    <definedName name="_576__FDSAUDITLINK__" localSheetId="20" hidden="1">{"fdsup://Directions/FactSet Auditing Viewer?action=AUDIT_VALUE&amp;DB=129&amp;ID1=00289620&amp;VALUEID=02101&amp;SDATE=200803&amp;PERIODTYPE=QTR_STD&amp;window=popup_no_bar&amp;width=385&amp;height=120&amp;START_MAXIMIZED=FALSE&amp;creator=factset&amp;display_string=Audit"}</definedName>
    <definedName name="_576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577__FDSAUDITLINK__" localSheetId="1" hidden="1">{"fdsup://Directions/FactSet Auditing Viewer?action=AUDIT_VALUE&amp;DB=129&amp;ID1=00289620&amp;VALUEID=01001&amp;SDATE=200803&amp;PERIODTYPE=QTR_STD&amp;window=popup_no_bar&amp;width=385&amp;height=120&amp;START_MAXIMIZED=FALSE&amp;creator=factset&amp;display_string=Audit"}</definedName>
    <definedName name="_577__FDSAUDITLINK__" localSheetId="20" hidden="1">{"fdsup://Directions/FactSet Auditing Viewer?action=AUDIT_VALUE&amp;DB=129&amp;ID1=00289620&amp;VALUEID=01001&amp;SDATE=200803&amp;PERIODTYPE=QTR_STD&amp;window=popup_no_bar&amp;width=385&amp;height=120&amp;START_MAXIMIZED=FALSE&amp;creator=factset&amp;display_string=Audit"}</definedName>
    <definedName name="_577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578__FDSAUDITLINK__" localSheetId="1" hidden="1">{"fdsup://Directions/FactSet Auditing Viewer?action=AUDIT_VALUE&amp;DB=129&amp;ID1=00289620&amp;VALUEID=13040&amp;SDATE=200803&amp;PERIODTYPE=QTR_STD&amp;window=popup_no_bar&amp;width=385&amp;height=120&amp;START_MAXIMIZED=FALSE&amp;creator=factset&amp;display_string=Audit"}</definedName>
    <definedName name="_578__FDSAUDITLINK__" localSheetId="20" hidden="1">{"fdsup://Directions/FactSet Auditing Viewer?action=AUDIT_VALUE&amp;DB=129&amp;ID1=00289620&amp;VALUEID=13040&amp;SDATE=200803&amp;PERIODTYPE=QTR_STD&amp;window=popup_no_bar&amp;width=385&amp;height=120&amp;START_MAXIMIZED=FALSE&amp;creator=factset&amp;display_string=Audit"}</definedName>
    <definedName name="_578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579__FDSAUDITLINK__" localSheetId="1" hidden="1">{"fdsup://Directions/FactSet Auditing Viewer?action=AUDIT_VALUE&amp;DB=129&amp;ID1=87416110&amp;VALUEID=02101&amp;SDATE=200802&amp;PERIODTYPE=QTR_STD&amp;window=popup_no_bar&amp;width=385&amp;height=120&amp;START_MAXIMIZED=FALSE&amp;creator=factset&amp;display_string=Audit"}</definedName>
    <definedName name="_579__FDSAUDITLINK__" localSheetId="20" hidden="1">{"fdsup://Directions/FactSet Auditing Viewer?action=AUDIT_VALUE&amp;DB=129&amp;ID1=87416110&amp;VALUEID=02101&amp;SDATE=200802&amp;PERIODTYPE=QTR_STD&amp;window=popup_no_bar&amp;width=385&amp;height=120&amp;START_MAXIMIZED=FALSE&amp;creator=factset&amp;display_string=Audit"}</definedName>
    <definedName name="_579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58__FDSAUDITLINK__" localSheetId="1" hidden="1">{"fdsup://Directions/FactSet Auditing Viewer?action=AUDIT_VALUE&amp;DB=129&amp;ID1=11844010&amp;VALUEID=01001&amp;SDATE=2010&amp;PERIODTYPE=ANN_STD&amp;SCFT=3&amp;window=popup_no_bar&amp;width=385&amp;height=120&amp;START_MAXIMIZED=FALSE&amp;creator=factset&amp;display_string=Audit"}</definedName>
    <definedName name="_58__FDSAUDITLINK__" localSheetId="20" hidden="1">{"fdsup://Directions/FactSet Auditing Viewer?action=AUDIT_VALUE&amp;DB=129&amp;ID1=00289620&amp;VALUEID=13040&amp;SDATE=200903&amp;PERIODTYPE=QTR_STD&amp;window=popup_no_bar&amp;width=385&amp;height=120&amp;START_MAXIMIZED=FALSE&amp;creator=factset&amp;display_string=Audit"}</definedName>
    <definedName name="_58__FDSAUDITLINK__" hidden="1">{"fdsup://Directions/FactSet Auditing Viewer?action=AUDIT_VALUE&amp;DB=129&amp;ID1=11844010&amp;VALUEID=01001&amp;SDATE=2010&amp;PERIODTYPE=ANN_STD&amp;SCFT=3&amp;window=popup_no_bar&amp;width=385&amp;height=120&amp;START_MAXIMIZED=FALSE&amp;creator=factset&amp;display_string=Audit"}</definedName>
    <definedName name="_580__FDSAUDITLINK__" localSheetId="1" hidden="1">{"fdsup://Directions/FactSet Auditing Viewer?action=AUDIT_VALUE&amp;DB=129&amp;ID1=87416110&amp;VALUEID=01001&amp;SDATE=200802&amp;PERIODTYPE=QTR_STD&amp;window=popup_no_bar&amp;width=385&amp;height=120&amp;START_MAXIMIZED=FALSE&amp;creator=factset&amp;display_string=Audit"}</definedName>
    <definedName name="_580__FDSAUDITLINK__" localSheetId="20" hidden="1">{"fdsup://Directions/FactSet Auditing Viewer?action=AUDIT_VALUE&amp;DB=129&amp;ID1=87416110&amp;VALUEID=01001&amp;SDATE=200802&amp;PERIODTYPE=QTR_STD&amp;window=popup_no_bar&amp;width=385&amp;height=120&amp;START_MAXIMIZED=FALSE&amp;creator=factset&amp;display_string=Audit"}</definedName>
    <definedName name="_580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581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581__FDSAUDITLINK__" localSheetId="20" hidden="1">{"fdsup://Directions/FactSet Auditing Viewer?action=AUDIT_VALUE&amp;DB=129&amp;ID1=53271610&amp;VALUEID=02101&amp;SDATE=200802&amp;PERIODTYPE=QTR_STD&amp;window=popup_no_bar&amp;width=385&amp;height=120&amp;START_MAXIMIZED=FALSE&amp;creator=factset&amp;display_string=Audit"}</definedName>
    <definedName name="_58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582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582__FDSAUDITLINK__" localSheetId="20" hidden="1">{"fdsup://Directions/FactSet Auditing Viewer?action=AUDIT_VALUE&amp;DB=129&amp;ID1=53271610&amp;VALUEID=01001&amp;SDATE=200802&amp;PERIODTYPE=QTR_STD&amp;window=popup_no_bar&amp;width=385&amp;height=120&amp;START_MAXIMIZED=FALSE&amp;creator=factset&amp;display_string=Audit"}</definedName>
    <definedName name="_582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583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583__FDSAUDITLINK__" localSheetId="20" hidden="1">{"fdsup://Directions/FactSet Auditing Viewer?action=AUDIT_VALUE&amp;DB=129&amp;ID1=53271610&amp;VALUEID=13040&amp;SDATE=200802&amp;PERIODTYPE=QTR_STD&amp;window=popup_no_bar&amp;width=385&amp;height=120&amp;START_MAXIMIZED=FALSE&amp;creator=factset&amp;display_string=Audit"}</definedName>
    <definedName name="_583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584__FDSAUDITLINK__" localSheetId="1" hidden="1">{"fdsup://Directions/FactSet Auditing Viewer?action=AUDIT_VALUE&amp;DB=129&amp;ID1=46612H40&amp;VALUEID=02101&amp;SDATE=200802&amp;PERIODTYPE=QTR_STD&amp;window=popup_no_bar&amp;width=385&amp;height=120&amp;START_MAXIMIZED=FALSE&amp;creator=factset&amp;display_string=Audit"}</definedName>
    <definedName name="_584__FDSAUDITLINK__" localSheetId="20" hidden="1">{"fdsup://Directions/FactSet Auditing Viewer?action=AUDIT_VALUE&amp;DB=129&amp;ID1=46612H40&amp;VALUEID=02101&amp;SDATE=200802&amp;PERIODTYPE=QTR_STD&amp;window=popup_no_bar&amp;width=385&amp;height=120&amp;START_MAXIMIZED=FALSE&amp;creator=factset&amp;display_string=Audit"}</definedName>
    <definedName name="_584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585__FDSAUDITLINK__" localSheetId="1" hidden="1">{"fdsup://Directions/FactSet Auditing Viewer?action=AUDIT_VALUE&amp;DB=129&amp;ID1=46612H40&amp;VALUEID=01001&amp;SDATE=200802&amp;PERIODTYPE=QTR_STD&amp;window=popup_no_bar&amp;width=385&amp;height=120&amp;START_MAXIMIZED=FALSE&amp;creator=factset&amp;display_string=Audit"}</definedName>
    <definedName name="_585__FDSAUDITLINK__" localSheetId="20" hidden="1">{"fdsup://Directions/FactSet Auditing Viewer?action=AUDIT_VALUE&amp;DB=129&amp;ID1=46612H40&amp;VALUEID=01001&amp;SDATE=200802&amp;PERIODTYPE=QTR_STD&amp;window=popup_no_bar&amp;width=385&amp;height=120&amp;START_MAXIMIZED=FALSE&amp;creator=factset&amp;display_string=Audit"}</definedName>
    <definedName name="_585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586__FDSAUDITLINK__" localSheetId="1" hidden="1">{"fdsup://Directions/FactSet Auditing Viewer?action=AUDIT_VALUE&amp;DB=129&amp;ID1=46612H40&amp;VALUEID=13040&amp;SDATE=200802&amp;PERIODTYPE=QTR_STD&amp;window=popup_no_bar&amp;width=385&amp;height=120&amp;START_MAXIMIZED=FALSE&amp;creator=factset&amp;display_string=Audit"}</definedName>
    <definedName name="_586__FDSAUDITLINK__" localSheetId="20" hidden="1">{"fdsup://Directions/FactSet Auditing Viewer?action=AUDIT_VALUE&amp;DB=129&amp;ID1=46612H40&amp;VALUEID=13040&amp;SDATE=200802&amp;PERIODTYPE=QTR_STD&amp;window=popup_no_bar&amp;width=385&amp;height=120&amp;START_MAXIMIZED=FALSE&amp;creator=factset&amp;display_string=Audit"}</definedName>
    <definedName name="_586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587__FDSAUDITLINK__" localSheetId="1" hidden="1">{"fdsup://Directions/FactSet Auditing Viewer?action=AUDIT_VALUE&amp;DB=129&amp;ID1=36476010&amp;VALUEID=02101&amp;SDATE=200802&amp;PERIODTYPE=QTR_STD&amp;window=popup_no_bar&amp;width=385&amp;height=120&amp;START_MAXIMIZED=FALSE&amp;creator=factset&amp;display_string=Audit"}</definedName>
    <definedName name="_587__FDSAUDITLINK__" localSheetId="20" hidden="1">{"fdsup://Directions/FactSet Auditing Viewer?action=AUDIT_VALUE&amp;DB=129&amp;ID1=36476010&amp;VALUEID=02101&amp;SDATE=200802&amp;PERIODTYPE=QTR_STD&amp;window=popup_no_bar&amp;width=385&amp;height=120&amp;START_MAXIMIZED=FALSE&amp;creator=factset&amp;display_string=Audit"}</definedName>
    <definedName name="_587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588__FDSAUDITLINK__" localSheetId="1" hidden="1">{"fdsup://Directions/FactSet Auditing Viewer?action=AUDIT_VALUE&amp;DB=129&amp;ID1=36476010&amp;VALUEID=01001&amp;SDATE=200802&amp;PERIODTYPE=QTR_STD&amp;window=popup_no_bar&amp;width=385&amp;height=120&amp;START_MAXIMIZED=FALSE&amp;creator=factset&amp;display_string=Audit"}</definedName>
    <definedName name="_588__FDSAUDITLINK__" localSheetId="20" hidden="1">{"fdsup://Directions/FactSet Auditing Viewer?action=AUDIT_VALUE&amp;DB=129&amp;ID1=36476010&amp;VALUEID=01001&amp;SDATE=200802&amp;PERIODTYPE=QTR_STD&amp;window=popup_no_bar&amp;width=385&amp;height=120&amp;START_MAXIMIZED=FALSE&amp;creator=factset&amp;display_string=Audit"}</definedName>
    <definedName name="_588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589__FDSAUDITLINK__" localSheetId="1" hidden="1">{"fdsup://Directions/FactSet Auditing Viewer?action=AUDIT_VALUE&amp;DB=129&amp;ID1=36476010&amp;VALUEID=13040&amp;SDATE=200802&amp;PERIODTYPE=QTR_STD&amp;window=popup_no_bar&amp;width=385&amp;height=120&amp;START_MAXIMIZED=FALSE&amp;creator=factset&amp;display_string=Audit"}</definedName>
    <definedName name="_589__FDSAUDITLINK__" localSheetId="20" hidden="1">{"fdsup://Directions/FactSet Auditing Viewer?action=AUDIT_VALUE&amp;DB=129&amp;ID1=36476010&amp;VALUEID=13040&amp;SDATE=200802&amp;PERIODTYPE=QTR_STD&amp;window=popup_no_bar&amp;width=385&amp;height=120&amp;START_MAXIMIZED=FALSE&amp;creator=factset&amp;display_string=Audit"}</definedName>
    <definedName name="_589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59__FDSAUDITLINK__" localSheetId="1" hidden="1">{"fdsup://directions/FAT Viewer?action=UPDATE&amp;creator=factset&amp;DYN_ARGS=TRUE&amp;DOC_NAME=FAT:FQL_AUDITING_CLIENT_TEMPLATE.FAT&amp;display_string=Audit&amp;VAR:KEY=UPWHUHQFOL&amp;VAR:QUERY=RkZfU0FMRVMoTFRNUywwKQ==&amp;WINDOW=FIRST_POPUP&amp;HEIGHT=450&amp;WIDTH=450&amp;START_MAXIMIZED=FALS","E&amp;VAR:CALENDAR=FIVEDAY&amp;VAR:SYMBOL=TIF&amp;VAR:INDEX=0"}</definedName>
    <definedName name="_59__FDSAUDITLINK__" localSheetId="20" hidden="1">{"fdsup://Directions/FactSet Auditing Viewer?action=AUDIT_VALUE&amp;DB=129&amp;ID1=87416110&amp;VALUEID=02101&amp;SDATE=200902&amp;PERIODTYPE=QTR_STD&amp;window=popup_no_bar&amp;width=385&amp;height=120&amp;START_MAXIMIZED=FALSE&amp;creator=factset&amp;display_string=Audit"}</definedName>
    <definedName name="_59__FDSAUDITLINK__" hidden="1">{"fdsup://directions/FAT Viewer?action=UPDATE&amp;creator=factset&amp;DYN_ARGS=TRUE&amp;DOC_NAME=FAT:FQL_AUDITING_CLIENT_TEMPLATE.FAT&amp;display_string=Audit&amp;VAR:KEY=UPWHUHQFOL&amp;VAR:QUERY=RkZfU0FMRVMoTFRNUywwKQ==&amp;WINDOW=FIRST_POPUP&amp;HEIGHT=450&amp;WIDTH=450&amp;START_MAXIMIZED=FALS","E&amp;VAR:CALENDAR=FIVEDAY&amp;VAR:SYMBOL=TIF&amp;VAR:INDEX=0"}</definedName>
    <definedName name="_590__FDSAUDITLINK__" localSheetId="1" hidden="1">{"fdsup://Directions/FactSet Auditing Viewer?action=AUDIT_VALUE&amp;DB=129&amp;ID1=03611510&amp;VALUEID=02101&amp;SDATE=200802&amp;PERIODTYPE=QTR_STD&amp;window=popup_no_bar&amp;width=385&amp;height=120&amp;START_MAXIMIZED=FALSE&amp;creator=factset&amp;display_string=Audit"}</definedName>
    <definedName name="_590__FDSAUDITLINK__" localSheetId="20" hidden="1">{"fdsup://Directions/FactSet Auditing Viewer?action=AUDIT_VALUE&amp;DB=129&amp;ID1=03611510&amp;VALUEID=02101&amp;SDATE=200802&amp;PERIODTYPE=QTR_STD&amp;window=popup_no_bar&amp;width=385&amp;height=120&amp;START_MAXIMIZED=FALSE&amp;creator=factset&amp;display_string=Audit"}</definedName>
    <definedName name="_590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591__FDSAUDITLINK__" localSheetId="1" hidden="1">{"fdsup://Directions/FactSet Auditing Viewer?action=AUDIT_VALUE&amp;DB=129&amp;ID1=03611510&amp;VALUEID=01001&amp;SDATE=200802&amp;PERIODTYPE=QTR_STD&amp;window=popup_no_bar&amp;width=385&amp;height=120&amp;START_MAXIMIZED=FALSE&amp;creator=factset&amp;display_string=Audit"}</definedName>
    <definedName name="_591__FDSAUDITLINK__" localSheetId="20" hidden="1">{"fdsup://Directions/FactSet Auditing Viewer?action=AUDIT_VALUE&amp;DB=129&amp;ID1=03611510&amp;VALUEID=01001&amp;SDATE=200802&amp;PERIODTYPE=QTR_STD&amp;window=popup_no_bar&amp;width=385&amp;height=120&amp;START_MAXIMIZED=FALSE&amp;creator=factset&amp;display_string=Audit"}</definedName>
    <definedName name="_591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592__FDSAUDITLINK__" localSheetId="1" hidden="1">{"fdsup://Directions/FactSet Auditing Viewer?action=AUDIT_VALUE&amp;DB=129&amp;ID1=16890510&amp;VALUEID=02101&amp;SDATE=200802&amp;PERIODTYPE=QTR_STD&amp;window=popup_no_bar&amp;width=385&amp;height=120&amp;START_MAXIMIZED=FALSE&amp;creator=factset&amp;display_string=Audit"}</definedName>
    <definedName name="_592__FDSAUDITLINK__" localSheetId="20" hidden="1">{"fdsup://Directions/FactSet Auditing Viewer?action=AUDIT_VALUE&amp;DB=129&amp;ID1=16890510&amp;VALUEID=02101&amp;SDATE=200802&amp;PERIODTYPE=QTR_STD&amp;window=popup_no_bar&amp;width=385&amp;height=120&amp;START_MAXIMIZED=FALSE&amp;creator=factset&amp;display_string=Audit"}</definedName>
    <definedName name="_592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593__FDSAUDITLINK__" localSheetId="1" hidden="1">{"fdsup://Directions/FactSet Auditing Viewer?action=AUDIT_VALUE&amp;DB=129&amp;ID1=16890510&amp;VALUEID=01001&amp;SDATE=200802&amp;PERIODTYPE=QTR_STD&amp;window=popup_no_bar&amp;width=385&amp;height=120&amp;START_MAXIMIZED=FALSE&amp;creator=factset&amp;display_string=Audit"}</definedName>
    <definedName name="_593__FDSAUDITLINK__" localSheetId="20" hidden="1">{"fdsup://Directions/FactSet Auditing Viewer?action=AUDIT_VALUE&amp;DB=129&amp;ID1=16890510&amp;VALUEID=01001&amp;SDATE=200802&amp;PERIODTYPE=QTR_STD&amp;window=popup_no_bar&amp;width=385&amp;height=120&amp;START_MAXIMIZED=FALSE&amp;creator=factset&amp;display_string=Audit"}</definedName>
    <definedName name="_593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594__FDSAUDITLINK__" localSheetId="1" hidden="1">{"fdsup://Directions/FactSet Auditing Viewer?action=AUDIT_VALUE&amp;DB=129&amp;ID1=91704710&amp;VALUEID=02101&amp;SDATE=200802&amp;PERIODTYPE=QTR_STD&amp;window=popup_no_bar&amp;width=385&amp;height=120&amp;START_MAXIMIZED=FALSE&amp;creator=factset&amp;display_string=Audit"}</definedName>
    <definedName name="_594__FDSAUDITLINK__" localSheetId="20" hidden="1">{"fdsup://Directions/FactSet Auditing Viewer?action=AUDIT_VALUE&amp;DB=129&amp;ID1=91704710&amp;VALUEID=02101&amp;SDATE=200802&amp;PERIODTYPE=QTR_STD&amp;window=popup_no_bar&amp;width=385&amp;height=120&amp;START_MAXIMIZED=FALSE&amp;creator=factset&amp;display_string=Audit"}</definedName>
    <definedName name="_594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595__FDSAUDITLINK__" localSheetId="1" hidden="1">{"fdsup://Directions/FactSet Auditing Viewer?action=AUDIT_VALUE&amp;DB=129&amp;ID1=91704710&amp;VALUEID=01001&amp;SDATE=200802&amp;PERIODTYPE=QTR_STD&amp;window=popup_no_bar&amp;width=385&amp;height=120&amp;START_MAXIMIZED=FALSE&amp;creator=factset&amp;display_string=Audit"}</definedName>
    <definedName name="_595__FDSAUDITLINK__" localSheetId="20" hidden="1">{"fdsup://Directions/FactSet Auditing Viewer?action=AUDIT_VALUE&amp;DB=129&amp;ID1=91704710&amp;VALUEID=01001&amp;SDATE=200802&amp;PERIODTYPE=QTR_STD&amp;window=popup_no_bar&amp;width=385&amp;height=120&amp;START_MAXIMIZED=FALSE&amp;creator=factset&amp;display_string=Audit"}</definedName>
    <definedName name="_595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596__FDSAUDITLINK__" localSheetId="1" hidden="1">{"fdsup://Directions/FactSet Auditing Viewer?action=AUDIT_VALUE&amp;DB=129&amp;ID1=91704710&amp;VALUEID=13040&amp;SDATE=200802&amp;PERIODTYPE=QTR_STD&amp;window=popup_no_bar&amp;width=385&amp;height=120&amp;START_MAXIMIZED=FALSE&amp;creator=factset&amp;display_string=Audit"}</definedName>
    <definedName name="_596__FDSAUDITLINK__" localSheetId="20" hidden="1">{"fdsup://Directions/FactSet Auditing Viewer?action=AUDIT_VALUE&amp;DB=129&amp;ID1=91704710&amp;VALUEID=13040&amp;SDATE=200802&amp;PERIODTYPE=QTR_STD&amp;window=popup_no_bar&amp;width=385&amp;height=120&amp;START_MAXIMIZED=FALSE&amp;creator=factset&amp;display_string=Audit"}</definedName>
    <definedName name="_596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597__FDSAUDITLINK__" localSheetId="1" hidden="1">{"fdsup://Directions/FactSet Auditing Viewer?action=AUDIT_VALUE&amp;DB=129&amp;ID1=02553E10&amp;VALUEID=02101&amp;SDATE=200802&amp;PERIODTYPE=QTR_STD&amp;window=popup_no_bar&amp;width=385&amp;height=120&amp;START_MAXIMIZED=FALSE&amp;creator=factset&amp;display_string=Audit"}</definedName>
    <definedName name="_597__FDSAUDITLINK__" localSheetId="20" hidden="1">{"fdsup://Directions/FactSet Auditing Viewer?action=AUDIT_VALUE&amp;DB=129&amp;ID1=02553E10&amp;VALUEID=02101&amp;SDATE=200802&amp;PERIODTYPE=QTR_STD&amp;window=popup_no_bar&amp;width=385&amp;height=120&amp;START_MAXIMIZED=FALSE&amp;creator=factset&amp;display_string=Audit"}</definedName>
    <definedName name="_597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598__FDSAUDITLINK__" localSheetId="1" hidden="1">{"fdsup://Directions/FactSet Auditing Viewer?action=AUDIT_VALUE&amp;DB=129&amp;ID1=02553E10&amp;VALUEID=01001&amp;SDATE=200802&amp;PERIODTYPE=QTR_STD&amp;window=popup_no_bar&amp;width=385&amp;height=120&amp;START_MAXIMIZED=FALSE&amp;creator=factset&amp;display_string=Audit"}</definedName>
    <definedName name="_598__FDSAUDITLINK__" localSheetId="20" hidden="1">{"fdsup://Directions/FactSet Auditing Viewer?action=AUDIT_VALUE&amp;DB=129&amp;ID1=02553E10&amp;VALUEID=01001&amp;SDATE=200802&amp;PERIODTYPE=QTR_STD&amp;window=popup_no_bar&amp;width=385&amp;height=120&amp;START_MAXIMIZED=FALSE&amp;creator=factset&amp;display_string=Audit"}</definedName>
    <definedName name="_598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599__FDSAUDITLINK__" localSheetId="1" hidden="1">{"fdsup://Directions/FactSet Auditing Viewer?action=AUDIT_VALUE&amp;DB=129&amp;ID1=02553E10&amp;VALUEID=13040&amp;SDATE=200802&amp;PERIODTYPE=QTR_STD&amp;window=popup_no_bar&amp;width=385&amp;height=120&amp;START_MAXIMIZED=FALSE&amp;creator=factset&amp;display_string=Audit"}</definedName>
    <definedName name="_599__FDSAUDITLINK__" localSheetId="20" hidden="1">{"fdsup://Directions/FactSet Auditing Viewer?action=AUDIT_VALUE&amp;DB=129&amp;ID1=02553E10&amp;VALUEID=13040&amp;SDATE=200802&amp;PERIODTYPE=QTR_STD&amp;window=popup_no_bar&amp;width=385&amp;height=120&amp;START_MAXIMIZED=FALSE&amp;creator=factset&amp;display_string=Audit"}</definedName>
    <definedName name="_599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6__123Graph_Aｸﾞﾗﾌ_2" hidden="1">[2]単独!$AR$14:$AR$18</definedName>
    <definedName name="_6__FDSAUDITLINK__" localSheetId="1" hidden="1">{"fdsup://directions/FAT Viewer?action=UPDATE&amp;creator=factset&amp;DYN_ARGS=TRUE&amp;DOC_NAME=FAT:FQL_AUDITING_CLIENT_TEMPLATE.FAT&amp;display_string=Audit&amp;VAR:KEY=SLWLSPAVYD&amp;VAR:QUERY=RkZfRU5UUlBSX1ZBTF9FQklUREFfT1BFUihBTk4sMCk=&amp;WINDOW=FIRST_POPUP&amp;HEIGHT=450&amp;WIDTH=450&amp;","START_MAXIMIZED=FALSE&amp;VAR:CALENDAR=FIVEDAY&amp;VAR:SYMBOL=ROST&amp;VAR:INDEX=0"}</definedName>
    <definedName name="_6__FDSAUDITLINK__" localSheetId="20" hidden="1">{"fdsup://Directions/FactSet Auditing Viewer?action=AUDIT_VALUE&amp;DB=129&amp;ID1=46612H40&amp;VALUEID=02101&amp;SDATE=201001&amp;PERIODTYPE=QTR_STD&amp;window=popup_no_bar&amp;width=385&amp;height=120&amp;START_MAXIMIZED=FALSE&amp;creator=factset&amp;display_string=Audit"}</definedName>
    <definedName name="_6__FDSAUDITLINK__" hidden="1">{"fdsup://directions/FAT Viewer?action=UPDATE&amp;creator=factset&amp;DYN_ARGS=TRUE&amp;DOC_NAME=FAT:FQL_AUDITING_CLIENT_TEMPLATE.FAT&amp;display_string=Audit&amp;VAR:KEY=SLWLSPAVYD&amp;VAR:QUERY=RkZfRU5UUlBSX1ZBTF9FQklUREFfT1BFUihBTk4sMCk=&amp;WINDOW=FIRST_POPUP&amp;HEIGHT=450&amp;WIDTH=450&amp;","START_MAXIMIZED=FALSE&amp;VAR:CALENDAR=FIVEDAY&amp;VAR:SYMBOL=ROST&amp;VAR:INDEX=0"}</definedName>
    <definedName name="_60__FDSAUDITLINK__" localSheetId="1" hidden="1">{"fdsup://directions/FAT Viewer?action=UPDATE&amp;creator=factset&amp;DYN_ARGS=TRUE&amp;DOC_NAME=FAT:FQL_AUDITING_CLIENT_TEMPLATE.FAT&amp;display_string=Audit&amp;VAR:KEY=MBEBKNABKR&amp;VAR:QUERY=RkZfU0FMRVMoTFRNUywwKQ==&amp;WINDOW=FIRST_POPUP&amp;HEIGHT=450&amp;WIDTH=450&amp;START_MAXIMIZED=FALS","E&amp;VAR:CALENDAR=FIVEDAY&amp;VAR:SYMBOL=FL&amp;VAR:INDEX=0"}</definedName>
    <definedName name="_60__FDSAUDITLINK__" localSheetId="20" hidden="1">{"fdsup://Directions/FactSet Auditing Viewer?action=AUDIT_VALUE&amp;DB=129&amp;ID1=87416110&amp;VALUEID=01001&amp;SDATE=200902&amp;PERIODTYPE=QTR_STD&amp;window=popup_no_bar&amp;width=385&amp;height=120&amp;START_MAXIMIZED=FALSE&amp;creator=factset&amp;display_string=Audit"}</definedName>
    <definedName name="_60__FDSAUDITLINK__" hidden="1">{"fdsup://directions/FAT Viewer?action=UPDATE&amp;creator=factset&amp;DYN_ARGS=TRUE&amp;DOC_NAME=FAT:FQL_AUDITING_CLIENT_TEMPLATE.FAT&amp;display_string=Audit&amp;VAR:KEY=MBEBKNABKR&amp;VAR:QUERY=RkZfU0FMRVMoTFRNUywwKQ==&amp;WINDOW=FIRST_POPUP&amp;HEIGHT=450&amp;WIDTH=450&amp;START_MAXIMIZED=FALS","E&amp;VAR:CALENDAR=FIVEDAY&amp;VAR:SYMBOL=FL&amp;VAR:INDEX=0"}</definedName>
    <definedName name="_600__FDSAUDITLINK__" localSheetId="1" hidden="1">{"fdsup://Directions/FactSet Auditing Viewer?action=AUDIT_VALUE&amp;DB=129&amp;ID1=00786510&amp;VALUEID=02101&amp;SDATE=200802&amp;PERIODTYPE=QTR_STD&amp;window=popup_no_bar&amp;width=385&amp;height=120&amp;START_MAXIMIZED=FALSE&amp;creator=factset&amp;display_string=Audit"}</definedName>
    <definedName name="_600__FDSAUDITLINK__" localSheetId="20" hidden="1">{"fdsup://Directions/FactSet Auditing Viewer?action=AUDIT_VALUE&amp;DB=129&amp;ID1=00786510&amp;VALUEID=02101&amp;SDATE=200802&amp;PERIODTYPE=QTR_STD&amp;window=popup_no_bar&amp;width=385&amp;height=120&amp;START_MAXIMIZED=FALSE&amp;creator=factset&amp;display_string=Audit"}</definedName>
    <definedName name="_600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601__FDSAUDITLINK__" localSheetId="1" hidden="1">{"fdsup://Directions/FactSet Auditing Viewer?action=AUDIT_VALUE&amp;DB=129&amp;ID1=00786510&amp;VALUEID=01001&amp;SDATE=200802&amp;PERIODTYPE=QTR_STD&amp;window=popup_no_bar&amp;width=385&amp;height=120&amp;START_MAXIMIZED=FALSE&amp;creator=factset&amp;display_string=Audit"}</definedName>
    <definedName name="_601__FDSAUDITLINK__" localSheetId="20" hidden="1">{"fdsup://Directions/FactSet Auditing Viewer?action=AUDIT_VALUE&amp;DB=129&amp;ID1=00786510&amp;VALUEID=01001&amp;SDATE=200802&amp;PERIODTYPE=QTR_STD&amp;window=popup_no_bar&amp;width=385&amp;height=120&amp;START_MAXIMIZED=FALSE&amp;creator=factset&amp;display_string=Audit"}</definedName>
    <definedName name="_601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602__FDSAUDITLINK__" localSheetId="1" hidden="1">{"fdsup://Directions/FactSet Auditing Viewer?action=AUDIT_VALUE&amp;DB=129&amp;ID1=00786510&amp;VALUEID=13040&amp;SDATE=200802&amp;PERIODTYPE=QTR_STD&amp;window=popup_no_bar&amp;width=385&amp;height=120&amp;START_MAXIMIZED=FALSE&amp;creator=factset&amp;display_string=Audit"}</definedName>
    <definedName name="_602__FDSAUDITLINK__" localSheetId="20" hidden="1">{"fdsup://Directions/FactSet Auditing Viewer?action=AUDIT_VALUE&amp;DB=129&amp;ID1=00786510&amp;VALUEID=13040&amp;SDATE=200802&amp;PERIODTYPE=QTR_STD&amp;window=popup_no_bar&amp;width=385&amp;height=120&amp;START_MAXIMIZED=FALSE&amp;creator=factset&amp;display_string=Audit"}</definedName>
    <definedName name="_602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603__FDSAUDITLINK__" localSheetId="1" hidden="1">{"fdsup://Directions/FactSet Auditing Viewer?action=AUDIT_VALUE&amp;DB=129&amp;ID1=00289620&amp;VALUEID=02101&amp;SDATE=200802&amp;PERIODTYPE=QTR_STD&amp;window=popup_no_bar&amp;width=385&amp;height=120&amp;START_MAXIMIZED=FALSE&amp;creator=factset&amp;display_string=Audit"}</definedName>
    <definedName name="_603__FDSAUDITLINK__" localSheetId="20" hidden="1">{"fdsup://Directions/FactSet Auditing Viewer?action=AUDIT_VALUE&amp;DB=129&amp;ID1=00289620&amp;VALUEID=02101&amp;SDATE=200802&amp;PERIODTYPE=QTR_STD&amp;window=popup_no_bar&amp;width=385&amp;height=120&amp;START_MAXIMIZED=FALSE&amp;creator=factset&amp;display_string=Audit"}</definedName>
    <definedName name="_603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604__FDSAUDITLINK__" localSheetId="1" hidden="1">{"fdsup://Directions/FactSet Auditing Viewer?action=AUDIT_VALUE&amp;DB=129&amp;ID1=00289620&amp;VALUEID=01001&amp;SDATE=200802&amp;PERIODTYPE=QTR_STD&amp;window=popup_no_bar&amp;width=385&amp;height=120&amp;START_MAXIMIZED=FALSE&amp;creator=factset&amp;display_string=Audit"}</definedName>
    <definedName name="_604__FDSAUDITLINK__" localSheetId="20" hidden="1">{"fdsup://Directions/FactSet Auditing Viewer?action=AUDIT_VALUE&amp;DB=129&amp;ID1=00289620&amp;VALUEID=01001&amp;SDATE=200802&amp;PERIODTYPE=QTR_STD&amp;window=popup_no_bar&amp;width=385&amp;height=120&amp;START_MAXIMIZED=FALSE&amp;creator=factset&amp;display_string=Audit"}</definedName>
    <definedName name="_604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605__FDSAUDITLINK__" localSheetId="1" hidden="1">{"fdsup://Directions/FactSet Auditing Viewer?action=AUDIT_VALUE&amp;DB=129&amp;ID1=00289620&amp;VALUEID=13040&amp;SDATE=200802&amp;PERIODTYPE=QTR_STD&amp;window=popup_no_bar&amp;width=385&amp;height=120&amp;START_MAXIMIZED=FALSE&amp;creator=factset&amp;display_string=Audit"}</definedName>
    <definedName name="_605__FDSAUDITLINK__" localSheetId="20" hidden="1">{"fdsup://Directions/FactSet Auditing Viewer?action=AUDIT_VALUE&amp;DB=129&amp;ID1=00289620&amp;VALUEID=13040&amp;SDATE=200802&amp;PERIODTYPE=QTR_STD&amp;window=popup_no_bar&amp;width=385&amp;height=120&amp;START_MAXIMIZED=FALSE&amp;creator=factset&amp;display_string=Audit"}</definedName>
    <definedName name="_605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606__FDSAUDITLINK__" localSheetId="1" hidden="1">{"fdsup://Directions/FactSet Auditing Viewer?action=AUDIT_VALUE&amp;DB=129&amp;ID1=87416110&amp;VALUEID=02101&amp;SDATE=200801&amp;PERIODTYPE=QTR_STD&amp;window=popup_no_bar&amp;width=385&amp;height=120&amp;START_MAXIMIZED=FALSE&amp;creator=factset&amp;display_string=Audit"}</definedName>
    <definedName name="_606__FDSAUDITLINK__" localSheetId="20" hidden="1">{"fdsup://Directions/FactSet Auditing Viewer?action=AUDIT_VALUE&amp;DB=129&amp;ID1=87416110&amp;VALUEID=02101&amp;SDATE=200801&amp;PERIODTYPE=QTR_STD&amp;window=popup_no_bar&amp;width=385&amp;height=120&amp;START_MAXIMIZED=FALSE&amp;creator=factset&amp;display_string=Audit"}</definedName>
    <definedName name="_606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607__FDSAUDITLINK__" localSheetId="1" hidden="1">{"fdsup://Directions/FactSet Auditing Viewer?action=AUDIT_VALUE&amp;DB=129&amp;ID1=87416110&amp;VALUEID=01001&amp;SDATE=200801&amp;PERIODTYPE=QTR_STD&amp;window=popup_no_bar&amp;width=385&amp;height=120&amp;START_MAXIMIZED=FALSE&amp;creator=factset&amp;display_string=Audit"}</definedName>
    <definedName name="_607__FDSAUDITLINK__" localSheetId="20" hidden="1">{"fdsup://Directions/FactSet Auditing Viewer?action=AUDIT_VALUE&amp;DB=129&amp;ID1=87416110&amp;VALUEID=01001&amp;SDATE=200801&amp;PERIODTYPE=QTR_STD&amp;window=popup_no_bar&amp;width=385&amp;height=120&amp;START_MAXIMIZED=FALSE&amp;creator=factset&amp;display_string=Audit"}</definedName>
    <definedName name="_607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608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608__FDSAUDITLINK__" localSheetId="20" hidden="1">{"fdsup://Directions/FactSet Auditing Viewer?action=AUDIT_VALUE&amp;DB=129&amp;ID1=53271610&amp;VALUEID=02101&amp;SDATE=200801&amp;PERIODTYPE=QTR_STD&amp;window=popup_no_bar&amp;width=385&amp;height=120&amp;START_MAXIMIZED=FALSE&amp;creator=factset&amp;display_string=Audit"}</definedName>
    <definedName name="_60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609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609__FDSAUDITLINK__" localSheetId="20" hidden="1">{"fdsup://Directions/FactSet Auditing Viewer?action=AUDIT_VALUE&amp;DB=129&amp;ID1=53271610&amp;VALUEID=01001&amp;SDATE=200801&amp;PERIODTYPE=QTR_STD&amp;window=popup_no_bar&amp;width=385&amp;height=120&amp;START_MAXIMIZED=FALSE&amp;creator=factset&amp;display_string=Audit"}</definedName>
    <definedName name="_609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61__FDSAUDITLINK__" localSheetId="1" hidden="1">{"fdsup://directions/FAT Viewer?action=UPDATE&amp;creator=factset&amp;DYN_ARGS=TRUE&amp;DOC_NAME=FAT:FQL_AUDITING_CLIENT_TEMPLATE.FAT&amp;display_string=Audit&amp;VAR:KEY=ENSXWFAHSD&amp;VAR:QUERY=RkZfU0FMRVMoTFRNUywwKQ==&amp;WINDOW=FIRST_POPUP&amp;HEIGHT=450&amp;WIDTH=450&amp;START_MAXIMIZED=FALS","E&amp;VAR:CALENDAR=FIVEDAY&amp;VAR:SYMBOL=PSS&amp;VAR:INDEX=0"}</definedName>
    <definedName name="_61__FDSAUDITLINK__" localSheetId="20" hidden="1">{"fdsup://Directions/FactSet Auditing Viewer?action=AUDIT_VALUE&amp;DB=129&amp;ID1=53271610&amp;VALUEID=02101&amp;SDATE=200902&amp;PERIODTYPE=QTR_STD&amp;window=popup_no_bar&amp;width=385&amp;height=120&amp;START_MAXIMIZED=FALSE&amp;creator=factset&amp;display_string=Audit"}</definedName>
    <definedName name="_61__FDSAUDITLINK__" hidden="1">{"fdsup://directions/FAT Viewer?action=UPDATE&amp;creator=factset&amp;DYN_ARGS=TRUE&amp;DOC_NAME=FAT:FQL_AUDITING_CLIENT_TEMPLATE.FAT&amp;display_string=Audit&amp;VAR:KEY=ENSXWFAHSD&amp;VAR:QUERY=RkZfU0FMRVMoTFRNUywwKQ==&amp;WINDOW=FIRST_POPUP&amp;HEIGHT=450&amp;WIDTH=450&amp;START_MAXIMIZED=FALS","E&amp;VAR:CALENDAR=FIVEDAY&amp;VAR:SYMBOL=PSS&amp;VAR:INDEX=0"}</definedName>
    <definedName name="_610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610__FDSAUDITLINK__" localSheetId="20" hidden="1">{"fdsup://Directions/FactSet Auditing Viewer?action=AUDIT_VALUE&amp;DB=129&amp;ID1=53271610&amp;VALUEID=13040&amp;SDATE=200801&amp;PERIODTYPE=QTR_STD&amp;window=popup_no_bar&amp;width=385&amp;height=120&amp;START_MAXIMIZED=FALSE&amp;creator=factset&amp;display_string=Audit"}</definedName>
    <definedName name="_610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611__FDSAUDITLINK__" localSheetId="1" hidden="1">{"fdsup://Directions/FactSet Auditing Viewer?action=AUDIT_VALUE&amp;DB=129&amp;ID1=46612H40&amp;VALUEID=02101&amp;SDATE=200801&amp;PERIODTYPE=QTR_STD&amp;window=popup_no_bar&amp;width=385&amp;height=120&amp;START_MAXIMIZED=FALSE&amp;creator=factset&amp;display_string=Audit"}</definedName>
    <definedName name="_611__FDSAUDITLINK__" localSheetId="20" hidden="1">{"fdsup://Directions/FactSet Auditing Viewer?action=AUDIT_VALUE&amp;DB=129&amp;ID1=46612H40&amp;VALUEID=02101&amp;SDATE=200801&amp;PERIODTYPE=QTR_STD&amp;window=popup_no_bar&amp;width=385&amp;height=120&amp;START_MAXIMIZED=FALSE&amp;creator=factset&amp;display_string=Audit"}</definedName>
    <definedName name="_611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612__FDSAUDITLINK__" localSheetId="1" hidden="1">{"fdsup://Directions/FactSet Auditing Viewer?action=AUDIT_VALUE&amp;DB=129&amp;ID1=46612H40&amp;VALUEID=01001&amp;SDATE=200801&amp;PERIODTYPE=QTR_STD&amp;window=popup_no_bar&amp;width=385&amp;height=120&amp;START_MAXIMIZED=FALSE&amp;creator=factset&amp;display_string=Audit"}</definedName>
    <definedName name="_612__FDSAUDITLINK__" localSheetId="20" hidden="1">{"fdsup://Directions/FactSet Auditing Viewer?action=AUDIT_VALUE&amp;DB=129&amp;ID1=46612H40&amp;VALUEID=01001&amp;SDATE=200801&amp;PERIODTYPE=QTR_STD&amp;window=popup_no_bar&amp;width=385&amp;height=120&amp;START_MAXIMIZED=FALSE&amp;creator=factset&amp;display_string=Audit"}</definedName>
    <definedName name="_612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613__FDSAUDITLINK__" localSheetId="1" hidden="1">{"fdsup://Directions/FactSet Auditing Viewer?action=AUDIT_VALUE&amp;DB=129&amp;ID1=46612H40&amp;VALUEID=13040&amp;SDATE=200801&amp;PERIODTYPE=QTR_STD&amp;window=popup_no_bar&amp;width=385&amp;height=120&amp;START_MAXIMIZED=FALSE&amp;creator=factset&amp;display_string=Audit"}</definedName>
    <definedName name="_613__FDSAUDITLINK__" localSheetId="20" hidden="1">{"fdsup://Directions/FactSet Auditing Viewer?action=AUDIT_VALUE&amp;DB=129&amp;ID1=46612H40&amp;VALUEID=13040&amp;SDATE=200801&amp;PERIODTYPE=QTR_STD&amp;window=popup_no_bar&amp;width=385&amp;height=120&amp;START_MAXIMIZED=FALSE&amp;creator=factset&amp;display_string=Audit"}</definedName>
    <definedName name="_613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614__FDSAUDITLINK__" localSheetId="1" hidden="1">{"fdsup://Directions/FactSet Auditing Viewer?action=AUDIT_VALUE&amp;DB=129&amp;ID1=36476010&amp;VALUEID=02101&amp;SDATE=200801&amp;PERIODTYPE=QTR_STD&amp;window=popup_no_bar&amp;width=385&amp;height=120&amp;START_MAXIMIZED=FALSE&amp;creator=factset&amp;display_string=Audit"}</definedName>
    <definedName name="_614__FDSAUDITLINK__" localSheetId="20" hidden="1">{"fdsup://Directions/FactSet Auditing Viewer?action=AUDIT_VALUE&amp;DB=129&amp;ID1=36476010&amp;VALUEID=02101&amp;SDATE=200801&amp;PERIODTYPE=QTR_STD&amp;window=popup_no_bar&amp;width=385&amp;height=120&amp;START_MAXIMIZED=FALSE&amp;creator=factset&amp;display_string=Audit"}</definedName>
    <definedName name="_614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615__FDSAUDITLINK__" localSheetId="1" hidden="1">{"fdsup://Directions/FactSet Auditing Viewer?action=AUDIT_VALUE&amp;DB=129&amp;ID1=36476010&amp;VALUEID=01001&amp;SDATE=200801&amp;PERIODTYPE=QTR_STD&amp;window=popup_no_bar&amp;width=385&amp;height=120&amp;START_MAXIMIZED=FALSE&amp;creator=factset&amp;display_string=Audit"}</definedName>
    <definedName name="_615__FDSAUDITLINK__" localSheetId="20" hidden="1">{"fdsup://Directions/FactSet Auditing Viewer?action=AUDIT_VALUE&amp;DB=129&amp;ID1=36476010&amp;VALUEID=01001&amp;SDATE=200801&amp;PERIODTYPE=QTR_STD&amp;window=popup_no_bar&amp;width=385&amp;height=120&amp;START_MAXIMIZED=FALSE&amp;creator=factset&amp;display_string=Audit"}</definedName>
    <definedName name="_615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616__FDSAUDITLINK__" localSheetId="1" hidden="1">{"fdsup://Directions/FactSet Auditing Viewer?action=AUDIT_VALUE&amp;DB=129&amp;ID1=36476010&amp;VALUEID=13040&amp;SDATE=200801&amp;PERIODTYPE=QTR_STD&amp;window=popup_no_bar&amp;width=385&amp;height=120&amp;START_MAXIMIZED=FALSE&amp;creator=factset&amp;display_string=Audit"}</definedName>
    <definedName name="_616__FDSAUDITLINK__" localSheetId="20" hidden="1">{"fdsup://Directions/FactSet Auditing Viewer?action=AUDIT_VALUE&amp;DB=129&amp;ID1=36476010&amp;VALUEID=13040&amp;SDATE=200801&amp;PERIODTYPE=QTR_STD&amp;window=popup_no_bar&amp;width=385&amp;height=120&amp;START_MAXIMIZED=FALSE&amp;creator=factset&amp;display_string=Audit"}</definedName>
    <definedName name="_616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617__FDSAUDITLINK__" localSheetId="1" hidden="1">{"fdsup://Directions/FactSet Auditing Viewer?action=AUDIT_VALUE&amp;DB=129&amp;ID1=03611510&amp;VALUEID=02101&amp;SDATE=200801&amp;PERIODTYPE=QTR_STD&amp;window=popup_no_bar&amp;width=385&amp;height=120&amp;START_MAXIMIZED=FALSE&amp;creator=factset&amp;display_string=Audit"}</definedName>
    <definedName name="_617__FDSAUDITLINK__" localSheetId="20" hidden="1">{"fdsup://Directions/FactSet Auditing Viewer?action=AUDIT_VALUE&amp;DB=129&amp;ID1=03611510&amp;VALUEID=02101&amp;SDATE=200801&amp;PERIODTYPE=QTR_STD&amp;window=popup_no_bar&amp;width=385&amp;height=120&amp;START_MAXIMIZED=FALSE&amp;creator=factset&amp;display_string=Audit"}</definedName>
    <definedName name="_61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618__FDSAUDITLINK__" localSheetId="1" hidden="1">{"fdsup://Directions/FactSet Auditing Viewer?action=AUDIT_VALUE&amp;DB=129&amp;ID1=03611510&amp;VALUEID=01001&amp;SDATE=200801&amp;PERIODTYPE=QTR_STD&amp;window=popup_no_bar&amp;width=385&amp;height=120&amp;START_MAXIMIZED=FALSE&amp;creator=factset&amp;display_string=Audit"}</definedName>
    <definedName name="_618__FDSAUDITLINK__" localSheetId="20" hidden="1">{"fdsup://Directions/FactSet Auditing Viewer?action=AUDIT_VALUE&amp;DB=129&amp;ID1=03611510&amp;VALUEID=01001&amp;SDATE=200801&amp;PERIODTYPE=QTR_STD&amp;window=popup_no_bar&amp;width=385&amp;height=120&amp;START_MAXIMIZED=FALSE&amp;creator=factset&amp;display_string=Audit"}</definedName>
    <definedName name="_618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619__FDSAUDITLINK__" localSheetId="1" hidden="1">{"fdsup://Directions/FactSet Auditing Viewer?action=AUDIT_VALUE&amp;DB=129&amp;ID1=03611510&amp;VALUEID=13040&amp;SDATE=200801&amp;PERIODTYPE=QTR_STD&amp;window=popup_no_bar&amp;width=385&amp;height=120&amp;START_MAXIMIZED=FALSE&amp;creator=factset&amp;display_string=Audit"}</definedName>
    <definedName name="_619__FDSAUDITLINK__" localSheetId="20" hidden="1">{"fdsup://Directions/FactSet Auditing Viewer?action=AUDIT_VALUE&amp;DB=129&amp;ID1=03611510&amp;VALUEID=13040&amp;SDATE=200801&amp;PERIODTYPE=QTR_STD&amp;window=popup_no_bar&amp;width=385&amp;height=120&amp;START_MAXIMIZED=FALSE&amp;creator=factset&amp;display_string=Audit"}</definedName>
    <definedName name="_619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62__FDSAUDITLINK__" localSheetId="1" hidden="1">{"fdsup://Directions/FactSet Auditing Viewer?action=AUDIT_VALUE&amp;DB=129&amp;ID1=76128Y10&amp;VALUEID=01001&amp;SDATE=2010&amp;PERIODTYPE=ANN_STD&amp;SCFT=3&amp;window=popup_no_bar&amp;width=385&amp;height=120&amp;START_MAXIMIZED=FALSE&amp;creator=factset&amp;display_string=Audit"}</definedName>
    <definedName name="_62__FDSAUDITLINK__" localSheetId="20" hidden="1">{"fdsup://Directions/FactSet Auditing Viewer?action=AUDIT_VALUE&amp;DB=129&amp;ID1=53271610&amp;VALUEID=01001&amp;SDATE=200902&amp;PERIODTYPE=QTR_STD&amp;window=popup_no_bar&amp;width=385&amp;height=120&amp;START_MAXIMIZED=FALSE&amp;creator=factset&amp;display_string=Audit"}</definedName>
    <definedName name="_62__FDSAUDITLINK__" hidden="1">{"fdsup://Directions/FactSet Auditing Viewer?action=AUDIT_VALUE&amp;DB=129&amp;ID1=76128Y10&amp;VALUEID=01001&amp;SDATE=2010&amp;PERIODTYPE=ANN_STD&amp;SCFT=3&amp;window=popup_no_bar&amp;width=385&amp;height=120&amp;START_MAXIMIZED=FALSE&amp;creator=factset&amp;display_string=Audit"}</definedName>
    <definedName name="_620__FDSAUDITLINK__" localSheetId="1" hidden="1">{"fdsup://Directions/FactSet Auditing Viewer?action=AUDIT_VALUE&amp;DB=129&amp;ID1=16890510&amp;VALUEID=02101&amp;SDATE=200801&amp;PERIODTYPE=QTR_STD&amp;window=popup_no_bar&amp;width=385&amp;height=120&amp;START_MAXIMIZED=FALSE&amp;creator=factset&amp;display_string=Audit"}</definedName>
    <definedName name="_620__FDSAUDITLINK__" localSheetId="20" hidden="1">{"fdsup://Directions/FactSet Auditing Viewer?action=AUDIT_VALUE&amp;DB=129&amp;ID1=16890510&amp;VALUEID=02101&amp;SDATE=200801&amp;PERIODTYPE=QTR_STD&amp;window=popup_no_bar&amp;width=385&amp;height=120&amp;START_MAXIMIZED=FALSE&amp;creator=factset&amp;display_string=Audit"}</definedName>
    <definedName name="_620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621__FDSAUDITLINK__" localSheetId="1" hidden="1">{"fdsup://Directions/FactSet Auditing Viewer?action=AUDIT_VALUE&amp;DB=129&amp;ID1=16890510&amp;VALUEID=01001&amp;SDATE=200801&amp;PERIODTYPE=QTR_STD&amp;window=popup_no_bar&amp;width=385&amp;height=120&amp;START_MAXIMIZED=FALSE&amp;creator=factset&amp;display_string=Audit"}</definedName>
    <definedName name="_621__FDSAUDITLINK__" localSheetId="20" hidden="1">{"fdsup://Directions/FactSet Auditing Viewer?action=AUDIT_VALUE&amp;DB=129&amp;ID1=16890510&amp;VALUEID=01001&amp;SDATE=200801&amp;PERIODTYPE=QTR_STD&amp;window=popup_no_bar&amp;width=385&amp;height=120&amp;START_MAXIMIZED=FALSE&amp;creator=factset&amp;display_string=Audit"}</definedName>
    <definedName name="_621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622__FDSAUDITLINK__" localSheetId="1" hidden="1">{"fdsup://Directions/FactSet Auditing Viewer?action=AUDIT_VALUE&amp;DB=129&amp;ID1=91704710&amp;VALUEID=02101&amp;SDATE=200801&amp;PERIODTYPE=QTR_STD&amp;window=popup_no_bar&amp;width=385&amp;height=120&amp;START_MAXIMIZED=FALSE&amp;creator=factset&amp;display_string=Audit"}</definedName>
    <definedName name="_622__FDSAUDITLINK__" localSheetId="20" hidden="1">{"fdsup://Directions/FactSet Auditing Viewer?action=AUDIT_VALUE&amp;DB=129&amp;ID1=91704710&amp;VALUEID=02101&amp;SDATE=200801&amp;PERIODTYPE=QTR_STD&amp;window=popup_no_bar&amp;width=385&amp;height=120&amp;START_MAXIMIZED=FALSE&amp;creator=factset&amp;display_string=Audit"}</definedName>
    <definedName name="_622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623__FDSAUDITLINK__" localSheetId="1" hidden="1">{"fdsup://Directions/FactSet Auditing Viewer?action=AUDIT_VALUE&amp;DB=129&amp;ID1=91704710&amp;VALUEID=01001&amp;SDATE=200801&amp;PERIODTYPE=QTR_STD&amp;window=popup_no_bar&amp;width=385&amp;height=120&amp;START_MAXIMIZED=FALSE&amp;creator=factset&amp;display_string=Audit"}</definedName>
    <definedName name="_623__FDSAUDITLINK__" localSheetId="20" hidden="1">{"fdsup://Directions/FactSet Auditing Viewer?action=AUDIT_VALUE&amp;DB=129&amp;ID1=91704710&amp;VALUEID=01001&amp;SDATE=200801&amp;PERIODTYPE=QTR_STD&amp;window=popup_no_bar&amp;width=385&amp;height=120&amp;START_MAXIMIZED=FALSE&amp;creator=factset&amp;display_string=Audit"}</definedName>
    <definedName name="_623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624__FDSAUDITLINK__" localSheetId="1" hidden="1">{"fdsup://Directions/FactSet Auditing Viewer?action=AUDIT_VALUE&amp;DB=129&amp;ID1=91704710&amp;VALUEID=13040&amp;SDATE=200801&amp;PERIODTYPE=QTR_STD&amp;window=popup_no_bar&amp;width=385&amp;height=120&amp;START_MAXIMIZED=FALSE&amp;creator=factset&amp;display_string=Audit"}</definedName>
    <definedName name="_624__FDSAUDITLINK__" localSheetId="20" hidden="1">{"fdsup://Directions/FactSet Auditing Viewer?action=AUDIT_VALUE&amp;DB=129&amp;ID1=91704710&amp;VALUEID=13040&amp;SDATE=200801&amp;PERIODTYPE=QTR_STD&amp;window=popup_no_bar&amp;width=385&amp;height=120&amp;START_MAXIMIZED=FALSE&amp;creator=factset&amp;display_string=Audit"}</definedName>
    <definedName name="_624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625__FDSAUDITLINK__" localSheetId="1" hidden="1">{"fdsup://Directions/FactSet Auditing Viewer?action=AUDIT_VALUE&amp;DB=129&amp;ID1=02553E10&amp;VALUEID=02101&amp;SDATE=200801&amp;PERIODTYPE=QTR_STD&amp;window=popup_no_bar&amp;width=385&amp;height=120&amp;START_MAXIMIZED=FALSE&amp;creator=factset&amp;display_string=Audit"}</definedName>
    <definedName name="_625__FDSAUDITLINK__" localSheetId="20" hidden="1">{"fdsup://Directions/FactSet Auditing Viewer?action=AUDIT_VALUE&amp;DB=129&amp;ID1=02553E10&amp;VALUEID=02101&amp;SDATE=200801&amp;PERIODTYPE=QTR_STD&amp;window=popup_no_bar&amp;width=385&amp;height=120&amp;START_MAXIMIZED=FALSE&amp;creator=factset&amp;display_string=Audit"}</definedName>
    <definedName name="_625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626__FDSAUDITLINK__" localSheetId="1" hidden="1">{"fdsup://Directions/FactSet Auditing Viewer?action=AUDIT_VALUE&amp;DB=129&amp;ID1=02553E10&amp;VALUEID=01001&amp;SDATE=200801&amp;PERIODTYPE=QTR_STD&amp;window=popup_no_bar&amp;width=385&amp;height=120&amp;START_MAXIMIZED=FALSE&amp;creator=factset&amp;display_string=Audit"}</definedName>
    <definedName name="_626__FDSAUDITLINK__" localSheetId="20" hidden="1">{"fdsup://Directions/FactSet Auditing Viewer?action=AUDIT_VALUE&amp;DB=129&amp;ID1=02553E10&amp;VALUEID=01001&amp;SDATE=200801&amp;PERIODTYPE=QTR_STD&amp;window=popup_no_bar&amp;width=385&amp;height=120&amp;START_MAXIMIZED=FALSE&amp;creator=factset&amp;display_string=Audit"}</definedName>
    <definedName name="_626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627__FDSAUDITLINK__" localSheetId="1" hidden="1">{"fdsup://Directions/FactSet Auditing Viewer?action=AUDIT_VALUE&amp;DB=129&amp;ID1=02553E10&amp;VALUEID=13040&amp;SDATE=200801&amp;PERIODTYPE=QTR_STD&amp;window=popup_no_bar&amp;width=385&amp;height=120&amp;START_MAXIMIZED=FALSE&amp;creator=factset&amp;display_string=Audit"}</definedName>
    <definedName name="_627__FDSAUDITLINK__" localSheetId="20" hidden="1">{"fdsup://Directions/FactSet Auditing Viewer?action=AUDIT_VALUE&amp;DB=129&amp;ID1=02553E10&amp;VALUEID=13040&amp;SDATE=200801&amp;PERIODTYPE=QTR_STD&amp;window=popup_no_bar&amp;width=385&amp;height=120&amp;START_MAXIMIZED=FALSE&amp;creator=factset&amp;display_string=Audit"}</definedName>
    <definedName name="_627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628__FDSAUDITLINK__" localSheetId="1" hidden="1">{"fdsup://Directions/FactSet Auditing Viewer?action=AUDIT_VALUE&amp;DB=129&amp;ID1=00786510&amp;VALUEID=02101&amp;SDATE=200801&amp;PERIODTYPE=QTR_STD&amp;window=popup_no_bar&amp;width=385&amp;height=120&amp;START_MAXIMIZED=FALSE&amp;creator=factset&amp;display_string=Audit"}</definedName>
    <definedName name="_628__FDSAUDITLINK__" localSheetId="20" hidden="1">{"fdsup://Directions/FactSet Auditing Viewer?action=AUDIT_VALUE&amp;DB=129&amp;ID1=00786510&amp;VALUEID=02101&amp;SDATE=200801&amp;PERIODTYPE=QTR_STD&amp;window=popup_no_bar&amp;width=385&amp;height=120&amp;START_MAXIMIZED=FALSE&amp;creator=factset&amp;display_string=Audit"}</definedName>
    <definedName name="_628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629__FDSAUDITLINK__" localSheetId="1" hidden="1">{"fdsup://Directions/FactSet Auditing Viewer?action=AUDIT_VALUE&amp;DB=129&amp;ID1=00786510&amp;VALUEID=01001&amp;SDATE=200801&amp;PERIODTYPE=QTR_STD&amp;window=popup_no_bar&amp;width=385&amp;height=120&amp;START_MAXIMIZED=FALSE&amp;creator=factset&amp;display_string=Audit"}</definedName>
    <definedName name="_629__FDSAUDITLINK__" localSheetId="20" hidden="1">{"fdsup://Directions/FactSet Auditing Viewer?action=AUDIT_VALUE&amp;DB=129&amp;ID1=00786510&amp;VALUEID=01001&amp;SDATE=200801&amp;PERIODTYPE=QTR_STD&amp;window=popup_no_bar&amp;width=385&amp;height=120&amp;START_MAXIMIZED=FALSE&amp;creator=factset&amp;display_string=Audit"}</definedName>
    <definedName name="_629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63__FDSAUDITLINK__" localSheetId="1" hidden="1">{"fdsup://directions/FAT Viewer?action=UPDATE&amp;creator=factset&amp;DYN_ARGS=TRUE&amp;DOC_NAME=FAT:FQL_AUDITING_CLIENT_TEMPLATE.FAT&amp;display_string=Audit&amp;VAR:KEY=SVMXYVUHYZ&amp;VAR:QUERY=RkZfU0FMRVMoTFRNUywwKQ==&amp;WINDOW=FIRST_POPUP&amp;HEIGHT=450&amp;WIDTH=450&amp;START_MAXIMIZED=FALS","E&amp;VAR:CALENDAR=FIVEDAY&amp;VAR:SYMBOL=TJX&amp;VAR:INDEX=0"}</definedName>
    <definedName name="_63__FDSAUDITLINK__" localSheetId="20" hidden="1">{"fdsup://Directions/FactSet Auditing Viewer?action=AUDIT_VALUE&amp;DB=129&amp;ID1=53271610&amp;VALUEID=13040&amp;SDATE=200902&amp;PERIODTYPE=QTR_STD&amp;window=popup_no_bar&amp;width=385&amp;height=120&amp;START_MAXIMIZED=FALSE&amp;creator=factset&amp;display_string=Audit"}</definedName>
    <definedName name="_63__FDSAUDITLINK__" hidden="1">{"fdsup://directions/FAT Viewer?action=UPDATE&amp;creator=factset&amp;DYN_ARGS=TRUE&amp;DOC_NAME=FAT:FQL_AUDITING_CLIENT_TEMPLATE.FAT&amp;display_string=Audit&amp;VAR:KEY=SVMXYVUHYZ&amp;VAR:QUERY=RkZfU0FMRVMoTFRNUywwKQ==&amp;WINDOW=FIRST_POPUP&amp;HEIGHT=450&amp;WIDTH=450&amp;START_MAXIMIZED=FALS","E&amp;VAR:CALENDAR=FIVEDAY&amp;VAR:SYMBOL=TJX&amp;VAR:INDEX=0"}</definedName>
    <definedName name="_630__FDSAUDITLINK__" localSheetId="1" hidden="1">{"fdsup://Directions/FactSet Auditing Viewer?action=AUDIT_VALUE&amp;DB=129&amp;ID1=00786510&amp;VALUEID=13040&amp;SDATE=200801&amp;PERIODTYPE=QTR_STD&amp;window=popup_no_bar&amp;width=385&amp;height=120&amp;START_MAXIMIZED=FALSE&amp;creator=factset&amp;display_string=Audit"}</definedName>
    <definedName name="_630__FDSAUDITLINK__" localSheetId="20" hidden="1">{"fdsup://Directions/FactSet Auditing Viewer?action=AUDIT_VALUE&amp;DB=129&amp;ID1=00786510&amp;VALUEID=13040&amp;SDATE=200801&amp;PERIODTYPE=QTR_STD&amp;window=popup_no_bar&amp;width=385&amp;height=120&amp;START_MAXIMIZED=FALSE&amp;creator=factset&amp;display_string=Audit"}</definedName>
    <definedName name="_630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631__FDSAUDITLINK__" localSheetId="1" hidden="1">{"fdsup://Directions/FactSet Auditing Viewer?action=AUDIT_VALUE&amp;DB=129&amp;ID1=00289620&amp;VALUEID=02101&amp;SDATE=200801&amp;PERIODTYPE=QTR_STD&amp;window=popup_no_bar&amp;width=385&amp;height=120&amp;START_MAXIMIZED=FALSE&amp;creator=factset&amp;display_string=Audit"}</definedName>
    <definedName name="_631__FDSAUDITLINK__" localSheetId="20" hidden="1">{"fdsup://Directions/FactSet Auditing Viewer?action=AUDIT_VALUE&amp;DB=129&amp;ID1=00289620&amp;VALUEID=02101&amp;SDATE=200801&amp;PERIODTYPE=QTR_STD&amp;window=popup_no_bar&amp;width=385&amp;height=120&amp;START_MAXIMIZED=FALSE&amp;creator=factset&amp;display_string=Audit"}</definedName>
    <definedName name="_631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632__FDSAUDITLINK__" localSheetId="1" hidden="1">{"fdsup://Directions/FactSet Auditing Viewer?action=AUDIT_VALUE&amp;DB=129&amp;ID1=00289620&amp;VALUEID=01001&amp;SDATE=200801&amp;PERIODTYPE=QTR_STD&amp;window=popup_no_bar&amp;width=385&amp;height=120&amp;START_MAXIMIZED=FALSE&amp;creator=factset&amp;display_string=Audit"}</definedName>
    <definedName name="_632__FDSAUDITLINK__" localSheetId="20" hidden="1">{"fdsup://Directions/FactSet Auditing Viewer?action=AUDIT_VALUE&amp;DB=129&amp;ID1=00289620&amp;VALUEID=01001&amp;SDATE=200801&amp;PERIODTYPE=QTR_STD&amp;window=popup_no_bar&amp;width=385&amp;height=120&amp;START_MAXIMIZED=FALSE&amp;creator=factset&amp;display_string=Audit"}</definedName>
    <definedName name="_632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633__FDSAUDITLINK__" localSheetId="1" hidden="1">{"fdsup://Directions/FactSet Auditing Viewer?action=AUDIT_VALUE&amp;DB=129&amp;ID1=00289620&amp;VALUEID=13040&amp;SDATE=200801&amp;PERIODTYPE=QTR_STD&amp;window=popup_no_bar&amp;width=385&amp;height=120&amp;START_MAXIMIZED=FALSE&amp;creator=factset&amp;display_string=Audit"}</definedName>
    <definedName name="_633__FDSAUDITLINK__" localSheetId="20" hidden="1">{"fdsup://Directions/FactSet Auditing Viewer?action=AUDIT_VALUE&amp;DB=129&amp;ID1=00289620&amp;VALUEID=13040&amp;SDATE=200801&amp;PERIODTYPE=QTR_STD&amp;window=popup_no_bar&amp;width=385&amp;height=120&amp;START_MAXIMIZED=FALSE&amp;creator=factset&amp;display_string=Audit"}</definedName>
    <definedName name="_633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634__FDSAUDITLINK__" localSheetId="1" hidden="1">{"fdsup://Directions/FactSet Auditing Viewer?action=AUDIT_VALUE&amp;DB=129&amp;ID1=87416110&amp;VALUEID=01001&amp;SDATE=200704&amp;PERIODTYPE=QTR_STD&amp;window=popup_no_bar&amp;width=385&amp;height=120&amp;START_MAXIMIZED=FALSE&amp;creator=factset&amp;display_string=Audit"}</definedName>
    <definedName name="_634__FDSAUDITLINK__" localSheetId="20" hidden="1">{"fdsup://Directions/FactSet Auditing Viewer?action=AUDIT_VALUE&amp;DB=129&amp;ID1=87416110&amp;VALUEID=01001&amp;SDATE=200704&amp;PERIODTYPE=QTR_STD&amp;window=popup_no_bar&amp;width=385&amp;height=120&amp;START_MAXIMIZED=FALSE&amp;creator=factset&amp;display_string=Audit"}</definedName>
    <definedName name="_634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635__FDSAUDITLINK__" localSheetId="1" hidden="1">{"fdsup://Directions/FactSet Auditing Viewer?action=AUDIT_VALUE&amp;DB=129&amp;ID1=46612H40&amp;VALUEID=01001&amp;SDATE=200704&amp;PERIODTYPE=QTR_STD&amp;window=popup_no_bar&amp;width=385&amp;height=120&amp;START_MAXIMIZED=FALSE&amp;creator=factset&amp;display_string=Audit"}</definedName>
    <definedName name="_635__FDSAUDITLINK__" localSheetId="20" hidden="1">{"fdsup://Directions/FactSet Auditing Viewer?action=AUDIT_VALUE&amp;DB=129&amp;ID1=46612H40&amp;VALUEID=01001&amp;SDATE=200704&amp;PERIODTYPE=QTR_STD&amp;window=popup_no_bar&amp;width=385&amp;height=120&amp;START_MAXIMIZED=FALSE&amp;creator=factset&amp;display_string=Audit"}</definedName>
    <definedName name="_635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636__FDSAUDITLINK__" localSheetId="1" hidden="1">{"fdsup://Directions/FactSet Auditing Viewer?action=AUDIT_VALUE&amp;DB=129&amp;ID1=46612H40&amp;VALUEID=13040&amp;SDATE=200704&amp;PERIODTYPE=QTR_STD&amp;window=popup_no_bar&amp;width=385&amp;height=120&amp;START_MAXIMIZED=FALSE&amp;creator=factset&amp;display_string=Audit"}</definedName>
    <definedName name="_636__FDSAUDITLINK__" localSheetId="20" hidden="1">{"fdsup://Directions/FactSet Auditing Viewer?action=AUDIT_VALUE&amp;DB=129&amp;ID1=46612H40&amp;VALUEID=13040&amp;SDATE=200704&amp;PERIODTYPE=QTR_STD&amp;window=popup_no_bar&amp;width=385&amp;height=120&amp;START_MAXIMIZED=FALSE&amp;creator=factset&amp;display_string=Audit"}</definedName>
    <definedName name="_636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637__FDSAUDITLINK__" localSheetId="1" hidden="1">{"fdsup://Directions/FactSet Auditing Viewer?action=AUDIT_VALUE&amp;DB=129&amp;ID1=36476010&amp;VALUEID=01001&amp;SDATE=200704&amp;PERIODTYPE=QTR_STD&amp;window=popup_no_bar&amp;width=385&amp;height=120&amp;START_MAXIMIZED=FALSE&amp;creator=factset&amp;display_string=Audit"}</definedName>
    <definedName name="_637__FDSAUDITLINK__" localSheetId="20" hidden="1">{"fdsup://Directions/FactSet Auditing Viewer?action=AUDIT_VALUE&amp;DB=129&amp;ID1=36476010&amp;VALUEID=01001&amp;SDATE=200704&amp;PERIODTYPE=QTR_STD&amp;window=popup_no_bar&amp;width=385&amp;height=120&amp;START_MAXIMIZED=FALSE&amp;creator=factset&amp;display_string=Audit"}</definedName>
    <definedName name="_637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638__FDSAUDITLINK__" localSheetId="1" hidden="1">{"fdsup://Directions/FactSet Auditing Viewer?action=AUDIT_VALUE&amp;DB=129&amp;ID1=03611510&amp;VALUEID=01001&amp;SDATE=200704&amp;PERIODTYPE=QTR_STD&amp;window=popup_no_bar&amp;width=385&amp;height=120&amp;START_MAXIMIZED=FALSE&amp;creator=factset&amp;display_string=Audit"}</definedName>
    <definedName name="_638__FDSAUDITLINK__" localSheetId="20" hidden="1">{"fdsup://Directions/FactSet Auditing Viewer?action=AUDIT_VALUE&amp;DB=129&amp;ID1=03611510&amp;VALUEID=01001&amp;SDATE=200704&amp;PERIODTYPE=QTR_STD&amp;window=popup_no_bar&amp;width=385&amp;height=120&amp;START_MAXIMIZED=FALSE&amp;creator=factset&amp;display_string=Audit"}</definedName>
    <definedName name="_638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639__FDSAUDITLINK__" localSheetId="1" hidden="1">{"fdsup://Directions/FactSet Auditing Viewer?action=AUDIT_VALUE&amp;DB=129&amp;ID1=03611510&amp;VALUEID=13040&amp;SDATE=200704&amp;PERIODTYPE=QTR_STD&amp;window=popup_no_bar&amp;width=385&amp;height=120&amp;START_MAXIMIZED=FALSE&amp;creator=factset&amp;display_string=Audit"}</definedName>
    <definedName name="_639__FDSAUDITLINK__" localSheetId="20" hidden="1">{"fdsup://Directions/FactSet Auditing Viewer?action=AUDIT_VALUE&amp;DB=129&amp;ID1=03611510&amp;VALUEID=13040&amp;SDATE=200704&amp;PERIODTYPE=QTR_STD&amp;window=popup_no_bar&amp;width=385&amp;height=120&amp;START_MAXIMIZED=FALSE&amp;creator=factset&amp;display_string=Audit"}</definedName>
    <definedName name="_639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64__FDSAUDITLINK__" localSheetId="1" hidden="1">{"fdsup://directions/FAT Viewer?action=UPDATE&amp;creator=factset&amp;DYN_ARGS=TRUE&amp;DOC_NAME=FAT:FQL_AUDITING_CLIENT_TEMPLATE.FAT&amp;display_string=Audit&amp;VAR:KEY=KVAZOPAFMX&amp;VAR:QUERY=RkZfU0FMRVMoTFRNUywwKQ==&amp;WINDOW=FIRST_POPUP&amp;HEIGHT=450&amp;WIDTH=450&amp;START_MAXIMIZED=FALS","E&amp;VAR:CALENDAR=FIVEDAY&amp;VAR:SYMBOL=MW&amp;VAR:INDEX=0"}</definedName>
    <definedName name="_64__FDSAUDITLINK__" localSheetId="20" hidden="1">{"fdsup://Directions/FactSet Auditing Viewer?action=AUDIT_VALUE&amp;DB=129&amp;ID1=46612H40&amp;VALUEID=02101&amp;SDATE=200902&amp;PERIODTYPE=QTR_STD&amp;window=popup_no_bar&amp;width=385&amp;height=120&amp;START_MAXIMIZED=FALSE&amp;creator=factset&amp;display_string=Audit"}</definedName>
    <definedName name="_64__FDSAUDITLINK__" hidden="1">{"fdsup://directions/FAT Viewer?action=UPDATE&amp;creator=factset&amp;DYN_ARGS=TRUE&amp;DOC_NAME=FAT:FQL_AUDITING_CLIENT_TEMPLATE.FAT&amp;display_string=Audit&amp;VAR:KEY=KVAZOPAFMX&amp;VAR:QUERY=RkZfU0FMRVMoTFRNUywwKQ==&amp;WINDOW=FIRST_POPUP&amp;HEIGHT=450&amp;WIDTH=450&amp;START_MAXIMIZED=FALS","E&amp;VAR:CALENDAR=FIVEDAY&amp;VAR:SYMBOL=MW&amp;VAR:INDEX=0"}</definedName>
    <definedName name="_640__FDSAUDITLINK__" localSheetId="1" hidden="1">{"fdsup://Directions/FactSet Auditing Viewer?action=AUDIT_VALUE&amp;DB=129&amp;ID1=16890510&amp;VALUEID=01001&amp;SDATE=200704&amp;PERIODTYPE=QTR_STD&amp;window=popup_no_bar&amp;width=385&amp;height=120&amp;START_MAXIMIZED=FALSE&amp;creator=factset&amp;display_string=Audit"}</definedName>
    <definedName name="_640__FDSAUDITLINK__" localSheetId="20" hidden="1">{"fdsup://Directions/FactSet Auditing Viewer?action=AUDIT_VALUE&amp;DB=129&amp;ID1=16890510&amp;VALUEID=01001&amp;SDATE=200704&amp;PERIODTYPE=QTR_STD&amp;window=popup_no_bar&amp;width=385&amp;height=120&amp;START_MAXIMIZED=FALSE&amp;creator=factset&amp;display_string=Audit"}</definedName>
    <definedName name="_640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641__FDSAUDITLINK__" localSheetId="1" hidden="1">{"fdsup://Directions/FactSet Auditing Viewer?action=AUDIT_VALUE&amp;DB=129&amp;ID1=00786510&amp;VALUEID=01001&amp;SDATE=200704&amp;PERIODTYPE=QTR_STD&amp;window=popup_no_bar&amp;width=385&amp;height=120&amp;START_MAXIMIZED=FALSE&amp;creator=factset&amp;display_string=Audit"}</definedName>
    <definedName name="_641__FDSAUDITLINK__" localSheetId="20" hidden="1">{"fdsup://Directions/FactSet Auditing Viewer?action=AUDIT_VALUE&amp;DB=129&amp;ID1=00786510&amp;VALUEID=01001&amp;SDATE=200704&amp;PERIODTYPE=QTR_STD&amp;window=popup_no_bar&amp;width=385&amp;height=120&amp;START_MAXIMIZED=FALSE&amp;creator=factset&amp;display_string=Audit"}</definedName>
    <definedName name="_641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642__FDSAUDITLINK__" localSheetId="1" hidden="1">{"fdsup://Directions/FactSet Auditing Viewer?action=AUDIT_VALUE&amp;DB=129&amp;ID1=87416110&amp;VALUEID=02101&amp;SDATE=200703&amp;PERIODTYPE=QTR_STD&amp;window=popup_no_bar&amp;width=385&amp;height=120&amp;START_MAXIMIZED=FALSE&amp;creator=factset&amp;display_string=Audit"}</definedName>
    <definedName name="_642__FDSAUDITLINK__" localSheetId="20" hidden="1">{"fdsup://Directions/FactSet Auditing Viewer?action=AUDIT_VALUE&amp;DB=129&amp;ID1=87416110&amp;VALUEID=02101&amp;SDATE=200703&amp;PERIODTYPE=QTR_STD&amp;window=popup_no_bar&amp;width=385&amp;height=120&amp;START_MAXIMIZED=FALSE&amp;creator=factset&amp;display_string=Audit"}</definedName>
    <definedName name="_642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643__FDSAUDITLINK__" localSheetId="1" hidden="1">{"fdsup://Directions/FactSet Auditing Viewer?action=AUDIT_VALUE&amp;DB=129&amp;ID1=87416110&amp;VALUEID=01001&amp;SDATE=200703&amp;PERIODTYPE=QTR_STD&amp;window=popup_no_bar&amp;width=385&amp;height=120&amp;START_MAXIMIZED=FALSE&amp;creator=factset&amp;display_string=Audit"}</definedName>
    <definedName name="_643__FDSAUDITLINK__" localSheetId="20" hidden="1">{"fdsup://Directions/FactSet Auditing Viewer?action=AUDIT_VALUE&amp;DB=129&amp;ID1=87416110&amp;VALUEID=01001&amp;SDATE=200703&amp;PERIODTYPE=QTR_STD&amp;window=popup_no_bar&amp;width=385&amp;height=120&amp;START_MAXIMIZED=FALSE&amp;creator=factset&amp;display_string=Audit"}</definedName>
    <definedName name="_643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644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644__FDSAUDITLINK__" localSheetId="20" hidden="1">{"fdsup://Directions/FactSet Auditing Viewer?action=AUDIT_VALUE&amp;DB=129&amp;ID1=53271610&amp;VALUEID=02101&amp;SDATE=200703&amp;PERIODTYPE=QTR_STD&amp;window=popup_no_bar&amp;width=385&amp;height=120&amp;START_MAXIMIZED=FALSE&amp;creator=factset&amp;display_string=Audit"}</definedName>
    <definedName name="_644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645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645__FDSAUDITLINK__" localSheetId="20" hidden="1">{"fdsup://Directions/FactSet Auditing Viewer?action=AUDIT_VALUE&amp;DB=129&amp;ID1=53271610&amp;VALUEID=01001&amp;SDATE=200703&amp;PERIODTYPE=QTR_STD&amp;window=popup_no_bar&amp;width=385&amp;height=120&amp;START_MAXIMIZED=FALSE&amp;creator=factset&amp;display_string=Audit"}</definedName>
    <definedName name="_645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646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646__FDSAUDITLINK__" localSheetId="20" hidden="1">{"fdsup://Directions/FactSet Auditing Viewer?action=AUDIT_VALUE&amp;DB=129&amp;ID1=53271610&amp;VALUEID=13040&amp;SDATE=200703&amp;PERIODTYPE=QTR_STD&amp;window=popup_no_bar&amp;width=385&amp;height=120&amp;START_MAXIMIZED=FALSE&amp;creator=factset&amp;display_string=Audit"}</definedName>
    <definedName name="_646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647__FDSAUDITLINK__" localSheetId="1" hidden="1">{"fdsup://Directions/FactSet Auditing Viewer?action=AUDIT_VALUE&amp;DB=129&amp;ID1=46612H40&amp;VALUEID=02101&amp;SDATE=200703&amp;PERIODTYPE=QTR_STD&amp;window=popup_no_bar&amp;width=385&amp;height=120&amp;START_MAXIMIZED=FALSE&amp;creator=factset&amp;display_string=Audit"}</definedName>
    <definedName name="_647__FDSAUDITLINK__" localSheetId="20" hidden="1">{"fdsup://Directions/FactSet Auditing Viewer?action=AUDIT_VALUE&amp;DB=129&amp;ID1=46612H40&amp;VALUEID=02101&amp;SDATE=200703&amp;PERIODTYPE=QTR_STD&amp;window=popup_no_bar&amp;width=385&amp;height=120&amp;START_MAXIMIZED=FALSE&amp;creator=factset&amp;display_string=Audit"}</definedName>
    <definedName name="_647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648__FDSAUDITLINK__" localSheetId="1" hidden="1">{"fdsup://Directions/FactSet Auditing Viewer?action=AUDIT_VALUE&amp;DB=129&amp;ID1=46612H40&amp;VALUEID=01001&amp;SDATE=200703&amp;PERIODTYPE=QTR_STD&amp;window=popup_no_bar&amp;width=385&amp;height=120&amp;START_MAXIMIZED=FALSE&amp;creator=factset&amp;display_string=Audit"}</definedName>
    <definedName name="_648__FDSAUDITLINK__" localSheetId="20" hidden="1">{"fdsup://Directions/FactSet Auditing Viewer?action=AUDIT_VALUE&amp;DB=129&amp;ID1=46612H40&amp;VALUEID=01001&amp;SDATE=200703&amp;PERIODTYPE=QTR_STD&amp;window=popup_no_bar&amp;width=385&amp;height=120&amp;START_MAXIMIZED=FALSE&amp;creator=factset&amp;display_string=Audit"}</definedName>
    <definedName name="_648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649__FDSAUDITLINK__" localSheetId="1" hidden="1">{"fdsup://Directions/FactSet Auditing Viewer?action=AUDIT_VALUE&amp;DB=129&amp;ID1=46612H40&amp;VALUEID=13040&amp;SDATE=200703&amp;PERIODTYPE=QTR_STD&amp;window=popup_no_bar&amp;width=385&amp;height=120&amp;START_MAXIMIZED=FALSE&amp;creator=factset&amp;display_string=Audit"}</definedName>
    <definedName name="_649__FDSAUDITLINK__" localSheetId="20" hidden="1">{"fdsup://Directions/FactSet Auditing Viewer?action=AUDIT_VALUE&amp;DB=129&amp;ID1=46612H40&amp;VALUEID=13040&amp;SDATE=200703&amp;PERIODTYPE=QTR_STD&amp;window=popup_no_bar&amp;width=385&amp;height=120&amp;START_MAXIMIZED=FALSE&amp;creator=factset&amp;display_string=Audit"}</definedName>
    <definedName name="_649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65__FDSAUDITLINK__" localSheetId="1" hidden="1">{"fdsup://directions/FAT Viewer?action=UPDATE&amp;creator=factset&amp;DYN_ARGS=TRUE&amp;DOC_NAME=FAT:FQL_AUDITING_CLIENT_TEMPLATE.FAT&amp;display_string=Audit&amp;VAR:KEY=GPWDETKJSH&amp;VAR:QUERY=RkZfU0FMRVMoTFRNUywwKQ==&amp;WINDOW=FIRST_POPUP&amp;HEIGHT=450&amp;WIDTH=450&amp;START_MAXIMIZED=FALS","E&amp;VAR:CALENDAR=FIVEDAY&amp;VAR:SYMBOL=SMRT&amp;VAR:INDEX=0"}</definedName>
    <definedName name="_65__FDSAUDITLINK__" localSheetId="20" hidden="1">{"fdsup://Directions/FactSet Auditing Viewer?action=AUDIT_VALUE&amp;DB=129&amp;ID1=46612H40&amp;VALUEID=01001&amp;SDATE=200902&amp;PERIODTYPE=QTR_STD&amp;window=popup_no_bar&amp;width=385&amp;height=120&amp;START_MAXIMIZED=FALSE&amp;creator=factset&amp;display_string=Audit"}</definedName>
    <definedName name="_65__FDSAUDITLINK__" hidden="1">{"fdsup://directions/FAT Viewer?action=UPDATE&amp;creator=factset&amp;DYN_ARGS=TRUE&amp;DOC_NAME=FAT:FQL_AUDITING_CLIENT_TEMPLATE.FAT&amp;display_string=Audit&amp;VAR:KEY=GPWDETKJSH&amp;VAR:QUERY=RkZfU0FMRVMoTFRNUywwKQ==&amp;WINDOW=FIRST_POPUP&amp;HEIGHT=450&amp;WIDTH=450&amp;START_MAXIMIZED=FALS","E&amp;VAR:CALENDAR=FIVEDAY&amp;VAR:SYMBOL=SMRT&amp;VAR:INDEX=0"}</definedName>
    <definedName name="_650__FDSAUDITLINK__" localSheetId="1" hidden="1">{"fdsup://Directions/FactSet Auditing Viewer?action=AUDIT_VALUE&amp;DB=129&amp;ID1=36476010&amp;VALUEID=02101&amp;SDATE=200703&amp;PERIODTYPE=QTR_STD&amp;window=popup_no_bar&amp;width=385&amp;height=120&amp;START_MAXIMIZED=FALSE&amp;creator=factset&amp;display_string=Audit"}</definedName>
    <definedName name="_650__FDSAUDITLINK__" localSheetId="20" hidden="1">{"fdsup://Directions/FactSet Auditing Viewer?action=AUDIT_VALUE&amp;DB=129&amp;ID1=36476010&amp;VALUEID=02101&amp;SDATE=200703&amp;PERIODTYPE=QTR_STD&amp;window=popup_no_bar&amp;width=385&amp;height=120&amp;START_MAXIMIZED=FALSE&amp;creator=factset&amp;display_string=Audit"}</definedName>
    <definedName name="_650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651__FDSAUDITLINK__" localSheetId="1" hidden="1">{"fdsup://Directions/FactSet Auditing Viewer?action=AUDIT_VALUE&amp;DB=129&amp;ID1=36476010&amp;VALUEID=01001&amp;SDATE=200703&amp;PERIODTYPE=QTR_STD&amp;window=popup_no_bar&amp;width=385&amp;height=120&amp;START_MAXIMIZED=FALSE&amp;creator=factset&amp;display_string=Audit"}</definedName>
    <definedName name="_651__FDSAUDITLINK__" localSheetId="20" hidden="1">{"fdsup://Directions/FactSet Auditing Viewer?action=AUDIT_VALUE&amp;DB=129&amp;ID1=36476010&amp;VALUEID=01001&amp;SDATE=200703&amp;PERIODTYPE=QTR_STD&amp;window=popup_no_bar&amp;width=385&amp;height=120&amp;START_MAXIMIZED=FALSE&amp;creator=factset&amp;display_string=Audit"}</definedName>
    <definedName name="_651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652__FDSAUDITLINK__" localSheetId="1" hidden="1">{"fdsup://Directions/FactSet Auditing Viewer?action=AUDIT_VALUE&amp;DB=129&amp;ID1=36476010&amp;VALUEID=13040&amp;SDATE=200703&amp;PERIODTYPE=QTR_STD&amp;window=popup_no_bar&amp;width=385&amp;height=120&amp;START_MAXIMIZED=FALSE&amp;creator=factset&amp;display_string=Audit"}</definedName>
    <definedName name="_652__FDSAUDITLINK__" localSheetId="20" hidden="1">{"fdsup://Directions/FactSet Auditing Viewer?action=AUDIT_VALUE&amp;DB=129&amp;ID1=36476010&amp;VALUEID=13040&amp;SDATE=200703&amp;PERIODTYPE=QTR_STD&amp;window=popup_no_bar&amp;width=385&amp;height=120&amp;START_MAXIMIZED=FALSE&amp;creator=factset&amp;display_string=Audit"}</definedName>
    <definedName name="_652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653__FDSAUDITLINK__" localSheetId="1" hidden="1">{"fdsup://Directions/FactSet Auditing Viewer?action=AUDIT_VALUE&amp;DB=129&amp;ID1=03611510&amp;VALUEID=02101&amp;SDATE=200703&amp;PERIODTYPE=QTR_STD&amp;window=popup_no_bar&amp;width=385&amp;height=120&amp;START_MAXIMIZED=FALSE&amp;creator=factset&amp;display_string=Audit"}</definedName>
    <definedName name="_653__FDSAUDITLINK__" localSheetId="20" hidden="1">{"fdsup://Directions/FactSet Auditing Viewer?action=AUDIT_VALUE&amp;DB=129&amp;ID1=03611510&amp;VALUEID=02101&amp;SDATE=200703&amp;PERIODTYPE=QTR_STD&amp;window=popup_no_bar&amp;width=385&amp;height=120&amp;START_MAXIMIZED=FALSE&amp;creator=factset&amp;display_string=Audit"}</definedName>
    <definedName name="_653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654__FDSAUDITLINK__" localSheetId="1" hidden="1">{"fdsup://Directions/FactSet Auditing Viewer?action=AUDIT_VALUE&amp;DB=129&amp;ID1=03611510&amp;VALUEID=01001&amp;SDATE=200703&amp;PERIODTYPE=QTR_STD&amp;window=popup_no_bar&amp;width=385&amp;height=120&amp;START_MAXIMIZED=FALSE&amp;creator=factset&amp;display_string=Audit"}</definedName>
    <definedName name="_654__FDSAUDITLINK__" localSheetId="20" hidden="1">{"fdsup://Directions/FactSet Auditing Viewer?action=AUDIT_VALUE&amp;DB=129&amp;ID1=03611510&amp;VALUEID=01001&amp;SDATE=200703&amp;PERIODTYPE=QTR_STD&amp;window=popup_no_bar&amp;width=385&amp;height=120&amp;START_MAXIMIZED=FALSE&amp;creator=factset&amp;display_string=Audit"}</definedName>
    <definedName name="_654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655__FDSAUDITLINK__" localSheetId="1" hidden="1">{"fdsup://Directions/FactSet Auditing Viewer?action=AUDIT_VALUE&amp;DB=129&amp;ID1=03611510&amp;VALUEID=13040&amp;SDATE=200703&amp;PERIODTYPE=QTR_STD&amp;window=popup_no_bar&amp;width=385&amp;height=120&amp;START_MAXIMIZED=FALSE&amp;creator=factset&amp;display_string=Audit"}</definedName>
    <definedName name="_655__FDSAUDITLINK__" localSheetId="20" hidden="1">{"fdsup://Directions/FactSet Auditing Viewer?action=AUDIT_VALUE&amp;DB=129&amp;ID1=03611510&amp;VALUEID=13040&amp;SDATE=200703&amp;PERIODTYPE=QTR_STD&amp;window=popup_no_bar&amp;width=385&amp;height=120&amp;START_MAXIMIZED=FALSE&amp;creator=factset&amp;display_string=Audit"}</definedName>
    <definedName name="_655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656__FDSAUDITLINK__" localSheetId="1" hidden="1">{"fdsup://Directions/FactSet Auditing Viewer?action=AUDIT_VALUE&amp;DB=129&amp;ID1=16890510&amp;VALUEID=02101&amp;SDATE=200703&amp;PERIODTYPE=QTR_STD&amp;window=popup_no_bar&amp;width=385&amp;height=120&amp;START_MAXIMIZED=FALSE&amp;creator=factset&amp;display_string=Audit"}</definedName>
    <definedName name="_656__FDSAUDITLINK__" localSheetId="20" hidden="1">{"fdsup://Directions/FactSet Auditing Viewer?action=AUDIT_VALUE&amp;DB=129&amp;ID1=16890510&amp;VALUEID=02101&amp;SDATE=200703&amp;PERIODTYPE=QTR_STD&amp;window=popup_no_bar&amp;width=385&amp;height=120&amp;START_MAXIMIZED=FALSE&amp;creator=factset&amp;display_string=Audit"}</definedName>
    <definedName name="_656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657__FDSAUDITLINK__" localSheetId="1" hidden="1">{"fdsup://Directions/FactSet Auditing Viewer?action=AUDIT_VALUE&amp;DB=129&amp;ID1=16890510&amp;VALUEID=01001&amp;SDATE=200703&amp;PERIODTYPE=QTR_STD&amp;window=popup_no_bar&amp;width=385&amp;height=120&amp;START_MAXIMIZED=FALSE&amp;creator=factset&amp;display_string=Audit"}</definedName>
    <definedName name="_657__FDSAUDITLINK__" localSheetId="20" hidden="1">{"fdsup://Directions/FactSet Auditing Viewer?action=AUDIT_VALUE&amp;DB=129&amp;ID1=16890510&amp;VALUEID=01001&amp;SDATE=200703&amp;PERIODTYPE=QTR_STD&amp;window=popup_no_bar&amp;width=385&amp;height=120&amp;START_MAXIMIZED=FALSE&amp;creator=factset&amp;display_string=Audit"}</definedName>
    <definedName name="_657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658__FDSAUDITLINK__" localSheetId="1" hidden="1">{"fdsup://Directions/FactSet Auditing Viewer?action=AUDIT_VALUE&amp;DB=129&amp;ID1=91704710&amp;VALUEID=02101&amp;SDATE=200703&amp;PERIODTYPE=QTR_STD&amp;window=popup_no_bar&amp;width=385&amp;height=120&amp;START_MAXIMIZED=FALSE&amp;creator=factset&amp;display_string=Audit"}</definedName>
    <definedName name="_658__FDSAUDITLINK__" localSheetId="20" hidden="1">{"fdsup://Directions/FactSet Auditing Viewer?action=AUDIT_VALUE&amp;DB=129&amp;ID1=91704710&amp;VALUEID=02101&amp;SDATE=200703&amp;PERIODTYPE=QTR_STD&amp;window=popup_no_bar&amp;width=385&amp;height=120&amp;START_MAXIMIZED=FALSE&amp;creator=factset&amp;display_string=Audit"}</definedName>
    <definedName name="_658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659__FDSAUDITLINK__" localSheetId="1" hidden="1">{"fdsup://Directions/FactSet Auditing Viewer?action=AUDIT_VALUE&amp;DB=129&amp;ID1=91704710&amp;VALUEID=01001&amp;SDATE=200703&amp;PERIODTYPE=QTR_STD&amp;window=popup_no_bar&amp;width=385&amp;height=120&amp;START_MAXIMIZED=FALSE&amp;creator=factset&amp;display_string=Audit"}</definedName>
    <definedName name="_659__FDSAUDITLINK__" localSheetId="20" hidden="1">{"fdsup://Directions/FactSet Auditing Viewer?action=AUDIT_VALUE&amp;DB=129&amp;ID1=91704710&amp;VALUEID=01001&amp;SDATE=200703&amp;PERIODTYPE=QTR_STD&amp;window=popup_no_bar&amp;width=385&amp;height=120&amp;START_MAXIMIZED=FALSE&amp;creator=factset&amp;display_string=Audit"}</definedName>
    <definedName name="_659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66__FDSAUDITLINK__" localSheetId="1" hidden="1">{"fdsup://directions/FAT Viewer?action=UPDATE&amp;creator=factset&amp;DYN_ARGS=TRUE&amp;DOC_NAME=FAT:FQL_AUDITING_CLIENT_TEMPLATE.FAT&amp;display_string=Audit&amp;VAR:KEY=YLMVGFEXID&amp;VAR:QUERY=RkZfU0FMRVMoTFRNUywwKQ==&amp;WINDOW=FIRST_POPUP&amp;HEIGHT=450&amp;WIDTH=450&amp;START_MAXIMIZED=FALS","E&amp;VAR:CALENDAR=FIVEDAY&amp;VAR:SYMBOL=ROST&amp;VAR:INDEX=0"}</definedName>
    <definedName name="_66__FDSAUDITLINK__" localSheetId="20" hidden="1">{"fdsup://Directions/FactSet Auditing Viewer?action=AUDIT_VALUE&amp;DB=129&amp;ID1=46612H40&amp;VALUEID=13040&amp;SDATE=200902&amp;PERIODTYPE=QTR_STD&amp;window=popup_no_bar&amp;width=385&amp;height=120&amp;START_MAXIMIZED=FALSE&amp;creator=factset&amp;display_string=Audit"}</definedName>
    <definedName name="_66__FDSAUDITLINK__" hidden="1">{"fdsup://directions/FAT Viewer?action=UPDATE&amp;creator=factset&amp;DYN_ARGS=TRUE&amp;DOC_NAME=FAT:FQL_AUDITING_CLIENT_TEMPLATE.FAT&amp;display_string=Audit&amp;VAR:KEY=YLMVGFEXID&amp;VAR:QUERY=RkZfU0FMRVMoTFRNUywwKQ==&amp;WINDOW=FIRST_POPUP&amp;HEIGHT=450&amp;WIDTH=450&amp;START_MAXIMIZED=FALS","E&amp;VAR:CALENDAR=FIVEDAY&amp;VAR:SYMBOL=ROST&amp;VAR:INDEX=0"}</definedName>
    <definedName name="_660__FDSAUDITLINK__" localSheetId="1" hidden="1">{"fdsup://Directions/FactSet Auditing Viewer?action=AUDIT_VALUE&amp;DB=129&amp;ID1=91704710&amp;VALUEID=13040&amp;SDATE=200703&amp;PERIODTYPE=QTR_STD&amp;window=popup_no_bar&amp;width=385&amp;height=120&amp;START_MAXIMIZED=FALSE&amp;creator=factset&amp;display_string=Audit"}</definedName>
    <definedName name="_660__FDSAUDITLINK__" localSheetId="20" hidden="1">{"fdsup://Directions/FactSet Auditing Viewer?action=AUDIT_VALUE&amp;DB=129&amp;ID1=91704710&amp;VALUEID=13040&amp;SDATE=200703&amp;PERIODTYPE=QTR_STD&amp;window=popup_no_bar&amp;width=385&amp;height=120&amp;START_MAXIMIZED=FALSE&amp;creator=factset&amp;display_string=Audit"}</definedName>
    <definedName name="_660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661__FDSAUDITLINK__" localSheetId="1" hidden="1">{"fdsup://Directions/FactSet Auditing Viewer?action=AUDIT_VALUE&amp;DB=129&amp;ID1=02553E10&amp;VALUEID=02101&amp;SDATE=200703&amp;PERIODTYPE=QTR_STD&amp;window=popup_no_bar&amp;width=385&amp;height=120&amp;START_MAXIMIZED=FALSE&amp;creator=factset&amp;display_string=Audit"}</definedName>
    <definedName name="_661__FDSAUDITLINK__" localSheetId="20" hidden="1">{"fdsup://Directions/FactSet Auditing Viewer?action=AUDIT_VALUE&amp;DB=129&amp;ID1=02553E10&amp;VALUEID=02101&amp;SDATE=200703&amp;PERIODTYPE=QTR_STD&amp;window=popup_no_bar&amp;width=385&amp;height=120&amp;START_MAXIMIZED=FALSE&amp;creator=factset&amp;display_string=Audit"}</definedName>
    <definedName name="_661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662__FDSAUDITLINK__" localSheetId="1" hidden="1">{"fdsup://Directions/FactSet Auditing Viewer?action=AUDIT_VALUE&amp;DB=129&amp;ID1=02553E10&amp;VALUEID=01001&amp;SDATE=200703&amp;PERIODTYPE=QTR_STD&amp;window=popup_no_bar&amp;width=385&amp;height=120&amp;START_MAXIMIZED=FALSE&amp;creator=factset&amp;display_string=Audit"}</definedName>
    <definedName name="_662__FDSAUDITLINK__" localSheetId="20" hidden="1">{"fdsup://Directions/FactSet Auditing Viewer?action=AUDIT_VALUE&amp;DB=129&amp;ID1=02553E10&amp;VALUEID=01001&amp;SDATE=200703&amp;PERIODTYPE=QTR_STD&amp;window=popup_no_bar&amp;width=385&amp;height=120&amp;START_MAXIMIZED=FALSE&amp;creator=factset&amp;display_string=Audit"}</definedName>
    <definedName name="_662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663__FDSAUDITLINK__" localSheetId="1" hidden="1">{"fdsup://Directions/FactSet Auditing Viewer?action=AUDIT_VALUE&amp;DB=129&amp;ID1=00786510&amp;VALUEID=02101&amp;SDATE=200703&amp;PERIODTYPE=QTR_STD&amp;window=popup_no_bar&amp;width=385&amp;height=120&amp;START_MAXIMIZED=FALSE&amp;creator=factset&amp;display_string=Audit"}</definedName>
    <definedName name="_663__FDSAUDITLINK__" localSheetId="20" hidden="1">{"fdsup://Directions/FactSet Auditing Viewer?action=AUDIT_VALUE&amp;DB=129&amp;ID1=00786510&amp;VALUEID=02101&amp;SDATE=200703&amp;PERIODTYPE=QTR_STD&amp;window=popup_no_bar&amp;width=385&amp;height=120&amp;START_MAXIMIZED=FALSE&amp;creator=factset&amp;display_string=Audit"}</definedName>
    <definedName name="_663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664__FDSAUDITLINK__" localSheetId="1" hidden="1">{"fdsup://Directions/FactSet Auditing Viewer?action=AUDIT_VALUE&amp;DB=129&amp;ID1=00786510&amp;VALUEID=01001&amp;SDATE=200703&amp;PERIODTYPE=QTR_STD&amp;window=popup_no_bar&amp;width=385&amp;height=120&amp;START_MAXIMIZED=FALSE&amp;creator=factset&amp;display_string=Audit"}</definedName>
    <definedName name="_664__FDSAUDITLINK__" localSheetId="20" hidden="1">{"fdsup://Directions/FactSet Auditing Viewer?action=AUDIT_VALUE&amp;DB=129&amp;ID1=00786510&amp;VALUEID=01001&amp;SDATE=200703&amp;PERIODTYPE=QTR_STD&amp;window=popup_no_bar&amp;width=385&amp;height=120&amp;START_MAXIMIZED=FALSE&amp;creator=factset&amp;display_string=Audit"}</definedName>
    <definedName name="_664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665__FDSAUDITLINK__" localSheetId="1" hidden="1">{"fdsup://Directions/FactSet Auditing Viewer?action=AUDIT_VALUE&amp;DB=129&amp;ID1=00786510&amp;VALUEID=13040&amp;SDATE=200703&amp;PERIODTYPE=QTR_STD&amp;window=popup_no_bar&amp;width=385&amp;height=120&amp;START_MAXIMIZED=FALSE&amp;creator=factset&amp;display_string=Audit"}</definedName>
    <definedName name="_665__FDSAUDITLINK__" localSheetId="20" hidden="1">{"fdsup://Directions/FactSet Auditing Viewer?action=AUDIT_VALUE&amp;DB=129&amp;ID1=00786510&amp;VALUEID=13040&amp;SDATE=200703&amp;PERIODTYPE=QTR_STD&amp;window=popup_no_bar&amp;width=385&amp;height=120&amp;START_MAXIMIZED=FALSE&amp;creator=factset&amp;display_string=Audit"}</definedName>
    <definedName name="_665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666__FDSAUDITLINK__" localSheetId="1" hidden="1">{"fdsup://Directions/FactSet Auditing Viewer?action=AUDIT_VALUE&amp;DB=129&amp;ID1=00289620&amp;VALUEID=02101&amp;SDATE=200703&amp;PERIODTYPE=QTR_STD&amp;window=popup_no_bar&amp;width=385&amp;height=120&amp;START_MAXIMIZED=FALSE&amp;creator=factset&amp;display_string=Audit"}</definedName>
    <definedName name="_666__FDSAUDITLINK__" localSheetId="20" hidden="1">{"fdsup://Directions/FactSet Auditing Viewer?action=AUDIT_VALUE&amp;DB=129&amp;ID1=00289620&amp;VALUEID=02101&amp;SDATE=200703&amp;PERIODTYPE=QTR_STD&amp;window=popup_no_bar&amp;width=385&amp;height=120&amp;START_MAXIMIZED=FALSE&amp;creator=factset&amp;display_string=Audit"}</definedName>
    <definedName name="_666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667__FDSAUDITLINK__" localSheetId="1" hidden="1">{"fdsup://Directions/FactSet Auditing Viewer?action=AUDIT_VALUE&amp;DB=129&amp;ID1=00289620&amp;VALUEID=01001&amp;SDATE=200703&amp;PERIODTYPE=QTR_STD&amp;window=popup_no_bar&amp;width=385&amp;height=120&amp;START_MAXIMIZED=FALSE&amp;creator=factset&amp;display_string=Audit"}</definedName>
    <definedName name="_667__FDSAUDITLINK__" localSheetId="20" hidden="1">{"fdsup://Directions/FactSet Auditing Viewer?action=AUDIT_VALUE&amp;DB=129&amp;ID1=00289620&amp;VALUEID=01001&amp;SDATE=200703&amp;PERIODTYPE=QTR_STD&amp;window=popup_no_bar&amp;width=385&amp;height=120&amp;START_MAXIMIZED=FALSE&amp;creator=factset&amp;display_string=Audit"}</definedName>
    <definedName name="_667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668__FDSAUDITLINK__" localSheetId="1" hidden="1">{"fdsup://Directions/FactSet Auditing Viewer?action=AUDIT_VALUE&amp;DB=129&amp;ID1=00289620&amp;VALUEID=13040&amp;SDATE=200703&amp;PERIODTYPE=QTR_STD&amp;window=popup_no_bar&amp;width=385&amp;height=120&amp;START_MAXIMIZED=FALSE&amp;creator=factset&amp;display_string=Audit"}</definedName>
    <definedName name="_668__FDSAUDITLINK__" localSheetId="20" hidden="1">{"fdsup://Directions/FactSet Auditing Viewer?action=AUDIT_VALUE&amp;DB=129&amp;ID1=00289620&amp;VALUEID=13040&amp;SDATE=200703&amp;PERIODTYPE=QTR_STD&amp;window=popup_no_bar&amp;width=385&amp;height=120&amp;START_MAXIMIZED=FALSE&amp;creator=factset&amp;display_string=Audit"}</definedName>
    <definedName name="_668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669__FDSAUDITLINK__" localSheetId="1" hidden="1">{"fdsup://Directions/FactSet Auditing Viewer?action=AUDIT_VALUE&amp;DB=129&amp;ID1=87416110&amp;VALUEID=02101&amp;SDATE=200702&amp;PERIODTYPE=QTR_STD&amp;window=popup_no_bar&amp;width=385&amp;height=120&amp;START_MAXIMIZED=FALSE&amp;creator=factset&amp;display_string=Audit"}</definedName>
    <definedName name="_669__FDSAUDITLINK__" localSheetId="20" hidden="1">{"fdsup://Directions/FactSet Auditing Viewer?action=AUDIT_VALUE&amp;DB=129&amp;ID1=87416110&amp;VALUEID=02101&amp;SDATE=200702&amp;PERIODTYPE=QTR_STD&amp;window=popup_no_bar&amp;width=385&amp;height=120&amp;START_MAXIMIZED=FALSE&amp;creator=factset&amp;display_string=Audit"}</definedName>
    <definedName name="_669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67__FDSAUDITLINK__" localSheetId="1" hidden="1">{"fdsup://directions/FAT Viewer?action=UPDATE&amp;creator=factset&amp;DYN_ARGS=TRUE&amp;DOC_NAME=FAT:FQL_AUDITING_CLIENT_TEMPLATE.FAT&amp;display_string=Audit&amp;VAR:KEY=YFSFKLKVYJ&amp;VAR:QUERY=RkZfU0FMRVMoTFRNUywwKQ==&amp;WINDOW=FIRST_POPUP&amp;HEIGHT=450&amp;WIDTH=450&amp;START_MAXIMIZED=FALS","E&amp;VAR:CALENDAR=FIVEDAY&amp;VAR:SYMBOL=WTSLA&amp;VAR:INDEX=0"}</definedName>
    <definedName name="_67__FDSAUDITLINK__" localSheetId="20" hidden="1">{"fdsup://Directions/FactSet Auditing Viewer?action=AUDIT_VALUE&amp;DB=129&amp;ID1=36476010&amp;VALUEID=02101&amp;SDATE=200902&amp;PERIODTYPE=QTR_STD&amp;window=popup_no_bar&amp;width=385&amp;height=120&amp;START_MAXIMIZED=FALSE&amp;creator=factset&amp;display_string=Audit"}</definedName>
    <definedName name="_67__FDSAUDITLINK__" hidden="1">{"fdsup://directions/FAT Viewer?action=UPDATE&amp;creator=factset&amp;DYN_ARGS=TRUE&amp;DOC_NAME=FAT:FQL_AUDITING_CLIENT_TEMPLATE.FAT&amp;display_string=Audit&amp;VAR:KEY=YFSFKLKVYJ&amp;VAR:QUERY=RkZfU0FMRVMoTFRNUywwKQ==&amp;WINDOW=FIRST_POPUP&amp;HEIGHT=450&amp;WIDTH=450&amp;START_MAXIMIZED=FALS","E&amp;VAR:CALENDAR=FIVEDAY&amp;VAR:SYMBOL=WTSLA&amp;VAR:INDEX=0"}</definedName>
    <definedName name="_670__FDSAUDITLINK__" localSheetId="1" hidden="1">{"fdsup://Directions/FactSet Auditing Viewer?action=AUDIT_VALUE&amp;DB=129&amp;ID1=87416110&amp;VALUEID=01001&amp;SDATE=200702&amp;PERIODTYPE=QTR_STD&amp;window=popup_no_bar&amp;width=385&amp;height=120&amp;START_MAXIMIZED=FALSE&amp;creator=factset&amp;display_string=Audit"}</definedName>
    <definedName name="_670__FDSAUDITLINK__" localSheetId="20" hidden="1">{"fdsup://Directions/FactSet Auditing Viewer?action=AUDIT_VALUE&amp;DB=129&amp;ID1=87416110&amp;VALUEID=01001&amp;SDATE=200702&amp;PERIODTYPE=QTR_STD&amp;window=popup_no_bar&amp;width=385&amp;height=120&amp;START_MAXIMIZED=FALSE&amp;creator=factset&amp;display_string=Audit"}</definedName>
    <definedName name="_670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671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671__FDSAUDITLINK__" localSheetId="20" hidden="1">{"fdsup://Directions/FactSet Auditing Viewer?action=AUDIT_VALUE&amp;DB=129&amp;ID1=53271610&amp;VALUEID=02101&amp;SDATE=200702&amp;PERIODTYPE=QTR_STD&amp;window=popup_no_bar&amp;width=385&amp;height=120&amp;START_MAXIMIZED=FALSE&amp;creator=factset&amp;display_string=Audit"}</definedName>
    <definedName name="_671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672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672__FDSAUDITLINK__" localSheetId="20" hidden="1">{"fdsup://Directions/FactSet Auditing Viewer?action=AUDIT_VALUE&amp;DB=129&amp;ID1=53271610&amp;VALUEID=01001&amp;SDATE=200702&amp;PERIODTYPE=QTR_STD&amp;window=popup_no_bar&amp;width=385&amp;height=120&amp;START_MAXIMIZED=FALSE&amp;creator=factset&amp;display_string=Audit"}</definedName>
    <definedName name="_672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673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673__FDSAUDITLINK__" localSheetId="20" hidden="1">{"fdsup://Directions/FactSet Auditing Viewer?action=AUDIT_VALUE&amp;DB=129&amp;ID1=53271610&amp;VALUEID=13040&amp;SDATE=200702&amp;PERIODTYPE=QTR_STD&amp;window=popup_no_bar&amp;width=385&amp;height=120&amp;START_MAXIMIZED=FALSE&amp;creator=factset&amp;display_string=Audit"}</definedName>
    <definedName name="_673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674__FDSAUDITLINK__" localSheetId="1" hidden="1">{"fdsup://Directions/FactSet Auditing Viewer?action=AUDIT_VALUE&amp;DB=129&amp;ID1=46612H40&amp;VALUEID=02101&amp;SDATE=200702&amp;PERIODTYPE=QTR_STD&amp;window=popup_no_bar&amp;width=385&amp;height=120&amp;START_MAXIMIZED=FALSE&amp;creator=factset&amp;display_string=Audit"}</definedName>
    <definedName name="_674__FDSAUDITLINK__" localSheetId="20" hidden="1">{"fdsup://Directions/FactSet Auditing Viewer?action=AUDIT_VALUE&amp;DB=129&amp;ID1=46612H40&amp;VALUEID=02101&amp;SDATE=200702&amp;PERIODTYPE=QTR_STD&amp;window=popup_no_bar&amp;width=385&amp;height=120&amp;START_MAXIMIZED=FALSE&amp;creator=factset&amp;display_string=Audit"}</definedName>
    <definedName name="_674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675__FDSAUDITLINK__" localSheetId="1" hidden="1">{"fdsup://Directions/FactSet Auditing Viewer?action=AUDIT_VALUE&amp;DB=129&amp;ID1=46612H40&amp;VALUEID=01001&amp;SDATE=200702&amp;PERIODTYPE=QTR_STD&amp;window=popup_no_bar&amp;width=385&amp;height=120&amp;START_MAXIMIZED=FALSE&amp;creator=factset&amp;display_string=Audit"}</definedName>
    <definedName name="_675__FDSAUDITLINK__" localSheetId="20" hidden="1">{"fdsup://Directions/FactSet Auditing Viewer?action=AUDIT_VALUE&amp;DB=129&amp;ID1=46612H40&amp;VALUEID=01001&amp;SDATE=200702&amp;PERIODTYPE=QTR_STD&amp;window=popup_no_bar&amp;width=385&amp;height=120&amp;START_MAXIMIZED=FALSE&amp;creator=factset&amp;display_string=Audit"}</definedName>
    <definedName name="_675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676__FDSAUDITLINK__" localSheetId="1" hidden="1">{"fdsup://Directions/FactSet Auditing Viewer?action=AUDIT_VALUE&amp;DB=129&amp;ID1=46612H40&amp;VALUEID=13040&amp;SDATE=200702&amp;PERIODTYPE=QTR_STD&amp;window=popup_no_bar&amp;width=385&amp;height=120&amp;START_MAXIMIZED=FALSE&amp;creator=factset&amp;display_string=Audit"}</definedName>
    <definedName name="_676__FDSAUDITLINK__" localSheetId="20" hidden="1">{"fdsup://Directions/FactSet Auditing Viewer?action=AUDIT_VALUE&amp;DB=129&amp;ID1=46612H40&amp;VALUEID=13040&amp;SDATE=200702&amp;PERIODTYPE=QTR_STD&amp;window=popup_no_bar&amp;width=385&amp;height=120&amp;START_MAXIMIZED=FALSE&amp;creator=factset&amp;display_string=Audit"}</definedName>
    <definedName name="_676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677__FDSAUDITLINK__" localSheetId="1" hidden="1">{"fdsup://Directions/FactSet Auditing Viewer?action=AUDIT_VALUE&amp;DB=129&amp;ID1=36476010&amp;VALUEID=02101&amp;SDATE=200702&amp;PERIODTYPE=QTR_STD&amp;window=popup_no_bar&amp;width=385&amp;height=120&amp;START_MAXIMIZED=FALSE&amp;creator=factset&amp;display_string=Audit"}</definedName>
    <definedName name="_677__FDSAUDITLINK__" localSheetId="20" hidden="1">{"fdsup://Directions/FactSet Auditing Viewer?action=AUDIT_VALUE&amp;DB=129&amp;ID1=36476010&amp;VALUEID=02101&amp;SDATE=200702&amp;PERIODTYPE=QTR_STD&amp;window=popup_no_bar&amp;width=385&amp;height=120&amp;START_MAXIMIZED=FALSE&amp;creator=factset&amp;display_string=Audit"}</definedName>
    <definedName name="_677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678__FDSAUDITLINK__" localSheetId="1" hidden="1">{"fdsup://Directions/FactSet Auditing Viewer?action=AUDIT_VALUE&amp;DB=129&amp;ID1=36476010&amp;VALUEID=01001&amp;SDATE=200702&amp;PERIODTYPE=QTR_STD&amp;window=popup_no_bar&amp;width=385&amp;height=120&amp;START_MAXIMIZED=FALSE&amp;creator=factset&amp;display_string=Audit"}</definedName>
    <definedName name="_678__FDSAUDITLINK__" localSheetId="20" hidden="1">{"fdsup://Directions/FactSet Auditing Viewer?action=AUDIT_VALUE&amp;DB=129&amp;ID1=36476010&amp;VALUEID=01001&amp;SDATE=200702&amp;PERIODTYPE=QTR_STD&amp;window=popup_no_bar&amp;width=385&amp;height=120&amp;START_MAXIMIZED=FALSE&amp;creator=factset&amp;display_string=Audit"}</definedName>
    <definedName name="_678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679__FDSAUDITLINK__" localSheetId="1" hidden="1">{"fdsup://Directions/FactSet Auditing Viewer?action=AUDIT_VALUE&amp;DB=129&amp;ID1=03611510&amp;VALUEID=02101&amp;SDATE=200702&amp;PERIODTYPE=QTR_STD&amp;window=popup_no_bar&amp;width=385&amp;height=120&amp;START_MAXIMIZED=FALSE&amp;creator=factset&amp;display_string=Audit"}</definedName>
    <definedName name="_679__FDSAUDITLINK__" localSheetId="20" hidden="1">{"fdsup://Directions/FactSet Auditing Viewer?action=AUDIT_VALUE&amp;DB=129&amp;ID1=03611510&amp;VALUEID=02101&amp;SDATE=200702&amp;PERIODTYPE=QTR_STD&amp;window=popup_no_bar&amp;width=385&amp;height=120&amp;START_MAXIMIZED=FALSE&amp;creator=factset&amp;display_string=Audit"}</definedName>
    <definedName name="_67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68__FDSAUDITLINK__" localSheetId="1" hidden="1">{"fdsup://directions/FAT Viewer?action=UPDATE&amp;creator=factset&amp;DYN_ARGS=TRUE&amp;DOC_NAME=FAT:FQL_AUDITING_CLIENT_TEMPLATE.FAT&amp;display_string=Audit&amp;VAR:KEY=EJALUTQJMD&amp;VAR:QUERY=RkZfU0FMRVMoTFRNUywwKQ==&amp;WINDOW=FIRST_POPUP&amp;HEIGHT=450&amp;WIDTH=450&amp;START_MAXIMIZED=FALS","E&amp;VAR:CALENDAR=FIVEDAY&amp;VAR:SYMBOL=URBN&amp;VAR:INDEX=0"}</definedName>
    <definedName name="_68__FDSAUDITLINK__" localSheetId="20" hidden="1">{"fdsup://Directions/FactSet Auditing Viewer?action=AUDIT_VALUE&amp;DB=129&amp;ID1=36476010&amp;VALUEID=01001&amp;SDATE=200902&amp;PERIODTYPE=QTR_STD&amp;window=popup_no_bar&amp;width=385&amp;height=120&amp;START_MAXIMIZED=FALSE&amp;creator=factset&amp;display_string=Audit"}</definedName>
    <definedName name="_68__FDSAUDITLINK__" hidden="1">{"fdsup://directions/FAT Viewer?action=UPDATE&amp;creator=factset&amp;DYN_ARGS=TRUE&amp;DOC_NAME=FAT:FQL_AUDITING_CLIENT_TEMPLATE.FAT&amp;display_string=Audit&amp;VAR:KEY=EJALUTQJMD&amp;VAR:QUERY=RkZfU0FMRVMoTFRNUywwKQ==&amp;WINDOW=FIRST_POPUP&amp;HEIGHT=450&amp;WIDTH=450&amp;START_MAXIMIZED=FALS","E&amp;VAR:CALENDAR=FIVEDAY&amp;VAR:SYMBOL=URBN&amp;VAR:INDEX=0"}</definedName>
    <definedName name="_680__FDSAUDITLINK__" localSheetId="1" hidden="1">{"fdsup://Directions/FactSet Auditing Viewer?action=AUDIT_VALUE&amp;DB=129&amp;ID1=03611510&amp;VALUEID=01001&amp;SDATE=200702&amp;PERIODTYPE=QTR_STD&amp;window=popup_no_bar&amp;width=385&amp;height=120&amp;START_MAXIMIZED=FALSE&amp;creator=factset&amp;display_string=Audit"}</definedName>
    <definedName name="_680__FDSAUDITLINK__" localSheetId="20" hidden="1">{"fdsup://Directions/FactSet Auditing Viewer?action=AUDIT_VALUE&amp;DB=129&amp;ID1=03611510&amp;VALUEID=01001&amp;SDATE=200702&amp;PERIODTYPE=QTR_STD&amp;window=popup_no_bar&amp;width=385&amp;height=120&amp;START_MAXIMIZED=FALSE&amp;creator=factset&amp;display_string=Audit"}</definedName>
    <definedName name="_680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681__FDSAUDITLINK__" localSheetId="1" hidden="1">{"fdsup://Directions/FactSet Auditing Viewer?action=AUDIT_VALUE&amp;DB=129&amp;ID1=03611510&amp;VALUEID=13040&amp;SDATE=200702&amp;PERIODTYPE=QTR_STD&amp;window=popup_no_bar&amp;width=385&amp;height=120&amp;START_MAXIMIZED=FALSE&amp;creator=factset&amp;display_string=Audit"}</definedName>
    <definedName name="_681__FDSAUDITLINK__" localSheetId="20" hidden="1">{"fdsup://Directions/FactSet Auditing Viewer?action=AUDIT_VALUE&amp;DB=129&amp;ID1=03611510&amp;VALUEID=13040&amp;SDATE=200702&amp;PERIODTYPE=QTR_STD&amp;window=popup_no_bar&amp;width=385&amp;height=120&amp;START_MAXIMIZED=FALSE&amp;creator=factset&amp;display_string=Audit"}</definedName>
    <definedName name="_681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682__FDSAUDITLINK__" localSheetId="1" hidden="1">{"fdsup://Directions/FactSet Auditing Viewer?action=AUDIT_VALUE&amp;DB=129&amp;ID1=16890510&amp;VALUEID=02101&amp;SDATE=200702&amp;PERIODTYPE=QTR_STD&amp;window=popup_no_bar&amp;width=385&amp;height=120&amp;START_MAXIMIZED=FALSE&amp;creator=factset&amp;display_string=Audit"}</definedName>
    <definedName name="_682__FDSAUDITLINK__" localSheetId="20" hidden="1">{"fdsup://Directions/FactSet Auditing Viewer?action=AUDIT_VALUE&amp;DB=129&amp;ID1=16890510&amp;VALUEID=02101&amp;SDATE=200702&amp;PERIODTYPE=QTR_STD&amp;window=popup_no_bar&amp;width=385&amp;height=120&amp;START_MAXIMIZED=FALSE&amp;creator=factset&amp;display_string=Audit"}</definedName>
    <definedName name="_682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683__FDSAUDITLINK__" localSheetId="1" hidden="1">{"fdsup://Directions/FactSet Auditing Viewer?action=AUDIT_VALUE&amp;DB=129&amp;ID1=16890510&amp;VALUEID=01001&amp;SDATE=200702&amp;PERIODTYPE=QTR_STD&amp;window=popup_no_bar&amp;width=385&amp;height=120&amp;START_MAXIMIZED=FALSE&amp;creator=factset&amp;display_string=Audit"}</definedName>
    <definedName name="_683__FDSAUDITLINK__" localSheetId="20" hidden="1">{"fdsup://Directions/FactSet Auditing Viewer?action=AUDIT_VALUE&amp;DB=129&amp;ID1=16890510&amp;VALUEID=01001&amp;SDATE=200702&amp;PERIODTYPE=QTR_STD&amp;window=popup_no_bar&amp;width=385&amp;height=120&amp;START_MAXIMIZED=FALSE&amp;creator=factset&amp;display_string=Audit"}</definedName>
    <definedName name="_683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684__FDSAUDITLINK__" localSheetId="1" hidden="1">{"fdsup://Directions/FactSet Auditing Viewer?action=AUDIT_VALUE&amp;DB=129&amp;ID1=91704710&amp;VALUEID=02101&amp;SDATE=200702&amp;PERIODTYPE=QTR_STD&amp;window=popup_no_bar&amp;width=385&amp;height=120&amp;START_MAXIMIZED=FALSE&amp;creator=factset&amp;display_string=Audit"}</definedName>
    <definedName name="_684__FDSAUDITLINK__" localSheetId="20" hidden="1">{"fdsup://Directions/FactSet Auditing Viewer?action=AUDIT_VALUE&amp;DB=129&amp;ID1=91704710&amp;VALUEID=02101&amp;SDATE=200702&amp;PERIODTYPE=QTR_STD&amp;window=popup_no_bar&amp;width=385&amp;height=120&amp;START_MAXIMIZED=FALSE&amp;creator=factset&amp;display_string=Audit"}</definedName>
    <definedName name="_684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685__FDSAUDITLINK__" localSheetId="1" hidden="1">{"fdsup://Directions/FactSet Auditing Viewer?action=AUDIT_VALUE&amp;DB=129&amp;ID1=91704710&amp;VALUEID=01001&amp;SDATE=200702&amp;PERIODTYPE=QTR_STD&amp;window=popup_no_bar&amp;width=385&amp;height=120&amp;START_MAXIMIZED=FALSE&amp;creator=factset&amp;display_string=Audit"}</definedName>
    <definedName name="_685__FDSAUDITLINK__" localSheetId="20" hidden="1">{"fdsup://Directions/FactSet Auditing Viewer?action=AUDIT_VALUE&amp;DB=129&amp;ID1=91704710&amp;VALUEID=01001&amp;SDATE=200702&amp;PERIODTYPE=QTR_STD&amp;window=popup_no_bar&amp;width=385&amp;height=120&amp;START_MAXIMIZED=FALSE&amp;creator=factset&amp;display_string=Audit"}</definedName>
    <definedName name="_685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686__FDSAUDITLINK__" localSheetId="1" hidden="1">{"fdsup://Directions/FactSet Auditing Viewer?action=AUDIT_VALUE&amp;DB=129&amp;ID1=91704710&amp;VALUEID=13040&amp;SDATE=200702&amp;PERIODTYPE=QTR_STD&amp;window=popup_no_bar&amp;width=385&amp;height=120&amp;START_MAXIMIZED=FALSE&amp;creator=factset&amp;display_string=Audit"}</definedName>
    <definedName name="_686__FDSAUDITLINK__" localSheetId="20" hidden="1">{"fdsup://Directions/FactSet Auditing Viewer?action=AUDIT_VALUE&amp;DB=129&amp;ID1=91704710&amp;VALUEID=13040&amp;SDATE=200702&amp;PERIODTYPE=QTR_STD&amp;window=popup_no_bar&amp;width=385&amp;height=120&amp;START_MAXIMIZED=FALSE&amp;creator=factset&amp;display_string=Audit"}</definedName>
    <definedName name="_686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687__FDSAUDITLINK__" localSheetId="1" hidden="1">{"fdsup://Directions/FactSet Auditing Viewer?action=AUDIT_VALUE&amp;DB=129&amp;ID1=02553E10&amp;VALUEID=02101&amp;SDATE=200702&amp;PERIODTYPE=QTR_STD&amp;window=popup_no_bar&amp;width=385&amp;height=120&amp;START_MAXIMIZED=FALSE&amp;creator=factset&amp;display_string=Audit"}</definedName>
    <definedName name="_687__FDSAUDITLINK__" localSheetId="20" hidden="1">{"fdsup://Directions/FactSet Auditing Viewer?action=AUDIT_VALUE&amp;DB=129&amp;ID1=02553E10&amp;VALUEID=02101&amp;SDATE=200702&amp;PERIODTYPE=QTR_STD&amp;window=popup_no_bar&amp;width=385&amp;height=120&amp;START_MAXIMIZED=FALSE&amp;creator=factset&amp;display_string=Audit"}</definedName>
    <definedName name="_687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688__FDSAUDITLINK__" localSheetId="1" hidden="1">{"fdsup://Directions/FactSet Auditing Viewer?action=AUDIT_VALUE&amp;DB=129&amp;ID1=02553E10&amp;VALUEID=01001&amp;SDATE=200702&amp;PERIODTYPE=QTR_STD&amp;window=popup_no_bar&amp;width=385&amp;height=120&amp;START_MAXIMIZED=FALSE&amp;creator=factset&amp;display_string=Audit"}</definedName>
    <definedName name="_688__FDSAUDITLINK__" localSheetId="20" hidden="1">{"fdsup://Directions/FactSet Auditing Viewer?action=AUDIT_VALUE&amp;DB=129&amp;ID1=02553E10&amp;VALUEID=01001&amp;SDATE=200702&amp;PERIODTYPE=QTR_STD&amp;window=popup_no_bar&amp;width=385&amp;height=120&amp;START_MAXIMIZED=FALSE&amp;creator=factset&amp;display_string=Audit"}</definedName>
    <definedName name="_688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689__FDSAUDITLINK__" localSheetId="1" hidden="1">{"fdsup://Directions/FactSet Auditing Viewer?action=AUDIT_VALUE&amp;DB=129&amp;ID1=02553E10&amp;VALUEID=13040&amp;SDATE=200702&amp;PERIODTYPE=QTR_STD&amp;window=popup_no_bar&amp;width=385&amp;height=120&amp;START_MAXIMIZED=FALSE&amp;creator=factset&amp;display_string=Audit"}</definedName>
    <definedName name="_689__FDSAUDITLINK__" localSheetId="20" hidden="1">{"fdsup://Directions/FactSet Auditing Viewer?action=AUDIT_VALUE&amp;DB=129&amp;ID1=02553E10&amp;VALUEID=13040&amp;SDATE=200702&amp;PERIODTYPE=QTR_STD&amp;window=popup_no_bar&amp;width=385&amp;height=120&amp;START_MAXIMIZED=FALSE&amp;creator=factset&amp;display_string=Audit"}</definedName>
    <definedName name="_689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69__FDSAUDITLINK__" localSheetId="1" hidden="1">{"fdsup://directions/FAT Viewer?action=UPDATE&amp;creator=factset&amp;DYN_ARGS=TRUE&amp;DOC_NAME=FAT:FQL_AUDITING_CLIENT_TEMPLATE.FAT&amp;display_string=Audit&amp;VAR:KEY=CBGXQHEPQN&amp;VAR:QUERY=RkZfTkVUX0RFQlQoUVRSLDAp&amp;WINDOW=FIRST_POPUP&amp;HEIGHT=450&amp;WIDTH=450&amp;START_MAXIMIZED=FALS","E&amp;VAR:CALENDAR=FIVEDAY&amp;VAR:SYMBOL=TWB&amp;VAR:INDEX=0"}</definedName>
    <definedName name="_69__FDSAUDITLINK__" localSheetId="20" hidden="1">{"fdsup://Directions/FactSet Auditing Viewer?action=AUDIT_VALUE&amp;DB=129&amp;ID1=36476010&amp;VALUEID=13040&amp;SDATE=200902&amp;PERIODTYPE=QTR_STD&amp;window=popup_no_bar&amp;width=385&amp;height=120&amp;START_MAXIMIZED=FALSE&amp;creator=factset&amp;display_string=Audit"}</definedName>
    <definedName name="_69__FDSAUDITLINK__" hidden="1">{"fdsup://directions/FAT Viewer?action=UPDATE&amp;creator=factset&amp;DYN_ARGS=TRUE&amp;DOC_NAME=FAT:FQL_AUDITING_CLIENT_TEMPLATE.FAT&amp;display_string=Audit&amp;VAR:KEY=CBGXQHEPQN&amp;VAR:QUERY=RkZfTkVUX0RFQlQoUVRSLDAp&amp;WINDOW=FIRST_POPUP&amp;HEIGHT=450&amp;WIDTH=450&amp;START_MAXIMIZED=FALS","E&amp;VAR:CALENDAR=FIVEDAY&amp;VAR:SYMBOL=TWB&amp;VAR:INDEX=0"}</definedName>
    <definedName name="_690__FDSAUDITLINK__" localSheetId="1" hidden="1">{"fdsup://Directions/FactSet Auditing Viewer?action=AUDIT_VALUE&amp;DB=129&amp;ID1=00786510&amp;VALUEID=02101&amp;SDATE=200702&amp;PERIODTYPE=QTR_STD&amp;window=popup_no_bar&amp;width=385&amp;height=120&amp;START_MAXIMIZED=FALSE&amp;creator=factset&amp;display_string=Audit"}</definedName>
    <definedName name="_690__FDSAUDITLINK__" localSheetId="20" hidden="1">{"fdsup://Directions/FactSet Auditing Viewer?action=AUDIT_VALUE&amp;DB=129&amp;ID1=00786510&amp;VALUEID=02101&amp;SDATE=200702&amp;PERIODTYPE=QTR_STD&amp;window=popup_no_bar&amp;width=385&amp;height=120&amp;START_MAXIMIZED=FALSE&amp;creator=factset&amp;display_string=Audit"}</definedName>
    <definedName name="_690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691__FDSAUDITLINK__" localSheetId="1" hidden="1">{"fdsup://Directions/FactSet Auditing Viewer?action=AUDIT_VALUE&amp;DB=129&amp;ID1=00786510&amp;VALUEID=01001&amp;SDATE=200702&amp;PERIODTYPE=QTR_STD&amp;window=popup_no_bar&amp;width=385&amp;height=120&amp;START_MAXIMIZED=FALSE&amp;creator=factset&amp;display_string=Audit"}</definedName>
    <definedName name="_691__FDSAUDITLINK__" localSheetId="20" hidden="1">{"fdsup://Directions/FactSet Auditing Viewer?action=AUDIT_VALUE&amp;DB=129&amp;ID1=00786510&amp;VALUEID=01001&amp;SDATE=200702&amp;PERIODTYPE=QTR_STD&amp;window=popup_no_bar&amp;width=385&amp;height=120&amp;START_MAXIMIZED=FALSE&amp;creator=factset&amp;display_string=Audit"}</definedName>
    <definedName name="_691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692__FDSAUDITLINK__" localSheetId="1" hidden="1">{"fdsup://Directions/FactSet Auditing Viewer?action=AUDIT_VALUE&amp;DB=129&amp;ID1=00786510&amp;VALUEID=13040&amp;SDATE=200702&amp;PERIODTYPE=QTR_STD&amp;window=popup_no_bar&amp;width=385&amp;height=120&amp;START_MAXIMIZED=FALSE&amp;creator=factset&amp;display_string=Audit"}</definedName>
    <definedName name="_692__FDSAUDITLINK__" localSheetId="20" hidden="1">{"fdsup://Directions/FactSet Auditing Viewer?action=AUDIT_VALUE&amp;DB=129&amp;ID1=00786510&amp;VALUEID=13040&amp;SDATE=200702&amp;PERIODTYPE=QTR_STD&amp;window=popup_no_bar&amp;width=385&amp;height=120&amp;START_MAXIMIZED=FALSE&amp;creator=factset&amp;display_string=Audit"}</definedName>
    <definedName name="_692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693__FDSAUDITLINK__" localSheetId="1" hidden="1">{"fdsup://Directions/FactSet Auditing Viewer?action=AUDIT_VALUE&amp;DB=129&amp;ID1=00289620&amp;VALUEID=02101&amp;SDATE=200702&amp;PERIODTYPE=QTR_STD&amp;window=popup_no_bar&amp;width=385&amp;height=120&amp;START_MAXIMIZED=FALSE&amp;creator=factset&amp;display_string=Audit"}</definedName>
    <definedName name="_693__FDSAUDITLINK__" localSheetId="20" hidden="1">{"fdsup://Directions/FactSet Auditing Viewer?action=AUDIT_VALUE&amp;DB=129&amp;ID1=00289620&amp;VALUEID=02101&amp;SDATE=200702&amp;PERIODTYPE=QTR_STD&amp;window=popup_no_bar&amp;width=385&amp;height=120&amp;START_MAXIMIZED=FALSE&amp;creator=factset&amp;display_string=Audit"}</definedName>
    <definedName name="_693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694__FDSAUDITLINK__" localSheetId="1" hidden="1">{"fdsup://Directions/FactSet Auditing Viewer?action=AUDIT_VALUE&amp;DB=129&amp;ID1=00289620&amp;VALUEID=01001&amp;SDATE=200702&amp;PERIODTYPE=QTR_STD&amp;window=popup_no_bar&amp;width=385&amp;height=120&amp;START_MAXIMIZED=FALSE&amp;creator=factset&amp;display_string=Audit"}</definedName>
    <definedName name="_694__FDSAUDITLINK__" localSheetId="20" hidden="1">{"fdsup://Directions/FactSet Auditing Viewer?action=AUDIT_VALUE&amp;DB=129&amp;ID1=00289620&amp;VALUEID=01001&amp;SDATE=200702&amp;PERIODTYPE=QTR_STD&amp;window=popup_no_bar&amp;width=385&amp;height=120&amp;START_MAXIMIZED=FALSE&amp;creator=factset&amp;display_string=Audit"}</definedName>
    <definedName name="_694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695__FDSAUDITLINK__" localSheetId="1" hidden="1">{"fdsup://Directions/FactSet Auditing Viewer?action=AUDIT_VALUE&amp;DB=129&amp;ID1=87416110&amp;VALUEID=02101&amp;SDATE=200701&amp;PERIODTYPE=QTR_STD&amp;window=popup_no_bar&amp;width=385&amp;height=120&amp;START_MAXIMIZED=FALSE&amp;creator=factset&amp;display_string=Audit"}</definedName>
    <definedName name="_695__FDSAUDITLINK__" localSheetId="20" hidden="1">{"fdsup://Directions/FactSet Auditing Viewer?action=AUDIT_VALUE&amp;DB=129&amp;ID1=87416110&amp;VALUEID=02101&amp;SDATE=200701&amp;PERIODTYPE=QTR_STD&amp;window=popup_no_bar&amp;width=385&amp;height=120&amp;START_MAXIMIZED=FALSE&amp;creator=factset&amp;display_string=Audit"}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localSheetId="1" hidden="1">{"fdsup://Directions/FactSet Auditing Viewer?action=AUDIT_VALUE&amp;DB=129&amp;ID1=87416110&amp;VALUEID=01001&amp;SDATE=200701&amp;PERIODTYPE=QTR_STD&amp;window=popup_no_bar&amp;width=385&amp;height=120&amp;START_MAXIMIZED=FALSE&amp;creator=factset&amp;display_string=Audit"}</definedName>
    <definedName name="_696__FDSAUDITLINK__" localSheetId="20" hidden="1">{"fdsup://Directions/FactSet Auditing Viewer?action=AUDIT_VALUE&amp;DB=129&amp;ID1=87416110&amp;VALUEID=01001&amp;SDATE=200701&amp;PERIODTYPE=QTR_STD&amp;window=popup_no_bar&amp;width=385&amp;height=120&amp;START_MAXIMIZED=FALSE&amp;creator=factset&amp;display_string=Audit"}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697__FDSAUDITLINK__" localSheetId="20" hidden="1">{"fdsup://Directions/FactSet Auditing Viewer?action=AUDIT_VALUE&amp;DB=129&amp;ID1=53271610&amp;VALUEID=02101&amp;SDATE=200701&amp;PERIODTYPE=QTR_STD&amp;window=popup_no_bar&amp;width=385&amp;height=120&amp;START_MAXIMIZED=FALSE&amp;creator=factset&amp;display_string=Audit"}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698__FDSAUDITLINK__" localSheetId="20" hidden="1">{"fdsup://Directions/FactSet Auditing Viewer?action=AUDIT_VALUE&amp;DB=129&amp;ID1=53271610&amp;VALUEID=01001&amp;SDATE=200701&amp;PERIODTYPE=QTR_STD&amp;window=popup_no_bar&amp;width=385&amp;height=120&amp;START_MAXIMIZED=FALSE&amp;creator=factset&amp;display_string=Audit"}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699__FDSAUDITLINK__" localSheetId="20" hidden="1">{"fdsup://Directions/FactSet Auditing Viewer?action=AUDIT_VALUE&amp;DB=129&amp;ID1=53271610&amp;VALUEID=13040&amp;SDATE=200701&amp;PERIODTYPE=QTR_STD&amp;window=popup_no_bar&amp;width=385&amp;height=120&amp;START_MAXIMIZED=FALSE&amp;creator=factset&amp;display_string=Audit"}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localSheetId="1" hidden="1">{"fdsup://directions/FAT Viewer?action=UPDATE&amp;creator=factset&amp;DYN_ARGS=TRUE&amp;DOC_NAME=FAT:FQL_AUDITING_CLIENT_TEMPLATE.FAT&amp;display_string=Audit&amp;VAR:KEY=WZUTSVQHSX&amp;VAR:QUERY=RkZfRU5UUlBSX1ZBTF9FQklUREFfT1BFUihBTk4sMCk=&amp;WINDOW=FIRST_POPUP&amp;HEIGHT=450&amp;WIDTH=450&amp;","START_MAXIMIZED=FALSE&amp;VAR:CALENDAR=FIVEDAY&amp;VAR:SYMBOL=PLCE&amp;VAR:INDEX=0"}</definedName>
    <definedName name="_7__FDSAUDITLINK__" localSheetId="20" hidden="1">{"fdsup://Directions/FactSet Auditing Viewer?action=AUDIT_VALUE&amp;DB=129&amp;ID1=46612H40&amp;VALUEID=13040&amp;SDATE=201001&amp;PERIODTYPE=QTR_STD&amp;window=popup_no_bar&amp;width=385&amp;height=120&amp;START_MAXIMIZED=FALSE&amp;creator=factset&amp;display_string=Audit"}</definedName>
    <definedName name="_7__FDSAUDITLINK__" hidden="1">{"fdsup://directions/FAT Viewer?action=UPDATE&amp;creator=factset&amp;DYN_ARGS=TRUE&amp;DOC_NAME=FAT:FQL_AUDITING_CLIENT_TEMPLATE.FAT&amp;display_string=Audit&amp;VAR:KEY=WZUTSVQHSX&amp;VAR:QUERY=RkZfRU5UUlBSX1ZBTF9FQklUREFfT1BFUihBTk4sMCk=&amp;WINDOW=FIRST_POPUP&amp;HEIGHT=450&amp;WIDTH=450&amp;","START_MAXIMIZED=FALSE&amp;VAR:CALENDAR=FIVEDAY&amp;VAR:SYMBOL=PLCE&amp;VAR:INDEX=0"}</definedName>
    <definedName name="_70__FDSAUDITLINK__" localSheetId="1" hidden="1">{"fdsup://directions/FAT Viewer?action=UPDATE&amp;creator=factset&amp;DYN_ARGS=TRUE&amp;DOC_NAME=FAT:FQL_AUDITING_CLIENT_TEMPLATE.FAT&amp;display_string=Audit&amp;VAR:KEY=SJOXQDMTSL&amp;VAR:QUERY=RkZfU0FMRVMoTFRNUywwKQ==&amp;WINDOW=FIRST_POPUP&amp;HEIGHT=450&amp;WIDTH=450&amp;START_MAXIMIZED=FALS","E&amp;VAR:CALENDAR=FIVEDAY&amp;VAR:SYMBOL=TWB&amp;VAR:INDEX=0"}</definedName>
    <definedName name="_70__FDSAUDITLINK__" localSheetId="20" hidden="1">{"fdsup://Directions/FactSet Auditing Viewer?action=AUDIT_VALUE&amp;DB=129&amp;ID1=03611510&amp;VALUEID=02101&amp;SDATE=200902&amp;PERIODTYPE=QTR_STD&amp;window=popup_no_bar&amp;width=385&amp;height=120&amp;START_MAXIMIZED=FALSE&amp;creator=factset&amp;display_string=Audit"}</definedName>
    <definedName name="_70__FDSAUDITLINK__" hidden="1">{"fdsup://directions/FAT Viewer?action=UPDATE&amp;creator=factset&amp;DYN_ARGS=TRUE&amp;DOC_NAME=FAT:FQL_AUDITING_CLIENT_TEMPLATE.FAT&amp;display_string=Audit&amp;VAR:KEY=SJOXQDMTSL&amp;VAR:QUERY=RkZfU0FMRVMoTFRNUywwKQ==&amp;WINDOW=FIRST_POPUP&amp;HEIGHT=450&amp;WIDTH=450&amp;START_MAXIMIZED=FALS","E&amp;VAR:CALENDAR=FIVEDAY&amp;VAR:SYMBOL=TWB&amp;VAR:INDEX=0"}</definedName>
    <definedName name="_700__FDSAUDITLINK__" localSheetId="1" hidden="1">{"fdsup://Directions/FactSet Auditing Viewer?action=AUDIT_VALUE&amp;DB=129&amp;ID1=46612H40&amp;VALUEID=02101&amp;SDATE=200701&amp;PERIODTYPE=QTR_STD&amp;window=popup_no_bar&amp;width=385&amp;height=120&amp;START_MAXIMIZED=FALSE&amp;creator=factset&amp;display_string=Audit"}</definedName>
    <definedName name="_700__FDSAUDITLINK__" localSheetId="20" hidden="1">{"fdsup://Directions/FactSet Auditing Viewer?action=AUDIT_VALUE&amp;DB=129&amp;ID1=46612H40&amp;VALUEID=02101&amp;SDATE=200701&amp;PERIODTYPE=QTR_STD&amp;window=popup_no_bar&amp;width=385&amp;height=120&amp;START_MAXIMIZED=FALSE&amp;creator=factset&amp;display_string=Audit"}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localSheetId="1" hidden="1">{"fdsup://Directions/FactSet Auditing Viewer?action=AUDIT_VALUE&amp;DB=129&amp;ID1=46612H40&amp;VALUEID=01001&amp;SDATE=200701&amp;PERIODTYPE=QTR_STD&amp;window=popup_no_bar&amp;width=385&amp;height=120&amp;START_MAXIMIZED=FALSE&amp;creator=factset&amp;display_string=Audit"}</definedName>
    <definedName name="_701__FDSAUDITLINK__" localSheetId="20" hidden="1">{"fdsup://Directions/FactSet Auditing Viewer?action=AUDIT_VALUE&amp;DB=129&amp;ID1=46612H40&amp;VALUEID=01001&amp;SDATE=200701&amp;PERIODTYPE=QTR_STD&amp;window=popup_no_bar&amp;width=385&amp;height=120&amp;START_MAXIMIZED=FALSE&amp;creator=factset&amp;display_string=Audit"}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localSheetId="1" hidden="1">{"fdsup://Directions/FactSet Auditing Viewer?action=AUDIT_VALUE&amp;DB=129&amp;ID1=46612H40&amp;VALUEID=13040&amp;SDATE=200701&amp;PERIODTYPE=QTR_STD&amp;window=popup_no_bar&amp;width=385&amp;height=120&amp;START_MAXIMIZED=FALSE&amp;creator=factset&amp;display_string=Audit"}</definedName>
    <definedName name="_702__FDSAUDITLINK__" localSheetId="20" hidden="1">{"fdsup://Directions/FactSet Auditing Viewer?action=AUDIT_VALUE&amp;DB=129&amp;ID1=46612H40&amp;VALUEID=13040&amp;SDATE=200701&amp;PERIODTYPE=QTR_STD&amp;window=popup_no_bar&amp;width=385&amp;height=120&amp;START_MAXIMIZED=FALSE&amp;creator=factset&amp;display_string=Audit"}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localSheetId="1" hidden="1">{"fdsup://Directions/FactSet Auditing Viewer?action=AUDIT_VALUE&amp;DB=129&amp;ID1=36476010&amp;VALUEID=02101&amp;SDATE=200701&amp;PERIODTYPE=QTR_STD&amp;window=popup_no_bar&amp;width=385&amp;height=120&amp;START_MAXIMIZED=FALSE&amp;creator=factset&amp;display_string=Audit"}</definedName>
    <definedName name="_703__FDSAUDITLINK__" localSheetId="20" hidden="1">{"fdsup://Directions/FactSet Auditing Viewer?action=AUDIT_VALUE&amp;DB=129&amp;ID1=36476010&amp;VALUEID=02101&amp;SDATE=200701&amp;PERIODTYPE=QTR_STD&amp;window=popup_no_bar&amp;width=385&amp;height=120&amp;START_MAXIMIZED=FALSE&amp;creator=factset&amp;display_string=Audit"}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localSheetId="1" hidden="1">{"fdsup://Directions/FactSet Auditing Viewer?action=AUDIT_VALUE&amp;DB=129&amp;ID1=36476010&amp;VALUEID=01001&amp;SDATE=200701&amp;PERIODTYPE=QTR_STD&amp;window=popup_no_bar&amp;width=385&amp;height=120&amp;START_MAXIMIZED=FALSE&amp;creator=factset&amp;display_string=Audit"}</definedName>
    <definedName name="_704__FDSAUDITLINK__" localSheetId="20" hidden="1">{"fdsup://Directions/FactSet Auditing Viewer?action=AUDIT_VALUE&amp;DB=129&amp;ID1=36476010&amp;VALUEID=01001&amp;SDATE=200701&amp;PERIODTYPE=QTR_STD&amp;window=popup_no_bar&amp;width=385&amp;height=120&amp;START_MAXIMIZED=FALSE&amp;creator=factset&amp;display_string=Audit"}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localSheetId="1" hidden="1">{"fdsup://Directions/FactSet Auditing Viewer?action=AUDIT_VALUE&amp;DB=129&amp;ID1=36476010&amp;VALUEID=13040&amp;SDATE=200701&amp;PERIODTYPE=QTR_STD&amp;window=popup_no_bar&amp;width=385&amp;height=120&amp;START_MAXIMIZED=FALSE&amp;creator=factset&amp;display_string=Audit"}</definedName>
    <definedName name="_705__FDSAUDITLINK__" localSheetId="20" hidden="1">{"fdsup://Directions/FactSet Auditing Viewer?action=AUDIT_VALUE&amp;DB=129&amp;ID1=36476010&amp;VALUEID=13040&amp;SDATE=200701&amp;PERIODTYPE=QTR_STD&amp;window=popup_no_bar&amp;width=385&amp;height=120&amp;START_MAXIMIZED=FALSE&amp;creator=factset&amp;display_string=Audit"}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localSheetId="1" hidden="1">{"fdsup://Directions/FactSet Auditing Viewer?action=AUDIT_VALUE&amp;DB=129&amp;ID1=03611510&amp;VALUEID=02101&amp;SDATE=200701&amp;PERIODTYPE=QTR_STD&amp;window=popup_no_bar&amp;width=385&amp;height=120&amp;START_MAXIMIZED=FALSE&amp;creator=factset&amp;display_string=Audit"}</definedName>
    <definedName name="_706__FDSAUDITLINK__" localSheetId="20" hidden="1">{"fdsup://Directions/FactSet Auditing Viewer?action=AUDIT_VALUE&amp;DB=129&amp;ID1=03611510&amp;VALUEID=02101&amp;SDATE=200701&amp;PERIODTYPE=QTR_STD&amp;window=popup_no_bar&amp;width=385&amp;height=120&amp;START_MAXIMIZED=FALSE&amp;creator=factset&amp;display_string=Audit"}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localSheetId="1" hidden="1">{"fdsup://Directions/FactSet Auditing Viewer?action=AUDIT_VALUE&amp;DB=129&amp;ID1=03611510&amp;VALUEID=01001&amp;SDATE=200701&amp;PERIODTYPE=QTR_STD&amp;window=popup_no_bar&amp;width=385&amp;height=120&amp;START_MAXIMIZED=FALSE&amp;creator=factset&amp;display_string=Audit"}</definedName>
    <definedName name="_707__FDSAUDITLINK__" localSheetId="20" hidden="1">{"fdsup://Directions/FactSet Auditing Viewer?action=AUDIT_VALUE&amp;DB=129&amp;ID1=03611510&amp;VALUEID=01001&amp;SDATE=200701&amp;PERIODTYPE=QTR_STD&amp;window=popup_no_bar&amp;width=385&amp;height=120&amp;START_MAXIMIZED=FALSE&amp;creator=factset&amp;display_string=Audit"}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localSheetId="1" hidden="1">{"fdsup://Directions/FactSet Auditing Viewer?action=AUDIT_VALUE&amp;DB=129&amp;ID1=03611510&amp;VALUEID=13040&amp;SDATE=200701&amp;PERIODTYPE=QTR_STD&amp;window=popup_no_bar&amp;width=385&amp;height=120&amp;START_MAXIMIZED=FALSE&amp;creator=factset&amp;display_string=Audit"}</definedName>
    <definedName name="_708__FDSAUDITLINK__" localSheetId="20" hidden="1">{"fdsup://Directions/FactSet Auditing Viewer?action=AUDIT_VALUE&amp;DB=129&amp;ID1=03611510&amp;VALUEID=13040&amp;SDATE=200701&amp;PERIODTYPE=QTR_STD&amp;window=popup_no_bar&amp;width=385&amp;height=120&amp;START_MAXIMIZED=FALSE&amp;creator=factset&amp;display_string=Audit"}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localSheetId="1" hidden="1">{"fdsup://Directions/FactSet Auditing Viewer?action=AUDIT_VALUE&amp;DB=129&amp;ID1=16890510&amp;VALUEID=02101&amp;SDATE=200701&amp;PERIODTYPE=QTR_STD&amp;window=popup_no_bar&amp;width=385&amp;height=120&amp;START_MAXIMIZED=FALSE&amp;creator=factset&amp;display_string=Audit"}</definedName>
    <definedName name="_709__FDSAUDITLINK__" localSheetId="20" hidden="1">{"fdsup://Directions/FactSet Auditing Viewer?action=AUDIT_VALUE&amp;DB=129&amp;ID1=16890510&amp;VALUEID=02101&amp;SDATE=200701&amp;PERIODTYPE=QTR_STD&amp;window=popup_no_bar&amp;width=385&amp;height=120&amp;START_MAXIMIZED=FALSE&amp;creator=factset&amp;display_string=Audit"}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localSheetId="1" hidden="1">{"fdsup://directions/FAT Viewer?action=UPDATE&amp;creator=factset&amp;DYN_ARGS=TRUE&amp;DOC_NAME=FAT:FQL_AUDITING_CLIENT_TEMPLATE.FAT&amp;display_string=Audit&amp;VAR:KEY=UPWHUHQFOL&amp;VAR:QUERY=RkZfU0FMRVMoTFRNUywwKQ==&amp;WINDOW=FIRST_POPUP&amp;HEIGHT=450&amp;WIDTH=450&amp;START_MAXIMIZED=FALS","E&amp;VAR:CALENDAR=FIVEDAY&amp;VAR:SYMBOL=TIF&amp;VAR:INDEX=0"}</definedName>
    <definedName name="_71__FDSAUDITLINK__" localSheetId="20" hidden="1">{"fdsup://Directions/FactSet Auditing Viewer?action=AUDIT_VALUE&amp;DB=129&amp;ID1=03611510&amp;VALUEID=01001&amp;SDATE=200902&amp;PERIODTYPE=QTR_STD&amp;window=popup_no_bar&amp;width=385&amp;height=120&amp;START_MAXIMIZED=FALSE&amp;creator=factset&amp;display_string=Audit"}</definedName>
    <definedName name="_71__FDSAUDITLINK__" hidden="1">{"fdsup://directions/FAT Viewer?action=UPDATE&amp;creator=factset&amp;DYN_ARGS=TRUE&amp;DOC_NAME=FAT:FQL_AUDITING_CLIENT_TEMPLATE.FAT&amp;display_string=Audit&amp;VAR:KEY=UPWHUHQFOL&amp;VAR:QUERY=RkZfU0FMRVMoTFRNUywwKQ==&amp;WINDOW=FIRST_POPUP&amp;HEIGHT=450&amp;WIDTH=450&amp;START_MAXIMIZED=FALS","E&amp;VAR:CALENDAR=FIVEDAY&amp;VAR:SYMBOL=TIF&amp;VAR:INDEX=0"}</definedName>
    <definedName name="_710__FDSAUDITLINK__" localSheetId="1" hidden="1">{"fdsup://Directions/FactSet Auditing Viewer?action=AUDIT_VALUE&amp;DB=129&amp;ID1=16890510&amp;VALUEID=01001&amp;SDATE=200701&amp;PERIODTYPE=QTR_STD&amp;window=popup_no_bar&amp;width=385&amp;height=120&amp;START_MAXIMIZED=FALSE&amp;creator=factset&amp;display_string=Audit"}</definedName>
    <definedName name="_710__FDSAUDITLINK__" localSheetId="20" hidden="1">{"fdsup://Directions/FactSet Auditing Viewer?action=AUDIT_VALUE&amp;DB=129&amp;ID1=16890510&amp;VALUEID=01001&amp;SDATE=200701&amp;PERIODTYPE=QTR_STD&amp;window=popup_no_bar&amp;width=385&amp;height=120&amp;START_MAXIMIZED=FALSE&amp;creator=factset&amp;display_string=Audit"}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localSheetId="1" hidden="1">{"fdsup://Directions/FactSet Auditing Viewer?action=AUDIT_VALUE&amp;DB=129&amp;ID1=91704710&amp;VALUEID=02101&amp;SDATE=200701&amp;PERIODTYPE=QTR_STD&amp;window=popup_no_bar&amp;width=385&amp;height=120&amp;START_MAXIMIZED=FALSE&amp;creator=factset&amp;display_string=Audit"}</definedName>
    <definedName name="_711__FDSAUDITLINK__" localSheetId="20" hidden="1">{"fdsup://Directions/FactSet Auditing Viewer?action=AUDIT_VALUE&amp;DB=129&amp;ID1=91704710&amp;VALUEID=02101&amp;SDATE=200701&amp;PERIODTYPE=QTR_STD&amp;window=popup_no_bar&amp;width=385&amp;height=120&amp;START_MAXIMIZED=FALSE&amp;creator=factset&amp;display_string=Audit"}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localSheetId="1" hidden="1">{"fdsup://Directions/FactSet Auditing Viewer?action=AUDIT_VALUE&amp;DB=129&amp;ID1=91704710&amp;VALUEID=01001&amp;SDATE=200701&amp;PERIODTYPE=QTR_STD&amp;window=popup_no_bar&amp;width=385&amp;height=120&amp;START_MAXIMIZED=FALSE&amp;creator=factset&amp;display_string=Audit"}</definedName>
    <definedName name="_712__FDSAUDITLINK__" localSheetId="20" hidden="1">{"fdsup://Directions/FactSet Auditing Viewer?action=AUDIT_VALUE&amp;DB=129&amp;ID1=91704710&amp;VALUEID=01001&amp;SDATE=200701&amp;PERIODTYPE=QTR_STD&amp;window=popup_no_bar&amp;width=385&amp;height=120&amp;START_MAXIMIZED=FALSE&amp;creator=factset&amp;display_string=Audit"}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localSheetId="1" hidden="1">{"fdsup://Directions/FactSet Auditing Viewer?action=AUDIT_VALUE&amp;DB=129&amp;ID1=91704710&amp;VALUEID=13040&amp;SDATE=200701&amp;PERIODTYPE=QTR_STD&amp;window=popup_no_bar&amp;width=385&amp;height=120&amp;START_MAXIMIZED=FALSE&amp;creator=factset&amp;display_string=Audit"}</definedName>
    <definedName name="_713__FDSAUDITLINK__" localSheetId="20" hidden="1">{"fdsup://Directions/FactSet Auditing Viewer?action=AUDIT_VALUE&amp;DB=129&amp;ID1=91704710&amp;VALUEID=13040&amp;SDATE=200701&amp;PERIODTYPE=QTR_STD&amp;window=popup_no_bar&amp;width=385&amp;height=120&amp;START_MAXIMIZED=FALSE&amp;creator=factset&amp;display_string=Audit"}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localSheetId="1" hidden="1">{"fdsup://Directions/FactSet Auditing Viewer?action=AUDIT_VALUE&amp;DB=129&amp;ID1=02553E10&amp;VALUEID=02101&amp;SDATE=200701&amp;PERIODTYPE=QTR_STD&amp;window=popup_no_bar&amp;width=385&amp;height=120&amp;START_MAXIMIZED=FALSE&amp;creator=factset&amp;display_string=Audit"}</definedName>
    <definedName name="_714__FDSAUDITLINK__" localSheetId="20" hidden="1">{"fdsup://Directions/FactSet Auditing Viewer?action=AUDIT_VALUE&amp;DB=129&amp;ID1=02553E10&amp;VALUEID=02101&amp;SDATE=200701&amp;PERIODTYPE=QTR_STD&amp;window=popup_no_bar&amp;width=385&amp;height=120&amp;START_MAXIMIZED=FALSE&amp;creator=factset&amp;display_string=Audit"}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localSheetId="1" hidden="1">{"fdsup://Directions/FactSet Auditing Viewer?action=AUDIT_VALUE&amp;DB=129&amp;ID1=02553E10&amp;VALUEID=01001&amp;SDATE=200701&amp;PERIODTYPE=QTR_STD&amp;window=popup_no_bar&amp;width=385&amp;height=120&amp;START_MAXIMIZED=FALSE&amp;creator=factset&amp;display_string=Audit"}</definedName>
    <definedName name="_715__FDSAUDITLINK__" localSheetId="20" hidden="1">{"fdsup://Directions/FactSet Auditing Viewer?action=AUDIT_VALUE&amp;DB=129&amp;ID1=02553E10&amp;VALUEID=01001&amp;SDATE=200701&amp;PERIODTYPE=QTR_STD&amp;window=popup_no_bar&amp;width=385&amp;height=120&amp;START_MAXIMIZED=FALSE&amp;creator=factset&amp;display_string=Audit"}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localSheetId="1" hidden="1">{"fdsup://Directions/FactSet Auditing Viewer?action=AUDIT_VALUE&amp;DB=129&amp;ID1=02553E10&amp;VALUEID=13040&amp;SDATE=200701&amp;PERIODTYPE=QTR_STD&amp;window=popup_no_bar&amp;width=385&amp;height=120&amp;START_MAXIMIZED=FALSE&amp;creator=factset&amp;display_string=Audit"}</definedName>
    <definedName name="_716__FDSAUDITLINK__" localSheetId="20" hidden="1">{"fdsup://Directions/FactSet Auditing Viewer?action=AUDIT_VALUE&amp;DB=129&amp;ID1=02553E10&amp;VALUEID=13040&amp;SDATE=200701&amp;PERIODTYPE=QTR_STD&amp;window=popup_no_bar&amp;width=385&amp;height=120&amp;START_MAXIMIZED=FALSE&amp;creator=factset&amp;display_string=Audit"}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localSheetId="1" hidden="1">{"fdsup://Directions/FactSet Auditing Viewer?action=AUDIT_VALUE&amp;DB=129&amp;ID1=00786510&amp;VALUEID=02101&amp;SDATE=200701&amp;PERIODTYPE=QTR_STD&amp;window=popup_no_bar&amp;width=385&amp;height=120&amp;START_MAXIMIZED=FALSE&amp;creator=factset&amp;display_string=Audit"}</definedName>
    <definedName name="_717__FDSAUDITLINK__" localSheetId="20" hidden="1">{"fdsup://Directions/FactSet Auditing Viewer?action=AUDIT_VALUE&amp;DB=129&amp;ID1=00786510&amp;VALUEID=02101&amp;SDATE=200701&amp;PERIODTYPE=QTR_STD&amp;window=popup_no_bar&amp;width=385&amp;height=120&amp;START_MAXIMIZED=FALSE&amp;creator=factset&amp;display_string=Audit"}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localSheetId="1" hidden="1">{"fdsup://Directions/FactSet Auditing Viewer?action=AUDIT_VALUE&amp;DB=129&amp;ID1=00786510&amp;VALUEID=01001&amp;SDATE=200701&amp;PERIODTYPE=QTR_STD&amp;window=popup_no_bar&amp;width=385&amp;height=120&amp;START_MAXIMIZED=FALSE&amp;creator=factset&amp;display_string=Audit"}</definedName>
    <definedName name="_718__FDSAUDITLINK__" localSheetId="20" hidden="1">{"fdsup://Directions/FactSet Auditing Viewer?action=AUDIT_VALUE&amp;DB=129&amp;ID1=00786510&amp;VALUEID=01001&amp;SDATE=200701&amp;PERIODTYPE=QTR_STD&amp;window=popup_no_bar&amp;width=385&amp;height=120&amp;START_MAXIMIZED=FALSE&amp;creator=factset&amp;display_string=Audit"}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localSheetId="1" hidden="1">{"fdsup://Directions/FactSet Auditing Viewer?action=AUDIT_VALUE&amp;DB=129&amp;ID1=00786510&amp;VALUEID=13040&amp;SDATE=200701&amp;PERIODTYPE=QTR_STD&amp;window=popup_no_bar&amp;width=385&amp;height=120&amp;START_MAXIMIZED=FALSE&amp;creator=factset&amp;display_string=Audit"}</definedName>
    <definedName name="_719__FDSAUDITLINK__" localSheetId="20" hidden="1">{"fdsup://Directions/FactSet Auditing Viewer?action=AUDIT_VALUE&amp;DB=129&amp;ID1=00786510&amp;VALUEID=13040&amp;SDATE=200701&amp;PERIODTYPE=QTR_STD&amp;window=popup_no_bar&amp;width=385&amp;height=120&amp;START_MAXIMIZED=FALSE&amp;creator=factset&amp;display_string=Audit"}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localSheetId="1" hidden="1">{"fdsup://directions/FAT Viewer?action=UPDATE&amp;creator=factset&amp;DYN_ARGS=TRUE&amp;DOC_NAME=FAT:FQL_AUDITING_CLIENT_TEMPLATE.FAT&amp;display_string=Audit&amp;VAR:KEY=IBAHQFURUT&amp;VAR:QUERY=RkZfU0FMRVMoTFRNUywwKQ==&amp;WINDOW=FIRST_POPUP&amp;HEIGHT=450&amp;WIDTH=450&amp;START_MAXIMIZED=FALS","E&amp;VAR:CALENDAR=FIVEDAY&amp;VAR:SYMBOL=SSI&amp;VAR:INDEX=0"}</definedName>
    <definedName name="_72__FDSAUDITLINK__" localSheetId="20" hidden="1">{"fdsup://Directions/FactSet Auditing Viewer?action=AUDIT_VALUE&amp;DB=129&amp;ID1=03611510&amp;VALUEID=13040&amp;SDATE=200902&amp;PERIODTYPE=QTR_STD&amp;window=popup_no_bar&amp;width=385&amp;height=120&amp;START_MAXIMIZED=FALSE&amp;creator=factset&amp;display_string=Audit"}</definedName>
    <definedName name="_72__FDSAUDITLINK__" hidden="1">{"fdsup://directions/FAT Viewer?action=UPDATE&amp;creator=factset&amp;DYN_ARGS=TRUE&amp;DOC_NAME=FAT:FQL_AUDITING_CLIENT_TEMPLATE.FAT&amp;display_string=Audit&amp;VAR:KEY=IBAHQFURUT&amp;VAR:QUERY=RkZfU0FMRVMoTFRNUywwKQ==&amp;WINDOW=FIRST_POPUP&amp;HEIGHT=450&amp;WIDTH=450&amp;START_MAXIMIZED=FALS","E&amp;VAR:CALENDAR=FIVEDAY&amp;VAR:SYMBOL=SSI&amp;VAR:INDEX=0"}</definedName>
    <definedName name="_720__FDSAUDITLINK__" localSheetId="1" hidden="1">{"fdsup://Directions/FactSet Auditing Viewer?action=AUDIT_VALUE&amp;DB=129&amp;ID1=00289620&amp;VALUEID=02101&amp;SDATE=200701&amp;PERIODTYPE=QTR_STD&amp;window=popup_no_bar&amp;width=385&amp;height=120&amp;START_MAXIMIZED=FALSE&amp;creator=factset&amp;display_string=Audit"}</definedName>
    <definedName name="_720__FDSAUDITLINK__" localSheetId="20" hidden="1">{"fdsup://Directions/FactSet Auditing Viewer?action=AUDIT_VALUE&amp;DB=129&amp;ID1=00289620&amp;VALUEID=02101&amp;SDATE=200701&amp;PERIODTYPE=QTR_STD&amp;window=popup_no_bar&amp;width=385&amp;height=120&amp;START_MAXIMIZED=FALSE&amp;creator=factset&amp;display_string=Audit"}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localSheetId="1" hidden="1">{"fdsup://Directions/FactSet Auditing Viewer?action=AUDIT_VALUE&amp;DB=129&amp;ID1=00289620&amp;VALUEID=01001&amp;SDATE=200701&amp;PERIODTYPE=QTR_STD&amp;window=popup_no_bar&amp;width=385&amp;height=120&amp;START_MAXIMIZED=FALSE&amp;creator=factset&amp;display_string=Audit"}</definedName>
    <definedName name="_721__FDSAUDITLINK__" localSheetId="20" hidden="1">{"fdsup://Directions/FactSet Auditing Viewer?action=AUDIT_VALUE&amp;DB=129&amp;ID1=00289620&amp;VALUEID=01001&amp;SDATE=200701&amp;PERIODTYPE=QTR_STD&amp;window=popup_no_bar&amp;width=385&amp;height=120&amp;START_MAXIMIZED=FALSE&amp;creator=factset&amp;display_string=Audit"}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localSheetId="1" hidden="1">{"fdsup://Directions/FactSet Auditing Viewer?action=AUDIT_VALUE&amp;DB=129&amp;ID1=00289620&amp;VALUEID=13040&amp;SDATE=200701&amp;PERIODTYPE=QTR_STD&amp;window=popup_no_bar&amp;width=385&amp;height=120&amp;START_MAXIMIZED=FALSE&amp;creator=factset&amp;display_string=Audit"}</definedName>
    <definedName name="_722__FDSAUDITLINK__" localSheetId="20" hidden="1">{"fdsup://Directions/FactSet Auditing Viewer?action=AUDIT_VALUE&amp;DB=129&amp;ID1=00289620&amp;VALUEID=13040&amp;SDATE=200701&amp;PERIODTYPE=QTR_STD&amp;window=popup_no_bar&amp;width=385&amp;height=120&amp;START_MAXIMIZED=FALSE&amp;creator=factset&amp;display_string=Audit"}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localSheetId="1" hidden="1">{"fdsup://Directions/FactSet Auditing Viewer?action=AUDIT_VALUE&amp;DB=129&amp;ID1=87416110&amp;VALUEID=01001&amp;SDATE=200604&amp;PERIODTYPE=QTR_STD&amp;window=popup_no_bar&amp;width=385&amp;height=120&amp;START_MAXIMIZED=FALSE&amp;creator=factset&amp;display_string=Audit"}</definedName>
    <definedName name="_723__FDSAUDITLINK__" localSheetId="20" hidden="1">{"fdsup://Directions/FactSet Auditing Viewer?action=AUDIT_VALUE&amp;DB=129&amp;ID1=87416110&amp;VALUEID=01001&amp;SDATE=200604&amp;PERIODTYPE=QTR_STD&amp;window=popup_no_bar&amp;width=385&amp;height=120&amp;START_MAXIMIZED=FALSE&amp;creator=factset&amp;display_string=Audit"}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localSheetId="1" hidden="1">{"fdsup://Directions/FactSet Auditing Viewer?action=AUDIT_VALUE&amp;DB=129&amp;ID1=46612H40&amp;VALUEID=01001&amp;SDATE=200604&amp;PERIODTYPE=QTR_STD&amp;window=popup_no_bar&amp;width=385&amp;height=120&amp;START_MAXIMIZED=FALSE&amp;creator=factset&amp;display_string=Audit"}</definedName>
    <definedName name="_724__FDSAUDITLINK__" localSheetId="20" hidden="1">{"fdsup://Directions/FactSet Auditing Viewer?action=AUDIT_VALUE&amp;DB=129&amp;ID1=46612H40&amp;VALUEID=01001&amp;SDATE=200604&amp;PERIODTYPE=QTR_STD&amp;window=popup_no_bar&amp;width=385&amp;height=120&amp;START_MAXIMIZED=FALSE&amp;creator=factset&amp;display_string=Audit"}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localSheetId="1" hidden="1">{"fdsup://Directions/FactSet Auditing Viewer?action=AUDIT_VALUE&amp;DB=129&amp;ID1=36476010&amp;VALUEID=01001&amp;SDATE=200604&amp;PERIODTYPE=QTR_STD&amp;window=popup_no_bar&amp;width=385&amp;height=120&amp;START_MAXIMIZED=FALSE&amp;creator=factset&amp;display_string=Audit"}</definedName>
    <definedName name="_725__FDSAUDITLINK__" localSheetId="20" hidden="1">{"fdsup://Directions/FactSet Auditing Viewer?action=AUDIT_VALUE&amp;DB=129&amp;ID1=36476010&amp;VALUEID=01001&amp;SDATE=200604&amp;PERIODTYPE=QTR_STD&amp;window=popup_no_bar&amp;width=385&amp;height=120&amp;START_MAXIMIZED=FALSE&amp;creator=factset&amp;display_string=Audit"}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localSheetId="1" hidden="1">{"fdsup://Directions/FactSet Auditing Viewer?action=AUDIT_VALUE&amp;DB=129&amp;ID1=03611510&amp;VALUEID=01001&amp;SDATE=200604&amp;PERIODTYPE=QTR_STD&amp;window=popup_no_bar&amp;width=385&amp;height=120&amp;START_MAXIMIZED=FALSE&amp;creator=factset&amp;display_string=Audit"}</definedName>
    <definedName name="_726__FDSAUDITLINK__" localSheetId="20" hidden="1">{"fdsup://Directions/FactSet Auditing Viewer?action=AUDIT_VALUE&amp;DB=129&amp;ID1=03611510&amp;VALUEID=01001&amp;SDATE=200604&amp;PERIODTYPE=QTR_STD&amp;window=popup_no_bar&amp;width=385&amp;height=120&amp;START_MAXIMIZED=FALSE&amp;creator=factset&amp;display_string=Audit"}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localSheetId="1" hidden="1">{"fdsup://Directions/FactSet Auditing Viewer?action=AUDIT_VALUE&amp;DB=129&amp;ID1=16890510&amp;VALUEID=01001&amp;SDATE=200604&amp;PERIODTYPE=QTR_STD&amp;window=popup_no_bar&amp;width=385&amp;height=120&amp;START_MAXIMIZED=FALSE&amp;creator=factset&amp;display_string=Audit"}</definedName>
    <definedName name="_727__FDSAUDITLINK__" localSheetId="20" hidden="1">{"fdsup://Directions/FactSet Auditing Viewer?action=AUDIT_VALUE&amp;DB=129&amp;ID1=16890510&amp;VALUEID=01001&amp;SDATE=200604&amp;PERIODTYPE=QTR_STD&amp;window=popup_no_bar&amp;width=385&amp;height=120&amp;START_MAXIMIZED=FALSE&amp;creator=factset&amp;display_string=Audit"}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localSheetId="1"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8__FDSAUDITLINK__" localSheetId="20"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localSheetId="1" hidden="1">{"fdsup://Directions/FactSet Auditing Viewer?action=AUDIT_VALUE&amp;DB=129&amp;ID1=00786510&amp;VALUEID=01001&amp;SDATE=200604&amp;PERIODTYPE=QTR_STD&amp;window=popup_no_bar&amp;width=385&amp;height=120&amp;START_MAXIMIZED=FALSE&amp;creator=factset&amp;display_string=Audit"}</definedName>
    <definedName name="_729__FDSAUDITLINK__" localSheetId="20" hidden="1">{"fdsup://Directions/FactSet Auditing Viewer?action=AUDIT_VALUE&amp;DB=129&amp;ID1=00786510&amp;VALUEID=01001&amp;SDATE=200604&amp;PERIODTYPE=QTR_STD&amp;window=popup_no_bar&amp;width=385&amp;height=120&amp;START_MAXIMIZED=FALSE&amp;creator=factset&amp;display_string=Audit"}</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localSheetId="1" hidden="1">{"fdsup://directions/FAT Viewer?action=UPDATE&amp;creator=factset&amp;DYN_ARGS=TRUE&amp;DOC_NAME=FAT:FQL_AUDITING_CLIENT_TEMPLATE.FAT&amp;display_string=Audit&amp;VAR:KEY=SVKLIHAJGV&amp;VAR:QUERY=RkZfU0FMRVMoTFRNUywwKQ==&amp;WINDOW=FIRST_POPUP&amp;HEIGHT=450&amp;WIDTH=450&amp;START_MAXIMIZED=FALS","E&amp;VAR:CALENDAR=FIVEDAY&amp;VAR:SYMBOL=SKUL&amp;VAR:INDEX=0"}</definedName>
    <definedName name="_73__FDSAUDITLINK__" localSheetId="20" hidden="1">{"fdsup://Directions/FactSet Auditing Viewer?action=AUDIT_VALUE&amp;DB=129&amp;ID1=16890510&amp;VALUEID=02101&amp;SDATE=200902&amp;PERIODTYPE=QTR_STD&amp;window=popup_no_bar&amp;width=385&amp;height=120&amp;START_MAXIMIZED=FALSE&amp;creator=factset&amp;display_string=Audit"}</definedName>
    <definedName name="_73__FDSAUDITLINK__" hidden="1">{"fdsup://directions/FAT Viewer?action=UPDATE&amp;creator=factset&amp;DYN_ARGS=TRUE&amp;DOC_NAME=FAT:FQL_AUDITING_CLIENT_TEMPLATE.FAT&amp;display_string=Audit&amp;VAR:KEY=SVKLIHAJGV&amp;VAR:QUERY=RkZfU0FMRVMoTFRNUywwKQ==&amp;WINDOW=FIRST_POPUP&amp;HEIGHT=450&amp;WIDTH=450&amp;START_MAXIMIZED=FALS","E&amp;VAR:CALENDAR=FIVEDAY&amp;VAR:SYMBOL=SKUL&amp;VAR:INDEX=0"}</definedName>
    <definedName name="_730__FDSAUDITLINK__" localSheetId="1" hidden="1">{"fdsup://Directions/FactSet Auditing Viewer?action=AUDIT_VALUE&amp;DB=129&amp;ID1=87416110&amp;VALUEID=02101&amp;SDATE=200603&amp;PERIODTYPE=QTR_STD&amp;window=popup_no_bar&amp;width=385&amp;height=120&amp;START_MAXIMIZED=FALSE&amp;creator=factset&amp;display_string=Audit"}</definedName>
    <definedName name="_730__FDSAUDITLINK__" localSheetId="20" hidden="1">{"fdsup://Directions/FactSet Auditing Viewer?action=AUDIT_VALUE&amp;DB=129&amp;ID1=87416110&amp;VALUEID=02101&amp;SDATE=200603&amp;PERIODTYPE=QTR_STD&amp;window=popup_no_bar&amp;width=385&amp;height=120&amp;START_MAXIMIZED=FALSE&amp;creator=factset&amp;display_string=Audit"}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localSheetId="1" hidden="1">{"fdsup://Directions/FactSet Auditing Viewer?action=AUDIT_VALUE&amp;DB=129&amp;ID1=87416110&amp;VALUEID=01001&amp;SDATE=200603&amp;PERIODTYPE=QTR_STD&amp;window=popup_no_bar&amp;width=385&amp;height=120&amp;START_MAXIMIZED=FALSE&amp;creator=factset&amp;display_string=Audit"}</definedName>
    <definedName name="_731__FDSAUDITLINK__" localSheetId="20" hidden="1">{"fdsup://Directions/FactSet Auditing Viewer?action=AUDIT_VALUE&amp;DB=129&amp;ID1=87416110&amp;VALUEID=01001&amp;SDATE=200603&amp;PERIODTYPE=QTR_STD&amp;window=popup_no_bar&amp;width=385&amp;height=120&amp;START_MAXIMIZED=FALSE&amp;creator=factset&amp;display_string=Audit"}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732__FDSAUDITLINK__" localSheetId="20" hidden="1">{"fdsup://Directions/FactSet Auditing Viewer?action=AUDIT_VALUE&amp;DB=129&amp;ID1=53271610&amp;VALUEID=02101&amp;SDATE=200603&amp;PERIODTYPE=QTR_STD&amp;window=popup_no_bar&amp;width=385&amp;height=120&amp;START_MAXIMIZED=FALSE&amp;creator=factset&amp;display_string=Audit"}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733__FDSAUDITLINK__" localSheetId="20" hidden="1">{"fdsup://Directions/FactSet Auditing Viewer?action=AUDIT_VALUE&amp;DB=129&amp;ID1=53271610&amp;VALUEID=01001&amp;SDATE=200603&amp;PERIODTYPE=QTR_STD&amp;window=popup_no_bar&amp;width=385&amp;height=120&amp;START_MAXIMIZED=FALSE&amp;creator=factset&amp;display_string=Audit"}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734__FDSAUDITLINK__" localSheetId="20" hidden="1">{"fdsup://Directions/FactSet Auditing Viewer?action=AUDIT_VALUE&amp;DB=129&amp;ID1=53271610&amp;VALUEID=13040&amp;SDATE=200603&amp;PERIODTYPE=QTR_STD&amp;window=popup_no_bar&amp;width=385&amp;height=120&amp;START_MAXIMIZED=FALSE&amp;creator=factset&amp;display_string=Audit"}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localSheetId="1" hidden="1">{"fdsup://Directions/FactSet Auditing Viewer?action=AUDIT_VALUE&amp;DB=129&amp;ID1=46612H40&amp;VALUEID=02101&amp;SDATE=200603&amp;PERIODTYPE=QTR_STD&amp;window=popup_no_bar&amp;width=385&amp;height=120&amp;START_MAXIMIZED=FALSE&amp;creator=factset&amp;display_string=Audit"}</definedName>
    <definedName name="_735__FDSAUDITLINK__" localSheetId="20" hidden="1">{"fdsup://Directions/FactSet Auditing Viewer?action=AUDIT_VALUE&amp;DB=129&amp;ID1=46612H40&amp;VALUEID=02101&amp;SDATE=200603&amp;PERIODTYPE=QTR_STD&amp;window=popup_no_bar&amp;width=385&amp;height=120&amp;START_MAXIMIZED=FALSE&amp;creator=factset&amp;display_string=Audit"}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localSheetId="1" hidden="1">{"fdsup://Directions/FactSet Auditing Viewer?action=AUDIT_VALUE&amp;DB=129&amp;ID1=46612H40&amp;VALUEID=01001&amp;SDATE=200603&amp;PERIODTYPE=QTR_STD&amp;window=popup_no_bar&amp;width=385&amp;height=120&amp;START_MAXIMIZED=FALSE&amp;creator=factset&amp;display_string=Audit"}</definedName>
    <definedName name="_736__FDSAUDITLINK__" localSheetId="20" hidden="1">{"fdsup://Directions/FactSet Auditing Viewer?action=AUDIT_VALUE&amp;DB=129&amp;ID1=46612H40&amp;VALUEID=01001&amp;SDATE=200603&amp;PERIODTYPE=QTR_STD&amp;window=popup_no_bar&amp;width=385&amp;height=120&amp;START_MAXIMIZED=FALSE&amp;creator=factset&amp;display_string=Audit"}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localSheetId="1" hidden="1">{"fdsup://Directions/FactSet Auditing Viewer?action=AUDIT_VALUE&amp;DB=129&amp;ID1=46612H40&amp;VALUEID=13040&amp;SDATE=200603&amp;PERIODTYPE=QTR_STD&amp;window=popup_no_bar&amp;width=385&amp;height=120&amp;START_MAXIMIZED=FALSE&amp;creator=factset&amp;display_string=Audit"}</definedName>
    <definedName name="_737__FDSAUDITLINK__" localSheetId="20" hidden="1">{"fdsup://Directions/FactSet Auditing Viewer?action=AUDIT_VALUE&amp;DB=129&amp;ID1=46612H40&amp;VALUEID=13040&amp;SDATE=200603&amp;PERIODTYPE=QTR_STD&amp;window=popup_no_bar&amp;width=385&amp;height=120&amp;START_MAXIMIZED=FALSE&amp;creator=factset&amp;display_string=Audit"}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localSheetId="1" hidden="1">{"fdsup://Directions/FactSet Auditing Viewer?action=AUDIT_VALUE&amp;DB=129&amp;ID1=36476010&amp;VALUEID=02101&amp;SDATE=200603&amp;PERIODTYPE=QTR_STD&amp;window=popup_no_bar&amp;width=385&amp;height=120&amp;START_MAXIMIZED=FALSE&amp;creator=factset&amp;display_string=Audit"}</definedName>
    <definedName name="_738__FDSAUDITLINK__" localSheetId="20" hidden="1">{"fdsup://Directions/FactSet Auditing Viewer?action=AUDIT_VALUE&amp;DB=129&amp;ID1=36476010&amp;VALUEID=02101&amp;SDATE=200603&amp;PERIODTYPE=QTR_STD&amp;window=popup_no_bar&amp;width=385&amp;height=120&amp;START_MAXIMIZED=FALSE&amp;creator=factset&amp;display_string=Audit"}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localSheetId="1" hidden="1">{"fdsup://Directions/FactSet Auditing Viewer?action=AUDIT_VALUE&amp;DB=129&amp;ID1=36476010&amp;VALUEID=01001&amp;SDATE=200603&amp;PERIODTYPE=QTR_STD&amp;window=popup_no_bar&amp;width=385&amp;height=120&amp;START_MAXIMIZED=FALSE&amp;creator=factset&amp;display_string=Audit"}</definedName>
    <definedName name="_739__FDSAUDITLINK__" localSheetId="20" hidden="1">{"fdsup://Directions/FactSet Auditing Viewer?action=AUDIT_VALUE&amp;DB=129&amp;ID1=36476010&amp;VALUEID=01001&amp;SDATE=200603&amp;PERIODTYPE=QTR_STD&amp;window=popup_no_bar&amp;width=385&amp;height=120&amp;START_MAXIMIZED=FALSE&amp;creator=factset&amp;display_string=Audit"}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localSheetId="1" hidden="1">{"fdsup://directions/FAT Viewer?action=UPDATE&amp;creator=factset&amp;DYN_ARGS=TRUE&amp;DOC_NAME=FAT:FQL_AUDITING_CLIENT_TEMPLATE.FAT&amp;display_string=Audit&amp;VAR:KEY=UTKTQBSFMF&amp;VAR:QUERY=RkZfU0FMRVMoTFRNUywwKQ==&amp;WINDOW=FIRST_POPUP&amp;HEIGHT=450&amp;WIDTH=450&amp;START_MAXIMIZED=FALS","E&amp;VAR:CALENDAR=FIVEDAY&amp;VAR:SYMBOL=PSUN&amp;VAR:INDEX=0"}</definedName>
    <definedName name="_74__FDSAUDITLINK__" localSheetId="20" hidden="1">{"fdsup://Directions/FactSet Auditing Viewer?action=AUDIT_VALUE&amp;DB=129&amp;ID1=16890510&amp;VALUEID=01001&amp;SDATE=200902&amp;PERIODTYPE=QTR_STD&amp;window=popup_no_bar&amp;width=385&amp;height=120&amp;START_MAXIMIZED=FALSE&amp;creator=factset&amp;display_string=Audit"}</definedName>
    <definedName name="_74__FDSAUDITLINK__" hidden="1">{"fdsup://directions/FAT Viewer?action=UPDATE&amp;creator=factset&amp;DYN_ARGS=TRUE&amp;DOC_NAME=FAT:FQL_AUDITING_CLIENT_TEMPLATE.FAT&amp;display_string=Audit&amp;VAR:KEY=UTKTQBSFMF&amp;VAR:QUERY=RkZfU0FMRVMoTFRNUywwKQ==&amp;WINDOW=FIRST_POPUP&amp;HEIGHT=450&amp;WIDTH=450&amp;START_MAXIMIZED=FALS","E&amp;VAR:CALENDAR=FIVEDAY&amp;VAR:SYMBOL=PSUN&amp;VAR:INDEX=0"}</definedName>
    <definedName name="_740__FDSAUDITLINK__" localSheetId="1" hidden="1">{"fdsup://Directions/FactSet Auditing Viewer?action=AUDIT_VALUE&amp;DB=129&amp;ID1=36476010&amp;VALUEID=13040&amp;SDATE=200603&amp;PERIODTYPE=QTR_STD&amp;window=popup_no_bar&amp;width=385&amp;height=120&amp;START_MAXIMIZED=FALSE&amp;creator=factset&amp;display_string=Audit"}</definedName>
    <definedName name="_740__FDSAUDITLINK__" localSheetId="20" hidden="1">{"fdsup://Directions/FactSet Auditing Viewer?action=AUDIT_VALUE&amp;DB=129&amp;ID1=36476010&amp;VALUEID=13040&amp;SDATE=200603&amp;PERIODTYPE=QTR_STD&amp;window=popup_no_bar&amp;width=385&amp;height=120&amp;START_MAXIMIZED=FALSE&amp;creator=factset&amp;display_string=Audit"}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localSheetId="1" hidden="1">{"fdsup://Directions/FactSet Auditing Viewer?action=AUDIT_VALUE&amp;DB=129&amp;ID1=03611510&amp;VALUEID=02101&amp;SDATE=200603&amp;PERIODTYPE=QTR_STD&amp;window=popup_no_bar&amp;width=385&amp;height=120&amp;START_MAXIMIZED=FALSE&amp;creator=factset&amp;display_string=Audit"}</definedName>
    <definedName name="_741__FDSAUDITLINK__" localSheetId="20" hidden="1">{"fdsup://Directions/FactSet Auditing Viewer?action=AUDIT_VALUE&amp;DB=129&amp;ID1=03611510&amp;VALUEID=02101&amp;SDATE=200603&amp;PERIODTYPE=QTR_STD&amp;window=popup_no_bar&amp;width=385&amp;height=120&amp;START_MAXIMIZED=FALSE&amp;creator=factset&amp;display_string=Audit"}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localSheetId="1" hidden="1">{"fdsup://Directions/FactSet Auditing Viewer?action=AUDIT_VALUE&amp;DB=129&amp;ID1=03611510&amp;VALUEID=01001&amp;SDATE=200603&amp;PERIODTYPE=QTR_STD&amp;window=popup_no_bar&amp;width=385&amp;height=120&amp;START_MAXIMIZED=FALSE&amp;creator=factset&amp;display_string=Audit"}</definedName>
    <definedName name="_742__FDSAUDITLINK__" localSheetId="20" hidden="1">{"fdsup://Directions/FactSet Auditing Viewer?action=AUDIT_VALUE&amp;DB=129&amp;ID1=03611510&amp;VALUEID=01001&amp;SDATE=200603&amp;PERIODTYPE=QTR_STD&amp;window=popup_no_bar&amp;width=385&amp;height=120&amp;START_MAXIMIZED=FALSE&amp;creator=factset&amp;display_string=Audit"}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localSheetId="1" hidden="1">{"fdsup://Directions/FactSet Auditing Viewer?action=AUDIT_VALUE&amp;DB=129&amp;ID1=03611510&amp;VALUEID=13040&amp;SDATE=200603&amp;PERIODTYPE=QTR_STD&amp;window=popup_no_bar&amp;width=385&amp;height=120&amp;START_MAXIMIZED=FALSE&amp;creator=factset&amp;display_string=Audit"}</definedName>
    <definedName name="_743__FDSAUDITLINK__" localSheetId="20" hidden="1">{"fdsup://Directions/FactSet Auditing Viewer?action=AUDIT_VALUE&amp;DB=129&amp;ID1=03611510&amp;VALUEID=13040&amp;SDATE=200603&amp;PERIODTYPE=QTR_STD&amp;window=popup_no_bar&amp;width=385&amp;height=120&amp;START_MAXIMIZED=FALSE&amp;creator=factset&amp;display_string=Audit"}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localSheetId="1" hidden="1">{"fdsup://Directions/FactSet Auditing Viewer?action=AUDIT_VALUE&amp;DB=129&amp;ID1=16890510&amp;VALUEID=02101&amp;SDATE=200603&amp;PERIODTYPE=QTR_STD&amp;window=popup_no_bar&amp;width=385&amp;height=120&amp;START_MAXIMIZED=FALSE&amp;creator=factset&amp;display_string=Audit"}</definedName>
    <definedName name="_744__FDSAUDITLINK__" localSheetId="20" hidden="1">{"fdsup://Directions/FactSet Auditing Viewer?action=AUDIT_VALUE&amp;DB=129&amp;ID1=16890510&amp;VALUEID=02101&amp;SDATE=200603&amp;PERIODTYPE=QTR_STD&amp;window=popup_no_bar&amp;width=385&amp;height=120&amp;START_MAXIMIZED=FALSE&amp;creator=factset&amp;display_string=Audit"}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localSheetId="1" hidden="1">{"fdsup://Directions/FactSet Auditing Viewer?action=AUDIT_VALUE&amp;DB=129&amp;ID1=16890510&amp;VALUEID=01001&amp;SDATE=200603&amp;PERIODTYPE=QTR_STD&amp;window=popup_no_bar&amp;width=385&amp;height=120&amp;START_MAXIMIZED=FALSE&amp;creator=factset&amp;display_string=Audit"}</definedName>
    <definedName name="_745__FDSAUDITLINK__" localSheetId="20" hidden="1">{"fdsup://Directions/FactSet Auditing Viewer?action=AUDIT_VALUE&amp;DB=129&amp;ID1=16890510&amp;VALUEID=01001&amp;SDATE=200603&amp;PERIODTYPE=QTR_STD&amp;window=popup_no_bar&amp;width=385&amp;height=120&amp;START_MAXIMIZED=FALSE&amp;creator=factset&amp;display_string=Audit"}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localSheetId="1" hidden="1">{"fdsup://Directions/FactSet Auditing Viewer?action=AUDIT_VALUE&amp;DB=129&amp;ID1=91704710&amp;VALUEID=02101&amp;SDATE=200603&amp;PERIODTYPE=QTR_STD&amp;window=popup_no_bar&amp;width=385&amp;height=120&amp;START_MAXIMIZED=FALSE&amp;creator=factset&amp;display_string=Audit"}</definedName>
    <definedName name="_746__FDSAUDITLINK__" localSheetId="20" hidden="1">{"fdsup://Directions/FactSet Auditing Viewer?action=AUDIT_VALUE&amp;DB=129&amp;ID1=91704710&amp;VALUEID=02101&amp;SDATE=200603&amp;PERIODTYPE=QTR_STD&amp;window=popup_no_bar&amp;width=385&amp;height=120&amp;START_MAXIMIZED=FALSE&amp;creator=factset&amp;display_string=Audit"}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localSheetId="1" hidden="1">{"fdsup://Directions/FactSet Auditing Viewer?action=AUDIT_VALUE&amp;DB=129&amp;ID1=91704710&amp;VALUEID=01001&amp;SDATE=200603&amp;PERIODTYPE=QTR_STD&amp;window=popup_no_bar&amp;width=385&amp;height=120&amp;START_MAXIMIZED=FALSE&amp;creator=factset&amp;display_string=Audit"}</definedName>
    <definedName name="_747__FDSAUDITLINK__" localSheetId="20" hidden="1">{"fdsup://Directions/FactSet Auditing Viewer?action=AUDIT_VALUE&amp;DB=129&amp;ID1=91704710&amp;VALUEID=01001&amp;SDATE=200603&amp;PERIODTYPE=QTR_STD&amp;window=popup_no_bar&amp;width=385&amp;height=120&amp;START_MAXIMIZED=FALSE&amp;creator=factset&amp;display_string=Audit"}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localSheetId="1" hidden="1">{"fdsup://Directions/FactSet Auditing Viewer?action=AUDIT_VALUE&amp;DB=129&amp;ID1=91704710&amp;VALUEID=13040&amp;SDATE=200603&amp;PERIODTYPE=QTR_STD&amp;window=popup_no_bar&amp;width=385&amp;height=120&amp;START_MAXIMIZED=FALSE&amp;creator=factset&amp;display_string=Audit"}</definedName>
    <definedName name="_748__FDSAUDITLINK__" localSheetId="20" hidden="1">{"fdsup://Directions/FactSet Auditing Viewer?action=AUDIT_VALUE&amp;DB=129&amp;ID1=91704710&amp;VALUEID=13040&amp;SDATE=200603&amp;PERIODTYPE=QTR_STD&amp;window=popup_no_bar&amp;width=385&amp;height=120&amp;START_MAXIMIZED=FALSE&amp;creator=factset&amp;display_string=Audit"}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localSheetId="1"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49__FDSAUDITLINK__" localSheetId="20"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localSheetId="1" hidden="1">{"fdsup://directions/FAT Viewer?action=UPDATE&amp;creator=factset&amp;DYN_ARGS=TRUE&amp;DOC_NAME=FAT:FQL_AUDITING_CLIENT_TEMPLATE.FAT&amp;display_string=Audit&amp;VAR:KEY=SVCXCXSRCR&amp;VAR:QUERY=RkZfU0FMRVMoTFRNUywwKQ==&amp;WINDOW=FIRST_POPUP&amp;HEIGHT=450&amp;WIDTH=450&amp;START_MAXIMIZED=FALS","E&amp;VAR:CALENDAR=FIVEDAY&amp;VAR:SYMBOL=PLCE&amp;VAR:INDEX=0"}</definedName>
    <definedName name="_75__FDSAUDITLINK__" localSheetId="20" hidden="1">{"fdsup://Directions/FactSet Auditing Viewer?action=AUDIT_VALUE&amp;DB=129&amp;ID1=91704710&amp;VALUEID=02101&amp;SDATE=200902&amp;PERIODTYPE=QTR_STD&amp;window=popup_no_bar&amp;width=385&amp;height=120&amp;START_MAXIMIZED=FALSE&amp;creator=factset&amp;display_string=Audit"}</definedName>
    <definedName name="_75__FDSAUDITLINK__" hidden="1">{"fdsup://directions/FAT Viewer?action=UPDATE&amp;creator=factset&amp;DYN_ARGS=TRUE&amp;DOC_NAME=FAT:FQL_AUDITING_CLIENT_TEMPLATE.FAT&amp;display_string=Audit&amp;VAR:KEY=SVCXCXSRCR&amp;VAR:QUERY=RkZfU0FMRVMoTFRNUywwKQ==&amp;WINDOW=FIRST_POPUP&amp;HEIGHT=450&amp;WIDTH=450&amp;START_MAXIMIZED=FALS","E&amp;VAR:CALENDAR=FIVEDAY&amp;VAR:SYMBOL=PLCE&amp;VAR:INDEX=0"}</definedName>
    <definedName name="_750__FDSAUDITLINK__" localSheetId="1" hidden="1">{"fdsup://Directions/FactSet Auditing Viewer?action=AUDIT_VALUE&amp;DB=129&amp;ID1=00786510&amp;VALUEID=02101&amp;SDATE=200603&amp;PERIODTYPE=QTR_STD&amp;window=popup_no_bar&amp;width=385&amp;height=120&amp;START_MAXIMIZED=FALSE&amp;creator=factset&amp;display_string=Audit"}</definedName>
    <definedName name="_750__FDSAUDITLINK__" localSheetId="20" hidden="1">{"fdsup://Directions/FactSet Auditing Viewer?action=AUDIT_VALUE&amp;DB=129&amp;ID1=00786510&amp;VALUEID=02101&amp;SDATE=200603&amp;PERIODTYPE=QTR_STD&amp;window=popup_no_bar&amp;width=385&amp;height=120&amp;START_MAXIMIZED=FALSE&amp;creator=factset&amp;display_string=Audit"}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localSheetId="1" hidden="1">{"fdsup://Directions/FactSet Auditing Viewer?action=AUDIT_VALUE&amp;DB=129&amp;ID1=00786510&amp;VALUEID=01001&amp;SDATE=200603&amp;PERIODTYPE=QTR_STD&amp;window=popup_no_bar&amp;width=385&amp;height=120&amp;START_MAXIMIZED=FALSE&amp;creator=factset&amp;display_string=Audit"}</definedName>
    <definedName name="_751__FDSAUDITLINK__" localSheetId="20" hidden="1">{"fdsup://Directions/FactSet Auditing Viewer?action=AUDIT_VALUE&amp;DB=129&amp;ID1=00786510&amp;VALUEID=01001&amp;SDATE=200603&amp;PERIODTYPE=QTR_STD&amp;window=popup_no_bar&amp;width=385&amp;height=120&amp;START_MAXIMIZED=FALSE&amp;creator=factset&amp;display_string=Audit"}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localSheetId="1" hidden="1">{"fdsup://Directions/FactSet Auditing Viewer?action=AUDIT_VALUE&amp;DB=129&amp;ID1=00786510&amp;VALUEID=13040&amp;SDATE=200603&amp;PERIODTYPE=QTR_STD&amp;window=popup_no_bar&amp;width=385&amp;height=120&amp;START_MAXIMIZED=FALSE&amp;creator=factset&amp;display_string=Audit"}</definedName>
    <definedName name="_752__FDSAUDITLINK__" localSheetId="20" hidden="1">{"fdsup://Directions/FactSet Auditing Viewer?action=AUDIT_VALUE&amp;DB=129&amp;ID1=00786510&amp;VALUEID=13040&amp;SDATE=200603&amp;PERIODTYPE=QTR_STD&amp;window=popup_no_bar&amp;width=385&amp;height=120&amp;START_MAXIMIZED=FALSE&amp;creator=factset&amp;display_string=Audit"}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localSheetId="1" hidden="1">{"fdsup://Directions/FactSet Auditing Viewer?action=AUDIT_VALUE&amp;DB=129&amp;ID1=00289620&amp;VALUEID=02101&amp;SDATE=200603&amp;PERIODTYPE=QTR_STD&amp;window=popup_no_bar&amp;width=385&amp;height=120&amp;START_MAXIMIZED=FALSE&amp;creator=factset&amp;display_string=Audit"}</definedName>
    <definedName name="_753__FDSAUDITLINK__" localSheetId="20" hidden="1">{"fdsup://Directions/FactSet Auditing Viewer?action=AUDIT_VALUE&amp;DB=129&amp;ID1=00289620&amp;VALUEID=02101&amp;SDATE=200603&amp;PERIODTYPE=QTR_STD&amp;window=popup_no_bar&amp;width=385&amp;height=120&amp;START_MAXIMIZED=FALSE&amp;creator=factset&amp;display_string=Audit"}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localSheetId="1" hidden="1">{"fdsup://Directions/FactSet Auditing Viewer?action=AUDIT_VALUE&amp;DB=129&amp;ID1=00289620&amp;VALUEID=01001&amp;SDATE=200603&amp;PERIODTYPE=QTR_STD&amp;window=popup_no_bar&amp;width=385&amp;height=120&amp;START_MAXIMIZED=FALSE&amp;creator=factset&amp;display_string=Audit"}</definedName>
    <definedName name="_754__FDSAUDITLINK__" localSheetId="20" hidden="1">{"fdsup://Directions/FactSet Auditing Viewer?action=AUDIT_VALUE&amp;DB=129&amp;ID1=00289620&amp;VALUEID=01001&amp;SDATE=200603&amp;PERIODTYPE=QTR_STD&amp;window=popup_no_bar&amp;width=385&amp;height=120&amp;START_MAXIMIZED=FALSE&amp;creator=factset&amp;display_string=Audit"}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localSheetId="1" hidden="1">{"fdsup://Directions/FactSet Auditing Viewer?action=AUDIT_VALUE&amp;DB=129&amp;ID1=00289620&amp;VALUEID=13040&amp;SDATE=200603&amp;PERIODTYPE=QTR_STD&amp;window=popup_no_bar&amp;width=385&amp;height=120&amp;START_MAXIMIZED=FALSE&amp;creator=factset&amp;display_string=Audit"}</definedName>
    <definedName name="_755__FDSAUDITLINK__" localSheetId="20" hidden="1">{"fdsup://Directions/FactSet Auditing Viewer?action=AUDIT_VALUE&amp;DB=129&amp;ID1=00289620&amp;VALUEID=13040&amp;SDATE=200603&amp;PERIODTYPE=QTR_STD&amp;window=popup_no_bar&amp;width=385&amp;height=120&amp;START_MAXIMIZED=FALSE&amp;creator=factset&amp;display_string=Audit"}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localSheetId="1" hidden="1">{"fdsup://Directions/FactSet Auditing Viewer?action=AUDIT_VALUE&amp;DB=129&amp;ID1=87416110&amp;VALUEID=02101&amp;SDATE=200602&amp;PERIODTYPE=QTR_STD&amp;window=popup_no_bar&amp;width=385&amp;height=120&amp;START_MAXIMIZED=FALSE&amp;creator=factset&amp;display_string=Audit"}</definedName>
    <definedName name="_756__FDSAUDITLINK__" localSheetId="20" hidden="1">{"fdsup://Directions/FactSet Auditing Viewer?action=AUDIT_VALUE&amp;DB=129&amp;ID1=87416110&amp;VALUEID=02101&amp;SDATE=200602&amp;PERIODTYPE=QTR_STD&amp;window=popup_no_bar&amp;width=385&amp;height=120&amp;START_MAXIMIZED=FALSE&amp;creator=factset&amp;display_string=Audit"}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localSheetId="1" hidden="1">{"fdsup://Directions/FactSet Auditing Viewer?action=AUDIT_VALUE&amp;DB=129&amp;ID1=87416110&amp;VALUEID=01001&amp;SDATE=200602&amp;PERIODTYPE=QTR_STD&amp;window=popup_no_bar&amp;width=385&amp;height=120&amp;START_MAXIMIZED=FALSE&amp;creator=factset&amp;display_string=Audit"}</definedName>
    <definedName name="_757__FDSAUDITLINK__" localSheetId="20" hidden="1">{"fdsup://Directions/FactSet Auditing Viewer?action=AUDIT_VALUE&amp;DB=129&amp;ID1=87416110&amp;VALUEID=01001&amp;SDATE=200602&amp;PERIODTYPE=QTR_STD&amp;window=popup_no_bar&amp;width=385&amp;height=120&amp;START_MAXIMIZED=FALSE&amp;creator=factset&amp;display_string=Audit"}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758__FDSAUDITLINK__" localSheetId="20" hidden="1">{"fdsup://Directions/FactSet Auditing Viewer?action=AUDIT_VALUE&amp;DB=129&amp;ID1=53271610&amp;VALUEID=02101&amp;SDATE=200602&amp;PERIODTYPE=QTR_STD&amp;window=popup_no_bar&amp;width=385&amp;height=120&amp;START_MAXIMIZED=FALSE&amp;creator=factset&amp;display_string=Audit"}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759__FDSAUDITLINK__" localSheetId="20" hidden="1">{"fdsup://Directions/FactSet Auditing Viewer?action=AUDIT_VALUE&amp;DB=129&amp;ID1=53271610&amp;VALUEID=01001&amp;SDATE=200602&amp;PERIODTYPE=QTR_STD&amp;window=popup_no_bar&amp;width=385&amp;height=120&amp;START_MAXIMIZED=FALSE&amp;creator=factset&amp;display_string=Audit"}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localSheetId="1" hidden="1">{"fdsup://directions/FAT Viewer?action=UPDATE&amp;creator=factset&amp;DYN_ARGS=TRUE&amp;DOC_NAME=FAT:FQL_AUDITING_CLIENT_TEMPLATE.FAT&amp;display_string=Audit&amp;VAR:KEY=EZAZUTGFGX&amp;VAR:QUERY=RkZfU0FMRVMoTFRNUywwKQ==&amp;WINDOW=FIRST_POPUP&amp;HEIGHT=450&amp;WIDTH=450&amp;START_MAXIMIZED=FALS","E&amp;VAR:CALENDAR=FIVEDAY&amp;VAR:SYMBOL=NWY&amp;VAR:INDEX=0"}</definedName>
    <definedName name="_76__FDSAUDITLINK__" localSheetId="20" hidden="1">{"fdsup://Directions/FactSet Auditing Viewer?action=AUDIT_VALUE&amp;DB=129&amp;ID1=91704710&amp;VALUEID=01001&amp;SDATE=200902&amp;PERIODTYPE=QTR_STD&amp;window=popup_no_bar&amp;width=385&amp;height=120&amp;START_MAXIMIZED=FALSE&amp;creator=factset&amp;display_string=Audit"}</definedName>
    <definedName name="_76__FDSAUDITLINK__" hidden="1">{"fdsup://directions/FAT Viewer?action=UPDATE&amp;creator=factset&amp;DYN_ARGS=TRUE&amp;DOC_NAME=FAT:FQL_AUDITING_CLIENT_TEMPLATE.FAT&amp;display_string=Audit&amp;VAR:KEY=EZAZUTGFGX&amp;VAR:QUERY=RkZfU0FMRVMoTFRNUywwKQ==&amp;WINDOW=FIRST_POPUP&amp;HEIGHT=450&amp;WIDTH=450&amp;START_MAXIMIZED=FALS","E&amp;VAR:CALENDAR=FIVEDAY&amp;VAR:SYMBOL=NWY&amp;VAR:INDEX=0"}</definedName>
    <definedName name="_760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760__FDSAUDITLINK__" localSheetId="20" hidden="1">{"fdsup://Directions/FactSet Auditing Viewer?action=AUDIT_VALUE&amp;DB=129&amp;ID1=53271610&amp;VALUEID=13040&amp;SDATE=200602&amp;PERIODTYPE=QTR_STD&amp;window=popup_no_bar&amp;width=385&amp;height=120&amp;START_MAXIMIZED=FALSE&amp;creator=factset&amp;display_string=Audit"}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localSheetId="1" hidden="1">{"fdsup://Directions/FactSet Auditing Viewer?action=AUDIT_VALUE&amp;DB=129&amp;ID1=46612H40&amp;VALUEID=02101&amp;SDATE=200602&amp;PERIODTYPE=QTR_STD&amp;window=popup_no_bar&amp;width=385&amp;height=120&amp;START_MAXIMIZED=FALSE&amp;creator=factset&amp;display_string=Audit"}</definedName>
    <definedName name="_761__FDSAUDITLINK__" localSheetId="20" hidden="1">{"fdsup://Directions/FactSet Auditing Viewer?action=AUDIT_VALUE&amp;DB=129&amp;ID1=46612H40&amp;VALUEID=02101&amp;SDATE=200602&amp;PERIODTYPE=QTR_STD&amp;window=popup_no_bar&amp;width=385&amp;height=120&amp;START_MAXIMIZED=FALSE&amp;creator=factset&amp;display_string=Audit"}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localSheetId="1" hidden="1">{"fdsup://Directions/FactSet Auditing Viewer?action=AUDIT_VALUE&amp;DB=129&amp;ID1=46612H40&amp;VALUEID=01001&amp;SDATE=200602&amp;PERIODTYPE=QTR_STD&amp;window=popup_no_bar&amp;width=385&amp;height=120&amp;START_MAXIMIZED=FALSE&amp;creator=factset&amp;display_string=Audit"}</definedName>
    <definedName name="_762__FDSAUDITLINK__" localSheetId="20" hidden="1">{"fdsup://Directions/FactSet Auditing Viewer?action=AUDIT_VALUE&amp;DB=129&amp;ID1=46612H40&amp;VALUEID=01001&amp;SDATE=200602&amp;PERIODTYPE=QTR_STD&amp;window=popup_no_bar&amp;width=385&amp;height=120&amp;START_MAXIMIZED=FALSE&amp;creator=factset&amp;display_string=Audit"}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localSheetId="1" hidden="1">{"fdsup://Directions/FactSet Auditing Viewer?action=AUDIT_VALUE&amp;DB=129&amp;ID1=46612H40&amp;VALUEID=13040&amp;SDATE=200602&amp;PERIODTYPE=QTR_STD&amp;window=popup_no_bar&amp;width=385&amp;height=120&amp;START_MAXIMIZED=FALSE&amp;creator=factset&amp;display_string=Audit"}</definedName>
    <definedName name="_763__FDSAUDITLINK__" localSheetId="20" hidden="1">{"fdsup://Directions/FactSet Auditing Viewer?action=AUDIT_VALUE&amp;DB=129&amp;ID1=46612H40&amp;VALUEID=13040&amp;SDATE=200602&amp;PERIODTYPE=QTR_STD&amp;window=popup_no_bar&amp;width=385&amp;height=120&amp;START_MAXIMIZED=FALSE&amp;creator=factset&amp;display_string=Audit"}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localSheetId="1" hidden="1">{"fdsup://Directions/FactSet Auditing Viewer?action=AUDIT_VALUE&amp;DB=129&amp;ID1=36476010&amp;VALUEID=02101&amp;SDATE=200602&amp;PERIODTYPE=QTR_STD&amp;window=popup_no_bar&amp;width=385&amp;height=120&amp;START_MAXIMIZED=FALSE&amp;creator=factset&amp;display_string=Audit"}</definedName>
    <definedName name="_764__FDSAUDITLINK__" localSheetId="20" hidden="1">{"fdsup://Directions/FactSet Auditing Viewer?action=AUDIT_VALUE&amp;DB=129&amp;ID1=36476010&amp;VALUEID=02101&amp;SDATE=200602&amp;PERIODTYPE=QTR_STD&amp;window=popup_no_bar&amp;width=385&amp;height=120&amp;START_MAXIMIZED=FALSE&amp;creator=factset&amp;display_string=Audit"}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localSheetId="1" hidden="1">{"fdsup://Directions/FactSet Auditing Viewer?action=AUDIT_VALUE&amp;DB=129&amp;ID1=36476010&amp;VALUEID=01001&amp;SDATE=200602&amp;PERIODTYPE=QTR_STD&amp;window=popup_no_bar&amp;width=385&amp;height=120&amp;START_MAXIMIZED=FALSE&amp;creator=factset&amp;display_string=Audit"}</definedName>
    <definedName name="_765__FDSAUDITLINK__" localSheetId="20" hidden="1">{"fdsup://Directions/FactSet Auditing Viewer?action=AUDIT_VALUE&amp;DB=129&amp;ID1=36476010&amp;VALUEID=01001&amp;SDATE=200602&amp;PERIODTYPE=QTR_STD&amp;window=popup_no_bar&amp;width=385&amp;height=120&amp;START_MAXIMIZED=FALSE&amp;creator=factset&amp;display_string=Audit"}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localSheetId="1" hidden="1">{"fdsup://Directions/FactSet Auditing Viewer?action=AUDIT_VALUE&amp;DB=129&amp;ID1=36476010&amp;VALUEID=13040&amp;SDATE=200602&amp;PERIODTYPE=QTR_STD&amp;window=popup_no_bar&amp;width=385&amp;height=120&amp;START_MAXIMIZED=FALSE&amp;creator=factset&amp;display_string=Audit"}</definedName>
    <definedName name="_766__FDSAUDITLINK__" localSheetId="20" hidden="1">{"fdsup://Directions/FactSet Auditing Viewer?action=AUDIT_VALUE&amp;DB=129&amp;ID1=36476010&amp;VALUEID=13040&amp;SDATE=200602&amp;PERIODTYPE=QTR_STD&amp;window=popup_no_bar&amp;width=385&amp;height=120&amp;START_MAXIMIZED=FALSE&amp;creator=factset&amp;display_string=Audit"}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localSheetId="1" hidden="1">{"fdsup://Directions/FactSet Auditing Viewer?action=AUDIT_VALUE&amp;DB=129&amp;ID1=03611510&amp;VALUEID=02101&amp;SDATE=200602&amp;PERIODTYPE=QTR_STD&amp;window=popup_no_bar&amp;width=385&amp;height=120&amp;START_MAXIMIZED=FALSE&amp;creator=factset&amp;display_string=Audit"}</definedName>
    <definedName name="_767__FDSAUDITLINK__" localSheetId="20" hidden="1">{"fdsup://Directions/FactSet Auditing Viewer?action=AUDIT_VALUE&amp;DB=129&amp;ID1=03611510&amp;VALUEID=02101&amp;SDATE=200602&amp;PERIODTYPE=QTR_STD&amp;window=popup_no_bar&amp;width=385&amp;height=120&amp;START_MAXIMIZED=FALSE&amp;creator=factset&amp;display_string=Audit"}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localSheetId="1" hidden="1">{"fdsup://Directions/FactSet Auditing Viewer?action=AUDIT_VALUE&amp;DB=129&amp;ID1=03611510&amp;VALUEID=01001&amp;SDATE=200602&amp;PERIODTYPE=QTR_STD&amp;window=popup_no_bar&amp;width=385&amp;height=120&amp;START_MAXIMIZED=FALSE&amp;creator=factset&amp;display_string=Audit"}</definedName>
    <definedName name="_768__FDSAUDITLINK__" localSheetId="20" hidden="1">{"fdsup://Directions/FactSet Auditing Viewer?action=AUDIT_VALUE&amp;DB=129&amp;ID1=03611510&amp;VALUEID=01001&amp;SDATE=200602&amp;PERIODTYPE=QTR_STD&amp;window=popup_no_bar&amp;width=385&amp;height=120&amp;START_MAXIMIZED=FALSE&amp;creator=factset&amp;display_string=Audit"}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localSheetId="1" hidden="1">{"fdsup://Directions/FactSet Auditing Viewer?action=AUDIT_VALUE&amp;DB=129&amp;ID1=03611510&amp;VALUEID=13040&amp;SDATE=200602&amp;PERIODTYPE=QTR_STD&amp;window=popup_no_bar&amp;width=385&amp;height=120&amp;START_MAXIMIZED=FALSE&amp;creator=factset&amp;display_string=Audit"}</definedName>
    <definedName name="_769__FDSAUDITLINK__" localSheetId="20" hidden="1">{"fdsup://Directions/FactSet Auditing Viewer?action=AUDIT_VALUE&amp;DB=129&amp;ID1=03611510&amp;VALUEID=13040&amp;SDATE=200602&amp;PERIODTYPE=QTR_STD&amp;window=popup_no_bar&amp;width=385&amp;height=120&amp;START_MAXIMIZED=FALSE&amp;creator=factset&amp;display_string=Audit"}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localSheetId="1" hidden="1">{"fdsup://directions/FAT Viewer?action=UPDATE&amp;creator=factset&amp;DYN_ARGS=TRUE&amp;DOC_NAME=FAT:FQL_AUDITING_CLIENT_TEMPLATE.FAT&amp;display_string=Audit&amp;VAR:KEY=MDQVWLAVWX&amp;VAR:QUERY=RkZfU0FMRVMoTFRNUywwKQ==&amp;WINDOW=FIRST_POPUP&amp;HEIGHT=450&amp;WIDTH=450&amp;START_MAXIMIZED=FALS","E&amp;VAR:CALENDAR=FIVEDAY&amp;VAR:SYMBOL=LTD&amp;VAR:INDEX=0"}</definedName>
    <definedName name="_77__FDSAUDITLINK__" localSheetId="20" hidden="1">{"fdsup://Directions/FactSet Auditing Viewer?action=AUDIT_VALUE&amp;DB=129&amp;ID1=02553E10&amp;VALUEID=02101&amp;SDATE=200902&amp;PERIODTYPE=QTR_STD&amp;window=popup_no_bar&amp;width=385&amp;height=120&amp;START_MAXIMIZED=FALSE&amp;creator=factset&amp;display_string=Audit"}</definedName>
    <definedName name="_77__FDSAUDITLINK__" hidden="1">{"fdsup://directions/FAT Viewer?action=UPDATE&amp;creator=factset&amp;DYN_ARGS=TRUE&amp;DOC_NAME=FAT:FQL_AUDITING_CLIENT_TEMPLATE.FAT&amp;display_string=Audit&amp;VAR:KEY=MDQVWLAVWX&amp;VAR:QUERY=RkZfU0FMRVMoTFRNUywwKQ==&amp;WINDOW=FIRST_POPUP&amp;HEIGHT=450&amp;WIDTH=450&amp;START_MAXIMIZED=FALS","E&amp;VAR:CALENDAR=FIVEDAY&amp;VAR:SYMBOL=LTD&amp;VAR:INDEX=0"}</definedName>
    <definedName name="_770__FDSAUDITLINK__" localSheetId="1" hidden="1">{"fdsup://Directions/FactSet Auditing Viewer?action=AUDIT_VALUE&amp;DB=129&amp;ID1=16890510&amp;VALUEID=02101&amp;SDATE=200602&amp;PERIODTYPE=QTR_STD&amp;window=popup_no_bar&amp;width=385&amp;height=120&amp;START_MAXIMIZED=FALSE&amp;creator=factset&amp;display_string=Audit"}</definedName>
    <definedName name="_770__FDSAUDITLINK__" localSheetId="20" hidden="1">{"fdsup://Directions/FactSet Auditing Viewer?action=AUDIT_VALUE&amp;DB=129&amp;ID1=16890510&amp;VALUEID=02101&amp;SDATE=200602&amp;PERIODTYPE=QTR_STD&amp;window=popup_no_bar&amp;width=385&amp;height=120&amp;START_MAXIMIZED=FALSE&amp;creator=factset&amp;display_string=Audit"}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localSheetId="1" hidden="1">{"fdsup://Directions/FactSet Auditing Viewer?action=AUDIT_VALUE&amp;DB=129&amp;ID1=16890510&amp;VALUEID=01001&amp;SDATE=200602&amp;PERIODTYPE=QTR_STD&amp;window=popup_no_bar&amp;width=385&amp;height=120&amp;START_MAXIMIZED=FALSE&amp;creator=factset&amp;display_string=Audit"}</definedName>
    <definedName name="_771__FDSAUDITLINK__" localSheetId="20" hidden="1">{"fdsup://Directions/FactSet Auditing Viewer?action=AUDIT_VALUE&amp;DB=129&amp;ID1=16890510&amp;VALUEID=01001&amp;SDATE=200602&amp;PERIODTYPE=QTR_STD&amp;window=popup_no_bar&amp;width=385&amp;height=120&amp;START_MAXIMIZED=FALSE&amp;creator=factset&amp;display_string=Audit"}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localSheetId="1" hidden="1">{"fdsup://Directions/FactSet Auditing Viewer?action=AUDIT_VALUE&amp;DB=129&amp;ID1=91704710&amp;VALUEID=02101&amp;SDATE=200602&amp;PERIODTYPE=QTR_STD&amp;window=popup_no_bar&amp;width=385&amp;height=120&amp;START_MAXIMIZED=FALSE&amp;creator=factset&amp;display_string=Audit"}</definedName>
    <definedName name="_772__FDSAUDITLINK__" localSheetId="20" hidden="1">{"fdsup://Directions/FactSet Auditing Viewer?action=AUDIT_VALUE&amp;DB=129&amp;ID1=91704710&amp;VALUEID=02101&amp;SDATE=200602&amp;PERIODTYPE=QTR_STD&amp;window=popup_no_bar&amp;width=385&amp;height=120&amp;START_MAXIMIZED=FALSE&amp;creator=factset&amp;display_string=Audit"}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localSheetId="1" hidden="1">{"fdsup://Directions/FactSet Auditing Viewer?action=AUDIT_VALUE&amp;DB=129&amp;ID1=91704710&amp;VALUEID=01001&amp;SDATE=200602&amp;PERIODTYPE=QTR_STD&amp;window=popup_no_bar&amp;width=385&amp;height=120&amp;START_MAXIMIZED=FALSE&amp;creator=factset&amp;display_string=Audit"}</definedName>
    <definedName name="_773__FDSAUDITLINK__" localSheetId="20" hidden="1">{"fdsup://Directions/FactSet Auditing Viewer?action=AUDIT_VALUE&amp;DB=129&amp;ID1=91704710&amp;VALUEID=01001&amp;SDATE=200602&amp;PERIODTYPE=QTR_STD&amp;window=popup_no_bar&amp;width=385&amp;height=120&amp;START_MAXIMIZED=FALSE&amp;creator=factset&amp;display_string=Audit"}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localSheetId="1" hidden="1">{"fdsup://Directions/FactSet Auditing Viewer?action=AUDIT_VALUE&amp;DB=129&amp;ID1=91704710&amp;VALUEID=13040&amp;SDATE=200602&amp;PERIODTYPE=QTR_STD&amp;window=popup_no_bar&amp;width=385&amp;height=120&amp;START_MAXIMIZED=FALSE&amp;creator=factset&amp;display_string=Audit"}</definedName>
    <definedName name="_774__FDSAUDITLINK__" localSheetId="20" hidden="1">{"fdsup://Directions/FactSet Auditing Viewer?action=AUDIT_VALUE&amp;DB=129&amp;ID1=91704710&amp;VALUEID=13040&amp;SDATE=200602&amp;PERIODTYPE=QTR_STD&amp;window=popup_no_bar&amp;width=385&amp;height=120&amp;START_MAXIMIZED=FALSE&amp;creator=factset&amp;display_string=Audit"}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localSheetId="1"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5__FDSAUDITLINK__" localSheetId="20"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localSheetId="1" hidden="1">{"fdsup://Directions/FactSet Auditing Viewer?action=AUDIT_VALUE&amp;DB=129&amp;ID1=00786510&amp;VALUEID=02101&amp;SDATE=200602&amp;PERIODTYPE=QTR_STD&amp;window=popup_no_bar&amp;width=385&amp;height=120&amp;START_MAXIMIZED=FALSE&amp;creator=factset&amp;display_string=Audit"}</definedName>
    <definedName name="_776__FDSAUDITLINK__" localSheetId="20" hidden="1">{"fdsup://Directions/FactSet Auditing Viewer?action=AUDIT_VALUE&amp;DB=129&amp;ID1=00786510&amp;VALUEID=02101&amp;SDATE=200602&amp;PERIODTYPE=QTR_STD&amp;window=popup_no_bar&amp;width=385&amp;height=120&amp;START_MAXIMIZED=FALSE&amp;creator=factset&amp;display_string=Audit"}</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localSheetId="1" hidden="1">{"fdsup://Directions/FactSet Auditing Viewer?action=AUDIT_VALUE&amp;DB=129&amp;ID1=00786510&amp;VALUEID=01001&amp;SDATE=200602&amp;PERIODTYPE=QTR_STD&amp;window=popup_no_bar&amp;width=385&amp;height=120&amp;START_MAXIMIZED=FALSE&amp;creator=factset&amp;display_string=Audit"}</definedName>
    <definedName name="_777__FDSAUDITLINK__" localSheetId="20" hidden="1">{"fdsup://Directions/FactSet Auditing Viewer?action=AUDIT_VALUE&amp;DB=129&amp;ID1=00786510&amp;VALUEID=01001&amp;SDATE=200602&amp;PERIODTYPE=QTR_STD&amp;window=popup_no_bar&amp;width=385&amp;height=120&amp;START_MAXIMIZED=FALSE&amp;creator=factset&amp;display_string=Audit"}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localSheetId="1" hidden="1">{"fdsup://Directions/FactSet Auditing Viewer?action=AUDIT_VALUE&amp;DB=129&amp;ID1=00786510&amp;VALUEID=13040&amp;SDATE=200602&amp;PERIODTYPE=QTR_STD&amp;window=popup_no_bar&amp;width=385&amp;height=120&amp;START_MAXIMIZED=FALSE&amp;creator=factset&amp;display_string=Audit"}</definedName>
    <definedName name="_778__FDSAUDITLINK__" localSheetId="20" hidden="1">{"fdsup://Directions/FactSet Auditing Viewer?action=AUDIT_VALUE&amp;DB=129&amp;ID1=00786510&amp;VALUEID=13040&amp;SDATE=200602&amp;PERIODTYPE=QTR_STD&amp;window=popup_no_bar&amp;width=385&amp;height=120&amp;START_MAXIMIZED=FALSE&amp;creator=factset&amp;display_string=Audit"}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localSheetId="1" hidden="1">{"fdsup://Directions/FactSet Auditing Viewer?action=AUDIT_VALUE&amp;DB=129&amp;ID1=00289620&amp;VALUEID=02101&amp;SDATE=200602&amp;PERIODTYPE=QTR_STD&amp;window=popup_no_bar&amp;width=385&amp;height=120&amp;START_MAXIMIZED=FALSE&amp;creator=factset&amp;display_string=Audit"}</definedName>
    <definedName name="_779__FDSAUDITLINK__" localSheetId="20" hidden="1">{"fdsup://Directions/FactSet Auditing Viewer?action=AUDIT_VALUE&amp;DB=129&amp;ID1=00289620&amp;VALUEID=02101&amp;SDATE=200602&amp;PERIODTYPE=QTR_STD&amp;window=popup_no_bar&amp;width=385&amp;height=120&amp;START_MAXIMIZED=FALSE&amp;creator=factset&amp;display_string=Audit"}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localSheetId="1" hidden="1">{"fdsup://directions/FAT Viewer?action=UPDATE&amp;creator=factset&amp;DYN_ARGS=TRUE&amp;DOC_NAME=FAT:FQL_AUDITING_CLIENT_TEMPLATE.FAT&amp;display_string=Audit&amp;VAR:KEY=YXIPWPMLKR&amp;VAR:QUERY=RkZfU0FMRVMoTFRNUywwKQ==&amp;WINDOW=FIRST_POPUP&amp;HEIGHT=450&amp;WIDTH=450&amp;START_MAXIMIZED=FALS","E&amp;VAR:CALENDAR=FIVEDAY&amp;VAR:SYMBOL=JOSB&amp;VAR:INDEX=0"}</definedName>
    <definedName name="_78__FDSAUDITLINK__" localSheetId="20" hidden="1">{"fdsup://Directions/FactSet Auditing Viewer?action=AUDIT_VALUE&amp;DB=129&amp;ID1=02553E10&amp;VALUEID=01001&amp;SDATE=200902&amp;PERIODTYPE=QTR_STD&amp;window=popup_no_bar&amp;width=385&amp;height=120&amp;START_MAXIMIZED=FALSE&amp;creator=factset&amp;display_string=Audit"}</definedName>
    <definedName name="_78__FDSAUDITLINK__" hidden="1">{"fdsup://directions/FAT Viewer?action=UPDATE&amp;creator=factset&amp;DYN_ARGS=TRUE&amp;DOC_NAME=FAT:FQL_AUDITING_CLIENT_TEMPLATE.FAT&amp;display_string=Audit&amp;VAR:KEY=YXIPWPMLKR&amp;VAR:QUERY=RkZfU0FMRVMoTFRNUywwKQ==&amp;WINDOW=FIRST_POPUP&amp;HEIGHT=450&amp;WIDTH=450&amp;START_MAXIMIZED=FALS","E&amp;VAR:CALENDAR=FIVEDAY&amp;VAR:SYMBOL=JOSB&amp;VAR:INDEX=0"}</definedName>
    <definedName name="_780__FDSAUDITLINK__" localSheetId="1" hidden="1">{"fdsup://Directions/FactSet Auditing Viewer?action=AUDIT_VALUE&amp;DB=129&amp;ID1=00289620&amp;VALUEID=01001&amp;SDATE=200602&amp;PERIODTYPE=QTR_STD&amp;window=popup_no_bar&amp;width=385&amp;height=120&amp;START_MAXIMIZED=FALSE&amp;creator=factset&amp;display_string=Audit"}</definedName>
    <definedName name="_780__FDSAUDITLINK__" localSheetId="20" hidden="1">{"fdsup://Directions/FactSet Auditing Viewer?action=AUDIT_VALUE&amp;DB=129&amp;ID1=00289620&amp;VALUEID=01001&amp;SDATE=200602&amp;PERIODTYPE=QTR_STD&amp;window=popup_no_bar&amp;width=385&amp;height=120&amp;START_MAXIMIZED=FALSE&amp;creator=factset&amp;display_string=Audit"}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localSheetId="1" hidden="1">{"fdsup://Directions/FactSet Auditing Viewer?action=AUDIT_VALUE&amp;DB=129&amp;ID1=00289620&amp;VALUEID=13040&amp;SDATE=200602&amp;PERIODTYPE=QTR_STD&amp;window=popup_no_bar&amp;width=385&amp;height=120&amp;START_MAXIMIZED=FALSE&amp;creator=factset&amp;display_string=Audit"}</definedName>
    <definedName name="_781__FDSAUDITLINK__" localSheetId="20" hidden="1">{"fdsup://Directions/FactSet Auditing Viewer?action=AUDIT_VALUE&amp;DB=129&amp;ID1=00289620&amp;VALUEID=13040&amp;SDATE=200602&amp;PERIODTYPE=QTR_STD&amp;window=popup_no_bar&amp;width=385&amp;height=120&amp;START_MAXIMIZED=FALSE&amp;creator=factset&amp;display_string=Audit"}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localSheetId="1" hidden="1">{"fdsup://Directions/FactSet Auditing Viewer?action=AUDIT_VALUE&amp;DB=129&amp;ID1=87416110&amp;VALUEID=02101&amp;SDATE=200601&amp;PERIODTYPE=QTR_STD&amp;window=popup_no_bar&amp;width=385&amp;height=120&amp;START_MAXIMIZED=FALSE&amp;creator=factset&amp;display_string=Audit"}</definedName>
    <definedName name="_782__FDSAUDITLINK__" localSheetId="20" hidden="1">{"fdsup://Directions/FactSet Auditing Viewer?action=AUDIT_VALUE&amp;DB=129&amp;ID1=87416110&amp;VALUEID=02101&amp;SDATE=200601&amp;PERIODTYPE=QTR_STD&amp;window=popup_no_bar&amp;width=385&amp;height=120&amp;START_MAXIMIZED=FALSE&amp;creator=factset&amp;display_string=Audit"}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localSheetId="1" hidden="1">{"fdsup://Directions/FactSet Auditing Viewer?action=AUDIT_VALUE&amp;DB=129&amp;ID1=87416110&amp;VALUEID=01001&amp;SDATE=200601&amp;PERIODTYPE=QTR_STD&amp;window=popup_no_bar&amp;width=385&amp;height=120&amp;START_MAXIMIZED=FALSE&amp;creator=factset&amp;display_string=Audit"}</definedName>
    <definedName name="_783__FDSAUDITLINK__" localSheetId="20" hidden="1">{"fdsup://Directions/FactSet Auditing Viewer?action=AUDIT_VALUE&amp;DB=129&amp;ID1=87416110&amp;VALUEID=01001&amp;SDATE=200601&amp;PERIODTYPE=QTR_STD&amp;window=popup_no_bar&amp;width=385&amp;height=120&amp;START_MAXIMIZED=FALSE&amp;creator=factset&amp;display_string=Audit"}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localSheetId="1" hidden="1">{"fdsup://Directions/FactSet Auditing Viewer?action=AUDIT_VALUE&amp;DB=129&amp;ID1=87416110&amp;VALUEID=13040&amp;SDATE=200601&amp;PERIODTYPE=QTR_STD&amp;window=popup_no_bar&amp;width=385&amp;height=120&amp;START_MAXIMIZED=FALSE&amp;creator=factset&amp;display_string=Audit"}</definedName>
    <definedName name="_784__FDSAUDITLINK__" localSheetId="20" hidden="1">{"fdsup://Directions/FactSet Auditing Viewer?action=AUDIT_VALUE&amp;DB=129&amp;ID1=87416110&amp;VALUEID=13040&amp;SDATE=200601&amp;PERIODTYPE=QTR_STD&amp;window=popup_no_bar&amp;width=385&amp;height=120&amp;START_MAXIMIZED=FALSE&amp;creator=factset&amp;display_string=Audit"}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localSheetId="1"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5__FDSAUDITLINK__" localSheetId="20"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786__FDSAUDITLINK__" localSheetId="20" hidden="1">{"fdsup://Directions/FactSet Auditing Viewer?action=AUDIT_VALUE&amp;DB=129&amp;ID1=53271610&amp;VALUEID=02101&amp;SDATE=200601&amp;PERIODTYPE=QTR_STD&amp;window=popup_no_bar&amp;width=385&amp;height=120&amp;START_MAXIMIZED=FALSE&amp;creator=factset&amp;display_string=Audit"}</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787__FDSAUDITLINK__" localSheetId="20" hidden="1">{"fdsup://Directions/FactSet Auditing Viewer?action=AUDIT_VALUE&amp;DB=129&amp;ID1=53271610&amp;VALUEID=01001&amp;SDATE=200601&amp;PERIODTYPE=QTR_STD&amp;window=popup_no_bar&amp;width=385&amp;height=120&amp;START_MAXIMIZED=FALSE&amp;creator=factset&amp;display_string=Audit"}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788__FDSAUDITLINK__" localSheetId="20" hidden="1">{"fdsup://Directions/FactSet Auditing Viewer?action=AUDIT_VALUE&amp;DB=129&amp;ID1=53271610&amp;VALUEID=13040&amp;SDATE=200601&amp;PERIODTYPE=QTR_STD&amp;window=popup_no_bar&amp;width=385&amp;height=120&amp;START_MAXIMIZED=FALSE&amp;creator=factset&amp;display_string=Audit"}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localSheetId="1" hidden="1">{"fdsup://Directions/FactSet Auditing Viewer?action=AUDIT_VALUE&amp;DB=129&amp;ID1=46612H40&amp;VALUEID=02101&amp;SDATE=200601&amp;PERIODTYPE=QTR_STD&amp;window=popup_no_bar&amp;width=385&amp;height=120&amp;START_MAXIMIZED=FALSE&amp;creator=factset&amp;display_string=Audit"}</definedName>
    <definedName name="_789__FDSAUDITLINK__" localSheetId="20" hidden="1">{"fdsup://Directions/FactSet Auditing Viewer?action=AUDIT_VALUE&amp;DB=129&amp;ID1=46612H40&amp;VALUEID=02101&amp;SDATE=200601&amp;PERIODTYPE=QTR_STD&amp;window=popup_no_bar&amp;width=385&amp;height=120&amp;START_MAXIMIZED=FALSE&amp;creator=factset&amp;display_string=Audit"}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localSheetId="1" hidden="1">{"fdsup://directions/FAT Viewer?action=UPDATE&amp;creator=factset&amp;DYN_ARGS=TRUE&amp;DOC_NAME=FAT:FQL_AUDITING_CLIENT_TEMPLATE.FAT&amp;display_string=Audit&amp;VAR:KEY=WJODKDSBEN&amp;VAR:QUERY=RkZfU0FMRVMoTFRNUywwKQ==&amp;WINDOW=FIRST_POPUP&amp;HEIGHT=450&amp;WIDTH=450&amp;START_MAXIMIZED=FALS","E&amp;VAR:CALENDAR=FIVEDAY&amp;VAR:SYMBOL=HOTT&amp;VAR:INDEX=0"}</definedName>
    <definedName name="_79__FDSAUDITLINK__" localSheetId="20" hidden="1">{"fdsup://Directions/FactSet Auditing Viewer?action=AUDIT_VALUE&amp;DB=129&amp;ID1=02553E10&amp;VALUEID=13040&amp;SDATE=200902&amp;PERIODTYPE=QTR_STD&amp;window=popup_no_bar&amp;width=385&amp;height=120&amp;START_MAXIMIZED=FALSE&amp;creator=factset&amp;display_string=Audit"}</definedName>
    <definedName name="_79__FDSAUDITLINK__" hidden="1">{"fdsup://directions/FAT Viewer?action=UPDATE&amp;creator=factset&amp;DYN_ARGS=TRUE&amp;DOC_NAME=FAT:FQL_AUDITING_CLIENT_TEMPLATE.FAT&amp;display_string=Audit&amp;VAR:KEY=WJODKDSBEN&amp;VAR:QUERY=RkZfU0FMRVMoTFRNUywwKQ==&amp;WINDOW=FIRST_POPUP&amp;HEIGHT=450&amp;WIDTH=450&amp;START_MAXIMIZED=FALS","E&amp;VAR:CALENDAR=FIVEDAY&amp;VAR:SYMBOL=HOTT&amp;VAR:INDEX=0"}</definedName>
    <definedName name="_790__FDSAUDITLINK__" localSheetId="1" hidden="1">{"fdsup://Directions/FactSet Auditing Viewer?action=AUDIT_VALUE&amp;DB=129&amp;ID1=46612H40&amp;VALUEID=01001&amp;SDATE=200601&amp;PERIODTYPE=QTR_STD&amp;window=popup_no_bar&amp;width=385&amp;height=120&amp;START_MAXIMIZED=FALSE&amp;creator=factset&amp;display_string=Audit"}</definedName>
    <definedName name="_790__FDSAUDITLINK__" localSheetId="20" hidden="1">{"fdsup://Directions/FactSet Auditing Viewer?action=AUDIT_VALUE&amp;DB=129&amp;ID1=46612H40&amp;VALUEID=01001&amp;SDATE=200601&amp;PERIODTYPE=QTR_STD&amp;window=popup_no_bar&amp;width=385&amp;height=120&amp;START_MAXIMIZED=FALSE&amp;creator=factset&amp;display_string=Audit"}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localSheetId="1" hidden="1">{"fdsup://Directions/FactSet Auditing Viewer?action=AUDIT_VALUE&amp;DB=129&amp;ID1=46612H40&amp;VALUEID=13040&amp;SDATE=200601&amp;PERIODTYPE=QTR_STD&amp;window=popup_no_bar&amp;width=385&amp;height=120&amp;START_MAXIMIZED=FALSE&amp;creator=factset&amp;display_string=Audit"}</definedName>
    <definedName name="_791__FDSAUDITLINK__" localSheetId="20" hidden="1">{"fdsup://Directions/FactSet Auditing Viewer?action=AUDIT_VALUE&amp;DB=129&amp;ID1=46612H40&amp;VALUEID=13040&amp;SDATE=200601&amp;PERIODTYPE=QTR_STD&amp;window=popup_no_bar&amp;width=385&amp;height=120&amp;START_MAXIMIZED=FALSE&amp;creator=factset&amp;display_string=Audit"}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localSheetId="1" hidden="1">{"fdsup://Directions/FactSet Auditing Viewer?action=AUDIT_VALUE&amp;DB=129&amp;ID1=36476010&amp;VALUEID=02101&amp;SDATE=200601&amp;PERIODTYPE=QTR_STD&amp;window=popup_no_bar&amp;width=385&amp;height=120&amp;START_MAXIMIZED=FALSE&amp;creator=factset&amp;display_string=Audit"}</definedName>
    <definedName name="_792__FDSAUDITLINK__" localSheetId="20" hidden="1">{"fdsup://Directions/FactSet Auditing Viewer?action=AUDIT_VALUE&amp;DB=129&amp;ID1=36476010&amp;VALUEID=02101&amp;SDATE=200601&amp;PERIODTYPE=QTR_STD&amp;window=popup_no_bar&amp;width=385&amp;height=120&amp;START_MAXIMIZED=FALSE&amp;creator=factset&amp;display_string=Audit"}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localSheetId="1" hidden="1">{"fdsup://Directions/FactSet Auditing Viewer?action=AUDIT_VALUE&amp;DB=129&amp;ID1=36476010&amp;VALUEID=01001&amp;SDATE=200601&amp;PERIODTYPE=QTR_STD&amp;window=popup_no_bar&amp;width=385&amp;height=120&amp;START_MAXIMIZED=FALSE&amp;creator=factset&amp;display_string=Audit"}</definedName>
    <definedName name="_793__FDSAUDITLINK__" localSheetId="20" hidden="1">{"fdsup://Directions/FactSet Auditing Viewer?action=AUDIT_VALUE&amp;DB=129&amp;ID1=36476010&amp;VALUEID=01001&amp;SDATE=200601&amp;PERIODTYPE=QTR_STD&amp;window=popup_no_bar&amp;width=385&amp;height=120&amp;START_MAXIMIZED=FALSE&amp;creator=factset&amp;display_string=Audit"}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localSheetId="1" hidden="1">{"fdsup://Directions/FactSet Auditing Viewer?action=AUDIT_VALUE&amp;DB=129&amp;ID1=36476010&amp;VALUEID=13040&amp;SDATE=200601&amp;PERIODTYPE=QTR_STD&amp;window=popup_no_bar&amp;width=385&amp;height=120&amp;START_MAXIMIZED=FALSE&amp;creator=factset&amp;display_string=Audit"}</definedName>
    <definedName name="_794__FDSAUDITLINK__" localSheetId="20" hidden="1">{"fdsup://Directions/FactSet Auditing Viewer?action=AUDIT_VALUE&amp;DB=129&amp;ID1=36476010&amp;VALUEID=13040&amp;SDATE=200601&amp;PERIODTYPE=QTR_STD&amp;window=popup_no_bar&amp;width=385&amp;height=120&amp;START_MAXIMIZED=FALSE&amp;creator=factset&amp;display_string=Audit"}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localSheetId="1" hidden="1">{"fdsup://Directions/FactSet Auditing Viewer?action=AUDIT_VALUE&amp;DB=129&amp;ID1=03611510&amp;VALUEID=02101&amp;SDATE=200601&amp;PERIODTYPE=QTR_STD&amp;window=popup_no_bar&amp;width=385&amp;height=120&amp;START_MAXIMIZED=FALSE&amp;creator=factset&amp;display_string=Audit"}</definedName>
    <definedName name="_795__FDSAUDITLINK__" localSheetId="20" hidden="1">{"fdsup://Directions/FactSet Auditing Viewer?action=AUDIT_VALUE&amp;DB=129&amp;ID1=03611510&amp;VALUEID=02101&amp;SDATE=200601&amp;PERIODTYPE=QTR_STD&amp;window=popup_no_bar&amp;width=385&amp;height=120&amp;START_MAXIMIZED=FALSE&amp;creator=factset&amp;display_string=Audit"}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localSheetId="1" hidden="1">{"fdsup://Directions/FactSet Auditing Viewer?action=AUDIT_VALUE&amp;DB=129&amp;ID1=03611510&amp;VALUEID=13040&amp;SDATE=200601&amp;PERIODTYPE=QTR_STD&amp;window=popup_no_bar&amp;width=385&amp;height=120&amp;START_MAXIMIZED=FALSE&amp;creator=factset&amp;display_string=Audit"}</definedName>
    <definedName name="_796__FDSAUDITLINK__" localSheetId="20" hidden="1">{"fdsup://Directions/FactSet Auditing Viewer?action=AUDIT_VALUE&amp;DB=129&amp;ID1=03611510&amp;VALUEID=13040&amp;SDATE=200601&amp;PERIODTYPE=QTR_STD&amp;window=popup_no_bar&amp;width=385&amp;height=120&amp;START_MAXIMIZED=FALSE&amp;creator=factset&amp;display_string=Audit"}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localSheetId="1" hidden="1">{"fdsup://Directions/FactSet Auditing Viewer?action=AUDIT_VALUE&amp;DB=129&amp;ID1=16890510&amp;VALUEID=02101&amp;SDATE=200601&amp;PERIODTYPE=QTR_STD&amp;window=popup_no_bar&amp;width=385&amp;height=120&amp;START_MAXIMIZED=FALSE&amp;creator=factset&amp;display_string=Audit"}</definedName>
    <definedName name="_797__FDSAUDITLINK__" localSheetId="20" hidden="1">{"fdsup://Directions/FactSet Auditing Viewer?action=AUDIT_VALUE&amp;DB=129&amp;ID1=16890510&amp;VALUEID=02101&amp;SDATE=200601&amp;PERIODTYPE=QTR_STD&amp;window=popup_no_bar&amp;width=385&amp;height=120&amp;START_MAXIMIZED=FALSE&amp;creator=factset&amp;display_string=Audit"}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localSheetId="1" hidden="1">{"fdsup://Directions/FactSet Auditing Viewer?action=AUDIT_VALUE&amp;DB=129&amp;ID1=16890510&amp;VALUEID=01001&amp;SDATE=200601&amp;PERIODTYPE=QTR_STD&amp;window=popup_no_bar&amp;width=385&amp;height=120&amp;START_MAXIMIZED=FALSE&amp;creator=factset&amp;display_string=Audit"}</definedName>
    <definedName name="_798__FDSAUDITLINK__" localSheetId="20" hidden="1">{"fdsup://Directions/FactSet Auditing Viewer?action=AUDIT_VALUE&amp;DB=129&amp;ID1=16890510&amp;VALUEID=01001&amp;SDATE=200601&amp;PERIODTYPE=QTR_STD&amp;window=popup_no_bar&amp;width=385&amp;height=120&amp;START_MAXIMIZED=FALSE&amp;creator=factset&amp;display_string=Audit"}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localSheetId="1" hidden="1">{"fdsup://Directions/FactSet Auditing Viewer?action=AUDIT_VALUE&amp;DB=129&amp;ID1=91704710&amp;VALUEID=02101&amp;SDATE=200601&amp;PERIODTYPE=QTR_STD&amp;window=popup_no_bar&amp;width=385&amp;height=120&amp;START_MAXIMIZED=FALSE&amp;creator=factset&amp;display_string=Audit"}</definedName>
    <definedName name="_799__FDSAUDITLINK__" localSheetId="20" hidden="1">{"fdsup://Directions/FactSet Auditing Viewer?action=AUDIT_VALUE&amp;DB=129&amp;ID1=91704710&amp;VALUEID=02101&amp;SDATE=200601&amp;PERIODTYPE=QTR_STD&amp;window=popup_no_bar&amp;width=385&amp;height=120&amp;START_MAXIMIZED=FALSE&amp;creator=factset&amp;display_string=Audit"}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[2]ｾｸﾞﾒﾝﾄ!$E$165:$I$165</definedName>
    <definedName name="_8__FDSAUDITLINK__" localSheetId="1" hidden="1">{"fdsup://directions/FAT Viewer?action=UPDATE&amp;creator=factset&amp;DYN_ARGS=TRUE&amp;DOC_NAME=FAT:FQL_AUDITING_CLIENT_TEMPLATE.FAT&amp;display_string=Audit&amp;VAR:KEY=IFGTCHCBIJ&amp;VAR:QUERY=RkZfRU5UUlBSX1ZBTF9FQklUREFfT1BFUihBTk4sMCk=&amp;WINDOW=FIRST_POPUP&amp;HEIGHT=450&amp;WIDTH=450&amp;","START_MAXIMIZED=FALSE&amp;VAR:CALENDAR=FIVEDAY&amp;VAR:SYMBOL=MW&amp;VAR:INDEX=0"}</definedName>
    <definedName name="_8__FDSAUDITLINK__" localSheetId="20" hidden="1">{"fdsup://Directions/FactSet Auditing Viewer?action=AUDIT_VALUE&amp;DB=129&amp;ID1=36476010&amp;VALUEID=02101&amp;SDATE=201001&amp;PERIODTYPE=QTR_STD&amp;window=popup_no_bar&amp;width=385&amp;height=120&amp;START_MAXIMIZED=FALSE&amp;creator=factset&amp;display_string=Audit"}</definedName>
    <definedName name="_8__FDSAUDITLINK__" hidden="1">{"fdsup://directions/FAT Viewer?action=UPDATE&amp;creator=factset&amp;DYN_ARGS=TRUE&amp;DOC_NAME=FAT:FQL_AUDITING_CLIENT_TEMPLATE.FAT&amp;display_string=Audit&amp;VAR:KEY=IFGTCHCBIJ&amp;VAR:QUERY=RkZfRU5UUlBSX1ZBTF9FQklUREFfT1BFUihBTk4sMCk=&amp;WINDOW=FIRST_POPUP&amp;HEIGHT=450&amp;WIDTH=450&amp;","START_MAXIMIZED=FALSE&amp;VAR:CALENDAR=FIVEDAY&amp;VAR:SYMBOL=MW&amp;VAR:INDEX=0"}</definedName>
    <definedName name="_80__FDSAUDITLINK__" localSheetId="1" hidden="1">{"fdsup://directions/FAT Viewer?action=UPDATE&amp;creator=factset&amp;DYN_ARGS=TRUE&amp;DOC_NAME=FAT:FQL_AUDITING_CLIENT_TEMPLATE.FAT&amp;display_string=Audit&amp;VAR:KEY=ABERMNMRGJ&amp;VAR:QUERY=RkZfTkVUX0RFQlQoUVRSLDAp&amp;WINDOW=FIRST_POPUP&amp;HEIGHT=450&amp;WIDTH=450&amp;START_MAXIMIZED=FALS","E&amp;VAR:CALENDAR=FIVEDAY&amp;VAR:SYMBOL=GYMB&amp;VAR:INDEX=0"}</definedName>
    <definedName name="_80__FDSAUDITLINK__" localSheetId="20" hidden="1">{"fdsup://Directions/FactSet Auditing Viewer?action=AUDIT_VALUE&amp;DB=129&amp;ID1=00786510&amp;VALUEID=02101&amp;SDATE=200902&amp;PERIODTYPE=QTR_STD&amp;window=popup_no_bar&amp;width=385&amp;height=120&amp;START_MAXIMIZED=FALSE&amp;creator=factset&amp;display_string=Audit"}</definedName>
    <definedName name="_80__FDSAUDITLINK__" hidden="1">{"fdsup://directions/FAT Viewer?action=UPDATE&amp;creator=factset&amp;DYN_ARGS=TRUE&amp;DOC_NAME=FAT:FQL_AUDITING_CLIENT_TEMPLATE.FAT&amp;display_string=Audit&amp;VAR:KEY=ABERMNMRGJ&amp;VAR:QUERY=RkZfTkVUX0RFQlQoUVRSLDAp&amp;WINDOW=FIRST_POPUP&amp;HEIGHT=450&amp;WIDTH=450&amp;START_MAXIMIZED=FALS","E&amp;VAR:CALENDAR=FIVEDAY&amp;VAR:SYMBOL=GYMB&amp;VAR:INDEX=0"}</definedName>
    <definedName name="_800__FDSAUDITLINK__" localSheetId="1" hidden="1">{"fdsup://Directions/FactSet Auditing Viewer?action=AUDIT_VALUE&amp;DB=129&amp;ID1=91704710&amp;VALUEID=01001&amp;SDATE=200601&amp;PERIODTYPE=QTR_STD&amp;window=popup_no_bar&amp;width=385&amp;height=120&amp;START_MAXIMIZED=FALSE&amp;creator=factset&amp;display_string=Audit"}</definedName>
    <definedName name="_800__FDSAUDITLINK__" localSheetId="20" hidden="1">{"fdsup://Directions/FactSet Auditing Viewer?action=AUDIT_VALUE&amp;DB=129&amp;ID1=91704710&amp;VALUEID=01001&amp;SDATE=200601&amp;PERIODTYPE=QTR_STD&amp;window=popup_no_bar&amp;width=385&amp;height=120&amp;START_MAXIMIZED=FALSE&amp;creator=factset&amp;display_string=Audit"}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localSheetId="1" hidden="1">{"fdsup://Directions/FactSet Auditing Viewer?action=AUDIT_VALUE&amp;DB=129&amp;ID1=91704710&amp;VALUEID=13040&amp;SDATE=200601&amp;PERIODTYPE=QTR_STD&amp;window=popup_no_bar&amp;width=385&amp;height=120&amp;START_MAXIMIZED=FALSE&amp;creator=factset&amp;display_string=Audit"}</definedName>
    <definedName name="_801__FDSAUDITLINK__" localSheetId="20" hidden="1">{"fdsup://Directions/FactSet Auditing Viewer?action=AUDIT_VALUE&amp;DB=129&amp;ID1=91704710&amp;VALUEID=13040&amp;SDATE=200601&amp;PERIODTYPE=QTR_STD&amp;window=popup_no_bar&amp;width=385&amp;height=120&amp;START_MAXIMIZED=FALSE&amp;creator=factset&amp;display_string=Audit"}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localSheetId="1" hidden="1">{"fdsup://Directions/FactSet Auditing Viewer?action=AUDIT_VALUE&amp;DB=129&amp;ID1=02553E10&amp;VALUEID=02101&amp;SDATE=200601&amp;PERIODTYPE=QTR_STD&amp;window=popup_no_bar&amp;width=385&amp;height=120&amp;START_MAXIMIZED=FALSE&amp;creator=factset&amp;display_string=Audit"}</definedName>
    <definedName name="_802__FDSAUDITLINK__" localSheetId="20" hidden="1">{"fdsup://Directions/FactSet Auditing Viewer?action=AUDIT_VALUE&amp;DB=129&amp;ID1=02553E10&amp;VALUEID=02101&amp;SDATE=200601&amp;PERIODTYPE=QTR_STD&amp;window=popup_no_bar&amp;width=385&amp;height=120&amp;START_MAXIMIZED=FALSE&amp;creator=factset&amp;display_string=Audit"}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localSheetId="1" hidden="1">{"fdsup://Directions/FactSet Auditing Viewer?action=AUDIT_VALUE&amp;DB=129&amp;ID1=02553E10&amp;VALUEID=01001&amp;SDATE=200601&amp;PERIODTYPE=QTR_STD&amp;window=popup_no_bar&amp;width=385&amp;height=120&amp;START_MAXIMIZED=FALSE&amp;creator=factset&amp;display_string=Audit"}</definedName>
    <definedName name="_803__FDSAUDITLINK__" localSheetId="20" hidden="1">{"fdsup://Directions/FactSet Auditing Viewer?action=AUDIT_VALUE&amp;DB=129&amp;ID1=02553E10&amp;VALUEID=01001&amp;SDATE=200601&amp;PERIODTYPE=QTR_STD&amp;window=popup_no_bar&amp;width=385&amp;height=120&amp;START_MAXIMIZED=FALSE&amp;creator=factset&amp;display_string=Audit"}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localSheetId="1" hidden="1">{"fdsup://Directions/FactSet Auditing Viewer?action=AUDIT_VALUE&amp;DB=129&amp;ID1=02553E10&amp;VALUEID=13040&amp;SDATE=200601&amp;PERIODTYPE=QTR_STD&amp;window=popup_no_bar&amp;width=385&amp;height=120&amp;START_MAXIMIZED=FALSE&amp;creator=factset&amp;display_string=Audit"}</definedName>
    <definedName name="_804__FDSAUDITLINK__" localSheetId="20" hidden="1">{"fdsup://Directions/FactSet Auditing Viewer?action=AUDIT_VALUE&amp;DB=129&amp;ID1=02553E10&amp;VALUEID=13040&amp;SDATE=200601&amp;PERIODTYPE=QTR_STD&amp;window=popup_no_bar&amp;width=385&amp;height=120&amp;START_MAXIMIZED=FALSE&amp;creator=factset&amp;display_string=Audit"}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localSheetId="1"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5__FDSAUDITLINK__" localSheetId="20"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localSheetId="1" hidden="1">{"fdsup://Directions/FactSet Auditing Viewer?action=AUDIT_VALUE&amp;DB=129&amp;ID1=00786510&amp;VALUEID=02101&amp;SDATE=200601&amp;PERIODTYPE=QTR_STD&amp;window=popup_no_bar&amp;width=385&amp;height=120&amp;START_MAXIMIZED=FALSE&amp;creator=factset&amp;display_string=Audit"}</definedName>
    <definedName name="_806__FDSAUDITLINK__" localSheetId="20" hidden="1">{"fdsup://Directions/FactSet Auditing Viewer?action=AUDIT_VALUE&amp;DB=129&amp;ID1=00786510&amp;VALUEID=02101&amp;SDATE=200601&amp;PERIODTYPE=QTR_STD&amp;window=popup_no_bar&amp;width=385&amp;height=120&amp;START_MAXIMIZED=FALSE&amp;creator=factset&amp;display_string=Audit"}</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localSheetId="1" hidden="1">{"fdsup://Directions/FactSet Auditing Viewer?action=AUDIT_VALUE&amp;DB=129&amp;ID1=00786510&amp;VALUEID=01001&amp;SDATE=200601&amp;PERIODTYPE=QTR_STD&amp;window=popup_no_bar&amp;width=385&amp;height=120&amp;START_MAXIMIZED=FALSE&amp;creator=factset&amp;display_string=Audit"}</definedName>
    <definedName name="_807__FDSAUDITLINK__" localSheetId="20" hidden="1">{"fdsup://Directions/FactSet Auditing Viewer?action=AUDIT_VALUE&amp;DB=129&amp;ID1=00786510&amp;VALUEID=01001&amp;SDATE=200601&amp;PERIODTYPE=QTR_STD&amp;window=popup_no_bar&amp;width=385&amp;height=120&amp;START_MAXIMIZED=FALSE&amp;creator=factset&amp;display_string=Audit"}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localSheetId="1" hidden="1">{"fdsup://Directions/FactSet Auditing Viewer?action=AUDIT_VALUE&amp;DB=129&amp;ID1=00786510&amp;VALUEID=13040&amp;SDATE=200601&amp;PERIODTYPE=QTR_STD&amp;window=popup_no_bar&amp;width=385&amp;height=120&amp;START_MAXIMIZED=FALSE&amp;creator=factset&amp;display_string=Audit"}</definedName>
    <definedName name="_808__FDSAUDITLINK__" localSheetId="20" hidden="1">{"fdsup://Directions/FactSet Auditing Viewer?action=AUDIT_VALUE&amp;DB=129&amp;ID1=00786510&amp;VALUEID=13040&amp;SDATE=200601&amp;PERIODTYPE=QTR_STD&amp;window=popup_no_bar&amp;width=385&amp;height=120&amp;START_MAXIMIZED=FALSE&amp;creator=factset&amp;display_string=Audit"}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localSheetId="1" hidden="1">{"fdsup://Directions/FactSet Auditing Viewer?action=AUDIT_VALUE&amp;DB=129&amp;ID1=00289620&amp;VALUEID=02101&amp;SDATE=200601&amp;PERIODTYPE=QTR_STD&amp;window=popup_no_bar&amp;width=385&amp;height=120&amp;START_MAXIMIZED=FALSE&amp;creator=factset&amp;display_string=Audit"}</definedName>
    <definedName name="_809__FDSAUDITLINK__" localSheetId="20" hidden="1">{"fdsup://Directions/FactSet Auditing Viewer?action=AUDIT_VALUE&amp;DB=129&amp;ID1=00289620&amp;VALUEID=02101&amp;SDATE=200601&amp;PERIODTYPE=QTR_STD&amp;window=popup_no_bar&amp;width=385&amp;height=120&amp;START_MAXIMIZED=FALSE&amp;creator=factset&amp;display_string=Audit"}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localSheetId="1" hidden="1">{"fdsup://directions/FAT Viewer?action=UPDATE&amp;creator=factset&amp;DYN_ARGS=TRUE&amp;DOC_NAME=FAT:FQL_AUDITING_CLIENT_TEMPLATE.FAT&amp;display_string=Audit&amp;VAR:KEY=QNUPQTERWV&amp;VAR:QUERY=RkZfU0FMRVMoTFRNUywwKQ==&amp;WINDOW=FIRST_POPUP&amp;HEIGHT=450&amp;WIDTH=450&amp;START_MAXIMIZED=FALS","E&amp;VAR:CALENDAR=FIVEDAY&amp;VAR:SYMBOL=GYMB&amp;VAR:INDEX=0"}</definedName>
    <definedName name="_81__FDSAUDITLINK__" localSheetId="20" hidden="1">{"fdsup://Directions/FactSet Auditing Viewer?action=AUDIT_VALUE&amp;DB=129&amp;ID1=00786510&amp;VALUEID=01001&amp;SDATE=200902&amp;PERIODTYPE=QTR_STD&amp;window=popup_no_bar&amp;width=385&amp;height=120&amp;START_MAXIMIZED=FALSE&amp;creator=factset&amp;display_string=Audit"}</definedName>
    <definedName name="_81__FDSAUDITLINK__" hidden="1">{"fdsup://directions/FAT Viewer?action=UPDATE&amp;creator=factset&amp;DYN_ARGS=TRUE&amp;DOC_NAME=FAT:FQL_AUDITING_CLIENT_TEMPLATE.FAT&amp;display_string=Audit&amp;VAR:KEY=QNUPQTERWV&amp;VAR:QUERY=RkZfU0FMRVMoTFRNUywwKQ==&amp;WINDOW=FIRST_POPUP&amp;HEIGHT=450&amp;WIDTH=450&amp;START_MAXIMIZED=FALS","E&amp;VAR:CALENDAR=FIVEDAY&amp;VAR:SYMBOL=GYMB&amp;VAR:INDEX=0"}</definedName>
    <definedName name="_810__FDSAUDITLINK__" localSheetId="1" hidden="1">{"fdsup://Directions/FactSet Auditing Viewer?action=AUDIT_VALUE&amp;DB=129&amp;ID1=00289620&amp;VALUEID=01001&amp;SDATE=200601&amp;PERIODTYPE=QTR_STD&amp;window=popup_no_bar&amp;width=385&amp;height=120&amp;START_MAXIMIZED=FALSE&amp;creator=factset&amp;display_string=Audit"}</definedName>
    <definedName name="_810__FDSAUDITLINK__" localSheetId="20" hidden="1">{"fdsup://Directions/FactSet Auditing Viewer?action=AUDIT_VALUE&amp;DB=129&amp;ID1=00289620&amp;VALUEID=01001&amp;SDATE=200601&amp;PERIODTYPE=QTR_STD&amp;window=popup_no_bar&amp;width=385&amp;height=120&amp;START_MAXIMIZED=FALSE&amp;creator=factset&amp;display_string=Audit"}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localSheetId="1" hidden="1">{"fdsup://Directions/FactSet Auditing Viewer?action=AUDIT_VALUE&amp;DB=129&amp;ID1=00289620&amp;VALUEID=13040&amp;SDATE=200601&amp;PERIODTYPE=QTR_STD&amp;window=popup_no_bar&amp;width=385&amp;height=120&amp;START_MAXIMIZED=FALSE&amp;creator=factset&amp;display_string=Audit"}</definedName>
    <definedName name="_811__FDSAUDITLINK__" localSheetId="20" hidden="1">{"fdsup://Directions/FactSet Auditing Viewer?action=AUDIT_VALUE&amp;DB=129&amp;ID1=00289620&amp;VALUEID=13040&amp;SDATE=200601&amp;PERIODTYPE=QTR_STD&amp;window=popup_no_bar&amp;width=385&amp;height=120&amp;START_MAXIMIZED=FALSE&amp;creator=factset&amp;display_string=Audit"}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localSheetId="1"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2__FDSAUDITLINK__" localSheetId="20"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localSheetId="1"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3__FDSAUDITLINK__" localSheetId="20"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localSheetId="1"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4__FDSAUDITLINK__" localSheetId="20"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localSheetId="1" hidden="1">{"fdsup://Directions/FactSet Auditing Viewer?action=AUDIT_VALUE&amp;DB=129&amp;ID1=03611510&amp;VALUEID=13040&amp;SDATE=200503&amp;PERIODTYPE=QTR_STD&amp;window=popup_no_bar&amp;width=385&amp;height=120&amp;START_MAXIMIZED=FALSE&amp;creator=factset&amp;display_string=Audit"}</definedName>
    <definedName name="_815__FDSAUDITLINK__" localSheetId="20" hidden="1">{"fdsup://Directions/FactSet Auditing Viewer?action=AUDIT_VALUE&amp;DB=129&amp;ID1=03611510&amp;VALUEID=13040&amp;SDATE=200503&amp;PERIODTYPE=QTR_STD&amp;window=popup_no_bar&amp;width=385&amp;height=120&amp;START_MAXIMIZED=FALSE&amp;creator=factset&amp;display_string=Audit"}</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localSheetId="1"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6__FDSAUDITLINK__" localSheetId="20"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localSheetId="1"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7__FDSAUDITLINK__" localSheetId="20"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localSheetId="1" hidden="1">{"fdsup://Directions/FactSet Auditing Viewer?action=AUDIT_VALUE&amp;DB=129&amp;ID1=03611510&amp;VALUEID=13040&amp;SDATE=200502&amp;PERIODTYPE=QTR_STD&amp;window=popup_no_bar&amp;width=385&amp;height=120&amp;START_MAXIMIZED=FALSE&amp;creator=factset&amp;display_string=Audit"}</definedName>
    <definedName name="_818__FDSAUDITLINK__" localSheetId="20" hidden="1">{"fdsup://Directions/FactSet Auditing Viewer?action=AUDIT_VALUE&amp;DB=129&amp;ID1=03611510&amp;VALUEID=13040&amp;SDATE=200502&amp;PERIODTYPE=QTR_STD&amp;window=popup_no_bar&amp;width=385&amp;height=120&amp;START_MAXIMIZED=FALSE&amp;creator=factset&amp;display_string=Audit"}</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localSheetId="1"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19__FDSAUDITLINK__" localSheetId="20"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localSheetId="1" hidden="1">{"fdsup://directions/FAT Viewer?action=UPDATE&amp;creator=factset&amp;DYN_ARGS=TRUE&amp;DOC_NAME=FAT:FQL_AUDITING_CLIENT_TEMPLATE.FAT&amp;display_string=Audit&amp;VAR:KEY=ADSRMHADEJ&amp;VAR:QUERY=RkZfU0FMRVMoTFRNUywwKQ==&amp;WINDOW=FIRST_POPUP&amp;HEIGHT=450&amp;WIDTH=450&amp;START_MAXIMIZED=FALS","E&amp;VAR:CALENDAR=FIVEDAY&amp;VAR:SYMBOL=GPS&amp;VAR:INDEX=0"}</definedName>
    <definedName name="_82__FDSAUDITLINK__" localSheetId="20" hidden="1">{"fdsup://Directions/FactSet Auditing Viewer?action=AUDIT_VALUE&amp;DB=129&amp;ID1=00786510&amp;VALUEID=13040&amp;SDATE=200902&amp;PERIODTYPE=QTR_STD&amp;window=popup_no_bar&amp;width=385&amp;height=120&amp;START_MAXIMIZED=FALSE&amp;creator=factset&amp;display_string=Audit"}</definedName>
    <definedName name="_82__FDSAUDITLINK__" hidden="1">{"fdsup://directions/FAT Viewer?action=UPDATE&amp;creator=factset&amp;DYN_ARGS=TRUE&amp;DOC_NAME=FAT:FQL_AUDITING_CLIENT_TEMPLATE.FAT&amp;display_string=Audit&amp;VAR:KEY=ADSRMHADEJ&amp;VAR:QUERY=RkZfU0FMRVMoTFRNUywwKQ==&amp;WINDOW=FIRST_POPUP&amp;HEIGHT=450&amp;WIDTH=450&amp;START_MAXIMIZED=FALS","E&amp;VAR:CALENDAR=FIVEDAY&amp;VAR:SYMBOL=GPS&amp;VAR:INDEX=0"}</definedName>
    <definedName name="_820__FDSAUDITLINK__" localSheetId="1"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0__FDSAUDITLINK__" localSheetId="20"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localSheetId="1" hidden="1">{"fdsup://Directions/FactSet Auditing Viewer?action=AUDIT_VALUE&amp;DB=129&amp;ID1=03611510&amp;VALUEID=13040&amp;SDATE=200501&amp;PERIODTYPE=QTR_STD&amp;window=popup_no_bar&amp;width=385&amp;height=120&amp;START_MAXIMIZED=FALSE&amp;creator=factset&amp;display_string=Audit"}</definedName>
    <definedName name="_821__FDSAUDITLINK__" localSheetId="20" hidden="1">{"fdsup://Directions/FactSet Auditing Viewer?action=AUDIT_VALUE&amp;DB=129&amp;ID1=03611510&amp;VALUEID=13040&amp;SDATE=200501&amp;PERIODTYPE=QTR_STD&amp;window=popup_no_bar&amp;width=385&amp;height=120&amp;START_MAXIMIZED=FALSE&amp;creator=factset&amp;display_string=Audit"}</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localSheetId="1"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2__FDSAUDITLINK__" localSheetId="20"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localSheetId="1" hidden="1">{"fdsup://Directions/FactSet Auditing Viewer?action=AUDIT_VALUE&amp;DB=129&amp;ID1=16890510&amp;VALUEID=13040&amp;SDATE=200602&amp;PERIODTYPE=QTR_STD&amp;window=popup_no_bar&amp;width=385&amp;height=120&amp;START_MAXIMIZED=FALSE&amp;creator=factset&amp;display_string=Audit"}</definedName>
    <definedName name="_823__FDSAUDITLINK__" localSheetId="20" hidden="1">{"fdsup://Directions/FactSet Auditing Viewer?action=AUDIT_VALUE&amp;DB=129&amp;ID1=16890510&amp;VALUEID=13040&amp;SDATE=200602&amp;PERIODTYPE=QTR_STD&amp;window=popup_no_bar&amp;width=385&amp;height=120&amp;START_MAXIMIZED=FALSE&amp;creator=factset&amp;display_string=Audit"}</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localSheetId="1" hidden="1">{"fdsup://Directions/FactSet Auditing Viewer?action=AUDIT_VALUE&amp;DB=129&amp;ID1=16890510&amp;VALUEID=13040&amp;SDATE=200601&amp;PERIODTYPE=QTR_STD&amp;window=popup_no_bar&amp;width=385&amp;height=120&amp;START_MAXIMIZED=FALSE&amp;creator=factset&amp;display_string=Audit"}</definedName>
    <definedName name="_824__FDSAUDITLINK__" localSheetId="20" hidden="1">{"fdsup://Directions/FactSet Auditing Viewer?action=AUDIT_VALUE&amp;DB=129&amp;ID1=16890510&amp;VALUEID=13040&amp;SDATE=200601&amp;PERIODTYPE=QTR_STD&amp;window=popup_no_bar&amp;width=385&amp;height=120&amp;START_MAXIMIZED=FALSE&amp;creator=factset&amp;display_string=Audit"}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localSheetId="1" hidden="1">{"fdsup://Directions/FactSet Auditing Viewer?action=AUDIT_VALUE&amp;DB=129&amp;ID1=16890510&amp;VALUEID=13040&amp;SDATE=200603&amp;PERIODTYPE=QTR_STD&amp;window=popup_no_bar&amp;width=385&amp;height=120&amp;START_MAXIMIZED=FALSE&amp;creator=factset&amp;display_string=Audit"}</definedName>
    <definedName name="_825__FDSAUDITLINK__" localSheetId="20" hidden="1">{"fdsup://Directions/FactSet Auditing Viewer?action=AUDIT_VALUE&amp;DB=129&amp;ID1=16890510&amp;VALUEID=13040&amp;SDATE=200603&amp;PERIODTYPE=QTR_STD&amp;window=popup_no_bar&amp;width=385&amp;height=120&amp;START_MAXIMIZED=FALSE&amp;creator=factset&amp;display_string=Audit"}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localSheetId="1" hidden="1">{"fdsup://Directions/FactSet Auditing Viewer?action=AUDIT_VALUE&amp;DB=129&amp;ID1=16890510&amp;VALUEID=13040&amp;SDATE=200702&amp;PERIODTYPE=QTR_STD&amp;window=popup_no_bar&amp;width=385&amp;height=120&amp;START_MAXIMIZED=FALSE&amp;creator=factset&amp;display_string=Audit"}</definedName>
    <definedName name="_826__FDSAUDITLINK__" localSheetId="20" hidden="1">{"fdsup://Directions/FactSet Auditing Viewer?action=AUDIT_VALUE&amp;DB=129&amp;ID1=16890510&amp;VALUEID=13040&amp;SDATE=200702&amp;PERIODTYPE=QTR_STD&amp;window=popup_no_bar&amp;width=385&amp;height=120&amp;START_MAXIMIZED=FALSE&amp;creator=factset&amp;display_string=Audit"}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localSheetId="1" hidden="1">{"fdsup://Directions/FactSet Auditing Viewer?action=AUDIT_VALUE&amp;DB=129&amp;ID1=16890510&amp;VALUEID=13040&amp;SDATE=200701&amp;PERIODTYPE=QTR_STD&amp;window=popup_no_bar&amp;width=385&amp;height=120&amp;START_MAXIMIZED=FALSE&amp;creator=factset&amp;display_string=Audit"}</definedName>
    <definedName name="_827__FDSAUDITLINK__" localSheetId="20" hidden="1">{"fdsup://Directions/FactSet Auditing Viewer?action=AUDIT_VALUE&amp;DB=129&amp;ID1=16890510&amp;VALUEID=13040&amp;SDATE=200701&amp;PERIODTYPE=QTR_STD&amp;window=popup_no_bar&amp;width=385&amp;height=120&amp;START_MAXIMIZED=FALSE&amp;creator=factset&amp;display_string=Audit"}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localSheetId="1" hidden="1">{"fdsup://Directions/FactSet Auditing Viewer?action=AUDIT_VALUE&amp;DB=129&amp;ID1=16890510&amp;VALUEID=13040&amp;SDATE=200703&amp;PERIODTYPE=QTR_STD&amp;window=popup_no_bar&amp;width=385&amp;height=120&amp;START_MAXIMIZED=FALSE&amp;creator=factset&amp;display_string=Audit"}</definedName>
    <definedName name="_828__FDSAUDITLINK__" localSheetId="20" hidden="1">{"fdsup://Directions/FactSet Auditing Viewer?action=AUDIT_VALUE&amp;DB=129&amp;ID1=16890510&amp;VALUEID=13040&amp;SDATE=200703&amp;PERIODTYPE=QTR_STD&amp;window=popup_no_bar&amp;width=385&amp;height=120&amp;START_MAXIMIZED=FALSE&amp;creator=factset&amp;display_string=Audit"}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localSheetId="1" hidden="1">{"fdsup://Directions/FactSet Auditing Viewer?action=AUDIT_VALUE&amp;DB=129&amp;ID1=16890510&amp;VALUEID=13040&amp;SDATE=200802&amp;PERIODTYPE=QTR_STD&amp;window=popup_no_bar&amp;width=385&amp;height=120&amp;START_MAXIMIZED=FALSE&amp;creator=factset&amp;display_string=Audit"}</definedName>
    <definedName name="_829__FDSAUDITLINK__" localSheetId="20" hidden="1">{"fdsup://Directions/FactSet Auditing Viewer?action=AUDIT_VALUE&amp;DB=129&amp;ID1=16890510&amp;VALUEID=13040&amp;SDATE=200802&amp;PERIODTYPE=QTR_STD&amp;window=popup_no_bar&amp;width=385&amp;height=120&amp;START_MAXIMIZED=FALSE&amp;creator=factset&amp;display_string=Audit"}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localSheetId="1" hidden="1">{"fdsup://directions/FAT Viewer?action=UPDATE&amp;creator=factset&amp;DYN_ARGS=TRUE&amp;DOC_NAME=FAT:FQL_AUDITING_CLIENT_TEMPLATE.FAT&amp;display_string=Audit&amp;VAR:KEY=MNCTKZKXCV&amp;VAR:QUERY=RkZfU0FMRVMoTFRNUywwKQ==&amp;WINDOW=FIRST_POPUP&amp;HEIGHT=450&amp;WIDTH=450&amp;START_MAXIMIZED=FALS","E&amp;VAR:CALENDAR=FIVEDAY&amp;VAR:SYMBOL=EXPR&amp;VAR:INDEX=0"}</definedName>
    <definedName name="_83__FDSAUDITLINK__" localSheetId="20" hidden="1">{"fdsup://Directions/FactSet Auditing Viewer?action=AUDIT_VALUE&amp;DB=129&amp;ID1=00289620&amp;VALUEID=02101&amp;SDATE=200902&amp;PERIODTYPE=QTR_STD&amp;window=popup_no_bar&amp;width=385&amp;height=120&amp;START_MAXIMIZED=FALSE&amp;creator=factset&amp;display_string=Audit"}</definedName>
    <definedName name="_83__FDSAUDITLINK__" hidden="1">{"fdsup://directions/FAT Viewer?action=UPDATE&amp;creator=factset&amp;DYN_ARGS=TRUE&amp;DOC_NAME=FAT:FQL_AUDITING_CLIENT_TEMPLATE.FAT&amp;display_string=Audit&amp;VAR:KEY=MNCTKZKXCV&amp;VAR:QUERY=RkZfU0FMRVMoTFRNUywwKQ==&amp;WINDOW=FIRST_POPUP&amp;HEIGHT=450&amp;WIDTH=450&amp;START_MAXIMIZED=FALS","E&amp;VAR:CALENDAR=FIVEDAY&amp;VAR:SYMBOL=EXPR&amp;VAR:INDEX=0"}</definedName>
    <definedName name="_830__FDSAUDITLINK__" localSheetId="1" hidden="1">{"fdsup://Directions/FactSet Auditing Viewer?action=AUDIT_VALUE&amp;DB=129&amp;ID1=16890510&amp;VALUEID=13040&amp;SDATE=200801&amp;PERIODTYPE=QTR_STD&amp;window=popup_no_bar&amp;width=385&amp;height=120&amp;START_MAXIMIZED=FALSE&amp;creator=factset&amp;display_string=Audit"}</definedName>
    <definedName name="_830__FDSAUDITLINK__" localSheetId="20" hidden="1">{"fdsup://Directions/FactSet Auditing Viewer?action=AUDIT_VALUE&amp;DB=129&amp;ID1=16890510&amp;VALUEID=13040&amp;SDATE=200801&amp;PERIODTYPE=QTR_STD&amp;window=popup_no_bar&amp;width=385&amp;height=120&amp;START_MAXIMIZED=FALSE&amp;creator=factset&amp;display_string=Audit"}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localSheetId="1" hidden="1">{"fdsup://Directions/FactSet Auditing Viewer?action=AUDIT_VALUE&amp;DB=129&amp;ID1=16890510&amp;VALUEID=13040&amp;SDATE=200803&amp;PERIODTYPE=QTR_STD&amp;window=popup_no_bar&amp;width=385&amp;height=120&amp;START_MAXIMIZED=FALSE&amp;creator=factset&amp;display_string=Audit"}</definedName>
    <definedName name="_831__FDSAUDITLINK__" localSheetId="20" hidden="1">{"fdsup://Directions/FactSet Auditing Viewer?action=AUDIT_VALUE&amp;DB=129&amp;ID1=16890510&amp;VALUEID=13040&amp;SDATE=200803&amp;PERIODTYPE=QTR_STD&amp;window=popup_no_bar&amp;width=385&amp;height=120&amp;START_MAXIMIZED=FALSE&amp;creator=factset&amp;display_string=Audit"}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localSheetId="1" hidden="1">{"fdsup://Directions/FactSet Auditing Viewer?action=AUDIT_VALUE&amp;DB=129&amp;ID1=16890510&amp;VALUEID=13040&amp;SDATE=200902&amp;PERIODTYPE=QTR_STD&amp;window=popup_no_bar&amp;width=385&amp;height=120&amp;START_MAXIMIZED=FALSE&amp;creator=factset&amp;display_string=Audit"}</definedName>
    <definedName name="_832__FDSAUDITLINK__" localSheetId="20" hidden="1">{"fdsup://Directions/FactSet Auditing Viewer?action=AUDIT_VALUE&amp;DB=129&amp;ID1=16890510&amp;VALUEID=13040&amp;SDATE=200902&amp;PERIODTYPE=QTR_STD&amp;window=popup_no_bar&amp;width=385&amp;height=120&amp;START_MAXIMIZED=FALSE&amp;creator=factset&amp;display_string=Audit"}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localSheetId="1" hidden="1">{"fdsup://Directions/FactSet Auditing Viewer?action=AUDIT_VALUE&amp;DB=129&amp;ID1=16890510&amp;VALUEID=13040&amp;SDATE=200903&amp;PERIODTYPE=QTR_STD&amp;window=popup_no_bar&amp;width=385&amp;height=120&amp;START_MAXIMIZED=FALSE&amp;creator=factset&amp;display_string=Audit"}</definedName>
    <definedName name="_833__FDSAUDITLINK__" localSheetId="20" hidden="1">{"fdsup://Directions/FactSet Auditing Viewer?action=AUDIT_VALUE&amp;DB=129&amp;ID1=16890510&amp;VALUEID=13040&amp;SDATE=200903&amp;PERIODTYPE=QTR_STD&amp;window=popup_no_bar&amp;width=385&amp;height=120&amp;START_MAXIMIZED=FALSE&amp;creator=factset&amp;display_string=Audit"}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localSheetId="1" hidden="1">{"fdsup://Directions/FactSet Auditing Viewer?action=AUDIT_VALUE&amp;DB=129&amp;ID1=16890510&amp;VALUEID=13040&amp;SDATE=201001&amp;PERIODTYPE=QTR_STD&amp;window=popup_no_bar&amp;width=385&amp;height=120&amp;START_MAXIMIZED=FALSE&amp;creator=factset&amp;display_string=Audit"}</definedName>
    <definedName name="_834__FDSAUDITLINK__" localSheetId="20" hidden="1">{"fdsup://Directions/FactSet Auditing Viewer?action=AUDIT_VALUE&amp;DB=129&amp;ID1=16890510&amp;VALUEID=13040&amp;SDATE=201001&amp;PERIODTYPE=QTR_STD&amp;window=popup_no_bar&amp;width=385&amp;height=120&amp;START_MAXIMIZED=FALSE&amp;creator=factset&amp;display_string=Audit"}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localSheetId="1" hidden="1">{"fdsup://Directions/FactSet Auditing Viewer?action=AUDIT_VALUE&amp;DB=129&amp;ID1=87416110&amp;VALUEID=01001&amp;SDATE=201001&amp;PERIODTYPE=QTR_STD&amp;window=popup_no_bar&amp;width=385&amp;height=120&amp;START_MAXIMIZED=FALSE&amp;creator=factset&amp;display_string=Audit"}</definedName>
    <definedName name="_835__FDSAUDITLINK__" localSheetId="20" hidden="1">{"fdsup://Directions/FactSet Auditing Viewer?action=AUDIT_VALUE&amp;DB=129&amp;ID1=87416110&amp;VALUEID=01001&amp;SDATE=201001&amp;PERIODTYPE=QTR_STD&amp;window=popup_no_bar&amp;width=385&amp;height=120&amp;START_MAXIMIZED=FALSE&amp;creator=factset&amp;display_string=Audit"}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localSheetId="1" hidden="1">{"fdsup://Directions/FactSet Auditing Viewer?action=AUDIT_VALUE&amp;DB=129&amp;ID1=46612H40&amp;VALUEID=01001&amp;SDATE=201001&amp;PERIODTYPE=QTR_STD&amp;window=popup_no_bar&amp;width=385&amp;height=120&amp;START_MAXIMIZED=FALSE&amp;creator=factset&amp;display_string=Audit"}</definedName>
    <definedName name="_836__FDSAUDITLINK__" localSheetId="20" hidden="1">{"fdsup://Directions/FactSet Auditing Viewer?action=AUDIT_VALUE&amp;DB=129&amp;ID1=46612H40&amp;VALUEID=01001&amp;SDATE=201001&amp;PERIODTYPE=QTR_STD&amp;window=popup_no_bar&amp;width=385&amp;height=120&amp;START_MAXIMIZED=FALSE&amp;creator=factset&amp;display_string=Audit"}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localSheetId="1" hidden="1">{"fdsup://Directions/FactSet Auditing Viewer?action=AUDIT_VALUE&amp;DB=129&amp;ID1=03611510&amp;VALUEID=01001&amp;SDATE=201001&amp;PERIODTYPE=QTR_STD&amp;window=popup_no_bar&amp;width=385&amp;height=120&amp;START_MAXIMIZED=FALSE&amp;creator=factset&amp;display_string=Audit"}</definedName>
    <definedName name="_837__FDSAUDITLINK__" localSheetId="20" hidden="1">{"fdsup://Directions/FactSet Auditing Viewer?action=AUDIT_VALUE&amp;DB=129&amp;ID1=03611510&amp;VALUEID=01001&amp;SDATE=201001&amp;PERIODTYPE=QTR_STD&amp;window=popup_no_bar&amp;width=385&amp;height=120&amp;START_MAXIMIZED=FALSE&amp;creator=factset&amp;display_string=Audit"}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localSheetId="1" hidden="1">{"fdsup://Directions/FactSet Auditing Viewer?action=AUDIT_VALUE&amp;DB=129&amp;ID1=16890510&amp;VALUEID=01001&amp;SDATE=201001&amp;PERIODTYPE=QTR_STD&amp;window=popup_no_bar&amp;width=385&amp;height=120&amp;START_MAXIMIZED=FALSE&amp;creator=factset&amp;display_string=Audit"}</definedName>
    <definedName name="_838__FDSAUDITLINK__" localSheetId="20" hidden="1">{"fdsup://Directions/FactSet Auditing Viewer?action=AUDIT_VALUE&amp;DB=129&amp;ID1=16890510&amp;VALUEID=01001&amp;SDATE=201001&amp;PERIODTYPE=QTR_STD&amp;window=popup_no_bar&amp;width=385&amp;height=120&amp;START_MAXIMIZED=FALSE&amp;creator=factset&amp;display_string=Audit"}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localSheetId="1" hidden="1">{"fdsup://Directions/FactSet Auditing Viewer?action=AUDIT_VALUE&amp;DB=129&amp;ID1=91704710&amp;VALUEID=01001&amp;SDATE=201001&amp;PERIODTYPE=QTR_STD&amp;window=popup_no_bar&amp;width=385&amp;height=120&amp;START_MAXIMIZED=FALSE&amp;creator=factset&amp;display_string=Audit"}</definedName>
    <definedName name="_839__FDSAUDITLINK__" localSheetId="20" hidden="1">{"fdsup://Directions/FactSet Auditing Viewer?action=AUDIT_VALUE&amp;DB=129&amp;ID1=91704710&amp;VALUEID=01001&amp;SDATE=201001&amp;PERIODTYPE=QTR_STD&amp;window=popup_no_bar&amp;width=385&amp;height=120&amp;START_MAXIMIZED=FALSE&amp;creator=factset&amp;display_string=Audit"}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localSheetId="1" hidden="1">{"fdsup://directions/FAT Viewer?action=UPDATE&amp;creator=factset&amp;DYN_ARGS=TRUE&amp;DOC_NAME=FAT:FQL_AUDITING_CLIENT_TEMPLATE.FAT&amp;display_string=Audit&amp;VAR:KEY=OBSRWNKVAB&amp;VAR:QUERY=RkZfU0FMRVMoTFRNUywwKQ==&amp;WINDOW=FIRST_POPUP&amp;HEIGHT=450&amp;WIDTH=450&amp;START_MAXIMIZED=FALS","E&amp;VAR:CALENDAR=FIVEDAY&amp;VAR:SYMBOL=CWTR&amp;VAR:INDEX=0"}</definedName>
    <definedName name="_84__FDSAUDITLINK__" localSheetId="20" hidden="1">{"fdsup://Directions/FactSet Auditing Viewer?action=AUDIT_VALUE&amp;DB=129&amp;ID1=00289620&amp;VALUEID=01001&amp;SDATE=200902&amp;PERIODTYPE=QTR_STD&amp;window=popup_no_bar&amp;width=385&amp;height=120&amp;START_MAXIMIZED=FALSE&amp;creator=factset&amp;display_string=Audit"}</definedName>
    <definedName name="_84__FDSAUDITLINK__" hidden="1">{"fdsup://directions/FAT Viewer?action=UPDATE&amp;creator=factset&amp;DYN_ARGS=TRUE&amp;DOC_NAME=FAT:FQL_AUDITING_CLIENT_TEMPLATE.FAT&amp;display_string=Audit&amp;VAR:KEY=OBSRWNKVAB&amp;VAR:QUERY=RkZfU0FMRVMoTFRNUywwKQ==&amp;WINDOW=FIRST_POPUP&amp;HEIGHT=450&amp;WIDTH=450&amp;START_MAXIMIZED=FALS","E&amp;VAR:CALENDAR=FIVEDAY&amp;VAR:SYMBOL=CWTR&amp;VAR:INDEX=0"}</definedName>
    <definedName name="_840__FDSAUDITLINK__" localSheetId="1" hidden="1">{"fdsup://Directions/FactSet Auditing Viewer?action=AUDIT_VALUE&amp;DB=129&amp;ID1=02553E10&amp;VALUEID=01001&amp;SDATE=201001&amp;PERIODTYPE=QTR_STD&amp;window=popup_no_bar&amp;width=385&amp;height=120&amp;START_MAXIMIZED=FALSE&amp;creator=factset&amp;display_string=Audit"}</definedName>
    <definedName name="_840__FDSAUDITLINK__" localSheetId="20" hidden="1">{"fdsup://Directions/FactSet Auditing Viewer?action=AUDIT_VALUE&amp;DB=129&amp;ID1=02553E10&amp;VALUEID=01001&amp;SDATE=201001&amp;PERIODTYPE=QTR_STD&amp;window=popup_no_bar&amp;width=385&amp;height=120&amp;START_MAXIMIZED=FALSE&amp;creator=factset&amp;display_string=Audit"}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localSheetId="1" hidden="1">{"fdsup://Directions/FactSet Auditing Viewer?action=AUDIT_VALUE&amp;DB=129&amp;ID1=00786510&amp;VALUEID=01001&amp;SDATE=201001&amp;PERIODTYPE=QTR_STD&amp;window=popup_no_bar&amp;width=385&amp;height=120&amp;START_MAXIMIZED=FALSE&amp;creator=factset&amp;display_string=Audit"}</definedName>
    <definedName name="_841__FDSAUDITLINK__" localSheetId="20" hidden="1">{"fdsup://Directions/FactSet Auditing Viewer?action=AUDIT_VALUE&amp;DB=129&amp;ID1=00786510&amp;VALUEID=01001&amp;SDATE=201001&amp;PERIODTYPE=QTR_STD&amp;window=popup_no_bar&amp;width=385&amp;height=120&amp;START_MAXIMIZED=FALSE&amp;creator=factset&amp;display_string=Audit"}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localSheetId="1" hidden="1">{"fdsup://Directions/FactSet Auditing Viewer?action=AUDIT_VALUE&amp;DB=129&amp;ID1=00289620&amp;VALUEID=01001&amp;SDATE=201001&amp;PERIODTYPE=QTR_STD&amp;window=popup_no_bar&amp;width=385&amp;height=120&amp;START_MAXIMIZED=FALSE&amp;creator=factset&amp;display_string=Audit"}</definedName>
    <definedName name="_842__FDSAUDITLINK__" localSheetId="20" hidden="1">{"fdsup://Directions/FactSet Auditing Viewer?action=AUDIT_VALUE&amp;DB=129&amp;ID1=00289620&amp;VALUEID=01001&amp;SDATE=201001&amp;PERIODTYPE=QTR_STD&amp;window=popup_no_bar&amp;width=385&amp;height=120&amp;START_MAXIMIZED=FALSE&amp;creator=factset&amp;display_string=Audit"}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843__FDSAUDITLINK__" localSheetId="20" hidden="1">{"fdsup://Directions/FactSet Auditing Viewer?action=AUDIT_VALUE&amp;DB=129&amp;ID1=53271610&amp;VALUEID=01001&amp;SDATE=201001&amp;PERIODTYPE=QTR_STD&amp;window=popup_no_bar&amp;width=385&amp;height=120&amp;START_MAXIMIZED=FALSE&amp;creator=factset&amp;display_string=Audit"}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localSheetId="1" hidden="1">{"fdsup://Directions/FactSet Auditing Viewer?action=AUDIT_VALUE&amp;DB=129&amp;ID1=36476010&amp;VALUEID=01001&amp;SDATE=201001&amp;PERIODTYPE=QTR_STD&amp;window=popup_no_bar&amp;width=385&amp;height=120&amp;START_MAXIMIZED=FALSE&amp;creator=factset&amp;display_string=Audit"}</definedName>
    <definedName name="_844__FDSAUDITLINK__" localSheetId="20" hidden="1">{"fdsup://Directions/FactSet Auditing Viewer?action=AUDIT_VALUE&amp;DB=129&amp;ID1=36476010&amp;VALUEID=01001&amp;SDATE=201001&amp;PERIODTYPE=QTR_STD&amp;window=popup_no_bar&amp;width=385&amp;height=120&amp;START_MAXIMIZED=FALSE&amp;creator=factset&amp;display_string=Audit"}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localSheetId="1" hidden="1">{"fdsup://Directions/FactSet Auditing Viewer?action=AUDIT_VALUE&amp;DB=129&amp;ID1=40377710&amp;VALUEID=01001&amp;SDATE=200601&amp;PERIODTYPE=QTR_STD&amp;window=popup_no_bar&amp;width=385&amp;height=120&amp;START_MAXIMIZED=FALSE&amp;creator=factset&amp;display_string=Audit"}</definedName>
    <definedName name="_845__FDSAUDITLINK__" localSheetId="20" hidden="1">{"fdsup://Directions/FactSet Auditing Viewer?action=AUDIT_VALUE&amp;DB=129&amp;ID1=40377710&amp;VALUEID=01001&amp;SDATE=200601&amp;PERIODTYPE=QTR_STD&amp;window=popup_no_bar&amp;width=385&amp;height=120&amp;START_MAXIMIZED=FALSE&amp;creator=factset&amp;display_string=Audit"}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localSheetId="1" hidden="1">{"fdsup://Directions/FactSet Auditing Viewer?action=AUDIT_VALUE&amp;DB=129&amp;ID1=40377710&amp;VALUEID=02101&amp;SDATE=200601&amp;PERIODTYPE=QTR_STD&amp;window=popup_no_bar&amp;width=385&amp;height=120&amp;START_MAXIMIZED=FALSE&amp;creator=factset&amp;display_string=Audit"}</definedName>
    <definedName name="_846__FDSAUDITLINK__" localSheetId="20" hidden="1">{"fdsup://Directions/FactSet Auditing Viewer?action=AUDIT_VALUE&amp;DB=129&amp;ID1=40377710&amp;VALUEID=02101&amp;SDATE=200601&amp;PERIODTYPE=QTR_STD&amp;window=popup_no_bar&amp;width=385&amp;height=120&amp;START_MAXIMIZED=FALSE&amp;creator=factset&amp;display_string=Audit"}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847__FDSAUDITLINK__" localSheetId="20" hidden="1">{"fdsup://Directions/FactSet Auditing Viewer?action=AUDIT_VALUE&amp;DB=129&amp;ID1=40377710&amp;VALUEID=13040&amp;SDATE=200601&amp;PERIODTYPE=QTR_STD&amp;window=popup_no_bar&amp;width=385&amp;height=120&amp;START_MAXIMIZED=FALSE&amp;creator=factset&amp;display_string=Audit"}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848__FDSAUDITLINK__" localSheetId="20" hidden="1">{"fdsup://Directions/FactSet Auditing Viewer?action=AUDIT_VALUE&amp;DB=129&amp;ID1=40377710&amp;VALUEID=13040&amp;SDATE=200602&amp;PERIODTYPE=QTR_STD&amp;window=popup_no_bar&amp;width=385&amp;height=120&amp;START_MAXIMIZED=FALSE&amp;creator=factset&amp;display_string=Audit"}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localSheetId="1" hidden="1">{"fdsup://Directions/FactSet Auditing Viewer?action=AUDIT_VALUE&amp;DB=129&amp;ID1=40377710&amp;VALUEID=01001&amp;SDATE=200602&amp;PERIODTYPE=QTR_STD&amp;window=popup_no_bar&amp;width=385&amp;height=120&amp;START_MAXIMIZED=FALSE&amp;creator=factset&amp;display_string=Audit"}</definedName>
    <definedName name="_849__FDSAUDITLINK__" localSheetId="20" hidden="1">{"fdsup://Directions/FactSet Auditing Viewer?action=AUDIT_VALUE&amp;DB=129&amp;ID1=40377710&amp;VALUEID=01001&amp;SDATE=200602&amp;PERIODTYPE=QTR_STD&amp;window=popup_no_bar&amp;width=385&amp;height=120&amp;START_MAXIMIZED=FALSE&amp;creator=factset&amp;display_string=Audit"}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localSheetId="1" hidden="1">{"fdsup://directions/FAT Viewer?action=UPDATE&amp;creator=factset&amp;DYN_ARGS=TRUE&amp;DOC_NAME=FAT:FQL_AUDITING_CLIENT_TEMPLATE.FAT&amp;display_string=Audit&amp;VAR:KEY=MNKLCBOFOF&amp;VAR:QUERY=RkZfU0FMRVMoTFRNUywwKQ==&amp;WINDOW=FIRST_POPUP&amp;HEIGHT=450&amp;WIDTH=450&amp;START_MAXIMIZED=FALS","E&amp;VAR:CALENDAR=FIVEDAY&amp;VAR:SYMBOL=COH&amp;VAR:INDEX=0"}</definedName>
    <definedName name="_85__FDSAUDITLINK__" localSheetId="20" hidden="1">{"fdsup://Directions/FactSet Auditing Viewer?action=AUDIT_VALUE&amp;DB=129&amp;ID1=00289620&amp;VALUEID=13040&amp;SDATE=200902&amp;PERIODTYPE=QTR_STD&amp;window=popup_no_bar&amp;width=385&amp;height=120&amp;START_MAXIMIZED=FALSE&amp;creator=factset&amp;display_string=Audit"}</definedName>
    <definedName name="_85__FDSAUDITLINK__" hidden="1">{"fdsup://directions/FAT Viewer?action=UPDATE&amp;creator=factset&amp;DYN_ARGS=TRUE&amp;DOC_NAME=FAT:FQL_AUDITING_CLIENT_TEMPLATE.FAT&amp;display_string=Audit&amp;VAR:KEY=MNKLCBOFOF&amp;VAR:QUERY=RkZfU0FMRVMoTFRNUywwKQ==&amp;WINDOW=FIRST_POPUP&amp;HEIGHT=450&amp;WIDTH=450&amp;START_MAXIMIZED=FALS","E&amp;VAR:CALENDAR=FIVEDAY&amp;VAR:SYMBOL=COH&amp;VAR:INDEX=0"}</definedName>
    <definedName name="_850__FDSAUDITLINK__" localSheetId="1" hidden="1">{"fdsup://Directions/FactSet Auditing Viewer?action=AUDIT_VALUE&amp;DB=129&amp;ID1=40377710&amp;VALUEID=02101&amp;SDATE=200602&amp;PERIODTYPE=QTR_STD&amp;window=popup_no_bar&amp;width=385&amp;height=120&amp;START_MAXIMIZED=FALSE&amp;creator=factset&amp;display_string=Audit"}</definedName>
    <definedName name="_850__FDSAUDITLINK__" localSheetId="20" hidden="1">{"fdsup://Directions/FactSet Auditing Viewer?action=AUDIT_VALUE&amp;DB=129&amp;ID1=40377710&amp;VALUEID=02101&amp;SDATE=200602&amp;PERIODTYPE=QTR_STD&amp;window=popup_no_bar&amp;width=385&amp;height=120&amp;START_MAXIMIZED=FALSE&amp;creator=factset&amp;display_string=Audit"}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851__FDSAUDITLINK__" localSheetId="20" hidden="1">{"fdsup://Directions/FactSet Auditing Viewer?action=AUDIT_VALUE&amp;DB=129&amp;ID1=40377710&amp;VALUEID=13040&amp;SDATE=200603&amp;PERIODTYPE=QTR_STD&amp;window=popup_no_bar&amp;width=385&amp;height=120&amp;START_MAXIMIZED=FALSE&amp;creator=factset&amp;display_string=Audit"}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localSheetId="1" hidden="1">{"fdsup://Directions/FactSet Auditing Viewer?action=AUDIT_VALUE&amp;DB=129&amp;ID1=40377710&amp;VALUEID=01001&amp;SDATE=200603&amp;PERIODTYPE=QTR_STD&amp;window=popup_no_bar&amp;width=385&amp;height=120&amp;START_MAXIMIZED=FALSE&amp;creator=factset&amp;display_string=Audit"}</definedName>
    <definedName name="_852__FDSAUDITLINK__" localSheetId="20" hidden="1">{"fdsup://Directions/FactSet Auditing Viewer?action=AUDIT_VALUE&amp;DB=129&amp;ID1=40377710&amp;VALUEID=01001&amp;SDATE=200603&amp;PERIODTYPE=QTR_STD&amp;window=popup_no_bar&amp;width=385&amp;height=120&amp;START_MAXIMIZED=FALSE&amp;creator=factset&amp;display_string=Audit"}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localSheetId="1" hidden="1">{"fdsup://Directions/FactSet Auditing Viewer?action=AUDIT_VALUE&amp;DB=129&amp;ID1=40377710&amp;VALUEID=02101&amp;SDATE=200603&amp;PERIODTYPE=QTR_STD&amp;window=popup_no_bar&amp;width=385&amp;height=120&amp;START_MAXIMIZED=FALSE&amp;creator=factset&amp;display_string=Audit"}</definedName>
    <definedName name="_853__FDSAUDITLINK__" localSheetId="20" hidden="1">{"fdsup://Directions/FactSet Auditing Viewer?action=AUDIT_VALUE&amp;DB=129&amp;ID1=40377710&amp;VALUEID=02101&amp;SDATE=200603&amp;PERIODTYPE=QTR_STD&amp;window=popup_no_bar&amp;width=385&amp;height=120&amp;START_MAXIMIZED=FALSE&amp;creator=factset&amp;display_string=Audit"}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localSheetId="1" hidden="1">{"fdsup://Directions/FactSet Auditing Viewer?action=AUDIT_VALUE&amp;DB=129&amp;ID1=40377710&amp;VALUEID=01001&amp;SDATE=200604&amp;PERIODTYPE=QTR_STD&amp;window=popup_no_bar&amp;width=385&amp;height=120&amp;START_MAXIMIZED=FALSE&amp;creator=factset&amp;display_string=Audit"}</definedName>
    <definedName name="_854__FDSAUDITLINK__" localSheetId="20" hidden="1">{"fdsup://Directions/FactSet Auditing Viewer?action=AUDIT_VALUE&amp;DB=129&amp;ID1=40377710&amp;VALUEID=01001&amp;SDATE=200604&amp;PERIODTYPE=QTR_STD&amp;window=popup_no_bar&amp;width=385&amp;height=120&amp;START_MAXIMIZED=FALSE&amp;creator=factset&amp;display_string=Audit"}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localSheetId="1" hidden="1">{"fdsup://Directions/FactSet Auditing Viewer?action=AUDIT_VALUE&amp;DB=129&amp;ID1=40377710&amp;VALUEID=01001&amp;SDATE=200701&amp;PERIODTYPE=QTR_STD&amp;window=popup_no_bar&amp;width=385&amp;height=120&amp;START_MAXIMIZED=FALSE&amp;creator=factset&amp;display_string=Audit"}</definedName>
    <definedName name="_855__FDSAUDITLINK__" localSheetId="20" hidden="1">{"fdsup://Directions/FactSet Auditing Viewer?action=AUDIT_VALUE&amp;DB=129&amp;ID1=40377710&amp;VALUEID=01001&amp;SDATE=200701&amp;PERIODTYPE=QTR_STD&amp;window=popup_no_bar&amp;width=385&amp;height=120&amp;START_MAXIMIZED=FALSE&amp;creator=factset&amp;display_string=Audit"}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localSheetId="1" hidden="1">{"fdsup://Directions/FactSet Auditing Viewer?action=AUDIT_VALUE&amp;DB=129&amp;ID1=40377710&amp;VALUEID=02101&amp;SDATE=200701&amp;PERIODTYPE=QTR_STD&amp;window=popup_no_bar&amp;width=385&amp;height=120&amp;START_MAXIMIZED=FALSE&amp;creator=factset&amp;display_string=Audit"}</definedName>
    <definedName name="_856__FDSAUDITLINK__" localSheetId="20" hidden="1">{"fdsup://Directions/FactSet Auditing Viewer?action=AUDIT_VALUE&amp;DB=129&amp;ID1=40377710&amp;VALUEID=02101&amp;SDATE=200701&amp;PERIODTYPE=QTR_STD&amp;window=popup_no_bar&amp;width=385&amp;height=120&amp;START_MAXIMIZED=FALSE&amp;creator=factset&amp;display_string=Audit"}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857__FDSAUDITLINK__" localSheetId="20" hidden="1">{"fdsup://Directions/FactSet Auditing Viewer?action=AUDIT_VALUE&amp;DB=129&amp;ID1=40377710&amp;VALUEID=13040&amp;SDATE=200701&amp;PERIODTYPE=QTR_STD&amp;window=popup_no_bar&amp;width=385&amp;height=120&amp;START_MAXIMIZED=FALSE&amp;creator=factset&amp;display_string=Audit"}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858__FDSAUDITLINK__" localSheetId="20" hidden="1">{"fdsup://Directions/FactSet Auditing Viewer?action=AUDIT_VALUE&amp;DB=129&amp;ID1=40377710&amp;VALUEID=13040&amp;SDATE=200702&amp;PERIODTYPE=QTR_STD&amp;window=popup_no_bar&amp;width=385&amp;height=120&amp;START_MAXIMIZED=FALSE&amp;creator=factset&amp;display_string=Audit"}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localSheetId="1" hidden="1">{"fdsup://Directions/FactSet Auditing Viewer?action=AUDIT_VALUE&amp;DB=129&amp;ID1=40377710&amp;VALUEID=01001&amp;SDATE=200702&amp;PERIODTYPE=QTR_STD&amp;window=popup_no_bar&amp;width=385&amp;height=120&amp;START_MAXIMIZED=FALSE&amp;creator=factset&amp;display_string=Audit"}</definedName>
    <definedName name="_859__FDSAUDITLINK__" localSheetId="20" hidden="1">{"fdsup://Directions/FactSet Auditing Viewer?action=AUDIT_VALUE&amp;DB=129&amp;ID1=40377710&amp;VALUEID=01001&amp;SDATE=200702&amp;PERIODTYPE=QTR_STD&amp;window=popup_no_bar&amp;width=385&amp;height=120&amp;START_MAXIMIZED=FALSE&amp;creator=factset&amp;display_string=Audit"}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localSheetId="1" hidden="1">{"fdsup://directions/FAT Viewer?action=UPDATE&amp;creator=factset&amp;DYN_ARGS=TRUE&amp;DOC_NAME=FAT:FQL_AUDITING_CLIENT_TEMPLATE.FAT&amp;display_string=Audit&amp;VAR:KEY=EVWHYLKZSB&amp;VAR:QUERY=RkZfU0FMRVMoTFRNUywwKQ==&amp;WINDOW=FIRST_POPUP&amp;HEIGHT=450&amp;WIDTH=450&amp;START_MAXIMIZED=FALS","E&amp;VAR:CALENDAR=FIVEDAY&amp;VAR:SYMBOL=CMRG&amp;VAR:INDEX=0"}</definedName>
    <definedName name="_86__FDSAUDITLINK__" localSheetId="20" hidden="1">{"fdsup://Directions/FactSet Auditing Viewer?action=AUDIT_VALUE&amp;DB=129&amp;ID1=87416110&amp;VALUEID=02101&amp;SDATE=200901&amp;PERIODTYPE=QTR_STD&amp;window=popup_no_bar&amp;width=385&amp;height=120&amp;START_MAXIMIZED=FALSE&amp;creator=factset&amp;display_string=Audit"}</definedName>
    <definedName name="_86__FDSAUDITLINK__" hidden="1">{"fdsup://directions/FAT Viewer?action=UPDATE&amp;creator=factset&amp;DYN_ARGS=TRUE&amp;DOC_NAME=FAT:FQL_AUDITING_CLIENT_TEMPLATE.FAT&amp;display_string=Audit&amp;VAR:KEY=EVWHYLKZSB&amp;VAR:QUERY=RkZfU0FMRVMoTFRNUywwKQ==&amp;WINDOW=FIRST_POPUP&amp;HEIGHT=450&amp;WIDTH=450&amp;START_MAXIMIZED=FALS","E&amp;VAR:CALENDAR=FIVEDAY&amp;VAR:SYMBOL=CMRG&amp;VAR:INDEX=0"}</definedName>
    <definedName name="_860__FDSAUDITLINK__" localSheetId="1" hidden="1">{"fdsup://Directions/FactSet Auditing Viewer?action=AUDIT_VALUE&amp;DB=129&amp;ID1=40377710&amp;VALUEID=02101&amp;SDATE=200702&amp;PERIODTYPE=QTR_STD&amp;window=popup_no_bar&amp;width=385&amp;height=120&amp;START_MAXIMIZED=FALSE&amp;creator=factset&amp;display_string=Audit"}</definedName>
    <definedName name="_860__FDSAUDITLINK__" localSheetId="20" hidden="1">{"fdsup://Directions/FactSet Auditing Viewer?action=AUDIT_VALUE&amp;DB=129&amp;ID1=40377710&amp;VALUEID=02101&amp;SDATE=200702&amp;PERIODTYPE=QTR_STD&amp;window=popup_no_bar&amp;width=385&amp;height=120&amp;START_MAXIMIZED=FALSE&amp;creator=factset&amp;display_string=Audit"}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861__FDSAUDITLINK__" localSheetId="20" hidden="1">{"fdsup://Directions/FactSet Auditing Viewer?action=AUDIT_VALUE&amp;DB=129&amp;ID1=40377710&amp;VALUEID=13040&amp;SDATE=200703&amp;PERIODTYPE=QTR_STD&amp;window=popup_no_bar&amp;width=385&amp;height=120&amp;START_MAXIMIZED=FALSE&amp;creator=factset&amp;display_string=Audit"}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localSheetId="1" hidden="1">{"fdsup://Directions/FactSet Auditing Viewer?action=AUDIT_VALUE&amp;DB=129&amp;ID1=40377710&amp;VALUEID=01001&amp;SDATE=200703&amp;PERIODTYPE=QTR_STD&amp;window=popup_no_bar&amp;width=385&amp;height=120&amp;START_MAXIMIZED=FALSE&amp;creator=factset&amp;display_string=Audit"}</definedName>
    <definedName name="_862__FDSAUDITLINK__" localSheetId="20" hidden="1">{"fdsup://Directions/FactSet Auditing Viewer?action=AUDIT_VALUE&amp;DB=129&amp;ID1=40377710&amp;VALUEID=01001&amp;SDATE=200703&amp;PERIODTYPE=QTR_STD&amp;window=popup_no_bar&amp;width=385&amp;height=120&amp;START_MAXIMIZED=FALSE&amp;creator=factset&amp;display_string=Audit"}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localSheetId="1" hidden="1">{"fdsup://Directions/FactSet Auditing Viewer?action=AUDIT_VALUE&amp;DB=129&amp;ID1=40377710&amp;VALUEID=02101&amp;SDATE=200703&amp;PERIODTYPE=QTR_STD&amp;window=popup_no_bar&amp;width=385&amp;height=120&amp;START_MAXIMIZED=FALSE&amp;creator=factset&amp;display_string=Audit"}</definedName>
    <definedName name="_863__FDSAUDITLINK__" localSheetId="20" hidden="1">{"fdsup://Directions/FactSet Auditing Viewer?action=AUDIT_VALUE&amp;DB=129&amp;ID1=40377710&amp;VALUEID=02101&amp;SDATE=200703&amp;PERIODTYPE=QTR_STD&amp;window=popup_no_bar&amp;width=385&amp;height=120&amp;START_MAXIMIZED=FALSE&amp;creator=factset&amp;display_string=Audit"}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localSheetId="1" hidden="1">{"fdsup://Directions/FactSet Auditing Viewer?action=AUDIT_VALUE&amp;DB=129&amp;ID1=40377710&amp;VALUEID=01001&amp;SDATE=200704&amp;PERIODTYPE=QTR_STD&amp;window=popup_no_bar&amp;width=385&amp;height=120&amp;START_MAXIMIZED=FALSE&amp;creator=factset&amp;display_string=Audit"}</definedName>
    <definedName name="_864__FDSAUDITLINK__" localSheetId="20" hidden="1">{"fdsup://Directions/FactSet Auditing Viewer?action=AUDIT_VALUE&amp;DB=129&amp;ID1=40377710&amp;VALUEID=01001&amp;SDATE=200704&amp;PERIODTYPE=QTR_STD&amp;window=popup_no_bar&amp;width=385&amp;height=120&amp;START_MAXIMIZED=FALSE&amp;creator=factset&amp;display_string=Audit"}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localSheetId="1" hidden="1">{"fdsup://Directions/FactSet Auditing Viewer?action=AUDIT_VALUE&amp;DB=129&amp;ID1=40377710&amp;VALUEID=01001&amp;SDATE=200801&amp;PERIODTYPE=QTR_STD&amp;window=popup_no_bar&amp;width=385&amp;height=120&amp;START_MAXIMIZED=FALSE&amp;creator=factset&amp;display_string=Audit"}</definedName>
    <definedName name="_865__FDSAUDITLINK__" localSheetId="20" hidden="1">{"fdsup://Directions/FactSet Auditing Viewer?action=AUDIT_VALUE&amp;DB=129&amp;ID1=40377710&amp;VALUEID=01001&amp;SDATE=200801&amp;PERIODTYPE=QTR_STD&amp;window=popup_no_bar&amp;width=385&amp;height=120&amp;START_MAXIMIZED=FALSE&amp;creator=factset&amp;display_string=Audit"}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localSheetId="1" hidden="1">{"fdsup://Directions/FactSet Auditing Viewer?action=AUDIT_VALUE&amp;DB=129&amp;ID1=40377710&amp;VALUEID=02101&amp;SDATE=200801&amp;PERIODTYPE=QTR_STD&amp;window=popup_no_bar&amp;width=385&amp;height=120&amp;START_MAXIMIZED=FALSE&amp;creator=factset&amp;display_string=Audit"}</definedName>
    <definedName name="_866__FDSAUDITLINK__" localSheetId="20" hidden="1">{"fdsup://Directions/FactSet Auditing Viewer?action=AUDIT_VALUE&amp;DB=129&amp;ID1=40377710&amp;VALUEID=02101&amp;SDATE=200801&amp;PERIODTYPE=QTR_STD&amp;window=popup_no_bar&amp;width=385&amp;height=120&amp;START_MAXIMIZED=FALSE&amp;creator=factset&amp;display_string=Audit"}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867__FDSAUDITLINK__" localSheetId="20" hidden="1">{"fdsup://Directions/FactSet Auditing Viewer?action=AUDIT_VALUE&amp;DB=129&amp;ID1=40377710&amp;VALUEID=13040&amp;SDATE=200801&amp;PERIODTYPE=QTR_STD&amp;window=popup_no_bar&amp;width=385&amp;height=120&amp;START_MAXIMIZED=FALSE&amp;creator=factset&amp;display_string=Audit"}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868__FDSAUDITLINK__" localSheetId="20" hidden="1">{"fdsup://Directions/FactSet Auditing Viewer?action=AUDIT_VALUE&amp;DB=129&amp;ID1=40377710&amp;VALUEID=13040&amp;SDATE=200704&amp;PERIODTYPE=QTR_STD&amp;window=popup_no_bar&amp;width=385&amp;height=120&amp;START_MAXIMIZED=FALSE&amp;creator=factset&amp;display_string=Audit"}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869__FDSAUDITLINK__" localSheetId="20" hidden="1">{"fdsup://Directions/FactSet Auditing Viewer?action=AUDIT_VALUE&amp;DB=129&amp;ID1=40377710&amp;VALUEID=13040&amp;SDATE=200802&amp;PERIODTYPE=QTR_STD&amp;window=popup_no_bar&amp;width=385&amp;height=120&amp;START_MAXIMIZED=FALSE&amp;creator=factset&amp;display_string=Audit"}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localSheetId="1" hidden="1">{"fdsup://directions/FAT Viewer?action=UPDATE&amp;creator=factset&amp;DYN_ARGS=TRUE&amp;DOC_NAME=FAT:FQL_AUDITING_CLIENT_TEMPLATE.FAT&amp;display_string=Audit&amp;VAR:KEY=GZATWXAJEB&amp;VAR:QUERY=RkZfU0FMRVMoTFRNUywwKQ==&amp;WINDOW=FIRST_POPUP&amp;HEIGHT=450&amp;WIDTH=450&amp;START_MAXIMIZED=FALS","E&amp;VAR:CALENDAR=FIVEDAY&amp;VAR:SYMBOL=CHS&amp;VAR:INDEX=0"}</definedName>
    <definedName name="_87__FDSAUDITLINK__" localSheetId="20" hidden="1">{"fdsup://Directions/FactSet Auditing Viewer?action=AUDIT_VALUE&amp;DB=129&amp;ID1=87416110&amp;VALUEID=01001&amp;SDATE=200901&amp;PERIODTYPE=QTR_STD&amp;window=popup_no_bar&amp;width=385&amp;height=120&amp;START_MAXIMIZED=FALSE&amp;creator=factset&amp;display_string=Audit"}</definedName>
    <definedName name="_87__FDSAUDITLINK__" hidden="1">{"fdsup://directions/FAT Viewer?action=UPDATE&amp;creator=factset&amp;DYN_ARGS=TRUE&amp;DOC_NAME=FAT:FQL_AUDITING_CLIENT_TEMPLATE.FAT&amp;display_string=Audit&amp;VAR:KEY=GZATWXAJEB&amp;VAR:QUERY=RkZfU0FMRVMoTFRNUywwKQ==&amp;WINDOW=FIRST_POPUP&amp;HEIGHT=450&amp;WIDTH=450&amp;START_MAXIMIZED=FALS","E&amp;VAR:CALENDAR=FIVEDAY&amp;VAR:SYMBOL=CHS&amp;VAR:INDEX=0"}</definedName>
    <definedName name="_870__FDSAUDITLINK__" localSheetId="1" hidden="1">{"fdsup://Directions/FactSet Auditing Viewer?action=AUDIT_VALUE&amp;DB=129&amp;ID1=40377710&amp;VALUEID=01001&amp;SDATE=200802&amp;PERIODTYPE=QTR_STD&amp;window=popup_no_bar&amp;width=385&amp;height=120&amp;START_MAXIMIZED=FALSE&amp;creator=factset&amp;display_string=Audit"}</definedName>
    <definedName name="_870__FDSAUDITLINK__" localSheetId="20" hidden="1">{"fdsup://Directions/FactSet Auditing Viewer?action=AUDIT_VALUE&amp;DB=129&amp;ID1=40377710&amp;VALUEID=01001&amp;SDATE=200802&amp;PERIODTYPE=QTR_STD&amp;window=popup_no_bar&amp;width=385&amp;height=120&amp;START_MAXIMIZED=FALSE&amp;creator=factset&amp;display_string=Audit"}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localSheetId="1" hidden="1">{"fdsup://Directions/FactSet Auditing Viewer?action=AUDIT_VALUE&amp;DB=129&amp;ID1=40377710&amp;VALUEID=02101&amp;SDATE=200802&amp;PERIODTYPE=QTR_STD&amp;window=popup_no_bar&amp;width=385&amp;height=120&amp;START_MAXIMIZED=FALSE&amp;creator=factset&amp;display_string=Audit"}</definedName>
    <definedName name="_871__FDSAUDITLINK__" localSheetId="20" hidden="1">{"fdsup://Directions/FactSet Auditing Viewer?action=AUDIT_VALUE&amp;DB=129&amp;ID1=40377710&amp;VALUEID=02101&amp;SDATE=200802&amp;PERIODTYPE=QTR_STD&amp;window=popup_no_bar&amp;width=385&amp;height=120&amp;START_MAXIMIZED=FALSE&amp;creator=factset&amp;display_string=Audit"}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872__FDSAUDITLINK__" localSheetId="20" hidden="1">{"fdsup://Directions/FactSet Auditing Viewer?action=AUDIT_VALUE&amp;DB=129&amp;ID1=40377710&amp;VALUEID=13040&amp;SDATE=200803&amp;PERIODTYPE=QTR_STD&amp;window=popup_no_bar&amp;width=385&amp;height=120&amp;START_MAXIMIZED=FALSE&amp;creator=factset&amp;display_string=Audit"}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localSheetId="1" hidden="1">{"fdsup://Directions/FactSet Auditing Viewer?action=AUDIT_VALUE&amp;DB=129&amp;ID1=40377710&amp;VALUEID=01001&amp;SDATE=200803&amp;PERIODTYPE=QTR_STD&amp;window=popup_no_bar&amp;width=385&amp;height=120&amp;START_MAXIMIZED=FALSE&amp;creator=factset&amp;display_string=Audit"}</definedName>
    <definedName name="_873__FDSAUDITLINK__" localSheetId="20" hidden="1">{"fdsup://Directions/FactSet Auditing Viewer?action=AUDIT_VALUE&amp;DB=129&amp;ID1=40377710&amp;VALUEID=01001&amp;SDATE=200803&amp;PERIODTYPE=QTR_STD&amp;window=popup_no_bar&amp;width=385&amp;height=120&amp;START_MAXIMIZED=FALSE&amp;creator=factset&amp;display_string=Audit"}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localSheetId="1" hidden="1">{"fdsup://Directions/FactSet Auditing Viewer?action=AUDIT_VALUE&amp;DB=129&amp;ID1=40377710&amp;VALUEID=02101&amp;SDATE=200803&amp;PERIODTYPE=QTR_STD&amp;window=popup_no_bar&amp;width=385&amp;height=120&amp;START_MAXIMIZED=FALSE&amp;creator=factset&amp;display_string=Audit"}</definedName>
    <definedName name="_874__FDSAUDITLINK__" localSheetId="20" hidden="1">{"fdsup://Directions/FactSet Auditing Viewer?action=AUDIT_VALUE&amp;DB=129&amp;ID1=40377710&amp;VALUEID=02101&amp;SDATE=200803&amp;PERIODTYPE=QTR_STD&amp;window=popup_no_bar&amp;width=385&amp;height=120&amp;START_MAXIMIZED=FALSE&amp;creator=factset&amp;display_string=Audit"}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localSheetId="1" hidden="1">{"fdsup://Directions/FactSet Auditing Viewer?action=AUDIT_VALUE&amp;DB=129&amp;ID1=40377710&amp;VALUEID=01001&amp;SDATE=200804&amp;PERIODTYPE=QTR_STD&amp;window=popup_no_bar&amp;width=385&amp;height=120&amp;START_MAXIMIZED=FALSE&amp;creator=factset&amp;display_string=Audit"}</definedName>
    <definedName name="_875__FDSAUDITLINK__" localSheetId="20" hidden="1">{"fdsup://Directions/FactSet Auditing Viewer?action=AUDIT_VALUE&amp;DB=129&amp;ID1=40377710&amp;VALUEID=01001&amp;SDATE=200804&amp;PERIODTYPE=QTR_STD&amp;window=popup_no_bar&amp;width=385&amp;height=120&amp;START_MAXIMIZED=FALSE&amp;creator=factset&amp;display_string=Audit"}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localSheetId="1" hidden="1">{"fdsup://Directions/FactSet Auditing Viewer?action=AUDIT_VALUE&amp;DB=129&amp;ID1=40377710&amp;VALUEID=01001&amp;SDATE=200901&amp;PERIODTYPE=QTR_STD&amp;window=popup_no_bar&amp;width=385&amp;height=120&amp;START_MAXIMIZED=FALSE&amp;creator=factset&amp;display_string=Audit"}</definedName>
    <definedName name="_876__FDSAUDITLINK__" localSheetId="20" hidden="1">{"fdsup://Directions/FactSet Auditing Viewer?action=AUDIT_VALUE&amp;DB=129&amp;ID1=40377710&amp;VALUEID=01001&amp;SDATE=200901&amp;PERIODTYPE=QTR_STD&amp;window=popup_no_bar&amp;width=385&amp;height=120&amp;START_MAXIMIZED=FALSE&amp;creator=factset&amp;display_string=Audit"}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localSheetId="1" hidden="1">{"fdsup://Directions/FactSet Auditing Viewer?action=AUDIT_VALUE&amp;DB=129&amp;ID1=40377710&amp;VALUEID=02101&amp;SDATE=200901&amp;PERIODTYPE=QTR_STD&amp;window=popup_no_bar&amp;width=385&amp;height=120&amp;START_MAXIMIZED=FALSE&amp;creator=factset&amp;display_string=Audit"}</definedName>
    <definedName name="_877__FDSAUDITLINK__" localSheetId="20" hidden="1">{"fdsup://Directions/FactSet Auditing Viewer?action=AUDIT_VALUE&amp;DB=129&amp;ID1=40377710&amp;VALUEID=02101&amp;SDATE=200901&amp;PERIODTYPE=QTR_STD&amp;window=popup_no_bar&amp;width=385&amp;height=120&amp;START_MAXIMIZED=FALSE&amp;creator=factset&amp;display_string=Audit"}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878__FDSAUDITLINK__" localSheetId="20" hidden="1">{"fdsup://Directions/FactSet Auditing Viewer?action=AUDIT_VALUE&amp;DB=129&amp;ID1=40377710&amp;VALUEID=13040&amp;SDATE=200901&amp;PERIODTYPE=QTR_STD&amp;window=popup_no_bar&amp;width=385&amp;height=120&amp;START_MAXIMIZED=FALSE&amp;creator=factset&amp;display_string=Audit"}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879__FDSAUDITLINK__" localSheetId="20" hidden="1">{"fdsup://Directions/FactSet Auditing Viewer?action=AUDIT_VALUE&amp;DB=129&amp;ID1=40377710&amp;VALUEID=13040&amp;SDATE=200902&amp;PERIODTYPE=QTR_STD&amp;window=popup_no_bar&amp;width=385&amp;height=120&amp;START_MAXIMIZED=FALSE&amp;creator=factset&amp;display_string=Audit"}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localSheetId="1" hidden="1">{"fdsup://directions/FAT Viewer?action=UPDATE&amp;creator=factset&amp;DYN_ARGS=TRUE&amp;DOC_NAME=FAT:FQL_AUDITING_CLIENT_TEMPLATE.FAT&amp;display_string=Audit&amp;VAR:KEY=EHWVYTIHYJ&amp;VAR:QUERY=RkZfU0FMRVMoTFRNUywwKQ==&amp;WINDOW=FIRST_POPUP&amp;HEIGHT=450&amp;WIDTH=450&amp;START_MAXIMIZED=FALS","E&amp;VAR:CALENDAR=FIVEDAY&amp;VAR:SYMBOL=CHRS&amp;VAR:INDEX=0"}</definedName>
    <definedName name="_88__FDSAUDITLINK__" localSheetId="20" hidden="1">{"fdsup://Directions/FactSet Auditing Viewer?action=AUDIT_VALUE&amp;DB=129&amp;ID1=87416110&amp;VALUEID=13040&amp;SDATE=200901&amp;PERIODTYPE=QTR_STD&amp;window=popup_no_bar&amp;width=385&amp;height=120&amp;START_MAXIMIZED=FALSE&amp;creator=factset&amp;display_string=Audit"}</definedName>
    <definedName name="_88__FDSAUDITLINK__" hidden="1">{"fdsup://directions/FAT Viewer?action=UPDATE&amp;creator=factset&amp;DYN_ARGS=TRUE&amp;DOC_NAME=FAT:FQL_AUDITING_CLIENT_TEMPLATE.FAT&amp;display_string=Audit&amp;VAR:KEY=EHWVYTIHYJ&amp;VAR:QUERY=RkZfU0FMRVMoTFRNUywwKQ==&amp;WINDOW=FIRST_POPUP&amp;HEIGHT=450&amp;WIDTH=450&amp;START_MAXIMIZED=FALS","E&amp;VAR:CALENDAR=FIVEDAY&amp;VAR:SYMBOL=CHRS&amp;VAR:INDEX=0"}</definedName>
    <definedName name="_880__FDSAUDITLINK__" localSheetId="1" hidden="1">{"fdsup://Directions/FactSet Auditing Viewer?action=AUDIT_VALUE&amp;DB=129&amp;ID1=40377710&amp;VALUEID=01001&amp;SDATE=200902&amp;PERIODTYPE=QTR_STD&amp;window=popup_no_bar&amp;width=385&amp;height=120&amp;START_MAXIMIZED=FALSE&amp;creator=factset&amp;display_string=Audit"}</definedName>
    <definedName name="_880__FDSAUDITLINK__" localSheetId="20" hidden="1">{"fdsup://Directions/FactSet Auditing Viewer?action=AUDIT_VALUE&amp;DB=129&amp;ID1=40377710&amp;VALUEID=01001&amp;SDATE=200902&amp;PERIODTYPE=QTR_STD&amp;window=popup_no_bar&amp;width=385&amp;height=120&amp;START_MAXIMIZED=FALSE&amp;creator=factset&amp;display_string=Audit"}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localSheetId="1" hidden="1">{"fdsup://Directions/FactSet Auditing Viewer?action=AUDIT_VALUE&amp;DB=129&amp;ID1=40377710&amp;VALUEID=02101&amp;SDATE=200902&amp;PERIODTYPE=QTR_STD&amp;window=popup_no_bar&amp;width=385&amp;height=120&amp;START_MAXIMIZED=FALSE&amp;creator=factset&amp;display_string=Audit"}</definedName>
    <definedName name="_881__FDSAUDITLINK__" localSheetId="20" hidden="1">{"fdsup://Directions/FactSet Auditing Viewer?action=AUDIT_VALUE&amp;DB=129&amp;ID1=40377710&amp;VALUEID=02101&amp;SDATE=200902&amp;PERIODTYPE=QTR_STD&amp;window=popup_no_bar&amp;width=385&amp;height=120&amp;START_MAXIMIZED=FALSE&amp;creator=factset&amp;display_string=Audit"}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882__FDSAUDITLINK__" localSheetId="20" hidden="1">{"fdsup://Directions/FactSet Auditing Viewer?action=AUDIT_VALUE&amp;DB=129&amp;ID1=40377710&amp;VALUEID=13040&amp;SDATE=200903&amp;PERIODTYPE=QTR_STD&amp;window=popup_no_bar&amp;width=385&amp;height=120&amp;START_MAXIMIZED=FALSE&amp;creator=factset&amp;display_string=Audit"}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localSheetId="1" hidden="1">{"fdsup://Directions/FactSet Auditing Viewer?action=AUDIT_VALUE&amp;DB=129&amp;ID1=40377710&amp;VALUEID=01001&amp;SDATE=200903&amp;PERIODTYPE=QTR_STD&amp;window=popup_no_bar&amp;width=385&amp;height=120&amp;START_MAXIMIZED=FALSE&amp;creator=factset&amp;display_string=Audit"}</definedName>
    <definedName name="_883__FDSAUDITLINK__" localSheetId="20" hidden="1">{"fdsup://Directions/FactSet Auditing Viewer?action=AUDIT_VALUE&amp;DB=129&amp;ID1=40377710&amp;VALUEID=01001&amp;SDATE=200903&amp;PERIODTYPE=QTR_STD&amp;window=popup_no_bar&amp;width=385&amp;height=120&amp;START_MAXIMIZED=FALSE&amp;creator=factset&amp;display_string=Audit"}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localSheetId="1" hidden="1">{"fdsup://Directions/FactSet Auditing Viewer?action=AUDIT_VALUE&amp;DB=129&amp;ID1=40377710&amp;VALUEID=02101&amp;SDATE=200903&amp;PERIODTYPE=QTR_STD&amp;window=popup_no_bar&amp;width=385&amp;height=120&amp;START_MAXIMIZED=FALSE&amp;creator=factset&amp;display_string=Audit"}</definedName>
    <definedName name="_884__FDSAUDITLINK__" localSheetId="20" hidden="1">{"fdsup://Directions/FactSet Auditing Viewer?action=AUDIT_VALUE&amp;DB=129&amp;ID1=40377710&amp;VALUEID=02101&amp;SDATE=200903&amp;PERIODTYPE=QTR_STD&amp;window=popup_no_bar&amp;width=385&amp;height=120&amp;START_MAXIMIZED=FALSE&amp;creator=factset&amp;display_string=Audit"}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localSheetId="1" hidden="1">{"fdsup://Directions/FactSet Auditing Viewer?action=AUDIT_VALUE&amp;DB=129&amp;ID1=40377710&amp;VALUEID=01001&amp;SDATE=200904&amp;PERIODTYPE=QTR_STD&amp;window=popup_no_bar&amp;width=385&amp;height=120&amp;START_MAXIMIZED=FALSE&amp;creator=factset&amp;display_string=Audit"}</definedName>
    <definedName name="_885__FDSAUDITLINK__" localSheetId="20" hidden="1">{"fdsup://Directions/FactSet Auditing Viewer?action=AUDIT_VALUE&amp;DB=129&amp;ID1=40377710&amp;VALUEID=01001&amp;SDATE=200904&amp;PERIODTYPE=QTR_STD&amp;window=popup_no_bar&amp;width=385&amp;height=120&amp;START_MAXIMIZED=FALSE&amp;creator=factset&amp;display_string=Audit"}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886__FDSAUDITLINK__" localSheetId="20" hidden="1">{"fdsup://Directions/FactSet Auditing Viewer?action=AUDIT_VALUE&amp;DB=129&amp;ID1=40377710&amp;VALUEID=13040&amp;SDATE=201001&amp;PERIODTYPE=QTR_STD&amp;window=popup_no_bar&amp;width=385&amp;height=120&amp;START_MAXIMIZED=FALSE&amp;creator=factset&amp;display_string=Audit"}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localSheetId="1" hidden="1">{"fdsup://Directions/FactSet Auditing Viewer?action=AUDIT_VALUE&amp;DB=129&amp;ID1=40377710&amp;VALUEID=01001&amp;SDATE=201001&amp;PERIODTYPE=QTR_STD&amp;window=popup_no_bar&amp;width=385&amp;height=120&amp;START_MAXIMIZED=FALSE&amp;creator=factset&amp;display_string=Audit"}</definedName>
    <definedName name="_887__FDSAUDITLINK__" localSheetId="20" hidden="1">{"fdsup://Directions/FactSet Auditing Viewer?action=AUDIT_VALUE&amp;DB=129&amp;ID1=40377710&amp;VALUEID=01001&amp;SDATE=201001&amp;PERIODTYPE=QTR_STD&amp;window=popup_no_bar&amp;width=385&amp;height=120&amp;START_MAXIMIZED=FALSE&amp;creator=factset&amp;display_string=Audit"}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localSheetId="1" hidden="1">{"fdsup://Directions/FactSet Auditing Viewer?action=AUDIT_VALUE&amp;DB=129&amp;ID1=40377710&amp;VALUEID=02101&amp;SDATE=201001&amp;PERIODTYPE=QTR_STD&amp;window=popup_no_bar&amp;width=385&amp;height=120&amp;START_MAXIMIZED=FALSE&amp;creator=factset&amp;display_string=Audit"}</definedName>
    <definedName name="_888__FDSAUDITLINK__" localSheetId="20" hidden="1">{"fdsup://Directions/FactSet Auditing Viewer?action=AUDIT_VALUE&amp;DB=129&amp;ID1=40377710&amp;VALUEID=02101&amp;SDATE=201001&amp;PERIODTYPE=QTR_STD&amp;window=popup_no_bar&amp;width=385&amp;height=120&amp;START_MAXIMIZED=FALSE&amp;creator=factset&amp;display_string=Audit"}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localSheetId="1" hidden="1">{"fdsup://Directions/FactSet Auditing Viewer?action=AUDIT_VALUE&amp;DB=129&amp;ID1=40377710&amp;VALUEID=13040&amp;SDATE=200601&amp;PERIODTYPE=QTR_STD&amp;window=popup_no_bar&amp;width=385&amp;height=120&amp;START_MAXIMIZED=FALSE&amp;creator=factset&amp;display_string=Audit"}</definedName>
    <definedName name="_889__FDSAUDITLINK__" localSheetId="20" hidden="1">{"fdsup://Directions/FactSet Auditing Viewer?action=AUDIT_VALUE&amp;DB=129&amp;ID1=40377710&amp;VALUEID=13040&amp;SDATE=200601&amp;PERIODTYPE=QTR_STD&amp;window=popup_no_bar&amp;width=385&amp;height=120&amp;START_MAXIMIZED=FALSE&amp;creator=factset&amp;display_string=Audit"}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localSheetId="1" hidden="1">{"fdsup://directions/FAT Viewer?action=UPDATE&amp;creator=factset&amp;DYN_ARGS=TRUE&amp;DOC_NAME=FAT:FQL_AUDITING_CLIENT_TEMPLATE.FAT&amp;display_string=Audit&amp;VAR:KEY=ULINKPWFSN&amp;VAR:QUERY=RkZfU0FMRVMoTFRNUywwKQ==&amp;WINDOW=FIRST_POPUP&amp;HEIGHT=450&amp;WIDTH=450&amp;START_MAXIMIZED=FALS","E&amp;VAR:CALENDAR=FIVEDAY&amp;VAR:SYMBOL=CBK&amp;VAR:INDEX=0"}</definedName>
    <definedName name="_89__FDSAUDITLINK__" localSheetId="20"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89__FDSAUDITLINK__" hidden="1">{"fdsup://directions/FAT Viewer?action=UPDATE&amp;creator=factset&amp;DYN_ARGS=TRUE&amp;DOC_NAME=FAT:FQL_AUDITING_CLIENT_TEMPLATE.FAT&amp;display_string=Audit&amp;VAR:KEY=ULINKPWFSN&amp;VAR:QUERY=RkZfU0FMRVMoTFRNUywwKQ==&amp;WINDOW=FIRST_POPUP&amp;HEIGHT=450&amp;WIDTH=450&amp;START_MAXIMIZED=FALS","E&amp;VAR:CALENDAR=FIVEDAY&amp;VAR:SYMBOL=CBK&amp;VAR:INDEX=0"}</definedName>
    <definedName name="_890__FDSAUDITLINK__" localSheetId="1" hidden="1">{"fdsup://Directions/FactSet Auditing Viewer?action=AUDIT_VALUE&amp;DB=129&amp;ID1=40377710&amp;VALUEID=13040&amp;SDATE=200602&amp;PERIODTYPE=QTR_STD&amp;window=popup_no_bar&amp;width=385&amp;height=120&amp;START_MAXIMIZED=FALSE&amp;creator=factset&amp;display_string=Audit"}</definedName>
    <definedName name="_890__FDSAUDITLINK__" localSheetId="20" hidden="1">{"fdsup://Directions/FactSet Auditing Viewer?action=AUDIT_VALUE&amp;DB=129&amp;ID1=40377710&amp;VALUEID=13040&amp;SDATE=200602&amp;PERIODTYPE=QTR_STD&amp;window=popup_no_bar&amp;width=385&amp;height=120&amp;START_MAXIMIZED=FALSE&amp;creator=factset&amp;display_string=Audit"}</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localSheetId="1" hidden="1">{"fdsup://Directions/FactSet Auditing Viewer?action=AUDIT_VALUE&amp;DB=129&amp;ID1=40377710&amp;VALUEID=13040&amp;SDATE=200603&amp;PERIODTYPE=QTR_STD&amp;window=popup_no_bar&amp;width=385&amp;height=120&amp;START_MAXIMIZED=FALSE&amp;creator=factset&amp;display_string=Audit"}</definedName>
    <definedName name="_891__FDSAUDITLINK__" localSheetId="20" hidden="1">{"fdsup://Directions/FactSet Auditing Viewer?action=AUDIT_VALUE&amp;DB=129&amp;ID1=40377710&amp;VALUEID=13040&amp;SDATE=200603&amp;PERIODTYPE=QTR_STD&amp;window=popup_no_bar&amp;width=385&amp;height=120&amp;START_MAXIMIZED=FALSE&amp;creator=factset&amp;display_string=Audit"}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localSheetId="1" hidden="1">{"fdsup://Directions/FactSet Auditing Viewer?action=AUDIT_VALUE&amp;DB=129&amp;ID1=40377710&amp;VALUEID=13040&amp;SDATE=200701&amp;PERIODTYPE=QTR_STD&amp;window=popup_no_bar&amp;width=385&amp;height=120&amp;START_MAXIMIZED=FALSE&amp;creator=factset&amp;display_string=Audit"}</definedName>
    <definedName name="_892__FDSAUDITLINK__" localSheetId="20" hidden="1">{"fdsup://Directions/FactSet Auditing Viewer?action=AUDIT_VALUE&amp;DB=129&amp;ID1=40377710&amp;VALUEID=13040&amp;SDATE=200701&amp;PERIODTYPE=QTR_STD&amp;window=popup_no_bar&amp;width=385&amp;height=120&amp;START_MAXIMIZED=FALSE&amp;creator=factset&amp;display_string=Audit"}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localSheetId="1" hidden="1">{"fdsup://Directions/FactSet Auditing Viewer?action=AUDIT_VALUE&amp;DB=129&amp;ID1=40377710&amp;VALUEID=13040&amp;SDATE=200702&amp;PERIODTYPE=QTR_STD&amp;window=popup_no_bar&amp;width=385&amp;height=120&amp;START_MAXIMIZED=FALSE&amp;creator=factset&amp;display_string=Audit"}</definedName>
    <definedName name="_893__FDSAUDITLINK__" localSheetId="20" hidden="1">{"fdsup://Directions/FactSet Auditing Viewer?action=AUDIT_VALUE&amp;DB=129&amp;ID1=40377710&amp;VALUEID=13040&amp;SDATE=200702&amp;PERIODTYPE=QTR_STD&amp;window=popup_no_bar&amp;width=385&amp;height=120&amp;START_MAXIMIZED=FALSE&amp;creator=factset&amp;display_string=Audit"}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localSheetId="1" hidden="1">{"fdsup://Directions/FactSet Auditing Viewer?action=AUDIT_VALUE&amp;DB=129&amp;ID1=40377710&amp;VALUEID=13040&amp;SDATE=200703&amp;PERIODTYPE=QTR_STD&amp;window=popup_no_bar&amp;width=385&amp;height=120&amp;START_MAXIMIZED=FALSE&amp;creator=factset&amp;display_string=Audit"}</definedName>
    <definedName name="_894__FDSAUDITLINK__" localSheetId="20" hidden="1">{"fdsup://Directions/FactSet Auditing Viewer?action=AUDIT_VALUE&amp;DB=129&amp;ID1=40377710&amp;VALUEID=13040&amp;SDATE=200703&amp;PERIODTYPE=QTR_STD&amp;window=popup_no_bar&amp;width=385&amp;height=120&amp;START_MAXIMIZED=FALSE&amp;creator=factset&amp;display_string=Audit"}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localSheetId="1" hidden="1">{"fdsup://Directions/FactSet Auditing Viewer?action=AUDIT_VALUE&amp;DB=129&amp;ID1=40377710&amp;VALUEID=13040&amp;SDATE=200704&amp;PERIODTYPE=QTR_STD&amp;window=popup_no_bar&amp;width=385&amp;height=120&amp;START_MAXIMIZED=FALSE&amp;creator=factset&amp;display_string=Audit"}</definedName>
    <definedName name="_895__FDSAUDITLINK__" localSheetId="20" hidden="1">{"fdsup://Directions/FactSet Auditing Viewer?action=AUDIT_VALUE&amp;DB=129&amp;ID1=40377710&amp;VALUEID=13040&amp;SDATE=200704&amp;PERIODTYPE=QTR_STD&amp;window=popup_no_bar&amp;width=385&amp;height=120&amp;START_MAXIMIZED=FALSE&amp;creator=factset&amp;display_string=Audit"}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localSheetId="1" hidden="1">{"fdsup://Directions/FactSet Auditing Viewer?action=AUDIT_VALUE&amp;DB=129&amp;ID1=40377710&amp;VALUEID=13040&amp;SDATE=200801&amp;PERIODTYPE=QTR_STD&amp;window=popup_no_bar&amp;width=385&amp;height=120&amp;START_MAXIMIZED=FALSE&amp;creator=factset&amp;display_string=Audit"}</definedName>
    <definedName name="_896__FDSAUDITLINK__" localSheetId="20" hidden="1">{"fdsup://Directions/FactSet Auditing Viewer?action=AUDIT_VALUE&amp;DB=129&amp;ID1=40377710&amp;VALUEID=13040&amp;SDATE=200801&amp;PERIODTYPE=QTR_STD&amp;window=popup_no_bar&amp;width=385&amp;height=120&amp;START_MAXIMIZED=FALSE&amp;creator=factset&amp;display_string=Audit"}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localSheetId="1" hidden="1">{"fdsup://Directions/FactSet Auditing Viewer?action=AUDIT_VALUE&amp;DB=129&amp;ID1=40377710&amp;VALUEID=13040&amp;SDATE=200802&amp;PERIODTYPE=QTR_STD&amp;window=popup_no_bar&amp;width=385&amp;height=120&amp;START_MAXIMIZED=FALSE&amp;creator=factset&amp;display_string=Audit"}</definedName>
    <definedName name="_897__FDSAUDITLINK__" localSheetId="20" hidden="1">{"fdsup://Directions/FactSet Auditing Viewer?action=AUDIT_VALUE&amp;DB=129&amp;ID1=40377710&amp;VALUEID=13040&amp;SDATE=200802&amp;PERIODTYPE=QTR_STD&amp;window=popup_no_bar&amp;width=385&amp;height=120&amp;START_MAXIMIZED=FALSE&amp;creator=factset&amp;display_string=Audit"}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localSheetId="1" hidden="1">{"fdsup://Directions/FactSet Auditing Viewer?action=AUDIT_VALUE&amp;DB=129&amp;ID1=40377710&amp;VALUEID=13040&amp;SDATE=200803&amp;PERIODTYPE=QTR_STD&amp;window=popup_no_bar&amp;width=385&amp;height=120&amp;START_MAXIMIZED=FALSE&amp;creator=factset&amp;display_string=Audit"}</definedName>
    <definedName name="_898__FDSAUDITLINK__" localSheetId="20" hidden="1">{"fdsup://Directions/FactSet Auditing Viewer?action=AUDIT_VALUE&amp;DB=129&amp;ID1=40377710&amp;VALUEID=13040&amp;SDATE=200803&amp;PERIODTYPE=QTR_STD&amp;window=popup_no_bar&amp;width=385&amp;height=120&amp;START_MAXIMIZED=FALSE&amp;creator=factset&amp;display_string=Audit"}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localSheetId="1" hidden="1">{"fdsup://Directions/FactSet Auditing Viewer?action=AUDIT_VALUE&amp;DB=129&amp;ID1=40377710&amp;VALUEID=13040&amp;SDATE=200901&amp;PERIODTYPE=QTR_STD&amp;window=popup_no_bar&amp;width=385&amp;height=120&amp;START_MAXIMIZED=FALSE&amp;creator=factset&amp;display_string=Audit"}</definedName>
    <definedName name="_899__FDSAUDITLINK__" localSheetId="20" hidden="1">{"fdsup://Directions/FactSet Auditing Viewer?action=AUDIT_VALUE&amp;DB=129&amp;ID1=40377710&amp;VALUEID=13040&amp;SDATE=200901&amp;PERIODTYPE=QTR_STD&amp;window=popup_no_bar&amp;width=385&amp;height=120&amp;START_MAXIMIZED=FALSE&amp;creator=factset&amp;display_string=Audit"}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Dｸﾞﾗﾌ_1" hidden="1">[2]ｾｸﾞﾒﾝﾄ!$E$167:$I$167</definedName>
    <definedName name="_9__FDSAUDITLINK__" localSheetId="1" hidden="1">{"fdsup://directions/FAT Viewer?action=UPDATE&amp;creator=factset&amp;DYN_ARGS=TRUE&amp;DOC_NAME=FAT:FQL_AUDITING_CLIENT_TEMPLATE.FAT&amp;display_string=Audit&amp;VAR:KEY=WXQJWZEPAJ&amp;VAR:QUERY=RkZfRU5UUlBSX1ZBTF9FQklUREFfT1BFUihBTk4sMCk=&amp;WINDOW=FIRST_POPUP&amp;HEIGHT=450&amp;WIDTH=450&amp;","START_MAXIMIZED=FALSE&amp;VAR:CALENDAR=FIVEDAY&amp;VAR:SYMBOL=LTD&amp;VAR:INDEX=0"}</definedName>
    <definedName name="_9__FDSAUDITLINK__" localSheetId="20" hidden="1">{"fdsup://Directions/FactSet Auditing Viewer?action=AUDIT_VALUE&amp;DB=129&amp;ID1=36476010&amp;VALUEID=13040&amp;SDATE=201001&amp;PERIODTYPE=QTR_STD&amp;window=popup_no_bar&amp;width=385&amp;height=120&amp;START_MAXIMIZED=FALSE&amp;creator=factset&amp;display_string=Audit"}</definedName>
    <definedName name="_9__FDSAUDITLINK__" hidden="1">{"fdsup://directions/FAT Viewer?action=UPDATE&amp;creator=factset&amp;DYN_ARGS=TRUE&amp;DOC_NAME=FAT:FQL_AUDITING_CLIENT_TEMPLATE.FAT&amp;display_string=Audit&amp;VAR:KEY=WXQJWZEPAJ&amp;VAR:QUERY=RkZfRU5UUlBSX1ZBTF9FQklUREFfT1BFUihBTk4sMCk=&amp;WINDOW=FIRST_POPUP&amp;HEIGHT=450&amp;WIDTH=450&amp;","START_MAXIMIZED=FALSE&amp;VAR:CALENDAR=FIVEDAY&amp;VAR:SYMBOL=LTD&amp;VAR:INDEX=0"}</definedName>
    <definedName name="_90__FDSAUDITLINK__" localSheetId="1" hidden="1">{"fdsup://directions/FAT Viewer?action=UPDATE&amp;creator=factset&amp;DYN_ARGS=TRUE&amp;DOC_NAME=FAT:FQL_AUDITING_CLIENT_TEMPLATE.FAT&amp;display_string=Audit&amp;VAR:KEY=EXITWVGDCR&amp;VAR:QUERY=RkZfU0FMRVMoTFRNUywwKQ==&amp;WINDOW=FIRST_POPUP&amp;HEIGHT=450&amp;WIDTH=450&amp;START_MAXIMIZED=FALS","E&amp;VAR:CALENDAR=FIVEDAY&amp;VAR:SYMBOL=CATO&amp;VAR:INDEX=0"}</definedName>
    <definedName name="_90__FDSAUDITLINK__" localSheetId="20" hidden="1">{"fdsup://Directions/FactSet Auditing Viewer?action=AUDIT_VALUE&amp;DB=129&amp;ID1=53271610&amp;VALUEID=13040&amp;SDATE=200901&amp;PERIODTYPE=QTR_STD&amp;window=popup_no_bar&amp;width=385&amp;height=120&amp;START_MAXIMIZED=FALSE&amp;creator=factset&amp;display_string=Audit"}</definedName>
    <definedName name="_90__FDSAUDITLINK__" hidden="1">{"fdsup://directions/FAT Viewer?action=UPDATE&amp;creator=factset&amp;DYN_ARGS=TRUE&amp;DOC_NAME=FAT:FQL_AUDITING_CLIENT_TEMPLATE.FAT&amp;display_string=Audit&amp;VAR:KEY=EXITWVGDCR&amp;VAR:QUERY=RkZfU0FMRVMoTFRNUywwKQ==&amp;WINDOW=FIRST_POPUP&amp;HEIGHT=450&amp;WIDTH=450&amp;START_MAXIMIZED=FALS","E&amp;VAR:CALENDAR=FIVEDAY&amp;VAR:SYMBOL=CATO&amp;VAR:INDEX=0"}</definedName>
    <definedName name="_900__FDSAUDITLINK__" localSheetId="1" hidden="1">{"fdsup://Directions/FactSet Auditing Viewer?action=AUDIT_VALUE&amp;DB=129&amp;ID1=40377710&amp;VALUEID=13040&amp;SDATE=200902&amp;PERIODTYPE=QTR_STD&amp;window=popup_no_bar&amp;width=385&amp;height=120&amp;START_MAXIMIZED=FALSE&amp;creator=factset&amp;display_string=Audit"}</definedName>
    <definedName name="_900__FDSAUDITLINK__" localSheetId="20" hidden="1">{"fdsup://Directions/FactSet Auditing Viewer?action=AUDIT_VALUE&amp;DB=129&amp;ID1=40377710&amp;VALUEID=13040&amp;SDATE=200902&amp;PERIODTYPE=QTR_STD&amp;window=popup_no_bar&amp;width=385&amp;height=120&amp;START_MAXIMIZED=FALSE&amp;creator=factset&amp;display_string=Audit"}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localSheetId="1" hidden="1">{"fdsup://Directions/FactSet Auditing Viewer?action=AUDIT_VALUE&amp;DB=129&amp;ID1=40377710&amp;VALUEID=13040&amp;SDATE=200903&amp;PERIODTYPE=QTR_STD&amp;window=popup_no_bar&amp;width=385&amp;height=120&amp;START_MAXIMIZED=FALSE&amp;creator=factset&amp;display_string=Audit"}</definedName>
    <definedName name="_901__FDSAUDITLINK__" localSheetId="20" hidden="1">{"fdsup://Directions/FactSet Auditing Viewer?action=AUDIT_VALUE&amp;DB=129&amp;ID1=40377710&amp;VALUEID=13040&amp;SDATE=200903&amp;PERIODTYPE=QTR_STD&amp;window=popup_no_bar&amp;width=385&amp;height=120&amp;START_MAXIMIZED=FALSE&amp;creator=factset&amp;display_string=Audit"}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localSheetId="1" hidden="1">{"fdsup://Directions/FactSet Auditing Viewer?action=AUDIT_VALUE&amp;DB=129&amp;ID1=40377710&amp;VALUEID=13040&amp;SDATE=201001&amp;PERIODTYPE=QTR_STD&amp;window=popup_no_bar&amp;width=385&amp;height=120&amp;START_MAXIMIZED=FALSE&amp;creator=factset&amp;display_string=Audit"}</definedName>
    <definedName name="_902__FDSAUDITLINK__" localSheetId="20" hidden="1">{"fdsup://Directions/FactSet Auditing Viewer?action=AUDIT_VALUE&amp;DB=129&amp;ID1=40377710&amp;VALUEID=13040&amp;SDATE=201001&amp;PERIODTYPE=QTR_STD&amp;window=popup_no_bar&amp;width=385&amp;height=120&amp;START_MAXIMIZED=FALSE&amp;creator=factset&amp;display_string=Audit"}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localSheetId="1"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3__FDSAUDITLINK__" localSheetId="20"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localSheetId="1"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4__FDSAUDITLINK__" localSheetId="20"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localSheetId="1"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5__FDSAUDITLINK__" localSheetId="20"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localSheetId="1"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6__FDSAUDITLINK__" localSheetId="20"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localSheetId="1"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7__FDSAUDITLINK__" localSheetId="20"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localSheetId="1"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8__FDSAUDITLINK__" localSheetId="20"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localSheetId="1"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09__FDSAUDITLINK__" localSheetId="20"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localSheetId="1" hidden="1">{"fdsup://directions/FAT Viewer?action=UPDATE&amp;creator=factset&amp;DYN_ARGS=TRUE&amp;DOC_NAME=FAT:FQL_AUDITING_CLIENT_TEMPLATE.FAT&amp;display_string=Audit&amp;VAR:KEY=ULUVKDKRYR&amp;VAR:QUERY=RkZfU0FMRVMoTFRNUywwKQ==&amp;WINDOW=FIRST_POPUP&amp;HEIGHT=450&amp;WIDTH=450&amp;START_MAXIMIZED=FALS","E&amp;VAR:CALENDAR=FIVEDAY&amp;VAR:SYMBOL=BKE&amp;VAR:INDEX=0"}</definedName>
    <definedName name="_91__FDSAUDITLINK__" localSheetId="20" hidden="1">{"fdsup://Directions/FactSet Auditing Viewer?action=AUDIT_VALUE&amp;DB=129&amp;ID1=46612H40&amp;VALUEID=02101&amp;SDATE=200901&amp;PERIODTYPE=QTR_STD&amp;window=popup_no_bar&amp;width=385&amp;height=120&amp;START_MAXIMIZED=FALSE&amp;creator=factset&amp;display_string=Audit"}</definedName>
    <definedName name="_91__FDSAUDITLINK__" hidden="1">{"fdsup://directions/FAT Viewer?action=UPDATE&amp;creator=factset&amp;DYN_ARGS=TRUE&amp;DOC_NAME=FAT:FQL_AUDITING_CLIENT_TEMPLATE.FAT&amp;display_string=Audit&amp;VAR:KEY=ULUVKDKRYR&amp;VAR:QUERY=RkZfU0FMRVMoTFRNUywwKQ==&amp;WINDOW=FIRST_POPUP&amp;HEIGHT=450&amp;WIDTH=450&amp;START_MAXIMIZED=FALS","E&amp;VAR:CALENDAR=FIVEDAY&amp;VAR:SYMBOL=BKE&amp;VAR:INDEX=0"}</definedName>
    <definedName name="_910__FDSAUDITLINK__" localSheetId="1"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0__FDSAUDITLINK__" localSheetId="20"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localSheetId="1"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1__FDSAUDITLINK__" localSheetId="20"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localSheetId="1"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2__FDSAUDITLINK__" localSheetId="20"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localSheetId="1"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3__FDSAUDITLINK__" localSheetId="20"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localSheetId="1"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4__FDSAUDITLINK__" localSheetId="20"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localSheetId="1"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5__FDSAUDITLINK__" localSheetId="20"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localSheetId="1"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6__FDSAUDITLINK__" localSheetId="20"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localSheetId="1"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7__FDSAUDITLINK__" localSheetId="20"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localSheetId="1"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8__FDSAUDITLINK__" localSheetId="20"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localSheetId="1"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19__FDSAUDITLINK__" localSheetId="20"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localSheetId="1" hidden="1">{"fdsup://directions/FAT Viewer?action=UPDATE&amp;creator=factset&amp;DYN_ARGS=TRUE&amp;DOC_NAME=FAT:FQL_AUDITING_CLIENT_TEMPLATE.FAT&amp;display_string=Audit&amp;VAR:KEY=GDIXCFCBET&amp;VAR:QUERY=RkZfU0FMRVMoTFRNUywwKQ==&amp;WINDOW=FIRST_POPUP&amp;HEIGHT=450&amp;WIDTH=450&amp;START_MAXIMIZED=FALS","E&amp;VAR:CALENDAR=FIVEDAY&amp;VAR:SYMBOL=BEBE&amp;VAR:INDEX=0"}</definedName>
    <definedName name="_92__FDSAUDITLINK__" localSheetId="20" hidden="1">{"fdsup://Directions/FactSet Auditing Viewer?action=AUDIT_VALUE&amp;DB=129&amp;ID1=46612H40&amp;VALUEID=01001&amp;SDATE=200901&amp;PERIODTYPE=QTR_STD&amp;window=popup_no_bar&amp;width=385&amp;height=120&amp;START_MAXIMIZED=FALSE&amp;creator=factset&amp;display_string=Audit"}</definedName>
    <definedName name="_92__FDSAUDITLINK__" hidden="1">{"fdsup://directions/FAT Viewer?action=UPDATE&amp;creator=factset&amp;DYN_ARGS=TRUE&amp;DOC_NAME=FAT:FQL_AUDITING_CLIENT_TEMPLATE.FAT&amp;display_string=Audit&amp;VAR:KEY=GDIXCFCBET&amp;VAR:QUERY=RkZfU0FMRVMoTFRNUywwKQ==&amp;WINDOW=FIRST_POPUP&amp;HEIGHT=450&amp;WIDTH=450&amp;START_MAXIMIZED=FALS","E&amp;VAR:CALENDAR=FIVEDAY&amp;VAR:SYMBOL=BEBE&amp;VAR:INDEX=0"}</definedName>
    <definedName name="_920__FDSAUDITLINK__" localSheetId="1"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0__FDSAUDITLINK__" localSheetId="20"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localSheetId="1"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1__FDSAUDITLINK__" localSheetId="20"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localSheetId="1"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2__FDSAUDITLINK__" localSheetId="20"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localSheetId="1"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3__FDSAUDITLINK__" localSheetId="20"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localSheetId="1"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4__FDSAUDITLINK__" localSheetId="20"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localSheetId="1"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5__FDSAUDITLINK__" localSheetId="20"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localSheetId="1"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6__FDSAUDITLINK__" localSheetId="20"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localSheetId="1"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7__FDSAUDITLINK__" localSheetId="20"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localSheetId="1"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8__FDSAUDITLINK__" localSheetId="20"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localSheetId="1"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29__FDSAUDITLINK__" localSheetId="20"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localSheetId="1" hidden="1">{"fdsup://directions/FAT Viewer?action=UPDATE&amp;creator=factset&amp;DYN_ARGS=TRUE&amp;DOC_NAME=FAT:FQL_AUDITING_CLIENT_TEMPLATE.FAT&amp;display_string=Audit&amp;VAR:KEY=ABGVSXGTYZ&amp;VAR:QUERY=RkZfU0FMRVMoTFRNUywwKQ==&amp;WINDOW=FIRST_POPUP&amp;HEIGHT=450&amp;WIDTH=450&amp;START_MAXIMIZED=FALS","E&amp;VAR:CALENDAR=FIVEDAY&amp;VAR:SYMBOL=ARO&amp;VAR:INDEX=0"}</definedName>
    <definedName name="_93__FDSAUDITLINK__" localSheetId="20" hidden="1">{"fdsup://Directions/FactSet Auditing Viewer?action=AUDIT_VALUE&amp;DB=129&amp;ID1=46612H40&amp;VALUEID=13040&amp;SDATE=200901&amp;PERIODTYPE=QTR_STD&amp;window=popup_no_bar&amp;width=385&amp;height=120&amp;START_MAXIMIZED=FALSE&amp;creator=factset&amp;display_string=Audit"}</definedName>
    <definedName name="_93__FDSAUDITLINK__" hidden="1">{"fdsup://directions/FAT Viewer?action=UPDATE&amp;creator=factset&amp;DYN_ARGS=TRUE&amp;DOC_NAME=FAT:FQL_AUDITING_CLIENT_TEMPLATE.FAT&amp;display_string=Audit&amp;VAR:KEY=ABGVSXGTYZ&amp;VAR:QUERY=RkZfU0FMRVMoTFRNUywwKQ==&amp;WINDOW=FIRST_POPUP&amp;HEIGHT=450&amp;WIDTH=450&amp;START_MAXIMIZED=FALS","E&amp;VAR:CALENDAR=FIVEDAY&amp;VAR:SYMBOL=ARO&amp;VAR:INDEX=0"}</definedName>
    <definedName name="_930__FDSAUDITLINK__" localSheetId="1"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0__FDSAUDITLINK__" localSheetId="20"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localSheetId="1"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1__FDSAUDITLINK__" localSheetId="20"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localSheetId="1"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2__FDSAUDITLINK__" localSheetId="20"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localSheetId="1"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3__FDSAUDITLINK__" localSheetId="20"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localSheetId="1"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4__FDSAUDITLINK__" localSheetId="20"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localSheetId="1"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5__FDSAUDITLINK__" localSheetId="20"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localSheetId="1"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6__FDSAUDITLINK__" localSheetId="20"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localSheetId="1"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7__FDSAUDITLINK__" localSheetId="20"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localSheetId="1"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8__FDSAUDITLINK__" localSheetId="20"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localSheetId="1"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39__FDSAUDITLINK__" localSheetId="20"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localSheetId="1" hidden="1">{"fdsup://directions/FAT Viewer?action=UPDATE&amp;creator=factset&amp;DYN_ARGS=TRUE&amp;DOC_NAME=FAT:FQL_AUDITING_CLIENT_TEMPLATE.FAT&amp;display_string=Audit&amp;VAR:KEY=AZEJGJATYH&amp;VAR:QUERY=RkZfU0FMRVMoTFRNUywwKQ==&amp;WINDOW=FIRST_POPUP&amp;HEIGHT=450&amp;WIDTH=450&amp;START_MAXIMIZED=FALS","E&amp;VAR:CALENDAR=FIVEDAY&amp;VAR:SYMBOL=ANN&amp;VAR:INDEX=0"}</definedName>
    <definedName name="_94__FDSAUDITLINK__" localSheetId="20" hidden="1">{"fdsup://Directions/FactSet Auditing Viewer?action=AUDIT_VALUE&amp;DB=129&amp;ID1=03611510&amp;VALUEID=02101&amp;SDATE=200901&amp;PERIODTYPE=QTR_STD&amp;window=popup_no_bar&amp;width=385&amp;height=120&amp;START_MAXIMIZED=FALSE&amp;creator=factset&amp;display_string=Audit"}</definedName>
    <definedName name="_94__FDSAUDITLINK__" hidden="1">{"fdsup://directions/FAT Viewer?action=UPDATE&amp;creator=factset&amp;DYN_ARGS=TRUE&amp;DOC_NAME=FAT:FQL_AUDITING_CLIENT_TEMPLATE.FAT&amp;display_string=Audit&amp;VAR:KEY=AZEJGJATYH&amp;VAR:QUERY=RkZfU0FMRVMoTFRNUywwKQ==&amp;WINDOW=FIRST_POPUP&amp;HEIGHT=450&amp;WIDTH=450&amp;START_MAXIMIZED=FALS","E&amp;VAR:CALENDAR=FIVEDAY&amp;VAR:SYMBOL=ANN&amp;VAR:INDEX=0"}</definedName>
    <definedName name="_940__FDSAUDITLINK__" localSheetId="1"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0__FDSAUDITLINK__" localSheetId="20"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localSheetId="1"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1__FDSAUDITLINK__" localSheetId="20"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localSheetId="1"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2__FDSAUDITLINK__" localSheetId="20"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localSheetId="1"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3__FDSAUDITLINK__" localSheetId="20"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localSheetId="1"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4__FDSAUDITLINK__" localSheetId="20"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localSheetId="1"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5__FDSAUDITLINK__" localSheetId="20"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localSheetId="1"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6__FDSAUDITLINK__" localSheetId="20"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localSheetId="1"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7__FDSAUDITLINK__" localSheetId="20"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localSheetId="1" hidden="1">{"fdsup://Directions/FactSet Auditing Viewer?action=AUDIT_VALUE&amp;DB=129&amp;ID1=53271610&amp;VALUEID=13040&amp;SDATE=200601&amp;PERIODTYPE=QTR_STD&amp;window=popup_no_bar&amp;width=385&amp;height=120&amp;START_MAXIMIZED=FALSE&amp;creator=factset&amp;display_string=Audit"}</definedName>
    <definedName name="_948__FDSAUDITLINK__" localSheetId="20" hidden="1">{"fdsup://Directions/FactSet Auditing Viewer?action=AUDIT_VALUE&amp;DB=129&amp;ID1=53271610&amp;VALUEID=13040&amp;SDATE=200601&amp;PERIODTYPE=QTR_STD&amp;window=popup_no_bar&amp;width=385&amp;height=120&amp;START_MAXIMIZED=FALSE&amp;creator=factset&amp;display_string=Audit"}</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localSheetId="1" hidden="1">{"fdsup://Directions/FactSet Auditing Viewer?action=AUDIT_VALUE&amp;DB=129&amp;ID1=53271610&amp;VALUEID=01001&amp;SDATE=200601&amp;PERIODTYPE=QTR_STD&amp;window=popup_no_bar&amp;width=385&amp;height=120&amp;START_MAXIMIZED=FALSE&amp;creator=factset&amp;display_string=Audit"}</definedName>
    <definedName name="_949__FDSAUDITLINK__" localSheetId="20" hidden="1">{"fdsup://Directions/FactSet Auditing Viewer?action=AUDIT_VALUE&amp;DB=129&amp;ID1=53271610&amp;VALUEID=01001&amp;SDATE=200601&amp;PERIODTYPE=QTR_STD&amp;window=popup_no_bar&amp;width=385&amp;height=120&amp;START_MAXIMIZED=FALSE&amp;creator=factset&amp;display_string=Audit"}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localSheetId="1" hidden="1">{"fdsup://directions/FAT Viewer?action=UPDATE&amp;creator=factset&amp;DYN_ARGS=TRUE&amp;DOC_NAME=FAT:FQL_AUDITING_CLIENT_TEMPLATE.FAT&amp;display_string=Audit&amp;VAR:KEY=WJIDSHSZWP&amp;VAR:QUERY=RkZfU0FMRVMoTFRNUywwKQ==&amp;WINDOW=FIRST_POPUP&amp;HEIGHT=450&amp;WIDTH=450&amp;START_MAXIMIZED=FALS","E&amp;VAR:CALENDAR=FIVEDAY&amp;VAR:SYMBOL=ANF&amp;VAR:INDEX=0"}</definedName>
    <definedName name="_95__FDSAUDITLINK__" localSheetId="20" hidden="1">{"fdsup://Directions/FactSet Auditing Viewer?action=AUDIT_VALUE&amp;DB=129&amp;ID1=03611510&amp;VALUEID=01001&amp;SDATE=200901&amp;PERIODTYPE=QTR_STD&amp;window=popup_no_bar&amp;width=385&amp;height=120&amp;START_MAXIMIZED=FALSE&amp;creator=factset&amp;display_string=Audit"}</definedName>
    <definedName name="_95__FDSAUDITLINK__" hidden="1">{"fdsup://directions/FAT Viewer?action=UPDATE&amp;creator=factset&amp;DYN_ARGS=TRUE&amp;DOC_NAME=FAT:FQL_AUDITING_CLIENT_TEMPLATE.FAT&amp;display_string=Audit&amp;VAR:KEY=WJIDSHSZWP&amp;VAR:QUERY=RkZfU0FMRVMoTFRNUywwKQ==&amp;WINDOW=FIRST_POPUP&amp;HEIGHT=450&amp;WIDTH=450&amp;START_MAXIMIZED=FALS","E&amp;VAR:CALENDAR=FIVEDAY&amp;VAR:SYMBOL=ANF&amp;VAR:INDEX=0"}</definedName>
    <definedName name="_950__FDSAUDITLINK__" localSheetId="1" hidden="1">{"fdsup://Directions/FactSet Auditing Viewer?action=AUDIT_VALUE&amp;DB=129&amp;ID1=53271610&amp;VALUEID=02101&amp;SDATE=200601&amp;PERIODTYPE=QTR_STD&amp;window=popup_no_bar&amp;width=385&amp;height=120&amp;START_MAXIMIZED=FALSE&amp;creator=factset&amp;display_string=Audit"}</definedName>
    <definedName name="_950__FDSAUDITLINK__" localSheetId="20" hidden="1">{"fdsup://Directions/FactSet Auditing Viewer?action=AUDIT_VALUE&amp;DB=129&amp;ID1=53271610&amp;VALUEID=02101&amp;SDATE=200601&amp;PERIODTYPE=QTR_STD&amp;window=popup_no_bar&amp;width=385&amp;height=120&amp;START_MAXIMIZED=FALSE&amp;creator=factset&amp;display_string=Audit"}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localSheetId="1" hidden="1">{"fdsup://Directions/FactSet Auditing Viewer?action=AUDIT_VALUE&amp;DB=129&amp;ID1=53271610&amp;VALUEID=13040&amp;SDATE=200602&amp;PERIODTYPE=QTR_STD&amp;window=popup_no_bar&amp;width=385&amp;height=120&amp;START_MAXIMIZED=FALSE&amp;creator=factset&amp;display_string=Audit"}</definedName>
    <definedName name="_951__FDSAUDITLINK__" localSheetId="20" hidden="1">{"fdsup://Directions/FactSet Auditing Viewer?action=AUDIT_VALUE&amp;DB=129&amp;ID1=53271610&amp;VALUEID=13040&amp;SDATE=200602&amp;PERIODTYPE=QTR_STD&amp;window=popup_no_bar&amp;width=385&amp;height=120&amp;START_MAXIMIZED=FALSE&amp;creator=factset&amp;display_string=Audit"}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localSheetId="1" hidden="1">{"fdsup://Directions/FactSet Auditing Viewer?action=AUDIT_VALUE&amp;DB=129&amp;ID1=53271610&amp;VALUEID=01001&amp;SDATE=200602&amp;PERIODTYPE=QTR_STD&amp;window=popup_no_bar&amp;width=385&amp;height=120&amp;START_MAXIMIZED=FALSE&amp;creator=factset&amp;display_string=Audit"}</definedName>
    <definedName name="_952__FDSAUDITLINK__" localSheetId="20" hidden="1">{"fdsup://Directions/FactSet Auditing Viewer?action=AUDIT_VALUE&amp;DB=129&amp;ID1=53271610&amp;VALUEID=01001&amp;SDATE=200602&amp;PERIODTYPE=QTR_STD&amp;window=popup_no_bar&amp;width=385&amp;height=120&amp;START_MAXIMIZED=FALSE&amp;creator=factset&amp;display_string=Audit"}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localSheetId="1" hidden="1">{"fdsup://Directions/FactSet Auditing Viewer?action=AUDIT_VALUE&amp;DB=129&amp;ID1=53271610&amp;VALUEID=02101&amp;SDATE=200602&amp;PERIODTYPE=QTR_STD&amp;window=popup_no_bar&amp;width=385&amp;height=120&amp;START_MAXIMIZED=FALSE&amp;creator=factset&amp;display_string=Audit"}</definedName>
    <definedName name="_953__FDSAUDITLINK__" localSheetId="20" hidden="1">{"fdsup://Directions/FactSet Auditing Viewer?action=AUDIT_VALUE&amp;DB=129&amp;ID1=53271610&amp;VALUEID=02101&amp;SDATE=200602&amp;PERIODTYPE=QTR_STD&amp;window=popup_no_bar&amp;width=385&amp;height=120&amp;START_MAXIMIZED=FALSE&amp;creator=factset&amp;display_string=Audit"}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localSheetId="1" hidden="1">{"fdsup://Directions/FactSet Auditing Viewer?action=AUDIT_VALUE&amp;DB=129&amp;ID1=53271610&amp;VALUEID=13040&amp;SDATE=200603&amp;PERIODTYPE=QTR_STD&amp;window=popup_no_bar&amp;width=385&amp;height=120&amp;START_MAXIMIZED=FALSE&amp;creator=factset&amp;display_string=Audit"}</definedName>
    <definedName name="_954__FDSAUDITLINK__" localSheetId="20" hidden="1">{"fdsup://Directions/FactSet Auditing Viewer?action=AUDIT_VALUE&amp;DB=129&amp;ID1=53271610&amp;VALUEID=13040&amp;SDATE=200603&amp;PERIODTYPE=QTR_STD&amp;window=popup_no_bar&amp;width=385&amp;height=120&amp;START_MAXIMIZED=FALSE&amp;creator=factset&amp;display_string=Audit"}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localSheetId="1" hidden="1">{"fdsup://Directions/FactSet Auditing Viewer?action=AUDIT_VALUE&amp;DB=129&amp;ID1=53271610&amp;VALUEID=01001&amp;SDATE=200603&amp;PERIODTYPE=QTR_STD&amp;window=popup_no_bar&amp;width=385&amp;height=120&amp;START_MAXIMIZED=FALSE&amp;creator=factset&amp;display_string=Audit"}</definedName>
    <definedName name="_955__FDSAUDITLINK__" localSheetId="20" hidden="1">{"fdsup://Directions/FactSet Auditing Viewer?action=AUDIT_VALUE&amp;DB=129&amp;ID1=53271610&amp;VALUEID=01001&amp;SDATE=200603&amp;PERIODTYPE=QTR_STD&amp;window=popup_no_bar&amp;width=385&amp;height=120&amp;START_MAXIMIZED=FALSE&amp;creator=factset&amp;display_string=Audit"}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localSheetId="1" hidden="1">{"fdsup://Directions/FactSet Auditing Viewer?action=AUDIT_VALUE&amp;DB=129&amp;ID1=53271610&amp;VALUEID=02101&amp;SDATE=200603&amp;PERIODTYPE=QTR_STD&amp;window=popup_no_bar&amp;width=385&amp;height=120&amp;START_MAXIMIZED=FALSE&amp;creator=factset&amp;display_string=Audit"}</definedName>
    <definedName name="_956__FDSAUDITLINK__" localSheetId="20" hidden="1">{"fdsup://Directions/FactSet Auditing Viewer?action=AUDIT_VALUE&amp;DB=129&amp;ID1=53271610&amp;VALUEID=02101&amp;SDATE=200603&amp;PERIODTYPE=QTR_STD&amp;window=popup_no_bar&amp;width=385&amp;height=120&amp;START_MAXIMIZED=FALSE&amp;creator=factset&amp;display_string=Audit"}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localSheetId="1" hidden="1">{"fdsup://Directions/FactSet Auditing Viewer?action=AUDIT_VALUE&amp;DB=129&amp;ID1=53271610&amp;VALUEID=13040&amp;SDATE=200701&amp;PERIODTYPE=QTR_STD&amp;window=popup_no_bar&amp;width=385&amp;height=120&amp;START_MAXIMIZED=FALSE&amp;creator=factset&amp;display_string=Audit"}</definedName>
    <definedName name="_957__FDSAUDITLINK__" localSheetId="20" hidden="1">{"fdsup://Directions/FactSet Auditing Viewer?action=AUDIT_VALUE&amp;DB=129&amp;ID1=53271610&amp;VALUEID=13040&amp;SDATE=200701&amp;PERIODTYPE=QTR_STD&amp;window=popup_no_bar&amp;width=385&amp;height=120&amp;START_MAXIMIZED=FALSE&amp;creator=factset&amp;display_string=Audit"}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localSheetId="1" hidden="1">{"fdsup://Directions/FactSet Auditing Viewer?action=AUDIT_VALUE&amp;DB=129&amp;ID1=53271610&amp;VALUEID=01001&amp;SDATE=200701&amp;PERIODTYPE=QTR_STD&amp;window=popup_no_bar&amp;width=385&amp;height=120&amp;START_MAXIMIZED=FALSE&amp;creator=factset&amp;display_string=Audit"}</definedName>
    <definedName name="_958__FDSAUDITLINK__" localSheetId="20" hidden="1">{"fdsup://Directions/FactSet Auditing Viewer?action=AUDIT_VALUE&amp;DB=129&amp;ID1=53271610&amp;VALUEID=01001&amp;SDATE=200701&amp;PERIODTYPE=QTR_STD&amp;window=popup_no_bar&amp;width=385&amp;height=120&amp;START_MAXIMIZED=FALSE&amp;creator=factset&amp;display_string=Audit"}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localSheetId="1" hidden="1">{"fdsup://Directions/FactSet Auditing Viewer?action=AUDIT_VALUE&amp;DB=129&amp;ID1=53271610&amp;VALUEID=02101&amp;SDATE=200701&amp;PERIODTYPE=QTR_STD&amp;window=popup_no_bar&amp;width=385&amp;height=120&amp;START_MAXIMIZED=FALSE&amp;creator=factset&amp;display_string=Audit"}</definedName>
    <definedName name="_959__FDSAUDITLINK__" localSheetId="20" hidden="1">{"fdsup://Directions/FactSet Auditing Viewer?action=AUDIT_VALUE&amp;DB=129&amp;ID1=53271610&amp;VALUEID=02101&amp;SDATE=200701&amp;PERIODTYPE=QTR_STD&amp;window=popup_no_bar&amp;width=385&amp;height=120&amp;START_MAXIMIZED=FALSE&amp;creator=factset&amp;display_string=Audit"}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localSheetId="1" hidden="1">{"fdsup://directions/FAT Viewer?action=UPDATE&amp;creator=factset&amp;DYN_ARGS=TRUE&amp;DOC_NAME=FAT:FQL_AUDITING_CLIENT_TEMPLATE.FAT&amp;display_string=Audit&amp;VAR:KEY=MZWVYZYZGN&amp;VAR:QUERY=RkZfU0FMRVMoTFRNUywwKQ==&amp;WINDOW=FIRST_POPUP&amp;HEIGHT=450&amp;WIDTH=450&amp;START_MAXIMIZED=FALS","E&amp;VAR:CALENDAR=FIVEDAY&amp;VAR:SYMBOL=AEO&amp;VAR:INDEX=0"}</definedName>
    <definedName name="_96__FDSAUDITLINK__" localSheetId="20" hidden="1">{"fdsup://Directions/FactSet Auditing Viewer?action=AUDIT_VALUE&amp;DB=129&amp;ID1=16890510&amp;VALUEID=02101&amp;SDATE=200901&amp;PERIODTYPE=QTR_STD&amp;window=popup_no_bar&amp;width=385&amp;height=120&amp;START_MAXIMIZED=FALSE&amp;creator=factset&amp;display_string=Audit"}</definedName>
    <definedName name="_96__FDSAUDITLINK__" hidden="1">{"fdsup://directions/FAT Viewer?action=UPDATE&amp;creator=factset&amp;DYN_ARGS=TRUE&amp;DOC_NAME=FAT:FQL_AUDITING_CLIENT_TEMPLATE.FAT&amp;display_string=Audit&amp;VAR:KEY=MZWVYZYZGN&amp;VAR:QUERY=RkZfU0FMRVMoTFRNUywwKQ==&amp;WINDOW=FIRST_POPUP&amp;HEIGHT=450&amp;WIDTH=450&amp;START_MAXIMIZED=FALS","E&amp;VAR:CALENDAR=FIVEDAY&amp;VAR:SYMBOL=AEO&amp;VAR:INDEX=0"}</definedName>
    <definedName name="_960__FDSAUDITLINK__" localSheetId="1" hidden="1">{"fdsup://Directions/FactSet Auditing Viewer?action=AUDIT_VALUE&amp;DB=129&amp;ID1=53271610&amp;VALUEID=13040&amp;SDATE=200702&amp;PERIODTYPE=QTR_STD&amp;window=popup_no_bar&amp;width=385&amp;height=120&amp;START_MAXIMIZED=FALSE&amp;creator=factset&amp;display_string=Audit"}</definedName>
    <definedName name="_960__FDSAUDITLINK__" localSheetId="20" hidden="1">{"fdsup://Directions/FactSet Auditing Viewer?action=AUDIT_VALUE&amp;DB=129&amp;ID1=53271610&amp;VALUEID=13040&amp;SDATE=200702&amp;PERIODTYPE=QTR_STD&amp;window=popup_no_bar&amp;width=385&amp;height=120&amp;START_MAXIMIZED=FALSE&amp;creator=factset&amp;display_string=Audit"}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localSheetId="1" hidden="1">{"fdsup://Directions/FactSet Auditing Viewer?action=AUDIT_VALUE&amp;DB=129&amp;ID1=53271610&amp;VALUEID=01001&amp;SDATE=200702&amp;PERIODTYPE=QTR_STD&amp;window=popup_no_bar&amp;width=385&amp;height=120&amp;START_MAXIMIZED=FALSE&amp;creator=factset&amp;display_string=Audit"}</definedName>
    <definedName name="_961__FDSAUDITLINK__" localSheetId="20" hidden="1">{"fdsup://Directions/FactSet Auditing Viewer?action=AUDIT_VALUE&amp;DB=129&amp;ID1=53271610&amp;VALUEID=01001&amp;SDATE=200702&amp;PERIODTYPE=QTR_STD&amp;window=popup_no_bar&amp;width=385&amp;height=120&amp;START_MAXIMIZED=FALSE&amp;creator=factset&amp;display_string=Audit"}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localSheetId="1" hidden="1">{"fdsup://Directions/FactSet Auditing Viewer?action=AUDIT_VALUE&amp;DB=129&amp;ID1=53271610&amp;VALUEID=02101&amp;SDATE=200702&amp;PERIODTYPE=QTR_STD&amp;window=popup_no_bar&amp;width=385&amp;height=120&amp;START_MAXIMIZED=FALSE&amp;creator=factset&amp;display_string=Audit"}</definedName>
    <definedName name="_962__FDSAUDITLINK__" localSheetId="20" hidden="1">{"fdsup://Directions/FactSet Auditing Viewer?action=AUDIT_VALUE&amp;DB=129&amp;ID1=53271610&amp;VALUEID=02101&amp;SDATE=200702&amp;PERIODTYPE=QTR_STD&amp;window=popup_no_bar&amp;width=385&amp;height=120&amp;START_MAXIMIZED=FALSE&amp;creator=factset&amp;display_string=Audit"}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localSheetId="1" hidden="1">{"fdsup://Directions/FactSet Auditing Viewer?action=AUDIT_VALUE&amp;DB=129&amp;ID1=53271610&amp;VALUEID=13040&amp;SDATE=200703&amp;PERIODTYPE=QTR_STD&amp;window=popup_no_bar&amp;width=385&amp;height=120&amp;START_MAXIMIZED=FALSE&amp;creator=factset&amp;display_string=Audit"}</definedName>
    <definedName name="_963__FDSAUDITLINK__" localSheetId="20" hidden="1">{"fdsup://Directions/FactSet Auditing Viewer?action=AUDIT_VALUE&amp;DB=129&amp;ID1=53271610&amp;VALUEID=13040&amp;SDATE=200703&amp;PERIODTYPE=QTR_STD&amp;window=popup_no_bar&amp;width=385&amp;height=120&amp;START_MAXIMIZED=FALSE&amp;creator=factset&amp;display_string=Audit"}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localSheetId="1" hidden="1">{"fdsup://Directions/FactSet Auditing Viewer?action=AUDIT_VALUE&amp;DB=129&amp;ID1=53271610&amp;VALUEID=01001&amp;SDATE=200703&amp;PERIODTYPE=QTR_STD&amp;window=popup_no_bar&amp;width=385&amp;height=120&amp;START_MAXIMIZED=FALSE&amp;creator=factset&amp;display_string=Audit"}</definedName>
    <definedName name="_964__FDSAUDITLINK__" localSheetId="20" hidden="1">{"fdsup://Directions/FactSet Auditing Viewer?action=AUDIT_VALUE&amp;DB=129&amp;ID1=53271610&amp;VALUEID=01001&amp;SDATE=200703&amp;PERIODTYPE=QTR_STD&amp;window=popup_no_bar&amp;width=385&amp;height=120&amp;START_MAXIMIZED=FALSE&amp;creator=factset&amp;display_string=Audit"}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localSheetId="1" hidden="1">{"fdsup://Directions/FactSet Auditing Viewer?action=AUDIT_VALUE&amp;DB=129&amp;ID1=53271610&amp;VALUEID=02101&amp;SDATE=200703&amp;PERIODTYPE=QTR_STD&amp;window=popup_no_bar&amp;width=385&amp;height=120&amp;START_MAXIMIZED=FALSE&amp;creator=factset&amp;display_string=Audit"}</definedName>
    <definedName name="_965__FDSAUDITLINK__" localSheetId="20" hidden="1">{"fdsup://Directions/FactSet Auditing Viewer?action=AUDIT_VALUE&amp;DB=129&amp;ID1=53271610&amp;VALUEID=02101&amp;SDATE=200703&amp;PERIODTYPE=QTR_STD&amp;window=popup_no_bar&amp;width=385&amp;height=120&amp;START_MAXIMIZED=FALSE&amp;creator=factset&amp;display_string=Audit"}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localSheetId="1" hidden="1">{"fdsup://Directions/FactSet Auditing Viewer?action=AUDIT_VALUE&amp;DB=129&amp;ID1=53271610&amp;VALUEID=13040&amp;SDATE=200801&amp;PERIODTYPE=QTR_STD&amp;window=popup_no_bar&amp;width=385&amp;height=120&amp;START_MAXIMIZED=FALSE&amp;creator=factset&amp;display_string=Audit"}</definedName>
    <definedName name="_966__FDSAUDITLINK__" localSheetId="20" hidden="1">{"fdsup://Directions/FactSet Auditing Viewer?action=AUDIT_VALUE&amp;DB=129&amp;ID1=53271610&amp;VALUEID=13040&amp;SDATE=200801&amp;PERIODTYPE=QTR_STD&amp;window=popup_no_bar&amp;width=385&amp;height=120&amp;START_MAXIMIZED=FALSE&amp;creator=factset&amp;display_string=Audit"}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localSheetId="1" hidden="1">{"fdsup://Directions/FactSet Auditing Viewer?action=AUDIT_VALUE&amp;DB=129&amp;ID1=53271610&amp;VALUEID=01001&amp;SDATE=200801&amp;PERIODTYPE=QTR_STD&amp;window=popup_no_bar&amp;width=385&amp;height=120&amp;START_MAXIMIZED=FALSE&amp;creator=factset&amp;display_string=Audit"}</definedName>
    <definedName name="_967__FDSAUDITLINK__" localSheetId="20" hidden="1">{"fdsup://Directions/FactSet Auditing Viewer?action=AUDIT_VALUE&amp;DB=129&amp;ID1=53271610&amp;VALUEID=01001&amp;SDATE=200801&amp;PERIODTYPE=QTR_STD&amp;window=popup_no_bar&amp;width=385&amp;height=120&amp;START_MAXIMIZED=FALSE&amp;creator=factset&amp;display_string=Audit"}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localSheetId="1" hidden="1">{"fdsup://Directions/FactSet Auditing Viewer?action=AUDIT_VALUE&amp;DB=129&amp;ID1=53271610&amp;VALUEID=02101&amp;SDATE=200801&amp;PERIODTYPE=QTR_STD&amp;window=popup_no_bar&amp;width=385&amp;height=120&amp;START_MAXIMIZED=FALSE&amp;creator=factset&amp;display_string=Audit"}</definedName>
    <definedName name="_968__FDSAUDITLINK__" localSheetId="20" hidden="1">{"fdsup://Directions/FactSet Auditing Viewer?action=AUDIT_VALUE&amp;DB=129&amp;ID1=53271610&amp;VALUEID=02101&amp;SDATE=200801&amp;PERIODTYPE=QTR_STD&amp;window=popup_no_bar&amp;width=385&amp;height=120&amp;START_MAXIMIZED=FALSE&amp;creator=factset&amp;display_string=Audit"}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localSheetId="1" hidden="1">{"fdsup://Directions/FactSet Auditing Viewer?action=AUDIT_VALUE&amp;DB=129&amp;ID1=53271610&amp;VALUEID=13040&amp;SDATE=200802&amp;PERIODTYPE=QTR_STD&amp;window=popup_no_bar&amp;width=385&amp;height=120&amp;START_MAXIMIZED=FALSE&amp;creator=factset&amp;display_string=Audit"}</definedName>
    <definedName name="_969__FDSAUDITLINK__" localSheetId="20" hidden="1">{"fdsup://Directions/FactSet Auditing Viewer?action=AUDIT_VALUE&amp;DB=129&amp;ID1=53271610&amp;VALUEID=13040&amp;SDATE=200802&amp;PERIODTYPE=QTR_STD&amp;window=popup_no_bar&amp;width=385&amp;height=120&amp;START_MAXIMIZED=FALSE&amp;creator=factset&amp;display_string=Audit"}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localSheetId="1" hidden="1">{"fdsup://directions/FAT Viewer?action=UPDATE&amp;creator=factset&amp;DYN_ARGS=TRUE&amp;DOC_NAME=FAT:FQL_AUDITING_CLIENT_TEMPLATE.FAT&amp;display_string=Audit&amp;VAR:KEY=QZONENAROB&amp;VAR:QUERY=RkZfRUJJVERBX09QRVIoQU5OLDIwMTAp&amp;WINDOW=FIRST_POPUP&amp;HEIGHT=450&amp;WIDTH=450&amp;START_MAXIMI","ZED=FALSE&amp;VAR:CALENDAR=FIVEDAY&amp;VAR:SYMBOL=BEBE&amp;VAR:INDEX=0"}</definedName>
    <definedName name="_97__FDSAUDITLINK__" localSheetId="20" hidden="1">{"fdsup://Directions/FactSet Auditing Viewer?action=AUDIT_VALUE&amp;DB=129&amp;ID1=16890510&amp;VALUEID=01001&amp;SDATE=200901&amp;PERIODTYPE=QTR_STD&amp;window=popup_no_bar&amp;width=385&amp;height=120&amp;START_MAXIMIZED=FALSE&amp;creator=factset&amp;display_string=Audit"}</definedName>
    <definedName name="_97__FDSAUDITLINK__" hidden="1">{"fdsup://directions/FAT Viewer?action=UPDATE&amp;creator=factset&amp;DYN_ARGS=TRUE&amp;DOC_NAME=FAT:FQL_AUDITING_CLIENT_TEMPLATE.FAT&amp;display_string=Audit&amp;VAR:KEY=QZONENAROB&amp;VAR:QUERY=RkZfRUJJVERBX09QRVIoQU5OLDIwMTAp&amp;WINDOW=FIRST_POPUP&amp;HEIGHT=450&amp;WIDTH=450&amp;START_MAXIMI","ZED=FALSE&amp;VAR:CALENDAR=FIVEDAY&amp;VAR:SYMBOL=BEBE&amp;VAR:INDEX=0"}</definedName>
    <definedName name="_970__FDSAUDITLINK__" localSheetId="1" hidden="1">{"fdsup://Directions/FactSet Auditing Viewer?action=AUDIT_VALUE&amp;DB=129&amp;ID1=53271610&amp;VALUEID=01001&amp;SDATE=200802&amp;PERIODTYPE=QTR_STD&amp;window=popup_no_bar&amp;width=385&amp;height=120&amp;START_MAXIMIZED=FALSE&amp;creator=factset&amp;display_string=Audit"}</definedName>
    <definedName name="_970__FDSAUDITLINK__" localSheetId="20" hidden="1">{"fdsup://Directions/FactSet Auditing Viewer?action=AUDIT_VALUE&amp;DB=129&amp;ID1=53271610&amp;VALUEID=01001&amp;SDATE=200802&amp;PERIODTYPE=QTR_STD&amp;window=popup_no_bar&amp;width=385&amp;height=120&amp;START_MAXIMIZED=FALSE&amp;creator=factset&amp;display_string=Audit"}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localSheetId="1" hidden="1">{"fdsup://Directions/FactSet Auditing Viewer?action=AUDIT_VALUE&amp;DB=129&amp;ID1=53271610&amp;VALUEID=02101&amp;SDATE=200802&amp;PERIODTYPE=QTR_STD&amp;window=popup_no_bar&amp;width=385&amp;height=120&amp;START_MAXIMIZED=FALSE&amp;creator=factset&amp;display_string=Audit"}</definedName>
    <definedName name="_971__FDSAUDITLINK__" localSheetId="20" hidden="1">{"fdsup://Directions/FactSet Auditing Viewer?action=AUDIT_VALUE&amp;DB=129&amp;ID1=53271610&amp;VALUEID=02101&amp;SDATE=200802&amp;PERIODTYPE=QTR_STD&amp;window=popup_no_bar&amp;width=385&amp;height=120&amp;START_MAXIMIZED=FALSE&amp;creator=factset&amp;display_string=Audit"}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localSheetId="1" hidden="1">{"fdsup://Directions/FactSet Auditing Viewer?action=AUDIT_VALUE&amp;DB=129&amp;ID1=53271610&amp;VALUEID=13040&amp;SDATE=200901&amp;PERIODTYPE=QTR_STD&amp;window=popup_no_bar&amp;width=385&amp;height=120&amp;START_MAXIMIZED=FALSE&amp;creator=factset&amp;display_string=Audit"}</definedName>
    <definedName name="_972__FDSAUDITLINK__" localSheetId="20" hidden="1">{"fdsup://Directions/FactSet Auditing Viewer?action=AUDIT_VALUE&amp;DB=129&amp;ID1=53271610&amp;VALUEID=13040&amp;SDATE=200901&amp;PERIODTYPE=QTR_STD&amp;window=popup_no_bar&amp;width=385&amp;height=120&amp;START_MAXIMIZED=FALSE&amp;creator=factset&amp;display_string=Audit"}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localSheetId="1" hidden="1">{"fdsup://Directions/FactSet Auditing Viewer?action=AUDIT_VALUE&amp;DB=129&amp;ID1=53271610&amp;VALUEID=13040&amp;SDATE=200902&amp;PERIODTYPE=QTR_STD&amp;window=popup_no_bar&amp;width=385&amp;height=120&amp;START_MAXIMIZED=FALSE&amp;creator=factset&amp;display_string=Audit"}</definedName>
    <definedName name="_973__FDSAUDITLINK__" localSheetId="20" hidden="1">{"fdsup://Directions/FactSet Auditing Viewer?action=AUDIT_VALUE&amp;DB=129&amp;ID1=53271610&amp;VALUEID=13040&amp;SDATE=200902&amp;PERIODTYPE=QTR_STD&amp;window=popup_no_bar&amp;width=385&amp;height=120&amp;START_MAXIMIZED=FALSE&amp;creator=factset&amp;display_string=Audit"}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localSheetId="1" hidden="1">{"fdsup://Directions/FactSet Auditing Viewer?action=AUDIT_VALUE&amp;DB=129&amp;ID1=53271610&amp;VALUEID=01001&amp;SDATE=200902&amp;PERIODTYPE=QTR_STD&amp;window=popup_no_bar&amp;width=385&amp;height=120&amp;START_MAXIMIZED=FALSE&amp;creator=factset&amp;display_string=Audit"}</definedName>
    <definedName name="_974__FDSAUDITLINK__" localSheetId="20" hidden="1">{"fdsup://Directions/FactSet Auditing Viewer?action=AUDIT_VALUE&amp;DB=129&amp;ID1=53271610&amp;VALUEID=01001&amp;SDATE=200902&amp;PERIODTYPE=QTR_STD&amp;window=popup_no_bar&amp;width=385&amp;height=120&amp;START_MAXIMIZED=FALSE&amp;creator=factset&amp;display_string=Audit"}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localSheetId="1" hidden="1">{"fdsup://Directions/FactSet Auditing Viewer?action=AUDIT_VALUE&amp;DB=129&amp;ID1=53271610&amp;VALUEID=02101&amp;SDATE=200902&amp;PERIODTYPE=QTR_STD&amp;window=popup_no_bar&amp;width=385&amp;height=120&amp;START_MAXIMIZED=FALSE&amp;creator=factset&amp;display_string=Audit"}</definedName>
    <definedName name="_975__FDSAUDITLINK__" localSheetId="20" hidden="1">{"fdsup://Directions/FactSet Auditing Viewer?action=AUDIT_VALUE&amp;DB=129&amp;ID1=53271610&amp;VALUEID=02101&amp;SDATE=200902&amp;PERIODTYPE=QTR_STD&amp;window=popup_no_bar&amp;width=385&amp;height=120&amp;START_MAXIMIZED=FALSE&amp;creator=factset&amp;display_string=Audit"}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localSheetId="1" hidden="1">{"fdsup://Directions/FactSet Auditing Viewer?action=AUDIT_VALUE&amp;DB=129&amp;ID1=53271610&amp;VALUEID=13040&amp;SDATE=200903&amp;PERIODTYPE=QTR_STD&amp;window=popup_no_bar&amp;width=385&amp;height=120&amp;START_MAXIMIZED=FALSE&amp;creator=factset&amp;display_string=Audit"}</definedName>
    <definedName name="_976__FDSAUDITLINK__" localSheetId="20" hidden="1">{"fdsup://Directions/FactSet Auditing Viewer?action=AUDIT_VALUE&amp;DB=129&amp;ID1=53271610&amp;VALUEID=13040&amp;SDATE=200903&amp;PERIODTYPE=QTR_STD&amp;window=popup_no_bar&amp;width=385&amp;height=120&amp;START_MAXIMIZED=FALSE&amp;creator=factset&amp;display_string=Audit"}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localSheetId="1" hidden="1">{"fdsup://Directions/FactSet Auditing Viewer?action=AUDIT_VALUE&amp;DB=129&amp;ID1=53271610&amp;VALUEID=01001&amp;SDATE=200903&amp;PERIODTYPE=QTR_STD&amp;window=popup_no_bar&amp;width=385&amp;height=120&amp;START_MAXIMIZED=FALSE&amp;creator=factset&amp;display_string=Audit"}</definedName>
    <definedName name="_977__FDSAUDITLINK__" localSheetId="20" hidden="1">{"fdsup://Directions/FactSet Auditing Viewer?action=AUDIT_VALUE&amp;DB=129&amp;ID1=53271610&amp;VALUEID=01001&amp;SDATE=200903&amp;PERIODTYPE=QTR_STD&amp;window=popup_no_bar&amp;width=385&amp;height=120&amp;START_MAXIMIZED=FALSE&amp;creator=factset&amp;display_string=Audit"}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localSheetId="1" hidden="1">{"fdsup://Directions/FactSet Auditing Viewer?action=AUDIT_VALUE&amp;DB=129&amp;ID1=53271610&amp;VALUEID=02101&amp;SDATE=200903&amp;PERIODTYPE=QTR_STD&amp;window=popup_no_bar&amp;width=385&amp;height=120&amp;START_MAXIMIZED=FALSE&amp;creator=factset&amp;display_string=Audit"}</definedName>
    <definedName name="_978__FDSAUDITLINK__" localSheetId="20" hidden="1">{"fdsup://Directions/FactSet Auditing Viewer?action=AUDIT_VALUE&amp;DB=129&amp;ID1=53271610&amp;VALUEID=02101&amp;SDATE=200903&amp;PERIODTYPE=QTR_STD&amp;window=popup_no_bar&amp;width=385&amp;height=120&amp;START_MAXIMIZED=FALSE&amp;creator=factset&amp;display_string=Audit"}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979__FDSAUDITLINK__" localSheetId="20" hidden="1">{"fdsup://Directions/FactSet Auditing Viewer?action=AUDIT_VALUE&amp;DB=129&amp;ID1=53271610&amp;VALUEID=13040&amp;SDATE=201001&amp;PERIODTYPE=QTR_STD&amp;window=popup_no_bar&amp;width=385&amp;height=120&amp;START_MAXIMIZED=FALSE&amp;creator=factset&amp;display_string=Audit"}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localSheetId="1" hidden="1">{"fdsup://directions/FAT Viewer?action=UPDATE&amp;creator=factset&amp;DYN_ARGS=TRUE&amp;DOC_NAME=FAT:FQL_AUDITING_CLIENT_TEMPLATE.FAT&amp;display_string=Audit&amp;VAR:KEY=CVQBYTSLML&amp;VAR:QUERY=RkZfRUJJVERBX09QRVIoQU5OLDIwMDkp&amp;WINDOW=FIRST_POPUP&amp;HEIGHT=450&amp;WIDTH=450&amp;START_MAXIMI","ZED=FALSE&amp;VAR:CALENDAR=FIVEDAY&amp;VAR:SYMBOL=GYMB&amp;VAR:INDEX=0"}</definedName>
    <definedName name="_98__FDSAUDITLINK__" localSheetId="20" hidden="1">{"fdsup://Directions/FactSet Auditing Viewer?action=AUDIT_VALUE&amp;DB=129&amp;ID1=00786510&amp;VALUEID=02101&amp;SDATE=200901&amp;PERIODTYPE=QTR_STD&amp;window=popup_no_bar&amp;width=385&amp;height=120&amp;START_MAXIMIZED=FALSE&amp;creator=factset&amp;display_string=Audit"}</definedName>
    <definedName name="_98__FDSAUDITLINK__" hidden="1">{"fdsup://directions/FAT Viewer?action=UPDATE&amp;creator=factset&amp;DYN_ARGS=TRUE&amp;DOC_NAME=FAT:FQL_AUDITING_CLIENT_TEMPLATE.FAT&amp;display_string=Audit&amp;VAR:KEY=CVQBYTSLML&amp;VAR:QUERY=RkZfRUJJVERBX09QRVIoQU5OLDIwMDkp&amp;WINDOW=FIRST_POPUP&amp;HEIGHT=450&amp;WIDTH=450&amp;START_MAXIMI","ZED=FALSE&amp;VAR:CALENDAR=FIVEDAY&amp;VAR:SYMBOL=GYMB&amp;VAR:INDEX=0"}</definedName>
    <definedName name="_980__FDSAUDITLINK__" localSheetId="1" hidden="1">{"fdsup://Directions/FactSet Auditing Viewer?action=AUDIT_VALUE&amp;DB=129&amp;ID1=53271610&amp;VALUEID=01001&amp;SDATE=201001&amp;PERIODTYPE=QTR_STD&amp;window=popup_no_bar&amp;width=385&amp;height=120&amp;START_MAXIMIZED=FALSE&amp;creator=factset&amp;display_string=Audit"}</definedName>
    <definedName name="_980__FDSAUDITLINK__" localSheetId="20" hidden="1">{"fdsup://Directions/FactSet Auditing Viewer?action=AUDIT_VALUE&amp;DB=129&amp;ID1=53271610&amp;VALUEID=01001&amp;SDATE=201001&amp;PERIODTYPE=QTR_STD&amp;window=popup_no_bar&amp;width=385&amp;height=120&amp;START_MAXIMIZED=FALSE&amp;creator=factset&amp;display_string=Audit"}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981__FDSAUDITLINK__" localSheetId="20" hidden="1">{"fdsup://Directions/FactSet Auditing Viewer?action=AUDIT_VALUE&amp;DB=129&amp;ID1=53271610&amp;VALUEID=02101&amp;SDATE=201001&amp;PERIODTYPE=QTR_STD&amp;window=popup_no_bar&amp;width=385&amp;height=120&amp;START_MAXIMIZED=FALSE&amp;creator=factset&amp;display_string=Audit"}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localSheetId="1" hidden="1">{"fdsup://Directions/FactSet Auditing Viewer?action=AUDIT_VALUE&amp;DB=129&amp;ID1=87416110&amp;VALUEID=02101&amp;SDATE=201001&amp;PERIODTYPE=QTR_STD&amp;window=popup_no_bar&amp;width=385&amp;height=120&amp;START_MAXIMIZED=FALSE&amp;creator=factset&amp;display_string=Audit"}</definedName>
    <definedName name="_982__FDSAUDITLINK__" localSheetId="20" hidden="1">{"fdsup://Directions/FactSet Auditing Viewer?action=AUDIT_VALUE&amp;DB=129&amp;ID1=87416110&amp;VALUEID=02101&amp;SDATE=201001&amp;PERIODTYPE=QTR_STD&amp;window=popup_no_bar&amp;width=385&amp;height=120&amp;START_MAXIMIZED=FALSE&amp;creator=factset&amp;display_string=Audit"}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localSheetId="1" hidden="1">{"fdsup://Directions/FactSet Auditing Viewer?action=AUDIT_VALUE&amp;DB=129&amp;ID1=87416110&amp;VALUEID=13040&amp;SDATE=201001&amp;PERIODTYPE=QTR_STD&amp;window=popup_no_bar&amp;width=385&amp;height=120&amp;START_MAXIMIZED=FALSE&amp;creator=factset&amp;display_string=Audit"}</definedName>
    <definedName name="_983__FDSAUDITLINK__" localSheetId="20" hidden="1">{"fdsup://Directions/FactSet Auditing Viewer?action=AUDIT_VALUE&amp;DB=129&amp;ID1=87416110&amp;VALUEID=13040&amp;SDATE=201001&amp;PERIODTYPE=QTR_STD&amp;window=popup_no_bar&amp;width=385&amp;height=120&amp;START_MAXIMIZED=FALSE&amp;creator=factset&amp;display_string=Audit"}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localSheetId="1"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4__FDSAUDITLINK__" localSheetId="20"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localSheetId="1" hidden="1">{"fdsup://Directions/FactSet Auditing Viewer?action=AUDIT_VALUE&amp;DB=129&amp;ID1=53271610&amp;VALUEID=02101&amp;SDATE=201001&amp;PERIODTYPE=QTR_STD&amp;window=popup_no_bar&amp;width=385&amp;height=120&amp;START_MAXIMIZED=FALSE&amp;creator=factset&amp;display_string=Audit"}</definedName>
    <definedName name="_985__FDSAUDITLINK__" localSheetId="20" hidden="1">{"fdsup://Directions/FactSet Auditing Viewer?action=AUDIT_VALUE&amp;DB=129&amp;ID1=53271610&amp;VALUEID=02101&amp;SDATE=201001&amp;PERIODTYPE=QTR_STD&amp;window=popup_no_bar&amp;width=385&amp;height=120&amp;START_MAXIMIZED=FALSE&amp;creator=factset&amp;display_string=Audit"}</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localSheetId="1" hidden="1">{"fdsup://Directions/FactSet Auditing Viewer?action=AUDIT_VALUE&amp;DB=129&amp;ID1=53271610&amp;VALUEID=13040&amp;SDATE=201001&amp;PERIODTYPE=QTR_STD&amp;window=popup_no_bar&amp;width=385&amp;height=120&amp;START_MAXIMIZED=FALSE&amp;creator=factset&amp;display_string=Audit"}</definedName>
    <definedName name="_986__FDSAUDITLINK__" localSheetId="20" hidden="1">{"fdsup://Directions/FactSet Auditing Viewer?action=AUDIT_VALUE&amp;DB=129&amp;ID1=53271610&amp;VALUEID=13040&amp;SDATE=201001&amp;PERIODTYPE=QTR_STD&amp;window=popup_no_bar&amp;width=385&amp;height=120&amp;START_MAXIMIZED=FALSE&amp;creator=factset&amp;display_string=Audit"}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localSheetId="1" hidden="1">{"fdsup://Directions/FactSet Auditing Viewer?action=AUDIT_VALUE&amp;DB=129&amp;ID1=46612H40&amp;VALUEID=02101&amp;SDATE=201001&amp;PERIODTYPE=QTR_STD&amp;window=popup_no_bar&amp;width=385&amp;height=120&amp;START_MAXIMIZED=FALSE&amp;creator=factset&amp;display_string=Audit"}</definedName>
    <definedName name="_987__FDSAUDITLINK__" localSheetId="20" hidden="1">{"fdsup://Directions/FactSet Auditing Viewer?action=AUDIT_VALUE&amp;DB=129&amp;ID1=46612H40&amp;VALUEID=02101&amp;SDATE=201001&amp;PERIODTYPE=QTR_STD&amp;window=popup_no_bar&amp;width=385&amp;height=120&amp;START_MAXIMIZED=FALSE&amp;creator=factset&amp;display_string=Audit"}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localSheetId="1" hidden="1">{"fdsup://Directions/FactSet Auditing Viewer?action=AUDIT_VALUE&amp;DB=129&amp;ID1=46612H40&amp;VALUEID=13040&amp;SDATE=201001&amp;PERIODTYPE=QTR_STD&amp;window=popup_no_bar&amp;width=385&amp;height=120&amp;START_MAXIMIZED=FALSE&amp;creator=factset&amp;display_string=Audit"}</definedName>
    <definedName name="_988__FDSAUDITLINK__" localSheetId="20" hidden="1">{"fdsup://Directions/FactSet Auditing Viewer?action=AUDIT_VALUE&amp;DB=129&amp;ID1=46612H40&amp;VALUEID=13040&amp;SDATE=201001&amp;PERIODTYPE=QTR_STD&amp;window=popup_no_bar&amp;width=385&amp;height=120&amp;START_MAXIMIZED=FALSE&amp;creator=factset&amp;display_string=Audit"}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localSheetId="1" hidden="1">{"fdsup://Directions/FactSet Auditing Viewer?action=AUDIT_VALUE&amp;DB=129&amp;ID1=36476010&amp;VALUEID=02101&amp;SDATE=201001&amp;PERIODTYPE=QTR_STD&amp;window=popup_no_bar&amp;width=385&amp;height=120&amp;START_MAXIMIZED=FALSE&amp;creator=factset&amp;display_string=Audit"}</definedName>
    <definedName name="_989__FDSAUDITLINK__" localSheetId="20" hidden="1">{"fdsup://Directions/FactSet Auditing Viewer?action=AUDIT_VALUE&amp;DB=129&amp;ID1=36476010&amp;VALUEID=02101&amp;SDATE=201001&amp;PERIODTYPE=QTR_STD&amp;window=popup_no_bar&amp;width=385&amp;height=120&amp;START_MAXIMIZED=FALSE&amp;creator=factset&amp;display_string=Audit"}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localSheetId="1" hidden="1">{"fdsup://directions/FAT Viewer?action=UPDATE&amp;creator=factset&amp;DYN_ARGS=TRUE&amp;DOC_NAME=FAT:FQL_AUDITING_CLIENT_TEMPLATE.FAT&amp;display_string=Audit&amp;VAR:KEY=QVKBOZKXAX&amp;VAR:QUERY=RkZfRUJJVERBX09QRVIoQU5OLDIwMDkp&amp;WINDOW=FIRST_POPUP&amp;HEIGHT=450&amp;WIDTH=450&amp;START_MAXIMI","ZED=FALSE&amp;VAR:CALENDAR=FIVEDAY&amp;VAR:SYMBOL=BEBE&amp;VAR:INDEX=0"}</definedName>
    <definedName name="_99__FDSAUDITLINK__" localSheetId="20" hidden="1">{"fdsup://Directions/FactSet Auditing Viewer?action=AUDIT_VALUE&amp;DB=129&amp;ID1=00786510&amp;VALUEID=01001&amp;SDATE=200901&amp;PERIODTYPE=QTR_STD&amp;window=popup_no_bar&amp;width=385&amp;height=120&amp;START_MAXIMIZED=FALSE&amp;creator=factset&amp;display_string=Audit"}</definedName>
    <definedName name="_99__FDSAUDITLINK__" hidden="1">{"fdsup://directions/FAT Viewer?action=UPDATE&amp;creator=factset&amp;DYN_ARGS=TRUE&amp;DOC_NAME=FAT:FQL_AUDITING_CLIENT_TEMPLATE.FAT&amp;display_string=Audit&amp;VAR:KEY=QVKBOZKXAX&amp;VAR:QUERY=RkZfRUJJVERBX09QRVIoQU5OLDIwMDkp&amp;WINDOW=FIRST_POPUP&amp;HEIGHT=450&amp;WIDTH=450&amp;START_MAXIMI","ZED=FALSE&amp;VAR:CALENDAR=FIVEDAY&amp;VAR:SYMBOL=BEBE&amp;VAR:INDEX=0"}</definedName>
    <definedName name="_990__FDSAUDITLINK__" localSheetId="1" hidden="1">{"fdsup://Directions/FactSet Auditing Viewer?action=AUDIT_VALUE&amp;DB=129&amp;ID1=36476010&amp;VALUEID=13040&amp;SDATE=201001&amp;PERIODTYPE=QTR_STD&amp;window=popup_no_bar&amp;width=385&amp;height=120&amp;START_MAXIMIZED=FALSE&amp;creator=factset&amp;display_string=Audit"}</definedName>
    <definedName name="_990__FDSAUDITLINK__" localSheetId="20" hidden="1">{"fdsup://Directions/FactSet Auditing Viewer?action=AUDIT_VALUE&amp;DB=129&amp;ID1=36476010&amp;VALUEID=13040&amp;SDATE=201001&amp;PERIODTYPE=QTR_STD&amp;window=popup_no_bar&amp;width=385&amp;height=120&amp;START_MAXIMIZED=FALSE&amp;creator=factset&amp;display_string=Audit"}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localSheetId="1" hidden="1">{"fdsup://Directions/FactSet Auditing Viewer?action=AUDIT_VALUE&amp;DB=129&amp;ID1=03611510&amp;VALUEID=02101&amp;SDATE=201001&amp;PERIODTYPE=QTR_STD&amp;window=popup_no_bar&amp;width=385&amp;height=120&amp;START_MAXIMIZED=FALSE&amp;creator=factset&amp;display_string=Audit"}</definedName>
    <definedName name="_991__FDSAUDITLINK__" localSheetId="20" hidden="1">{"fdsup://Directions/FactSet Auditing Viewer?action=AUDIT_VALUE&amp;DB=129&amp;ID1=03611510&amp;VALUEID=02101&amp;SDATE=201001&amp;PERIODTYPE=QTR_STD&amp;window=popup_no_bar&amp;width=385&amp;height=120&amp;START_MAXIMIZED=FALSE&amp;creator=factset&amp;display_string=Audit"}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localSheetId="1" hidden="1">{"fdsup://Directions/FactSet Auditing Viewer?action=AUDIT_VALUE&amp;DB=129&amp;ID1=03611510&amp;VALUEID=13040&amp;SDATE=201001&amp;PERIODTYPE=QTR_STD&amp;window=popup_no_bar&amp;width=385&amp;height=120&amp;START_MAXIMIZED=FALSE&amp;creator=factset&amp;display_string=Audit"}</definedName>
    <definedName name="_992__FDSAUDITLINK__" localSheetId="20" hidden="1">{"fdsup://Directions/FactSet Auditing Viewer?action=AUDIT_VALUE&amp;DB=129&amp;ID1=03611510&amp;VALUEID=13040&amp;SDATE=201001&amp;PERIODTYPE=QTR_STD&amp;window=popup_no_bar&amp;width=385&amp;height=120&amp;START_MAXIMIZED=FALSE&amp;creator=factset&amp;display_string=Audit"}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localSheetId="1" hidden="1">{"fdsup://Directions/FactSet Auditing Viewer?action=AUDIT_VALUE&amp;DB=129&amp;ID1=16890510&amp;VALUEID=02101&amp;SDATE=201001&amp;PERIODTYPE=QTR_STD&amp;window=popup_no_bar&amp;width=385&amp;height=120&amp;START_MAXIMIZED=FALSE&amp;creator=factset&amp;display_string=Audit"}</definedName>
    <definedName name="_993__FDSAUDITLINK__" localSheetId="20" hidden="1">{"fdsup://Directions/FactSet Auditing Viewer?action=AUDIT_VALUE&amp;DB=129&amp;ID1=16890510&amp;VALUEID=02101&amp;SDATE=201001&amp;PERIODTYPE=QTR_STD&amp;window=popup_no_bar&amp;width=385&amp;height=120&amp;START_MAXIMIZED=FALSE&amp;creator=factset&amp;display_string=Audit"}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localSheetId="1" hidden="1">{"fdsup://Directions/FactSet Auditing Viewer?action=AUDIT_VALUE&amp;DB=129&amp;ID1=91704710&amp;VALUEID=02101&amp;SDATE=201001&amp;PERIODTYPE=QTR_STD&amp;window=popup_no_bar&amp;width=385&amp;height=120&amp;START_MAXIMIZED=FALSE&amp;creator=factset&amp;display_string=Audit"}</definedName>
    <definedName name="_994__FDSAUDITLINK__" localSheetId="20" hidden="1">{"fdsup://Directions/FactSet Auditing Viewer?action=AUDIT_VALUE&amp;DB=129&amp;ID1=91704710&amp;VALUEID=02101&amp;SDATE=201001&amp;PERIODTYPE=QTR_STD&amp;window=popup_no_bar&amp;width=385&amp;height=120&amp;START_MAXIMIZED=FALSE&amp;creator=factset&amp;display_string=Audit"}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localSheetId="1" hidden="1">{"fdsup://Directions/FactSet Auditing Viewer?action=AUDIT_VALUE&amp;DB=129&amp;ID1=91704710&amp;VALUEID=13040&amp;SDATE=201001&amp;PERIODTYPE=QTR_STD&amp;window=popup_no_bar&amp;width=385&amp;height=120&amp;START_MAXIMIZED=FALSE&amp;creator=factset&amp;display_string=Audit"}</definedName>
    <definedName name="_995__FDSAUDITLINK__" localSheetId="20" hidden="1">{"fdsup://Directions/FactSet Auditing Viewer?action=AUDIT_VALUE&amp;DB=129&amp;ID1=91704710&amp;VALUEID=13040&amp;SDATE=201001&amp;PERIODTYPE=QTR_STD&amp;window=popup_no_bar&amp;width=385&amp;height=120&amp;START_MAXIMIZED=FALSE&amp;creator=factset&amp;display_string=Audit"}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localSheetId="1" hidden="1">{"fdsup://Directions/FactSet Auditing Viewer?action=AUDIT_VALUE&amp;DB=129&amp;ID1=02553E10&amp;VALUEID=02101&amp;SDATE=201001&amp;PERIODTYPE=QTR_STD&amp;window=popup_no_bar&amp;width=385&amp;height=120&amp;START_MAXIMIZED=FALSE&amp;creator=factset&amp;display_string=Audit"}</definedName>
    <definedName name="_996__FDSAUDITLINK__" localSheetId="20" hidden="1">{"fdsup://Directions/FactSet Auditing Viewer?action=AUDIT_VALUE&amp;DB=129&amp;ID1=02553E10&amp;VALUEID=02101&amp;SDATE=201001&amp;PERIODTYPE=QTR_STD&amp;window=popup_no_bar&amp;width=385&amp;height=120&amp;START_MAXIMIZED=FALSE&amp;creator=factset&amp;display_string=Audit"}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localSheetId="1" hidden="1">{"fdsup://Directions/FactSet Auditing Viewer?action=AUDIT_VALUE&amp;DB=129&amp;ID1=02553E10&amp;VALUEID=13040&amp;SDATE=201001&amp;PERIODTYPE=QTR_STD&amp;window=popup_no_bar&amp;width=385&amp;height=120&amp;START_MAXIMIZED=FALSE&amp;creator=factset&amp;display_string=Audit"}</definedName>
    <definedName name="_997__FDSAUDITLINK__" localSheetId="20" hidden="1">{"fdsup://Directions/FactSet Auditing Viewer?action=AUDIT_VALUE&amp;DB=129&amp;ID1=02553E10&amp;VALUEID=13040&amp;SDATE=201001&amp;PERIODTYPE=QTR_STD&amp;window=popup_no_bar&amp;width=385&amp;height=120&amp;START_MAXIMIZED=FALSE&amp;creator=factset&amp;display_string=Audit"}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localSheetId="1" hidden="1">{"fdsup://Directions/FactSet Auditing Viewer?action=AUDIT_VALUE&amp;DB=129&amp;ID1=00786510&amp;VALUEID=02101&amp;SDATE=201001&amp;PERIODTYPE=QTR_STD&amp;window=popup_no_bar&amp;width=385&amp;height=120&amp;START_MAXIMIZED=FALSE&amp;creator=factset&amp;display_string=Audit"}</definedName>
    <definedName name="_998__FDSAUDITLINK__" localSheetId="20" hidden="1">{"fdsup://Directions/FactSet Auditing Viewer?action=AUDIT_VALUE&amp;DB=129&amp;ID1=00786510&amp;VALUEID=02101&amp;SDATE=201001&amp;PERIODTYPE=QTR_STD&amp;window=popup_no_bar&amp;width=385&amp;height=120&amp;START_MAXIMIZED=FALSE&amp;creator=factset&amp;display_string=Audit"}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localSheetId="1" hidden="1">{"fdsup://Directions/FactSet Auditing Viewer?action=AUDIT_VALUE&amp;DB=129&amp;ID1=00786510&amp;VALUEID=13040&amp;SDATE=201001&amp;PERIODTYPE=QTR_STD&amp;window=popup_no_bar&amp;width=385&amp;height=120&amp;START_MAXIMIZED=FALSE&amp;creator=factset&amp;display_string=Audit"}</definedName>
    <definedName name="_999__FDSAUDITLINK__" localSheetId="20" hidden="1">{"fdsup://Directions/FactSet Auditing Viewer?action=AUDIT_VALUE&amp;DB=129&amp;ID1=00786510&amp;VALUEID=13040&amp;SDATE=201001&amp;PERIODTYPE=QTR_STD&amp;window=popup_no_bar&amp;width=385&amp;height=120&amp;START_MAXIMIZED=FALSE&amp;creator=factset&amp;display_string=Audit"}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bdm.00ED7E7D22A94468BEE86C68616AEDC0.edm" localSheetId="14" hidden="1">flow!$A$8:$AN$58</definedName>
    <definedName name="_bdm.02E29E7B1053433EA3CCCBE4E5141596.edm" hidden="1">[3]Sheet1!$A:$IV</definedName>
    <definedName name="_bdm.0A2F11DA94EF47F4ADD86D073DA8EE13.edm" hidden="1">'[4]LTD Variance Chart Data'!$A:$IV</definedName>
    <definedName name="_bdm.11D4B51B3CD04F509710F68445C066B1.edm" localSheetId="14" hidden="1">flow!$A$7:$AL$58</definedName>
    <definedName name="_bdm.186193C0C6844AB18E99154BE239556B.edm" hidden="1" xml:space="preserve">                  '[5]Scenario Inputs'!$A:$IV</definedName>
    <definedName name="_bdm.1D8CE2C45CB1434C98B4307C73C41BB3.edm" hidden="1" xml:space="preserve">                  '[5]Scenario Inputs'!$A:$IV</definedName>
    <definedName name="_bdm.1DF4B3E45DCE4C2A9D635C38C907064B.edm" hidden="1">[5]LIZ!$A:$IV</definedName>
    <definedName name="_bdm.239033D1CBDF4B34B065E13D4FA9D589.edm" hidden="1">'[4]COH Variance Chart Data'!$A:$IV</definedName>
    <definedName name="_bdm.240E5CC7D1A3433BA930B1D7FED87980.edm" hidden="1" xml:space="preserve">                    '[5]Scenario Inputs'!$A:$IV</definedName>
    <definedName name="_bdm.261112BAE8204F8280374C78A1E02552.edm" hidden="1" xml:space="preserve"> [6]C1000!$A:$IV</definedName>
    <definedName name="_bdm.297446E2985E45DCA44E1E58B339ED35.edm" hidden="1" xml:space="preserve">                                    '[5]Scenario Inputs'!$A:$IV</definedName>
    <definedName name="_bdm.2DDFFB15C42A449AADB01F909D897844.edm" hidden="1" xml:space="preserve">                                    '[5]Scenario Inputs'!$A:$IV</definedName>
    <definedName name="_bdm.3468456B66EF410EB9342B3170986C54.edm" localSheetId="4" hidden="1">sumry!$A$5:$DK$64</definedName>
    <definedName name="_bdm.36700029454B46269809EAC509E70B0B.edm" hidden="1" xml:space="preserve">                                    '[5]Scenario Inputs'!$A:$IV</definedName>
    <definedName name="_bdm.38FC3AFFD8DF49F6B1CB73376921CBB3.edm" hidden="1">'[7]Coverage Universe Comp'!$A:$IV</definedName>
    <definedName name="_bdm.3B9576C846F04582ADAB9A3CFCEBAFAA.edm" hidden="1">flow!$1:$1048576</definedName>
    <definedName name="_bdm.4176AC4C677F4FBC8C99A951BC121C6E.edm" hidden="1" xml:space="preserve">                                    '[5]Scenario Inputs'!$A:$IV</definedName>
    <definedName name="_bdm.42F67CCC3C1C45638B5EC98256E90947.edm" hidden="1">'[8]Good 12-00 (2)'!$A:$IV</definedName>
    <definedName name="_bdm.43FA48142E7E4CED84E86C6CCE4A15D5.edm" hidden="1">'[4]M Variance Chart Data'!$A:$IV</definedName>
    <definedName name="_bdm.46D56600DB7840728F138544F8E425DB.edm" hidden="1">'[8]Good 11-36'!$A:$IV</definedName>
    <definedName name="_bdm.55C08CD5AD50498A9A5C84ACA5FFFA25.edm" localSheetId="4" hidden="1">sumry!$A$5:$DK$75</definedName>
    <definedName name="_bdm.5F55189316304861B1E09137E617846B.edm" hidden="1" xml:space="preserve">                  '[5]Scenario Inputs'!$A:$IV</definedName>
    <definedName name="_bdm.60A1016E4A5045B0B4BE42FB21AAF6D6.edm" hidden="1">'[8]Good 11-50'!$A:$IV</definedName>
    <definedName name="_bdm.61172147C740477B965E7911BEFEA48B.edm" hidden="1">sumry!$1:$1048576</definedName>
    <definedName name="_bdm.7087D4AB48F64E19BD2C8BDFB7209C3F.edm" hidden="1" xml:space="preserve">                  '[5]Scenario Inputs'!$A:$IV</definedName>
    <definedName name="_bdm.72D868114C7B455FB2DD8E1894509A24.edm" hidden="1" xml:space="preserve">                  '[5]Scenario Inputs'!$A:$IV</definedName>
    <definedName name="_bdm.7D95BA34031E45139D4C89D5BBFD69F2.edm" hidden="1">bal!$1:$1048576</definedName>
    <definedName name="_bdm.828EF922B3BF49D5A4BB507669E667E8.edm" hidden="1">'[5]UA Drivers'!$IV$1</definedName>
    <definedName name="_bdm.84245E63505C4AFEAADE86E343E612C8.edm" hidden="1">'[7]Earnings Snapshot'!$A:$IV</definedName>
    <definedName name="_bdm.88BE57C8E16441C3844ACB2DCE4DA074.edm" hidden="1" xml:space="preserve">                  '[5]Scenario Inputs'!$A:$IV</definedName>
    <definedName name="_bdm.94362364BBC74836B01284B306B3E082.edm" localSheetId="13" hidden="1">bal!$A$5:$AO$59</definedName>
    <definedName name="_bdm.9A0F9A3877A9479AB7B77DDF59A937D6.edm" hidden="1" xml:space="preserve">                  '[5]Scenario Inputs'!$A:$IV</definedName>
    <definedName name="_bdm.9D75C62FDED848C891A43333EF5EA674.edm" localSheetId="14" hidden="1">flow!$A$8:$AN$57</definedName>
    <definedName name="_bdm.9EB8FE0446E347D4B59325F189FA9F31.edm" hidden="1" xml:space="preserve">                  '[5]Scenario Inputs'!$A:$IV</definedName>
    <definedName name="_bdm.A2D0F3FA285649B7BDDF87BD9C153DE1.edm" hidden="1" xml:space="preserve">                                    '[5]Scenario Inputs'!$A:$IV</definedName>
    <definedName name="_bdm.A339904D6D0347AA9B2B187BC3316370.edm" hidden="1">[9]JWN!$A:$IV</definedName>
    <definedName name="_bdm.A772A7E12EE949A2B2ED88CF7248DD14.edm" hidden="1" xml:space="preserve">                                    '[5]Scenario Inputs'!$A:$IV</definedName>
    <definedName name="_bdm.ACD42C48E1CD45FCADBD007FC4AA5C5B.edm" localSheetId="13" hidden="1">bal!$A$6:$AQ$59</definedName>
    <definedName name="_bdm.AF41298052B5438BB5863CF33374793F.edm" hidden="1">[9]JCP!$A:$IV</definedName>
    <definedName name="_bdm.B232A23EC303428E9F3B15E3162F750B.edm" hidden="1">[4]Tables!$A:$IV</definedName>
    <definedName name="_bdm.B8E7F8D146B34C039CAD519CB46A2D63.edm" hidden="1" xml:space="preserve">                                    '[5]Scenario Inputs'!$A:$IV</definedName>
    <definedName name="_bdm.C7C6FBA36F39444B8BCEC128D5B7F931.edm" hidden="1">'[8]Sheet3 (5)'!$A:$IV</definedName>
    <definedName name="_bdm.D49DCDB7FF224CB1BC63C5534A11A85A.edm" hidden="1" xml:space="preserve">                  '[5]Scenario Inputs'!$A:$IV</definedName>
    <definedName name="_bdm.D89F91809CE242D398B28C5DE2BE961E.edm" localSheetId="4" hidden="1">sumry!$A$5:$DK$63</definedName>
    <definedName name="_bdm.E0B0E8A77D684FB58AA9469766A75613.edm" hidden="1">'[7]Relative Risk Reward Chart'!$A:$IV</definedName>
    <definedName name="_bdm.E12FB90E97504D9FB610451A2A55636E.edm" hidden="1">'[7]For 2010 Report - misc calc'!$A:$IV</definedName>
    <definedName name="_bdm.EAD1FD3B1C5B4B008EDB79939D83C388.edm" hidden="1" xml:space="preserve">                  '[5]Scenario Inputs'!$A:$IV</definedName>
    <definedName name="_bdm.EF325A886A3842DD8CC90984D4D28C9C.edm" hidden="1">[10]Bear_to_Bull_Data!$A:$IV</definedName>
    <definedName name="_bdm.F0AEA6F10AF44D4491FD710C694F4513.edm" localSheetId="4" hidden="1">sumry!$A$4:$DK$64</definedName>
    <definedName name="_bdm.F30073110F694A8597AF2E62515D28EF.edm" hidden="1">[10]Value_of_Growth_Data!$A:$IV</definedName>
    <definedName name="_bdm.FB89892EBDAE4620819709C7B13FFB90.edm" hidden="1">'[10]Comparative_Risk-Reward_Data'!$A:$IV</definedName>
    <definedName name="_bdm.FC5CA615F4824D84868898D9DFAE1BAC.edm" hidden="1" xml:space="preserve">                  '[5]Scenario Inputs'!$A:$IV</definedName>
    <definedName name="_bdm.FE2CE930D155417CB1C4D24A021793F8.edm" hidden="1">'[4]TJX Variance Chart Data'!$A:$IV</definedName>
    <definedName name="_Order1" hidden="1">255</definedName>
    <definedName name="a">{"Client Name or Project Name"}</definedName>
    <definedName name="AAB_GSPPG" hidden="1">"AAB_Goldman Sachs PPG Chart Utilities 1.0g"</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1">OFFSET(Date_Range,0,1,,1)</definedName>
    <definedName name="Act_Price" localSheetId="20">OFFSET(Date_Range,0,1,,1)</definedName>
    <definedName name="Act_Price">OFFSET(Date_Range,0,1,,1)</definedName>
    <definedName name="AdditionalInstructions">IndexInformation!$B$42</definedName>
    <definedName name="Address" localSheetId="0">ImportantDisclosures!$A$2:$A$2</definedName>
    <definedName name="ANA" localSheetId="24">ModPubIndex!$A$7</definedName>
    <definedName name="ann_is_short">[11]Income!$C$1:$H$105</definedName>
    <definedName name="anscount" hidden="1">1</definedName>
    <definedName name="Authors" localSheetId="0">ImportantDisclosures!$A$7</definedName>
    <definedName name="Authors" localSheetId="23">IndexInformation!$B$18</definedName>
    <definedName name="Avg">"Avg"</definedName>
    <definedName name="BRO" localSheetId="24">ModPubIndex!$A$1</definedName>
    <definedName name="comps_1">[11]Income!$A$119:$IV$119</definedName>
    <definedName name="comps_2">[11]Income!$A$120:$IV$120</definedName>
    <definedName name="comps_3">[11]Income!$A$121:$IV$121</definedName>
    <definedName name="CopyrightStamp">ImportantDisclosures!$A$27</definedName>
    <definedName name="COU" localSheetId="24">ModPubIndex!$A$5</definedName>
    <definedName name="CQEnd" localSheetId="23">IndexInformation!$B$31</definedName>
    <definedName name="Currency" localSheetId="23">IndexInformation!$B$24</definedName>
    <definedName name="CurrentStockPrice" localSheetId="23">IndexInformation!$B$23</definedName>
    <definedName name="CurrQtrEPS" localSheetId="23">IndexInformation!$B$29</definedName>
    <definedName name="CurrYearEPS" localSheetId="23">IndexInformation!$B$11</definedName>
    <definedName name="CurrYearTotalRevenue" localSheetId="23">IndexInformation!$B$10</definedName>
    <definedName name="CurrYearTotalRevenueActual" localSheetId="23">IndexInformation!$B$32</definedName>
    <definedName name="CUSIP" localSheetId="23">IndexInformation!$B$20</definedName>
    <definedName name="CYEnd" localSheetId="23">IndexInformation!$B$30</definedName>
    <definedName name="d">'[12]LEASES NEW'!$A$19</definedName>
    <definedName name="dataseries_minus_space_2">OFFSET([5]LIZ!$AE$31,0,0,COUNTA([5]LIZ!$AE$31:$AE$37)+1,1)</definedName>
    <definedName name="dataseries4">OFFSET([13]c1!$G$12,0,0,COUNTA([13]c1!$G$12:$G$31),1)</definedName>
    <definedName name="Date" localSheetId="0">ImportantDisclosures!$A$8</definedName>
    <definedName name="Deleted" localSheetId="23">IndexInformation!$B$27</definedName>
    <definedName name="Description" localSheetId="23">IndexInformation!$B$7</definedName>
    <definedName name="DEVELOPMENT">5</definedName>
    <definedName name="Discipline" localSheetId="23">IndexInformation!$B$3</definedName>
    <definedName name="DISCIPLINE" localSheetId="24">ModPubIndex!$A$12</definedName>
    <definedName name="DisclosuresText">ImportantDisclosures!$A$22</definedName>
    <definedName name="Distribution" localSheetId="23">IndexInformation!$B$26</definedName>
    <definedName name="DistTable" localSheetId="0">ImportantDisclosures!#REF!</definedName>
    <definedName name="DistTablePreamble" localSheetId="0">ImportantDisclosures!#REF!</definedName>
    <definedName name="Djzh15" xlm="1" functionGroupId="14">0</definedName>
    <definedName name="Djzh16" xlm="1" functionGroupId="14">0</definedName>
    <definedName name="DOCDAT" localSheetId="24">ModPubIndex!$A$2</definedName>
    <definedName name="DOCTIME" localSheetId="24">ModPubIndex!$A$3</definedName>
    <definedName name="DocType" localSheetId="23">IndexInformation!$B$5</definedName>
    <definedName name="Download_series">[14]!Download_series</definedName>
    <definedName name="e">[11]Income!$EP$106</definedName>
    <definedName name="EMAIL_ALERT" localSheetId="24">ModPubIndex!$A$10</definedName>
    <definedName name="EmailAlert" localSheetId="23">IndexInformation!$B$28</definedName>
    <definedName name="ExpandModel">[0]!ExpandModel</definedName>
    <definedName name="ExpandOutputs">[0]!ExpandOutputs</definedName>
    <definedName name="ExpandVPeriods">[0]!ExpandVPeriods</definedName>
    <definedName name="ExportFile">[0]!ExportFile</definedName>
    <definedName name="ｆ" hidden="1">"iQShowAnnual"</definedName>
    <definedName name="FINCopyDirection">1</definedName>
    <definedName name="FINCriteriaType">1</definedName>
    <definedName name="FiveYearGrowthRate" localSheetId="23">IndexInformation!$B$16</definedName>
    <definedName name="FollowingYearEPS" localSheetId="23">IndexInformation!$B$15</definedName>
    <definedName name="FollowingYearTotalRevenue" localSheetId="23">IndexInformation!$B$14</definedName>
    <definedName name="FollowingYearTotalRevenueActual" localSheetId="23">IndexInformation!$B$34</definedName>
    <definedName name="FSTicker" localSheetId="20">'MWA Lease'!$F$4</definedName>
    <definedName name="HL" localSheetId="24">ModPubIndex!$A$8</definedName>
    <definedName name="ImportFile">[0]!ImportFile</definedName>
    <definedName name="income">[11]Income!$A:$IV</definedName>
    <definedName name="IND" localSheetId="24">ModPubIndex!$A$9</definedName>
    <definedName name="Industry" localSheetId="0">ImportantDisclosures!$A$12</definedName>
    <definedName name="IndustryId">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localSheetId="20" hidden="1">"c3460"</definedName>
    <definedName name="IQ_CAPITALIZED_INTEREST" hidden="1">"c2076"</definedName>
    <definedName name="IQ_CAPITALIZED_INTEREST_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ACQUIRE_CF_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UTSTANDING_FILING_DATE_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localSheetId="20" hidden="1">"c2895"</definedName>
    <definedName name="IQ_RETAIL_ACQUIRED_FRANCHISE_STORES" hidden="1">"c2903"</definedName>
    <definedName name="IQ_RETAIL_ACQUIRED_FRANCHISE_STORES_1">"c2903"</definedName>
    <definedName name="IQ_RETAIL_ACQUIRED_OWNED_STORES" localSheetId="20" hidden="1">"c2903"</definedName>
    <definedName name="IQ_RETAIL_ACQUIRED_OWNED_STORES" hidden="1">"c2895"</definedName>
    <definedName name="IQ_RETAIL_ACQUIRED_OWNED_STORES_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20" hidden="1">39489.6256597222</definedName>
    <definedName name="IQ_REVISION_DATE_" hidden="1">39244.4711574074</definedName>
    <definedName name="IQ_REVISION_DATE__1">39244.4711574074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23">IndexInformation!$B$8</definedName>
    <definedName name="LanguageCode">IndexInformation!$B$38</definedName>
    <definedName name="LastCell" localSheetId="0">ImportantDisclosures!$A$22</definedName>
    <definedName name="Linking_2">sumry!$A$5:$DR$63</definedName>
    <definedName name="Linking_3">bal!$A$6:$BC$59</definedName>
    <definedName name="Linking_4">sumry!$A$4:$DS$63</definedName>
    <definedName name="Linking_5">bal!$A$6:$BG$58</definedName>
    <definedName name="Linking_6">flow!$A$8:$BB$57</definedName>
    <definedName name="Linking_Range_1">sumry!$A$5:$DL$63</definedName>
    <definedName name="Linking_Range_10">sumry!$A$5:$DM$63</definedName>
    <definedName name="Linking_Range_11">bal!$A$3:$AU$58</definedName>
    <definedName name="Linking_Range_12">flow!$A$8:$AV$57</definedName>
    <definedName name="Linking_Range_13">sumry!$A$4:$DO$63</definedName>
    <definedName name="Linking_Range_14">bal!$A$3:$AW$58</definedName>
    <definedName name="Linking_Range_15">sumry!$A$5:$DO$63</definedName>
    <definedName name="Linking_Range_16">bal!$A$6:$BA$58</definedName>
    <definedName name="Linking_Range_17">flow!$A$8:$AX$57</definedName>
    <definedName name="Linking_Range_18">bal!$A$5:$AY$58</definedName>
    <definedName name="Linking_Range_19">sumry!$A$5:$DQ$63</definedName>
    <definedName name="Linking_Range_2">bal!$A$6:$AQ$59</definedName>
    <definedName name="Linking_Range_20">bal!$A$6:$BC$58</definedName>
    <definedName name="Linking_Range_21">flow!$A$8:$AZ$57</definedName>
    <definedName name="Linking_Range_25">bal!$A$5:$BC$58</definedName>
    <definedName name="Linking_Range_3">flow!$A$8:$AN$57</definedName>
    <definedName name="Linking_Range_4">bal!$A$6:$AS$59</definedName>
    <definedName name="Linking_Range_5">bal!$A$6:$AS$58</definedName>
    <definedName name="Linking_Range_6">flow!$A$8:$AP$57</definedName>
    <definedName name="Linking_Range_7">sumry!$A$5:$DL$62</definedName>
    <definedName name="Linking_Range_8">sumry!$A$5:$DM$75</definedName>
    <definedName name="Linking_Range_9">bal!$A$6:$AS$62</definedName>
    <definedName name="lookup_period">[11]Income!$A$1:$IV$1</definedName>
    <definedName name="MacroVersion" localSheetId="23">IndexInformation!$B$1</definedName>
    <definedName name="me">"Button 5"</definedName>
    <definedName name="ModelPrice" localSheetId="0">ImportantDisclosures!$A$14</definedName>
    <definedName name="MtCap">10000000000</definedName>
    <definedName name="Multiplier" localSheetId="23">IndexInformation!$B$35</definedName>
    <definedName name="NextYearEPS" localSheetId="23">IndexInformation!$B$13</definedName>
    <definedName name="NextYearTotalRevenue" localSheetId="23">IndexInformation!$B$12</definedName>
    <definedName name="NextYearTotalRevenueActual" localSheetId="23">IndexInformation!$B$33</definedName>
    <definedName name="NVCURR">[15]I!$B$1:$U$51</definedName>
    <definedName name="ObjectType">IndexInformation!$B$37</definedName>
    <definedName name="PANA" localSheetId="24">ModPubIndex!$A$11</definedName>
    <definedName name="PathName" localSheetId="23">IndexInformation!$B$25</definedName>
    <definedName name="_xlnm.Print_Area" localSheetId="13">bal!$A$1:$AO$62</definedName>
    <definedName name="_xlnm.Print_Area" localSheetId="1">earnings!$A$1:$K$52</definedName>
    <definedName name="_xlnm.Print_Area" localSheetId="14">flow!$A$1:$AL$57</definedName>
    <definedName name="_xlnm.Print_Area" localSheetId="6">'intlsales&amp;OM'!$A$1:$AD$125</definedName>
    <definedName name="_xlnm.Print_Area" localSheetId="8">'qtrP&amp;L'!$A:$CH</definedName>
    <definedName name="_xlnm.Print_Area" localSheetId="7">qtrSales!$A$1:$AN$188</definedName>
    <definedName name="_xlnm.Print_Area" localSheetId="11">'S&amp;D Costs'!$B$1:$Q$31</definedName>
    <definedName name="_xlnm.Print_Area" localSheetId="5">SegqtrSales!$A$1:$AN$386</definedName>
    <definedName name="_xlnm.Print_Area" localSheetId="12">squft!$A$1:$BU$46</definedName>
    <definedName name="_xlnm.Print_Area" localSheetId="4">sumry!$A$1:$DO$75</definedName>
    <definedName name="_xlnm.Print_Area" localSheetId="17">turn!$A$1:$AG$188</definedName>
    <definedName name="_xlnm.Print_Area" localSheetId="16">work!$A$2:$BT$48</definedName>
    <definedName name="_xlnm.Print_Area" localSheetId="9">'yrP&amp;L'!$A$1:$AL$66</definedName>
    <definedName name="_xlnm.Print_Area" localSheetId="10">yrSales!$A$1:$AJ$49,yrSales!$A$52:$AJ$95,yrSales!$A$100:$AJ$144,yrSales!$A$196:$AJ$250</definedName>
    <definedName name="_xlnm.Print_Area">#REF!</definedName>
    <definedName name="_xlnm.Print_Titles" localSheetId="13">bal!$1:$6</definedName>
    <definedName name="_xlnm.Print_Titles" localSheetId="8">'qtrP&amp;L'!$A:$C,'qtrP&amp;L'!$1:$6</definedName>
    <definedName name="_xlnm.Print_Titles">#REF!</definedName>
    <definedName name="PRODUCT" localSheetId="24">ModPubIndex!$A$6</definedName>
    <definedName name="ProImportExport.ImportFile">[0]!ProImportExport.ImportFile</definedName>
    <definedName name="ProImportExport.SaveNewFile">[0]!ProImportExport.SaveNewFile</definedName>
    <definedName name="ProjectName" localSheetId="1">{"Client Name or Project Name"}</definedName>
    <definedName name="ProjectName" localSheetId="20">{"Client Name or Project Name"}</definedName>
    <definedName name="ProjectName">{"Client Name or Project Name"}</definedName>
    <definedName name="ProjectName_1">{"Client Name or Project Name"}</definedName>
    <definedName name="PSYM" localSheetId="24">ModPubIndex!$A$4</definedName>
    <definedName name="PublishDate" localSheetId="23">IndexInformation!$B$2</definedName>
    <definedName name="qtr_store_model">[11]Income!$BQ$103:$CB$171</definedName>
    <definedName name="Rating" localSheetId="23">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1">OFFSET(Date_Range,0,10,,1)</definedName>
    <definedName name="Rel_Forw" localSheetId="20">OFFSET(Date_Range,0,10,,1)</definedName>
    <definedName name="Rel_Forw">OFFSET(Date_Range,0,10,,1)</definedName>
    <definedName name="RepairedName0359" hidden="1">"iQShowAnnual"</definedName>
    <definedName name="ResearchTopic" localSheetId="23">IndexInformation!$B$4</definedName>
    <definedName name="RIC" localSheetId="23">IndexInformation!$B$21</definedName>
    <definedName name="rngAppName" localSheetId="20">'MWA Lease'!$A$1</definedName>
    <definedName name="rngCompany" localSheetId="20">'MWA Lease'!$F$6</definedName>
    <definedName name="rngTicker" localSheetId="20">'MWA Lease'!$I$3</definedName>
    <definedName name="RNOA_Print">#N/A</definedName>
    <definedName name="s">{"Client Name or Project Name"}</definedName>
    <definedName name="sales_1">[11]Income!$A$113:$IV$113</definedName>
    <definedName name="sales_2">[11]Income!$A$114:$IV$114</definedName>
    <definedName name="sales_3">[11]Income!$A$115:$IV$115</definedName>
    <definedName name="SaveNewFile">[0]!SaveNewFile</definedName>
    <definedName name="SECSettlement" localSheetId="0">ImportantDisclosures!#REF!</definedName>
    <definedName name="SEDOL" localSheetId="23">IndexInformation!$B$22</definedName>
    <definedName name="SourceDefined" localSheetId="0">ImportantDisclosures!$A$19</definedName>
    <definedName name="Sp">"       "</definedName>
    <definedName name="StockRating" localSheetId="0">ImportantDisclosures!$A$11</definedName>
    <definedName name="SubjectCode" localSheetId="23">IndexInformation!$B$6</definedName>
    <definedName name="SubmitterUserId">IndexInformation!$B$39</definedName>
    <definedName name="SUPPRESSED" localSheetId="24">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23">IndexInformation!$B$19</definedName>
    <definedName name="Update_This">[14]!Update_This</definedName>
    <definedName name="UpdateReason" localSheetId="23">IndexInformation!$B$17</definedName>
    <definedName name="USRegDisclosures" localSheetId="0">ImportantDisclosures!#REF!</definedName>
    <definedName name="Version">"June 29, 2004"</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hidden="1">{#N/A,#N/A,FALSE,"Earnings";#N/A,#N/A,FALSE,"Overview";#N/A,#N/A,FALSE,"Summary";#N/A,#N/A,FALSE,"Summary II";#N/A,#N/A,FALSE,"R&amp;D";#N/A,#N/A,FALSE,"R&amp;D Forecast";#N/A,#N/A,FALSE,"Tax Adj";#N/A,#N/A,FALSE,"Goodwill";#N/A,#N/A,FALSE,"FX ";#N/A,#N/A,FALSE,"Consolidation";#N/A,#N/A,FALSE,"Provisions"}</definedName>
    <definedName name="xaxislabels">OFFSET([5]LIZ!$AD$31,0,0,COUNTA([5]LIZ!$AD$31:$AD$37)+1,1)</definedName>
    <definedName name="xbrlSegment">[16]bal!#REF!</definedName>
  </definedNames>
  <calcPr calcId="145621" iterate="1"/>
</workbook>
</file>

<file path=xl/calcChain.xml><?xml version="1.0" encoding="utf-8"?>
<calcChain xmlns="http://schemas.openxmlformats.org/spreadsheetml/2006/main">
  <c r="DS82" i="3" l="1"/>
  <c r="CQ57" i="11" l="1"/>
  <c r="DG33" i="11"/>
  <c r="DG14" i="11"/>
  <c r="D9" i="73"/>
  <c r="T8" i="73"/>
  <c r="E3" i="73" a="1"/>
  <c r="F3" i="73" s="1"/>
  <c r="F9" i="73" s="1"/>
  <c r="D8" i="73" a="1"/>
  <c r="D8" i="73" s="1"/>
  <c r="G3" i="73" l="1"/>
  <c r="G9" i="73" s="1"/>
  <c r="E3" i="73"/>
  <c r="E9" i="73" s="1"/>
  <c r="H3" i="73"/>
  <c r="H9" i="73" s="1"/>
  <c r="F8" i="73"/>
  <c r="E8" i="73"/>
  <c r="G8" i="73"/>
  <c r="S8" i="73"/>
  <c r="R8" i="73"/>
  <c r="Q8" i="73"/>
  <c r="P8" i="73"/>
  <c r="O8" i="73"/>
  <c r="N8" i="73"/>
  <c r="M8" i="73"/>
  <c r="L8" i="73"/>
  <c r="K8" i="73"/>
  <c r="J8" i="73"/>
  <c r="I8" i="73"/>
  <c r="H8" i="73"/>
  <c r="I4" i="73"/>
  <c r="AZ123" i="30"/>
  <c r="CR228" i="7" l="1"/>
  <c r="CR229" i="7"/>
  <c r="CV196" i="7" l="1"/>
  <c r="CV195" i="7"/>
  <c r="CV194" i="7"/>
  <c r="CV193" i="7"/>
  <c r="C51" i="63" l="1"/>
  <c r="B51" i="63"/>
  <c r="D50" i="63"/>
  <c r="C50" i="63"/>
  <c r="B50" i="63"/>
  <c r="C49" i="63"/>
  <c r="B49" i="63"/>
  <c r="H43" i="63"/>
  <c r="C37" i="63"/>
  <c r="B37" i="63"/>
  <c r="C36" i="63"/>
  <c r="B36" i="63"/>
  <c r="C35" i="63"/>
  <c r="B35" i="63"/>
  <c r="C34" i="63"/>
  <c r="B34" i="63"/>
  <c r="C33" i="63"/>
  <c r="B33" i="63"/>
  <c r="H30" i="63"/>
  <c r="G29" i="63"/>
  <c r="H28" i="63"/>
  <c r="H27" i="63"/>
  <c r="G27" i="63"/>
  <c r="C30" i="63"/>
  <c r="G30" i="63" s="1"/>
  <c r="B30" i="63"/>
  <c r="C29" i="63"/>
  <c r="H29" i="63" s="1"/>
  <c r="B29" i="63"/>
  <c r="C28" i="63"/>
  <c r="G28" i="63" s="1"/>
  <c r="B28" i="63"/>
  <c r="C27" i="63"/>
  <c r="B27" i="63"/>
  <c r="C26" i="63"/>
  <c r="H42" i="63" s="1"/>
  <c r="B26" i="63"/>
  <c r="C25" i="63"/>
  <c r="H25" i="63" s="1"/>
  <c r="B25" i="63"/>
  <c r="H22" i="63"/>
  <c r="G22" i="63"/>
  <c r="C22" i="63"/>
  <c r="B22" i="63"/>
  <c r="C21" i="63"/>
  <c r="H46" i="63" s="1"/>
  <c r="B21" i="63"/>
  <c r="C19" i="63"/>
  <c r="H19" i="63" s="1"/>
  <c r="B19" i="63"/>
  <c r="G17" i="63"/>
  <c r="C17" i="63"/>
  <c r="H17" i="63" s="1"/>
  <c r="B17" i="63"/>
  <c r="H15" i="63"/>
  <c r="G15" i="63"/>
  <c r="C15" i="63"/>
  <c r="H45" i="63" s="1"/>
  <c r="B15" i="63"/>
  <c r="H13" i="63"/>
  <c r="H44" i="63" s="1"/>
  <c r="C13" i="63"/>
  <c r="G13" i="63" s="1"/>
  <c r="B13" i="63"/>
  <c r="G11" i="63"/>
  <c r="C11" i="63"/>
  <c r="B11" i="63"/>
  <c r="C9" i="63"/>
  <c r="B9" i="63"/>
  <c r="C8" i="63"/>
  <c r="H8" i="63" s="1"/>
  <c r="B8" i="63"/>
  <c r="H6" i="63"/>
  <c r="C6" i="63"/>
  <c r="G6" i="63" s="1"/>
  <c r="B6" i="63"/>
  <c r="E3" i="63"/>
  <c r="C4" i="63"/>
  <c r="H4" i="63" s="1"/>
  <c r="H40" i="63" s="1"/>
  <c r="B4" i="63"/>
  <c r="G4" i="63" s="1"/>
  <c r="H3" i="63"/>
  <c r="G3" i="63"/>
  <c r="Y153" i="65"/>
  <c r="Z153" i="65" s="1"/>
  <c r="W153" i="65"/>
  <c r="V153" i="65"/>
  <c r="X153" i="65" s="1"/>
  <c r="M153" i="65"/>
  <c r="N153" i="65" s="1"/>
  <c r="L153" i="65"/>
  <c r="J153" i="65"/>
  <c r="K153" i="65" s="1"/>
  <c r="G153" i="65"/>
  <c r="H153" i="65" s="1"/>
  <c r="D153" i="65"/>
  <c r="F153" i="65" s="1"/>
  <c r="E4" i="63"/>
  <c r="E8" i="63"/>
  <c r="E21" i="63"/>
  <c r="E19" i="63"/>
  <c r="E15" i="63"/>
  <c r="E11" i="63"/>
  <c r="I4" i="63" l="1"/>
  <c r="E6" i="63"/>
  <c r="I6" i="63" s="1"/>
  <c r="E33" i="63"/>
  <c r="E25" i="63"/>
  <c r="I25" i="63" s="1"/>
  <c r="E9" i="63"/>
  <c r="I9" i="63" s="1"/>
  <c r="I8" i="63"/>
  <c r="E36" i="63"/>
  <c r="E27" i="63"/>
  <c r="I27" i="63" s="1"/>
  <c r="E37" i="63"/>
  <c r="E30" i="63"/>
  <c r="E13" i="63"/>
  <c r="E28" i="63"/>
  <c r="E17" i="63"/>
  <c r="E29" i="63" s="1"/>
  <c r="I11" i="63"/>
  <c r="H47" i="63"/>
  <c r="G9" i="63"/>
  <c r="G21" i="63"/>
  <c r="G26" i="63"/>
  <c r="G8" i="63"/>
  <c r="H9" i="63"/>
  <c r="H11" i="63"/>
  <c r="G19" i="63"/>
  <c r="H21" i="63"/>
  <c r="G25" i="63"/>
  <c r="H26" i="63"/>
  <c r="H41" i="63"/>
  <c r="I21" i="63"/>
  <c r="E153" i="65"/>
  <c r="E35" i="63" l="1"/>
  <c r="E26" i="63"/>
  <c r="I26" i="63" s="1"/>
  <c r="AD170" i="48"/>
  <c r="AD169" i="48"/>
  <c r="AD168" i="48"/>
  <c r="AD167" i="48"/>
  <c r="AD166" i="48"/>
  <c r="AD165" i="48"/>
  <c r="AD164" i="48"/>
  <c r="AD163" i="48"/>
  <c r="AD162" i="48"/>
  <c r="AD161" i="48"/>
  <c r="AD160" i="48"/>
  <c r="AD159" i="48"/>
  <c r="AD158" i="48"/>
  <c r="AD157" i="48"/>
  <c r="AD156" i="48"/>
  <c r="AD155" i="48"/>
  <c r="AD154" i="48"/>
  <c r="AD149" i="48"/>
  <c r="AD106" i="48"/>
  <c r="AD105" i="48"/>
  <c r="AD141" i="48" s="1"/>
  <c r="AD104" i="48"/>
  <c r="AD140" i="48" s="1"/>
  <c r="AD103" i="48"/>
  <c r="AD139" i="48" s="1"/>
  <c r="AD102" i="48"/>
  <c r="AD138" i="48" s="1"/>
  <c r="AD101" i="48"/>
  <c r="AD137" i="48" s="1"/>
  <c r="AD100" i="48"/>
  <c r="AD136" i="48" s="1"/>
  <c r="AD99" i="48"/>
  <c r="AD135" i="48" s="1"/>
  <c r="AD98" i="48"/>
  <c r="AD134" i="48" s="1"/>
  <c r="AD97" i="48"/>
  <c r="AD133" i="48" s="1"/>
  <c r="AD96" i="48"/>
  <c r="AD132" i="48" s="1"/>
  <c r="AD95" i="48"/>
  <c r="AD131" i="48" s="1"/>
  <c r="AD94" i="48"/>
  <c r="AD130" i="48" s="1"/>
  <c r="AD93" i="48"/>
  <c r="AD129" i="48" s="1"/>
  <c r="AD92" i="48"/>
  <c r="AD128" i="48" s="1"/>
  <c r="AD91" i="48"/>
  <c r="AD127" i="48" s="1"/>
  <c r="AD90" i="48"/>
  <c r="AD126" i="48" s="1"/>
  <c r="AD89" i="48"/>
  <c r="AD125" i="48" s="1"/>
  <c r="AD88" i="48"/>
  <c r="AD124" i="48" s="1"/>
  <c r="AD87" i="48"/>
  <c r="AD123" i="48" s="1"/>
  <c r="AD86" i="48"/>
  <c r="AD122" i="48" s="1"/>
  <c r="AD85" i="48"/>
  <c r="AD121" i="48" s="1"/>
  <c r="AD84" i="48"/>
  <c r="AD120" i="48" s="1"/>
  <c r="AD83" i="48"/>
  <c r="AD119" i="48" s="1"/>
  <c r="AD82" i="48"/>
  <c r="AD118" i="48" s="1"/>
  <c r="AD81" i="48"/>
  <c r="AD117" i="48" s="1"/>
  <c r="AD80" i="48"/>
  <c r="AD116" i="48" s="1"/>
  <c r="AD79" i="48"/>
  <c r="AD115" i="48" s="1"/>
  <c r="AD78" i="48"/>
  <c r="AD114" i="48" s="1"/>
  <c r="AD77" i="48"/>
  <c r="AD113" i="48" s="1"/>
  <c r="AD76" i="48"/>
  <c r="AD112" i="48" s="1"/>
  <c r="AD68" i="48"/>
  <c r="AD66" i="48" s="1"/>
  <c r="AD67" i="48" s="1"/>
  <c r="AD63" i="48"/>
  <c r="AD31" i="48"/>
  <c r="AD29" i="48"/>
  <c r="AD21" i="48"/>
  <c r="AD11" i="48"/>
  <c r="AD9" i="48"/>
  <c r="AD74" i="48" s="1"/>
  <c r="AD110" i="48" s="1"/>
  <c r="AD147" i="48" s="1"/>
  <c r="BA54" i="12"/>
  <c r="AY42" i="12"/>
  <c r="BA27" i="12"/>
  <c r="AD143" i="48" l="1"/>
  <c r="AD54" i="48" l="1"/>
  <c r="AD22" i="48"/>
  <c r="AD153" i="48"/>
  <c r="AD32" i="48" l="1"/>
  <c r="AD30" i="48" s="1"/>
  <c r="AD171" i="48"/>
  <c r="AD172" i="48" s="1"/>
  <c r="AD23" i="48" s="1"/>
  <c r="AD12" i="48" s="1"/>
  <c r="AD13" i="48" s="1"/>
  <c r="AD55" i="48"/>
  <c r="AD59" i="48"/>
  <c r="AD60" i="48" s="1"/>
  <c r="AD24" i="48" l="1"/>
  <c r="AD16" i="48"/>
  <c r="AD15" i="48"/>
  <c r="AD38" i="48" s="1"/>
  <c r="AD33" i="48"/>
  <c r="AD44" i="48" s="1"/>
  <c r="AD35" i="48" l="1"/>
  <c r="M25" i="67" l="1"/>
  <c r="M23" i="67"/>
  <c r="M24" i="67"/>
  <c r="P105" i="62" l="1"/>
  <c r="P102" i="62"/>
  <c r="P99" i="62"/>
  <c r="P98" i="62"/>
  <c r="P94" i="62"/>
  <c r="P91" i="62"/>
  <c r="P63" i="62"/>
  <c r="P60" i="62"/>
  <c r="P57" i="62"/>
  <c r="P56" i="62"/>
  <c r="P52" i="62"/>
  <c r="P49" i="62"/>
  <c r="T4" i="73"/>
  <c r="T3" i="73"/>
  <c r="T9" i="73" s="1"/>
  <c r="T5" i="73" l="1"/>
  <c r="M22" i="67" l="1"/>
  <c r="M26" i="67" s="1"/>
  <c r="I16" i="67" l="1"/>
  <c r="J16" i="67" s="1"/>
  <c r="G16" i="67"/>
  <c r="F16" i="67"/>
  <c r="E13" i="67"/>
  <c r="D13" i="67"/>
  <c r="E9" i="67"/>
  <c r="E10" i="67" s="1"/>
  <c r="D9" i="67"/>
  <c r="D10" i="67" s="1"/>
  <c r="E8" i="67"/>
  <c r="D8" i="67"/>
  <c r="D6" i="67"/>
  <c r="D12" i="67" s="1"/>
  <c r="D14" i="67" s="1"/>
  <c r="D18" i="67" s="1"/>
  <c r="E4" i="67"/>
  <c r="E6" i="67" s="1"/>
  <c r="E12" i="67" s="1"/>
  <c r="E14" i="67" s="1"/>
  <c r="E18" i="67" s="1"/>
  <c r="D4" i="67"/>
  <c r="G3" i="67"/>
  <c r="F3" i="67"/>
  <c r="E3" i="67"/>
  <c r="D3" i="67"/>
  <c r="CN123" i="7" l="1"/>
  <c r="H128" i="30" l="1"/>
  <c r="H351" i="30"/>
  <c r="H350" i="30"/>
  <c r="H127" i="30"/>
  <c r="H349" i="30"/>
  <c r="H126" i="30"/>
  <c r="H348" i="30"/>
  <c r="H125" i="30"/>
  <c r="DE11" i="7"/>
  <c r="DE12" i="7"/>
  <c r="DE13" i="7"/>
  <c r="DE10" i="7"/>
  <c r="F178" i="6"/>
  <c r="F177" i="6"/>
  <c r="F176" i="6"/>
  <c r="AS177" i="6"/>
  <c r="H175" i="16"/>
  <c r="CQ31" i="15"/>
  <c r="CQ37" i="15"/>
  <c r="CP43" i="15"/>
  <c r="CP37" i="15"/>
  <c r="CP31" i="15"/>
  <c r="CQ25" i="15"/>
  <c r="CQ19" i="15"/>
  <c r="CP19" i="15"/>
  <c r="CQ13" i="15"/>
  <c r="AU59" i="14"/>
  <c r="AU53" i="14"/>
  <c r="AU47" i="14"/>
  <c r="AU35" i="14"/>
  <c r="AU29" i="14"/>
  <c r="M152" i="65"/>
  <c r="G152" i="65"/>
  <c r="V152" i="65"/>
  <c r="Y152" i="65" s="1"/>
  <c r="K152" i="65"/>
  <c r="E152" i="65"/>
  <c r="CR123" i="7"/>
  <c r="CR103" i="7"/>
  <c r="CR43" i="7"/>
  <c r="CS43" i="7" s="1"/>
  <c r="CS23" i="7"/>
  <c r="C34" i="72" l="1"/>
  <c r="H33" i="72"/>
  <c r="G23" i="72"/>
  <c r="H23" i="72" s="1"/>
  <c r="I23" i="72" s="1"/>
  <c r="J23" i="72" s="1"/>
  <c r="F23" i="72"/>
  <c r="E23" i="72"/>
  <c r="G15" i="72"/>
  <c r="F15" i="72"/>
  <c r="E15" i="72"/>
  <c r="D15" i="72"/>
  <c r="C15" i="72"/>
  <c r="J8" i="72"/>
  <c r="I8" i="72"/>
  <c r="H8" i="72"/>
  <c r="H2" i="72"/>
  <c r="I2" i="72" s="1"/>
  <c r="J2" i="72" s="1"/>
  <c r="C131" i="48" l="1"/>
  <c r="B131" i="48"/>
  <c r="C130" i="48"/>
  <c r="C129" i="48"/>
  <c r="C128" i="48"/>
  <c r="C127" i="48"/>
  <c r="C126" i="48"/>
  <c r="C125" i="48"/>
  <c r="C124" i="48"/>
  <c r="C123" i="48"/>
  <c r="C122" i="48"/>
  <c r="C121" i="48"/>
  <c r="C120" i="48"/>
  <c r="C119" i="48"/>
  <c r="C118" i="48"/>
  <c r="C117" i="48"/>
  <c r="C116" i="48"/>
  <c r="C115" i="48"/>
  <c r="C114" i="48"/>
  <c r="C113" i="48"/>
  <c r="R117" i="48"/>
  <c r="H117" i="48"/>
  <c r="V116" i="48"/>
  <c r="U116" i="48"/>
  <c r="T116" i="48"/>
  <c r="S116" i="48"/>
  <c r="R116" i="48"/>
  <c r="Q116" i="48"/>
  <c r="P116" i="48"/>
  <c r="O116" i="48"/>
  <c r="N116" i="48"/>
  <c r="M116" i="48"/>
  <c r="L116" i="48"/>
  <c r="K116" i="48"/>
  <c r="J116" i="48"/>
  <c r="I116" i="48"/>
  <c r="H116" i="48"/>
  <c r="V115" i="48"/>
  <c r="U115" i="48"/>
  <c r="T115" i="48"/>
  <c r="S115" i="48"/>
  <c r="R115" i="48"/>
  <c r="Q115" i="48"/>
  <c r="P115" i="48"/>
  <c r="O115" i="48"/>
  <c r="N115" i="48"/>
  <c r="M115" i="48"/>
  <c r="L115" i="48"/>
  <c r="K115" i="48"/>
  <c r="J115" i="48"/>
  <c r="I115" i="48"/>
  <c r="H115" i="48"/>
  <c r="V114" i="48"/>
  <c r="U114" i="48"/>
  <c r="T114" i="48"/>
  <c r="S114" i="48"/>
  <c r="R114" i="48"/>
  <c r="Q114" i="48"/>
  <c r="P114" i="48"/>
  <c r="O114" i="48"/>
  <c r="N114" i="48"/>
  <c r="M114" i="48"/>
  <c r="L114" i="48"/>
  <c r="K114" i="48"/>
  <c r="J114" i="48"/>
  <c r="I114" i="48"/>
  <c r="H114" i="48"/>
  <c r="V113" i="48"/>
  <c r="U113" i="48"/>
  <c r="T113" i="48"/>
  <c r="S113" i="48"/>
  <c r="R113" i="48"/>
  <c r="Q113" i="48"/>
  <c r="P113" i="48"/>
  <c r="O113" i="48"/>
  <c r="N113" i="48"/>
  <c r="M113" i="48"/>
  <c r="L113" i="48"/>
  <c r="K113" i="48"/>
  <c r="J113" i="48"/>
  <c r="I113" i="48"/>
  <c r="H113" i="48"/>
  <c r="V112" i="48"/>
  <c r="U112" i="48"/>
  <c r="T112" i="48"/>
  <c r="S112" i="48"/>
  <c r="R112" i="48"/>
  <c r="Q112" i="48"/>
  <c r="P112" i="48"/>
  <c r="O112" i="48"/>
  <c r="N112" i="48"/>
  <c r="M112" i="48"/>
  <c r="L112" i="48"/>
  <c r="K112" i="48"/>
  <c r="J112" i="48"/>
  <c r="I112" i="48"/>
  <c r="H112" i="48"/>
  <c r="U83" i="48"/>
  <c r="I83" i="48"/>
  <c r="S82" i="48"/>
  <c r="O82" i="48"/>
  <c r="K82" i="48"/>
  <c r="W81" i="48"/>
  <c r="X80" i="48"/>
  <c r="W80" i="48"/>
  <c r="W116" i="48" s="1"/>
  <c r="W79" i="48"/>
  <c r="X78" i="48"/>
  <c r="Y78" i="48" s="1"/>
  <c r="W78" i="48"/>
  <c r="W114" i="48" s="1"/>
  <c r="W77" i="48"/>
  <c r="W113" i="48" s="1"/>
  <c r="X76" i="48"/>
  <c r="W76" i="48"/>
  <c r="W112" i="48" s="1"/>
  <c r="U72" i="48"/>
  <c r="S72" i="48"/>
  <c r="Q72" i="48"/>
  <c r="I72" i="48"/>
  <c r="V71" i="48"/>
  <c r="V82" i="48" s="1"/>
  <c r="U71" i="48"/>
  <c r="U82" i="48" s="1"/>
  <c r="T71" i="48"/>
  <c r="S71" i="48"/>
  <c r="R71" i="48"/>
  <c r="R82" i="48" s="1"/>
  <c r="Q71" i="48"/>
  <c r="Q82" i="48" s="1"/>
  <c r="P71" i="48"/>
  <c r="O71" i="48"/>
  <c r="N71" i="48"/>
  <c r="N82" i="48" s="1"/>
  <c r="M71" i="48"/>
  <c r="M82" i="48" s="1"/>
  <c r="M83" i="48" s="1"/>
  <c r="L71" i="48"/>
  <c r="K71" i="48"/>
  <c r="J71" i="48"/>
  <c r="J82" i="48" s="1"/>
  <c r="I71" i="48"/>
  <c r="I82" i="48" s="1"/>
  <c r="H71" i="48"/>
  <c r="P70" i="48"/>
  <c r="O70" i="48"/>
  <c r="O149" i="48" s="1"/>
  <c r="P149" i="48" s="1"/>
  <c r="Q149" i="48" s="1"/>
  <c r="R149" i="48" s="1"/>
  <c r="S149" i="48" s="1"/>
  <c r="T149" i="48" s="1"/>
  <c r="U149" i="48" s="1"/>
  <c r="V149" i="48" s="1"/>
  <c r="W149" i="48" s="1"/>
  <c r="X149" i="48" s="1"/>
  <c r="Y149" i="48" s="1"/>
  <c r="Z149" i="48" s="1"/>
  <c r="AA149" i="48" s="1"/>
  <c r="AB149" i="48" s="1"/>
  <c r="AC149" i="48" s="1"/>
  <c r="N70" i="48"/>
  <c r="N149" i="48" s="1"/>
  <c r="M70" i="48"/>
  <c r="M149" i="48" s="1"/>
  <c r="L70" i="48"/>
  <c r="L149" i="48" s="1"/>
  <c r="K70" i="48"/>
  <c r="K149" i="48" s="1"/>
  <c r="J70" i="48"/>
  <c r="J149" i="48" s="1"/>
  <c r="I70" i="48"/>
  <c r="I149" i="48" s="1"/>
  <c r="H70" i="48"/>
  <c r="H149" i="48" s="1"/>
  <c r="U67" i="48"/>
  <c r="Q67" i="48"/>
  <c r="M67" i="48"/>
  <c r="I67" i="48"/>
  <c r="V66" i="48"/>
  <c r="V67" i="48" s="1"/>
  <c r="U66" i="48"/>
  <c r="T66" i="48"/>
  <c r="T67" i="48" s="1"/>
  <c r="S66" i="48"/>
  <c r="S67" i="48" s="1"/>
  <c r="R66" i="48"/>
  <c r="R67" i="48" s="1"/>
  <c r="Q66" i="48"/>
  <c r="P66" i="48"/>
  <c r="P67" i="48" s="1"/>
  <c r="O66" i="48"/>
  <c r="O67" i="48" s="1"/>
  <c r="N66" i="48"/>
  <c r="N67" i="48" s="1"/>
  <c r="M66" i="48"/>
  <c r="L66" i="48"/>
  <c r="L67" i="48" s="1"/>
  <c r="K66" i="48"/>
  <c r="K67" i="48" s="1"/>
  <c r="J66" i="48"/>
  <c r="J67" i="48" s="1"/>
  <c r="I66" i="48"/>
  <c r="H66" i="48"/>
  <c r="V64" i="48"/>
  <c r="R64" i="48"/>
  <c r="N64" i="48"/>
  <c r="J64" i="48"/>
  <c r="AA63" i="48"/>
  <c r="AB63" i="48" s="1"/>
  <c r="AC63" i="48" s="1"/>
  <c r="W63" i="48"/>
  <c r="X63" i="48" s="1"/>
  <c r="Y63" i="48" s="1"/>
  <c r="Z63" i="48" s="1"/>
  <c r="V63" i="48"/>
  <c r="U63" i="48"/>
  <c r="U64" i="48" s="1"/>
  <c r="T63" i="48"/>
  <c r="S63" i="48"/>
  <c r="R63" i="48"/>
  <c r="Q63" i="48"/>
  <c r="Q64" i="48" s="1"/>
  <c r="P63" i="48"/>
  <c r="O63" i="48"/>
  <c r="N63" i="48"/>
  <c r="M63" i="48"/>
  <c r="M64" i="48" s="1"/>
  <c r="L63" i="48"/>
  <c r="K63" i="48"/>
  <c r="J63" i="48"/>
  <c r="I63" i="48"/>
  <c r="I64" i="48" s="1"/>
  <c r="H63" i="48"/>
  <c r="H35" i="48"/>
  <c r="H32" i="48"/>
  <c r="U31" i="48"/>
  <c r="Q31" i="48"/>
  <c r="M31" i="48"/>
  <c r="I31" i="48"/>
  <c r="X11" i="48"/>
  <c r="X31" i="48" s="1"/>
  <c r="W11" i="48"/>
  <c r="W31" i="48" s="1"/>
  <c r="V11" i="48"/>
  <c r="U11" i="48"/>
  <c r="T11" i="48"/>
  <c r="T31" i="48" s="1"/>
  <c r="S11" i="48"/>
  <c r="R11" i="48"/>
  <c r="Q11" i="48"/>
  <c r="P11" i="48"/>
  <c r="P31" i="48" s="1"/>
  <c r="O11" i="48"/>
  <c r="O31" i="48" s="1"/>
  <c r="N11" i="48"/>
  <c r="N31" i="48" s="1"/>
  <c r="M11" i="48"/>
  <c r="L11" i="48"/>
  <c r="L31" i="48" s="1"/>
  <c r="K11" i="48"/>
  <c r="K31" i="48" s="1"/>
  <c r="J11" i="48"/>
  <c r="I11" i="48"/>
  <c r="H11" i="48"/>
  <c r="T9" i="48"/>
  <c r="T74" i="48" s="1"/>
  <c r="T110" i="48" s="1"/>
  <c r="T147" i="48" s="1"/>
  <c r="S9" i="48"/>
  <c r="R9" i="48" s="1"/>
  <c r="S3" i="73"/>
  <c r="S9" i="73" s="1"/>
  <c r="R3" i="73"/>
  <c r="R9" i="73" s="1"/>
  <c r="Q3" i="73"/>
  <c r="Q9" i="73" s="1"/>
  <c r="P3" i="73"/>
  <c r="P9" i="73" s="1"/>
  <c r="O3" i="73"/>
  <c r="O9" i="73" s="1"/>
  <c r="N3" i="73"/>
  <c r="N9" i="73" s="1"/>
  <c r="M3" i="73"/>
  <c r="M9" i="73" s="1"/>
  <c r="L3" i="73"/>
  <c r="L9" i="73" s="1"/>
  <c r="K3" i="73"/>
  <c r="K9" i="73" s="1"/>
  <c r="J3" i="73"/>
  <c r="J9" i="73" s="1"/>
  <c r="I3" i="73"/>
  <c r="I9" i="73" s="1"/>
  <c r="F174" i="16"/>
  <c r="F173" i="16"/>
  <c r="AH173" i="16" s="1"/>
  <c r="F172" i="16"/>
  <c r="D174" i="16"/>
  <c r="D173" i="16"/>
  <c r="D172" i="16"/>
  <c r="AB174" i="16"/>
  <c r="AB173" i="16"/>
  <c r="AB172" i="16"/>
  <c r="V174" i="16"/>
  <c r="V173" i="16"/>
  <c r="X173" i="16" s="1"/>
  <c r="V172" i="16"/>
  <c r="P173" i="16"/>
  <c r="H174" i="16"/>
  <c r="AD174" i="16" s="1"/>
  <c r="H173" i="16"/>
  <c r="AD173" i="16" s="1"/>
  <c r="H172" i="16"/>
  <c r="J173" i="16" s="1"/>
  <c r="AM173" i="16"/>
  <c r="AM172" i="16"/>
  <c r="T173" i="16"/>
  <c r="F167" i="16"/>
  <c r="AH167" i="16" s="1"/>
  <c r="F166" i="16"/>
  <c r="F165" i="16"/>
  <c r="D168" i="16"/>
  <c r="D167" i="16"/>
  <c r="L174" i="16" s="1"/>
  <c r="D166" i="16"/>
  <c r="D165" i="16"/>
  <c r="AD167" i="16"/>
  <c r="AB168" i="16"/>
  <c r="AB167" i="16"/>
  <c r="AB166" i="16"/>
  <c r="AB165" i="16"/>
  <c r="V167" i="16"/>
  <c r="X167" i="16" s="1"/>
  <c r="V166" i="16"/>
  <c r="V165" i="16"/>
  <c r="P167" i="16"/>
  <c r="N167" i="16"/>
  <c r="H168" i="16"/>
  <c r="J172" i="16" s="1"/>
  <c r="H167" i="16"/>
  <c r="H166" i="16"/>
  <c r="J167" i="16" s="1"/>
  <c r="AK167" i="16" s="1"/>
  <c r="H165" i="16"/>
  <c r="AM165" i="16" s="1"/>
  <c r="AM166" i="16"/>
  <c r="T166" i="16"/>
  <c r="D161" i="16"/>
  <c r="L168" i="16" s="1"/>
  <c r="AO167" i="16" s="1"/>
  <c r="D160" i="16"/>
  <c r="D159" i="16"/>
  <c r="D158" i="16"/>
  <c r="AF161" i="16"/>
  <c r="AD161" i="16"/>
  <c r="AB161" i="16"/>
  <c r="AB160" i="16"/>
  <c r="AB159" i="16"/>
  <c r="AB158" i="16"/>
  <c r="V160" i="16"/>
  <c r="V159" i="16"/>
  <c r="V158" i="16"/>
  <c r="P161" i="16"/>
  <c r="N161" i="16"/>
  <c r="H161" i="16"/>
  <c r="H160" i="16"/>
  <c r="J161" i="16" s="1"/>
  <c r="H159" i="16"/>
  <c r="H158" i="16"/>
  <c r="F154" i="16"/>
  <c r="F153" i="16"/>
  <c r="F152" i="16"/>
  <c r="D154" i="16"/>
  <c r="L161" i="16" s="1"/>
  <c r="D153" i="16"/>
  <c r="D152" i="16"/>
  <c r="L159" i="16" s="1"/>
  <c r="D151" i="16"/>
  <c r="AB154" i="16"/>
  <c r="AB153" i="16"/>
  <c r="AB152" i="16"/>
  <c r="AB151" i="16"/>
  <c r="V153" i="16"/>
  <c r="V152" i="16"/>
  <c r="V151" i="16"/>
  <c r="H154" i="16"/>
  <c r="AD154" i="16" s="1"/>
  <c r="H153" i="16"/>
  <c r="AM153" i="16" s="1"/>
  <c r="H152" i="16"/>
  <c r="J153" i="16" s="1"/>
  <c r="H151" i="16"/>
  <c r="J151" i="16" s="1"/>
  <c r="T153" i="16"/>
  <c r="F147" i="16"/>
  <c r="T146" i="16" s="1"/>
  <c r="F146" i="16"/>
  <c r="F145" i="16"/>
  <c r="F144" i="16"/>
  <c r="D147" i="16"/>
  <c r="D146" i="16"/>
  <c r="L153" i="16" s="1"/>
  <c r="D145" i="16"/>
  <c r="D144" i="16"/>
  <c r="L151" i="16" s="1"/>
  <c r="AB147" i="16"/>
  <c r="AB146" i="16"/>
  <c r="AB145" i="16"/>
  <c r="AB144" i="16"/>
  <c r="V146" i="16"/>
  <c r="V145" i="16"/>
  <c r="V144" i="16"/>
  <c r="H147" i="16"/>
  <c r="AD147" i="16" s="1"/>
  <c r="H146" i="16"/>
  <c r="H145" i="16"/>
  <c r="AM145" i="16" s="1"/>
  <c r="H144" i="16"/>
  <c r="J144" i="16" s="1"/>
  <c r="AM144" i="16"/>
  <c r="F140" i="16"/>
  <c r="F139" i="16"/>
  <c r="T138" i="16" s="1"/>
  <c r="F138" i="16"/>
  <c r="F137" i="16"/>
  <c r="D140" i="16"/>
  <c r="D139" i="16"/>
  <c r="L146" i="16" s="1"/>
  <c r="D138" i="16"/>
  <c r="D137" i="16"/>
  <c r="AB140" i="16"/>
  <c r="AB139" i="16"/>
  <c r="AB138" i="16"/>
  <c r="AB137" i="16"/>
  <c r="V139" i="16"/>
  <c r="V138" i="16"/>
  <c r="V137" i="16"/>
  <c r="P140" i="16"/>
  <c r="P139" i="16"/>
  <c r="H140" i="16"/>
  <c r="AD140" i="16" s="1"/>
  <c r="H139" i="16"/>
  <c r="X139" i="16" s="1"/>
  <c r="H138" i="16"/>
  <c r="J139" i="16" s="1"/>
  <c r="H137" i="16"/>
  <c r="J138" i="16" s="1"/>
  <c r="AK138" i="16" s="1"/>
  <c r="AM139" i="16"/>
  <c r="AM137" i="16"/>
  <c r="F133" i="16"/>
  <c r="F132" i="16"/>
  <c r="AH132" i="16" s="1"/>
  <c r="F131" i="16"/>
  <c r="F130" i="16"/>
  <c r="D133" i="16"/>
  <c r="D132" i="16"/>
  <c r="L139" i="16" s="1"/>
  <c r="D131" i="16"/>
  <c r="D130" i="16"/>
  <c r="AB132" i="16"/>
  <c r="AB131" i="16"/>
  <c r="AB130" i="16"/>
  <c r="H133" i="16"/>
  <c r="J137" i="16" s="1"/>
  <c r="H132" i="16"/>
  <c r="J133" i="16" s="1"/>
  <c r="H131" i="16"/>
  <c r="J132" i="16" s="1"/>
  <c r="AK132" i="16" s="1"/>
  <c r="H130" i="16"/>
  <c r="J131" i="16" s="1"/>
  <c r="F126" i="16"/>
  <c r="F125" i="16"/>
  <c r="AM124" i="16" s="1"/>
  <c r="F124" i="16"/>
  <c r="T123" i="16" s="1"/>
  <c r="F123" i="16"/>
  <c r="D126" i="16"/>
  <c r="D125" i="16"/>
  <c r="D124" i="16"/>
  <c r="D123" i="16"/>
  <c r="AB125" i="16"/>
  <c r="AB124" i="16"/>
  <c r="AB123" i="16"/>
  <c r="H126" i="16"/>
  <c r="H125" i="16"/>
  <c r="AM125" i="16" s="1"/>
  <c r="H124" i="16"/>
  <c r="J125" i="16" s="1"/>
  <c r="H123" i="16"/>
  <c r="AM123" i="16" s="1"/>
  <c r="F119" i="16"/>
  <c r="T118" i="16" s="1"/>
  <c r="F118" i="16"/>
  <c r="F117" i="16"/>
  <c r="F116" i="16"/>
  <c r="D119" i="16"/>
  <c r="D118" i="16"/>
  <c r="D117" i="16"/>
  <c r="D116" i="16"/>
  <c r="D120" i="16" s="1"/>
  <c r="AB118" i="16"/>
  <c r="AB117" i="16"/>
  <c r="AB116" i="16"/>
  <c r="H119" i="16"/>
  <c r="H118" i="16"/>
  <c r="AM118" i="16" s="1"/>
  <c r="H117" i="16"/>
  <c r="AM117" i="16" s="1"/>
  <c r="H116" i="16"/>
  <c r="J116" i="16" s="1"/>
  <c r="F112" i="16"/>
  <c r="AM111" i="16" s="1"/>
  <c r="F111" i="16"/>
  <c r="F110" i="16"/>
  <c r="T109" i="16" s="1"/>
  <c r="F109" i="16"/>
  <c r="D112" i="16"/>
  <c r="D111" i="16"/>
  <c r="L118" i="16" s="1"/>
  <c r="D110" i="16"/>
  <c r="D109" i="16"/>
  <c r="AB111" i="16"/>
  <c r="AB110" i="16"/>
  <c r="AB109" i="16"/>
  <c r="H112" i="16"/>
  <c r="H111" i="16"/>
  <c r="J112" i="16" s="1"/>
  <c r="H110" i="16"/>
  <c r="J111" i="16" s="1"/>
  <c r="H109" i="16"/>
  <c r="AM109" i="16" s="1"/>
  <c r="AM110" i="16"/>
  <c r="J104" i="16"/>
  <c r="F105" i="16"/>
  <c r="F104" i="16"/>
  <c r="AH104" i="16" s="1"/>
  <c r="F103" i="16"/>
  <c r="F102" i="16"/>
  <c r="D105" i="16"/>
  <c r="D104" i="16"/>
  <c r="L111" i="16" s="1"/>
  <c r="D103" i="16"/>
  <c r="D102" i="16"/>
  <c r="AK104" i="16"/>
  <c r="AD104" i="16"/>
  <c r="AB104" i="16"/>
  <c r="AB103" i="16"/>
  <c r="AD103" i="16" s="1"/>
  <c r="AB102" i="16"/>
  <c r="X103" i="16"/>
  <c r="T105" i="16"/>
  <c r="H105" i="16"/>
  <c r="H104" i="16"/>
  <c r="P104" i="16" s="1"/>
  <c r="H103" i="16"/>
  <c r="AM103" i="16" s="1"/>
  <c r="H102" i="16"/>
  <c r="AM104" i="16"/>
  <c r="F98" i="16"/>
  <c r="F97" i="16"/>
  <c r="F96" i="16"/>
  <c r="AM95" i="16" s="1"/>
  <c r="F95" i="16"/>
  <c r="AH95" i="16" s="1"/>
  <c r="D97" i="16"/>
  <c r="L104" i="16" s="1"/>
  <c r="D96" i="16"/>
  <c r="D95" i="16"/>
  <c r="AB97" i="16"/>
  <c r="AB96" i="16"/>
  <c r="H98" i="16"/>
  <c r="H97" i="16"/>
  <c r="AD97" i="16" s="1"/>
  <c r="H96" i="16"/>
  <c r="H95" i="16"/>
  <c r="J95" i="16" s="1"/>
  <c r="AM96" i="16"/>
  <c r="F91" i="16"/>
  <c r="AH91" i="16" s="1"/>
  <c r="F90" i="16"/>
  <c r="T89" i="16" s="1"/>
  <c r="F89" i="16"/>
  <c r="F88" i="16"/>
  <c r="D91" i="16"/>
  <c r="D90" i="16"/>
  <c r="D89" i="16"/>
  <c r="D88" i="16"/>
  <c r="H91" i="16"/>
  <c r="H90" i="16"/>
  <c r="J91" i="16" s="1"/>
  <c r="H89" i="16"/>
  <c r="J90" i="16" s="1"/>
  <c r="AK90" i="16" s="1"/>
  <c r="H88" i="16"/>
  <c r="AM90" i="16"/>
  <c r="AM89" i="16"/>
  <c r="F84" i="16"/>
  <c r="F83" i="16"/>
  <c r="F82" i="16"/>
  <c r="F81" i="16"/>
  <c r="D84" i="16"/>
  <c r="D83" i="16"/>
  <c r="D82" i="16"/>
  <c r="D81" i="16"/>
  <c r="L88" i="16" s="1"/>
  <c r="AB83" i="16"/>
  <c r="AB82" i="16"/>
  <c r="AB81" i="16"/>
  <c r="V83" i="16"/>
  <c r="V82" i="16"/>
  <c r="V81" i="16"/>
  <c r="H84" i="16"/>
  <c r="H83" i="16"/>
  <c r="H82" i="16"/>
  <c r="AM82" i="16" s="1"/>
  <c r="H81" i="16"/>
  <c r="AM81" i="16"/>
  <c r="F77" i="16"/>
  <c r="F76" i="16"/>
  <c r="F75" i="16"/>
  <c r="F74" i="16"/>
  <c r="D77" i="16"/>
  <c r="D76" i="16"/>
  <c r="L83" i="16" s="1"/>
  <c r="D75" i="16"/>
  <c r="D74" i="16"/>
  <c r="AB77" i="16"/>
  <c r="AB76" i="16"/>
  <c r="AB75" i="16"/>
  <c r="AB74" i="16"/>
  <c r="V76" i="16"/>
  <c r="H77" i="16"/>
  <c r="T77" i="16" s="1"/>
  <c r="H76" i="16"/>
  <c r="H75" i="16"/>
  <c r="J76" i="16" s="1"/>
  <c r="H74" i="16"/>
  <c r="AM74" i="16" s="1"/>
  <c r="AM76" i="16"/>
  <c r="F70" i="16"/>
  <c r="F69" i="16"/>
  <c r="AM68" i="16" s="1"/>
  <c r="F68" i="16"/>
  <c r="F67" i="16"/>
  <c r="D70" i="16"/>
  <c r="D69" i="16"/>
  <c r="D68" i="16"/>
  <c r="D67" i="16"/>
  <c r="AB69" i="16"/>
  <c r="AB68" i="16"/>
  <c r="AB67" i="16"/>
  <c r="V69" i="16"/>
  <c r="V68" i="16"/>
  <c r="V67" i="16"/>
  <c r="H70" i="16"/>
  <c r="H69" i="16"/>
  <c r="AD69" i="16" s="1"/>
  <c r="H68" i="16"/>
  <c r="J69" i="16" s="1"/>
  <c r="H67" i="16"/>
  <c r="F63" i="16"/>
  <c r="F62" i="16"/>
  <c r="AH62" i="16" s="1"/>
  <c r="F61" i="16"/>
  <c r="AH61" i="16" s="1"/>
  <c r="F60" i="16"/>
  <c r="D63" i="16"/>
  <c r="D62" i="16"/>
  <c r="D61" i="16"/>
  <c r="D60" i="16"/>
  <c r="AB63" i="16"/>
  <c r="AB62" i="16"/>
  <c r="AB61" i="16"/>
  <c r="AB60" i="16"/>
  <c r="V62" i="16"/>
  <c r="V61" i="16"/>
  <c r="V60" i="16"/>
  <c r="H63" i="16"/>
  <c r="AM63" i="16" s="1"/>
  <c r="H62" i="16"/>
  <c r="AM62" i="16" s="1"/>
  <c r="H61" i="16"/>
  <c r="J62" i="16" s="1"/>
  <c r="AK62" i="16" s="1"/>
  <c r="H60" i="16"/>
  <c r="J61" i="16" s="1"/>
  <c r="AK61" i="16" s="1"/>
  <c r="F56" i="16"/>
  <c r="F55" i="16"/>
  <c r="T54" i="16" s="1"/>
  <c r="F54" i="16"/>
  <c r="AH54" i="16" s="1"/>
  <c r="F53" i="16"/>
  <c r="D56" i="16"/>
  <c r="D55" i="16"/>
  <c r="D54" i="16"/>
  <c r="D53" i="16"/>
  <c r="AM54" i="16"/>
  <c r="AB56" i="16"/>
  <c r="AB55" i="16"/>
  <c r="AB54" i="16"/>
  <c r="AB53" i="16"/>
  <c r="V55" i="16"/>
  <c r="V54" i="16"/>
  <c r="V53" i="16"/>
  <c r="H56" i="16"/>
  <c r="AD56" i="16" s="1"/>
  <c r="H55" i="16"/>
  <c r="H54" i="16"/>
  <c r="J55" i="16" s="1"/>
  <c r="AK55" i="16" s="1"/>
  <c r="H53" i="16"/>
  <c r="J54" i="16" s="1"/>
  <c r="AK54" i="16" s="1"/>
  <c r="F49" i="16"/>
  <c r="F48" i="16"/>
  <c r="F47" i="16"/>
  <c r="F46" i="16"/>
  <c r="D49" i="16"/>
  <c r="D48" i="16"/>
  <c r="D47" i="16"/>
  <c r="D46" i="16"/>
  <c r="AB49" i="16"/>
  <c r="AB48" i="16"/>
  <c r="AB47" i="16"/>
  <c r="AB46" i="16"/>
  <c r="V48" i="16"/>
  <c r="V47" i="16"/>
  <c r="V46" i="16"/>
  <c r="H49" i="16"/>
  <c r="AD49" i="16" s="1"/>
  <c r="H48" i="16"/>
  <c r="J49" i="16" s="1"/>
  <c r="H47" i="16"/>
  <c r="AD47" i="16" s="1"/>
  <c r="H46" i="16"/>
  <c r="J47" i="16" s="1"/>
  <c r="F42" i="16"/>
  <c r="F41" i="16"/>
  <c r="R41" i="16" s="1"/>
  <c r="F40" i="16"/>
  <c r="F39" i="16"/>
  <c r="D42" i="16"/>
  <c r="D41" i="16"/>
  <c r="D40" i="16"/>
  <c r="D39" i="16"/>
  <c r="AB41" i="16"/>
  <c r="AB40" i="16"/>
  <c r="AB39" i="16"/>
  <c r="V41" i="16"/>
  <c r="V40" i="16"/>
  <c r="V39" i="16"/>
  <c r="H42" i="16"/>
  <c r="H41" i="16"/>
  <c r="J42" i="16" s="1"/>
  <c r="H40" i="16"/>
  <c r="J41" i="16" s="1"/>
  <c r="H39" i="16"/>
  <c r="J39" i="16" s="1"/>
  <c r="F35" i="16"/>
  <c r="F34" i="16"/>
  <c r="R34" i="16" s="1"/>
  <c r="F33" i="16"/>
  <c r="F32" i="16"/>
  <c r="D35" i="16"/>
  <c r="D34" i="16"/>
  <c r="D33" i="16"/>
  <c r="D32" i="16"/>
  <c r="AB35" i="16"/>
  <c r="AB34" i="16"/>
  <c r="AB33" i="16"/>
  <c r="AB32" i="16"/>
  <c r="V35" i="16"/>
  <c r="V34" i="16"/>
  <c r="V33" i="16"/>
  <c r="V32" i="16"/>
  <c r="H35" i="16"/>
  <c r="AD35" i="16" s="1"/>
  <c r="H34" i="16"/>
  <c r="J35" i="16" s="1"/>
  <c r="H33" i="16"/>
  <c r="J34" i="16" s="1"/>
  <c r="H32" i="16"/>
  <c r="J33" i="16" s="1"/>
  <c r="F28" i="16"/>
  <c r="F27" i="16"/>
  <c r="R27" i="16" s="1"/>
  <c r="F26" i="16"/>
  <c r="F25" i="16"/>
  <c r="D28" i="16"/>
  <c r="D27" i="16"/>
  <c r="D26" i="16"/>
  <c r="D25" i="16"/>
  <c r="AB28" i="16"/>
  <c r="AB27" i="16"/>
  <c r="AB26" i="16"/>
  <c r="AB25" i="16"/>
  <c r="V28" i="16"/>
  <c r="V27" i="16"/>
  <c r="V26" i="16"/>
  <c r="V25" i="16"/>
  <c r="H28" i="16"/>
  <c r="J28" i="16" s="1"/>
  <c r="R28" i="16" s="1"/>
  <c r="H27" i="16"/>
  <c r="AD27" i="16" s="1"/>
  <c r="H26" i="16"/>
  <c r="J27" i="16" s="1"/>
  <c r="H25" i="16"/>
  <c r="J26" i="16" s="1"/>
  <c r="F21" i="16"/>
  <c r="R21" i="16" s="1"/>
  <c r="F20" i="16"/>
  <c r="F19" i="16"/>
  <c r="F18" i="16"/>
  <c r="D21" i="16"/>
  <c r="D20" i="16"/>
  <c r="D19" i="16"/>
  <c r="L19" i="16" s="1"/>
  <c r="D18" i="16"/>
  <c r="B17" i="16"/>
  <c r="B24" i="16" s="1"/>
  <c r="B31" i="16" s="1"/>
  <c r="B38" i="16" s="1"/>
  <c r="B45" i="16" s="1"/>
  <c r="B52" i="16" s="1"/>
  <c r="B59" i="16" s="1"/>
  <c r="AB21" i="16"/>
  <c r="AB20" i="16"/>
  <c r="AB19" i="16"/>
  <c r="AB18" i="16"/>
  <c r="V21" i="16"/>
  <c r="V20" i="16"/>
  <c r="V19" i="16"/>
  <c r="V18" i="16"/>
  <c r="H21" i="16"/>
  <c r="AD21" i="16" s="1"/>
  <c r="H20" i="16"/>
  <c r="J21" i="16" s="1"/>
  <c r="H19" i="16"/>
  <c r="AD19" i="16" s="1"/>
  <c r="H18" i="16"/>
  <c r="J19" i="16" s="1"/>
  <c r="F14" i="16"/>
  <c r="F13" i="16"/>
  <c r="F12" i="16"/>
  <c r="F11" i="16"/>
  <c r="D14" i="16"/>
  <c r="D13" i="16"/>
  <c r="D12" i="16"/>
  <c r="D11" i="16"/>
  <c r="B15" i="16"/>
  <c r="B64" i="16" s="1"/>
  <c r="B14" i="16"/>
  <c r="B63" i="16" s="1"/>
  <c r="B13" i="16"/>
  <c r="B62" i="16" s="1"/>
  <c r="B12" i="16"/>
  <c r="B11" i="16"/>
  <c r="B60" i="16" s="1"/>
  <c r="AB14" i="16"/>
  <c r="AB13" i="16"/>
  <c r="AB12" i="16"/>
  <c r="AB11" i="16"/>
  <c r="V14" i="16"/>
  <c r="V13" i="16"/>
  <c r="V12" i="16"/>
  <c r="V11" i="16"/>
  <c r="H14" i="16"/>
  <c r="AD14" i="16" s="1"/>
  <c r="H13" i="16"/>
  <c r="AD13" i="16" s="1"/>
  <c r="H12" i="16"/>
  <c r="J13" i="16" s="1"/>
  <c r="H11" i="16"/>
  <c r="AD11" i="16" s="1"/>
  <c r="A14" i="16"/>
  <c r="A56" i="16" s="1"/>
  <c r="A13" i="16"/>
  <c r="A55" i="16" s="1"/>
  <c r="A12" i="16"/>
  <c r="A11" i="16"/>
  <c r="A53" i="16" s="1"/>
  <c r="D31" i="15"/>
  <c r="D30" i="15"/>
  <c r="D29" i="15"/>
  <c r="D28" i="15"/>
  <c r="AH31" i="15"/>
  <c r="AI31" i="15" s="1"/>
  <c r="AH30" i="15"/>
  <c r="V30" i="15"/>
  <c r="R30" i="15"/>
  <c r="R29" i="15"/>
  <c r="N30" i="15"/>
  <c r="N29" i="15"/>
  <c r="N28" i="15"/>
  <c r="Z31" i="15"/>
  <c r="AA31" i="15" s="1"/>
  <c r="AA30" i="15"/>
  <c r="Z30" i="15"/>
  <c r="Z29" i="15"/>
  <c r="AA29" i="15" s="1"/>
  <c r="CP30" i="15"/>
  <c r="CQ30" i="15" s="1"/>
  <c r="CP29" i="15"/>
  <c r="CQ29" i="15" s="1"/>
  <c r="CQ28" i="15"/>
  <c r="CP28" i="15"/>
  <c r="CL31" i="15"/>
  <c r="CM31" i="15" s="1"/>
  <c r="CL30" i="15"/>
  <c r="CM30" i="15" s="1"/>
  <c r="CL29" i="15"/>
  <c r="CM29" i="15" s="1"/>
  <c r="CM28" i="15"/>
  <c r="CL28" i="15"/>
  <c r="CH31" i="15"/>
  <c r="CI31" i="15" s="1"/>
  <c r="CH30" i="15"/>
  <c r="CI30" i="15" s="1"/>
  <c r="CH29" i="15"/>
  <c r="CI29" i="15" s="1"/>
  <c r="CI28" i="15"/>
  <c r="CH28" i="15"/>
  <c r="CD31" i="15"/>
  <c r="CE31" i="15" s="1"/>
  <c r="CD30" i="15"/>
  <c r="CE30" i="15" s="1"/>
  <c r="CD29" i="15"/>
  <c r="CE29" i="15" s="1"/>
  <c r="CE28" i="15"/>
  <c r="CD28" i="15"/>
  <c r="BZ31" i="15"/>
  <c r="CA31" i="15" s="1"/>
  <c r="BZ30" i="15"/>
  <c r="CA30" i="15" s="1"/>
  <c r="BZ29" i="15"/>
  <c r="CA29" i="15" s="1"/>
  <c r="CA28" i="15"/>
  <c r="BZ28" i="15"/>
  <c r="BV31" i="15"/>
  <c r="BW31" i="15" s="1"/>
  <c r="BV30" i="15"/>
  <c r="BW30" i="15" s="1"/>
  <c r="BV29" i="15"/>
  <c r="BW29" i="15" s="1"/>
  <c r="BW28" i="15"/>
  <c r="BV28" i="15"/>
  <c r="BR31" i="15"/>
  <c r="BS31" i="15" s="1"/>
  <c r="BR30" i="15"/>
  <c r="BS30" i="15" s="1"/>
  <c r="BR29" i="15"/>
  <c r="BS29" i="15" s="1"/>
  <c r="BS28" i="15"/>
  <c r="BR28" i="15"/>
  <c r="BN31" i="15"/>
  <c r="BO31" i="15" s="1"/>
  <c r="BN30" i="15"/>
  <c r="BO30" i="15" s="1"/>
  <c r="BN29" i="15"/>
  <c r="BO29" i="15" s="1"/>
  <c r="BO28" i="15"/>
  <c r="BN28" i="15"/>
  <c r="BJ31" i="15"/>
  <c r="BK31" i="15" s="1"/>
  <c r="BJ30" i="15"/>
  <c r="BK30" i="15" s="1"/>
  <c r="BJ29" i="15"/>
  <c r="BK29" i="15" s="1"/>
  <c r="BK28" i="15"/>
  <c r="BJ28" i="15"/>
  <c r="BF31" i="15"/>
  <c r="BG31" i="15" s="1"/>
  <c r="BF30" i="15"/>
  <c r="BG30" i="15" s="1"/>
  <c r="BF29" i="15"/>
  <c r="BG29" i="15" s="1"/>
  <c r="BG28" i="15"/>
  <c r="BF28" i="15"/>
  <c r="BB31" i="15"/>
  <c r="BC31" i="15" s="1"/>
  <c r="BB30" i="15"/>
  <c r="BC30" i="15" s="1"/>
  <c r="BB29" i="15"/>
  <c r="BC29" i="15" s="1"/>
  <c r="BC28" i="15"/>
  <c r="BB28" i="15"/>
  <c r="AX31" i="15"/>
  <c r="AY31" i="15" s="1"/>
  <c r="AX30" i="15"/>
  <c r="AY30" i="15" s="1"/>
  <c r="AX29" i="15"/>
  <c r="AY29" i="15" s="1"/>
  <c r="AY28" i="15"/>
  <c r="AX28" i="15"/>
  <c r="AT31" i="15"/>
  <c r="AU31" i="15" s="1"/>
  <c r="AT30" i="15"/>
  <c r="AU30" i="15" s="1"/>
  <c r="AT29" i="15"/>
  <c r="AU29" i="15" s="1"/>
  <c r="AU28" i="15"/>
  <c r="AT28" i="15"/>
  <c r="AP31" i="15"/>
  <c r="AQ31" i="15" s="1"/>
  <c r="AP30" i="15"/>
  <c r="AQ30" i="15" s="1"/>
  <c r="AP29" i="15"/>
  <c r="AQ29" i="15" s="1"/>
  <c r="AQ28" i="15"/>
  <c r="AP28" i="15"/>
  <c r="AL31" i="15"/>
  <c r="AM31" i="15" s="1"/>
  <c r="AL30" i="15"/>
  <c r="AM30" i="15" s="1"/>
  <c r="AL29" i="15"/>
  <c r="AM29" i="15" s="1"/>
  <c r="AM28" i="15"/>
  <c r="AL28" i="15"/>
  <c r="AH28" i="15"/>
  <c r="AI28" i="15" s="1"/>
  <c r="AE31" i="15"/>
  <c r="AD31" i="15"/>
  <c r="AD30" i="15"/>
  <c r="AE30" i="15" s="1"/>
  <c r="AD29" i="15"/>
  <c r="AE29" i="15" s="1"/>
  <c r="AD28" i="15"/>
  <c r="AE28" i="15" s="1"/>
  <c r="AA28" i="15"/>
  <c r="W31" i="15"/>
  <c r="W30" i="15"/>
  <c r="W29" i="15"/>
  <c r="W28" i="15"/>
  <c r="V28" i="15"/>
  <c r="S31" i="15"/>
  <c r="S30" i="15"/>
  <c r="S29" i="15"/>
  <c r="S28" i="15"/>
  <c r="O29" i="15"/>
  <c r="J31" i="15"/>
  <c r="O31" i="15" s="1"/>
  <c r="J30" i="15"/>
  <c r="O30" i="15" s="1"/>
  <c r="J29" i="15"/>
  <c r="K29" i="15" s="1"/>
  <c r="K28" i="15"/>
  <c r="J28" i="15"/>
  <c r="O28" i="15" s="1"/>
  <c r="F31" i="15"/>
  <c r="G31" i="15" s="1"/>
  <c r="F30" i="15"/>
  <c r="G30" i="15" s="1"/>
  <c r="F29" i="15"/>
  <c r="G29" i="15" s="1"/>
  <c r="G28" i="15"/>
  <c r="F28" i="15"/>
  <c r="F25" i="15"/>
  <c r="G25" i="15" s="1"/>
  <c r="BJ24" i="15"/>
  <c r="BJ23" i="15"/>
  <c r="AT23" i="15"/>
  <c r="AT22" i="15"/>
  <c r="CQ24" i="15"/>
  <c r="CQ23" i="15"/>
  <c r="CQ22" i="15"/>
  <c r="CM25" i="15"/>
  <c r="CM24" i="15"/>
  <c r="CM23" i="15"/>
  <c r="CM22" i="15"/>
  <c r="CI25" i="15"/>
  <c r="CI24" i="15"/>
  <c r="CI23" i="15"/>
  <c r="CI22" i="15"/>
  <c r="CE25" i="15"/>
  <c r="CE24" i="15"/>
  <c r="CE23" i="15"/>
  <c r="CE22" i="15"/>
  <c r="CA25" i="15"/>
  <c r="CA24" i="15"/>
  <c r="CA23" i="15"/>
  <c r="CA22" i="15"/>
  <c r="BW25" i="15"/>
  <c r="BW24" i="15"/>
  <c r="BW23" i="15"/>
  <c r="BW22" i="15"/>
  <c r="BS25" i="15"/>
  <c r="BS24" i="15"/>
  <c r="BS23" i="15"/>
  <c r="BS22" i="15"/>
  <c r="BO25" i="15"/>
  <c r="BO24" i="15"/>
  <c r="BO23" i="15"/>
  <c r="BO22" i="15"/>
  <c r="BK25" i="15"/>
  <c r="BK24" i="15"/>
  <c r="BK23" i="15"/>
  <c r="BK22" i="15"/>
  <c r="BG25" i="15"/>
  <c r="BG24" i="15"/>
  <c r="BG23" i="15"/>
  <c r="BG22" i="15"/>
  <c r="BC25" i="15"/>
  <c r="BC24" i="15"/>
  <c r="BC23" i="15"/>
  <c r="BC22" i="15"/>
  <c r="AY25" i="15"/>
  <c r="AY24" i="15"/>
  <c r="AY23" i="15"/>
  <c r="AY22" i="15"/>
  <c r="AU25" i="15"/>
  <c r="AU24" i="15"/>
  <c r="AU23" i="15"/>
  <c r="AU22" i="15"/>
  <c r="AQ25" i="15"/>
  <c r="AQ24" i="15"/>
  <c r="AQ23" i="15"/>
  <c r="AQ22" i="15"/>
  <c r="AM25" i="15"/>
  <c r="AM24" i="15"/>
  <c r="AM23" i="15"/>
  <c r="AM22" i="15"/>
  <c r="AI25" i="15"/>
  <c r="AI24" i="15"/>
  <c r="AI23" i="15"/>
  <c r="AI22" i="15"/>
  <c r="AE25" i="15"/>
  <c r="AE24" i="15"/>
  <c r="AE23" i="15"/>
  <c r="AE22" i="15"/>
  <c r="AA25" i="15"/>
  <c r="AA24" i="15"/>
  <c r="AA23" i="15"/>
  <c r="AA22" i="15"/>
  <c r="W25" i="15"/>
  <c r="W24" i="15"/>
  <c r="W23" i="15"/>
  <c r="W22" i="15"/>
  <c r="S25" i="15"/>
  <c r="S24" i="15"/>
  <c r="S23" i="15"/>
  <c r="S22" i="15"/>
  <c r="O25" i="15"/>
  <c r="O24" i="15"/>
  <c r="O23" i="15"/>
  <c r="O22" i="15"/>
  <c r="K25" i="15"/>
  <c r="K24" i="15"/>
  <c r="K23" i="15"/>
  <c r="K22" i="15"/>
  <c r="G24" i="15"/>
  <c r="G23" i="15"/>
  <c r="G22" i="15"/>
  <c r="D19" i="15"/>
  <c r="D37" i="15" s="1"/>
  <c r="D18" i="15"/>
  <c r="D36" i="15" s="1"/>
  <c r="D17" i="15"/>
  <c r="D35" i="15" s="1"/>
  <c r="D16" i="15"/>
  <c r="D34" i="15" s="1"/>
  <c r="CP18" i="15"/>
  <c r="CP36" i="15" s="1"/>
  <c r="CP17" i="15"/>
  <c r="CQ16" i="15"/>
  <c r="CP16" i="15"/>
  <c r="CP34" i="15" s="1"/>
  <c r="CL19" i="15"/>
  <c r="CL37" i="15" s="1"/>
  <c r="CL18" i="15"/>
  <c r="CL36" i="15" s="1"/>
  <c r="CL17" i="15"/>
  <c r="CM16" i="15"/>
  <c r="CL16" i="15"/>
  <c r="CL34" i="15" s="1"/>
  <c r="CH19" i="15"/>
  <c r="CH37" i="15" s="1"/>
  <c r="CH18" i="15"/>
  <c r="CH36" i="15" s="1"/>
  <c r="CH17" i="15"/>
  <c r="CI16" i="15"/>
  <c r="CH16" i="15"/>
  <c r="CH34" i="15" s="1"/>
  <c r="CD19" i="15"/>
  <c r="CD37" i="15" s="1"/>
  <c r="CD18" i="15"/>
  <c r="CD36" i="15" s="1"/>
  <c r="CD17" i="15"/>
  <c r="CE16" i="15"/>
  <c r="CD16" i="15"/>
  <c r="CD34" i="15" s="1"/>
  <c r="BZ19" i="15"/>
  <c r="BZ37" i="15" s="1"/>
  <c r="BZ43" i="15" s="1"/>
  <c r="BZ18" i="15"/>
  <c r="BZ36" i="15" s="1"/>
  <c r="BZ17" i="15"/>
  <c r="BZ16" i="15"/>
  <c r="BZ34" i="15" s="1"/>
  <c r="BW19" i="15"/>
  <c r="BV19" i="15"/>
  <c r="BV37" i="15" s="1"/>
  <c r="BW18" i="15"/>
  <c r="BV18" i="15"/>
  <c r="BV36" i="15" s="1"/>
  <c r="BV17" i="15"/>
  <c r="BV35" i="15" s="1"/>
  <c r="BV16" i="15"/>
  <c r="BV34" i="15" s="1"/>
  <c r="BS19" i="15"/>
  <c r="BR19" i="15"/>
  <c r="BR37" i="15" s="1"/>
  <c r="BS18" i="15"/>
  <c r="BR18" i="15"/>
  <c r="BR36" i="15" s="1"/>
  <c r="BR17" i="15"/>
  <c r="BR35" i="15" s="1"/>
  <c r="BR16" i="15"/>
  <c r="BR34" i="15" s="1"/>
  <c r="BO19" i="15"/>
  <c r="BN19" i="15"/>
  <c r="BN37" i="15" s="1"/>
  <c r="BO18" i="15"/>
  <c r="BN18" i="15"/>
  <c r="BN36" i="15" s="1"/>
  <c r="BN17" i="15"/>
  <c r="BN35" i="15" s="1"/>
  <c r="BN16" i="15"/>
  <c r="BN34" i="15" s="1"/>
  <c r="BK19" i="15"/>
  <c r="BJ19" i="15"/>
  <c r="BJ37" i="15" s="1"/>
  <c r="BK18" i="15"/>
  <c r="BJ18" i="15"/>
  <c r="BJ36" i="15" s="1"/>
  <c r="BJ17" i="15"/>
  <c r="BJ35" i="15" s="1"/>
  <c r="BJ16" i="15"/>
  <c r="BJ34" i="15" s="1"/>
  <c r="BG19" i="15"/>
  <c r="BF19" i="15"/>
  <c r="BF37" i="15" s="1"/>
  <c r="BG18" i="15"/>
  <c r="BF18" i="15"/>
  <c r="BF36" i="15" s="1"/>
  <c r="BF17" i="15"/>
  <c r="BF35" i="15" s="1"/>
  <c r="BF16" i="15"/>
  <c r="BF34" i="15" s="1"/>
  <c r="BC19" i="15"/>
  <c r="BB19" i="15"/>
  <c r="BB37" i="15" s="1"/>
  <c r="BC18" i="15"/>
  <c r="BB18" i="15"/>
  <c r="BB36" i="15" s="1"/>
  <c r="BB17" i="15"/>
  <c r="BB35" i="15" s="1"/>
  <c r="BB16" i="15"/>
  <c r="BB34" i="15" s="1"/>
  <c r="AY19" i="15"/>
  <c r="AX19" i="15"/>
  <c r="AX37" i="15" s="1"/>
  <c r="AY18" i="15"/>
  <c r="AX18" i="15"/>
  <c r="AX36" i="15" s="1"/>
  <c r="AX17" i="15"/>
  <c r="AX35" i="15" s="1"/>
  <c r="AX16" i="15"/>
  <c r="AX34" i="15" s="1"/>
  <c r="AU19" i="15"/>
  <c r="AT19" i="15"/>
  <c r="AT37" i="15" s="1"/>
  <c r="AU18" i="15"/>
  <c r="AT18" i="15"/>
  <c r="AT17" i="15"/>
  <c r="AU17" i="15" s="1"/>
  <c r="AT16" i="15"/>
  <c r="AT34" i="15" s="1"/>
  <c r="AQ19" i="15"/>
  <c r="AP19" i="15"/>
  <c r="AQ18" i="15"/>
  <c r="AP18" i="15"/>
  <c r="AP36" i="15" s="1"/>
  <c r="AP17" i="15"/>
  <c r="AP35" i="15" s="1"/>
  <c r="AP16" i="15"/>
  <c r="AP34" i="15" s="1"/>
  <c r="AM19" i="15"/>
  <c r="AL19" i="15"/>
  <c r="AM18" i="15"/>
  <c r="AL18" i="15"/>
  <c r="AL36" i="15" s="1"/>
  <c r="AL17" i="15"/>
  <c r="AL35" i="15" s="1"/>
  <c r="AL16" i="15"/>
  <c r="AL34" i="15" s="1"/>
  <c r="AI19" i="15"/>
  <c r="AH19" i="15"/>
  <c r="AH37" i="15" s="1"/>
  <c r="AI18" i="15"/>
  <c r="AH18" i="15"/>
  <c r="AH36" i="15" s="1"/>
  <c r="AH17" i="15"/>
  <c r="AH35" i="15" s="1"/>
  <c r="AH16" i="15"/>
  <c r="AH34" i="15" s="1"/>
  <c r="AE19" i="15"/>
  <c r="AD19" i="15"/>
  <c r="AD37" i="15" s="1"/>
  <c r="AE18" i="15"/>
  <c r="AD18" i="15"/>
  <c r="AD36" i="15" s="1"/>
  <c r="AD17" i="15"/>
  <c r="AD35" i="15" s="1"/>
  <c r="AD16" i="15"/>
  <c r="AD34" i="15" s="1"/>
  <c r="AA19" i="15"/>
  <c r="Z19" i="15"/>
  <c r="Z37" i="15" s="1"/>
  <c r="AA18" i="15"/>
  <c r="Z18" i="15"/>
  <c r="Z36" i="15" s="1"/>
  <c r="Z17" i="15"/>
  <c r="Z35" i="15" s="1"/>
  <c r="Z16" i="15"/>
  <c r="Z34" i="15" s="1"/>
  <c r="W19" i="15"/>
  <c r="V19" i="15"/>
  <c r="V37" i="15" s="1"/>
  <c r="W18" i="15"/>
  <c r="V18" i="15"/>
  <c r="V36" i="15" s="1"/>
  <c r="V17" i="15"/>
  <c r="V35" i="15" s="1"/>
  <c r="V16" i="15"/>
  <c r="V34" i="15" s="1"/>
  <c r="S19" i="15"/>
  <c r="R19" i="15"/>
  <c r="R37" i="15" s="1"/>
  <c r="S18" i="15"/>
  <c r="R18" i="15"/>
  <c r="R36" i="15" s="1"/>
  <c r="R17" i="15"/>
  <c r="R35" i="15" s="1"/>
  <c r="R16" i="15"/>
  <c r="R34" i="15" s="1"/>
  <c r="O19" i="15"/>
  <c r="N19" i="15"/>
  <c r="N37" i="15" s="1"/>
  <c r="O18" i="15"/>
  <c r="N18" i="15"/>
  <c r="N36" i="15" s="1"/>
  <c r="N17" i="15"/>
  <c r="N35" i="15" s="1"/>
  <c r="N16" i="15"/>
  <c r="N34" i="15" s="1"/>
  <c r="K19" i="15"/>
  <c r="J19" i="15"/>
  <c r="J37" i="15" s="1"/>
  <c r="K18" i="15"/>
  <c r="J18" i="15"/>
  <c r="J36" i="15" s="1"/>
  <c r="J17" i="15"/>
  <c r="J35" i="15" s="1"/>
  <c r="J16" i="15"/>
  <c r="J34" i="15" s="1"/>
  <c r="G19" i="15"/>
  <c r="F19" i="15"/>
  <c r="F37" i="15" s="1"/>
  <c r="G18" i="15"/>
  <c r="F18" i="15"/>
  <c r="F36" i="15" s="1"/>
  <c r="F17" i="15"/>
  <c r="F35" i="15" s="1"/>
  <c r="F16" i="15"/>
  <c r="F34" i="15" s="1"/>
  <c r="AP13" i="15"/>
  <c r="AP37" i="15" s="1"/>
  <c r="AL13" i="15"/>
  <c r="AL37" i="15" s="1"/>
  <c r="CQ12" i="15"/>
  <c r="CQ11" i="15"/>
  <c r="CQ10" i="15"/>
  <c r="AT12" i="15"/>
  <c r="AT36" i="15" s="1"/>
  <c r="AT11" i="15"/>
  <c r="AT35" i="15" s="1"/>
  <c r="CM13" i="15"/>
  <c r="CM12" i="15"/>
  <c r="CM11" i="15"/>
  <c r="CM10" i="15"/>
  <c r="CI13" i="15"/>
  <c r="CI12" i="15"/>
  <c r="CI11" i="15"/>
  <c r="CI10" i="15"/>
  <c r="CE13" i="15"/>
  <c r="CE12" i="15"/>
  <c r="CE11" i="15"/>
  <c r="CE10" i="15"/>
  <c r="CA13" i="15"/>
  <c r="CA12" i="15"/>
  <c r="CA11" i="15"/>
  <c r="CA10" i="15"/>
  <c r="BW13" i="15"/>
  <c r="BW12" i="15"/>
  <c r="BW11" i="15"/>
  <c r="BW10" i="15"/>
  <c r="BS13" i="15"/>
  <c r="BS12" i="15"/>
  <c r="BS11" i="15"/>
  <c r="BS10" i="15"/>
  <c r="BO13" i="15"/>
  <c r="BO12" i="15"/>
  <c r="BO11" i="15"/>
  <c r="BO10" i="15"/>
  <c r="BK13" i="15"/>
  <c r="BK12" i="15"/>
  <c r="BK11" i="15"/>
  <c r="BK10" i="15"/>
  <c r="BG13" i="15"/>
  <c r="BG12" i="15"/>
  <c r="BG11" i="15"/>
  <c r="BG10" i="15"/>
  <c r="BC13" i="15"/>
  <c r="BC12" i="15"/>
  <c r="BC11" i="15"/>
  <c r="BC10" i="15"/>
  <c r="AY13" i="15"/>
  <c r="AY12" i="15"/>
  <c r="AY11" i="15"/>
  <c r="AY10" i="15"/>
  <c r="AU13" i="15"/>
  <c r="AU12" i="15"/>
  <c r="AU11" i="15"/>
  <c r="AU10" i="15"/>
  <c r="AQ12" i="15"/>
  <c r="AQ11" i="15"/>
  <c r="AQ10" i="15"/>
  <c r="AM12" i="15"/>
  <c r="AM11" i="15"/>
  <c r="AM10" i="15"/>
  <c r="AI13" i="15"/>
  <c r="AI12" i="15"/>
  <c r="AI11" i="15"/>
  <c r="AI10" i="15"/>
  <c r="AE13" i="15"/>
  <c r="AE12" i="15"/>
  <c r="AE11" i="15"/>
  <c r="AE10" i="15"/>
  <c r="AA13" i="15"/>
  <c r="AA12" i="15"/>
  <c r="AA11" i="15"/>
  <c r="AA10" i="15"/>
  <c r="W13" i="15"/>
  <c r="W12" i="15"/>
  <c r="W11" i="15"/>
  <c r="W10" i="15"/>
  <c r="S13" i="15"/>
  <c r="S12" i="15"/>
  <c r="S11" i="15"/>
  <c r="S10" i="15"/>
  <c r="O13" i="15"/>
  <c r="O12" i="15"/>
  <c r="O11" i="15"/>
  <c r="O10" i="15"/>
  <c r="K13" i="15"/>
  <c r="K12" i="15"/>
  <c r="K11" i="15"/>
  <c r="K10" i="15"/>
  <c r="G13" i="15"/>
  <c r="G12" i="15"/>
  <c r="G11" i="15"/>
  <c r="G10" i="15"/>
  <c r="B13" i="15"/>
  <c r="B11" i="14" s="1"/>
  <c r="B17" i="14" s="1"/>
  <c r="B23" i="14" s="1"/>
  <c r="B29" i="14" s="1"/>
  <c r="B35" i="14" s="1"/>
  <c r="B41" i="14" s="1"/>
  <c r="B47" i="14" s="1"/>
  <c r="B53" i="14" s="1"/>
  <c r="B59" i="14" s="1"/>
  <c r="A13" i="15"/>
  <c r="B12" i="15"/>
  <c r="A12" i="15"/>
  <c r="A24" i="15" s="1"/>
  <c r="B11" i="15"/>
  <c r="B9" i="14" s="1"/>
  <c r="B15" i="14" s="1"/>
  <c r="B21" i="14" s="1"/>
  <c r="B27" i="14" s="1"/>
  <c r="B33" i="14" s="1"/>
  <c r="B39" i="14" s="1"/>
  <c r="B45" i="14" s="1"/>
  <c r="B51" i="14" s="1"/>
  <c r="B57" i="14" s="1"/>
  <c r="A11" i="15"/>
  <c r="B10" i="15"/>
  <c r="A10" i="15"/>
  <c r="N7" i="15"/>
  <c r="R7" i="15" s="1"/>
  <c r="J7" i="15"/>
  <c r="F7" i="15"/>
  <c r="A3" i="15"/>
  <c r="Z39" i="14"/>
  <c r="Z45" i="14" s="1"/>
  <c r="AT29" i="14"/>
  <c r="AT47" i="14" s="1"/>
  <c r="AS29" i="14"/>
  <c r="AR29" i="14"/>
  <c r="AN29" i="14"/>
  <c r="AN28" i="14"/>
  <c r="AN46" i="14" s="1"/>
  <c r="AN27" i="14"/>
  <c r="AN26" i="14"/>
  <c r="AL29" i="14"/>
  <c r="AL28" i="14"/>
  <c r="AL46" i="14" s="1"/>
  <c r="AL27" i="14"/>
  <c r="AL26" i="14"/>
  <c r="AJ29" i="14"/>
  <c r="AJ35" i="14" s="1"/>
  <c r="AJ28" i="14"/>
  <c r="AJ46" i="14" s="1"/>
  <c r="AJ27" i="14"/>
  <c r="AJ26" i="14"/>
  <c r="AH29" i="14"/>
  <c r="AH35" i="14" s="1"/>
  <c r="AH28" i="14"/>
  <c r="AH46" i="14" s="1"/>
  <c r="AH27" i="14"/>
  <c r="AH26" i="14"/>
  <c r="AH32" i="14" s="1"/>
  <c r="AF29" i="14"/>
  <c r="AF35" i="14" s="1"/>
  <c r="AF28" i="14"/>
  <c r="AF46" i="14" s="1"/>
  <c r="AF27" i="14"/>
  <c r="AF26" i="14"/>
  <c r="AF32" i="14" s="1"/>
  <c r="AD29" i="14"/>
  <c r="AD35" i="14" s="1"/>
  <c r="AD28" i="14"/>
  <c r="AD46" i="14" s="1"/>
  <c r="AD27" i="14"/>
  <c r="AD26" i="14"/>
  <c r="AD32" i="14" s="1"/>
  <c r="AB29" i="14"/>
  <c r="AB35" i="14" s="1"/>
  <c r="AB28" i="14"/>
  <c r="AB46" i="14" s="1"/>
  <c r="AB27" i="14"/>
  <c r="AB26" i="14"/>
  <c r="AB32" i="14" s="1"/>
  <c r="Z29" i="14"/>
  <c r="Z35" i="14" s="1"/>
  <c r="Z28" i="14"/>
  <c r="Z46" i="14" s="1"/>
  <c r="Z27" i="14"/>
  <c r="Z26" i="14"/>
  <c r="Z32" i="14" s="1"/>
  <c r="X29" i="14"/>
  <c r="X35" i="14" s="1"/>
  <c r="X28" i="14"/>
  <c r="X46" i="14" s="1"/>
  <c r="X27" i="14"/>
  <c r="X26" i="14"/>
  <c r="X32" i="14" s="1"/>
  <c r="V29" i="14"/>
  <c r="V35" i="14" s="1"/>
  <c r="V28" i="14"/>
  <c r="V46" i="14" s="1"/>
  <c r="V27" i="14"/>
  <c r="V26" i="14"/>
  <c r="V32" i="14" s="1"/>
  <c r="T29" i="14"/>
  <c r="T35" i="14" s="1"/>
  <c r="T28" i="14"/>
  <c r="T46" i="14" s="1"/>
  <c r="T27" i="14"/>
  <c r="T26" i="14"/>
  <c r="T32" i="14" s="1"/>
  <c r="R29" i="14"/>
  <c r="R35" i="14" s="1"/>
  <c r="R28" i="14"/>
  <c r="R46" i="14" s="1"/>
  <c r="R27" i="14"/>
  <c r="R26" i="14"/>
  <c r="R32" i="14" s="1"/>
  <c r="P29" i="14"/>
  <c r="P35" i="14" s="1"/>
  <c r="P28" i="14"/>
  <c r="P46" i="14" s="1"/>
  <c r="P27" i="14"/>
  <c r="P26" i="14"/>
  <c r="P32" i="14" s="1"/>
  <c r="N29" i="14"/>
  <c r="N35" i="14" s="1"/>
  <c r="N28" i="14"/>
  <c r="N46" i="14" s="1"/>
  <c r="N27" i="14"/>
  <c r="N26" i="14"/>
  <c r="N32" i="14" s="1"/>
  <c r="L29" i="14"/>
  <c r="L35" i="14" s="1"/>
  <c r="L28" i="14"/>
  <c r="L46" i="14" s="1"/>
  <c r="L27" i="14"/>
  <c r="L26" i="14"/>
  <c r="L32" i="14" s="1"/>
  <c r="J29" i="14"/>
  <c r="J35" i="14" s="1"/>
  <c r="J28" i="14"/>
  <c r="J46" i="14" s="1"/>
  <c r="J27" i="14"/>
  <c r="J26" i="14"/>
  <c r="J32" i="14" s="1"/>
  <c r="H29" i="14"/>
  <c r="H35" i="14" s="1"/>
  <c r="F29" i="14"/>
  <c r="F35" i="14" s="1"/>
  <c r="F28" i="14"/>
  <c r="F46" i="14" s="1"/>
  <c r="F27" i="14"/>
  <c r="F26" i="14"/>
  <c r="F32" i="14" s="1"/>
  <c r="D29" i="14"/>
  <c r="D35" i="14" s="1"/>
  <c r="D28" i="14"/>
  <c r="D46" i="14" s="1"/>
  <c r="D27" i="14"/>
  <c r="D26" i="14"/>
  <c r="D32" i="14" s="1"/>
  <c r="AU28" i="14"/>
  <c r="AU34" i="14" s="1"/>
  <c r="AT28" i="14"/>
  <c r="AT46" i="14" s="1"/>
  <c r="AS28" i="14"/>
  <c r="AR28" i="14"/>
  <c r="AR34" i="14" s="1"/>
  <c r="AU27" i="14"/>
  <c r="AU33" i="14" s="1"/>
  <c r="AT27" i="14"/>
  <c r="AT45" i="14" s="1"/>
  <c r="AS27" i="14"/>
  <c r="AR27" i="14"/>
  <c r="AR33" i="14" s="1"/>
  <c r="AU26" i="14"/>
  <c r="AU32" i="14" s="1"/>
  <c r="AT26" i="14"/>
  <c r="AT44" i="14" s="1"/>
  <c r="AS26" i="14"/>
  <c r="AP23" i="14"/>
  <c r="AP29" i="14" s="1"/>
  <c r="AP22" i="14"/>
  <c r="AP28" i="14" s="1"/>
  <c r="AP21" i="14"/>
  <c r="AP27" i="14" s="1"/>
  <c r="AP20" i="14"/>
  <c r="AP26" i="14" s="1"/>
  <c r="AR20" i="14"/>
  <c r="AR26" i="14" s="1"/>
  <c r="H16" i="14"/>
  <c r="H28" i="14" s="1"/>
  <c r="H15" i="14"/>
  <c r="H27" i="14" s="1"/>
  <c r="H14" i="14"/>
  <c r="H26" i="14" s="1"/>
  <c r="AH11" i="14"/>
  <c r="AH10" i="14"/>
  <c r="AH9" i="14"/>
  <c r="AD11" i="14"/>
  <c r="AD10" i="14"/>
  <c r="AD9" i="14"/>
  <c r="AD8" i="14"/>
  <c r="AB11" i="14"/>
  <c r="AB10" i="14"/>
  <c r="AB9" i="14"/>
  <c r="AB8" i="14"/>
  <c r="Z11" i="14"/>
  <c r="Z10" i="14"/>
  <c r="Z9" i="14"/>
  <c r="Z8" i="14"/>
  <c r="V11" i="14"/>
  <c r="T11" i="14"/>
  <c r="T10" i="14"/>
  <c r="R11" i="14"/>
  <c r="R10" i="14"/>
  <c r="N11" i="14"/>
  <c r="N10" i="14"/>
  <c r="X10" i="14"/>
  <c r="X9" i="14"/>
  <c r="X8" i="14"/>
  <c r="AN9" i="14"/>
  <c r="AN8" i="14"/>
  <c r="AJ8" i="14"/>
  <c r="T8" i="14"/>
  <c r="A11" i="14"/>
  <c r="A17" i="14" s="1"/>
  <c r="A23" i="14" s="1"/>
  <c r="A29" i="14" s="1"/>
  <c r="A35" i="14" s="1"/>
  <c r="A41" i="14" s="1"/>
  <c r="A47" i="14" s="1"/>
  <c r="A53" i="14" s="1"/>
  <c r="A59" i="14" s="1"/>
  <c r="A10" i="14"/>
  <c r="A16" i="14" s="1"/>
  <c r="A22" i="14" s="1"/>
  <c r="A28" i="14" s="1"/>
  <c r="A34" i="14" s="1"/>
  <c r="A40" i="14" s="1"/>
  <c r="A46" i="14" s="1"/>
  <c r="A52" i="14" s="1"/>
  <c r="A58" i="14" s="1"/>
  <c r="A9" i="14"/>
  <c r="A15" i="14" s="1"/>
  <c r="A21" i="14" s="1"/>
  <c r="A27" i="14" s="1"/>
  <c r="A33" i="14" s="1"/>
  <c r="A39" i="14" s="1"/>
  <c r="A45" i="14" s="1"/>
  <c r="A51" i="14" s="1"/>
  <c r="A57" i="14" s="1"/>
  <c r="J6" i="14"/>
  <c r="H6" i="14"/>
  <c r="F6" i="14"/>
  <c r="A3" i="14"/>
  <c r="BF77" i="13"/>
  <c r="BD77" i="13"/>
  <c r="BD76" i="13"/>
  <c r="BD75" i="13"/>
  <c r="BB77" i="13"/>
  <c r="BB75" i="13"/>
  <c r="BB76" i="13" s="1"/>
  <c r="AZ77" i="13"/>
  <c r="AZ76" i="13" s="1"/>
  <c r="AZ75" i="13"/>
  <c r="AX77" i="13"/>
  <c r="AV77" i="13"/>
  <c r="AT77" i="13"/>
  <c r="AT75" i="13"/>
  <c r="AT76" i="13" s="1"/>
  <c r="AR77" i="13"/>
  <c r="AR75" i="13"/>
  <c r="AR76" i="13" s="1"/>
  <c r="AP77" i="13"/>
  <c r="AN77" i="13"/>
  <c r="AN75" i="13" s="1"/>
  <c r="AN76" i="13" s="1"/>
  <c r="AL77" i="13"/>
  <c r="AL75" i="13"/>
  <c r="AL76" i="13" s="1"/>
  <c r="AJ77" i="13"/>
  <c r="AJ76" i="13" s="1"/>
  <c r="AJ75" i="13"/>
  <c r="AH77" i="13"/>
  <c r="AF77" i="13"/>
  <c r="AF75" i="13" s="1"/>
  <c r="AF76" i="13" s="1"/>
  <c r="AD77" i="13"/>
  <c r="AD75" i="13"/>
  <c r="AD76" i="13" s="1"/>
  <c r="AB77" i="13"/>
  <c r="AB75" i="13"/>
  <c r="AB76" i="13" s="1"/>
  <c r="Z77" i="13"/>
  <c r="X77" i="13"/>
  <c r="V77" i="13"/>
  <c r="V75" i="13"/>
  <c r="V76" i="13" s="1"/>
  <c r="T77" i="13"/>
  <c r="T75" i="13"/>
  <c r="T76" i="13" s="1"/>
  <c r="R77" i="13"/>
  <c r="P77" i="13"/>
  <c r="N77" i="13"/>
  <c r="N75" i="13" s="1"/>
  <c r="N76" i="13" s="1"/>
  <c r="L77" i="13"/>
  <c r="L75" i="13"/>
  <c r="L76" i="13" s="1"/>
  <c r="AT70" i="13"/>
  <c r="AR70" i="13"/>
  <c r="AP70" i="13"/>
  <c r="AN70" i="13"/>
  <c r="AL70" i="13"/>
  <c r="AJ70" i="13"/>
  <c r="AH70" i="13"/>
  <c r="AF70" i="13"/>
  <c r="AD70" i="13"/>
  <c r="AB70" i="13"/>
  <c r="Z70" i="13"/>
  <c r="X70" i="13"/>
  <c r="V70" i="13"/>
  <c r="V68" i="13"/>
  <c r="V72" i="13" s="1"/>
  <c r="X72" i="13" s="1"/>
  <c r="T70" i="13"/>
  <c r="R70" i="13"/>
  <c r="R69" i="13" s="1"/>
  <c r="R68" i="13"/>
  <c r="R72" i="13" s="1"/>
  <c r="P68" i="13"/>
  <c r="N68" i="13"/>
  <c r="AL53" i="13"/>
  <c r="AD56" i="13"/>
  <c r="D52" i="13"/>
  <c r="AR50" i="13"/>
  <c r="I50" i="13"/>
  <c r="H50" i="13"/>
  <c r="D50" i="13"/>
  <c r="BF46" i="13"/>
  <c r="BD46" i="13"/>
  <c r="BB46" i="13"/>
  <c r="AZ46" i="13"/>
  <c r="AX46" i="13"/>
  <c r="AV46" i="13"/>
  <c r="AT46" i="13"/>
  <c r="AT50" i="13" s="1"/>
  <c r="AH46" i="13"/>
  <c r="AH50" i="13" s="1"/>
  <c r="AF46" i="13"/>
  <c r="AD46" i="13"/>
  <c r="AB46" i="13"/>
  <c r="Z46" i="13"/>
  <c r="X46" i="13"/>
  <c r="V46" i="13"/>
  <c r="T46" i="13"/>
  <c r="R46" i="13"/>
  <c r="P46" i="13"/>
  <c r="L46" i="13"/>
  <c r="N45" i="13"/>
  <c r="AP43" i="13"/>
  <c r="AN43" i="13"/>
  <c r="AL43" i="13"/>
  <c r="AJ43" i="13"/>
  <c r="AJ50" i="13" s="1"/>
  <c r="AD43" i="13"/>
  <c r="AB43" i="13"/>
  <c r="Z43" i="13"/>
  <c r="AV41" i="13"/>
  <c r="AP41" i="13"/>
  <c r="AP50" i="13" s="1"/>
  <c r="AN41" i="13"/>
  <c r="AN50" i="13" s="1"/>
  <c r="AL41" i="13"/>
  <c r="AL50" i="13" s="1"/>
  <c r="AF41" i="13"/>
  <c r="AF50" i="13" s="1"/>
  <c r="AD41" i="13"/>
  <c r="AD50" i="13" s="1"/>
  <c r="AB41" i="13"/>
  <c r="AB50" i="13" s="1"/>
  <c r="Z41" i="13"/>
  <c r="Z50" i="13" s="1"/>
  <c r="X41" i="13"/>
  <c r="X50" i="13" s="1"/>
  <c r="V41" i="13"/>
  <c r="V50" i="13" s="1"/>
  <c r="T41" i="13"/>
  <c r="T50" i="13" s="1"/>
  <c r="R41" i="13"/>
  <c r="R50" i="13" s="1"/>
  <c r="P41" i="13"/>
  <c r="P50" i="13" s="1"/>
  <c r="N41" i="13"/>
  <c r="N50" i="13" s="1"/>
  <c r="L41" i="13"/>
  <c r="L50" i="13" s="1"/>
  <c r="J41" i="13"/>
  <c r="J50" i="13" s="1"/>
  <c r="F41" i="13"/>
  <c r="F50" i="13" s="1"/>
  <c r="AH30" i="13"/>
  <c r="AH32" i="13" s="1"/>
  <c r="AF30" i="13"/>
  <c r="AF32" i="13" s="1"/>
  <c r="AD30" i="13"/>
  <c r="AD32" i="13" s="1"/>
  <c r="AB30" i="13"/>
  <c r="AB32" i="13" s="1"/>
  <c r="Z30" i="13"/>
  <c r="Z32" i="13" s="1"/>
  <c r="R30" i="13"/>
  <c r="R32" i="13" s="1"/>
  <c r="P30" i="13"/>
  <c r="P32" i="13" s="1"/>
  <c r="AT28" i="13"/>
  <c r="AT30" i="13" s="1"/>
  <c r="AR28" i="13"/>
  <c r="AR30" i="13" s="1"/>
  <c r="AP28" i="13"/>
  <c r="AP30" i="13" s="1"/>
  <c r="AN28" i="13"/>
  <c r="AN30" i="13" s="1"/>
  <c r="AL28" i="13"/>
  <c r="AL30" i="13" s="1"/>
  <c r="AJ28" i="13"/>
  <c r="AJ30" i="13" s="1"/>
  <c r="X28" i="13"/>
  <c r="X30" i="13" s="1"/>
  <c r="X32" i="13" s="1"/>
  <c r="V28" i="13"/>
  <c r="V30" i="13" s="1"/>
  <c r="V32" i="13" s="1"/>
  <c r="T28" i="13"/>
  <c r="T30" i="13" s="1"/>
  <c r="T32" i="13" s="1"/>
  <c r="F28" i="13"/>
  <c r="F30" i="13" s="1"/>
  <c r="F32" i="13" s="1"/>
  <c r="D28" i="13"/>
  <c r="D26" i="13"/>
  <c r="N24" i="13"/>
  <c r="N30" i="13" s="1"/>
  <c r="N32" i="13" s="1"/>
  <c r="L24" i="13"/>
  <c r="L30" i="13" s="1"/>
  <c r="L32" i="13" s="1"/>
  <c r="J24" i="13"/>
  <c r="J30" i="13" s="1"/>
  <c r="J32" i="13" s="1"/>
  <c r="H24" i="13"/>
  <c r="H30" i="13" s="1"/>
  <c r="H32" i="13" s="1"/>
  <c r="D24" i="13"/>
  <c r="D30" i="13" s="1"/>
  <c r="D32" i="13" s="1"/>
  <c r="AT16" i="13"/>
  <c r="AT15" i="13"/>
  <c r="AT14" i="13"/>
  <c r="AR15" i="13"/>
  <c r="AR16" i="13" s="1"/>
  <c r="AP16" i="13"/>
  <c r="AP15" i="13"/>
  <c r="AN15" i="13"/>
  <c r="AL15" i="13"/>
  <c r="AJ15" i="13"/>
  <c r="AH15" i="13"/>
  <c r="AF15" i="13"/>
  <c r="AD15" i="13"/>
  <c r="AB15" i="13"/>
  <c r="Z15" i="13"/>
  <c r="X15" i="13"/>
  <c r="V15" i="13"/>
  <c r="T15" i="13"/>
  <c r="R15" i="13"/>
  <c r="F15" i="13"/>
  <c r="D16" i="13"/>
  <c r="D34" i="13" s="1"/>
  <c r="AX13" i="13"/>
  <c r="AZ13" i="13" s="1"/>
  <c r="BB13" i="13" s="1"/>
  <c r="BD13" i="13" s="1"/>
  <c r="BF13" i="13" s="1"/>
  <c r="AV14" i="13"/>
  <c r="AX14" i="13" s="1"/>
  <c r="AZ14" i="13" s="1"/>
  <c r="BB14" i="13" s="1"/>
  <c r="BD14" i="13" s="1"/>
  <c r="BF14" i="13" s="1"/>
  <c r="AV13" i="13"/>
  <c r="AV12" i="13"/>
  <c r="AX12" i="13" s="1"/>
  <c r="AZ12" i="13" s="1"/>
  <c r="BB12" i="13" s="1"/>
  <c r="BD12" i="13" s="1"/>
  <c r="BF12" i="13" s="1"/>
  <c r="AN12" i="13"/>
  <c r="AL12" i="13"/>
  <c r="AJ12" i="13"/>
  <c r="AH12" i="13"/>
  <c r="AF12" i="13"/>
  <c r="AF16" i="13" s="1"/>
  <c r="AD12" i="13"/>
  <c r="AD16" i="13" s="1"/>
  <c r="AB12" i="13"/>
  <c r="Z12" i="13"/>
  <c r="P11" i="13"/>
  <c r="P70" i="13" s="1"/>
  <c r="P69" i="13" s="1"/>
  <c r="N11" i="13"/>
  <c r="N70" i="13" s="1"/>
  <c r="N69" i="13" s="1"/>
  <c r="L11" i="13"/>
  <c r="J11" i="13"/>
  <c r="H11" i="13"/>
  <c r="F11" i="13"/>
  <c r="P8" i="13"/>
  <c r="R8" i="13" s="1"/>
  <c r="T8" i="13" s="1"/>
  <c r="V8" i="13" s="1"/>
  <c r="X8" i="13" s="1"/>
  <c r="Z8" i="13" s="1"/>
  <c r="AB8" i="13" s="1"/>
  <c r="AD8" i="13" s="1"/>
  <c r="AF8" i="13" s="1"/>
  <c r="AH8" i="13" s="1"/>
  <c r="AJ8" i="13" s="1"/>
  <c r="AL8" i="13" s="1"/>
  <c r="AN8" i="13" s="1"/>
  <c r="AP8" i="13" s="1"/>
  <c r="AR8" i="13" s="1"/>
  <c r="AT8" i="13" s="1"/>
  <c r="AV8" i="13" s="1"/>
  <c r="AX8" i="13" s="1"/>
  <c r="AZ8" i="13" s="1"/>
  <c r="BB8" i="13" s="1"/>
  <c r="BD8" i="13" s="1"/>
  <c r="BF8" i="13" s="1"/>
  <c r="F8" i="13"/>
  <c r="H8" i="13" s="1"/>
  <c r="J8" i="13" s="1"/>
  <c r="L8" i="13" s="1"/>
  <c r="A3" i="13"/>
  <c r="BI97" i="12"/>
  <c r="BG97" i="12"/>
  <c r="BE97" i="12"/>
  <c r="BC97" i="12"/>
  <c r="BA97" i="12"/>
  <c r="AY97" i="12"/>
  <c r="AW98" i="12"/>
  <c r="AW97" i="12"/>
  <c r="AU98" i="12"/>
  <c r="AU97" i="12"/>
  <c r="AS98" i="12"/>
  <c r="AS97" i="12"/>
  <c r="AQ98" i="12"/>
  <c r="AQ97" i="12"/>
  <c r="AO98" i="12"/>
  <c r="AO97" i="12"/>
  <c r="AM98" i="12"/>
  <c r="AM97" i="12"/>
  <c r="AK98" i="12"/>
  <c r="AK97" i="12"/>
  <c r="AI98" i="12"/>
  <c r="AI97" i="12"/>
  <c r="AG98" i="12"/>
  <c r="AG97" i="12"/>
  <c r="AE98" i="12"/>
  <c r="AE97" i="12"/>
  <c r="AC98" i="12"/>
  <c r="AC97" i="12"/>
  <c r="AA98" i="12"/>
  <c r="AA97" i="12"/>
  <c r="Y98" i="12"/>
  <c r="Y97" i="12"/>
  <c r="W98" i="12"/>
  <c r="W97" i="12"/>
  <c r="U98" i="12"/>
  <c r="U97" i="12"/>
  <c r="S98" i="12"/>
  <c r="S97" i="12"/>
  <c r="Q98" i="12"/>
  <c r="Q97" i="12"/>
  <c r="O98" i="12"/>
  <c r="O97" i="12"/>
  <c r="M98" i="12"/>
  <c r="M97" i="12"/>
  <c r="AG94" i="12"/>
  <c r="AG93" i="12"/>
  <c r="BI90" i="12"/>
  <c r="BG90" i="12"/>
  <c r="BE90" i="12"/>
  <c r="BC90" i="12"/>
  <c r="BA90" i="12"/>
  <c r="AY90" i="12"/>
  <c r="AW90" i="12"/>
  <c r="AU90" i="12"/>
  <c r="AS90" i="12"/>
  <c r="AQ90" i="12"/>
  <c r="AO90" i="12"/>
  <c r="AM90" i="12"/>
  <c r="AK90" i="12"/>
  <c r="AI90" i="12"/>
  <c r="AG90" i="12"/>
  <c r="AE90" i="12"/>
  <c r="AC90" i="12"/>
  <c r="AA90" i="12"/>
  <c r="Y90" i="12"/>
  <c r="W90" i="12"/>
  <c r="U90" i="12"/>
  <c r="S90" i="12"/>
  <c r="Q90" i="12"/>
  <c r="O90" i="12"/>
  <c r="AA84" i="12"/>
  <c r="AC84" i="12" s="1"/>
  <c r="Y86" i="12"/>
  <c r="W86" i="12"/>
  <c r="U86" i="12"/>
  <c r="S86" i="12"/>
  <c r="Q86" i="12"/>
  <c r="O86" i="12"/>
  <c r="BI80" i="12"/>
  <c r="AK80" i="12"/>
  <c r="BH80" i="12"/>
  <c r="BF80" i="12"/>
  <c r="BD80" i="12"/>
  <c r="BB80" i="12"/>
  <c r="AZ80" i="12"/>
  <c r="AX80" i="12"/>
  <c r="BE78" i="12"/>
  <c r="BG78" i="12" s="1"/>
  <c r="BI78" i="12" s="1"/>
  <c r="BA78" i="12"/>
  <c r="BC78" i="12" s="1"/>
  <c r="BA76" i="12"/>
  <c r="BC76" i="12" s="1"/>
  <c r="BE76" i="12" s="1"/>
  <c r="AW76" i="12"/>
  <c r="AU76" i="12"/>
  <c r="AS76" i="12"/>
  <c r="AQ76" i="12"/>
  <c r="AO76" i="12"/>
  <c r="AM76" i="12"/>
  <c r="AK76" i="12"/>
  <c r="W76" i="12"/>
  <c r="U76" i="12"/>
  <c r="O76" i="12"/>
  <c r="M76" i="12"/>
  <c r="K76" i="12"/>
  <c r="I76" i="12"/>
  <c r="G76" i="12"/>
  <c r="E76" i="12"/>
  <c r="AY76" i="12"/>
  <c r="BH72" i="12"/>
  <c r="BF72" i="12"/>
  <c r="BD72" i="12"/>
  <c r="BB72" i="12"/>
  <c r="AK70" i="12"/>
  <c r="AG70" i="12"/>
  <c r="BA55" i="12"/>
  <c r="BC55" i="12" s="1"/>
  <c r="BE55" i="12" s="1"/>
  <c r="BG55" i="12" s="1"/>
  <c r="BI55" i="12" s="1"/>
  <c r="AY54" i="12"/>
  <c r="BC54" i="12" s="1"/>
  <c r="BE54" i="12" s="1"/>
  <c r="BG54" i="12" s="1"/>
  <c r="BI54" i="12" s="1"/>
  <c r="AY52" i="12"/>
  <c r="BA52" i="12" s="1"/>
  <c r="BC52" i="12" s="1"/>
  <c r="BE52" i="12" s="1"/>
  <c r="BG52" i="12" s="1"/>
  <c r="BI52" i="12" s="1"/>
  <c r="AY51" i="12"/>
  <c r="BA51" i="12" s="1"/>
  <c r="AW56" i="12"/>
  <c r="AS56" i="12"/>
  <c r="AK56" i="12"/>
  <c r="AG56" i="12"/>
  <c r="AC56" i="12"/>
  <c r="Y56" i="12"/>
  <c r="W56" i="12"/>
  <c r="U56" i="12"/>
  <c r="S56" i="12"/>
  <c r="Q56" i="12"/>
  <c r="O56" i="12"/>
  <c r="M56" i="12"/>
  <c r="K56" i="12"/>
  <c r="I56" i="12"/>
  <c r="G56" i="12"/>
  <c r="E56" i="12"/>
  <c r="AQ54" i="12"/>
  <c r="AM54" i="12"/>
  <c r="AK54" i="12"/>
  <c r="AI54" i="12"/>
  <c r="AI56" i="12" s="1"/>
  <c r="AG54" i="12"/>
  <c r="AE54" i="12"/>
  <c r="AE56" i="12" s="1"/>
  <c r="AC54" i="12"/>
  <c r="AA54" i="12"/>
  <c r="AA56" i="12" s="1"/>
  <c r="Y54" i="12"/>
  <c r="AO53" i="12"/>
  <c r="AO56" i="12" s="1"/>
  <c r="AW52" i="12"/>
  <c r="AU52" i="12"/>
  <c r="AU56" i="12" s="1"/>
  <c r="AS52" i="12"/>
  <c r="AQ52" i="12"/>
  <c r="AQ56" i="12" s="1"/>
  <c r="AM52" i="12"/>
  <c r="AM56" i="12" s="1"/>
  <c r="AC52" i="12"/>
  <c r="G48" i="12"/>
  <c r="G58" i="12" s="1"/>
  <c r="G64" i="12" s="1"/>
  <c r="BA44" i="12"/>
  <c r="BC44" i="12" s="1"/>
  <c r="BE44" i="12" s="1"/>
  <c r="BG44" i="12" s="1"/>
  <c r="BI44" i="12" s="1"/>
  <c r="BA45" i="12"/>
  <c r="BC45" i="12" s="1"/>
  <c r="BE45" i="12" s="1"/>
  <c r="BG45" i="12" s="1"/>
  <c r="BI45" i="12" s="1"/>
  <c r="BA43" i="12"/>
  <c r="BC43" i="12" s="1"/>
  <c r="BE43" i="12" s="1"/>
  <c r="BG43" i="12" s="1"/>
  <c r="BI43" i="12" s="1"/>
  <c r="AI46" i="12"/>
  <c r="AG46" i="12"/>
  <c r="AE46" i="12"/>
  <c r="AA46" i="12"/>
  <c r="Y46" i="12"/>
  <c r="W46" i="12"/>
  <c r="U46" i="12"/>
  <c r="S46" i="12"/>
  <c r="Q46" i="12"/>
  <c r="O46" i="12"/>
  <c r="M46" i="12"/>
  <c r="K46" i="12"/>
  <c r="K48" i="12" s="1"/>
  <c r="K58" i="12" s="1"/>
  <c r="I46" i="12"/>
  <c r="G46" i="12"/>
  <c r="E46" i="12"/>
  <c r="AO43" i="12"/>
  <c r="AW42" i="12"/>
  <c r="AU42" i="12"/>
  <c r="AU46" i="12" s="1"/>
  <c r="AS42" i="12"/>
  <c r="AQ42" i="12"/>
  <c r="AC42" i="12"/>
  <c r="AC46" i="12" s="1"/>
  <c r="AC41" i="12"/>
  <c r="AK41" i="12"/>
  <c r="AY35" i="12"/>
  <c r="BA35" i="12" s="1"/>
  <c r="BC35" i="12" s="1"/>
  <c r="BE35" i="12" s="1"/>
  <c r="BG35" i="12" s="1"/>
  <c r="BI35" i="12" s="1"/>
  <c r="AU39" i="12"/>
  <c r="AU48" i="12" s="1"/>
  <c r="AU58" i="12" s="1"/>
  <c r="AS39" i="12"/>
  <c r="AQ39" i="12"/>
  <c r="AO39" i="12"/>
  <c r="AM39" i="12"/>
  <c r="AK39" i="12"/>
  <c r="AI39" i="12"/>
  <c r="AI48" i="12" s="1"/>
  <c r="AC38" i="12"/>
  <c r="Y39" i="12"/>
  <c r="Y48" i="12" s="1"/>
  <c r="W39" i="12"/>
  <c r="W48" i="12" s="1"/>
  <c r="W58" i="12" s="1"/>
  <c r="U39" i="12"/>
  <c r="U48" i="12" s="1"/>
  <c r="Q39" i="12"/>
  <c r="Q48" i="12" s="1"/>
  <c r="O39" i="12"/>
  <c r="O48" i="12" s="1"/>
  <c r="O58" i="12" s="1"/>
  <c r="M39" i="12"/>
  <c r="M48" i="12" s="1"/>
  <c r="K39" i="12"/>
  <c r="I39" i="12"/>
  <c r="I48" i="12" s="1"/>
  <c r="G39" i="12"/>
  <c r="E39" i="12"/>
  <c r="E48" i="12" s="1"/>
  <c r="AW35" i="12"/>
  <c r="AU36" i="12"/>
  <c r="AW36" i="12" s="1"/>
  <c r="AY36" i="12" s="1"/>
  <c r="BA36" i="12" s="1"/>
  <c r="BC36" i="12" s="1"/>
  <c r="BE36" i="12" s="1"/>
  <c r="BG36" i="12" s="1"/>
  <c r="BI36" i="12" s="1"/>
  <c r="AI33" i="12"/>
  <c r="AI76" i="12" s="1"/>
  <c r="AG33" i="12"/>
  <c r="AG76" i="12" s="1"/>
  <c r="AE33" i="12"/>
  <c r="AE76" i="12" s="1"/>
  <c r="AC33" i="12"/>
  <c r="AC76" i="12" s="1"/>
  <c r="AA33" i="12"/>
  <c r="Y33" i="12"/>
  <c r="Y76" i="12" s="1"/>
  <c r="S33" i="12"/>
  <c r="Q33" i="12"/>
  <c r="Q76" i="12" s="1"/>
  <c r="BA26" i="12"/>
  <c r="BC26" i="12" s="1"/>
  <c r="BE26" i="12" s="1"/>
  <c r="BG26" i="12" s="1"/>
  <c r="BI26" i="12" s="1"/>
  <c r="BC27" i="12"/>
  <c r="BE27" i="12" s="1"/>
  <c r="BG27" i="12" s="1"/>
  <c r="BI27" i="12" s="1"/>
  <c r="AY26" i="12"/>
  <c r="AU26" i="12"/>
  <c r="AS25" i="12"/>
  <c r="AO25" i="12"/>
  <c r="AQ25" i="12" s="1"/>
  <c r="AK25" i="12"/>
  <c r="AC25" i="12"/>
  <c r="AC24" i="12"/>
  <c r="AE24" i="12"/>
  <c r="BA13" i="12"/>
  <c r="BC13" i="12" s="1"/>
  <c r="BE13" i="12" s="1"/>
  <c r="BG13" i="12" s="1"/>
  <c r="BI13" i="12" s="1"/>
  <c r="AS13" i="12"/>
  <c r="AQ13" i="12"/>
  <c r="AO13" i="12"/>
  <c r="AM13" i="12"/>
  <c r="AK13" i="12"/>
  <c r="AI13" i="12"/>
  <c r="AG13" i="12"/>
  <c r="AE13" i="12"/>
  <c r="AC13" i="12"/>
  <c r="AA13" i="12"/>
  <c r="Y13" i="12"/>
  <c r="W13" i="12"/>
  <c r="U13" i="12"/>
  <c r="S13" i="12"/>
  <c r="Q13" i="12"/>
  <c r="O13" i="12"/>
  <c r="K13" i="12"/>
  <c r="I13" i="12"/>
  <c r="G14" i="12"/>
  <c r="G28" i="12" s="1"/>
  <c r="G13" i="12"/>
  <c r="E14" i="12"/>
  <c r="E28" i="12" s="1"/>
  <c r="E13" i="12"/>
  <c r="AW10" i="12"/>
  <c r="AY10" i="12" s="1"/>
  <c r="BA10" i="12" s="1"/>
  <c r="BC10" i="12" s="1"/>
  <c r="BE10" i="12" s="1"/>
  <c r="BG10" i="12" s="1"/>
  <c r="BI10" i="12" s="1"/>
  <c r="AG9" i="12"/>
  <c r="G6" i="12"/>
  <c r="I6" i="12" s="1"/>
  <c r="K6" i="12" s="1"/>
  <c r="M6" i="12" s="1"/>
  <c r="O6" i="12" s="1"/>
  <c r="Q6" i="12" s="1"/>
  <c r="S6" i="12" s="1"/>
  <c r="U6" i="12" s="1"/>
  <c r="W6" i="12" s="1"/>
  <c r="Y6" i="12" s="1"/>
  <c r="AA6" i="12" s="1"/>
  <c r="AC6" i="12" s="1"/>
  <c r="AE6" i="12" s="1"/>
  <c r="A1" i="12"/>
  <c r="BU54" i="11"/>
  <c r="BQ54" i="11"/>
  <c r="BP54" i="11" s="1"/>
  <c r="N234" i="8" s="1"/>
  <c r="BM54" i="11"/>
  <c r="AC56" i="11"/>
  <c r="AC55" i="11"/>
  <c r="AC54" i="11"/>
  <c r="Y56" i="11"/>
  <c r="Y55" i="11"/>
  <c r="Y54" i="11"/>
  <c r="U56" i="11"/>
  <c r="U55" i="11"/>
  <c r="U54" i="11"/>
  <c r="U53" i="11"/>
  <c r="U57" i="11" s="1"/>
  <c r="S57" i="11"/>
  <c r="EA56" i="11"/>
  <c r="EA55" i="11"/>
  <c r="EA54" i="11"/>
  <c r="DW56" i="11"/>
  <c r="DW55" i="11"/>
  <c r="DW54" i="11"/>
  <c r="DS56" i="11"/>
  <c r="DS55" i="11"/>
  <c r="DS54" i="11"/>
  <c r="DO56" i="11"/>
  <c r="DO55" i="11"/>
  <c r="DO54" i="11"/>
  <c r="DK56" i="11"/>
  <c r="DK55" i="11"/>
  <c r="DK54" i="11"/>
  <c r="DG56" i="11"/>
  <c r="DG55" i="11"/>
  <c r="DG54" i="11"/>
  <c r="DC56" i="11"/>
  <c r="DC55" i="11"/>
  <c r="DC54" i="11"/>
  <c r="CY56" i="11"/>
  <c r="CY55" i="11"/>
  <c r="CY54" i="11"/>
  <c r="CU56" i="11"/>
  <c r="CU55" i="11"/>
  <c r="CU54" i="11"/>
  <c r="CQ56" i="11"/>
  <c r="CQ55" i="11"/>
  <c r="CQ54" i="11"/>
  <c r="CM56" i="11"/>
  <c r="CM55" i="11"/>
  <c r="CM54" i="11"/>
  <c r="CI56" i="11"/>
  <c r="CI55" i="11"/>
  <c r="CI54" i="11"/>
  <c r="CE56" i="11"/>
  <c r="CE55" i="11"/>
  <c r="CA55" i="11"/>
  <c r="BW56" i="11"/>
  <c r="BW55" i="11"/>
  <c r="BW54" i="11"/>
  <c r="BS56" i="11"/>
  <c r="BS55" i="11"/>
  <c r="BS54" i="11"/>
  <c r="BO56" i="11"/>
  <c r="BO55" i="11"/>
  <c r="BO54" i="11"/>
  <c r="BK56" i="11"/>
  <c r="BK55" i="11"/>
  <c r="BK54" i="11"/>
  <c r="BG56" i="11"/>
  <c r="BG55" i="11"/>
  <c r="BG54" i="11"/>
  <c r="BC56" i="11"/>
  <c r="BC55" i="11"/>
  <c r="BC54" i="11"/>
  <c r="AY56" i="11"/>
  <c r="AY55" i="11"/>
  <c r="AY54" i="11"/>
  <c r="AU56" i="11"/>
  <c r="AU55" i="11"/>
  <c r="AU54" i="11"/>
  <c r="AQ56" i="11"/>
  <c r="AQ55" i="11"/>
  <c r="AQ54" i="11"/>
  <c r="AM56" i="11"/>
  <c r="AM55" i="11"/>
  <c r="AM54" i="11"/>
  <c r="AI56" i="11"/>
  <c r="AI55" i="11"/>
  <c r="AI54" i="11"/>
  <c r="AE56" i="11"/>
  <c r="AE55" i="11"/>
  <c r="AE54" i="11"/>
  <c r="AE53" i="11"/>
  <c r="BT54" i="11"/>
  <c r="O234" i="8" s="1"/>
  <c r="W53" i="11"/>
  <c r="W57" i="11" s="1"/>
  <c r="AA53" i="11" s="1"/>
  <c r="AA57" i="11" s="1"/>
  <c r="T53" i="11"/>
  <c r="EC49" i="11"/>
  <c r="EC48" i="11"/>
  <c r="EC47" i="11"/>
  <c r="DY49" i="11"/>
  <c r="DY48" i="11"/>
  <c r="DY47" i="11"/>
  <c r="DU49" i="11"/>
  <c r="DU48" i="11"/>
  <c r="DU47" i="11"/>
  <c r="DQ49" i="11"/>
  <c r="DQ48" i="11"/>
  <c r="DQ47" i="11"/>
  <c r="DM49" i="11"/>
  <c r="DM48" i="11"/>
  <c r="DM47" i="11"/>
  <c r="DI49" i="11"/>
  <c r="DI48" i="11"/>
  <c r="DI47" i="11"/>
  <c r="DE49" i="11"/>
  <c r="DE48" i="11"/>
  <c r="DE47" i="11"/>
  <c r="DA49" i="11"/>
  <c r="DA48" i="11"/>
  <c r="DA47" i="11"/>
  <c r="CW49" i="11"/>
  <c r="CW48" i="11"/>
  <c r="CW47" i="11"/>
  <c r="BS50" i="11"/>
  <c r="CS49" i="11"/>
  <c r="CS48" i="11"/>
  <c r="CS47" i="11"/>
  <c r="CO49" i="11"/>
  <c r="CO48" i="11"/>
  <c r="CO47" i="11"/>
  <c r="CK49" i="11"/>
  <c r="CK48" i="11"/>
  <c r="CK47" i="11"/>
  <c r="CG49" i="11"/>
  <c r="CC49" i="11"/>
  <c r="CC48" i="11"/>
  <c r="CC47" i="11"/>
  <c r="BY49" i="11"/>
  <c r="BY48" i="11"/>
  <c r="BU49" i="11"/>
  <c r="BU48" i="11"/>
  <c r="CG47" i="11"/>
  <c r="CE47" i="11"/>
  <c r="BX47" i="11"/>
  <c r="BY47" i="11" s="1"/>
  <c r="BW46" i="11"/>
  <c r="BW50" i="11" s="1"/>
  <c r="CA46" i="11" s="1"/>
  <c r="CA50" i="11" s="1"/>
  <c r="CE46" i="11" s="1"/>
  <c r="CE50" i="11" s="1"/>
  <c r="CI46" i="11" s="1"/>
  <c r="CI50" i="11" s="1"/>
  <c r="CM46" i="11" s="1"/>
  <c r="CM50" i="11" s="1"/>
  <c r="CQ46" i="11" s="1"/>
  <c r="CQ50" i="11" s="1"/>
  <c r="CU46" i="11" s="1"/>
  <c r="CU50" i="11" s="1"/>
  <c r="CY46" i="11" s="1"/>
  <c r="CY50" i="11" s="1"/>
  <c r="DC46" i="11" s="1"/>
  <c r="DC50" i="11" s="1"/>
  <c r="DG46" i="11" s="1"/>
  <c r="DG50" i="11" s="1"/>
  <c r="DK46" i="11" s="1"/>
  <c r="DK50" i="11" s="1"/>
  <c r="DO46" i="11" s="1"/>
  <c r="DO50" i="11" s="1"/>
  <c r="DS46" i="11" s="1"/>
  <c r="DS50" i="11" s="1"/>
  <c r="DW46" i="11" s="1"/>
  <c r="DW50" i="11" s="1"/>
  <c r="EA46" i="11" s="1"/>
  <c r="EA50" i="11" s="1"/>
  <c r="BU46" i="11"/>
  <c r="BU50" i="11" s="1"/>
  <c r="BT46" i="11"/>
  <c r="EC41" i="11"/>
  <c r="EC40" i="11"/>
  <c r="EC39" i="11"/>
  <c r="DY41" i="11"/>
  <c r="DY40" i="11"/>
  <c r="DY39" i="11"/>
  <c r="DU41" i="11"/>
  <c r="DU40" i="11"/>
  <c r="DU39" i="11"/>
  <c r="DQ41" i="11"/>
  <c r="DQ40" i="11"/>
  <c r="DQ39" i="11"/>
  <c r="DM41" i="11"/>
  <c r="DM40" i="11"/>
  <c r="DM39" i="11"/>
  <c r="DI41" i="11"/>
  <c r="DI40" i="11"/>
  <c r="DI39" i="11"/>
  <c r="DE41" i="11"/>
  <c r="DE40" i="11"/>
  <c r="DE39" i="11"/>
  <c r="DA41" i="11"/>
  <c r="DA40" i="11"/>
  <c r="DA39" i="11"/>
  <c r="CW41" i="11"/>
  <c r="CW40" i="11"/>
  <c r="CW39" i="11"/>
  <c r="CS41" i="11"/>
  <c r="CS40" i="11"/>
  <c r="CS39" i="11"/>
  <c r="CO41" i="11"/>
  <c r="CO40" i="11"/>
  <c r="CO39" i="11"/>
  <c r="CK41" i="11"/>
  <c r="CK40" i="11"/>
  <c r="CK39" i="11"/>
  <c r="CG41" i="11"/>
  <c r="CG40" i="11"/>
  <c r="CG55" i="11" s="1"/>
  <c r="CG39" i="11"/>
  <c r="CC41" i="11"/>
  <c r="CC40" i="11"/>
  <c r="CC39" i="11"/>
  <c r="BY41" i="11"/>
  <c r="BY40" i="11"/>
  <c r="BU41" i="11"/>
  <c r="BU56" i="11" s="1"/>
  <c r="BQ41" i="11"/>
  <c r="BM41" i="11"/>
  <c r="BM56" i="11" s="1"/>
  <c r="BM40" i="11"/>
  <c r="BM55" i="11" s="1"/>
  <c r="BG42" i="11"/>
  <c r="BI41" i="11"/>
  <c r="BI40" i="11"/>
  <c r="BI42" i="11" s="1"/>
  <c r="BX39" i="11"/>
  <c r="BY39" i="11" s="1"/>
  <c r="BL39" i="11"/>
  <c r="BP39" i="11" s="1"/>
  <c r="BH39" i="11"/>
  <c r="BK38" i="11"/>
  <c r="BK42" i="11" s="1"/>
  <c r="BO38" i="11" s="1"/>
  <c r="BO42" i="11" s="1"/>
  <c r="BS38" i="11" s="1"/>
  <c r="BS42" i="11" s="1"/>
  <c r="BW38" i="11" s="1"/>
  <c r="BW42" i="11" s="1"/>
  <c r="CA38" i="11" s="1"/>
  <c r="CA42" i="11" s="1"/>
  <c r="EC32" i="11"/>
  <c r="EC31" i="11"/>
  <c r="DY32" i="11"/>
  <c r="DY31" i="11"/>
  <c r="DU32" i="11"/>
  <c r="DU31" i="11"/>
  <c r="DQ32" i="11"/>
  <c r="DQ31" i="11"/>
  <c r="DM32" i="11"/>
  <c r="DM31" i="11"/>
  <c r="DI32" i="11"/>
  <c r="DI31" i="11"/>
  <c r="DE32" i="11"/>
  <c r="DE31" i="11"/>
  <c r="DA32" i="11"/>
  <c r="DA31" i="11"/>
  <c r="CW32" i="11"/>
  <c r="CW31" i="11"/>
  <c r="CS32" i="11"/>
  <c r="CS31" i="11"/>
  <c r="CO32" i="11"/>
  <c r="CO31" i="11"/>
  <c r="CK32" i="11"/>
  <c r="CK31" i="11"/>
  <c r="CG32" i="11"/>
  <c r="BQ32" i="11"/>
  <c r="BQ56" i="11" s="1"/>
  <c r="BI32" i="11"/>
  <c r="BI31" i="11"/>
  <c r="BE32" i="11"/>
  <c r="BE31" i="11"/>
  <c r="AW32" i="11"/>
  <c r="AW31" i="11"/>
  <c r="AQ33" i="11"/>
  <c r="CA32" i="11"/>
  <c r="CC32" i="11" s="1"/>
  <c r="BX32" i="11"/>
  <c r="BY32" i="11" s="1"/>
  <c r="BX31" i="11"/>
  <c r="BL32" i="11"/>
  <c r="BL31" i="11"/>
  <c r="BA32" i="11"/>
  <c r="BA31" i="11"/>
  <c r="AS32" i="11"/>
  <c r="AS31" i="11"/>
  <c r="BU31" i="11"/>
  <c r="BU55" i="11" s="1"/>
  <c r="CF30" i="11"/>
  <c r="CG30" i="11" s="1"/>
  <c r="CB30" i="11"/>
  <c r="CC30" i="11" s="1"/>
  <c r="DA29" i="11"/>
  <c r="CK29" i="11"/>
  <c r="CG29" i="11"/>
  <c r="CA29" i="11"/>
  <c r="CA54" i="11" s="1"/>
  <c r="BL29" i="11"/>
  <c r="BI29" i="11"/>
  <c r="BI28" i="11"/>
  <c r="BI33" i="11" s="1"/>
  <c r="BE29" i="11"/>
  <c r="BE28" i="11"/>
  <c r="BE33" i="11" s="1"/>
  <c r="BA29" i="11"/>
  <c r="AW29" i="11"/>
  <c r="AS29" i="11"/>
  <c r="AS33" i="11" s="1"/>
  <c r="DH29" i="11"/>
  <c r="DE29" i="11"/>
  <c r="DD29" i="11"/>
  <c r="CV29" i="11"/>
  <c r="CN29" i="11"/>
  <c r="CR29" i="11" s="1"/>
  <c r="CS29" i="11" s="1"/>
  <c r="BX29" i="11"/>
  <c r="BY29" i="11" s="1"/>
  <c r="BM28" i="11"/>
  <c r="AU28" i="11"/>
  <c r="AU33" i="11" s="1"/>
  <c r="AY28" i="11" s="1"/>
  <c r="AY33" i="11" s="1"/>
  <c r="CW22" i="11"/>
  <c r="CW21" i="11"/>
  <c r="CW20" i="11"/>
  <c r="CS22" i="11"/>
  <c r="CS21" i="11"/>
  <c r="CS20" i="11"/>
  <c r="CO22" i="11"/>
  <c r="CO21" i="11"/>
  <c r="CO20" i="11"/>
  <c r="CK22" i="11"/>
  <c r="CK21" i="11"/>
  <c r="CK20" i="11"/>
  <c r="CG22" i="11"/>
  <c r="CC21" i="11"/>
  <c r="CC20" i="11"/>
  <c r="BY21" i="11"/>
  <c r="BI22" i="11"/>
  <c r="BI21" i="11"/>
  <c r="BI20" i="11"/>
  <c r="BE22" i="11"/>
  <c r="BE21" i="11"/>
  <c r="BE20" i="11"/>
  <c r="BE19" i="11"/>
  <c r="AW22" i="11"/>
  <c r="AW21" i="11"/>
  <c r="AW20" i="11"/>
  <c r="AS22" i="11"/>
  <c r="AS21" i="11"/>
  <c r="AS20" i="11"/>
  <c r="AO22" i="11"/>
  <c r="AO21" i="11"/>
  <c r="AO20" i="11"/>
  <c r="CA22" i="11"/>
  <c r="CC22" i="11" s="1"/>
  <c r="BX22" i="11"/>
  <c r="BY22" i="11" s="1"/>
  <c r="BX21" i="11"/>
  <c r="BX20" i="11"/>
  <c r="BY20" i="11" s="1"/>
  <c r="BL22" i="11"/>
  <c r="BL21" i="11"/>
  <c r="BL20" i="11"/>
  <c r="BA22" i="11"/>
  <c r="BA21" i="11"/>
  <c r="BA20" i="11"/>
  <c r="AK22" i="11"/>
  <c r="AK21" i="11"/>
  <c r="AK20" i="11"/>
  <c r="AK19" i="11"/>
  <c r="BQ21" i="11"/>
  <c r="BQ55" i="11" s="1"/>
  <c r="CG20" i="11"/>
  <c r="AJ19" i="11"/>
  <c r="AI19" i="11"/>
  <c r="AI23" i="11" s="1"/>
  <c r="AM19" i="11" s="1"/>
  <c r="AM23" i="11" s="1"/>
  <c r="AQ19" i="11" s="1"/>
  <c r="AQ23" i="11" s="1"/>
  <c r="AU19" i="11" s="1"/>
  <c r="AU23" i="11" s="1"/>
  <c r="AY19" i="11" s="1"/>
  <c r="AY23" i="11" s="1"/>
  <c r="EC13" i="11"/>
  <c r="EC56" i="11" s="1"/>
  <c r="EC12" i="11"/>
  <c r="EC55" i="11" s="1"/>
  <c r="EC11" i="11"/>
  <c r="DY13" i="11"/>
  <c r="DY56" i="11" s="1"/>
  <c r="DY12" i="11"/>
  <c r="DY55" i="11" s="1"/>
  <c r="DY11" i="11"/>
  <c r="DU13" i="11"/>
  <c r="DU56" i="11" s="1"/>
  <c r="DU12" i="11"/>
  <c r="DU55" i="11" s="1"/>
  <c r="DU11" i="11"/>
  <c r="DQ13" i="11"/>
  <c r="DQ56" i="11" s="1"/>
  <c r="DQ12" i="11"/>
  <c r="DQ55" i="11" s="1"/>
  <c r="DQ11" i="11"/>
  <c r="DM13" i="11"/>
  <c r="DM56" i="11" s="1"/>
  <c r="DM12" i="11"/>
  <c r="DM55" i="11" s="1"/>
  <c r="DM11" i="11"/>
  <c r="DI13" i="11"/>
  <c r="DI56" i="11" s="1"/>
  <c r="DI12" i="11"/>
  <c r="DI55" i="11" s="1"/>
  <c r="DI11" i="11"/>
  <c r="DE13" i="11"/>
  <c r="DE56" i="11" s="1"/>
  <c r="DE12" i="11"/>
  <c r="DE55" i="11" s="1"/>
  <c r="DE11" i="11"/>
  <c r="DA13" i="11"/>
  <c r="DA56" i="11" s="1"/>
  <c r="DA12" i="11"/>
  <c r="DA55" i="11" s="1"/>
  <c r="DA11" i="11"/>
  <c r="CW13" i="11"/>
  <c r="CW12" i="11"/>
  <c r="CW55" i="11" s="1"/>
  <c r="CW11" i="11"/>
  <c r="CS13" i="11"/>
  <c r="CS12" i="11"/>
  <c r="CS11" i="11"/>
  <c r="CO13" i="11"/>
  <c r="CO56" i="11" s="1"/>
  <c r="CO12" i="11"/>
  <c r="CO55" i="11" s="1"/>
  <c r="CO11" i="11"/>
  <c r="CK13" i="11"/>
  <c r="CK12" i="11"/>
  <c r="CK55" i="11" s="1"/>
  <c r="CK11" i="11"/>
  <c r="CK10" i="11"/>
  <c r="CK54" i="11" s="1"/>
  <c r="CG13" i="11"/>
  <c r="CC12" i="11"/>
  <c r="CC55" i="11" s="1"/>
  <c r="CC11" i="11"/>
  <c r="CC10" i="11"/>
  <c r="BI13" i="11"/>
  <c r="BI12" i="11"/>
  <c r="BE13" i="11"/>
  <c r="BE56" i="11" s="1"/>
  <c r="BE12" i="11"/>
  <c r="BA13" i="11"/>
  <c r="BA56" i="11" s="1"/>
  <c r="BA12" i="11"/>
  <c r="BA55" i="11" s="1"/>
  <c r="AW13" i="11"/>
  <c r="AW12" i="11"/>
  <c r="AS13" i="11"/>
  <c r="AS56" i="11" s="1"/>
  <c r="AS12" i="11"/>
  <c r="AS55" i="11" s="1"/>
  <c r="AO13" i="11"/>
  <c r="AO56" i="11" s="1"/>
  <c r="AO12" i="11"/>
  <c r="AO55" i="11" s="1"/>
  <c r="AK13" i="11"/>
  <c r="AK56" i="11" s="1"/>
  <c r="AK12" i="11"/>
  <c r="AK55" i="11" s="1"/>
  <c r="AG13" i="11"/>
  <c r="AG56" i="11" s="1"/>
  <c r="AG12" i="11"/>
  <c r="AG55" i="11" s="1"/>
  <c r="AC13" i="11"/>
  <c r="AC12" i="11"/>
  <c r="Y13" i="11"/>
  <c r="Y12" i="11"/>
  <c r="U13" i="11"/>
  <c r="U12" i="11"/>
  <c r="CY14" i="11"/>
  <c r="AI14" i="11"/>
  <c r="AI57" i="11" s="1"/>
  <c r="AE14" i="11"/>
  <c r="AE57" i="11" s="1"/>
  <c r="AA14" i="11"/>
  <c r="S14" i="11"/>
  <c r="W9" i="11" s="1"/>
  <c r="W14" i="11" s="1"/>
  <c r="AA9" i="11" s="1"/>
  <c r="CA13" i="11"/>
  <c r="BX13" i="11"/>
  <c r="BY13" i="11" s="1"/>
  <c r="BX12" i="11"/>
  <c r="BY12" i="11" s="1"/>
  <c r="BY55" i="11" s="1"/>
  <c r="BL13" i="11"/>
  <c r="CG11" i="11"/>
  <c r="CN10" i="11"/>
  <c r="CJ10" i="11"/>
  <c r="CE10" i="11"/>
  <c r="BL10" i="11"/>
  <c r="BI10" i="11"/>
  <c r="BI54" i="11" s="1"/>
  <c r="BH54" i="11" s="1"/>
  <c r="L234" i="8" s="1"/>
  <c r="BE10" i="11"/>
  <c r="BE54" i="11" s="1"/>
  <c r="BD54" i="11" s="1"/>
  <c r="K234" i="8" s="1"/>
  <c r="BA10" i="11"/>
  <c r="BA54" i="11" s="1"/>
  <c r="AW10" i="11"/>
  <c r="AW54" i="11" s="1"/>
  <c r="AV54" i="11" s="1"/>
  <c r="AS10" i="11"/>
  <c r="AO10" i="11"/>
  <c r="AO54" i="11" s="1"/>
  <c r="AN54" i="11" s="1"/>
  <c r="G234" i="8" s="1"/>
  <c r="AK10" i="11"/>
  <c r="AG10" i="11"/>
  <c r="AG54" i="11" s="1"/>
  <c r="AF54" i="11" s="1"/>
  <c r="AC10" i="11"/>
  <c r="Y10" i="11"/>
  <c r="U10" i="11"/>
  <c r="U9" i="11"/>
  <c r="DC9" i="11"/>
  <c r="BY10" i="11"/>
  <c r="BY54" i="11" s="1"/>
  <c r="BX54" i="11" s="1"/>
  <c r="P234" i="8" s="1"/>
  <c r="BX10" i="11"/>
  <c r="AM9" i="11"/>
  <c r="AI9" i="11"/>
  <c r="AI53" i="11" s="1"/>
  <c r="AJ53" i="11" s="1"/>
  <c r="T9" i="11"/>
  <c r="CI4" i="11"/>
  <c r="CM4" i="11" s="1"/>
  <c r="CQ4" i="11" s="1"/>
  <c r="CU4" i="11" s="1"/>
  <c r="CY4" i="11" s="1"/>
  <c r="DC4" i="11" s="1"/>
  <c r="DG4" i="11" s="1"/>
  <c r="DK4" i="11" s="1"/>
  <c r="DO4" i="11" s="1"/>
  <c r="DS4" i="11" s="1"/>
  <c r="DW4" i="11" s="1"/>
  <c r="EA4" i="11" s="1"/>
  <c r="BS4" i="11"/>
  <c r="BW4" i="11" s="1"/>
  <c r="CA4" i="11" s="1"/>
  <c r="CE4" i="11" s="1"/>
  <c r="BO4" i="11"/>
  <c r="A1" i="11"/>
  <c r="C37" i="42"/>
  <c r="C36" i="42"/>
  <c r="C35" i="42"/>
  <c r="C34" i="42"/>
  <c r="P29" i="42"/>
  <c r="Q29" i="42" s="1"/>
  <c r="P28" i="42"/>
  <c r="Q28" i="42" s="1"/>
  <c r="AK29" i="42"/>
  <c r="AK28" i="42"/>
  <c r="AE30" i="42"/>
  <c r="AF30" i="42" s="1"/>
  <c r="AE29" i="42"/>
  <c r="AF29" i="42" s="1"/>
  <c r="AE28" i="42"/>
  <c r="AF28" i="42" s="1"/>
  <c r="AB31" i="42"/>
  <c r="AC31" i="42" s="1"/>
  <c r="AB30" i="42"/>
  <c r="AC30" i="42" s="1"/>
  <c r="AB29" i="42"/>
  <c r="AC29" i="42" s="1"/>
  <c r="AB28" i="42"/>
  <c r="AC28" i="42" s="1"/>
  <c r="Y31" i="42"/>
  <c r="Z31" i="42" s="1"/>
  <c r="AJ31" i="42" s="1"/>
  <c r="Y30" i="42"/>
  <c r="Z30" i="42" s="1"/>
  <c r="AJ30" i="42" s="1"/>
  <c r="Y29" i="42"/>
  <c r="Z29" i="42" s="1"/>
  <c r="AJ29" i="42" s="1"/>
  <c r="Y28" i="42"/>
  <c r="Z28" i="42" s="1"/>
  <c r="AJ28" i="42" s="1"/>
  <c r="V31" i="42"/>
  <c r="W31" i="42" s="1"/>
  <c r="V30" i="42"/>
  <c r="W30" i="42" s="1"/>
  <c r="V29" i="42"/>
  <c r="W29" i="42" s="1"/>
  <c r="V28" i="42"/>
  <c r="W28" i="42" s="1"/>
  <c r="S31" i="42"/>
  <c r="T31" i="42" s="1"/>
  <c r="S30" i="42"/>
  <c r="S29" i="42"/>
  <c r="T29" i="42" s="1"/>
  <c r="S28" i="42"/>
  <c r="T28" i="42" s="1"/>
  <c r="M31" i="42"/>
  <c r="Q31" i="42" s="1"/>
  <c r="M30" i="42"/>
  <c r="N30" i="42" s="1"/>
  <c r="M29" i="42"/>
  <c r="M28" i="42"/>
  <c r="J30" i="42"/>
  <c r="K30" i="42" s="1"/>
  <c r="G31" i="42"/>
  <c r="G30" i="42"/>
  <c r="G29" i="42"/>
  <c r="AK27" i="42"/>
  <c r="AK26" i="42"/>
  <c r="AO24" i="42"/>
  <c r="AO23" i="42"/>
  <c r="AO22" i="42"/>
  <c r="AO21" i="42"/>
  <c r="AO20" i="42"/>
  <c r="AO19" i="42"/>
  <c r="AO18" i="42"/>
  <c r="AO17" i="42"/>
  <c r="AO16" i="42"/>
  <c r="AO15" i="42"/>
  <c r="AL24" i="42"/>
  <c r="AK24" i="42"/>
  <c r="AB24" i="42"/>
  <c r="AB25" i="42" s="1"/>
  <c r="Y24" i="42"/>
  <c r="Z24" i="42" s="1"/>
  <c r="V24" i="42"/>
  <c r="V25" i="42" s="1"/>
  <c r="W25" i="42" s="1"/>
  <c r="S24" i="42"/>
  <c r="S25" i="42" s="1"/>
  <c r="M24" i="42"/>
  <c r="AC23" i="42"/>
  <c r="AC22" i="42"/>
  <c r="AC21" i="42"/>
  <c r="AC20" i="42"/>
  <c r="N23" i="42"/>
  <c r="AF22" i="42"/>
  <c r="AF21" i="42"/>
  <c r="AF20" i="42"/>
  <c r="AL23" i="42"/>
  <c r="AK23" i="42"/>
  <c r="AL22" i="42"/>
  <c r="AK22" i="42"/>
  <c r="AL21" i="42"/>
  <c r="AK21" i="42"/>
  <c r="AJ21" i="42"/>
  <c r="AL20" i="42"/>
  <c r="AK20" i="42"/>
  <c r="Z23" i="42"/>
  <c r="Z22" i="42"/>
  <c r="Z21" i="42"/>
  <c r="Z20" i="42"/>
  <c r="W23" i="42"/>
  <c r="AJ23" i="42" s="1"/>
  <c r="W22" i="42"/>
  <c r="AJ22" i="42" s="1"/>
  <c r="W21" i="42"/>
  <c r="W20" i="42"/>
  <c r="AJ20" i="42" s="1"/>
  <c r="T22" i="42"/>
  <c r="T21" i="42"/>
  <c r="T20" i="42"/>
  <c r="Q22" i="42"/>
  <c r="Q21" i="42"/>
  <c r="Q20" i="42"/>
  <c r="N22" i="42"/>
  <c r="N21" i="42"/>
  <c r="K23" i="42"/>
  <c r="K22" i="42"/>
  <c r="K21" i="42"/>
  <c r="J20" i="42"/>
  <c r="J28" i="42" s="1"/>
  <c r="G20" i="42"/>
  <c r="G28" i="42" s="1"/>
  <c r="AB17" i="42"/>
  <c r="AC17" i="42" s="1"/>
  <c r="Y17" i="42"/>
  <c r="Z17" i="42" s="1"/>
  <c r="V17" i="42"/>
  <c r="S17" i="42"/>
  <c r="M17" i="42"/>
  <c r="G17" i="42"/>
  <c r="AC16" i="42"/>
  <c r="AC15" i="42"/>
  <c r="AC14" i="42"/>
  <c r="AC13" i="42"/>
  <c r="J16" i="42"/>
  <c r="K16" i="42" s="1"/>
  <c r="C16" i="42"/>
  <c r="AL19" i="42"/>
  <c r="AK19" i="42"/>
  <c r="AL18" i="42"/>
  <c r="AK18" i="42"/>
  <c r="AL17" i="42"/>
  <c r="AK17" i="42"/>
  <c r="AL16" i="42"/>
  <c r="AK16" i="42"/>
  <c r="AL15" i="42"/>
  <c r="AK15" i="42"/>
  <c r="AJ15" i="42"/>
  <c r="AF15" i="42"/>
  <c r="AF14" i="42"/>
  <c r="AF13" i="42"/>
  <c r="P15" i="42"/>
  <c r="N15" i="42"/>
  <c r="C14" i="42"/>
  <c r="C13" i="42"/>
  <c r="Z16" i="42"/>
  <c r="Z15" i="42"/>
  <c r="Z14" i="42"/>
  <c r="Z13" i="42"/>
  <c r="W16" i="42"/>
  <c r="W15" i="42"/>
  <c r="W14" i="42"/>
  <c r="W13" i="42"/>
  <c r="T14" i="42"/>
  <c r="T13" i="42"/>
  <c r="Q14" i="42"/>
  <c r="Q13" i="42"/>
  <c r="K15" i="42"/>
  <c r="J14" i="42"/>
  <c r="N14" i="42" s="1"/>
  <c r="H14" i="42"/>
  <c r="J13" i="42"/>
  <c r="K13" i="42" s="1"/>
  <c r="R9" i="42"/>
  <c r="R23" i="42" s="1"/>
  <c r="R8" i="42"/>
  <c r="R15" i="42" s="1"/>
  <c r="R7" i="42"/>
  <c r="R21" i="42" s="1"/>
  <c r="R6" i="42"/>
  <c r="O9" i="42"/>
  <c r="O8" i="42"/>
  <c r="O22" i="42" s="1"/>
  <c r="O7" i="42"/>
  <c r="O14" i="42" s="1"/>
  <c r="O6" i="42"/>
  <c r="M9" i="42"/>
  <c r="L9" i="42"/>
  <c r="L16" i="42" s="1"/>
  <c r="I9" i="42"/>
  <c r="I23" i="42" s="1"/>
  <c r="I8" i="42"/>
  <c r="I22" i="42" s="1"/>
  <c r="I7" i="42"/>
  <c r="I21" i="42" s="1"/>
  <c r="I6" i="42"/>
  <c r="I13" i="42" s="1"/>
  <c r="F9" i="42"/>
  <c r="F23" i="42" s="1"/>
  <c r="F8" i="42"/>
  <c r="F22" i="42" s="1"/>
  <c r="F7" i="42"/>
  <c r="F21" i="42" s="1"/>
  <c r="F6" i="42"/>
  <c r="F13" i="42" s="1"/>
  <c r="C9" i="42"/>
  <c r="D23" i="42" s="1"/>
  <c r="H23" i="42" s="1"/>
  <c r="C8" i="42"/>
  <c r="D22" i="42" s="1"/>
  <c r="H22" i="42" s="1"/>
  <c r="C7" i="42"/>
  <c r="D21" i="42" s="1"/>
  <c r="H21" i="42" s="1"/>
  <c r="C6" i="42"/>
  <c r="D20" i="42" s="1"/>
  <c r="L8" i="42"/>
  <c r="L22" i="42" s="1"/>
  <c r="L7" i="42"/>
  <c r="L21" i="42" s="1"/>
  <c r="L6" i="42"/>
  <c r="L20" i="42" s="1"/>
  <c r="AD8" i="42"/>
  <c r="AD22" i="42" s="1"/>
  <c r="AD7" i="42"/>
  <c r="AD21" i="42" s="1"/>
  <c r="AC7" i="42"/>
  <c r="AD6" i="42"/>
  <c r="AD20" i="42" s="1"/>
  <c r="AA9" i="42"/>
  <c r="AA16" i="42" s="1"/>
  <c r="Z9" i="42"/>
  <c r="AA8" i="42"/>
  <c r="AA22" i="42" s="1"/>
  <c r="AA7" i="42"/>
  <c r="AA14" i="42" s="1"/>
  <c r="Z7" i="42"/>
  <c r="AA6" i="42"/>
  <c r="AC6" i="42" s="1"/>
  <c r="X9" i="42"/>
  <c r="X16" i="42" s="1"/>
  <c r="W9" i="42"/>
  <c r="X8" i="42"/>
  <c r="X22" i="42" s="1"/>
  <c r="X7" i="42"/>
  <c r="X14" i="42" s="1"/>
  <c r="W7" i="42"/>
  <c r="X6" i="42"/>
  <c r="X20" i="42" s="1"/>
  <c r="U9" i="42"/>
  <c r="U16" i="42" s="1"/>
  <c r="T9" i="42"/>
  <c r="U8" i="42"/>
  <c r="U22" i="42" s="1"/>
  <c r="T8" i="42"/>
  <c r="U7" i="42"/>
  <c r="U14" i="42" s="1"/>
  <c r="T7" i="42"/>
  <c r="U6" i="42"/>
  <c r="U20" i="42" s="1"/>
  <c r="T6" i="42"/>
  <c r="AD291" i="8"/>
  <c r="AC291" i="8"/>
  <c r="AB291" i="8"/>
  <c r="AA291" i="8"/>
  <c r="Z291" i="8"/>
  <c r="Y291" i="8"/>
  <c r="X291" i="8"/>
  <c r="W291" i="8"/>
  <c r="V291" i="8"/>
  <c r="U291" i="8"/>
  <c r="T291" i="8"/>
  <c r="S291" i="8"/>
  <c r="R291" i="8"/>
  <c r="Q291" i="8"/>
  <c r="P291" i="8"/>
  <c r="O291" i="8"/>
  <c r="U289" i="8"/>
  <c r="T289" i="8"/>
  <c r="S289" i="8"/>
  <c r="R289" i="8"/>
  <c r="Q289" i="8"/>
  <c r="O280" i="8"/>
  <c r="O283" i="8" s="1"/>
  <c r="O277" i="8"/>
  <c r="O286" i="8" s="1"/>
  <c r="O274" i="8"/>
  <c r="O271" i="8"/>
  <c r="O270" i="8"/>
  <c r="U268" i="8"/>
  <c r="T268" i="8"/>
  <c r="Z267" i="8"/>
  <c r="Y267" i="8"/>
  <c r="X267" i="8"/>
  <c r="W267" i="8"/>
  <c r="V267" i="8"/>
  <c r="U267" i="8"/>
  <c r="T267" i="8"/>
  <c r="R267" i="8"/>
  <c r="Q267" i="8"/>
  <c r="P267" i="8"/>
  <c r="P266" i="8"/>
  <c r="P270" i="8" s="1"/>
  <c r="Q266" i="8" s="1"/>
  <c r="A262" i="8"/>
  <c r="U259" i="8"/>
  <c r="P259" i="8"/>
  <c r="V258" i="8"/>
  <c r="U258" i="8"/>
  <c r="T258" i="8"/>
  <c r="S258" i="8"/>
  <c r="T259" i="8" s="1"/>
  <c r="R258" i="8"/>
  <c r="Q258" i="8"/>
  <c r="P258" i="8"/>
  <c r="AD241" i="8"/>
  <c r="AC241" i="8"/>
  <c r="AB241" i="8"/>
  <c r="AA241" i="8"/>
  <c r="X240" i="8"/>
  <c r="W240" i="8"/>
  <c r="U240" i="8"/>
  <c r="T240" i="8"/>
  <c r="S240" i="8"/>
  <c r="Q240" i="8"/>
  <c r="L240" i="8"/>
  <c r="L9" i="10" s="1"/>
  <c r="K240" i="8"/>
  <c r="J240" i="8"/>
  <c r="J9" i="10" s="1"/>
  <c r="I240" i="8"/>
  <c r="H240" i="8"/>
  <c r="H9" i="10" s="1"/>
  <c r="G240" i="8"/>
  <c r="F240" i="8"/>
  <c r="F9" i="10" s="1"/>
  <c r="E240" i="8"/>
  <c r="D240" i="8"/>
  <c r="D9" i="10" s="1"/>
  <c r="C240" i="8"/>
  <c r="B240" i="8"/>
  <c r="B9" i="10" s="1"/>
  <c r="I234" i="8"/>
  <c r="E234" i="8"/>
  <c r="E235" i="8" s="1"/>
  <c r="D234" i="8"/>
  <c r="D235" i="8" s="1"/>
  <c r="C234" i="8"/>
  <c r="C235" i="8" s="1"/>
  <c r="B234" i="8"/>
  <c r="I229" i="8"/>
  <c r="H229" i="8"/>
  <c r="X228" i="8"/>
  <c r="X229" i="8" s="1"/>
  <c r="W228" i="8"/>
  <c r="V228" i="8"/>
  <c r="U228" i="8"/>
  <c r="T228" i="8"/>
  <c r="X225" i="8"/>
  <c r="V225" i="8"/>
  <c r="V226" i="8" s="1"/>
  <c r="U225" i="8"/>
  <c r="I225" i="8"/>
  <c r="I226" i="8" s="1"/>
  <c r="H225" i="8"/>
  <c r="D214" i="8"/>
  <c r="C214" i="8"/>
  <c r="B214" i="8"/>
  <c r="AD215" i="8"/>
  <c r="AC215" i="8"/>
  <c r="AB215" i="8"/>
  <c r="AA215" i="8"/>
  <c r="Z215" i="8"/>
  <c r="Y215" i="8"/>
  <c r="X215" i="8"/>
  <c r="W215" i="8"/>
  <c r="V215" i="8"/>
  <c r="U215" i="8"/>
  <c r="T215" i="8"/>
  <c r="S215" i="8"/>
  <c r="R215" i="8"/>
  <c r="Q215" i="8"/>
  <c r="P215" i="8"/>
  <c r="O215" i="8"/>
  <c r="AD214" i="8"/>
  <c r="AC214" i="8"/>
  <c r="AB214" i="8"/>
  <c r="AA214" i="8"/>
  <c r="Z214" i="8"/>
  <c r="Y214" i="8"/>
  <c r="X214" i="8"/>
  <c r="W214" i="8"/>
  <c r="V214" i="8"/>
  <c r="U214" i="8"/>
  <c r="T214" i="8"/>
  <c r="S214" i="8"/>
  <c r="R214" i="8"/>
  <c r="O214" i="8"/>
  <c r="O212" i="8"/>
  <c r="O211" i="8"/>
  <c r="G213" i="8"/>
  <c r="F213" i="8"/>
  <c r="E213" i="8"/>
  <c r="D213" i="8"/>
  <c r="C213" i="8"/>
  <c r="B213" i="8"/>
  <c r="E212" i="8"/>
  <c r="D212" i="8"/>
  <c r="C212" i="8"/>
  <c r="B212" i="8"/>
  <c r="B211" i="8"/>
  <c r="B210" i="8"/>
  <c r="B209" i="8"/>
  <c r="L204" i="8"/>
  <c r="T205" i="8"/>
  <c r="P205" i="8"/>
  <c r="M205" i="8"/>
  <c r="V204" i="8"/>
  <c r="V205" i="8" s="1"/>
  <c r="U204" i="8"/>
  <c r="T204" i="8"/>
  <c r="U205" i="8" s="1"/>
  <c r="S204" i="8"/>
  <c r="R204" i="8"/>
  <c r="R205" i="8" s="1"/>
  <c r="Q204" i="8"/>
  <c r="P204" i="8"/>
  <c r="Q205" i="8" s="1"/>
  <c r="O204" i="8"/>
  <c r="N204" i="8"/>
  <c r="N205" i="8" s="1"/>
  <c r="M204" i="8"/>
  <c r="B200" i="8"/>
  <c r="B256" i="8" s="1"/>
  <c r="A197" i="8"/>
  <c r="Q188" i="8"/>
  <c r="P188" i="8"/>
  <c r="O188" i="8"/>
  <c r="N188" i="8"/>
  <c r="M188" i="8"/>
  <c r="L188" i="8"/>
  <c r="P186" i="8"/>
  <c r="L177" i="8"/>
  <c r="L167" i="8"/>
  <c r="P165" i="8"/>
  <c r="O165" i="8"/>
  <c r="M165" i="8"/>
  <c r="L165" i="8"/>
  <c r="N164" i="8"/>
  <c r="N214" i="8" s="1"/>
  <c r="M164" i="8"/>
  <c r="M214" i="8" s="1"/>
  <c r="L164" i="8"/>
  <c r="L214" i="8" s="1"/>
  <c r="Q164" i="8"/>
  <c r="Q214" i="8" s="1"/>
  <c r="P164" i="8"/>
  <c r="P214" i="8" s="1"/>
  <c r="L163" i="8"/>
  <c r="O159" i="8"/>
  <c r="A159" i="8"/>
  <c r="N156" i="8"/>
  <c r="P155" i="8"/>
  <c r="N155" i="8"/>
  <c r="N159" i="8" s="1"/>
  <c r="M155" i="8"/>
  <c r="D153" i="8"/>
  <c r="C153" i="8"/>
  <c r="B153" i="8"/>
  <c r="A150" i="8"/>
  <c r="X140" i="8"/>
  <c r="W140" i="8"/>
  <c r="U140" i="8"/>
  <c r="T140" i="8"/>
  <c r="S140" i="8"/>
  <c r="R140" i="8"/>
  <c r="Q140" i="8"/>
  <c r="P140" i="8"/>
  <c r="O140" i="8"/>
  <c r="N140" i="8"/>
  <c r="M140" i="8"/>
  <c r="L140" i="8"/>
  <c r="K140" i="8"/>
  <c r="J140" i="8"/>
  <c r="I140" i="8"/>
  <c r="H140" i="8"/>
  <c r="X138" i="8"/>
  <c r="W138" i="8"/>
  <c r="V138" i="8"/>
  <c r="U138" i="8"/>
  <c r="T138" i="8"/>
  <c r="S138" i="8"/>
  <c r="Q138" i="8"/>
  <c r="P138" i="8"/>
  <c r="L129" i="8"/>
  <c r="K129" i="8"/>
  <c r="J129" i="8"/>
  <c r="H129" i="8"/>
  <c r="N118" i="8"/>
  <c r="N217" i="8" s="1"/>
  <c r="M118" i="8"/>
  <c r="AD117" i="8"/>
  <c r="AC117" i="8"/>
  <c r="AB117" i="8"/>
  <c r="AA117" i="8"/>
  <c r="Z117" i="8"/>
  <c r="Y117" i="8"/>
  <c r="X117" i="8"/>
  <c r="W117" i="8"/>
  <c r="V117" i="8"/>
  <c r="U117" i="8"/>
  <c r="T117" i="8"/>
  <c r="S117" i="8"/>
  <c r="R117" i="8"/>
  <c r="Q117" i="8"/>
  <c r="P117" i="8"/>
  <c r="O117" i="8"/>
  <c r="N117" i="8"/>
  <c r="M117" i="8"/>
  <c r="L117" i="8"/>
  <c r="K117" i="8"/>
  <c r="J117" i="8"/>
  <c r="I117" i="8"/>
  <c r="H117" i="8"/>
  <c r="AD116" i="8"/>
  <c r="AD213" i="8" s="1"/>
  <c r="AC116" i="8"/>
  <c r="AC213" i="8" s="1"/>
  <c r="AB116" i="8"/>
  <c r="AB213" i="8" s="1"/>
  <c r="AA116" i="8"/>
  <c r="AA213" i="8" s="1"/>
  <c r="Z116" i="8"/>
  <c r="Z213" i="8" s="1"/>
  <c r="Y116" i="8"/>
  <c r="Y213" i="8" s="1"/>
  <c r="X116" i="8"/>
  <c r="X213" i="8" s="1"/>
  <c r="W116" i="8"/>
  <c r="W213" i="8" s="1"/>
  <c r="V116" i="8"/>
  <c r="V213" i="8" s="1"/>
  <c r="U116" i="8"/>
  <c r="U213" i="8" s="1"/>
  <c r="T116" i="8"/>
  <c r="T213" i="8" s="1"/>
  <c r="S116" i="8"/>
  <c r="S213" i="8" s="1"/>
  <c r="R116" i="8"/>
  <c r="R213" i="8" s="1"/>
  <c r="Q116" i="8"/>
  <c r="Q213" i="8" s="1"/>
  <c r="P116" i="8"/>
  <c r="P213" i="8" s="1"/>
  <c r="O116" i="8"/>
  <c r="O213" i="8" s="1"/>
  <c r="O210" i="8" s="1"/>
  <c r="N116" i="8"/>
  <c r="N213" i="8" s="1"/>
  <c r="M116" i="8"/>
  <c r="M213" i="8" s="1"/>
  <c r="L116" i="8"/>
  <c r="L213" i="8" s="1"/>
  <c r="K116" i="8"/>
  <c r="K213" i="8" s="1"/>
  <c r="J116" i="8"/>
  <c r="J213" i="8" s="1"/>
  <c r="I116" i="8"/>
  <c r="I213" i="8" s="1"/>
  <c r="H116" i="8"/>
  <c r="H213" i="8" s="1"/>
  <c r="H115" i="8"/>
  <c r="H119" i="8" s="1"/>
  <c r="H120" i="8" s="1"/>
  <c r="U110" i="8"/>
  <c r="Q110" i="8"/>
  <c r="O110" i="8"/>
  <c r="M110" i="8"/>
  <c r="A110" i="8"/>
  <c r="K108" i="8"/>
  <c r="K106" i="8"/>
  <c r="V109" i="8"/>
  <c r="S109" i="8"/>
  <c r="O109" i="8"/>
  <c r="V108" i="8"/>
  <c r="U108" i="8"/>
  <c r="T108" i="8"/>
  <c r="U109" i="8" s="1"/>
  <c r="S108" i="8"/>
  <c r="R108" i="8"/>
  <c r="R109" i="8" s="1"/>
  <c r="Q108" i="8"/>
  <c r="P108" i="8"/>
  <c r="Q109" i="8" s="1"/>
  <c r="O108" i="8"/>
  <c r="N108" i="8"/>
  <c r="N109" i="8" s="1"/>
  <c r="M108" i="8"/>
  <c r="L108" i="8"/>
  <c r="M109" i="8" s="1"/>
  <c r="U107" i="8"/>
  <c r="Q107" i="8"/>
  <c r="V106" i="8"/>
  <c r="U106" i="8"/>
  <c r="T106" i="8"/>
  <c r="S106" i="8"/>
  <c r="S110" i="8" s="1"/>
  <c r="R106" i="8"/>
  <c r="Q106" i="8"/>
  <c r="P106" i="8"/>
  <c r="O106" i="8"/>
  <c r="N106" i="8"/>
  <c r="M106" i="8"/>
  <c r="L106" i="8"/>
  <c r="J106" i="8"/>
  <c r="J110" i="8" s="1"/>
  <c r="B104" i="8"/>
  <c r="A101" i="8"/>
  <c r="AD91" i="8"/>
  <c r="AC91" i="8"/>
  <c r="AB91" i="8"/>
  <c r="AA91" i="8"/>
  <c r="Z91" i="8"/>
  <c r="Y91" i="8"/>
  <c r="X91" i="8"/>
  <c r="W91" i="8"/>
  <c r="V91" i="8"/>
  <c r="U91" i="8"/>
  <c r="T91" i="8"/>
  <c r="S91" i="8"/>
  <c r="R91" i="8"/>
  <c r="Q91" i="8"/>
  <c r="P91" i="8"/>
  <c r="O91" i="8"/>
  <c r="N91" i="8"/>
  <c r="M91" i="8"/>
  <c r="L91" i="8"/>
  <c r="K91" i="8"/>
  <c r="J91" i="8"/>
  <c r="I91" i="8"/>
  <c r="H91" i="8"/>
  <c r="G91" i="8"/>
  <c r="F91" i="8"/>
  <c r="W89" i="8"/>
  <c r="V89" i="8"/>
  <c r="U89" i="8"/>
  <c r="T89" i="8"/>
  <c r="S89" i="8"/>
  <c r="R89" i="8"/>
  <c r="Q89" i="8"/>
  <c r="P89" i="8"/>
  <c r="AD80" i="8"/>
  <c r="AC80" i="8"/>
  <c r="AB80" i="8"/>
  <c r="AA80" i="8"/>
  <c r="Z80" i="8"/>
  <c r="Y80" i="8"/>
  <c r="X80" i="8"/>
  <c r="W80" i="8"/>
  <c r="J80" i="8"/>
  <c r="AD77" i="8"/>
  <c r="M69" i="8"/>
  <c r="M68" i="8"/>
  <c r="M67" i="8"/>
  <c r="M212" i="8" s="1"/>
  <c r="W68" i="8"/>
  <c r="W67" i="8"/>
  <c r="W212" i="8" s="1"/>
  <c r="U68" i="8"/>
  <c r="T68" i="8"/>
  <c r="S68" i="8"/>
  <c r="R68" i="8"/>
  <c r="Q68" i="8"/>
  <c r="P68" i="8"/>
  <c r="O68" i="8"/>
  <c r="N68" i="8"/>
  <c r="N216" i="8" s="1"/>
  <c r="X67" i="8"/>
  <c r="X212" i="8" s="1"/>
  <c r="N67" i="8"/>
  <c r="N212" i="8" s="1"/>
  <c r="L68" i="8"/>
  <c r="K68" i="8"/>
  <c r="J68" i="8"/>
  <c r="I68" i="8"/>
  <c r="H68" i="8"/>
  <c r="G68" i="8"/>
  <c r="F68" i="8"/>
  <c r="L67" i="8"/>
  <c r="L212" i="8" s="1"/>
  <c r="K67" i="8"/>
  <c r="K212" i="8" s="1"/>
  <c r="J67" i="8"/>
  <c r="J212" i="8" s="1"/>
  <c r="I67" i="8"/>
  <c r="I212" i="8" s="1"/>
  <c r="H67" i="8"/>
  <c r="H212" i="8" s="1"/>
  <c r="G67" i="8"/>
  <c r="G212" i="8" s="1"/>
  <c r="F67" i="8"/>
  <c r="F212" i="8" s="1"/>
  <c r="AD68" i="8"/>
  <c r="AC68" i="8"/>
  <c r="AB68" i="8"/>
  <c r="AA68" i="8"/>
  <c r="Z68" i="8"/>
  <c r="Y68" i="8"/>
  <c r="AD67" i="8"/>
  <c r="AD212" i="8" s="1"/>
  <c r="AC67" i="8"/>
  <c r="AC212" i="8" s="1"/>
  <c r="AB67" i="8"/>
  <c r="AB212" i="8" s="1"/>
  <c r="AA67" i="8"/>
  <c r="AA212" i="8" s="1"/>
  <c r="Z67" i="8"/>
  <c r="Z212" i="8" s="1"/>
  <c r="Y67" i="8"/>
  <c r="Y212" i="8" s="1"/>
  <c r="V67" i="8"/>
  <c r="V212" i="8" s="1"/>
  <c r="U67" i="8"/>
  <c r="U212" i="8" s="1"/>
  <c r="T67" i="8"/>
  <c r="T212" i="8" s="1"/>
  <c r="S67" i="8"/>
  <c r="S212" i="8" s="1"/>
  <c r="R67" i="8"/>
  <c r="R212" i="8" s="1"/>
  <c r="Q67" i="8"/>
  <c r="Q212" i="8" s="1"/>
  <c r="P67" i="8"/>
  <c r="P212" i="8" s="1"/>
  <c r="I63" i="8"/>
  <c r="H63" i="8"/>
  <c r="G63" i="8"/>
  <c r="O62" i="8"/>
  <c r="A62" i="8"/>
  <c r="V61" i="8"/>
  <c r="B56" i="8"/>
  <c r="A53" i="8"/>
  <c r="AG45" i="8"/>
  <c r="AE45" i="8"/>
  <c r="S41" i="8"/>
  <c r="R41" i="8"/>
  <c r="Q41" i="8"/>
  <c r="P41" i="8"/>
  <c r="O41" i="8"/>
  <c r="N41" i="8"/>
  <c r="M41" i="8"/>
  <c r="L41" i="8"/>
  <c r="K41" i="8"/>
  <c r="J41" i="8"/>
  <c r="I41" i="8"/>
  <c r="H41" i="8"/>
  <c r="G41" i="8"/>
  <c r="F41" i="8"/>
  <c r="E41" i="8"/>
  <c r="D41" i="8"/>
  <c r="C41" i="8"/>
  <c r="B41" i="8"/>
  <c r="X39" i="8"/>
  <c r="W39" i="8"/>
  <c r="V39" i="8"/>
  <c r="U39" i="8"/>
  <c r="T39" i="8"/>
  <c r="Q39" i="8"/>
  <c r="P39" i="8"/>
  <c r="G39" i="8"/>
  <c r="F39" i="8"/>
  <c r="E39" i="8"/>
  <c r="D39" i="8"/>
  <c r="C39" i="8"/>
  <c r="B39" i="8"/>
  <c r="M19" i="8"/>
  <c r="M18" i="8"/>
  <c r="M216" i="8" s="1"/>
  <c r="M17" i="8"/>
  <c r="M211" i="8" s="1"/>
  <c r="AD18" i="8"/>
  <c r="AD216" i="8" s="1"/>
  <c r="AC18" i="8"/>
  <c r="AC216" i="8" s="1"/>
  <c r="AB18" i="8"/>
  <c r="AB216" i="8" s="1"/>
  <c r="AA18" i="8"/>
  <c r="AA216" i="8" s="1"/>
  <c r="Z18" i="8"/>
  <c r="Z216" i="8" s="1"/>
  <c r="Y18" i="8"/>
  <c r="X18" i="8"/>
  <c r="X216" i="8" s="1"/>
  <c r="W18" i="8"/>
  <c r="W216" i="8" s="1"/>
  <c r="V18" i="8"/>
  <c r="V216" i="8" s="1"/>
  <c r="U18" i="8"/>
  <c r="U216" i="8" s="1"/>
  <c r="T18" i="8"/>
  <c r="S18" i="8"/>
  <c r="S216" i="8" s="1"/>
  <c r="R18" i="8"/>
  <c r="Q18" i="8"/>
  <c r="Q216" i="8" s="1"/>
  <c r="P18" i="8"/>
  <c r="O18" i="8"/>
  <c r="O216" i="8" s="1"/>
  <c r="L18" i="8"/>
  <c r="L216" i="8" s="1"/>
  <c r="K18" i="8"/>
  <c r="J18" i="8"/>
  <c r="J216" i="8" s="1"/>
  <c r="I18" i="8"/>
  <c r="H18" i="8"/>
  <c r="H216" i="8" s="1"/>
  <c r="G18" i="8"/>
  <c r="F18" i="8"/>
  <c r="F216" i="8" s="1"/>
  <c r="E18" i="8"/>
  <c r="E216" i="8" s="1"/>
  <c r="D18" i="8"/>
  <c r="D216" i="8" s="1"/>
  <c r="C18" i="8"/>
  <c r="C216" i="8" s="1"/>
  <c r="B18" i="8"/>
  <c r="AD17" i="8"/>
  <c r="AD211" i="8" s="1"/>
  <c r="AD210" i="8" s="1"/>
  <c r="AC17" i="8"/>
  <c r="AC211" i="8" s="1"/>
  <c r="AB17" i="8"/>
  <c r="AB211" i="8" s="1"/>
  <c r="AB210" i="8" s="1"/>
  <c r="AA17" i="8"/>
  <c r="AA211" i="8" s="1"/>
  <c r="Z17" i="8"/>
  <c r="Z211" i="8" s="1"/>
  <c r="Z210" i="8" s="1"/>
  <c r="Y17" i="8"/>
  <c r="Y211" i="8" s="1"/>
  <c r="X17" i="8"/>
  <c r="X211" i="8" s="1"/>
  <c r="X210" i="8" s="1"/>
  <c r="W17" i="8"/>
  <c r="V17" i="8"/>
  <c r="V211" i="8" s="1"/>
  <c r="V210" i="8" s="1"/>
  <c r="U17" i="8"/>
  <c r="U211" i="8" s="1"/>
  <c r="T17" i="8"/>
  <c r="T211" i="8" s="1"/>
  <c r="T210" i="8" s="1"/>
  <c r="S17" i="8"/>
  <c r="S211" i="8" s="1"/>
  <c r="S210" i="8" s="1"/>
  <c r="Q17" i="8"/>
  <c r="Q211" i="8" s="1"/>
  <c r="P17" i="8"/>
  <c r="P211" i="8" s="1"/>
  <c r="P210" i="8" s="1"/>
  <c r="N17" i="8"/>
  <c r="N211" i="8" s="1"/>
  <c r="N210" i="8" s="1"/>
  <c r="L17" i="8"/>
  <c r="L211" i="8" s="1"/>
  <c r="K17" i="8"/>
  <c r="K211" i="8" s="1"/>
  <c r="K210" i="8" s="1"/>
  <c r="J17" i="8"/>
  <c r="J211" i="8" s="1"/>
  <c r="I17" i="8"/>
  <c r="I211" i="8" s="1"/>
  <c r="I210" i="8" s="1"/>
  <c r="H17" i="8"/>
  <c r="H211" i="8" s="1"/>
  <c r="G17" i="8"/>
  <c r="G211" i="8" s="1"/>
  <c r="G210" i="8" s="1"/>
  <c r="F17" i="8"/>
  <c r="F211" i="8" s="1"/>
  <c r="E17" i="8"/>
  <c r="E211" i="8" s="1"/>
  <c r="E210" i="8" s="1"/>
  <c r="D17" i="8"/>
  <c r="D211" i="8" s="1"/>
  <c r="D210" i="8" s="1"/>
  <c r="C17" i="8"/>
  <c r="C211" i="8" s="1"/>
  <c r="C210" i="8" s="1"/>
  <c r="O11" i="8"/>
  <c r="O46" i="8" s="1"/>
  <c r="V10" i="8"/>
  <c r="U10" i="8"/>
  <c r="T10" i="8"/>
  <c r="AG5" i="8"/>
  <c r="AE5" i="8"/>
  <c r="C5" i="8"/>
  <c r="C56" i="8" s="1"/>
  <c r="A1" i="8"/>
  <c r="I79" i="10"/>
  <c r="O71" i="10"/>
  <c r="O69" i="10"/>
  <c r="Q69" i="10" s="1"/>
  <c r="S69" i="10" s="1"/>
  <c r="M71" i="10"/>
  <c r="L71" i="10"/>
  <c r="J71" i="10"/>
  <c r="F71" i="10"/>
  <c r="B71" i="10"/>
  <c r="L70" i="10"/>
  <c r="K70" i="10"/>
  <c r="J70" i="10"/>
  <c r="I70" i="10"/>
  <c r="H70" i="10"/>
  <c r="G70" i="10"/>
  <c r="B70" i="10"/>
  <c r="R62" i="10"/>
  <c r="P62" i="10"/>
  <c r="AA61" i="10"/>
  <c r="Z61" i="10"/>
  <c r="Y61" i="10"/>
  <c r="V61" i="10"/>
  <c r="U61" i="10"/>
  <c r="T61" i="10"/>
  <c r="S61" i="10"/>
  <c r="Q61" i="10"/>
  <c r="O61" i="10"/>
  <c r="M61" i="10"/>
  <c r="L61" i="10"/>
  <c r="N62" i="10" s="1"/>
  <c r="K61" i="10"/>
  <c r="J61" i="10"/>
  <c r="I61" i="10"/>
  <c r="H61" i="10"/>
  <c r="G61" i="10"/>
  <c r="F61" i="10"/>
  <c r="E61" i="10"/>
  <c r="B61" i="10"/>
  <c r="K53" i="10"/>
  <c r="J53" i="10"/>
  <c r="I53" i="10"/>
  <c r="H53" i="10"/>
  <c r="AE43" i="10"/>
  <c r="AF43" i="10" s="1"/>
  <c r="AG43" i="10" s="1"/>
  <c r="U42" i="10"/>
  <c r="R37" i="10"/>
  <c r="P37" i="10"/>
  <c r="N37" i="10"/>
  <c r="W36" i="10"/>
  <c r="S36" i="10"/>
  <c r="L36" i="10"/>
  <c r="R34" i="10"/>
  <c r="P34" i="10"/>
  <c r="N34" i="10"/>
  <c r="J33" i="10"/>
  <c r="N28" i="10"/>
  <c r="AA27" i="10"/>
  <c r="W27" i="10"/>
  <c r="S27" i="10"/>
  <c r="O27" i="10"/>
  <c r="N27" i="10"/>
  <c r="M27" i="10"/>
  <c r="L27" i="10"/>
  <c r="K27" i="10"/>
  <c r="I27" i="10"/>
  <c r="H27" i="10"/>
  <c r="G27" i="10"/>
  <c r="F27" i="10"/>
  <c r="E27" i="10"/>
  <c r="D27" i="10"/>
  <c r="S24" i="10"/>
  <c r="T24" i="10" s="1"/>
  <c r="M24" i="10"/>
  <c r="L24" i="10"/>
  <c r="AA21" i="10"/>
  <c r="Z21" i="10"/>
  <c r="Y21" i="10"/>
  <c r="X21" i="10"/>
  <c r="W21" i="10"/>
  <c r="V21" i="10"/>
  <c r="U21" i="10"/>
  <c r="T21" i="10"/>
  <c r="S21" i="10"/>
  <c r="R21" i="10"/>
  <c r="Q21" i="10"/>
  <c r="P21" i="10"/>
  <c r="R20" i="10"/>
  <c r="P20" i="10"/>
  <c r="N20" i="10"/>
  <c r="S19" i="10"/>
  <c r="R18" i="10"/>
  <c r="P18" i="10"/>
  <c r="N18" i="10"/>
  <c r="T17" i="10"/>
  <c r="AG16" i="10"/>
  <c r="AF16" i="10"/>
  <c r="AE16" i="10"/>
  <c r="AD16" i="10"/>
  <c r="R14" i="10"/>
  <c r="P14" i="10"/>
  <c r="P16" i="10" s="1"/>
  <c r="N14" i="10"/>
  <c r="N30" i="10" s="1"/>
  <c r="R12" i="10"/>
  <c r="P12" i="10"/>
  <c r="N12" i="10"/>
  <c r="AA9" i="10"/>
  <c r="Z9" i="10"/>
  <c r="X9" i="10"/>
  <c r="T9" i="10"/>
  <c r="S9" i="10"/>
  <c r="R9" i="10"/>
  <c r="Q9" i="10"/>
  <c r="K9" i="10"/>
  <c r="I9" i="10"/>
  <c r="G9" i="10"/>
  <c r="E9" i="10"/>
  <c r="C9" i="10"/>
  <c r="R8" i="10"/>
  <c r="P8" i="10"/>
  <c r="E5" i="10"/>
  <c r="F5" i="10" s="1"/>
  <c r="G5" i="10" s="1"/>
  <c r="H5" i="10" s="1"/>
  <c r="I5" i="10" s="1"/>
  <c r="J5" i="10" s="1"/>
  <c r="K5" i="10" s="1"/>
  <c r="L5" i="10" s="1"/>
  <c r="M5" i="10" s="1"/>
  <c r="O5" i="10" s="1"/>
  <c r="Q5" i="10" s="1"/>
  <c r="S5" i="10" s="1"/>
  <c r="T5" i="10" s="1"/>
  <c r="U5" i="10" s="1"/>
  <c r="V5" i="10" s="1"/>
  <c r="W5" i="10" s="1"/>
  <c r="X5" i="10" s="1"/>
  <c r="Y5" i="10" s="1"/>
  <c r="Z5" i="10" s="1"/>
  <c r="AA5" i="10" s="1"/>
  <c r="AB5" i="10" s="1"/>
  <c r="AC5" i="10" s="1"/>
  <c r="AD5" i="10" s="1"/>
  <c r="AE5" i="10" s="1"/>
  <c r="AF5" i="10" s="1"/>
  <c r="AG5" i="10" s="1"/>
  <c r="D5" i="10"/>
  <c r="A1" i="10"/>
  <c r="CV233" i="7"/>
  <c r="CV232" i="7"/>
  <c r="CV231" i="7"/>
  <c r="AC27" i="10" s="1"/>
  <c r="D13" i="72" s="1"/>
  <c r="CR233" i="7"/>
  <c r="CR232" i="7"/>
  <c r="CR231" i="7"/>
  <c r="AB27" i="10" s="1"/>
  <c r="C13" i="72" s="1"/>
  <c r="CN231" i="7"/>
  <c r="CN228" i="7"/>
  <c r="CN232" i="7" s="1"/>
  <c r="CJ231" i="7"/>
  <c r="Z27" i="10" s="1"/>
  <c r="CJ228" i="7"/>
  <c r="CF231" i="7"/>
  <c r="Y27" i="10" s="1"/>
  <c r="CF228" i="7"/>
  <c r="CF232" i="7" s="1"/>
  <c r="CB231" i="7"/>
  <c r="X27" i="10" s="1"/>
  <c r="CB228" i="7"/>
  <c r="BX231" i="7"/>
  <c r="BX228" i="7"/>
  <c r="BX232" i="7" s="1"/>
  <c r="BT231" i="7"/>
  <c r="V27" i="10" s="1"/>
  <c r="BT228" i="7"/>
  <c r="BT232" i="7" s="1"/>
  <c r="BP231" i="7"/>
  <c r="U27" i="10" s="1"/>
  <c r="BP228" i="7"/>
  <c r="BP232" i="7" s="1"/>
  <c r="BL231" i="7"/>
  <c r="T27" i="10" s="1"/>
  <c r="BL228" i="7"/>
  <c r="BH231" i="7"/>
  <c r="BH228" i="7"/>
  <c r="BH232" i="7" s="1"/>
  <c r="BD231" i="7"/>
  <c r="Q27" i="10" s="1"/>
  <c r="R27" i="10" s="1"/>
  <c r="R28" i="10" s="1"/>
  <c r="BD228" i="7"/>
  <c r="BD232" i="7" s="1"/>
  <c r="AZ231" i="7"/>
  <c r="AZ228" i="7"/>
  <c r="AZ232" i="7" s="1"/>
  <c r="AV231" i="7"/>
  <c r="AV228" i="7"/>
  <c r="AR231" i="7"/>
  <c r="AR228" i="7"/>
  <c r="AR232" i="7" s="1"/>
  <c r="AN231" i="7"/>
  <c r="AN228" i="7"/>
  <c r="AN232" i="7" s="1"/>
  <c r="BY231" i="7"/>
  <c r="BU231" i="7"/>
  <c r="BQ231" i="7"/>
  <c r="BM231" i="7"/>
  <c r="BI231" i="7"/>
  <c r="BE231" i="7"/>
  <c r="BA231" i="7"/>
  <c r="CR222" i="7"/>
  <c r="BX224" i="7"/>
  <c r="BT224" i="7"/>
  <c r="BP224" i="7"/>
  <c r="AN224" i="7"/>
  <c r="K71" i="10" s="1"/>
  <c r="AJ224" i="7"/>
  <c r="AF224" i="7"/>
  <c r="I71" i="10" s="1"/>
  <c r="AB224" i="7"/>
  <c r="H71" i="10" s="1"/>
  <c r="X224" i="7"/>
  <c r="G71" i="10" s="1"/>
  <c r="T224" i="7"/>
  <c r="E71" i="10" s="1"/>
  <c r="P224" i="7"/>
  <c r="D71" i="10" s="1"/>
  <c r="L224" i="7"/>
  <c r="C71" i="10" s="1"/>
  <c r="H224" i="7"/>
  <c r="D224" i="7"/>
  <c r="B224" i="7"/>
  <c r="B223" i="7"/>
  <c r="B222" i="7"/>
  <c r="B221" i="7"/>
  <c r="B220" i="7"/>
  <c r="A223" i="7"/>
  <c r="A222" i="7"/>
  <c r="A221" i="7"/>
  <c r="A220" i="7"/>
  <c r="X222" i="7"/>
  <c r="X221" i="7"/>
  <c r="X220" i="7"/>
  <c r="BX216" i="7"/>
  <c r="CB213" i="7" s="1"/>
  <c r="CB214" i="7" s="1"/>
  <c r="CB215" i="7" s="1"/>
  <c r="CB216" i="7" s="1"/>
  <c r="CF213" i="7" s="1"/>
  <c r="CF214" i="7" s="1"/>
  <c r="CF215" i="7" s="1"/>
  <c r="CF216" i="7" s="1"/>
  <c r="CJ213" i="7" s="1"/>
  <c r="CJ214" i="7" s="1"/>
  <c r="CJ215" i="7" s="1"/>
  <c r="CJ216" i="7" s="1"/>
  <c r="CN213" i="7" s="1"/>
  <c r="CN214" i="7" s="1"/>
  <c r="CN215" i="7" s="1"/>
  <c r="CN216" i="7" s="1"/>
  <c r="CR213" i="7" s="1"/>
  <c r="CR214" i="7" s="1"/>
  <c r="CR215" i="7" s="1"/>
  <c r="CR216" i="7" s="1"/>
  <c r="BX215" i="7"/>
  <c r="BP214" i="7"/>
  <c r="BP215" i="7" s="1"/>
  <c r="BP216" i="7" s="1"/>
  <c r="BT213" i="7" s="1"/>
  <c r="BT214" i="7" s="1"/>
  <c r="BT215" i="7" s="1"/>
  <c r="BT216" i="7" s="1"/>
  <c r="BP213" i="7"/>
  <c r="BL216" i="7"/>
  <c r="BL215" i="7"/>
  <c r="BL214" i="7"/>
  <c r="BL213" i="7"/>
  <c r="BH216" i="7"/>
  <c r="BH215" i="7"/>
  <c r="BH214" i="7"/>
  <c r="BH213" i="7"/>
  <c r="BD216" i="7"/>
  <c r="BD215" i="7"/>
  <c r="BD214" i="7"/>
  <c r="BD213" i="7"/>
  <c r="AZ216" i="7"/>
  <c r="O70" i="10" s="1"/>
  <c r="AZ215" i="7"/>
  <c r="AZ214" i="7"/>
  <c r="AZ213" i="7"/>
  <c r="AV216" i="7"/>
  <c r="M70" i="10" s="1"/>
  <c r="AV215" i="7"/>
  <c r="AV214" i="7"/>
  <c r="AV213" i="7"/>
  <c r="T216" i="7"/>
  <c r="E70" i="10" s="1"/>
  <c r="P216" i="7"/>
  <c r="D70" i="10" s="1"/>
  <c r="L216" i="7"/>
  <c r="C70" i="10" s="1"/>
  <c r="H216" i="7"/>
  <c r="D216" i="7"/>
  <c r="B216" i="7"/>
  <c r="A216" i="7"/>
  <c r="B215" i="7"/>
  <c r="A215" i="7"/>
  <c r="B214" i="7"/>
  <c r="A214" i="7"/>
  <c r="B213" i="7"/>
  <c r="A213" i="7"/>
  <c r="CB207" i="7"/>
  <c r="CF204" i="7" s="1"/>
  <c r="CF205" i="7" s="1"/>
  <c r="CF206" i="7" s="1"/>
  <c r="CF207" i="7" s="1"/>
  <c r="CJ204" i="7" s="1"/>
  <c r="CB206" i="7"/>
  <c r="CB205" i="7"/>
  <c r="CB204" i="7"/>
  <c r="BX208" i="7"/>
  <c r="BT208" i="7"/>
  <c r="BP208" i="7"/>
  <c r="U69" i="10" s="1"/>
  <c r="V69" i="10" s="1"/>
  <c r="W69" i="10" s="1"/>
  <c r="BL208" i="7"/>
  <c r="T69" i="10" s="1"/>
  <c r="BH208" i="7"/>
  <c r="BD208" i="7"/>
  <c r="AZ208" i="7"/>
  <c r="AV207" i="7"/>
  <c r="AV208" i="7" s="1"/>
  <c r="M69" i="10" s="1"/>
  <c r="B208" i="7"/>
  <c r="B207" i="7"/>
  <c r="B206" i="7"/>
  <c r="B205" i="7"/>
  <c r="B204" i="7"/>
  <c r="A207" i="7"/>
  <c r="A206" i="7"/>
  <c r="A205" i="7"/>
  <c r="A204" i="7"/>
  <c r="AR206" i="7"/>
  <c r="AR205" i="7"/>
  <c r="CR199" i="7"/>
  <c r="CR198" i="7"/>
  <c r="AB61" i="10"/>
  <c r="CN199" i="7"/>
  <c r="CN198" i="7"/>
  <c r="CJ199" i="7"/>
  <c r="CJ198" i="7"/>
  <c r="CF199" i="7"/>
  <c r="CF198" i="7"/>
  <c r="CB199" i="7"/>
  <c r="CB198" i="7"/>
  <c r="CB197" i="7"/>
  <c r="X61" i="10" s="1"/>
  <c r="BX199" i="7"/>
  <c r="BX198" i="7"/>
  <c r="BX197" i="7"/>
  <c r="W61" i="10" s="1"/>
  <c r="BT199" i="7"/>
  <c r="BT198" i="7"/>
  <c r="BP199" i="7"/>
  <c r="BP198" i="7"/>
  <c r="BL199" i="7"/>
  <c r="BL198" i="7"/>
  <c r="BH199" i="7"/>
  <c r="BH198" i="7"/>
  <c r="BD199" i="7"/>
  <c r="BD198" i="7"/>
  <c r="AZ199" i="7"/>
  <c r="AZ198" i="7"/>
  <c r="AV199" i="7"/>
  <c r="AV198" i="7"/>
  <c r="AR199" i="7"/>
  <c r="AR198" i="7"/>
  <c r="AN199" i="7"/>
  <c r="AN198" i="7"/>
  <c r="AJ199" i="7"/>
  <c r="AJ198" i="7"/>
  <c r="AF199" i="7"/>
  <c r="AF198" i="7"/>
  <c r="AB199" i="7"/>
  <c r="AB198" i="7"/>
  <c r="X199" i="7"/>
  <c r="X198" i="7"/>
  <c r="L196" i="7"/>
  <c r="L195" i="7"/>
  <c r="L199" i="7" s="1"/>
  <c r="L194" i="7"/>
  <c r="L193" i="7"/>
  <c r="H196" i="7"/>
  <c r="H195" i="7"/>
  <c r="H194" i="7"/>
  <c r="H193" i="7"/>
  <c r="D199" i="7"/>
  <c r="D198" i="7"/>
  <c r="D197" i="7"/>
  <c r="A199" i="7"/>
  <c r="A198" i="7"/>
  <c r="B197" i="7"/>
  <c r="B196" i="7"/>
  <c r="B195" i="7"/>
  <c r="B194" i="7"/>
  <c r="B193" i="7"/>
  <c r="T196" i="7"/>
  <c r="T195" i="7"/>
  <c r="T194" i="7"/>
  <c r="T193" i="7"/>
  <c r="T199" i="7" s="1"/>
  <c r="P196" i="7"/>
  <c r="P195" i="7"/>
  <c r="P194" i="7"/>
  <c r="P193" i="7"/>
  <c r="P199" i="7" s="1"/>
  <c r="A196" i="7"/>
  <c r="A195" i="7"/>
  <c r="A194" i="7"/>
  <c r="A193" i="7"/>
  <c r="A189" i="7"/>
  <c r="A188" i="7"/>
  <c r="B187" i="7"/>
  <c r="B186" i="7"/>
  <c r="B185" i="7"/>
  <c r="B184" i="7"/>
  <c r="B183" i="7"/>
  <c r="A186" i="7"/>
  <c r="A185" i="7"/>
  <c r="A184" i="7"/>
  <c r="A183" i="7"/>
  <c r="A177" i="7"/>
  <c r="A176" i="7"/>
  <c r="B175" i="7"/>
  <c r="B174" i="7"/>
  <c r="B173" i="7"/>
  <c r="B172" i="7"/>
  <c r="B171" i="7"/>
  <c r="A174" i="7"/>
  <c r="A173" i="7"/>
  <c r="A172" i="7"/>
  <c r="A171" i="7"/>
  <c r="A166" i="7"/>
  <c r="A165" i="7"/>
  <c r="CV162" i="7"/>
  <c r="CV161" i="7"/>
  <c r="CV160" i="7"/>
  <c r="CN164" i="7"/>
  <c r="AA48" i="10" s="1"/>
  <c r="CJ164" i="7"/>
  <c r="Z48" i="10" s="1"/>
  <c r="AR164" i="7"/>
  <c r="L53" i="10" s="1"/>
  <c r="B164" i="7"/>
  <c r="B163" i="7"/>
  <c r="B162" i="7"/>
  <c r="B161" i="7"/>
  <c r="B160" i="7"/>
  <c r="A163" i="7"/>
  <c r="A162" i="7"/>
  <c r="A161" i="7"/>
  <c r="A160" i="7"/>
  <c r="A156" i="7"/>
  <c r="A155" i="7"/>
  <c r="BZ154" i="7"/>
  <c r="BV154" i="7"/>
  <c r="B154" i="7"/>
  <c r="B153" i="7"/>
  <c r="B152" i="7"/>
  <c r="B151" i="7"/>
  <c r="B150" i="7"/>
  <c r="A153" i="7"/>
  <c r="A152" i="7"/>
  <c r="A151" i="7"/>
  <c r="A150" i="7"/>
  <c r="D143" i="7"/>
  <c r="D142" i="7"/>
  <c r="D141" i="7"/>
  <c r="D140" i="7"/>
  <c r="D145" i="7" s="1"/>
  <c r="I145" i="7" s="1"/>
  <c r="A146" i="7"/>
  <c r="A145" i="7"/>
  <c r="B144" i="7"/>
  <c r="B143" i="7"/>
  <c r="B142" i="7"/>
  <c r="B141" i="7"/>
  <c r="B140" i="7"/>
  <c r="A143" i="7"/>
  <c r="A142" i="7"/>
  <c r="A141" i="7"/>
  <c r="A140" i="7"/>
  <c r="AJ143" i="7"/>
  <c r="AJ142" i="7"/>
  <c r="AJ141" i="7"/>
  <c r="AJ145" i="7" s="1"/>
  <c r="AJ140" i="7"/>
  <c r="AF143" i="7"/>
  <c r="AK143" i="7" s="1"/>
  <c r="AF142" i="7"/>
  <c r="AF141" i="7"/>
  <c r="AK141" i="7" s="1"/>
  <c r="AF140" i="7"/>
  <c r="AB143" i="7"/>
  <c r="AB142" i="7"/>
  <c r="AG142" i="7" s="1"/>
  <c r="AB141" i="7"/>
  <c r="AG141" i="7" s="1"/>
  <c r="AB140" i="7"/>
  <c r="X143" i="7"/>
  <c r="X142" i="7"/>
  <c r="AC142" i="7" s="1"/>
  <c r="X141" i="7"/>
  <c r="X140" i="7"/>
  <c r="T143" i="7"/>
  <c r="Y143" i="7" s="1"/>
  <c r="T142" i="7"/>
  <c r="T141" i="7"/>
  <c r="T140" i="7"/>
  <c r="P143" i="7"/>
  <c r="U143" i="7" s="1"/>
  <c r="P142" i="7"/>
  <c r="P141" i="7"/>
  <c r="U141" i="7" s="1"/>
  <c r="P140" i="7"/>
  <c r="L143" i="7"/>
  <c r="Q143" i="7" s="1"/>
  <c r="L142" i="7"/>
  <c r="L141" i="7"/>
  <c r="L140" i="7"/>
  <c r="H143" i="7"/>
  <c r="M143" i="7" s="1"/>
  <c r="I142" i="7"/>
  <c r="H142" i="7"/>
  <c r="I141" i="7"/>
  <c r="H141" i="7"/>
  <c r="H140" i="7"/>
  <c r="M140" i="7" s="1"/>
  <c r="A136" i="7"/>
  <c r="A135" i="7"/>
  <c r="B134" i="7"/>
  <c r="B133" i="7"/>
  <c r="B132" i="7"/>
  <c r="B131" i="7"/>
  <c r="B130" i="7"/>
  <c r="A133" i="7"/>
  <c r="A132" i="7"/>
  <c r="A131" i="7"/>
  <c r="A130" i="7"/>
  <c r="A126" i="7"/>
  <c r="A125" i="7"/>
  <c r="CR126" i="7"/>
  <c r="CR125" i="7"/>
  <c r="CF126" i="7"/>
  <c r="CF125" i="7"/>
  <c r="CF124" i="7"/>
  <c r="Y42" i="10" s="1"/>
  <c r="CB125" i="7"/>
  <c r="BX126" i="7"/>
  <c r="BX125" i="7"/>
  <c r="BX124" i="7"/>
  <c r="W42" i="10" s="1"/>
  <c r="BT126" i="7"/>
  <c r="BT125" i="7"/>
  <c r="BT124" i="7"/>
  <c r="V42" i="10" s="1"/>
  <c r="BH126" i="7"/>
  <c r="BH125" i="7"/>
  <c r="BH124" i="7"/>
  <c r="S42" i="10" s="1"/>
  <c r="BD126" i="7"/>
  <c r="BD125" i="7"/>
  <c r="BD124" i="7"/>
  <c r="Q42" i="10" s="1"/>
  <c r="AZ126" i="7"/>
  <c r="AZ125" i="7"/>
  <c r="AZ124" i="7"/>
  <c r="O42" i="10" s="1"/>
  <c r="AV125" i="7"/>
  <c r="AR125" i="7"/>
  <c r="AN126" i="7"/>
  <c r="AN125" i="7"/>
  <c r="AN124" i="7"/>
  <c r="K42" i="10" s="1"/>
  <c r="AJ126" i="7"/>
  <c r="AJ125" i="7"/>
  <c r="AJ124" i="7"/>
  <c r="J42" i="10" s="1"/>
  <c r="AF126" i="7"/>
  <c r="AF125" i="7"/>
  <c r="AF124" i="7"/>
  <c r="I42" i="10" s="1"/>
  <c r="AB126" i="7"/>
  <c r="AB125" i="7"/>
  <c r="AB124" i="7"/>
  <c r="H42" i="10" s="1"/>
  <c r="X126" i="7"/>
  <c r="X125" i="7"/>
  <c r="X124" i="7"/>
  <c r="G42" i="10" s="1"/>
  <c r="T126" i="7"/>
  <c r="T125" i="7"/>
  <c r="T124" i="7"/>
  <c r="F42" i="10" s="1"/>
  <c r="P126" i="7"/>
  <c r="P125" i="7"/>
  <c r="P124" i="7"/>
  <c r="E42" i="10" s="1"/>
  <c r="L126" i="7"/>
  <c r="L125" i="7"/>
  <c r="L124" i="7"/>
  <c r="D42" i="10" s="1"/>
  <c r="H126" i="7"/>
  <c r="H125" i="7"/>
  <c r="H124" i="7"/>
  <c r="C42" i="10" s="1"/>
  <c r="D126" i="7"/>
  <c r="E126" i="7" s="1"/>
  <c r="E125" i="7"/>
  <c r="D125" i="7"/>
  <c r="D124" i="7"/>
  <c r="E124" i="7" s="1"/>
  <c r="B124" i="7"/>
  <c r="B123" i="7"/>
  <c r="B122" i="7"/>
  <c r="B121" i="7"/>
  <c r="B120" i="7"/>
  <c r="CN126" i="7"/>
  <c r="CN125" i="7"/>
  <c r="CN124" i="7"/>
  <c r="AA42" i="10" s="1"/>
  <c r="BP123" i="7"/>
  <c r="BL126" i="7"/>
  <c r="BL125" i="7"/>
  <c r="BL123" i="7"/>
  <c r="BL124" i="7" s="1"/>
  <c r="T42" i="10" s="1"/>
  <c r="A123" i="7"/>
  <c r="A122" i="7"/>
  <c r="A121" i="7"/>
  <c r="A120" i="7"/>
  <c r="CJ123" i="7"/>
  <c r="CJ122" i="7"/>
  <c r="CB122" i="7"/>
  <c r="CB126" i="7" s="1"/>
  <c r="AV122" i="7"/>
  <c r="AR122" i="7"/>
  <c r="AR126" i="7" s="1"/>
  <c r="BP121" i="7"/>
  <c r="BP124" i="7" s="1"/>
  <c r="CJ120" i="7"/>
  <c r="A116" i="7"/>
  <c r="A115" i="7"/>
  <c r="B114" i="7"/>
  <c r="B113" i="7"/>
  <c r="B112" i="7"/>
  <c r="B111" i="7"/>
  <c r="B110" i="7"/>
  <c r="A113" i="7"/>
  <c r="A112" i="7"/>
  <c r="A111" i="7"/>
  <c r="A110" i="7"/>
  <c r="A106" i="7"/>
  <c r="A105" i="7"/>
  <c r="CV104" i="7"/>
  <c r="AC36" i="10" s="1"/>
  <c r="AD36" i="10" s="1"/>
  <c r="AE36" i="10" s="1"/>
  <c r="CN104" i="7"/>
  <c r="AA36" i="10" s="1"/>
  <c r="CF104" i="7"/>
  <c r="Y36" i="10" s="1"/>
  <c r="CB104" i="7"/>
  <c r="X36" i="10" s="1"/>
  <c r="BX104" i="7"/>
  <c r="BP104" i="7"/>
  <c r="U36" i="10" s="1"/>
  <c r="BL104" i="7"/>
  <c r="T36" i="10" s="1"/>
  <c r="BH104" i="7"/>
  <c r="B104" i="7"/>
  <c r="B103" i="7"/>
  <c r="B102" i="7"/>
  <c r="B101" i="7"/>
  <c r="B100" i="7"/>
  <c r="CS102" i="7"/>
  <c r="CS101" i="7"/>
  <c r="CO103" i="7"/>
  <c r="CO102" i="7"/>
  <c r="CO101" i="7"/>
  <c r="CO100" i="7"/>
  <c r="CJ103" i="7"/>
  <c r="CG103" i="7"/>
  <c r="CG102" i="7"/>
  <c r="CG101" i="7"/>
  <c r="CG100" i="7"/>
  <c r="CC103" i="7"/>
  <c r="CC102" i="7"/>
  <c r="CC101" i="7"/>
  <c r="CC100" i="7"/>
  <c r="BY103" i="7"/>
  <c r="BY102" i="7"/>
  <c r="BY101" i="7"/>
  <c r="BY100" i="7"/>
  <c r="BQ103" i="7"/>
  <c r="BQ102" i="7"/>
  <c r="BQ101" i="7"/>
  <c r="BQ100" i="7"/>
  <c r="BM103" i="7"/>
  <c r="BM102" i="7"/>
  <c r="BM101" i="7"/>
  <c r="BM100" i="7"/>
  <c r="BI103" i="7"/>
  <c r="BI102" i="7"/>
  <c r="BI101" i="7"/>
  <c r="BI100" i="7"/>
  <c r="BD103" i="7"/>
  <c r="BE103" i="7" s="1"/>
  <c r="AZ103" i="7"/>
  <c r="AV103" i="7"/>
  <c r="A103" i="7"/>
  <c r="A102" i="7"/>
  <c r="A101" i="7"/>
  <c r="A100" i="7"/>
  <c r="CR102" i="7"/>
  <c r="CK102" i="7"/>
  <c r="CK101" i="7"/>
  <c r="CK100" i="7"/>
  <c r="BE102" i="7"/>
  <c r="BA102" i="7"/>
  <c r="AW102" i="7"/>
  <c r="AW101" i="7"/>
  <c r="BD101" i="7"/>
  <c r="BD104" i="7" s="1"/>
  <c r="Q36" i="10" s="1"/>
  <c r="BD100" i="7"/>
  <c r="BE100" i="7" s="1"/>
  <c r="AZ101" i="7"/>
  <c r="AZ100" i="7"/>
  <c r="BA100" i="7" s="1"/>
  <c r="CR100" i="7"/>
  <c r="BT103" i="7"/>
  <c r="BU103" i="7" s="1"/>
  <c r="BT102" i="7"/>
  <c r="BT101" i="7"/>
  <c r="BU101" i="7" s="1"/>
  <c r="BT100" i="7"/>
  <c r="BU100" i="7" s="1"/>
  <c r="AV100" i="7"/>
  <c r="AW100" i="7" s="1"/>
  <c r="AR103" i="7"/>
  <c r="AS103" i="7" s="1"/>
  <c r="AS102" i="7"/>
  <c r="AR102" i="7"/>
  <c r="AR101" i="7"/>
  <c r="AS101" i="7" s="1"/>
  <c r="AS100" i="7"/>
  <c r="AR100" i="7"/>
  <c r="AR104" i="7" s="1"/>
  <c r="AN103" i="7"/>
  <c r="AO103" i="7" s="1"/>
  <c r="AN102" i="7"/>
  <c r="AO102" i="7" s="1"/>
  <c r="AN101" i="7"/>
  <c r="AO101" i="7" s="1"/>
  <c r="AO100" i="7"/>
  <c r="AN100" i="7"/>
  <c r="AJ103" i="7"/>
  <c r="AK103" i="7" s="1"/>
  <c r="AJ102" i="7"/>
  <c r="AK102" i="7" s="1"/>
  <c r="AJ101" i="7"/>
  <c r="AK101" i="7" s="1"/>
  <c r="AK100" i="7"/>
  <c r="AJ100" i="7"/>
  <c r="A96" i="7"/>
  <c r="A95" i="7"/>
  <c r="CN96" i="7"/>
  <c r="CN95" i="7"/>
  <c r="CN94" i="7"/>
  <c r="AA33" i="10" s="1"/>
  <c r="CJ96" i="7"/>
  <c r="CJ95" i="7"/>
  <c r="CJ94" i="7"/>
  <c r="Z33" i="10" s="1"/>
  <c r="CF96" i="7"/>
  <c r="CF95" i="7"/>
  <c r="CF94" i="7"/>
  <c r="Y33" i="10" s="1"/>
  <c r="CB96" i="7"/>
  <c r="CB95" i="7"/>
  <c r="CB94" i="7"/>
  <c r="X33" i="10" s="1"/>
  <c r="BX96" i="7"/>
  <c r="BX95" i="7"/>
  <c r="BX94" i="7"/>
  <c r="W33" i="10" s="1"/>
  <c r="BT96" i="7"/>
  <c r="BT95" i="7"/>
  <c r="BT94" i="7"/>
  <c r="V33" i="10" s="1"/>
  <c r="BP96" i="7"/>
  <c r="BP95" i="7"/>
  <c r="BP94" i="7"/>
  <c r="U33" i="10" s="1"/>
  <c r="BL96" i="7"/>
  <c r="BL95" i="7"/>
  <c r="BL94" i="7"/>
  <c r="T33" i="10" s="1"/>
  <c r="BH96" i="7"/>
  <c r="BH95" i="7"/>
  <c r="BH94" i="7"/>
  <c r="S33" i="10" s="1"/>
  <c r="BD95" i="7"/>
  <c r="AZ95" i="7"/>
  <c r="AR96" i="7"/>
  <c r="AR95" i="7"/>
  <c r="AR94" i="7"/>
  <c r="L33" i="10" s="1"/>
  <c r="AN96" i="7"/>
  <c r="AN95" i="7"/>
  <c r="AN94" i="7"/>
  <c r="K33" i="10" s="1"/>
  <c r="AJ96" i="7"/>
  <c r="AJ95" i="7"/>
  <c r="AJ94" i="7"/>
  <c r="AF96" i="7"/>
  <c r="AF95" i="7"/>
  <c r="AF94" i="7"/>
  <c r="I33" i="10" s="1"/>
  <c r="AB96" i="7"/>
  <c r="AB95" i="7"/>
  <c r="AB94" i="7"/>
  <c r="H33" i="10" s="1"/>
  <c r="X96" i="7"/>
  <c r="X95" i="7"/>
  <c r="X94" i="7"/>
  <c r="G33" i="10" s="1"/>
  <c r="T96" i="7"/>
  <c r="T95" i="7"/>
  <c r="T94" i="7"/>
  <c r="F33" i="10" s="1"/>
  <c r="P96" i="7"/>
  <c r="P95" i="7"/>
  <c r="P94" i="7"/>
  <c r="E33" i="10" s="1"/>
  <c r="L96" i="7"/>
  <c r="L95" i="7"/>
  <c r="L94" i="7"/>
  <c r="D33" i="10" s="1"/>
  <c r="H96" i="7"/>
  <c r="H95" i="7"/>
  <c r="H94" i="7"/>
  <c r="C33" i="10" s="1"/>
  <c r="D96" i="7"/>
  <c r="D95" i="7"/>
  <c r="D94" i="7"/>
  <c r="B33" i="10" s="1"/>
  <c r="B94" i="7"/>
  <c r="B93" i="7"/>
  <c r="B92" i="7"/>
  <c r="B91" i="7"/>
  <c r="B90" i="7"/>
  <c r="CR96" i="7"/>
  <c r="CR95" i="7"/>
  <c r="CO93" i="7"/>
  <c r="CO92" i="7"/>
  <c r="CO91" i="7"/>
  <c r="CO90" i="7"/>
  <c r="CK93" i="7"/>
  <c r="CK92" i="7"/>
  <c r="CK91" i="7"/>
  <c r="CK90" i="7"/>
  <c r="CG93" i="7"/>
  <c r="CG92" i="7"/>
  <c r="CG91" i="7"/>
  <c r="CG90" i="7"/>
  <c r="CC93" i="7"/>
  <c r="CC92" i="7"/>
  <c r="CC91" i="7"/>
  <c r="CC90" i="7"/>
  <c r="BY93" i="7"/>
  <c r="BY92" i="7"/>
  <c r="BY91" i="7"/>
  <c r="BY90" i="7"/>
  <c r="BU93" i="7"/>
  <c r="BU92" i="7"/>
  <c r="BU91" i="7"/>
  <c r="BU90" i="7"/>
  <c r="BQ93" i="7"/>
  <c r="BQ92" i="7"/>
  <c r="BQ91" i="7"/>
  <c r="BQ90" i="7"/>
  <c r="BM93" i="7"/>
  <c r="BM92" i="7"/>
  <c r="BM91" i="7"/>
  <c r="BM90" i="7"/>
  <c r="BI93" i="7"/>
  <c r="BI92" i="7"/>
  <c r="BI91" i="7"/>
  <c r="BI90" i="7"/>
  <c r="BE93" i="7"/>
  <c r="BE91" i="7"/>
  <c r="BE90" i="7"/>
  <c r="BA92" i="7"/>
  <c r="BA91" i="7"/>
  <c r="BA90" i="7"/>
  <c r="AW93" i="7"/>
  <c r="AW90" i="7"/>
  <c r="AS93" i="7"/>
  <c r="AS92" i="7"/>
  <c r="AS91" i="7"/>
  <c r="AS90" i="7"/>
  <c r="AO93" i="7"/>
  <c r="AO92" i="7"/>
  <c r="AO91" i="7"/>
  <c r="AO90" i="7"/>
  <c r="AK93" i="7"/>
  <c r="AK92" i="7"/>
  <c r="AK91" i="7"/>
  <c r="AK90" i="7"/>
  <c r="AG93" i="7"/>
  <c r="AG92" i="7"/>
  <c r="AG91" i="7"/>
  <c r="AG90" i="7"/>
  <c r="AC93" i="7"/>
  <c r="AC92" i="7"/>
  <c r="AC91" i="7"/>
  <c r="AC90" i="7"/>
  <c r="Y93" i="7"/>
  <c r="Y92" i="7"/>
  <c r="Y91" i="7"/>
  <c r="Y90" i="7"/>
  <c r="U93" i="7"/>
  <c r="U92" i="7"/>
  <c r="U91" i="7"/>
  <c r="U90" i="7"/>
  <c r="Q93" i="7"/>
  <c r="Q92" i="7"/>
  <c r="Q91" i="7"/>
  <c r="Q90" i="7"/>
  <c r="M93" i="7"/>
  <c r="M92" i="7"/>
  <c r="M91" i="7"/>
  <c r="M90" i="7"/>
  <c r="I93" i="7"/>
  <c r="I92" i="7"/>
  <c r="I91" i="7"/>
  <c r="I90" i="7"/>
  <c r="E93" i="7"/>
  <c r="E92" i="7"/>
  <c r="E91" i="7"/>
  <c r="E90" i="7"/>
  <c r="A93" i="7"/>
  <c r="A92" i="7"/>
  <c r="A91" i="7"/>
  <c r="A90" i="7"/>
  <c r="CS92" i="7"/>
  <c r="CS91" i="7"/>
  <c r="CS90" i="7"/>
  <c r="BD92" i="7"/>
  <c r="AZ92" i="7"/>
  <c r="AZ96" i="7" s="1"/>
  <c r="AV92" i="7"/>
  <c r="AW92" i="7" s="1"/>
  <c r="AV91" i="7"/>
  <c r="AV95" i="7" s="1"/>
  <c r="A86" i="7"/>
  <c r="A85" i="7"/>
  <c r="B84" i="7"/>
  <c r="B83" i="7"/>
  <c r="B82" i="7"/>
  <c r="B81" i="7"/>
  <c r="B80" i="7"/>
  <c r="A83" i="7"/>
  <c r="A82" i="7"/>
  <c r="A81" i="7"/>
  <c r="A80" i="7"/>
  <c r="CD80" i="7"/>
  <c r="BH81" i="7"/>
  <c r="AH83" i="7"/>
  <c r="AF83" i="7"/>
  <c r="AG83" i="7" s="1"/>
  <c r="AF82" i="7"/>
  <c r="AF81" i="7"/>
  <c r="AG80" i="7"/>
  <c r="AF80" i="7"/>
  <c r="AF110" i="7" s="1"/>
  <c r="AC83" i="7"/>
  <c r="AB83" i="7"/>
  <c r="AB113" i="7" s="1"/>
  <c r="AB82" i="7"/>
  <c r="AB81" i="7"/>
  <c r="AB111" i="7" s="1"/>
  <c r="AB80" i="7"/>
  <c r="X83" i="7"/>
  <c r="X82" i="7"/>
  <c r="X112" i="7" s="1"/>
  <c r="Y81" i="7"/>
  <c r="X81" i="7"/>
  <c r="X111" i="7" s="1"/>
  <c r="Y80" i="7"/>
  <c r="X80" i="7"/>
  <c r="X110" i="7" s="1"/>
  <c r="X115" i="7" s="1"/>
  <c r="U83" i="7"/>
  <c r="T83" i="7"/>
  <c r="T82" i="7"/>
  <c r="T81" i="7"/>
  <c r="U80" i="7"/>
  <c r="T80" i="7"/>
  <c r="T110" i="7" s="1"/>
  <c r="R83" i="7"/>
  <c r="P83" i="7"/>
  <c r="P113" i="7" s="1"/>
  <c r="P82" i="7"/>
  <c r="P81" i="7"/>
  <c r="Q80" i="7"/>
  <c r="P80" i="7"/>
  <c r="P110" i="7" s="1"/>
  <c r="M83" i="7"/>
  <c r="L83" i="7"/>
  <c r="L113" i="7" s="1"/>
  <c r="L82" i="7"/>
  <c r="L81" i="7"/>
  <c r="L111" i="7" s="1"/>
  <c r="L80" i="7"/>
  <c r="H83" i="7"/>
  <c r="I82" i="7"/>
  <c r="H82" i="7"/>
  <c r="H112" i="7" s="1"/>
  <c r="J81" i="7"/>
  <c r="H81" i="7"/>
  <c r="H111" i="7" s="1"/>
  <c r="H80" i="7"/>
  <c r="D83" i="7"/>
  <c r="D113" i="7" s="1"/>
  <c r="E113" i="7" s="1"/>
  <c r="D82" i="7"/>
  <c r="D81" i="7"/>
  <c r="D111" i="7" s="1"/>
  <c r="J111" i="7" s="1"/>
  <c r="D80" i="7"/>
  <c r="M70" i="7"/>
  <c r="A76" i="7"/>
  <c r="A75" i="7"/>
  <c r="AJ76" i="7"/>
  <c r="AL76" i="7" s="1"/>
  <c r="AJ75" i="7"/>
  <c r="AJ74" i="7"/>
  <c r="AL74" i="7" s="1"/>
  <c r="H76" i="7"/>
  <c r="H75" i="7"/>
  <c r="H74" i="7"/>
  <c r="D76" i="7"/>
  <c r="D75" i="7"/>
  <c r="D74" i="7"/>
  <c r="B74" i="7"/>
  <c r="B73" i="7"/>
  <c r="B72" i="7"/>
  <c r="B71" i="7"/>
  <c r="B70" i="7"/>
  <c r="AF73" i="7"/>
  <c r="AF72" i="7"/>
  <c r="AF71" i="7"/>
  <c r="AB73" i="7"/>
  <c r="AC73" i="7" s="1"/>
  <c r="AB72" i="7"/>
  <c r="AB71" i="7"/>
  <c r="X73" i="7"/>
  <c r="X72" i="7"/>
  <c r="Y72" i="7" s="1"/>
  <c r="X71" i="7"/>
  <c r="T73" i="7"/>
  <c r="T72" i="7"/>
  <c r="T71" i="7"/>
  <c r="U71" i="7" s="1"/>
  <c r="P73" i="7"/>
  <c r="P72" i="7"/>
  <c r="P71" i="7"/>
  <c r="L73" i="7"/>
  <c r="L72" i="7"/>
  <c r="M72" i="7" s="1"/>
  <c r="L71" i="7"/>
  <c r="M71" i="7" s="1"/>
  <c r="I73" i="7"/>
  <c r="I72" i="7"/>
  <c r="I71" i="7"/>
  <c r="I70" i="7"/>
  <c r="E73" i="7"/>
  <c r="E72" i="7"/>
  <c r="E71" i="7"/>
  <c r="E70" i="7"/>
  <c r="A73" i="7"/>
  <c r="A72" i="7"/>
  <c r="A71" i="7"/>
  <c r="A70" i="7"/>
  <c r="CX73" i="7"/>
  <c r="CV73" i="7"/>
  <c r="CV72" i="7"/>
  <c r="CV71" i="7"/>
  <c r="CV70" i="7"/>
  <c r="CR73" i="7"/>
  <c r="CR72" i="7"/>
  <c r="CS72" i="7" s="1"/>
  <c r="CR71" i="7"/>
  <c r="CS71" i="7" s="1"/>
  <c r="CR70" i="7"/>
  <c r="CO71" i="7"/>
  <c r="CN71" i="7"/>
  <c r="CO70" i="7"/>
  <c r="CN70" i="7"/>
  <c r="CJ71" i="7"/>
  <c r="CK71" i="7" s="1"/>
  <c r="CK70" i="7"/>
  <c r="CJ70" i="7"/>
  <c r="CF75" i="7"/>
  <c r="CF71" i="7"/>
  <c r="CG70" i="7"/>
  <c r="CF70" i="7"/>
  <c r="CC71" i="7"/>
  <c r="CB71" i="7"/>
  <c r="CB70" i="7"/>
  <c r="BY71" i="7"/>
  <c r="BX71" i="7"/>
  <c r="BY70" i="7"/>
  <c r="BX70" i="7"/>
  <c r="BT71" i="7"/>
  <c r="BU71" i="7" s="1"/>
  <c r="BU70" i="7"/>
  <c r="BT70" i="7"/>
  <c r="BP75" i="7"/>
  <c r="BP71" i="7"/>
  <c r="BQ70" i="7"/>
  <c r="BP70" i="7"/>
  <c r="BL70" i="7"/>
  <c r="BI71" i="7"/>
  <c r="BH71" i="7"/>
  <c r="BI70" i="7"/>
  <c r="BH70" i="7"/>
  <c r="BD71" i="7"/>
  <c r="BE70" i="7"/>
  <c r="BD70" i="7"/>
  <c r="AZ75" i="7"/>
  <c r="AZ71" i="7"/>
  <c r="BA70" i="7"/>
  <c r="AZ70" i="7"/>
  <c r="AW71" i="7"/>
  <c r="AV71" i="7"/>
  <c r="AV70" i="7"/>
  <c r="AS71" i="7"/>
  <c r="AR71" i="7"/>
  <c r="AS70" i="7"/>
  <c r="AR70" i="7"/>
  <c r="AP71" i="7"/>
  <c r="AO71" i="7"/>
  <c r="AN71" i="7"/>
  <c r="AT71" i="7" s="1"/>
  <c r="AN70" i="7"/>
  <c r="AL73" i="7"/>
  <c r="AK73" i="7"/>
  <c r="AL72" i="7"/>
  <c r="AK72" i="7"/>
  <c r="AL71" i="7"/>
  <c r="AK71" i="7"/>
  <c r="AL70" i="7"/>
  <c r="AK70" i="7"/>
  <c r="AH76" i="7"/>
  <c r="AH75" i="7"/>
  <c r="AH74" i="7"/>
  <c r="AG73" i="7"/>
  <c r="AH72" i="7"/>
  <c r="AG72" i="7"/>
  <c r="AH71" i="7"/>
  <c r="AG71" i="7"/>
  <c r="AH70" i="7"/>
  <c r="AG70" i="7"/>
  <c r="AD76" i="7"/>
  <c r="AD75" i="7"/>
  <c r="AD74" i="7"/>
  <c r="AC72" i="7"/>
  <c r="AD71" i="7"/>
  <c r="AC71" i="7"/>
  <c r="AD70" i="7"/>
  <c r="AC70" i="7"/>
  <c r="Z76" i="7"/>
  <c r="Z75" i="7"/>
  <c r="Z74" i="7"/>
  <c r="Z73" i="7"/>
  <c r="Y73" i="7"/>
  <c r="Y71" i="7"/>
  <c r="Z70" i="7"/>
  <c r="Y70" i="7"/>
  <c r="V76" i="7"/>
  <c r="V75" i="7"/>
  <c r="V74" i="7"/>
  <c r="V73" i="7"/>
  <c r="U73" i="7"/>
  <c r="V72" i="7"/>
  <c r="U72" i="7"/>
  <c r="V70" i="7"/>
  <c r="U70" i="7"/>
  <c r="R76" i="7"/>
  <c r="R75" i="7"/>
  <c r="R74" i="7"/>
  <c r="Q73" i="7"/>
  <c r="R72" i="7"/>
  <c r="Q72" i="7"/>
  <c r="R71" i="7"/>
  <c r="Q71" i="7"/>
  <c r="R70" i="7"/>
  <c r="Q70" i="7"/>
  <c r="A66" i="7"/>
  <c r="A65" i="7"/>
  <c r="B64" i="7"/>
  <c r="B63" i="7"/>
  <c r="B62" i="7"/>
  <c r="B61" i="7"/>
  <c r="B60" i="7"/>
  <c r="BD66" i="7"/>
  <c r="BD65" i="7"/>
  <c r="BF65" i="7" s="1"/>
  <c r="BD63" i="7"/>
  <c r="AZ66" i="7"/>
  <c r="AZ65" i="7"/>
  <c r="AZ64" i="7"/>
  <c r="AZ63" i="7"/>
  <c r="A63" i="7"/>
  <c r="A62" i="7"/>
  <c r="A61" i="7"/>
  <c r="A60" i="7"/>
  <c r="CV62" i="7"/>
  <c r="CV63" i="7" s="1"/>
  <c r="CR63" i="7"/>
  <c r="CS62" i="7"/>
  <c r="CR62" i="7"/>
  <c r="CN62" i="7"/>
  <c r="CK62" i="7"/>
  <c r="CJ62" i="7"/>
  <c r="CJ63" i="7" s="1"/>
  <c r="CK63" i="7" s="1"/>
  <c r="CF64" i="7"/>
  <c r="CG62" i="7"/>
  <c r="CF62" i="7"/>
  <c r="CF63" i="7" s="1"/>
  <c r="CL63" i="7" s="1"/>
  <c r="CB62" i="7"/>
  <c r="BY62" i="7"/>
  <c r="BX62" i="7"/>
  <c r="BT65" i="7"/>
  <c r="BT62" i="7"/>
  <c r="BT63" i="7" s="1"/>
  <c r="BP62" i="7"/>
  <c r="BL63" i="7"/>
  <c r="BL62" i="7"/>
  <c r="BM62" i="7" s="1"/>
  <c r="BH62" i="7"/>
  <c r="CX61" i="7"/>
  <c r="CV60" i="7"/>
  <c r="CT61" i="7"/>
  <c r="CS61" i="7"/>
  <c r="CR60" i="7"/>
  <c r="CP61" i="7"/>
  <c r="CO61" i="7"/>
  <c r="CO60" i="7"/>
  <c r="CN60" i="7"/>
  <c r="CL61" i="7"/>
  <c r="CK61" i="7"/>
  <c r="CL60" i="7"/>
  <c r="CJ60" i="7"/>
  <c r="CK60" i="7" s="1"/>
  <c r="CH61" i="7"/>
  <c r="CG61" i="7"/>
  <c r="CG60" i="7"/>
  <c r="CF60" i="7"/>
  <c r="CD61" i="7"/>
  <c r="CC61" i="7"/>
  <c r="CB60" i="7"/>
  <c r="BZ61" i="7"/>
  <c r="BY61" i="7"/>
  <c r="BX60" i="7"/>
  <c r="BV61" i="7"/>
  <c r="BU61" i="7"/>
  <c r="BT60" i="7"/>
  <c r="BR61" i="7"/>
  <c r="BQ61" i="7"/>
  <c r="BP60" i="7"/>
  <c r="BN61" i="7"/>
  <c r="BM61" i="7"/>
  <c r="BL60" i="7"/>
  <c r="BJ61" i="7"/>
  <c r="BI61" i="7"/>
  <c r="BI60" i="7"/>
  <c r="BH60" i="7"/>
  <c r="BH65" i="7" s="1"/>
  <c r="BJ65" i="7" s="1"/>
  <c r="BF62" i="7"/>
  <c r="BE62" i="7"/>
  <c r="BF61" i="7"/>
  <c r="BE61" i="7"/>
  <c r="BF60" i="7"/>
  <c r="BE60" i="7"/>
  <c r="BA62" i="7"/>
  <c r="BA61" i="7"/>
  <c r="BA60" i="7"/>
  <c r="AV64" i="7"/>
  <c r="AV62" i="7"/>
  <c r="BB62" i="7" s="1"/>
  <c r="AR64" i="7"/>
  <c r="AR62" i="7" s="1"/>
  <c r="AR63" i="7"/>
  <c r="AS63" i="7" s="1"/>
  <c r="CS51" i="7"/>
  <c r="BY51" i="7"/>
  <c r="CR51" i="7"/>
  <c r="CR81" i="7" s="1"/>
  <c r="CR50" i="7"/>
  <c r="CN51" i="7"/>
  <c r="CT51" i="7" s="1"/>
  <c r="CN50" i="7"/>
  <c r="CN80" i="7" s="1"/>
  <c r="CJ53" i="7"/>
  <c r="CK53" i="7" s="1"/>
  <c r="BX52" i="7"/>
  <c r="BX51" i="7"/>
  <c r="BX50" i="7"/>
  <c r="BX80" i="7" s="1"/>
  <c r="BY80" i="7" s="1"/>
  <c r="BT52" i="7"/>
  <c r="BT82" i="7" s="1"/>
  <c r="BT51" i="7"/>
  <c r="BT81" i="7" s="1"/>
  <c r="BT111" i="7" s="1"/>
  <c r="BT50" i="7"/>
  <c r="BT54" i="7" s="1"/>
  <c r="V14" i="10" s="1"/>
  <c r="A56" i="7"/>
  <c r="A55" i="7"/>
  <c r="CZ50" i="7"/>
  <c r="AF56" i="7"/>
  <c r="AF55" i="7"/>
  <c r="AF54" i="7"/>
  <c r="AB56" i="7"/>
  <c r="AB55" i="7"/>
  <c r="AB54" i="7"/>
  <c r="Q71" i="12" s="1"/>
  <c r="Q77" i="12" s="1"/>
  <c r="Z56" i="7"/>
  <c r="X56" i="7"/>
  <c r="X55" i="7"/>
  <c r="X54" i="7"/>
  <c r="T56" i="7"/>
  <c r="T55" i="7"/>
  <c r="T54" i="7"/>
  <c r="P56" i="7"/>
  <c r="P55" i="7"/>
  <c r="V55" i="7" s="1"/>
  <c r="P54" i="7"/>
  <c r="L56" i="7"/>
  <c r="L55" i="7"/>
  <c r="L54" i="7"/>
  <c r="I71" i="12" s="1"/>
  <c r="I77" i="12" s="1"/>
  <c r="H56" i="7"/>
  <c r="H55" i="7"/>
  <c r="H54" i="7"/>
  <c r="D56" i="7"/>
  <c r="E96" i="7" s="1"/>
  <c r="D55" i="7"/>
  <c r="D54" i="7"/>
  <c r="B54" i="7"/>
  <c r="B53" i="7"/>
  <c r="B52" i="7"/>
  <c r="B51" i="7"/>
  <c r="B50" i="7"/>
  <c r="E53" i="7"/>
  <c r="E52" i="7"/>
  <c r="E51" i="7"/>
  <c r="E50" i="7"/>
  <c r="A53" i="7"/>
  <c r="A52" i="7"/>
  <c r="A51" i="7"/>
  <c r="A50" i="7"/>
  <c r="BP52" i="7"/>
  <c r="BP82" i="7" s="1"/>
  <c r="BP112" i="7" s="1"/>
  <c r="BP50" i="7"/>
  <c r="BL52" i="7"/>
  <c r="BM52" i="7" s="1"/>
  <c r="BM51" i="7"/>
  <c r="BL51" i="7"/>
  <c r="BL81" i="7" s="1"/>
  <c r="BL111" i="7" s="1"/>
  <c r="BL50" i="7"/>
  <c r="BL54" i="7" s="1"/>
  <c r="T14" i="10" s="1"/>
  <c r="AI71" i="12" s="1"/>
  <c r="AI77" i="12" s="1"/>
  <c r="BH53" i="7"/>
  <c r="AT13" i="3" s="1"/>
  <c r="BI52" i="7"/>
  <c r="BH52" i="7"/>
  <c r="BH82" i="7" s="1"/>
  <c r="BH112" i="7" s="1"/>
  <c r="BI112" i="7" s="1"/>
  <c r="BH51" i="7"/>
  <c r="BI51" i="7" s="1"/>
  <c r="BI50" i="7"/>
  <c r="BH50" i="7"/>
  <c r="BH80" i="7" s="1"/>
  <c r="BD53" i="7"/>
  <c r="BD83" i="7" s="1"/>
  <c r="BD113" i="7" s="1"/>
  <c r="BD52" i="7"/>
  <c r="BE51" i="7"/>
  <c r="BD51" i="7"/>
  <c r="BD81" i="7" s="1"/>
  <c r="BD50" i="7"/>
  <c r="AZ52" i="7"/>
  <c r="AZ82" i="7" s="1"/>
  <c r="AZ112" i="7" s="1"/>
  <c r="BA112" i="7" s="1"/>
  <c r="AZ51" i="7"/>
  <c r="AZ50" i="7"/>
  <c r="AZ80" i="7" s="1"/>
  <c r="AV53" i="7"/>
  <c r="AW51" i="7"/>
  <c r="AV51" i="7"/>
  <c r="AV81" i="7" s="1"/>
  <c r="AV111" i="7" s="1"/>
  <c r="AV50" i="7"/>
  <c r="AH53" i="7"/>
  <c r="AG53" i="7"/>
  <c r="AH52" i="7"/>
  <c r="AG52" i="7"/>
  <c r="AH51" i="7"/>
  <c r="AG51" i="7"/>
  <c r="AH50" i="7"/>
  <c r="AG50" i="7"/>
  <c r="AD53" i="7"/>
  <c r="AC53" i="7"/>
  <c r="AD52" i="7"/>
  <c r="AC52" i="7"/>
  <c r="AD51" i="7"/>
  <c r="AC51" i="7"/>
  <c r="AD50" i="7"/>
  <c r="AC50" i="7"/>
  <c r="Z53" i="7"/>
  <c r="F58" i="3" s="1"/>
  <c r="Y53" i="7"/>
  <c r="Z52" i="7"/>
  <c r="Y52" i="7"/>
  <c r="Z51" i="7"/>
  <c r="D58" i="3" s="1"/>
  <c r="Y51" i="7"/>
  <c r="Z50" i="7"/>
  <c r="Y50" i="7"/>
  <c r="V53" i="7"/>
  <c r="U53" i="7"/>
  <c r="V52" i="7"/>
  <c r="U52" i="7"/>
  <c r="V51" i="7"/>
  <c r="U51" i="7"/>
  <c r="V50" i="7"/>
  <c r="U50" i="7"/>
  <c r="R53" i="7"/>
  <c r="Q53" i="7"/>
  <c r="R52" i="7"/>
  <c r="Q52" i="7"/>
  <c r="R51" i="7"/>
  <c r="Q51" i="7"/>
  <c r="R50" i="7"/>
  <c r="Q50" i="7"/>
  <c r="N53" i="7"/>
  <c r="M53" i="7"/>
  <c r="N52" i="7"/>
  <c r="M52" i="7"/>
  <c r="N51" i="7"/>
  <c r="M51" i="7"/>
  <c r="N50" i="7"/>
  <c r="M50" i="7"/>
  <c r="J53" i="7"/>
  <c r="I53" i="7"/>
  <c r="J52" i="7"/>
  <c r="I52" i="7"/>
  <c r="J51" i="7"/>
  <c r="I51" i="7"/>
  <c r="J50" i="7"/>
  <c r="I50" i="7"/>
  <c r="A46" i="7"/>
  <c r="A45" i="7"/>
  <c r="CZ41" i="7"/>
  <c r="CZ40" i="7"/>
  <c r="CR46" i="7"/>
  <c r="CR45" i="7"/>
  <c r="CN45" i="7"/>
  <c r="BP46" i="7"/>
  <c r="BP45" i="7"/>
  <c r="BP44" i="7"/>
  <c r="U19" i="10" s="1"/>
  <c r="BH46" i="7"/>
  <c r="BH45" i="7"/>
  <c r="BJ45" i="7" s="1"/>
  <c r="BH44" i="7"/>
  <c r="BD46" i="7"/>
  <c r="BD45" i="7"/>
  <c r="BD44" i="7"/>
  <c r="AZ46" i="7"/>
  <c r="AZ45" i="7"/>
  <c r="AZ44" i="7"/>
  <c r="O19" i="10" s="1"/>
  <c r="AV45" i="7"/>
  <c r="BB45" i="7" s="1"/>
  <c r="AP46" i="7"/>
  <c r="AN46" i="7"/>
  <c r="AN45" i="7"/>
  <c r="AN44" i="7"/>
  <c r="AJ46" i="7"/>
  <c r="AJ45" i="7"/>
  <c r="AJ44" i="7"/>
  <c r="J19" i="10" s="1"/>
  <c r="B44" i="7"/>
  <c r="B43" i="7"/>
  <c r="B42" i="7"/>
  <c r="B41" i="7"/>
  <c r="B40" i="7"/>
  <c r="CT41" i="7"/>
  <c r="CT40" i="7"/>
  <c r="BZ46" i="7"/>
  <c r="BX46" i="7"/>
  <c r="BX45" i="7"/>
  <c r="BY43" i="7"/>
  <c r="BX43" i="7"/>
  <c r="BV46" i="7"/>
  <c r="BT46" i="7"/>
  <c r="BT45" i="7"/>
  <c r="BT44" i="7"/>
  <c r="V19" i="10" s="1"/>
  <c r="BT43" i="7"/>
  <c r="BV43" i="7" s="1"/>
  <c r="BL46" i="7"/>
  <c r="BL45" i="7"/>
  <c r="BL44" i="7"/>
  <c r="T19" i="10" s="1"/>
  <c r="BL43" i="7"/>
  <c r="BN43" i="7" s="1"/>
  <c r="AK43" i="7"/>
  <c r="AK42" i="7"/>
  <c r="AK41" i="7"/>
  <c r="AK40" i="7"/>
  <c r="A43" i="7"/>
  <c r="A42" i="7"/>
  <c r="A41" i="7"/>
  <c r="A40" i="7"/>
  <c r="CS42" i="7"/>
  <c r="CS41" i="7"/>
  <c r="CS40" i="7"/>
  <c r="CN42" i="7"/>
  <c r="CZ42" i="7" s="1"/>
  <c r="CB42" i="7"/>
  <c r="CC42" i="7" s="1"/>
  <c r="CB41" i="7"/>
  <c r="CB40" i="7"/>
  <c r="CD40" i="7" s="1"/>
  <c r="AV42" i="7"/>
  <c r="AV46" i="7" s="1"/>
  <c r="BB46" i="7" s="1"/>
  <c r="AR42" i="7"/>
  <c r="AS42" i="7" s="1"/>
  <c r="CJ41" i="7"/>
  <c r="CP41" i="7" s="1"/>
  <c r="CJ40" i="7"/>
  <c r="CJ45" i="7" s="1"/>
  <c r="CP43" i="7"/>
  <c r="CO43" i="7"/>
  <c r="CP42" i="7"/>
  <c r="CO42" i="7"/>
  <c r="CO41" i="7"/>
  <c r="CO40" i="7"/>
  <c r="CK43" i="7"/>
  <c r="CK42" i="7"/>
  <c r="CK41" i="7"/>
  <c r="CF43" i="7"/>
  <c r="CF42" i="7"/>
  <c r="CF41" i="7"/>
  <c r="CF40" i="7"/>
  <c r="CD43" i="7"/>
  <c r="CC43" i="7"/>
  <c r="CD42" i="7"/>
  <c r="CD41" i="7"/>
  <c r="CC41" i="7"/>
  <c r="BZ42" i="7"/>
  <c r="BY42" i="7"/>
  <c r="BZ41" i="7"/>
  <c r="BY41" i="7"/>
  <c r="BZ40" i="7"/>
  <c r="BY40" i="7"/>
  <c r="BV42" i="7"/>
  <c r="BU42" i="7"/>
  <c r="BV41" i="7"/>
  <c r="BU41" i="7"/>
  <c r="BV40" i="7"/>
  <c r="BU40" i="7"/>
  <c r="BR43" i="7"/>
  <c r="BQ43" i="7"/>
  <c r="BR42" i="7"/>
  <c r="BQ42" i="7"/>
  <c r="BR41" i="7"/>
  <c r="BQ41" i="7"/>
  <c r="BR40" i="7"/>
  <c r="BQ40" i="7"/>
  <c r="BN42" i="7"/>
  <c r="BM42" i="7"/>
  <c r="BN41" i="7"/>
  <c r="BM41" i="7"/>
  <c r="BN40" i="7"/>
  <c r="BM40" i="7"/>
  <c r="BJ43" i="7"/>
  <c r="BI43" i="7"/>
  <c r="BJ42" i="7"/>
  <c r="BI42" i="7"/>
  <c r="BJ41" i="7"/>
  <c r="BI41" i="7"/>
  <c r="BJ40" i="7"/>
  <c r="BI40" i="7"/>
  <c r="BF43" i="7"/>
  <c r="BE43" i="7"/>
  <c r="BF42" i="7"/>
  <c r="BE42" i="7"/>
  <c r="BF41" i="7"/>
  <c r="BE41" i="7"/>
  <c r="BF40" i="7"/>
  <c r="BE40" i="7"/>
  <c r="BB43" i="7"/>
  <c r="BB42" i="7"/>
  <c r="BA42" i="7"/>
  <c r="BB41" i="7"/>
  <c r="BA41" i="7"/>
  <c r="BB40" i="7"/>
  <c r="BA40" i="7"/>
  <c r="AX43" i="7"/>
  <c r="AW43" i="7"/>
  <c r="AX42" i="7"/>
  <c r="AW42" i="7"/>
  <c r="AX41" i="7"/>
  <c r="AW41" i="7"/>
  <c r="AW40" i="7"/>
  <c r="AT43" i="7"/>
  <c r="AS43" i="7"/>
  <c r="AT42" i="7"/>
  <c r="AT41" i="7"/>
  <c r="AS41" i="7"/>
  <c r="AR40" i="7"/>
  <c r="AR46" i="7" s="1"/>
  <c r="AP43" i="7"/>
  <c r="AO43" i="7"/>
  <c r="AP42" i="7"/>
  <c r="AO42" i="7"/>
  <c r="AP41" i="7"/>
  <c r="AO41" i="7"/>
  <c r="AP40" i="7"/>
  <c r="AO40" i="7"/>
  <c r="BH37" i="7"/>
  <c r="BH36" i="7"/>
  <c r="BH35" i="7"/>
  <c r="BH34" i="7"/>
  <c r="S17" i="10" s="1"/>
  <c r="BE37" i="7"/>
  <c r="BD37" i="7"/>
  <c r="AW37" i="7"/>
  <c r="AV37" i="7"/>
  <c r="A36" i="7"/>
  <c r="A35" i="7"/>
  <c r="BM37" i="7"/>
  <c r="BL36" i="7"/>
  <c r="BN36" i="7" s="1"/>
  <c r="BL35" i="7"/>
  <c r="CZ31" i="7"/>
  <c r="CZ30" i="7"/>
  <c r="BD36" i="7"/>
  <c r="BD35" i="7"/>
  <c r="BJ35" i="7" s="1"/>
  <c r="BD34" i="7"/>
  <c r="Q17" i="10" s="1"/>
  <c r="AV36" i="7"/>
  <c r="AV35" i="7"/>
  <c r="AV34" i="7"/>
  <c r="M17" i="10" s="1"/>
  <c r="B34" i="7"/>
  <c r="B33" i="7"/>
  <c r="B32" i="7"/>
  <c r="B31" i="7"/>
  <c r="B30" i="7"/>
  <c r="CN36" i="7"/>
  <c r="CN35" i="7"/>
  <c r="CN34" i="7"/>
  <c r="AA17" i="10" s="1"/>
  <c r="CP33" i="7"/>
  <c r="CO33" i="7"/>
  <c r="CN33" i="7"/>
  <c r="CN53" i="7" s="1"/>
  <c r="CO53" i="7" s="1"/>
  <c r="BX36" i="7"/>
  <c r="BX35" i="7"/>
  <c r="BX33" i="7"/>
  <c r="BT36" i="7"/>
  <c r="BT35" i="7"/>
  <c r="BT34" i="7"/>
  <c r="BT33" i="7"/>
  <c r="BT53" i="7" s="1"/>
  <c r="BP33" i="7"/>
  <c r="BL33" i="7"/>
  <c r="BL53" i="7" s="1"/>
  <c r="AZ36" i="7"/>
  <c r="AZ35" i="7"/>
  <c r="BB33" i="7"/>
  <c r="AZ33" i="7"/>
  <c r="AZ53" i="7" s="1"/>
  <c r="A33" i="7"/>
  <c r="A32" i="7"/>
  <c r="A31" i="7"/>
  <c r="A30" i="7"/>
  <c r="CR35" i="7"/>
  <c r="CR32" i="7"/>
  <c r="CR52" i="7" s="1"/>
  <c r="CJ32" i="7"/>
  <c r="CK32" i="7" s="1"/>
  <c r="CJ31" i="7"/>
  <c r="CJ51" i="7" s="1"/>
  <c r="CK51" i="7" s="1"/>
  <c r="CJ30" i="7"/>
  <c r="CB33" i="7"/>
  <c r="CC32" i="7"/>
  <c r="CB32" i="7"/>
  <c r="CB52" i="7" s="1"/>
  <c r="CB31" i="7"/>
  <c r="CB51" i="7" s="1"/>
  <c r="BP31" i="7"/>
  <c r="BP36" i="7" s="1"/>
  <c r="CT31" i="7"/>
  <c r="CS31" i="7"/>
  <c r="CT30" i="7"/>
  <c r="CS30" i="7"/>
  <c r="CO32" i="7"/>
  <c r="CP31" i="7"/>
  <c r="CO31" i="7"/>
  <c r="CO30" i="7"/>
  <c r="CK33" i="7"/>
  <c r="CK31" i="7"/>
  <c r="CF33" i="7"/>
  <c r="CG32" i="7"/>
  <c r="CF32" i="7"/>
  <c r="CF52" i="7" s="1"/>
  <c r="CF31" i="7"/>
  <c r="CF30" i="7"/>
  <c r="CF50" i="7" s="1"/>
  <c r="CD30" i="7"/>
  <c r="CC30" i="7"/>
  <c r="BZ32" i="7"/>
  <c r="BY32" i="7"/>
  <c r="BZ31" i="7"/>
  <c r="BY31" i="7"/>
  <c r="BZ30" i="7"/>
  <c r="BY30" i="7"/>
  <c r="BV32" i="7"/>
  <c r="BU32" i="7"/>
  <c r="BU31" i="7"/>
  <c r="BV30" i="7"/>
  <c r="BU30" i="7"/>
  <c r="BR32" i="7"/>
  <c r="BQ32" i="7"/>
  <c r="BR31" i="7"/>
  <c r="BR30" i="7"/>
  <c r="BQ30" i="7"/>
  <c r="BN34" i="7"/>
  <c r="BN33" i="7"/>
  <c r="BN32" i="7"/>
  <c r="BM32" i="7"/>
  <c r="F36" i="42" s="1"/>
  <c r="BN31" i="7"/>
  <c r="BM31" i="7"/>
  <c r="F35" i="42" s="1"/>
  <c r="BN30" i="7"/>
  <c r="BM30" i="7"/>
  <c r="F34" i="42" s="1"/>
  <c r="BJ34" i="7"/>
  <c r="BJ33" i="7"/>
  <c r="BI33" i="7"/>
  <c r="BJ32" i="7"/>
  <c r="BI32" i="7"/>
  <c r="BJ31" i="7"/>
  <c r="BI31" i="7"/>
  <c r="BJ30" i="7"/>
  <c r="BI30" i="7"/>
  <c r="BF33" i="7"/>
  <c r="BE33" i="7"/>
  <c r="BF32" i="7"/>
  <c r="BE32" i="7"/>
  <c r="BF31" i="7"/>
  <c r="BE31" i="7"/>
  <c r="BF30" i="7"/>
  <c r="BE30" i="7"/>
  <c r="BB32" i="7"/>
  <c r="BA32" i="7"/>
  <c r="BB31" i="7"/>
  <c r="BA31" i="7"/>
  <c r="BB30" i="7"/>
  <c r="BA30" i="7"/>
  <c r="AX33" i="7"/>
  <c r="AW33" i="7"/>
  <c r="AW32" i="7"/>
  <c r="AW31" i="7"/>
  <c r="AW30" i="7"/>
  <c r="AS33" i="7"/>
  <c r="AR33" i="7"/>
  <c r="AR53" i="7" s="1"/>
  <c r="AR32" i="7"/>
  <c r="AX32" i="7" s="1"/>
  <c r="AS31" i="7"/>
  <c r="AR31" i="7"/>
  <c r="AR51" i="7" s="1"/>
  <c r="AR30" i="7"/>
  <c r="AP33" i="7"/>
  <c r="AN33" i="7"/>
  <c r="AN53" i="7" s="1"/>
  <c r="AO32" i="7"/>
  <c r="AN32" i="7"/>
  <c r="AN52" i="7" s="1"/>
  <c r="AN31" i="7"/>
  <c r="AN30" i="7"/>
  <c r="AN34" i="7" s="1"/>
  <c r="K17" i="10" s="1"/>
  <c r="AK33" i="7"/>
  <c r="AJ33" i="7"/>
  <c r="AJ53" i="7" s="1"/>
  <c r="P13" i="3" s="1"/>
  <c r="AJ32" i="7"/>
  <c r="AJ52" i="7" s="1"/>
  <c r="AK31" i="7"/>
  <c r="AJ31" i="7"/>
  <c r="AJ30" i="7"/>
  <c r="AJ50" i="7" s="1"/>
  <c r="A26" i="7"/>
  <c r="A25" i="7"/>
  <c r="CR26" i="7"/>
  <c r="CS25" i="7"/>
  <c r="CR25" i="7"/>
  <c r="CN26" i="7"/>
  <c r="CN25" i="7"/>
  <c r="CB26" i="7"/>
  <c r="CB25" i="7"/>
  <c r="BX26" i="7"/>
  <c r="BX25" i="7"/>
  <c r="BT26" i="7"/>
  <c r="BU25" i="7"/>
  <c r="BT25" i="7"/>
  <c r="BP26" i="7"/>
  <c r="BP25" i="7"/>
  <c r="BL26" i="7"/>
  <c r="BL25" i="7"/>
  <c r="BH26" i="7"/>
  <c r="BH25" i="7"/>
  <c r="BD26" i="7"/>
  <c r="BE25" i="7"/>
  <c r="BD25" i="7"/>
  <c r="AZ26" i="7"/>
  <c r="AZ25" i="7"/>
  <c r="AV26" i="7"/>
  <c r="AV25" i="7"/>
  <c r="AR26" i="7"/>
  <c r="AR25" i="7"/>
  <c r="AN26" i="7"/>
  <c r="AO25" i="7"/>
  <c r="AN25" i="7"/>
  <c r="CB24" i="7"/>
  <c r="BX24" i="7"/>
  <c r="BT24" i="7"/>
  <c r="BP24" i="7"/>
  <c r="BL24" i="7"/>
  <c r="T11" i="10" s="1"/>
  <c r="AI70" i="12" s="1"/>
  <c r="BH24" i="7"/>
  <c r="BD24" i="7"/>
  <c r="Q11" i="10" s="1"/>
  <c r="AZ24" i="7"/>
  <c r="O11" i="10" s="1"/>
  <c r="O25" i="10" s="1"/>
  <c r="AV24" i="7"/>
  <c r="M11" i="10" s="1"/>
  <c r="AA70" i="12" s="1"/>
  <c r="AR24" i="7"/>
  <c r="AN24" i="7"/>
  <c r="AJ26" i="7"/>
  <c r="AJ25" i="7"/>
  <c r="AJ24" i="7"/>
  <c r="AF26" i="7"/>
  <c r="AF25" i="7"/>
  <c r="AF24" i="7"/>
  <c r="AB26" i="7"/>
  <c r="AB25" i="7"/>
  <c r="AB24" i="7"/>
  <c r="X26" i="7"/>
  <c r="Y25" i="7"/>
  <c r="X25" i="7"/>
  <c r="X24" i="7"/>
  <c r="T26" i="7"/>
  <c r="T25" i="7"/>
  <c r="T24" i="7"/>
  <c r="P26" i="7"/>
  <c r="P25" i="7"/>
  <c r="P24" i="7"/>
  <c r="L26" i="7"/>
  <c r="L25" i="7"/>
  <c r="L24" i="7"/>
  <c r="D11" i="10" s="1"/>
  <c r="H26" i="7"/>
  <c r="I76" i="7" s="1"/>
  <c r="H25" i="7"/>
  <c r="I75" i="7" s="1"/>
  <c r="H24" i="7"/>
  <c r="D26" i="7"/>
  <c r="E76" i="7" s="1"/>
  <c r="D25" i="7"/>
  <c r="E75" i="7" s="1"/>
  <c r="D24" i="7"/>
  <c r="B24" i="7"/>
  <c r="B23" i="7"/>
  <c r="B22" i="7"/>
  <c r="B21" i="7"/>
  <c r="B20" i="7"/>
  <c r="CN23" i="7"/>
  <c r="AK23" i="7"/>
  <c r="AK22" i="7"/>
  <c r="AK21" i="7"/>
  <c r="AK20" i="7"/>
  <c r="AG23" i="7"/>
  <c r="AG22" i="7"/>
  <c r="AG21" i="7"/>
  <c r="AG20" i="7"/>
  <c r="AC23" i="7"/>
  <c r="AC22" i="7"/>
  <c r="AC21" i="7"/>
  <c r="AC20" i="7"/>
  <c r="Y23" i="7"/>
  <c r="Y22" i="7"/>
  <c r="Y21" i="7"/>
  <c r="Y20" i="7"/>
  <c r="U23" i="7"/>
  <c r="U22" i="7"/>
  <c r="U21" i="7"/>
  <c r="U20" i="7"/>
  <c r="Q23" i="7"/>
  <c r="Q22" i="7"/>
  <c r="Q21" i="7"/>
  <c r="Q20" i="7"/>
  <c r="M23" i="7"/>
  <c r="M22" i="7"/>
  <c r="M21" i="7"/>
  <c r="M20" i="7"/>
  <c r="I23" i="7"/>
  <c r="I22" i="7"/>
  <c r="I21" i="7"/>
  <c r="I20" i="7"/>
  <c r="E23" i="7"/>
  <c r="E22" i="7"/>
  <c r="E21" i="7"/>
  <c r="E20" i="7"/>
  <c r="A23" i="7"/>
  <c r="A22" i="7"/>
  <c r="A21" i="7"/>
  <c r="A20" i="7"/>
  <c r="CS22" i="7"/>
  <c r="CX22" i="7" s="1"/>
  <c r="CS21" i="7"/>
  <c r="CS20" i="7"/>
  <c r="CX23" i="7"/>
  <c r="CX21" i="7"/>
  <c r="CX20" i="7"/>
  <c r="CO22" i="7"/>
  <c r="CO21" i="7"/>
  <c r="CO20" i="7"/>
  <c r="CJ23" i="7"/>
  <c r="F161" i="16" s="1"/>
  <c r="CK22" i="7"/>
  <c r="CL22" i="7" s="1"/>
  <c r="CJ22" i="7"/>
  <c r="CJ21" i="7"/>
  <c r="CJ20" i="7"/>
  <c r="F158" i="16" s="1"/>
  <c r="CG23" i="7"/>
  <c r="CG22" i="7"/>
  <c r="CH22" i="7" s="1"/>
  <c r="CG21" i="7"/>
  <c r="CF20" i="7"/>
  <c r="CC23" i="7"/>
  <c r="CC22" i="7"/>
  <c r="CC21" i="7"/>
  <c r="CC20" i="7"/>
  <c r="BY23" i="7"/>
  <c r="BY22" i="7"/>
  <c r="BY21" i="7"/>
  <c r="BY20" i="7"/>
  <c r="BU23" i="7"/>
  <c r="BU22" i="7"/>
  <c r="BU21" i="7"/>
  <c r="BU20" i="7"/>
  <c r="BQ23" i="7"/>
  <c r="BQ22" i="7"/>
  <c r="BQ21" i="7"/>
  <c r="BQ20" i="7"/>
  <c r="BM23" i="7"/>
  <c r="BM22" i="7"/>
  <c r="BM21" i="7"/>
  <c r="BM20" i="7"/>
  <c r="BI23" i="7"/>
  <c r="BI22" i="7"/>
  <c r="BI21" i="7"/>
  <c r="BI20" i="7"/>
  <c r="BE23" i="7"/>
  <c r="BE22" i="7"/>
  <c r="BE21" i="7"/>
  <c r="BE20" i="7"/>
  <c r="BA22" i="7"/>
  <c r="BA21" i="7"/>
  <c r="BA20" i="7"/>
  <c r="AW23" i="7"/>
  <c r="AW22" i="7"/>
  <c r="AW21" i="7"/>
  <c r="AW20" i="7"/>
  <c r="AS23" i="7"/>
  <c r="AS22" i="7"/>
  <c r="AS21" i="7"/>
  <c r="AS20" i="7"/>
  <c r="AO23" i="7"/>
  <c r="AO22" i="7"/>
  <c r="AP22" i="7" s="1"/>
  <c r="AO21" i="7"/>
  <c r="AP21" i="7" s="1"/>
  <c r="AO20" i="7"/>
  <c r="AP20" i="7" s="1"/>
  <c r="D16" i="7"/>
  <c r="E26" i="7" s="1"/>
  <c r="D15" i="7"/>
  <c r="D14" i="7"/>
  <c r="CR16" i="7"/>
  <c r="CN16" i="7"/>
  <c r="CT15" i="7"/>
  <c r="CR15" i="7"/>
  <c r="CN15" i="7"/>
  <c r="CO45" i="7" s="1"/>
  <c r="CJ16" i="7"/>
  <c r="CK96" i="7" s="1"/>
  <c r="CJ15" i="7"/>
  <c r="CK95" i="7" s="1"/>
  <c r="CB16" i="7"/>
  <c r="CD15" i="7"/>
  <c r="CB15" i="7"/>
  <c r="CC95" i="7" s="1"/>
  <c r="BX16" i="7"/>
  <c r="BY96" i="7" s="1"/>
  <c r="BY15" i="7"/>
  <c r="BX15" i="7"/>
  <c r="BY95" i="7" s="1"/>
  <c r="BT16" i="7"/>
  <c r="BV15" i="7"/>
  <c r="BT15" i="7"/>
  <c r="BL16" i="7"/>
  <c r="BL15" i="7"/>
  <c r="BH16" i="7"/>
  <c r="BH15" i="7"/>
  <c r="BI45" i="7" s="1"/>
  <c r="BD16" i="7"/>
  <c r="BE26" i="7" s="1"/>
  <c r="BD15" i="7"/>
  <c r="BE15" i="7" s="1"/>
  <c r="AZ16" i="7"/>
  <c r="AZ15" i="7"/>
  <c r="BA45" i="7" s="1"/>
  <c r="AV16" i="7"/>
  <c r="AW26" i="7" s="1"/>
  <c r="AV15" i="7"/>
  <c r="AX15" i="7" s="1"/>
  <c r="AR16" i="7"/>
  <c r="AT15" i="7"/>
  <c r="AR15" i="7"/>
  <c r="AS95" i="7" s="1"/>
  <c r="AN16" i="7"/>
  <c r="AO96" i="7" s="1"/>
  <c r="AO15" i="7"/>
  <c r="AN15" i="7"/>
  <c r="AO95" i="7" s="1"/>
  <c r="AJ16" i="7"/>
  <c r="AK76" i="7" s="1"/>
  <c r="AL15" i="7"/>
  <c r="AJ15" i="7"/>
  <c r="AK45" i="7" s="1"/>
  <c r="AF16" i="7"/>
  <c r="AG96" i="7" s="1"/>
  <c r="AF15" i="7"/>
  <c r="AG25" i="7" s="1"/>
  <c r="AB16" i="7"/>
  <c r="AB15" i="7"/>
  <c r="X16" i="7"/>
  <c r="Y26" i="7" s="1"/>
  <c r="X15" i="7"/>
  <c r="Y55" i="7" s="1"/>
  <c r="T16" i="7"/>
  <c r="U26" i="7" s="1"/>
  <c r="T15" i="7"/>
  <c r="U95" i="7" s="1"/>
  <c r="P16" i="7"/>
  <c r="Q96" i="7" s="1"/>
  <c r="P15" i="7"/>
  <c r="Q15" i="7" s="1"/>
  <c r="L16" i="7"/>
  <c r="M26" i="7" s="1"/>
  <c r="N15" i="7"/>
  <c r="L15" i="7"/>
  <c r="M15" i="7" s="1"/>
  <c r="H16" i="7"/>
  <c r="I96" i="7" s="1"/>
  <c r="I15" i="7"/>
  <c r="H15" i="7"/>
  <c r="I95" i="7" s="1"/>
  <c r="CZ14" i="7"/>
  <c r="CN14" i="7"/>
  <c r="CJ14" i="7"/>
  <c r="CF16" i="7"/>
  <c r="CG96" i="7" s="1"/>
  <c r="CF15" i="7"/>
  <c r="CH14" i="7"/>
  <c r="CY14" i="7" s="1"/>
  <c r="CF14" i="7"/>
  <c r="CB14" i="7"/>
  <c r="BX14" i="7"/>
  <c r="BT14" i="7"/>
  <c r="BP16" i="7"/>
  <c r="BP15" i="7"/>
  <c r="BQ95" i="7" s="1"/>
  <c r="BR14" i="7"/>
  <c r="R240" i="8" s="1"/>
  <c r="BP14" i="7"/>
  <c r="BL14" i="7"/>
  <c r="BH14" i="7"/>
  <c r="BD14" i="7"/>
  <c r="AV14" i="7"/>
  <c r="AW24" i="7" s="1"/>
  <c r="AR14" i="7"/>
  <c r="AN14" i="7"/>
  <c r="AJ14" i="7"/>
  <c r="AK24" i="7" s="1"/>
  <c r="AF14" i="7"/>
  <c r="AB14" i="7"/>
  <c r="X14" i="7"/>
  <c r="T14" i="7"/>
  <c r="P14" i="7"/>
  <c r="L14" i="7"/>
  <c r="H14" i="7"/>
  <c r="CO13" i="7"/>
  <c r="CO12" i="7"/>
  <c r="CO11" i="7"/>
  <c r="CO10" i="7"/>
  <c r="CK13" i="7"/>
  <c r="CK12" i="7"/>
  <c r="CK11" i="7"/>
  <c r="CK10" i="7"/>
  <c r="CJ10" i="15" s="1"/>
  <c r="CJ16" i="15" s="1"/>
  <c r="CJ22" i="15" s="1"/>
  <c r="CJ28" i="15" s="1"/>
  <c r="CJ34" i="15" s="1"/>
  <c r="CG13" i="7"/>
  <c r="CF13" i="15" s="1"/>
  <c r="CF19" i="15" s="1"/>
  <c r="CF25" i="15" s="1"/>
  <c r="CF31" i="15" s="1"/>
  <c r="CF37" i="15" s="1"/>
  <c r="CG12" i="7"/>
  <c r="CF12" i="15" s="1"/>
  <c r="CF18" i="15" s="1"/>
  <c r="CF24" i="15" s="1"/>
  <c r="CF30" i="15" s="1"/>
  <c r="CF36" i="15" s="1"/>
  <c r="CG11" i="7"/>
  <c r="CF11" i="15" s="1"/>
  <c r="CF17" i="15" s="1"/>
  <c r="CF23" i="15" s="1"/>
  <c r="CF29" i="15" s="1"/>
  <c r="CF35" i="15" s="1"/>
  <c r="CG10" i="7"/>
  <c r="CF10" i="15" s="1"/>
  <c r="CF16" i="15" s="1"/>
  <c r="CF22" i="15" s="1"/>
  <c r="CF28" i="15" s="1"/>
  <c r="CF34" i="15" s="1"/>
  <c r="CC13" i="7"/>
  <c r="CB13" i="15" s="1"/>
  <c r="CB19" i="15" s="1"/>
  <c r="CB25" i="15" s="1"/>
  <c r="CB31" i="15" s="1"/>
  <c r="CB37" i="15" s="1"/>
  <c r="CC12" i="7"/>
  <c r="CB12" i="15" s="1"/>
  <c r="CB18" i="15" s="1"/>
  <c r="CB24" i="15" s="1"/>
  <c r="CB30" i="15" s="1"/>
  <c r="CB36" i="15" s="1"/>
  <c r="CC11" i="7"/>
  <c r="CB11" i="15" s="1"/>
  <c r="CB17" i="15" s="1"/>
  <c r="CB23" i="15" s="1"/>
  <c r="CB29" i="15" s="1"/>
  <c r="CB35" i="15" s="1"/>
  <c r="CC10" i="7"/>
  <c r="CB10" i="15" s="1"/>
  <c r="CB16" i="15" s="1"/>
  <c r="CB22" i="15" s="1"/>
  <c r="CB28" i="15" s="1"/>
  <c r="CB34" i="15" s="1"/>
  <c r="BY13" i="7"/>
  <c r="BX13" i="15" s="1"/>
  <c r="BX19" i="15" s="1"/>
  <c r="BX25" i="15" s="1"/>
  <c r="BX31" i="15" s="1"/>
  <c r="BX37" i="15" s="1"/>
  <c r="BY12" i="7"/>
  <c r="BX12" i="15" s="1"/>
  <c r="BX18" i="15" s="1"/>
  <c r="BX24" i="15" s="1"/>
  <c r="BX30" i="15" s="1"/>
  <c r="BX36" i="15" s="1"/>
  <c r="BY11" i="7"/>
  <c r="BX11" i="15" s="1"/>
  <c r="BX17" i="15" s="1"/>
  <c r="BX23" i="15" s="1"/>
  <c r="BX29" i="15" s="1"/>
  <c r="BX35" i="15" s="1"/>
  <c r="BY10" i="7"/>
  <c r="BX10" i="15" s="1"/>
  <c r="BX16" i="15" s="1"/>
  <c r="BX22" i="15" s="1"/>
  <c r="BX28" i="15" s="1"/>
  <c r="BX34" i="15" s="1"/>
  <c r="BU13" i="7"/>
  <c r="BT13" i="15" s="1"/>
  <c r="BT19" i="15" s="1"/>
  <c r="BT25" i="15" s="1"/>
  <c r="BT31" i="15" s="1"/>
  <c r="BT37" i="15" s="1"/>
  <c r="BU12" i="7"/>
  <c r="BT12" i="15" s="1"/>
  <c r="BT18" i="15" s="1"/>
  <c r="BT24" i="15" s="1"/>
  <c r="BT30" i="15" s="1"/>
  <c r="BT36" i="15" s="1"/>
  <c r="BU11" i="7"/>
  <c r="BT11" i="15" s="1"/>
  <c r="BT17" i="15" s="1"/>
  <c r="BT23" i="15" s="1"/>
  <c r="BT29" i="15" s="1"/>
  <c r="BT35" i="15" s="1"/>
  <c r="BU10" i="7"/>
  <c r="BT10" i="15" s="1"/>
  <c r="BT16" i="15" s="1"/>
  <c r="BT22" i="15" s="1"/>
  <c r="BT28" i="15" s="1"/>
  <c r="BT34" i="15" s="1"/>
  <c r="BR13" i="7"/>
  <c r="BQ13" i="7"/>
  <c r="BP13" i="15" s="1"/>
  <c r="BP19" i="15" s="1"/>
  <c r="BP25" i="15" s="1"/>
  <c r="BP31" i="15" s="1"/>
  <c r="BP37" i="15" s="1"/>
  <c r="BM13" i="7"/>
  <c r="BL13" i="15" s="1"/>
  <c r="BL19" i="15" s="1"/>
  <c r="BL25" i="15" s="1"/>
  <c r="BL31" i="15" s="1"/>
  <c r="BL37" i="15" s="1"/>
  <c r="BM12" i="7"/>
  <c r="BL12" i="15" s="1"/>
  <c r="BL18" i="15" s="1"/>
  <c r="BL24" i="15" s="1"/>
  <c r="BL30" i="15" s="1"/>
  <c r="BL36" i="15" s="1"/>
  <c r="BM11" i="7"/>
  <c r="BL11" i="15" s="1"/>
  <c r="BL17" i="15" s="1"/>
  <c r="BL23" i="15" s="1"/>
  <c r="BL29" i="15" s="1"/>
  <c r="BL35" i="15" s="1"/>
  <c r="BM10" i="7"/>
  <c r="BL10" i="15" s="1"/>
  <c r="BL16" i="15" s="1"/>
  <c r="BL22" i="15" s="1"/>
  <c r="BL28" i="15" s="1"/>
  <c r="BL34" i="15" s="1"/>
  <c r="BI13" i="7"/>
  <c r="BH13" i="15" s="1"/>
  <c r="BH19" i="15" s="1"/>
  <c r="BH25" i="15" s="1"/>
  <c r="BH31" i="15" s="1"/>
  <c r="BH37" i="15" s="1"/>
  <c r="BI12" i="7"/>
  <c r="BH12" i="15" s="1"/>
  <c r="BH18" i="15" s="1"/>
  <c r="BH24" i="15" s="1"/>
  <c r="BH30" i="15" s="1"/>
  <c r="BH36" i="15" s="1"/>
  <c r="BI11" i="7"/>
  <c r="BH11" i="15" s="1"/>
  <c r="BH17" i="15" s="1"/>
  <c r="BH23" i="15" s="1"/>
  <c r="BH29" i="15" s="1"/>
  <c r="BH35" i="15" s="1"/>
  <c r="BI10" i="7"/>
  <c r="BH10" i="15" s="1"/>
  <c r="BH16" i="15" s="1"/>
  <c r="BH22" i="15" s="1"/>
  <c r="BH28" i="15" s="1"/>
  <c r="BH34" i="15" s="1"/>
  <c r="BE12" i="7"/>
  <c r="BD12" i="15" s="1"/>
  <c r="BD18" i="15" s="1"/>
  <c r="BD24" i="15" s="1"/>
  <c r="BD30" i="15" s="1"/>
  <c r="BD36" i="15" s="1"/>
  <c r="BE11" i="7"/>
  <c r="BD11" i="15" s="1"/>
  <c r="BD17" i="15" s="1"/>
  <c r="BD23" i="15" s="1"/>
  <c r="BD29" i="15" s="1"/>
  <c r="BD35" i="15" s="1"/>
  <c r="BE10" i="7"/>
  <c r="BD10" i="15" s="1"/>
  <c r="BD16" i="15" s="1"/>
  <c r="BD22" i="15" s="1"/>
  <c r="BD28" i="15" s="1"/>
  <c r="BD34" i="15" s="1"/>
  <c r="AZ13" i="7"/>
  <c r="AW13" i="7"/>
  <c r="AV13" i="15" s="1"/>
  <c r="AV19" i="15" s="1"/>
  <c r="AV25" i="15" s="1"/>
  <c r="AV31" i="15" s="1"/>
  <c r="AV37" i="15" s="1"/>
  <c r="AW12" i="7"/>
  <c r="AV12" i="15" s="1"/>
  <c r="AV18" i="15" s="1"/>
  <c r="AV24" i="15" s="1"/>
  <c r="AV30" i="15" s="1"/>
  <c r="AV36" i="15" s="1"/>
  <c r="AW11" i="7"/>
  <c r="AV11" i="15" s="1"/>
  <c r="AV17" i="15" s="1"/>
  <c r="AV23" i="15" s="1"/>
  <c r="AV29" i="15" s="1"/>
  <c r="AV35" i="15" s="1"/>
  <c r="AW10" i="7"/>
  <c r="AV10" i="15" s="1"/>
  <c r="AV16" i="15" s="1"/>
  <c r="AV22" i="15" s="1"/>
  <c r="AV28" i="15" s="1"/>
  <c r="AV34" i="15" s="1"/>
  <c r="AS13" i="7"/>
  <c r="AR13" i="15" s="1"/>
  <c r="AR19" i="15" s="1"/>
  <c r="AR25" i="15" s="1"/>
  <c r="AR31" i="15" s="1"/>
  <c r="AR37" i="15" s="1"/>
  <c r="AS12" i="7"/>
  <c r="AR12" i="15" s="1"/>
  <c r="AR18" i="15" s="1"/>
  <c r="AR24" i="15" s="1"/>
  <c r="AR30" i="15" s="1"/>
  <c r="AR36" i="15" s="1"/>
  <c r="AS11" i="7"/>
  <c r="AR11" i="15" s="1"/>
  <c r="AR17" i="15" s="1"/>
  <c r="AR23" i="15" s="1"/>
  <c r="AR29" i="15" s="1"/>
  <c r="AR35" i="15" s="1"/>
  <c r="AS10" i="7"/>
  <c r="AR10" i="15" s="1"/>
  <c r="AR16" i="15" s="1"/>
  <c r="AR22" i="15" s="1"/>
  <c r="AR28" i="15" s="1"/>
  <c r="AR34" i="15" s="1"/>
  <c r="AO13" i="7"/>
  <c r="AN13" i="15" s="1"/>
  <c r="AN19" i="15" s="1"/>
  <c r="AN25" i="15" s="1"/>
  <c r="AN31" i="15" s="1"/>
  <c r="AN37" i="15" s="1"/>
  <c r="AO12" i="7"/>
  <c r="AN12" i="15" s="1"/>
  <c r="AN18" i="15" s="1"/>
  <c r="AN24" i="15" s="1"/>
  <c r="AN30" i="15" s="1"/>
  <c r="AN36" i="15" s="1"/>
  <c r="AO11" i="7"/>
  <c r="AN11" i="15" s="1"/>
  <c r="AN17" i="15" s="1"/>
  <c r="AN23" i="15" s="1"/>
  <c r="AN29" i="15" s="1"/>
  <c r="AN35" i="15" s="1"/>
  <c r="AO10" i="7"/>
  <c r="AN10" i="15" s="1"/>
  <c r="AN16" i="15" s="1"/>
  <c r="AN22" i="15" s="1"/>
  <c r="AN28" i="15" s="1"/>
  <c r="AN34" i="15" s="1"/>
  <c r="AK13" i="7"/>
  <c r="AJ13" i="15" s="1"/>
  <c r="AJ19" i="15" s="1"/>
  <c r="AJ25" i="15" s="1"/>
  <c r="AJ31" i="15" s="1"/>
  <c r="AJ37" i="15" s="1"/>
  <c r="AK12" i="7"/>
  <c r="AK11" i="7"/>
  <c r="AJ11" i="15" s="1"/>
  <c r="AJ17" i="15" s="1"/>
  <c r="AJ23" i="15" s="1"/>
  <c r="AJ29" i="15" s="1"/>
  <c r="AJ35" i="15" s="1"/>
  <c r="AK10" i="7"/>
  <c r="AJ10" i="15" s="1"/>
  <c r="AJ16" i="15" s="1"/>
  <c r="AJ22" i="15" s="1"/>
  <c r="AJ28" i="15" s="1"/>
  <c r="AJ34" i="15" s="1"/>
  <c r="AG13" i="7"/>
  <c r="AF13" i="15" s="1"/>
  <c r="AF19" i="15" s="1"/>
  <c r="AF25" i="15" s="1"/>
  <c r="AF31" i="15" s="1"/>
  <c r="AF37" i="15" s="1"/>
  <c r="AG12" i="7"/>
  <c r="AF12" i="15" s="1"/>
  <c r="AF18" i="15" s="1"/>
  <c r="AF24" i="15" s="1"/>
  <c r="AF30" i="15" s="1"/>
  <c r="AF36" i="15" s="1"/>
  <c r="AG11" i="7"/>
  <c r="AF11" i="15" s="1"/>
  <c r="AF17" i="15" s="1"/>
  <c r="AF23" i="15" s="1"/>
  <c r="AF29" i="15" s="1"/>
  <c r="AF35" i="15" s="1"/>
  <c r="AG10" i="7"/>
  <c r="AF10" i="15" s="1"/>
  <c r="AF16" i="15" s="1"/>
  <c r="AF22" i="15" s="1"/>
  <c r="AF28" i="15" s="1"/>
  <c r="AF34" i="15" s="1"/>
  <c r="AC13" i="7"/>
  <c r="AB13" i="15" s="1"/>
  <c r="AB19" i="15" s="1"/>
  <c r="AB25" i="15" s="1"/>
  <c r="AB31" i="15" s="1"/>
  <c r="AB37" i="15" s="1"/>
  <c r="AC12" i="7"/>
  <c r="AB12" i="15" s="1"/>
  <c r="AB18" i="15" s="1"/>
  <c r="AB24" i="15" s="1"/>
  <c r="AB30" i="15" s="1"/>
  <c r="AB36" i="15" s="1"/>
  <c r="AC11" i="7"/>
  <c r="AB11" i="15" s="1"/>
  <c r="AB17" i="15" s="1"/>
  <c r="AB23" i="15" s="1"/>
  <c r="AB29" i="15" s="1"/>
  <c r="AB35" i="15" s="1"/>
  <c r="AC10" i="7"/>
  <c r="AB10" i="15" s="1"/>
  <c r="AB16" i="15" s="1"/>
  <c r="AB22" i="15" s="1"/>
  <c r="AB28" i="15" s="1"/>
  <c r="AB34" i="15" s="1"/>
  <c r="Y13" i="7"/>
  <c r="X13" i="15" s="1"/>
  <c r="Y12" i="7"/>
  <c r="Y11" i="7"/>
  <c r="X11" i="15" s="1"/>
  <c r="X23" i="15" s="1"/>
  <c r="Y10" i="7"/>
  <c r="X10" i="15" s="1"/>
  <c r="X16" i="15" s="1"/>
  <c r="U13" i="7"/>
  <c r="T13" i="15" s="1"/>
  <c r="U12" i="7"/>
  <c r="T12" i="15" s="1"/>
  <c r="T18" i="15" s="1"/>
  <c r="U11" i="7"/>
  <c r="T11" i="15" s="1"/>
  <c r="U10" i="7"/>
  <c r="T10" i="15" s="1"/>
  <c r="T16" i="15" s="1"/>
  <c r="Q13" i="7"/>
  <c r="P13" i="15" s="1"/>
  <c r="Q12" i="7"/>
  <c r="P12" i="15" s="1"/>
  <c r="P18" i="15" s="1"/>
  <c r="Q11" i="7"/>
  <c r="P11" i="15" s="1"/>
  <c r="P23" i="15" s="1"/>
  <c r="Q10" i="7"/>
  <c r="P10" i="15" s="1"/>
  <c r="P16" i="15" s="1"/>
  <c r="M13" i="7"/>
  <c r="L13" i="15" s="1"/>
  <c r="M12" i="7"/>
  <c r="L12" i="15" s="1"/>
  <c r="L18" i="15" s="1"/>
  <c r="M11" i="7"/>
  <c r="L11" i="15" s="1"/>
  <c r="M10" i="7"/>
  <c r="L10" i="15" s="1"/>
  <c r="L16" i="15" s="1"/>
  <c r="I13" i="7"/>
  <c r="H13" i="15" s="1"/>
  <c r="I12" i="7"/>
  <c r="H12" i="15" s="1"/>
  <c r="H18" i="15" s="1"/>
  <c r="I11" i="7"/>
  <c r="H11" i="15" s="1"/>
  <c r="I10" i="7"/>
  <c r="H10" i="15" s="1"/>
  <c r="H22" i="15" s="1"/>
  <c r="DZ12" i="7"/>
  <c r="CS12" i="7"/>
  <c r="CS11" i="7"/>
  <c r="CS10" i="7"/>
  <c r="BQ12" i="7"/>
  <c r="BP12" i="15" s="1"/>
  <c r="BP18" i="15" s="1"/>
  <c r="BP24" i="15" s="1"/>
  <c r="BP30" i="15" s="1"/>
  <c r="BP36" i="15" s="1"/>
  <c r="BQ11" i="7"/>
  <c r="BP11" i="15" s="1"/>
  <c r="BP17" i="15" s="1"/>
  <c r="BP23" i="15" s="1"/>
  <c r="BP29" i="15" s="1"/>
  <c r="BP35" i="15" s="1"/>
  <c r="BQ10" i="7"/>
  <c r="BP10" i="15" s="1"/>
  <c r="BP16" i="15" s="1"/>
  <c r="BP22" i="15" s="1"/>
  <c r="BP28" i="15" s="1"/>
  <c r="BP34" i="15" s="1"/>
  <c r="BA12" i="7"/>
  <c r="AZ12" i="15" s="1"/>
  <c r="AZ18" i="15" s="1"/>
  <c r="AZ24" i="15" s="1"/>
  <c r="AZ30" i="15" s="1"/>
  <c r="AZ36" i="15" s="1"/>
  <c r="BA11" i="7"/>
  <c r="AZ11" i="15" s="1"/>
  <c r="AZ17" i="15" s="1"/>
  <c r="AZ23" i="15" s="1"/>
  <c r="AZ29" i="15" s="1"/>
  <c r="AZ35" i="15" s="1"/>
  <c r="BA10" i="7"/>
  <c r="AZ10" i="15" s="1"/>
  <c r="AZ16" i="15" s="1"/>
  <c r="AZ22" i="15" s="1"/>
  <c r="AZ28" i="15" s="1"/>
  <c r="AZ34" i="15" s="1"/>
  <c r="DA13" i="7"/>
  <c r="CZ13" i="7"/>
  <c r="CY13" i="7"/>
  <c r="CZ12" i="7"/>
  <c r="CY12" i="7"/>
  <c r="DA11" i="7"/>
  <c r="CZ11" i="7"/>
  <c r="CY11" i="7"/>
  <c r="CZ10" i="7"/>
  <c r="CY10" i="7"/>
  <c r="L6" i="7"/>
  <c r="P6" i="7" s="1"/>
  <c r="T6" i="7" s="1"/>
  <c r="X6" i="7" s="1"/>
  <c r="AB6" i="7" s="1"/>
  <c r="AF6" i="7" s="1"/>
  <c r="AJ6" i="7" s="1"/>
  <c r="AN6" i="7" s="1"/>
  <c r="A1" i="7"/>
  <c r="AI159" i="65"/>
  <c r="Q160" i="65"/>
  <c r="P160" i="65"/>
  <c r="Q159" i="65"/>
  <c r="P159" i="65"/>
  <c r="Q158" i="65"/>
  <c r="P158" i="65"/>
  <c r="Q157" i="65"/>
  <c r="P157" i="65"/>
  <c r="Q156" i="65"/>
  <c r="P156" i="65"/>
  <c r="AI150" i="65"/>
  <c r="AD152" i="65"/>
  <c r="AD159" i="65" s="1"/>
  <c r="AC151" i="65"/>
  <c r="AC158" i="65" s="1"/>
  <c r="AB151" i="65"/>
  <c r="AB150" i="65"/>
  <c r="AB149" i="65"/>
  <c r="V151" i="65"/>
  <c r="Y151" i="65" s="1"/>
  <c r="V150" i="65"/>
  <c r="Y150" i="65" s="1"/>
  <c r="V149" i="65"/>
  <c r="Y149" i="65" s="1"/>
  <c r="P153" i="65"/>
  <c r="P152" i="65"/>
  <c r="Q151" i="65"/>
  <c r="P151" i="65"/>
  <c r="Q150" i="65"/>
  <c r="F150" i="65" s="1"/>
  <c r="P150" i="65"/>
  <c r="Q149" i="65"/>
  <c r="P149" i="65"/>
  <c r="M151" i="65"/>
  <c r="L151" i="65"/>
  <c r="K151" i="65"/>
  <c r="M150" i="65"/>
  <c r="L150" i="65"/>
  <c r="K150" i="65"/>
  <c r="M149" i="65"/>
  <c r="L149" i="65"/>
  <c r="K149" i="65"/>
  <c r="G151" i="65"/>
  <c r="F151" i="65"/>
  <c r="E151" i="65"/>
  <c r="G150" i="65"/>
  <c r="E150" i="65"/>
  <c r="G149" i="65"/>
  <c r="F149" i="65"/>
  <c r="E149" i="65"/>
  <c r="AI142" i="65"/>
  <c r="J146" i="65"/>
  <c r="D146" i="65"/>
  <c r="E146" i="65" s="1"/>
  <c r="Y145" i="65"/>
  <c r="AD145" i="65"/>
  <c r="AC145" i="65"/>
  <c r="AC152" i="65" s="1"/>
  <c r="AB145" i="65"/>
  <c r="AF145" i="65" s="1"/>
  <c r="AD144" i="65"/>
  <c r="AD151" i="65" s="1"/>
  <c r="AD158" i="65" s="1"/>
  <c r="AC144" i="65"/>
  <c r="AB144" i="65"/>
  <c r="AD143" i="65"/>
  <c r="AD150" i="65" s="1"/>
  <c r="AD157" i="65" s="1"/>
  <c r="AC143" i="65"/>
  <c r="AC150" i="65" s="1"/>
  <c r="AC157" i="65" s="1"/>
  <c r="AB143" i="65"/>
  <c r="AD142" i="65"/>
  <c r="AD149" i="65" s="1"/>
  <c r="AD156" i="65" s="1"/>
  <c r="AC142" i="65"/>
  <c r="AC149" i="65" s="1"/>
  <c r="AC156" i="65" s="1"/>
  <c r="AB142" i="65"/>
  <c r="V145" i="65"/>
  <c r="V144" i="65"/>
  <c r="V143" i="65"/>
  <c r="Y143" i="65" s="1"/>
  <c r="V142" i="65"/>
  <c r="P146" i="65"/>
  <c r="Q145" i="65"/>
  <c r="P145" i="65"/>
  <c r="Q144" i="65"/>
  <c r="P144" i="65"/>
  <c r="Q143" i="65"/>
  <c r="L143" i="65" s="1"/>
  <c r="P143" i="65"/>
  <c r="Q142" i="65"/>
  <c r="P142" i="65"/>
  <c r="M145" i="65"/>
  <c r="L145" i="65"/>
  <c r="K145" i="65"/>
  <c r="M144" i="65"/>
  <c r="L144" i="65"/>
  <c r="K144" i="65"/>
  <c r="M143" i="65"/>
  <c r="K143" i="65"/>
  <c r="M142" i="65"/>
  <c r="M146" i="65" s="1"/>
  <c r="N146" i="65" s="1"/>
  <c r="L142" i="65"/>
  <c r="K142" i="65"/>
  <c r="G145" i="65"/>
  <c r="F145" i="65"/>
  <c r="E145" i="65"/>
  <c r="G144" i="65"/>
  <c r="F144" i="65"/>
  <c r="E144" i="65"/>
  <c r="G143" i="65"/>
  <c r="AF143" i="65" s="1"/>
  <c r="AH143" i="65" s="1"/>
  <c r="E143" i="65"/>
  <c r="G142" i="65"/>
  <c r="AF142" i="65" s="1"/>
  <c r="AH142" i="65" s="1"/>
  <c r="F142" i="65"/>
  <c r="E142" i="65"/>
  <c r="AD139" i="65"/>
  <c r="AD146" i="65" s="1"/>
  <c r="AD153" i="65" s="1"/>
  <c r="AD160" i="65" s="1"/>
  <c r="AC139" i="65"/>
  <c r="AC146" i="65" s="1"/>
  <c r="AC153" i="65" s="1"/>
  <c r="AC160" i="65" s="1"/>
  <c r="Q138" i="65"/>
  <c r="L138" i="65" s="1"/>
  <c r="Q137" i="65"/>
  <c r="F137" i="65" s="1"/>
  <c r="Q136" i="65"/>
  <c r="Q135" i="65"/>
  <c r="J139" i="65"/>
  <c r="K139" i="65" s="1"/>
  <c r="E139" i="65"/>
  <c r="D139" i="65"/>
  <c r="AB138" i="65"/>
  <c r="AB137" i="65"/>
  <c r="AB136" i="65"/>
  <c r="AF136" i="65" s="1"/>
  <c r="AH136" i="65" s="1"/>
  <c r="AB135" i="65"/>
  <c r="V138" i="65"/>
  <c r="Y138" i="65" s="1"/>
  <c r="V137" i="65"/>
  <c r="Y137" i="65" s="1"/>
  <c r="V136" i="65"/>
  <c r="W136" i="65" s="1"/>
  <c r="V135" i="65"/>
  <c r="Y135" i="65" s="1"/>
  <c r="T138" i="65"/>
  <c r="S138" i="65" s="1"/>
  <c r="M138" i="65"/>
  <c r="K138" i="65"/>
  <c r="M137" i="65"/>
  <c r="K137" i="65"/>
  <c r="M136" i="65"/>
  <c r="L136" i="65"/>
  <c r="K136" i="65"/>
  <c r="M135" i="65"/>
  <c r="M139" i="65" s="1"/>
  <c r="N139" i="65" s="1"/>
  <c r="L135" i="65"/>
  <c r="K135" i="65"/>
  <c r="G138" i="65"/>
  <c r="AF138" i="65" s="1"/>
  <c r="AH138" i="65" s="1"/>
  <c r="E138" i="65"/>
  <c r="G137" i="65"/>
  <c r="E137" i="65"/>
  <c r="G136" i="65"/>
  <c r="F136" i="65"/>
  <c r="E136" i="65"/>
  <c r="G135" i="65"/>
  <c r="F135" i="65"/>
  <c r="E135" i="65"/>
  <c r="AG132" i="65"/>
  <c r="AD132" i="65"/>
  <c r="AC132" i="65"/>
  <c r="AB132" i="65"/>
  <c r="Y132" i="65"/>
  <c r="Z132" i="65" s="1"/>
  <c r="W132" i="65"/>
  <c r="V132" i="65"/>
  <c r="X132" i="65" s="1"/>
  <c r="Q132" i="65"/>
  <c r="F132" i="65" s="1"/>
  <c r="Q131" i="65"/>
  <c r="L131" i="65" s="1"/>
  <c r="Q130" i="65"/>
  <c r="Q129" i="65"/>
  <c r="L129" i="65" s="1"/>
  <c r="Q128" i="65"/>
  <c r="L128" i="65" s="1"/>
  <c r="M132" i="65"/>
  <c r="K132" i="65"/>
  <c r="J132" i="65"/>
  <c r="G132" i="65"/>
  <c r="AF132" i="65" s="1"/>
  <c r="E132" i="65"/>
  <c r="D132" i="65"/>
  <c r="AF131" i="65"/>
  <c r="AF130" i="65"/>
  <c r="AF129" i="65"/>
  <c r="AF128" i="65"/>
  <c r="Z131" i="65"/>
  <c r="Z130" i="65"/>
  <c r="Z129" i="65"/>
  <c r="Z128" i="65"/>
  <c r="N131" i="65"/>
  <c r="N130" i="65"/>
  <c r="N129" i="65"/>
  <c r="N128" i="65"/>
  <c r="H131" i="65"/>
  <c r="H130" i="65"/>
  <c r="H129" i="65"/>
  <c r="H128" i="65"/>
  <c r="P130" i="65"/>
  <c r="P129" i="65"/>
  <c r="P128" i="65"/>
  <c r="X131" i="65"/>
  <c r="X130" i="65"/>
  <c r="W130" i="65"/>
  <c r="X129" i="65"/>
  <c r="W129" i="65"/>
  <c r="X128" i="65"/>
  <c r="W128" i="65"/>
  <c r="T131" i="65"/>
  <c r="S131" i="65" s="1"/>
  <c r="T130" i="65"/>
  <c r="S130" i="65"/>
  <c r="T129" i="65"/>
  <c r="S129" i="65" s="1"/>
  <c r="T128" i="65"/>
  <c r="T132" i="65" s="1"/>
  <c r="S128" i="65"/>
  <c r="S132" i="65" s="1"/>
  <c r="L130" i="65"/>
  <c r="K130" i="65"/>
  <c r="K129" i="65"/>
  <c r="K128" i="65"/>
  <c r="F131" i="65"/>
  <c r="F130" i="65"/>
  <c r="E130" i="65"/>
  <c r="F129" i="65"/>
  <c r="E129" i="65"/>
  <c r="E128" i="65"/>
  <c r="AG125" i="65"/>
  <c r="AD125" i="65"/>
  <c r="AF125" i="65" s="1"/>
  <c r="AH125" i="65" s="1"/>
  <c r="Z125" i="65"/>
  <c r="Z123" i="65"/>
  <c r="Z122" i="65"/>
  <c r="Z121" i="65"/>
  <c r="X125" i="65"/>
  <c r="Q124" i="65"/>
  <c r="Q123" i="65"/>
  <c r="F123" i="65" s="1"/>
  <c r="Q122" i="65"/>
  <c r="L122" i="65" s="1"/>
  <c r="Q121" i="65"/>
  <c r="N125" i="65"/>
  <c r="N123" i="65"/>
  <c r="N122" i="65"/>
  <c r="N121" i="65"/>
  <c r="K125" i="65"/>
  <c r="H125" i="65"/>
  <c r="H123" i="65"/>
  <c r="H122" i="65"/>
  <c r="H121" i="65"/>
  <c r="E125" i="65"/>
  <c r="AF123" i="65"/>
  <c r="AF122" i="65"/>
  <c r="AF121" i="65"/>
  <c r="AC124" i="65"/>
  <c r="AB124" i="65"/>
  <c r="Y124" i="65"/>
  <c r="Z124" i="65" s="1"/>
  <c r="V124" i="65"/>
  <c r="W131" i="65" s="1"/>
  <c r="M124" i="65"/>
  <c r="N124" i="65" s="1"/>
  <c r="K124" i="65"/>
  <c r="J124" i="65"/>
  <c r="L124" i="65" s="1"/>
  <c r="G124" i="65"/>
  <c r="H124" i="65" s="1"/>
  <c r="D124" i="65"/>
  <c r="F124" i="65" s="1"/>
  <c r="P123" i="65"/>
  <c r="P122" i="65"/>
  <c r="P121" i="65"/>
  <c r="X123" i="65"/>
  <c r="X122" i="65"/>
  <c r="X121" i="65"/>
  <c r="T124" i="65"/>
  <c r="S124" i="65" s="1"/>
  <c r="T123" i="65"/>
  <c r="S123" i="65"/>
  <c r="W123" i="65" s="1"/>
  <c r="T122" i="65"/>
  <c r="S122" i="65" s="1"/>
  <c r="T121" i="65"/>
  <c r="T125" i="65" s="1"/>
  <c r="S121" i="65"/>
  <c r="S125" i="65" s="1"/>
  <c r="L123" i="65"/>
  <c r="K123" i="65"/>
  <c r="K122" i="65"/>
  <c r="L121" i="65"/>
  <c r="K121" i="65"/>
  <c r="E123" i="65"/>
  <c r="E122" i="65"/>
  <c r="F121" i="65"/>
  <c r="E121" i="65"/>
  <c r="AG118" i="65"/>
  <c r="AF118" i="65"/>
  <c r="AH118" i="65" s="1"/>
  <c r="N118" i="65"/>
  <c r="H118" i="65"/>
  <c r="AF117" i="65"/>
  <c r="AF115" i="65"/>
  <c r="AF114" i="65"/>
  <c r="AF113" i="65"/>
  <c r="K118" i="65"/>
  <c r="K117" i="65"/>
  <c r="E118" i="65"/>
  <c r="AD116" i="65"/>
  <c r="AC116" i="65"/>
  <c r="AB116" i="65"/>
  <c r="Z116" i="65"/>
  <c r="Y116" i="65"/>
  <c r="X116" i="65"/>
  <c r="M116" i="65"/>
  <c r="J116" i="65"/>
  <c r="L116" i="65" s="1"/>
  <c r="G116" i="65"/>
  <c r="AF116" i="65" s="1"/>
  <c r="D116" i="65"/>
  <c r="P116" i="65" s="1"/>
  <c r="Z115" i="65"/>
  <c r="Z114" i="65"/>
  <c r="Z113" i="65"/>
  <c r="N115" i="65"/>
  <c r="N114" i="65"/>
  <c r="N113" i="65"/>
  <c r="H115" i="65"/>
  <c r="H114" i="65"/>
  <c r="H113" i="65"/>
  <c r="X114" i="65"/>
  <c r="X113" i="65"/>
  <c r="T116" i="65"/>
  <c r="S116" i="65" s="1"/>
  <c r="W116" i="65" s="1"/>
  <c r="T115" i="65"/>
  <c r="S115" i="65" s="1"/>
  <c r="W115" i="65" s="1"/>
  <c r="T114" i="65"/>
  <c r="S114" i="65" s="1"/>
  <c r="W114" i="65" s="1"/>
  <c r="T113" i="65"/>
  <c r="S113" i="65" s="1"/>
  <c r="Q117" i="65"/>
  <c r="L117" i="65" s="1"/>
  <c r="P117" i="65"/>
  <c r="Q116" i="65"/>
  <c r="L115" i="65"/>
  <c r="P115" i="65"/>
  <c r="Q114" i="65"/>
  <c r="L114" i="65" s="1"/>
  <c r="P114" i="65"/>
  <c r="Q113" i="65"/>
  <c r="L113" i="65" s="1"/>
  <c r="P113" i="65"/>
  <c r="K115" i="65"/>
  <c r="K114" i="65"/>
  <c r="K113" i="65"/>
  <c r="AF110" i="65"/>
  <c r="N110" i="65"/>
  <c r="H110" i="65"/>
  <c r="S109" i="65"/>
  <c r="D109" i="65"/>
  <c r="P109" i="65" s="1"/>
  <c r="D108" i="65"/>
  <c r="P108" i="65" s="1"/>
  <c r="V108" i="65"/>
  <c r="X108" i="65" s="1"/>
  <c r="U108" i="65"/>
  <c r="T108" i="65"/>
  <c r="T109" i="65" s="1"/>
  <c r="U109" i="65" s="1"/>
  <c r="J108" i="65"/>
  <c r="K116" i="65" s="1"/>
  <c r="D106" i="65"/>
  <c r="W107" i="65"/>
  <c r="V107" i="65"/>
  <c r="X107" i="65" s="1"/>
  <c r="U107" i="65"/>
  <c r="W106" i="65"/>
  <c r="V106" i="65"/>
  <c r="X106" i="65" s="1"/>
  <c r="U106" i="65"/>
  <c r="W105" i="65"/>
  <c r="V105" i="65"/>
  <c r="X105" i="65" s="1"/>
  <c r="U105" i="65"/>
  <c r="Q109" i="65"/>
  <c r="F109" i="65" s="1"/>
  <c r="Q108" i="65"/>
  <c r="L108" i="65" s="1"/>
  <c r="Q107" i="65"/>
  <c r="L107" i="65" s="1"/>
  <c r="P107" i="65"/>
  <c r="Q106" i="65"/>
  <c r="F106" i="65" s="1"/>
  <c r="P106" i="65"/>
  <c r="Q105" i="65"/>
  <c r="L105" i="65" s="1"/>
  <c r="P105" i="65"/>
  <c r="L110" i="65"/>
  <c r="K110" i="65"/>
  <c r="K109" i="65"/>
  <c r="K107" i="65"/>
  <c r="K106" i="65"/>
  <c r="K105" i="65"/>
  <c r="E110" i="65"/>
  <c r="E109" i="65"/>
  <c r="F108" i="65"/>
  <c r="F107" i="65"/>
  <c r="E107" i="65"/>
  <c r="E106" i="65"/>
  <c r="F105" i="65"/>
  <c r="E105" i="65"/>
  <c r="N102" i="65"/>
  <c r="H102" i="65"/>
  <c r="F98" i="65"/>
  <c r="K101" i="65"/>
  <c r="K100" i="65"/>
  <c r="K99" i="65"/>
  <c r="K98" i="65"/>
  <c r="K97" i="65"/>
  <c r="E101" i="65"/>
  <c r="E99" i="65"/>
  <c r="E98" i="65"/>
  <c r="E97" i="65"/>
  <c r="T101" i="65"/>
  <c r="T100" i="65"/>
  <c r="S100" i="65"/>
  <c r="W108" i="65" s="1"/>
  <c r="J100" i="65"/>
  <c r="L100" i="65" s="1"/>
  <c r="D100" i="65"/>
  <c r="E108" i="65" s="1"/>
  <c r="W99" i="65"/>
  <c r="V99" i="65"/>
  <c r="X99" i="65" s="1"/>
  <c r="U99" i="65"/>
  <c r="W98" i="65"/>
  <c r="V98" i="65"/>
  <c r="X98" i="65" s="1"/>
  <c r="U98" i="65"/>
  <c r="W97" i="65"/>
  <c r="V97" i="65"/>
  <c r="X97" i="65" s="1"/>
  <c r="U97" i="65"/>
  <c r="Q101" i="65"/>
  <c r="P101" i="65"/>
  <c r="F102" i="65" s="1"/>
  <c r="Q100" i="65"/>
  <c r="P100" i="65"/>
  <c r="Q99" i="65"/>
  <c r="P99" i="65"/>
  <c r="F99" i="65" s="1"/>
  <c r="Q98" i="65"/>
  <c r="P98" i="65"/>
  <c r="L98" i="65" s="1"/>
  <c r="Q97" i="65"/>
  <c r="P97" i="65"/>
  <c r="F97" i="65" s="1"/>
  <c r="S93" i="65"/>
  <c r="W93" i="65" s="1"/>
  <c r="J93" i="65"/>
  <c r="K93" i="65" s="1"/>
  <c r="D93" i="65"/>
  <c r="E93" i="65" s="1"/>
  <c r="S92" i="65"/>
  <c r="L94" i="65"/>
  <c r="K94" i="65"/>
  <c r="L92" i="65"/>
  <c r="K92" i="65"/>
  <c r="K91" i="65"/>
  <c r="F94" i="65"/>
  <c r="E94" i="65"/>
  <c r="F92" i="65"/>
  <c r="E92" i="65"/>
  <c r="E91" i="65"/>
  <c r="X92" i="65"/>
  <c r="W92" i="65"/>
  <c r="V92" i="65"/>
  <c r="U92" i="65"/>
  <c r="X91" i="65"/>
  <c r="W91" i="65"/>
  <c r="V91" i="65"/>
  <c r="U91" i="65"/>
  <c r="W90" i="65"/>
  <c r="T90" i="65"/>
  <c r="T93" i="65" s="1"/>
  <c r="U93" i="65" s="1"/>
  <c r="P94" i="65"/>
  <c r="Q93" i="65"/>
  <c r="P93" i="65"/>
  <c r="L93" i="65" s="1"/>
  <c r="Q92" i="65"/>
  <c r="P92" i="65"/>
  <c r="Q91" i="65"/>
  <c r="P91" i="65"/>
  <c r="L91" i="65" s="1"/>
  <c r="Q90" i="65"/>
  <c r="P90" i="65"/>
  <c r="T87" i="65"/>
  <c r="S87" i="65"/>
  <c r="W87" i="65" s="1"/>
  <c r="S85" i="65"/>
  <c r="Q87" i="65"/>
  <c r="P87" i="65"/>
  <c r="L87" i="65" s="1"/>
  <c r="Q86" i="65"/>
  <c r="P86" i="65"/>
  <c r="Q85" i="65"/>
  <c r="P85" i="65"/>
  <c r="Q84" i="65"/>
  <c r="P84" i="65"/>
  <c r="X86" i="65"/>
  <c r="W86" i="65"/>
  <c r="V86" i="65"/>
  <c r="U86" i="65"/>
  <c r="X85" i="65"/>
  <c r="W85" i="65"/>
  <c r="V85" i="65"/>
  <c r="U85" i="65"/>
  <c r="X84" i="65"/>
  <c r="W84" i="65"/>
  <c r="V84" i="65"/>
  <c r="U84" i="65"/>
  <c r="X83" i="65"/>
  <c r="W83" i="65"/>
  <c r="V83" i="65"/>
  <c r="V87" i="65" s="1"/>
  <c r="X87" i="65" s="1"/>
  <c r="U83" i="65"/>
  <c r="Q83" i="65"/>
  <c r="U80" i="65"/>
  <c r="T80" i="65"/>
  <c r="S80" i="65"/>
  <c r="W80" i="65" s="1"/>
  <c r="W79" i="65"/>
  <c r="V79" i="65"/>
  <c r="X79" i="65" s="1"/>
  <c r="U79" i="65"/>
  <c r="W78" i="65"/>
  <c r="V78" i="65"/>
  <c r="X78" i="65" s="1"/>
  <c r="U78" i="65"/>
  <c r="W77" i="65"/>
  <c r="V77" i="65"/>
  <c r="X77" i="65" s="1"/>
  <c r="U77" i="65"/>
  <c r="W76" i="65"/>
  <c r="V76" i="65"/>
  <c r="V80" i="65" s="1"/>
  <c r="X80" i="65" s="1"/>
  <c r="U76" i="65"/>
  <c r="V73" i="65"/>
  <c r="T73" i="65"/>
  <c r="S73" i="65"/>
  <c r="W73" i="65" s="1"/>
  <c r="X72" i="65"/>
  <c r="V72" i="65"/>
  <c r="U72" i="65"/>
  <c r="X71" i="65"/>
  <c r="W71" i="65"/>
  <c r="V71" i="65"/>
  <c r="U71" i="65"/>
  <c r="X70" i="65"/>
  <c r="W70" i="65"/>
  <c r="V70" i="65"/>
  <c r="U70" i="65"/>
  <c r="X69" i="65"/>
  <c r="W69" i="65"/>
  <c r="V69" i="65"/>
  <c r="U69" i="65"/>
  <c r="T65" i="65"/>
  <c r="U65" i="65" s="1"/>
  <c r="S65" i="65"/>
  <c r="W72" i="65" s="1"/>
  <c r="W66" i="65"/>
  <c r="U66" i="65"/>
  <c r="V65" i="65"/>
  <c r="X65" i="65" s="1"/>
  <c r="W64" i="65"/>
  <c r="V64" i="65"/>
  <c r="X64" i="65" s="1"/>
  <c r="U64" i="65"/>
  <c r="W63" i="65"/>
  <c r="V63" i="65"/>
  <c r="X63" i="65" s="1"/>
  <c r="U63" i="65"/>
  <c r="W62" i="65"/>
  <c r="V62" i="65"/>
  <c r="X62" i="65" s="1"/>
  <c r="U62" i="65"/>
  <c r="T58" i="65"/>
  <c r="S58" i="65"/>
  <c r="W58" i="65" s="1"/>
  <c r="S57" i="65"/>
  <c r="W57" i="65" s="1"/>
  <c r="U59" i="65"/>
  <c r="V58" i="65"/>
  <c r="X58" i="65" s="1"/>
  <c r="V57" i="65"/>
  <c r="X57" i="65" s="1"/>
  <c r="U57" i="65"/>
  <c r="W56" i="65"/>
  <c r="V56" i="65"/>
  <c r="X56" i="65" s="1"/>
  <c r="U56" i="65"/>
  <c r="W55" i="65"/>
  <c r="V55" i="65"/>
  <c r="V59" i="65" s="1"/>
  <c r="X59" i="65" s="1"/>
  <c r="U55" i="65"/>
  <c r="S52" i="65"/>
  <c r="W59" i="65" s="1"/>
  <c r="S51" i="65"/>
  <c r="S50" i="65"/>
  <c r="W50" i="65" s="1"/>
  <c r="W52" i="65"/>
  <c r="W51" i="65"/>
  <c r="V51" i="65"/>
  <c r="U51" i="65"/>
  <c r="V50" i="65"/>
  <c r="V52" i="65" s="1"/>
  <c r="F184" i="6"/>
  <c r="F183" i="6"/>
  <c r="F182" i="6"/>
  <c r="F181" i="6"/>
  <c r="J183" i="6"/>
  <c r="V181" i="16" s="1"/>
  <c r="J182" i="6"/>
  <c r="J181" i="6"/>
  <c r="AD176" i="6"/>
  <c r="AB176" i="6"/>
  <c r="AB175" i="6"/>
  <c r="AB174" i="6"/>
  <c r="L175" i="6"/>
  <c r="F175" i="6"/>
  <c r="F174" i="6"/>
  <c r="J176" i="6"/>
  <c r="L176" i="6" s="1"/>
  <c r="J175" i="6"/>
  <c r="J174" i="6"/>
  <c r="BB176" i="6"/>
  <c r="AV176" i="6"/>
  <c r="BB175" i="6"/>
  <c r="AV175" i="6"/>
  <c r="BB174" i="6"/>
  <c r="AV174" i="6"/>
  <c r="AS176" i="6"/>
  <c r="AS175" i="6"/>
  <c r="AS182" i="6" s="1"/>
  <c r="AS349" i="30" s="1"/>
  <c r="AS174" i="6"/>
  <c r="AD170" i="6"/>
  <c r="AB170" i="6"/>
  <c r="AB169" i="6"/>
  <c r="AB168" i="6"/>
  <c r="AB167" i="6"/>
  <c r="AB171" i="6" s="1"/>
  <c r="F171" i="6"/>
  <c r="F170" i="6"/>
  <c r="F169" i="6"/>
  <c r="F168" i="6"/>
  <c r="F167" i="6"/>
  <c r="J169" i="6"/>
  <c r="L169" i="6" s="1"/>
  <c r="J168" i="6"/>
  <c r="J167" i="6"/>
  <c r="BB170" i="6"/>
  <c r="AV170" i="6"/>
  <c r="BB169" i="6"/>
  <c r="AV169" i="6"/>
  <c r="BB168" i="6"/>
  <c r="AV168" i="6"/>
  <c r="BB167" i="6"/>
  <c r="AV167" i="6"/>
  <c r="AS170" i="6"/>
  <c r="S170" i="6" s="1"/>
  <c r="AS169" i="6"/>
  <c r="S169" i="6" s="1"/>
  <c r="AI169" i="6" s="1"/>
  <c r="AK169" i="6" s="1"/>
  <c r="AS168" i="6"/>
  <c r="AS167" i="6"/>
  <c r="S167" i="6" s="1"/>
  <c r="AV164" i="6"/>
  <c r="AD163" i="6"/>
  <c r="AB163" i="6"/>
  <c r="AB162" i="6"/>
  <c r="AB161" i="6"/>
  <c r="AB160" i="6"/>
  <c r="AB164" i="6" s="1"/>
  <c r="L162" i="6"/>
  <c r="N162" i="6" s="1"/>
  <c r="F163" i="6"/>
  <c r="F162" i="6"/>
  <c r="F161" i="6"/>
  <c r="F160" i="6"/>
  <c r="J162" i="6"/>
  <c r="J161" i="6"/>
  <c r="L161" i="6" s="1"/>
  <c r="J160" i="6"/>
  <c r="BB163" i="6"/>
  <c r="AV163" i="6"/>
  <c r="BB162" i="6"/>
  <c r="AV162" i="6"/>
  <c r="BB161" i="6"/>
  <c r="AV161" i="6"/>
  <c r="BB160" i="6"/>
  <c r="AV160" i="6"/>
  <c r="AS163" i="6"/>
  <c r="S163" i="6" s="1"/>
  <c r="AS162" i="6"/>
  <c r="S162" i="6" s="1"/>
  <c r="AI162" i="6" s="1"/>
  <c r="AK162" i="6" s="1"/>
  <c r="AS161" i="6"/>
  <c r="AT161" i="6" s="1"/>
  <c r="AS160" i="6"/>
  <c r="AV157" i="6"/>
  <c r="AD154" i="6"/>
  <c r="AD153" i="6"/>
  <c r="AB156" i="6"/>
  <c r="AB155" i="6"/>
  <c r="AB154" i="6"/>
  <c r="AD161" i="6" s="1"/>
  <c r="AB153" i="6"/>
  <c r="AB157" i="6" s="1"/>
  <c r="S156" i="6"/>
  <c r="AI156" i="6" s="1"/>
  <c r="AK156" i="6" s="1"/>
  <c r="S155" i="6"/>
  <c r="AI155" i="6" s="1"/>
  <c r="AK155" i="6" s="1"/>
  <c r="S154" i="6"/>
  <c r="S153" i="6"/>
  <c r="L155" i="6"/>
  <c r="F156" i="6"/>
  <c r="F155" i="6"/>
  <c r="F154" i="6"/>
  <c r="F153" i="6"/>
  <c r="BB156" i="6"/>
  <c r="AV156" i="6"/>
  <c r="AU156" i="6"/>
  <c r="AT156" i="6"/>
  <c r="AS156" i="6"/>
  <c r="J155" i="6"/>
  <c r="J154" i="6"/>
  <c r="J153" i="6"/>
  <c r="BB155" i="6"/>
  <c r="AV155" i="6"/>
  <c r="AU155" i="6"/>
  <c r="AT155" i="6"/>
  <c r="BB154" i="6"/>
  <c r="AV154" i="6"/>
  <c r="AU154" i="6"/>
  <c r="AT154" i="6"/>
  <c r="BB153" i="6"/>
  <c r="AV153" i="6"/>
  <c r="AU153" i="6"/>
  <c r="AT153" i="6"/>
  <c r="AV150" i="6"/>
  <c r="AU150" i="6"/>
  <c r="AD147" i="6"/>
  <c r="AB149" i="6"/>
  <c r="AD156" i="6" s="1"/>
  <c r="AB148" i="6"/>
  <c r="AD148" i="6" s="1"/>
  <c r="AB147" i="6"/>
  <c r="AB146" i="6"/>
  <c r="F149" i="6"/>
  <c r="F148" i="6"/>
  <c r="F147" i="6"/>
  <c r="F146" i="6"/>
  <c r="J148" i="6"/>
  <c r="L148" i="6" s="1"/>
  <c r="J147" i="6"/>
  <c r="L147" i="6" s="1"/>
  <c r="J146" i="6"/>
  <c r="BG147" i="6"/>
  <c r="BG146" i="6"/>
  <c r="BE147" i="6"/>
  <c r="BE146" i="6"/>
  <c r="BB149" i="6"/>
  <c r="AV149" i="6"/>
  <c r="AU149" i="6"/>
  <c r="BB148" i="6"/>
  <c r="AV148" i="6"/>
  <c r="AW155" i="6" s="1"/>
  <c r="AX155" i="6" s="1"/>
  <c r="AU148" i="6"/>
  <c r="BB147" i="6"/>
  <c r="AV147" i="6"/>
  <c r="AW154" i="6" s="1"/>
  <c r="AX154" i="6" s="1"/>
  <c r="AU147" i="6"/>
  <c r="BB146" i="6"/>
  <c r="AV146" i="6"/>
  <c r="AW153" i="6" s="1"/>
  <c r="AX153" i="6" s="1"/>
  <c r="AU146" i="6"/>
  <c r="AQ149" i="6"/>
  <c r="AP149" i="6" s="1"/>
  <c r="AQ148" i="6"/>
  <c r="AP148" i="6" s="1"/>
  <c r="AQ147" i="6"/>
  <c r="AQ150" i="6" s="1"/>
  <c r="AQ146" i="6"/>
  <c r="AP146" i="6" s="1"/>
  <c r="BG143" i="6"/>
  <c r="BG141" i="6"/>
  <c r="BG140" i="6"/>
  <c r="BG139" i="6"/>
  <c r="BE141" i="6"/>
  <c r="BE139" i="6"/>
  <c r="AV143" i="6"/>
  <c r="AB142" i="6"/>
  <c r="AB141" i="6"/>
  <c r="AD141" i="6" s="1"/>
  <c r="AB140" i="6"/>
  <c r="F142" i="6"/>
  <c r="F141" i="6"/>
  <c r="F140" i="6"/>
  <c r="F139" i="6"/>
  <c r="J141" i="6"/>
  <c r="L141" i="6" s="1"/>
  <c r="J140" i="6"/>
  <c r="L140" i="6" s="1"/>
  <c r="J139" i="6"/>
  <c r="BD139" i="6"/>
  <c r="BB142" i="6"/>
  <c r="BB141" i="6"/>
  <c r="BB140" i="6"/>
  <c r="BB139" i="6"/>
  <c r="AV142" i="6"/>
  <c r="AW149" i="6" s="1"/>
  <c r="AX149" i="6" s="1"/>
  <c r="AU142" i="6"/>
  <c r="AT142" i="6"/>
  <c r="AV141" i="6"/>
  <c r="AW148" i="6" s="1"/>
  <c r="AX148" i="6" s="1"/>
  <c r="AU141" i="6"/>
  <c r="AV140" i="6"/>
  <c r="AW147" i="6" s="1"/>
  <c r="AX147" i="6" s="1"/>
  <c r="AU140" i="6"/>
  <c r="AV139" i="6"/>
  <c r="AW146" i="6" s="1"/>
  <c r="AX146" i="6" s="1"/>
  <c r="AU139" i="6"/>
  <c r="AQ142" i="6"/>
  <c r="AP142" i="6" s="1"/>
  <c r="AQ141" i="6"/>
  <c r="AQ143" i="6" s="1"/>
  <c r="AQ140" i="6"/>
  <c r="AP140" i="6" s="1"/>
  <c r="AT140" i="6" s="1"/>
  <c r="AQ139" i="6"/>
  <c r="AP139" i="6"/>
  <c r="AT139" i="6" s="1"/>
  <c r="BG136" i="6"/>
  <c r="BG134" i="6"/>
  <c r="BG133" i="6"/>
  <c r="BG132" i="6"/>
  <c r="BD136" i="6"/>
  <c r="BE136" i="6" s="1"/>
  <c r="AV136" i="6"/>
  <c r="AS136" i="6"/>
  <c r="AU136" i="6" s="1"/>
  <c r="AR136" i="6"/>
  <c r="AP136" i="6"/>
  <c r="AB134" i="6"/>
  <c r="AB133" i="6"/>
  <c r="AD140" i="6" s="1"/>
  <c r="F136" i="6"/>
  <c r="F135" i="6"/>
  <c r="F134" i="6"/>
  <c r="F133" i="6"/>
  <c r="F132" i="6"/>
  <c r="BF135" i="6"/>
  <c r="BG135" i="6" s="1"/>
  <c r="AS135" i="6"/>
  <c r="AU135" i="6" s="1"/>
  <c r="AR135" i="6"/>
  <c r="AQ135" i="6"/>
  <c r="AQ136" i="6" s="1"/>
  <c r="J134" i="6"/>
  <c r="V132" i="16" s="1"/>
  <c r="J133" i="6"/>
  <c r="V131" i="16" s="1"/>
  <c r="J132" i="6"/>
  <c r="BE134" i="6"/>
  <c r="BE132" i="6"/>
  <c r="BD133" i="6"/>
  <c r="BE140" i="6" s="1"/>
  <c r="BB135" i="6"/>
  <c r="BB134" i="6"/>
  <c r="BB133" i="6"/>
  <c r="BB132" i="6"/>
  <c r="AU134" i="6"/>
  <c r="AT134" i="6"/>
  <c r="AS134" i="6"/>
  <c r="AR134" i="6"/>
  <c r="AU133" i="6"/>
  <c r="AT133" i="6"/>
  <c r="AS133" i="6"/>
  <c r="AR133" i="6"/>
  <c r="AU132" i="6"/>
  <c r="AT132" i="6"/>
  <c r="AS132" i="6"/>
  <c r="AR132" i="6"/>
  <c r="BG129" i="6"/>
  <c r="BG128" i="6"/>
  <c r="BG127" i="6"/>
  <c r="BG126" i="6"/>
  <c r="BG125" i="6"/>
  <c r="BE129" i="6"/>
  <c r="BE127" i="6"/>
  <c r="BE126" i="6"/>
  <c r="BE125" i="6"/>
  <c r="AV129" i="6"/>
  <c r="AD126" i="6"/>
  <c r="AB127" i="6"/>
  <c r="AD134" i="6" s="1"/>
  <c r="AB126" i="6"/>
  <c r="BF128" i="6"/>
  <c r="BD128" i="6"/>
  <c r="BE128" i="6" s="1"/>
  <c r="AQ128" i="6"/>
  <c r="AQ129" i="6" s="1"/>
  <c r="AP128" i="6"/>
  <c r="J126" i="6"/>
  <c r="L126" i="6" s="1"/>
  <c r="J125" i="6"/>
  <c r="V123" i="16" s="1"/>
  <c r="BB128" i="6"/>
  <c r="BB127" i="6"/>
  <c r="BB126" i="6"/>
  <c r="BB125" i="6"/>
  <c r="AU127" i="6"/>
  <c r="AS127" i="6"/>
  <c r="AR127" i="6"/>
  <c r="AU126" i="6"/>
  <c r="AT126" i="6"/>
  <c r="AS126" i="6"/>
  <c r="AR126" i="6"/>
  <c r="AU125" i="6"/>
  <c r="AS125" i="6"/>
  <c r="AR125" i="6"/>
  <c r="BG122" i="6"/>
  <c r="BG120" i="6"/>
  <c r="BG119" i="6"/>
  <c r="BE122" i="6"/>
  <c r="BE120" i="6"/>
  <c r="BE119" i="6"/>
  <c r="AB120" i="6"/>
  <c r="AD127" i="6" s="1"/>
  <c r="AB119" i="6"/>
  <c r="BF121" i="6"/>
  <c r="BD121" i="6"/>
  <c r="BE121" i="6" s="1"/>
  <c r="J120" i="6"/>
  <c r="V118" i="16" s="1"/>
  <c r="J119" i="6"/>
  <c r="L119" i="6" s="1"/>
  <c r="J118" i="6"/>
  <c r="V116" i="16" s="1"/>
  <c r="AP120" i="6"/>
  <c r="AS120" i="6" s="1"/>
  <c r="BB121" i="6"/>
  <c r="BB120" i="6"/>
  <c r="BB119" i="6"/>
  <c r="BB118" i="6"/>
  <c r="AU120" i="6"/>
  <c r="AR120" i="6"/>
  <c r="AU119" i="6"/>
  <c r="AT119" i="6"/>
  <c r="AS119" i="6"/>
  <c r="AR119" i="6"/>
  <c r="AT118" i="6"/>
  <c r="AQ118" i="6"/>
  <c r="AQ121" i="6" s="1"/>
  <c r="AP118" i="6"/>
  <c r="AT125" i="6" s="1"/>
  <c r="AQ115" i="6"/>
  <c r="AB113" i="6"/>
  <c r="AB112" i="6"/>
  <c r="AD112" i="6" s="1"/>
  <c r="BF114" i="6"/>
  <c r="BG121" i="6" s="1"/>
  <c r="BD114" i="6"/>
  <c r="J113" i="6"/>
  <c r="V111" i="16" s="1"/>
  <c r="J112" i="6"/>
  <c r="J111" i="6"/>
  <c r="V109" i="16" s="1"/>
  <c r="AP113" i="6"/>
  <c r="AS113" i="6" s="1"/>
  <c r="AS115" i="6" s="1"/>
  <c r="AU115" i="6" s="1"/>
  <c r="BB114" i="6"/>
  <c r="BB113" i="6"/>
  <c r="BB112" i="6"/>
  <c r="BB111" i="6"/>
  <c r="AU114" i="6"/>
  <c r="AT114" i="6"/>
  <c r="AS114" i="6"/>
  <c r="AR114" i="6"/>
  <c r="AU112" i="6"/>
  <c r="AT112" i="6"/>
  <c r="AS112" i="6"/>
  <c r="AR112" i="6"/>
  <c r="AU111" i="6"/>
  <c r="AT111" i="6"/>
  <c r="AS111" i="6"/>
  <c r="AR111" i="6"/>
  <c r="AQ108" i="6"/>
  <c r="AP108" i="6"/>
  <c r="AB106" i="6"/>
  <c r="AB105" i="6"/>
  <c r="F107" i="6"/>
  <c r="F106" i="6"/>
  <c r="F105" i="6"/>
  <c r="F104" i="6"/>
  <c r="J104" i="6"/>
  <c r="V102" i="16" s="1"/>
  <c r="BB107" i="6"/>
  <c r="BB106" i="6"/>
  <c r="BB105" i="6"/>
  <c r="BB104" i="6"/>
  <c r="AU107" i="6"/>
  <c r="AT107" i="6"/>
  <c r="AS107" i="6"/>
  <c r="AR107" i="6"/>
  <c r="AU106" i="6"/>
  <c r="AT106" i="6"/>
  <c r="AS106" i="6"/>
  <c r="AR106" i="6"/>
  <c r="AU105" i="6"/>
  <c r="AT105" i="6"/>
  <c r="AS105" i="6"/>
  <c r="AR105" i="6"/>
  <c r="AU104" i="6"/>
  <c r="AT104" i="6"/>
  <c r="AS104" i="6"/>
  <c r="AS108" i="6" s="1"/>
  <c r="AR104" i="6"/>
  <c r="AT101" i="6"/>
  <c r="AQ101" i="6"/>
  <c r="AP101" i="6"/>
  <c r="AB99" i="6"/>
  <c r="F101" i="6"/>
  <c r="F100" i="6"/>
  <c r="F99" i="6"/>
  <c r="F98" i="6"/>
  <c r="F97" i="6"/>
  <c r="J99" i="6"/>
  <c r="L99" i="6" s="1"/>
  <c r="J98" i="6"/>
  <c r="V96" i="16" s="1"/>
  <c r="J97" i="6"/>
  <c r="V95" i="16" s="1"/>
  <c r="AS100" i="6"/>
  <c r="AU100" i="6" s="1"/>
  <c r="AR100" i="6"/>
  <c r="AT99" i="6"/>
  <c r="AS99" i="6"/>
  <c r="AR99" i="6"/>
  <c r="AT98" i="6"/>
  <c r="AS98" i="6"/>
  <c r="AR98" i="6"/>
  <c r="AT97" i="6"/>
  <c r="AS97" i="6"/>
  <c r="AS101" i="6" s="1"/>
  <c r="AR97" i="6"/>
  <c r="Z97" i="6"/>
  <c r="AB95" i="16" s="1"/>
  <c r="F94" i="6"/>
  <c r="F93" i="6"/>
  <c r="F92" i="6"/>
  <c r="F91" i="6"/>
  <c r="F90" i="6"/>
  <c r="AQ93" i="6"/>
  <c r="AP93" i="6"/>
  <c r="Z91" i="6"/>
  <c r="AB89" i="16" s="1"/>
  <c r="Z90" i="6"/>
  <c r="AB88" i="16" s="1"/>
  <c r="J92" i="6"/>
  <c r="V90" i="16" s="1"/>
  <c r="J91" i="6"/>
  <c r="L92" i="6" s="1"/>
  <c r="J90" i="6"/>
  <c r="V88" i="16" s="1"/>
  <c r="AT94" i="6"/>
  <c r="AR94" i="6"/>
  <c r="AU92" i="6"/>
  <c r="AS92" i="6"/>
  <c r="AR92" i="6"/>
  <c r="AU91" i="6"/>
  <c r="AT91" i="6"/>
  <c r="AS91" i="6"/>
  <c r="AR91" i="6"/>
  <c r="AU90" i="6"/>
  <c r="AT90" i="6"/>
  <c r="AS90" i="6"/>
  <c r="AR90" i="6"/>
  <c r="AB85" i="6"/>
  <c r="AD85" i="6" s="1"/>
  <c r="AB84" i="6"/>
  <c r="AD84" i="6" s="1"/>
  <c r="AB83" i="6"/>
  <c r="L84" i="6"/>
  <c r="F87" i="6"/>
  <c r="F86" i="6"/>
  <c r="F85" i="6"/>
  <c r="F84" i="6"/>
  <c r="F83" i="6"/>
  <c r="AQ86" i="6"/>
  <c r="AP86" i="6"/>
  <c r="AR86" i="6" s="1"/>
  <c r="J85" i="6"/>
  <c r="AP85" i="6"/>
  <c r="AT92" i="6" s="1"/>
  <c r="AT87" i="6"/>
  <c r="AR87" i="6"/>
  <c r="AT86" i="6"/>
  <c r="AT85" i="6"/>
  <c r="AS85" i="6"/>
  <c r="AU85" i="6" s="1"/>
  <c r="AS84" i="6"/>
  <c r="AR84" i="6"/>
  <c r="AS83" i="6"/>
  <c r="AU83" i="6" s="1"/>
  <c r="AR83" i="6"/>
  <c r="AP80" i="6"/>
  <c r="AP79" i="6"/>
  <c r="AP78" i="6"/>
  <c r="AP77" i="6"/>
  <c r="AT84" i="6" s="1"/>
  <c r="AP76" i="6"/>
  <c r="AT83" i="6" s="1"/>
  <c r="AB79" i="6"/>
  <c r="AB78" i="6"/>
  <c r="AB77" i="6"/>
  <c r="F80" i="6"/>
  <c r="F79" i="6"/>
  <c r="F78" i="6"/>
  <c r="F77" i="6"/>
  <c r="F76" i="6"/>
  <c r="AR80" i="6"/>
  <c r="AS79" i="6"/>
  <c r="AU79" i="6" s="1"/>
  <c r="AR79" i="6"/>
  <c r="AS78" i="6"/>
  <c r="S78" i="6" s="1"/>
  <c r="AR78" i="6"/>
  <c r="AS76" i="6"/>
  <c r="S76" i="6" s="1"/>
  <c r="AI76" i="6" s="1"/>
  <c r="AP72" i="6"/>
  <c r="AS72" i="6" s="1"/>
  <c r="S72" i="6" s="1"/>
  <c r="AP71" i="6"/>
  <c r="AS71" i="6" s="1"/>
  <c r="S71" i="6" s="1"/>
  <c r="U71" i="6" s="1"/>
  <c r="AP70" i="6"/>
  <c r="AP69" i="6"/>
  <c r="AT76" i="6" s="1"/>
  <c r="AB71" i="6"/>
  <c r="AD71" i="6" s="1"/>
  <c r="AB70" i="6"/>
  <c r="AD70" i="6" s="1"/>
  <c r="L70" i="6"/>
  <c r="F73" i="6"/>
  <c r="F72" i="6"/>
  <c r="F71" i="6"/>
  <c r="F70" i="6"/>
  <c r="F69" i="6"/>
  <c r="AU72" i="6"/>
  <c r="J71" i="6"/>
  <c r="L71" i="6" s="1"/>
  <c r="N71" i="6" s="1"/>
  <c r="AS70" i="6"/>
  <c r="S70" i="6" s="1"/>
  <c r="U70" i="6" s="1"/>
  <c r="AS69" i="6"/>
  <c r="S69" i="6" s="1"/>
  <c r="AP65" i="6"/>
  <c r="AP64" i="6"/>
  <c r="AS64" i="6" s="1"/>
  <c r="S64" i="6" s="1"/>
  <c r="AP63" i="6"/>
  <c r="AS63" i="6" s="1"/>
  <c r="S63" i="6" s="1"/>
  <c r="AP62" i="6"/>
  <c r="AT62" i="6" s="1"/>
  <c r="AB65" i="6"/>
  <c r="AB64" i="6"/>
  <c r="AB63" i="6"/>
  <c r="AB62" i="6"/>
  <c r="AB66" i="6" s="1"/>
  <c r="L64" i="6"/>
  <c r="N64" i="6" s="1"/>
  <c r="L63" i="6"/>
  <c r="N63" i="6" s="1"/>
  <c r="F66" i="6"/>
  <c r="F65" i="6"/>
  <c r="F64" i="6"/>
  <c r="F63" i="6"/>
  <c r="F62" i="6"/>
  <c r="Z65" i="6"/>
  <c r="AB69" i="6" s="1"/>
  <c r="AS65" i="6"/>
  <c r="S65" i="6" s="1"/>
  <c r="AT64" i="6"/>
  <c r="AS57" i="6"/>
  <c r="S57" i="6" s="1"/>
  <c r="AP58" i="6"/>
  <c r="AS58" i="6" s="1"/>
  <c r="S58" i="6" s="1"/>
  <c r="AP57" i="6"/>
  <c r="AP56" i="6"/>
  <c r="AP55" i="6"/>
  <c r="AS55" i="6" s="1"/>
  <c r="S55" i="6" s="1"/>
  <c r="AB58" i="6"/>
  <c r="AD58" i="6" s="1"/>
  <c r="AB57" i="6"/>
  <c r="AD57" i="6" s="1"/>
  <c r="AB56" i="6"/>
  <c r="AD56" i="6" s="1"/>
  <c r="N57" i="6"/>
  <c r="L57" i="6"/>
  <c r="L56" i="6"/>
  <c r="N56" i="6" s="1"/>
  <c r="F59" i="6"/>
  <c r="F58" i="6"/>
  <c r="F57" i="6"/>
  <c r="F56" i="6"/>
  <c r="F55" i="6"/>
  <c r="Z58" i="6"/>
  <c r="AS51" i="6"/>
  <c r="S51" i="6" s="1"/>
  <c r="AP51" i="6"/>
  <c r="AP50" i="6"/>
  <c r="AS50" i="6" s="1"/>
  <c r="S50" i="6" s="1"/>
  <c r="AP49" i="6"/>
  <c r="AS49" i="6" s="1"/>
  <c r="AP48" i="6"/>
  <c r="AS48" i="6" s="1"/>
  <c r="S48" i="6" s="1"/>
  <c r="AD49" i="6"/>
  <c r="AB51" i="6"/>
  <c r="AB50" i="6"/>
  <c r="AD50" i="6" s="1"/>
  <c r="AB49" i="6"/>
  <c r="S49" i="6"/>
  <c r="L50" i="6"/>
  <c r="L49" i="6"/>
  <c r="F52" i="6"/>
  <c r="F51" i="6"/>
  <c r="F50" i="6"/>
  <c r="F49" i="6"/>
  <c r="F48" i="6"/>
  <c r="Z51" i="6"/>
  <c r="AB55" i="6" s="1"/>
  <c r="AS41" i="6"/>
  <c r="S41" i="6" s="1"/>
  <c r="AP44" i="6"/>
  <c r="AS44" i="6" s="1"/>
  <c r="AP43" i="6"/>
  <c r="AS43" i="6" s="1"/>
  <c r="AP42" i="6"/>
  <c r="AS42" i="6" s="1"/>
  <c r="S42" i="6" s="1"/>
  <c r="AI42" i="6" s="1"/>
  <c r="AK42" i="6" s="1"/>
  <c r="AP41" i="6"/>
  <c r="AP45" i="6" s="1"/>
  <c r="AS45" i="6" s="1"/>
  <c r="AI41" i="6"/>
  <c r="AB43" i="6"/>
  <c r="AB42" i="6"/>
  <c r="S44" i="6"/>
  <c r="S43" i="6"/>
  <c r="U43" i="6" s="1"/>
  <c r="W43" i="6" s="1"/>
  <c r="L43" i="6"/>
  <c r="N43" i="6" s="1"/>
  <c r="L42" i="6"/>
  <c r="U42" i="6" s="1"/>
  <c r="F45" i="6"/>
  <c r="F44" i="6"/>
  <c r="F43" i="6"/>
  <c r="F42" i="6"/>
  <c r="F41" i="6"/>
  <c r="AS36" i="6"/>
  <c r="AS35" i="6"/>
  <c r="AS34" i="6"/>
  <c r="AP37" i="6"/>
  <c r="E204" i="8" s="1"/>
  <c r="AB36" i="6"/>
  <c r="AD43" i="6" s="1"/>
  <c r="AB35" i="6"/>
  <c r="AD35" i="6" s="1"/>
  <c r="S36" i="6"/>
  <c r="U36" i="6" s="1"/>
  <c r="S35" i="6"/>
  <c r="S34" i="6"/>
  <c r="AI34" i="6" s="1"/>
  <c r="L36" i="6"/>
  <c r="L35" i="6"/>
  <c r="N35" i="6" s="1"/>
  <c r="F38" i="6"/>
  <c r="F37" i="6"/>
  <c r="F36" i="6"/>
  <c r="F35" i="6"/>
  <c r="F34" i="6"/>
  <c r="AB29" i="6"/>
  <c r="AD29" i="6" s="1"/>
  <c r="AB28" i="6"/>
  <c r="S30" i="6"/>
  <c r="AI30" i="6" s="1"/>
  <c r="S29" i="6"/>
  <c r="AI29" i="6" s="1"/>
  <c r="AK29" i="6" s="1"/>
  <c r="S28" i="6"/>
  <c r="U28" i="6" s="1"/>
  <c r="S27" i="6"/>
  <c r="D34" i="6" s="1"/>
  <c r="N28" i="6"/>
  <c r="L29" i="6"/>
  <c r="U29" i="6" s="1"/>
  <c r="L28" i="6"/>
  <c r="F31" i="6"/>
  <c r="F30" i="6"/>
  <c r="F29" i="6"/>
  <c r="F28" i="6"/>
  <c r="F27" i="6"/>
  <c r="AD22" i="6"/>
  <c r="AB22" i="6"/>
  <c r="AB21" i="6"/>
  <c r="AD21" i="6" s="1"/>
  <c r="S23" i="6"/>
  <c r="AI23" i="6" s="1"/>
  <c r="S22" i="6"/>
  <c r="AI22" i="6" s="1"/>
  <c r="AK22" i="6" s="1"/>
  <c r="S21" i="6"/>
  <c r="AI21" i="6" s="1"/>
  <c r="S20" i="6"/>
  <c r="L22" i="6"/>
  <c r="N22" i="6" s="1"/>
  <c r="L21" i="6"/>
  <c r="N21" i="6" s="1"/>
  <c r="F24" i="6"/>
  <c r="F23" i="6"/>
  <c r="F22" i="6"/>
  <c r="F21" i="6"/>
  <c r="F20" i="6"/>
  <c r="B19" i="6"/>
  <c r="B26" i="6" s="1"/>
  <c r="B33" i="6" s="1"/>
  <c r="B40" i="6" s="1"/>
  <c r="B47" i="6" s="1"/>
  <c r="B54" i="6" s="1"/>
  <c r="B61" i="6" s="1"/>
  <c r="B68" i="6" s="1"/>
  <c r="B75" i="6" s="1"/>
  <c r="AB15" i="6"/>
  <c r="AB14" i="6"/>
  <c r="S16" i="6"/>
  <c r="AI16" i="6" s="1"/>
  <c r="S15" i="6"/>
  <c r="AI15" i="6" s="1"/>
  <c r="S14" i="6"/>
  <c r="D21" i="6" s="1"/>
  <c r="H21" i="6" s="1"/>
  <c r="S13" i="6"/>
  <c r="D20" i="6" s="1"/>
  <c r="H20" i="6" s="1"/>
  <c r="L15" i="6"/>
  <c r="L14" i="6"/>
  <c r="L13" i="6"/>
  <c r="B17" i="6"/>
  <c r="B38" i="6" s="1"/>
  <c r="B16" i="6"/>
  <c r="B37" i="6" s="1"/>
  <c r="B15" i="6"/>
  <c r="B43" i="6" s="1"/>
  <c r="B14" i="6"/>
  <c r="B35" i="6" s="1"/>
  <c r="B13" i="6"/>
  <c r="B27" i="6" s="1"/>
  <c r="A16" i="6"/>
  <c r="A65" i="6" s="1"/>
  <c r="A15" i="6"/>
  <c r="A36" i="6" s="1"/>
  <c r="A14" i="6"/>
  <c r="A42" i="6" s="1"/>
  <c r="A13" i="6"/>
  <c r="A41" i="6" s="1"/>
  <c r="A1" i="6"/>
  <c r="F460" i="30"/>
  <c r="F459" i="30"/>
  <c r="F458" i="30"/>
  <c r="F457" i="30"/>
  <c r="L455" i="30"/>
  <c r="L453" i="30"/>
  <c r="H456" i="30"/>
  <c r="D456" i="30"/>
  <c r="K455" i="30"/>
  <c r="J455" i="30"/>
  <c r="K454" i="30"/>
  <c r="J454" i="30"/>
  <c r="L454" i="30" s="1"/>
  <c r="K453" i="30"/>
  <c r="H449" i="30"/>
  <c r="F449" i="30"/>
  <c r="D449" i="30"/>
  <c r="J448" i="30"/>
  <c r="L448" i="30" s="1"/>
  <c r="J446" i="30"/>
  <c r="J445" i="30"/>
  <c r="L445" i="30" s="1"/>
  <c r="H442" i="30"/>
  <c r="F442" i="30"/>
  <c r="D442" i="30"/>
  <c r="D441" i="30"/>
  <c r="D440" i="30"/>
  <c r="H440" i="30" s="1"/>
  <c r="D439" i="30"/>
  <c r="D438" i="30"/>
  <c r="K439" i="30"/>
  <c r="K438" i="30"/>
  <c r="J440" i="30"/>
  <c r="J439" i="30"/>
  <c r="Z439" i="30" s="1"/>
  <c r="Z440" i="30" s="1"/>
  <c r="Z441" i="30" s="1"/>
  <c r="Z445" i="30" s="1"/>
  <c r="Z446" i="30" s="1"/>
  <c r="Z447" i="30" s="1"/>
  <c r="J438" i="30"/>
  <c r="H439" i="30"/>
  <c r="H438" i="30"/>
  <c r="H435" i="30"/>
  <c r="H432" i="30"/>
  <c r="H431" i="30"/>
  <c r="F435" i="30"/>
  <c r="D435" i="30"/>
  <c r="D434" i="30"/>
  <c r="H434" i="30" s="1"/>
  <c r="D433" i="30"/>
  <c r="H433" i="30" s="1"/>
  <c r="D432" i="30"/>
  <c r="D431" i="30"/>
  <c r="J434" i="30"/>
  <c r="K434" i="30" s="1"/>
  <c r="K432" i="30"/>
  <c r="J432" i="30"/>
  <c r="L433" i="30" s="1"/>
  <c r="N433" i="30" s="1"/>
  <c r="L426" i="30"/>
  <c r="L425" i="30"/>
  <c r="H425" i="30"/>
  <c r="H424" i="30"/>
  <c r="F428" i="30"/>
  <c r="H428" i="30" s="1"/>
  <c r="D428" i="30"/>
  <c r="D427" i="30"/>
  <c r="H427" i="30" s="1"/>
  <c r="D426" i="30"/>
  <c r="H426" i="30" s="1"/>
  <c r="D425" i="30"/>
  <c r="D424" i="30"/>
  <c r="J427" i="30"/>
  <c r="K427" i="30" s="1"/>
  <c r="K426" i="30"/>
  <c r="K425" i="30"/>
  <c r="H420" i="30"/>
  <c r="H419" i="30"/>
  <c r="F421" i="30"/>
  <c r="D421" i="30"/>
  <c r="H421" i="30" s="1"/>
  <c r="D420" i="30"/>
  <c r="D419" i="30"/>
  <c r="D418" i="30"/>
  <c r="H418" i="30" s="1"/>
  <c r="D417" i="30"/>
  <c r="H417" i="30" s="1"/>
  <c r="J420" i="30"/>
  <c r="L424" i="30" s="1"/>
  <c r="K419" i="30"/>
  <c r="J419" i="30"/>
  <c r="J418" i="30"/>
  <c r="K418" i="30" s="1"/>
  <c r="K417" i="30"/>
  <c r="Z415" i="30"/>
  <c r="L412" i="30"/>
  <c r="L411" i="30"/>
  <c r="L410" i="30"/>
  <c r="AY413" i="30"/>
  <c r="Z413" i="30"/>
  <c r="J413" i="30"/>
  <c r="AB391" i="30"/>
  <c r="AD391" i="30" s="1"/>
  <c r="AB390" i="30"/>
  <c r="AD390" i="30" s="1"/>
  <c r="S390" i="30"/>
  <c r="AI390" i="30" s="1"/>
  <c r="AK390" i="30" s="1"/>
  <c r="S389" i="30"/>
  <c r="AI389" i="30" s="1"/>
  <c r="D389" i="30"/>
  <c r="H389" i="30" s="1"/>
  <c r="J392" i="30"/>
  <c r="L392" i="30" s="1"/>
  <c r="N392" i="30" s="1"/>
  <c r="H392" i="30" s="1"/>
  <c r="J390" i="30"/>
  <c r="L391" i="30" s="1"/>
  <c r="N391" i="30" s="1"/>
  <c r="H391" i="30" s="1"/>
  <c r="J389" i="30"/>
  <c r="AI382" i="30"/>
  <c r="AD384" i="30"/>
  <c r="AD383" i="30"/>
  <c r="AB384" i="30"/>
  <c r="AB383" i="30"/>
  <c r="U384" i="30"/>
  <c r="S385" i="30"/>
  <c r="S384" i="30"/>
  <c r="S383" i="30"/>
  <c r="S382" i="30"/>
  <c r="N383" i="30"/>
  <c r="L384" i="30"/>
  <c r="L383" i="30"/>
  <c r="D385" i="30"/>
  <c r="H385" i="30" s="1"/>
  <c r="J385" i="30"/>
  <c r="L385" i="30" s="1"/>
  <c r="S378" i="30"/>
  <c r="S377" i="30"/>
  <c r="S376" i="30"/>
  <c r="S375" i="30"/>
  <c r="AK377" i="30"/>
  <c r="AI378" i="30"/>
  <c r="AI377" i="30"/>
  <c r="AD377" i="30"/>
  <c r="AB377" i="30"/>
  <c r="AB376" i="30"/>
  <c r="L377" i="30"/>
  <c r="U377" i="30" s="1"/>
  <c r="L376" i="30"/>
  <c r="J378" i="30"/>
  <c r="L382" i="30" s="1"/>
  <c r="AI369" i="30"/>
  <c r="AB370" i="30"/>
  <c r="AB369" i="30"/>
  <c r="AK369" i="30" s="1"/>
  <c r="U369" i="30"/>
  <c r="S371" i="30"/>
  <c r="S370" i="30"/>
  <c r="S369" i="30"/>
  <c r="L370" i="30"/>
  <c r="N370" i="30" s="1"/>
  <c r="L369" i="30"/>
  <c r="N369" i="30" s="1"/>
  <c r="H369" i="30"/>
  <c r="D369" i="30"/>
  <c r="AY371" i="30"/>
  <c r="J371" i="30"/>
  <c r="L375" i="30" s="1"/>
  <c r="P369" i="30"/>
  <c r="AY368" i="30"/>
  <c r="S368" i="30" s="1"/>
  <c r="AK362" i="30"/>
  <c r="AI364" i="30"/>
  <c r="AI363" i="30"/>
  <c r="AI362" i="30"/>
  <c r="AI361" i="30"/>
  <c r="AB363" i="30"/>
  <c r="AB362" i="30"/>
  <c r="U363" i="30"/>
  <c r="S365" i="30"/>
  <c r="N363" i="30"/>
  <c r="L363" i="30"/>
  <c r="L362" i="30"/>
  <c r="U362" i="30" s="1"/>
  <c r="D365" i="30"/>
  <c r="J364" i="30"/>
  <c r="L364" i="30" s="1"/>
  <c r="AB356" i="30"/>
  <c r="L357" i="30"/>
  <c r="Z357" i="30"/>
  <c r="AB361" i="30" s="1"/>
  <c r="J357" i="30"/>
  <c r="L361" i="30" s="1"/>
  <c r="U361" i="30" s="1"/>
  <c r="AS356" i="30"/>
  <c r="L350" i="30"/>
  <c r="L349" i="30"/>
  <c r="D351" i="30"/>
  <c r="D350" i="30"/>
  <c r="D349" i="30"/>
  <c r="K350" i="30"/>
  <c r="K349" i="30"/>
  <c r="AS343" i="30"/>
  <c r="S343" i="30" s="1"/>
  <c r="AS341" i="30"/>
  <c r="S341" i="30" s="1"/>
  <c r="AI341" i="30" s="1"/>
  <c r="L342" i="30"/>
  <c r="AZ343" i="30"/>
  <c r="AZ342" i="30"/>
  <c r="AZ341" i="30"/>
  <c r="J343" i="30"/>
  <c r="J342" i="30"/>
  <c r="K342" i="30" s="1"/>
  <c r="J341" i="30"/>
  <c r="AY338" i="30"/>
  <c r="AZ338" i="30" s="1"/>
  <c r="AS337" i="30"/>
  <c r="S337" i="30" s="1"/>
  <c r="AS336" i="30"/>
  <c r="S336" i="30" s="1"/>
  <c r="AS335" i="30"/>
  <c r="S335" i="30" s="1"/>
  <c r="AI335" i="30" s="1"/>
  <c r="AS334" i="30"/>
  <c r="S334" i="30" s="1"/>
  <c r="AI334" i="30" s="1"/>
  <c r="AI337" i="30"/>
  <c r="AZ337" i="30"/>
  <c r="AZ336" i="30"/>
  <c r="AZ335" i="30"/>
  <c r="AZ334" i="30"/>
  <c r="K336" i="30"/>
  <c r="J336" i="30"/>
  <c r="L336" i="30" s="1"/>
  <c r="N336" i="30" s="1"/>
  <c r="K335" i="30"/>
  <c r="J335" i="30"/>
  <c r="L335" i="30" s="1"/>
  <c r="J334" i="30"/>
  <c r="AZ331" i="30"/>
  <c r="AY331" i="30"/>
  <c r="AS330" i="30"/>
  <c r="AS329" i="30"/>
  <c r="S329" i="30" s="1"/>
  <c r="AI329" i="30" s="1"/>
  <c r="AS327" i="30"/>
  <c r="AU327" i="30" s="1"/>
  <c r="L329" i="30"/>
  <c r="N329" i="30" s="1"/>
  <c r="AZ330" i="30"/>
  <c r="AZ329" i="30"/>
  <c r="AZ328" i="30"/>
  <c r="AZ327" i="30"/>
  <c r="K329" i="30"/>
  <c r="J329" i="30"/>
  <c r="J328" i="30"/>
  <c r="AZ324" i="30"/>
  <c r="AY324" i="30"/>
  <c r="AS323" i="30"/>
  <c r="S323" i="30" s="1"/>
  <c r="AS322" i="30"/>
  <c r="AU329" i="30" s="1"/>
  <c r="AS321" i="30"/>
  <c r="AU321" i="30" s="1"/>
  <c r="AS320" i="30"/>
  <c r="S320" i="30" s="1"/>
  <c r="AI320" i="30"/>
  <c r="S322" i="30"/>
  <c r="AI322" i="30" s="1"/>
  <c r="L322" i="30"/>
  <c r="D322" i="30"/>
  <c r="H322" i="30" s="1"/>
  <c r="D320" i="30"/>
  <c r="H320" i="30" s="1"/>
  <c r="AZ323" i="30"/>
  <c r="AZ322" i="30"/>
  <c r="AZ321" i="30"/>
  <c r="AZ320" i="30"/>
  <c r="AU322" i="30"/>
  <c r="AU320" i="30"/>
  <c r="K322" i="30"/>
  <c r="J320" i="30"/>
  <c r="K321" i="30" s="1"/>
  <c r="AY317" i="30"/>
  <c r="AS316" i="30"/>
  <c r="AU323" i="30" s="1"/>
  <c r="AS315" i="30"/>
  <c r="AS314" i="30"/>
  <c r="S314" i="30" s="1"/>
  <c r="U314" i="30" s="1"/>
  <c r="AS313" i="30"/>
  <c r="AS317" i="30" s="1"/>
  <c r="AV317" i="30" s="1"/>
  <c r="AI314" i="30"/>
  <c r="AI313" i="30"/>
  <c r="S316" i="30"/>
  <c r="AI316" i="30" s="1"/>
  <c r="S315" i="30"/>
  <c r="AI315" i="30" s="1"/>
  <c r="S313" i="30"/>
  <c r="L315" i="30"/>
  <c r="L314" i="30"/>
  <c r="N314" i="30" s="1"/>
  <c r="D314" i="30"/>
  <c r="H314" i="30" s="1"/>
  <c r="AZ316" i="30"/>
  <c r="AZ315" i="30"/>
  <c r="AZ314" i="30"/>
  <c r="AZ313" i="30"/>
  <c r="AU314" i="30"/>
  <c r="AU313" i="30"/>
  <c r="J315" i="30"/>
  <c r="K314" i="30"/>
  <c r="J314" i="30"/>
  <c r="J313" i="30"/>
  <c r="AY310" i="30"/>
  <c r="AS309" i="30"/>
  <c r="AS308" i="30"/>
  <c r="AS307" i="30"/>
  <c r="S307" i="30" s="1"/>
  <c r="AS306" i="30"/>
  <c r="AI307" i="30"/>
  <c r="AD306" i="30"/>
  <c r="S308" i="30"/>
  <c r="S306" i="30"/>
  <c r="L308" i="30"/>
  <c r="L307" i="30"/>
  <c r="U307" i="30" s="1"/>
  <c r="BI309" i="30"/>
  <c r="BB309" i="30"/>
  <c r="AZ308" i="30"/>
  <c r="AZ307" i="30"/>
  <c r="AZ306" i="30"/>
  <c r="K308" i="30"/>
  <c r="J307" i="30"/>
  <c r="J306" i="30"/>
  <c r="BH306" i="30"/>
  <c r="AS302" i="30"/>
  <c r="AS301" i="30"/>
  <c r="AS300" i="30"/>
  <c r="AU307" i="30" s="1"/>
  <c r="AS299" i="30"/>
  <c r="S299" i="30" s="1"/>
  <c r="AD301" i="30"/>
  <c r="AD300" i="30"/>
  <c r="AD299" i="30"/>
  <c r="AB301" i="30"/>
  <c r="AB300" i="30"/>
  <c r="S302" i="30"/>
  <c r="S301" i="30"/>
  <c r="L300" i="30"/>
  <c r="BI302" i="30"/>
  <c r="BB302" i="30" s="1"/>
  <c r="AY302" i="30"/>
  <c r="AZ301" i="30"/>
  <c r="AZ300" i="30"/>
  <c r="AZ299" i="30"/>
  <c r="BH299" i="30"/>
  <c r="J301" i="30"/>
  <c r="L301" i="30" s="1"/>
  <c r="N301" i="30" s="1"/>
  <c r="J300" i="30"/>
  <c r="J299" i="30"/>
  <c r="K300" i="30" s="1"/>
  <c r="AY296" i="30"/>
  <c r="AD294" i="30"/>
  <c r="AD293" i="30"/>
  <c r="AD292" i="30"/>
  <c r="AB294" i="30"/>
  <c r="AB293" i="30"/>
  <c r="L294" i="30"/>
  <c r="BI294" i="30"/>
  <c r="BB294" i="30"/>
  <c r="AZ295" i="30"/>
  <c r="AZ294" i="30"/>
  <c r="AZ293" i="30"/>
  <c r="AZ292" i="30"/>
  <c r="K294" i="30"/>
  <c r="J293" i="30"/>
  <c r="J292" i="30"/>
  <c r="L293" i="30" s="1"/>
  <c r="BM291" i="30"/>
  <c r="AY289" i="30"/>
  <c r="AZ289" i="30" s="1"/>
  <c r="AD287" i="30"/>
  <c r="AD286" i="30"/>
  <c r="AD285" i="30"/>
  <c r="AB287" i="30"/>
  <c r="AB286" i="30"/>
  <c r="CD288" i="30"/>
  <c r="CC288" i="30"/>
  <c r="CB288" i="30"/>
  <c r="CA288" i="30"/>
  <c r="BZ288" i="30"/>
  <c r="BY288" i="30"/>
  <c r="BX288" i="30"/>
  <c r="BW288" i="30"/>
  <c r="BV288" i="30"/>
  <c r="BU288" i="30"/>
  <c r="BP288" i="30"/>
  <c r="BQ288" i="30" s="1"/>
  <c r="BM288" i="30"/>
  <c r="BL288" i="30"/>
  <c r="BB286" i="30"/>
  <c r="AZ288" i="30"/>
  <c r="AZ287" i="30"/>
  <c r="AZ286" i="30"/>
  <c r="AZ285" i="30"/>
  <c r="BP287" i="30"/>
  <c r="BM290" i="30" s="1"/>
  <c r="CN286" i="30"/>
  <c r="CM286" i="30"/>
  <c r="CL286" i="30"/>
  <c r="CK286" i="30"/>
  <c r="CJ286" i="30"/>
  <c r="CI286" i="30"/>
  <c r="CH286" i="30"/>
  <c r="CG286" i="30"/>
  <c r="CF286" i="30"/>
  <c r="CE286" i="30"/>
  <c r="BT286" i="30"/>
  <c r="BS286" i="30"/>
  <c r="BG296" i="30" s="1"/>
  <c r="BG299" i="30" s="1"/>
  <c r="BI299" i="30" s="1"/>
  <c r="BB299" i="30" s="1"/>
  <c r="BR286" i="30"/>
  <c r="BH287" i="30" s="1"/>
  <c r="BB287" i="30" s="1"/>
  <c r="BO286" i="30"/>
  <c r="J287" i="30"/>
  <c r="L287" i="30" s="1"/>
  <c r="N287" i="30" s="1"/>
  <c r="J286" i="30"/>
  <c r="L286" i="30" s="1"/>
  <c r="J285" i="30"/>
  <c r="AZ282" i="30"/>
  <c r="AZ281" i="30"/>
  <c r="AZ280" i="30"/>
  <c r="AZ279" i="30"/>
  <c r="AZ278" i="30"/>
  <c r="AD280" i="30"/>
  <c r="AD279" i="30"/>
  <c r="AD278" i="30"/>
  <c r="AB280" i="30"/>
  <c r="AB279" i="30"/>
  <c r="L279" i="30"/>
  <c r="J280" i="30"/>
  <c r="L280" i="30" s="1"/>
  <c r="J279" i="30"/>
  <c r="J278" i="30"/>
  <c r="AZ275" i="30"/>
  <c r="AZ274" i="30"/>
  <c r="AZ273" i="30"/>
  <c r="AZ272" i="30"/>
  <c r="AZ271" i="30"/>
  <c r="AS274" i="30"/>
  <c r="S274" i="30" s="1"/>
  <c r="AD273" i="30"/>
  <c r="AD272" i="30"/>
  <c r="AD271" i="30"/>
  <c r="AB273" i="30"/>
  <c r="AB272" i="30"/>
  <c r="AY274" i="30"/>
  <c r="J272" i="30"/>
  <c r="J271" i="30"/>
  <c r="AV274" i="30"/>
  <c r="AV281" i="30" s="1"/>
  <c r="AS281" i="30" s="1"/>
  <c r="S281" i="30" s="1"/>
  <c r="AV273" i="30"/>
  <c r="AV280" i="30" s="1"/>
  <c r="AV272" i="30"/>
  <c r="AV271" i="30"/>
  <c r="AZ268" i="30"/>
  <c r="AZ266" i="30"/>
  <c r="AZ265" i="30"/>
  <c r="AZ264" i="30"/>
  <c r="AS267" i="30"/>
  <c r="AS266" i="30"/>
  <c r="AS265" i="30"/>
  <c r="S265" i="30" s="1"/>
  <c r="D265" i="30" s="1"/>
  <c r="H265" i="30" s="1"/>
  <c r="AS264" i="30"/>
  <c r="S264" i="30" s="1"/>
  <c r="AI265" i="30"/>
  <c r="AD266" i="30"/>
  <c r="AD265" i="30"/>
  <c r="AD264" i="30"/>
  <c r="AB266" i="30"/>
  <c r="AB265" i="30"/>
  <c r="U265" i="30"/>
  <c r="S266" i="30"/>
  <c r="U266" i="30" s="1"/>
  <c r="L266" i="30"/>
  <c r="L265" i="30"/>
  <c r="AY267" i="30"/>
  <c r="AU265" i="30"/>
  <c r="BF265" i="30"/>
  <c r="AZ261" i="30"/>
  <c r="AZ259" i="30"/>
  <c r="AZ258" i="30"/>
  <c r="AZ257" i="30"/>
  <c r="AS259" i="30"/>
  <c r="AU266" i="30" s="1"/>
  <c r="AS258" i="30"/>
  <c r="AS257" i="30"/>
  <c r="AI258" i="30"/>
  <c r="AK258" i="30" s="1"/>
  <c r="AD259" i="30"/>
  <c r="AD258" i="30"/>
  <c r="AD257" i="30"/>
  <c r="AB259" i="30"/>
  <c r="AB258" i="30"/>
  <c r="S259" i="30"/>
  <c r="S258" i="30"/>
  <c r="U258" i="30" s="1"/>
  <c r="L259" i="30"/>
  <c r="N259" i="30" s="1"/>
  <c r="L258" i="30"/>
  <c r="N258" i="30" s="1"/>
  <c r="AY260" i="30"/>
  <c r="AZ267" i="30" s="1"/>
  <c r="AZ254" i="30"/>
  <c r="AZ252" i="30"/>
  <c r="AZ251" i="30"/>
  <c r="AZ250" i="30"/>
  <c r="AS252" i="30"/>
  <c r="AS251" i="30"/>
  <c r="AU258" i="30" s="1"/>
  <c r="AS250" i="30"/>
  <c r="AD252" i="30"/>
  <c r="AD251" i="30"/>
  <c r="AD250" i="30"/>
  <c r="AB252" i="30"/>
  <c r="AB251" i="30"/>
  <c r="S252" i="30"/>
  <c r="U252" i="30" s="1"/>
  <c r="S251" i="30"/>
  <c r="D258" i="30" s="1"/>
  <c r="H258" i="30" s="1"/>
  <c r="S250" i="30"/>
  <c r="L252" i="30"/>
  <c r="L251" i="30"/>
  <c r="AY253" i="30"/>
  <c r="Z253" i="30"/>
  <c r="AZ247" i="30"/>
  <c r="AS246" i="30"/>
  <c r="AS247" i="30" s="1"/>
  <c r="AS245" i="30"/>
  <c r="AU252" i="30" s="1"/>
  <c r="AI244" i="30"/>
  <c r="AK244" i="30" s="1"/>
  <c r="AD245" i="30"/>
  <c r="AD244" i="30"/>
  <c r="AD243" i="30"/>
  <c r="AB246" i="30"/>
  <c r="AB245" i="30"/>
  <c r="AB244" i="30"/>
  <c r="S244" i="30"/>
  <c r="S243" i="30"/>
  <c r="AI243" i="30" s="1"/>
  <c r="L245" i="30"/>
  <c r="N252" i="30" s="1"/>
  <c r="L244" i="30"/>
  <c r="U244" i="30" s="1"/>
  <c r="AY246" i="30"/>
  <c r="Z246" i="30"/>
  <c r="AB250" i="30" s="1"/>
  <c r="B242" i="30"/>
  <c r="AI240" i="30"/>
  <c r="AB238" i="30"/>
  <c r="AB237" i="30"/>
  <c r="AB236" i="30"/>
  <c r="L238" i="30"/>
  <c r="L237" i="30"/>
  <c r="L236" i="30"/>
  <c r="Z239" i="30"/>
  <c r="AB243" i="30" s="1"/>
  <c r="AB247" i="30" s="1"/>
  <c r="S232" i="30"/>
  <c r="BI229" i="30"/>
  <c r="BB229" i="30" s="1"/>
  <c r="BB228" i="30"/>
  <c r="L227" i="30"/>
  <c r="N227" i="30" s="1"/>
  <c r="H227" i="30" s="1"/>
  <c r="L226" i="30"/>
  <c r="N226" i="30" s="1"/>
  <c r="H226" i="30" s="1"/>
  <c r="Z228" i="30"/>
  <c r="J228" i="30"/>
  <c r="L228" i="30" s="1"/>
  <c r="K227" i="30"/>
  <c r="K226" i="30"/>
  <c r="BH227" i="30"/>
  <c r="BI227" i="30" s="1"/>
  <c r="BB227" i="30" s="1"/>
  <c r="BH226" i="30"/>
  <c r="BI226" i="30" s="1"/>
  <c r="BB226" i="30" s="1"/>
  <c r="BH225" i="30"/>
  <c r="BI225" i="30" s="1"/>
  <c r="BB225" i="30" s="1"/>
  <c r="AV228" i="30"/>
  <c r="AS228" i="30" s="1"/>
  <c r="AV227" i="30"/>
  <c r="AS227" i="30" s="1"/>
  <c r="AV226" i="30"/>
  <c r="AV225" i="30"/>
  <c r="AS225" i="30" s="1"/>
  <c r="BI222" i="30"/>
  <c r="BB222" i="30" s="1"/>
  <c r="BB221" i="30"/>
  <c r="AY222" i="30"/>
  <c r="AZ222" i="30" s="1"/>
  <c r="L220" i="30"/>
  <c r="L219" i="30"/>
  <c r="AZ221" i="30"/>
  <c r="AZ220" i="30"/>
  <c r="AZ219" i="30"/>
  <c r="AZ218" i="30"/>
  <c r="K220" i="30"/>
  <c r="K219" i="30"/>
  <c r="BI220" i="30"/>
  <c r="BB220" i="30" s="1"/>
  <c r="BH220" i="30"/>
  <c r="BH219" i="30"/>
  <c r="BI219" i="30" s="1"/>
  <c r="BB219" i="30" s="1"/>
  <c r="BI218" i="30"/>
  <c r="BB218" i="30" s="1"/>
  <c r="BH218" i="30"/>
  <c r="BI215" i="30"/>
  <c r="BB215" i="30" s="1"/>
  <c r="BB214" i="30"/>
  <c r="AY215" i="30"/>
  <c r="AZ215" i="30" s="1"/>
  <c r="AZ214" i="30"/>
  <c r="AZ213" i="30"/>
  <c r="AZ212" i="30"/>
  <c r="AZ211" i="30"/>
  <c r="BI213" i="30"/>
  <c r="BB213" i="30" s="1"/>
  <c r="BH213" i="30"/>
  <c r="BH212" i="30"/>
  <c r="BI212" i="30" s="1"/>
  <c r="BB212" i="30" s="1"/>
  <c r="BI211" i="30"/>
  <c r="BB211" i="30" s="1"/>
  <c r="BH211" i="30"/>
  <c r="J213" i="30"/>
  <c r="L213" i="30" s="1"/>
  <c r="K212" i="30"/>
  <c r="J212" i="30"/>
  <c r="L212" i="30" s="1"/>
  <c r="J211" i="30"/>
  <c r="BI208" i="30"/>
  <c r="BB208" i="30" s="1"/>
  <c r="BB206" i="30"/>
  <c r="BB205" i="30"/>
  <c r="BB204" i="30"/>
  <c r="AY208" i="30"/>
  <c r="AD204" i="30"/>
  <c r="BH207" i="30"/>
  <c r="BI207" i="30" s="1"/>
  <c r="BB207" i="30" s="1"/>
  <c r="BH206" i="30"/>
  <c r="AZ206" i="30"/>
  <c r="AZ205" i="30"/>
  <c r="AZ204" i="30"/>
  <c r="J206" i="30"/>
  <c r="J205" i="30"/>
  <c r="L206" i="30" s="1"/>
  <c r="J204" i="30"/>
  <c r="BI201" i="30"/>
  <c r="BB201" i="30"/>
  <c r="BB200" i="30"/>
  <c r="BB198" i="30"/>
  <c r="BB197" i="30"/>
  <c r="AD199" i="30"/>
  <c r="AD198" i="30"/>
  <c r="AD197" i="30"/>
  <c r="AB199" i="30"/>
  <c r="AB198" i="30"/>
  <c r="AY201" i="30"/>
  <c r="AZ201" i="30" s="1"/>
  <c r="AY200" i="30"/>
  <c r="BI199" i="30"/>
  <c r="BB199" i="30" s="1"/>
  <c r="BI198" i="30"/>
  <c r="BI197" i="30"/>
  <c r="AZ199" i="30"/>
  <c r="AZ198" i="30"/>
  <c r="AZ197" i="30"/>
  <c r="J199" i="30"/>
  <c r="J198" i="30"/>
  <c r="J197" i="30"/>
  <c r="L198" i="30" s="1"/>
  <c r="BI194" i="30"/>
  <c r="BB194" i="30" s="1"/>
  <c r="BH194" i="30"/>
  <c r="BB193" i="30"/>
  <c r="AZ194" i="30"/>
  <c r="AY194" i="30"/>
  <c r="AD192" i="30"/>
  <c r="AD191" i="30"/>
  <c r="AD190" i="30"/>
  <c r="AB192" i="30"/>
  <c r="AB191" i="30"/>
  <c r="AZ193" i="30"/>
  <c r="AZ192" i="30"/>
  <c r="AZ191" i="30"/>
  <c r="AZ190" i="30"/>
  <c r="J191" i="30"/>
  <c r="J190" i="30"/>
  <c r="BI192" i="30"/>
  <c r="BB192" i="30" s="1"/>
  <c r="BH192" i="30"/>
  <c r="BI191" i="30"/>
  <c r="BB191" i="30" s="1"/>
  <c r="BH191" i="30"/>
  <c r="BI190" i="30"/>
  <c r="BB190" i="30" s="1"/>
  <c r="BH190" i="30"/>
  <c r="AZ187" i="30"/>
  <c r="AY187" i="30"/>
  <c r="AD185" i="30"/>
  <c r="AD184" i="30"/>
  <c r="AD183" i="30"/>
  <c r="AB185" i="30"/>
  <c r="AB184" i="30"/>
  <c r="L185" i="30"/>
  <c r="N185" i="30" s="1"/>
  <c r="BH186" i="30"/>
  <c r="BB186" i="30"/>
  <c r="AZ186" i="30"/>
  <c r="AZ185" i="30"/>
  <c r="AZ184" i="30"/>
  <c r="AZ183" i="30"/>
  <c r="K185" i="30"/>
  <c r="J185" i="30"/>
  <c r="K184" i="30"/>
  <c r="J184" i="30"/>
  <c r="L184" i="30" s="1"/>
  <c r="N184" i="30" s="1"/>
  <c r="J183" i="30"/>
  <c r="AZ180" i="30"/>
  <c r="AZ178" i="30"/>
  <c r="AZ177" i="30"/>
  <c r="AZ176" i="30"/>
  <c r="AD178" i="30"/>
  <c r="AD177" i="30"/>
  <c r="AD176" i="30"/>
  <c r="AB178" i="30"/>
  <c r="AB177" i="30"/>
  <c r="L177" i="30"/>
  <c r="J178" i="30"/>
  <c r="L178" i="30" s="1"/>
  <c r="J177" i="30"/>
  <c r="AV179" i="30"/>
  <c r="AS179" i="30" s="1"/>
  <c r="AV178" i="30"/>
  <c r="AS178" i="30" s="1"/>
  <c r="S178" i="30" s="1"/>
  <c r="AI178" i="30" s="1"/>
  <c r="AK178" i="30" s="1"/>
  <c r="AZ173" i="30"/>
  <c r="AZ171" i="30"/>
  <c r="AZ170" i="30"/>
  <c r="AZ169" i="30"/>
  <c r="AD171" i="30"/>
  <c r="AD170" i="30"/>
  <c r="AD169" i="30"/>
  <c r="AB171" i="30"/>
  <c r="AB170" i="30"/>
  <c r="N170" i="30"/>
  <c r="L170" i="30"/>
  <c r="AY172" i="30"/>
  <c r="AZ172" i="30" s="1"/>
  <c r="J171" i="30"/>
  <c r="AV172" i="30"/>
  <c r="AS172" i="30" s="1"/>
  <c r="AV171" i="30"/>
  <c r="AS171" i="30" s="1"/>
  <c r="AV170" i="30"/>
  <c r="AS170" i="30" s="1"/>
  <c r="AV169" i="30"/>
  <c r="AS169" i="30" s="1"/>
  <c r="S169" i="30" s="1"/>
  <c r="AZ166" i="30"/>
  <c r="AZ164" i="30"/>
  <c r="AZ163" i="30"/>
  <c r="AZ162" i="30"/>
  <c r="AD164" i="30"/>
  <c r="AD163" i="30"/>
  <c r="AD162" i="30"/>
  <c r="AB164" i="30"/>
  <c r="AB163" i="30"/>
  <c r="L164" i="30"/>
  <c r="L163" i="30"/>
  <c r="AY165" i="30"/>
  <c r="AV165" i="30"/>
  <c r="AS165" i="30" s="1"/>
  <c r="AV164" i="30"/>
  <c r="AS164" i="30" s="1"/>
  <c r="AV163" i="30"/>
  <c r="AS163" i="30" s="1"/>
  <c r="S163" i="30" s="1"/>
  <c r="U163" i="30" s="1"/>
  <c r="AV162" i="30"/>
  <c r="AS162" i="30" s="1"/>
  <c r="AZ159" i="30"/>
  <c r="AZ157" i="30"/>
  <c r="AZ156" i="30"/>
  <c r="AZ155" i="30"/>
  <c r="AD157" i="30"/>
  <c r="AD156" i="30"/>
  <c r="AD155" i="30"/>
  <c r="AB157" i="30"/>
  <c r="AB156" i="30"/>
  <c r="L157" i="30"/>
  <c r="N157" i="30" s="1"/>
  <c r="L156" i="30"/>
  <c r="N156" i="30" s="1"/>
  <c r="AY158" i="30"/>
  <c r="AZ165" i="30" s="1"/>
  <c r="AV158" i="30"/>
  <c r="AV157" i="30"/>
  <c r="AS157" i="30" s="1"/>
  <c r="AV156" i="30"/>
  <c r="AS156" i="30" s="1"/>
  <c r="S156" i="30" s="1"/>
  <c r="AI156" i="30" s="1"/>
  <c r="AK156" i="30" s="1"/>
  <c r="AV155" i="30"/>
  <c r="AS155" i="30" s="1"/>
  <c r="B154" i="30"/>
  <c r="B256" i="30" s="1"/>
  <c r="AZ152" i="30"/>
  <c r="AZ151" i="30"/>
  <c r="AZ150" i="30"/>
  <c r="AZ149" i="30"/>
  <c r="AZ148" i="30"/>
  <c r="AD150" i="30"/>
  <c r="AD149" i="30"/>
  <c r="AD148" i="30"/>
  <c r="AB150" i="30"/>
  <c r="AB149" i="30"/>
  <c r="N149" i="30"/>
  <c r="L150" i="30"/>
  <c r="N150" i="30" s="1"/>
  <c r="L149" i="30"/>
  <c r="AY151" i="30"/>
  <c r="AV151" i="30"/>
  <c r="AV150" i="30"/>
  <c r="AS150" i="30" s="1"/>
  <c r="S150" i="30" s="1"/>
  <c r="AV149" i="30"/>
  <c r="AS149" i="30" s="1"/>
  <c r="S149" i="30" s="1"/>
  <c r="AI149" i="30" s="1"/>
  <c r="AK149" i="30" s="1"/>
  <c r="AV148" i="30"/>
  <c r="AS148" i="30" s="1"/>
  <c r="S148" i="30" s="1"/>
  <c r="B147" i="30"/>
  <c r="B249" i="30" s="1"/>
  <c r="AD143" i="30"/>
  <c r="AD142" i="30"/>
  <c r="AD141" i="30"/>
  <c r="AB143" i="30"/>
  <c r="AB142" i="30"/>
  <c r="L143" i="30"/>
  <c r="L142" i="30"/>
  <c r="N142" i="30" s="1"/>
  <c r="AY144" i="30"/>
  <c r="AV144" i="30"/>
  <c r="AS144" i="30" s="1"/>
  <c r="AV143" i="30"/>
  <c r="AS143" i="30" s="1"/>
  <c r="S143" i="30" s="1"/>
  <c r="AV142" i="30"/>
  <c r="AV141" i="30"/>
  <c r="AS141" i="30" s="1"/>
  <c r="S141" i="30" s="1"/>
  <c r="AV138" i="30"/>
  <c r="L136" i="30"/>
  <c r="N143" i="30" s="1"/>
  <c r="L135" i="30"/>
  <c r="L134" i="30"/>
  <c r="AB136" i="30"/>
  <c r="AB135" i="30"/>
  <c r="Z137" i="30"/>
  <c r="B133" i="30"/>
  <c r="B235" i="30" s="1"/>
  <c r="BH129" i="30"/>
  <c r="BG129" i="30"/>
  <c r="BF129" i="30"/>
  <c r="AS126" i="30"/>
  <c r="L127" i="30"/>
  <c r="L126" i="30"/>
  <c r="D128" i="30"/>
  <c r="D126" i="30"/>
  <c r="D125" i="30"/>
  <c r="BU128" i="30"/>
  <c r="BT128" i="30"/>
  <c r="BU127" i="30"/>
  <c r="BT127" i="30"/>
  <c r="K127" i="30"/>
  <c r="K126" i="30"/>
  <c r="BO124" i="30"/>
  <c r="BS124" i="30"/>
  <c r="BR124" i="30"/>
  <c r="BQ124" i="30"/>
  <c r="BP124" i="30"/>
  <c r="BH122" i="30"/>
  <c r="BG122" i="30"/>
  <c r="BF122" i="30"/>
  <c r="AS120" i="30"/>
  <c r="AY176" i="6" s="1"/>
  <c r="AS118" i="30"/>
  <c r="S118" i="30" s="1"/>
  <c r="AI118" i="30" s="1"/>
  <c r="BU121" i="30"/>
  <c r="BT121" i="30"/>
  <c r="BU120" i="30"/>
  <c r="BT120" i="30"/>
  <c r="AZ120" i="30"/>
  <c r="AZ119" i="30"/>
  <c r="AZ118" i="30"/>
  <c r="BO117" i="30"/>
  <c r="J120" i="30"/>
  <c r="L120" i="30" s="1"/>
  <c r="N120" i="30" s="1"/>
  <c r="J119" i="30"/>
  <c r="K119" i="30" s="1"/>
  <c r="J118" i="30"/>
  <c r="BS117" i="30"/>
  <c r="BR117" i="30"/>
  <c r="BQ117" i="30"/>
  <c r="BP117" i="30"/>
  <c r="AY115" i="30"/>
  <c r="AS114" i="30"/>
  <c r="AS113" i="30"/>
  <c r="AS112" i="30"/>
  <c r="AY168" i="6" s="1"/>
  <c r="AS111" i="30"/>
  <c r="AY167" i="6" s="1"/>
  <c r="AZ114" i="30"/>
  <c r="AZ113" i="30"/>
  <c r="AZ112" i="30"/>
  <c r="AZ111" i="30"/>
  <c r="BU114" i="30"/>
  <c r="BT114" i="30"/>
  <c r="BU113" i="30"/>
  <c r="BT113" i="30"/>
  <c r="J113" i="30"/>
  <c r="L113" i="30" s="1"/>
  <c r="K112" i="30"/>
  <c r="J112" i="30"/>
  <c r="J111" i="30"/>
  <c r="AY108" i="30"/>
  <c r="AZ108" i="30" s="1"/>
  <c r="AS107" i="30"/>
  <c r="AS106" i="30"/>
  <c r="AS104" i="30"/>
  <c r="AZ107" i="30"/>
  <c r="AZ106" i="30"/>
  <c r="AZ105" i="30"/>
  <c r="AZ104" i="30"/>
  <c r="BU107" i="30"/>
  <c r="BT107" i="30"/>
  <c r="BU106" i="30"/>
  <c r="BT106" i="30"/>
  <c r="J107" i="30"/>
  <c r="L107" i="30" s="1"/>
  <c r="J106" i="30"/>
  <c r="K106" i="30" s="1"/>
  <c r="J105" i="30"/>
  <c r="L105" i="30" s="1"/>
  <c r="N105" i="30" s="1"/>
  <c r="J104" i="30"/>
  <c r="K104" i="30" s="1"/>
  <c r="AY101" i="30"/>
  <c r="L99" i="30"/>
  <c r="L98" i="30"/>
  <c r="AZ100" i="30"/>
  <c r="AZ99" i="30"/>
  <c r="AZ98" i="30"/>
  <c r="AZ97" i="30"/>
  <c r="BU100" i="30"/>
  <c r="BT100" i="30"/>
  <c r="BU99" i="30"/>
  <c r="BT99" i="30"/>
  <c r="K99" i="30"/>
  <c r="K98" i="30"/>
  <c r="J97" i="30"/>
  <c r="AY94" i="30"/>
  <c r="AZ94" i="30" s="1"/>
  <c r="AZ93" i="30"/>
  <c r="AZ92" i="30"/>
  <c r="AZ91" i="30"/>
  <c r="AZ90" i="30"/>
  <c r="BU93" i="30"/>
  <c r="BT93" i="30"/>
  <c r="BU92" i="30"/>
  <c r="BT92" i="30"/>
  <c r="J92" i="30"/>
  <c r="L92" i="30" s="1"/>
  <c r="J91" i="30"/>
  <c r="J90" i="30"/>
  <c r="BQ87" i="30"/>
  <c r="BM87" i="30"/>
  <c r="AY87" i="30"/>
  <c r="AD83" i="30"/>
  <c r="AZ85" i="30"/>
  <c r="AZ84" i="30"/>
  <c r="AZ83" i="30"/>
  <c r="BQ85" i="30"/>
  <c r="BM85" i="30"/>
  <c r="J85" i="30"/>
  <c r="J84" i="30"/>
  <c r="L84" i="30" s="1"/>
  <c r="J83" i="30"/>
  <c r="BS82" i="30"/>
  <c r="BS89" i="30" s="1"/>
  <c r="BS96" i="30" s="1"/>
  <c r="BS103" i="30" s="1"/>
  <c r="BS110" i="30" s="1"/>
  <c r="BR82" i="30"/>
  <c r="BR89" i="30" s="1"/>
  <c r="BR96" i="30" s="1"/>
  <c r="BR103" i="30" s="1"/>
  <c r="BR110" i="30" s="1"/>
  <c r="BQ82" i="30"/>
  <c r="BQ89" i="30" s="1"/>
  <c r="BQ96" i="30" s="1"/>
  <c r="BQ103" i="30" s="1"/>
  <c r="BQ110" i="30" s="1"/>
  <c r="BP82" i="30"/>
  <c r="BP89" i="30" s="1"/>
  <c r="BP96" i="30" s="1"/>
  <c r="BP103" i="30" s="1"/>
  <c r="BP110" i="30" s="1"/>
  <c r="BO82" i="30"/>
  <c r="BO89" i="30" s="1"/>
  <c r="BO96" i="30" s="1"/>
  <c r="BO103" i="30" s="1"/>
  <c r="BO110" i="30" s="1"/>
  <c r="BS80" i="30"/>
  <c r="BS87" i="30" s="1"/>
  <c r="BR80" i="30"/>
  <c r="BR87" i="30" s="1"/>
  <c r="BR94" i="30" s="1"/>
  <c r="BQ80" i="30"/>
  <c r="BP80" i="30"/>
  <c r="BP87" i="30" s="1"/>
  <c r="BO80" i="30"/>
  <c r="BO87" i="30" s="1"/>
  <c r="BO94" i="30" s="1"/>
  <c r="BN80" i="30"/>
  <c r="BN87" i="30" s="1"/>
  <c r="BN84" i="30" s="1"/>
  <c r="BM80" i="30"/>
  <c r="BL80" i="30"/>
  <c r="BL87" i="30" s="1"/>
  <c r="AD78" i="30"/>
  <c r="AD77" i="30"/>
  <c r="AD76" i="30"/>
  <c r="AB78" i="30"/>
  <c r="AB77" i="30"/>
  <c r="L77" i="30"/>
  <c r="BN79" i="30"/>
  <c r="BM79" i="30"/>
  <c r="BH80" i="30"/>
  <c r="BH87" i="30" s="1"/>
  <c r="BG80" i="30"/>
  <c r="BG87" i="30" s="1"/>
  <c r="BG94" i="30" s="1"/>
  <c r="BG101" i="30" s="1"/>
  <c r="BG108" i="30" s="1"/>
  <c r="BG115" i="30" s="1"/>
  <c r="BF80" i="30"/>
  <c r="BF87" i="30" s="1"/>
  <c r="BF94" i="30" s="1"/>
  <c r="BF101" i="30" s="1"/>
  <c r="BF108" i="30" s="1"/>
  <c r="BF115" i="30" s="1"/>
  <c r="BF79" i="30"/>
  <c r="AY79" i="30"/>
  <c r="AZ86" i="30" s="1"/>
  <c r="BK78" i="30"/>
  <c r="BK77" i="30"/>
  <c r="BK76" i="30"/>
  <c r="AZ78" i="30"/>
  <c r="AZ77" i="30"/>
  <c r="AZ76" i="30"/>
  <c r="BG78" i="30"/>
  <c r="BG77" i="30"/>
  <c r="M77" i="30"/>
  <c r="K78" i="30"/>
  <c r="J78" i="30"/>
  <c r="L78" i="30" s="1"/>
  <c r="J77" i="30"/>
  <c r="K77" i="30" s="1"/>
  <c r="BF76" i="30"/>
  <c r="BW76" i="30" s="1"/>
  <c r="BB76" i="30" s="1"/>
  <c r="BK73" i="30"/>
  <c r="BK72" i="30"/>
  <c r="BH73" i="30"/>
  <c r="BH71" i="30" s="1"/>
  <c r="BG73" i="30"/>
  <c r="BG70" i="30" s="1"/>
  <c r="BF73" i="30"/>
  <c r="BF78" i="30" s="1"/>
  <c r="AY73" i="30"/>
  <c r="AD71" i="30"/>
  <c r="AD70" i="30"/>
  <c r="AD69" i="30"/>
  <c r="AB71" i="30"/>
  <c r="AB70" i="30"/>
  <c r="BF72" i="30"/>
  <c r="AZ72" i="30"/>
  <c r="AZ71" i="30"/>
  <c r="AZ70" i="30"/>
  <c r="AZ69" i="30"/>
  <c r="BG71" i="30"/>
  <c r="BI71" i="30" s="1"/>
  <c r="BB71" i="30" s="1"/>
  <c r="BD71" i="30" s="1"/>
  <c r="BH70" i="30"/>
  <c r="BG69" i="30"/>
  <c r="J70" i="30"/>
  <c r="M70" i="30" s="1"/>
  <c r="J69" i="30"/>
  <c r="AY66" i="30"/>
  <c r="AZ66" i="30" s="1"/>
  <c r="AD64" i="30"/>
  <c r="AD63" i="30"/>
  <c r="AD62" i="30"/>
  <c r="AB64" i="30"/>
  <c r="AB63" i="30"/>
  <c r="BH65" i="30"/>
  <c r="BI65" i="30" s="1"/>
  <c r="BB65" i="30" s="1"/>
  <c r="BD64" i="30"/>
  <c r="BD63" i="30"/>
  <c r="BD62" i="30"/>
  <c r="AZ65" i="30"/>
  <c r="AZ64" i="30"/>
  <c r="AZ63" i="30"/>
  <c r="AZ62" i="30"/>
  <c r="AV65" i="30"/>
  <c r="AV64" i="30"/>
  <c r="AV63" i="30"/>
  <c r="AV62" i="30"/>
  <c r="J64" i="30"/>
  <c r="K64" i="30" s="1"/>
  <c r="J63" i="30"/>
  <c r="L63" i="30" s="1"/>
  <c r="J62" i="30"/>
  <c r="AZ59" i="30"/>
  <c r="AZ57" i="30"/>
  <c r="AZ56" i="30"/>
  <c r="AZ55" i="30"/>
  <c r="AS58" i="30"/>
  <c r="AS57" i="30"/>
  <c r="S57" i="30" s="1"/>
  <c r="AS56" i="30"/>
  <c r="AS55" i="30"/>
  <c r="AD57" i="30"/>
  <c r="AD56" i="30"/>
  <c r="AD55" i="30"/>
  <c r="AB57" i="30"/>
  <c r="AB56" i="30"/>
  <c r="S56" i="30"/>
  <c r="S55" i="30"/>
  <c r="J57" i="30"/>
  <c r="K57" i="30" s="1"/>
  <c r="J56" i="30"/>
  <c r="L56" i="30" s="1"/>
  <c r="J55" i="30"/>
  <c r="AZ52" i="30"/>
  <c r="AZ50" i="30"/>
  <c r="AZ49" i="30"/>
  <c r="AZ48" i="30"/>
  <c r="AS51" i="30"/>
  <c r="AY107" i="6" s="1"/>
  <c r="AS50" i="30"/>
  <c r="S50" i="30" s="1"/>
  <c r="AI50" i="30" s="1"/>
  <c r="AS49" i="30"/>
  <c r="AS48" i="30"/>
  <c r="AD50" i="30"/>
  <c r="AD49" i="30"/>
  <c r="AD48" i="30"/>
  <c r="AB50" i="30"/>
  <c r="AB49" i="30"/>
  <c r="S49" i="30"/>
  <c r="S48" i="30"/>
  <c r="AY51" i="30"/>
  <c r="AZ58" i="30" s="1"/>
  <c r="J49" i="30"/>
  <c r="M49" i="30" s="1"/>
  <c r="J48" i="30"/>
  <c r="AZ45" i="30"/>
  <c r="AZ43" i="30"/>
  <c r="AZ42" i="30"/>
  <c r="AZ41" i="30"/>
  <c r="AS44" i="30"/>
  <c r="AY100" i="6" s="1"/>
  <c r="AZ100" i="6" s="1"/>
  <c r="AS43" i="30"/>
  <c r="S43" i="30" s="1"/>
  <c r="AS42" i="30"/>
  <c r="AS41" i="30"/>
  <c r="AU48" i="30" s="1"/>
  <c r="AU49" i="30" s="1"/>
  <c r="AD42" i="30"/>
  <c r="AD41" i="30"/>
  <c r="AB43" i="30"/>
  <c r="AB42" i="30"/>
  <c r="S44" i="30"/>
  <c r="S41" i="30"/>
  <c r="L43" i="30"/>
  <c r="L42" i="30"/>
  <c r="AY44" i="30"/>
  <c r="M42" i="30"/>
  <c r="AZ38" i="30"/>
  <c r="AZ36" i="30"/>
  <c r="AZ35" i="30"/>
  <c r="AZ34" i="30"/>
  <c r="AS36" i="30"/>
  <c r="AS35" i="30"/>
  <c r="AY91" i="6" s="1"/>
  <c r="AZ91" i="6" s="1"/>
  <c r="AS34" i="30"/>
  <c r="AD35" i="30"/>
  <c r="AD34" i="30"/>
  <c r="AB35" i="30"/>
  <c r="S34" i="30"/>
  <c r="L36" i="30"/>
  <c r="N43" i="30" s="1"/>
  <c r="L35" i="30"/>
  <c r="AY37" i="30"/>
  <c r="Z36" i="30"/>
  <c r="AD36" i="30" s="1"/>
  <c r="M35" i="30"/>
  <c r="AZ31" i="30"/>
  <c r="AZ29" i="30"/>
  <c r="AZ28" i="30"/>
  <c r="AZ27" i="30"/>
  <c r="AS29" i="30"/>
  <c r="AS28" i="30"/>
  <c r="S28" i="30" s="1"/>
  <c r="AS27" i="30"/>
  <c r="S27" i="30" s="1"/>
  <c r="AD29" i="30"/>
  <c r="AD28" i="30"/>
  <c r="AD27" i="30"/>
  <c r="AB29" i="30"/>
  <c r="AB28" i="30"/>
  <c r="L29" i="30"/>
  <c r="N36" i="30" s="1"/>
  <c r="L28" i="30"/>
  <c r="AY30" i="30"/>
  <c r="AZ37" i="30" s="1"/>
  <c r="AU29" i="30"/>
  <c r="AZ24" i="30"/>
  <c r="AS23" i="30"/>
  <c r="AS22" i="30"/>
  <c r="AS20" i="30"/>
  <c r="S20" i="30" s="1"/>
  <c r="AD22" i="30"/>
  <c r="AD21" i="30"/>
  <c r="AD20" i="30"/>
  <c r="AB22" i="30"/>
  <c r="AB21" i="30"/>
  <c r="S22" i="30"/>
  <c r="AI22" i="30" s="1"/>
  <c r="L22" i="30"/>
  <c r="N22" i="30" s="1"/>
  <c r="L21" i="30"/>
  <c r="AY23" i="30"/>
  <c r="S23" i="30" s="1"/>
  <c r="AI16" i="30"/>
  <c r="AI15" i="30"/>
  <c r="AI14" i="30"/>
  <c r="AI13" i="30"/>
  <c r="AB15" i="30"/>
  <c r="AB14" i="30"/>
  <c r="AB13" i="30"/>
  <c r="L15" i="30"/>
  <c r="L14" i="30"/>
  <c r="L13" i="30"/>
  <c r="BI8" i="30"/>
  <c r="A1" i="30"/>
  <c r="CZ81" i="3"/>
  <c r="DI81" i="3"/>
  <c r="DJ81" i="3" s="1"/>
  <c r="DK81" i="3" s="1"/>
  <c r="DL81" i="3" s="1"/>
  <c r="DM81" i="3" s="1"/>
  <c r="DN81" i="3" s="1"/>
  <c r="DO81" i="3" s="1"/>
  <c r="DP81" i="3" s="1"/>
  <c r="DQ81" i="3" s="1"/>
  <c r="DR81" i="3" s="1"/>
  <c r="DS81" i="3" s="1"/>
  <c r="DI80" i="3"/>
  <c r="DJ80" i="3" s="1"/>
  <c r="DK80" i="3" s="1"/>
  <c r="BC82" i="3"/>
  <c r="BB82" i="3"/>
  <c r="BA82" i="3"/>
  <c r="BA81" i="3"/>
  <c r="AX82" i="3"/>
  <c r="AW82" i="3"/>
  <c r="AV82" i="3"/>
  <c r="AY81" i="3"/>
  <c r="AX81" i="3"/>
  <c r="AW81" i="3"/>
  <c r="AV81" i="3"/>
  <c r="AY80" i="3"/>
  <c r="BA80" i="3" s="1"/>
  <c r="BA79" i="3" s="1"/>
  <c r="AX80" i="3"/>
  <c r="AW80" i="3"/>
  <c r="AV80" i="3"/>
  <c r="AY79" i="3"/>
  <c r="AX79" i="3"/>
  <c r="AW79" i="3"/>
  <c r="AV79" i="3"/>
  <c r="AS82" i="3"/>
  <c r="AR82" i="3"/>
  <c r="AQ82" i="3"/>
  <c r="AT81" i="3"/>
  <c r="AS81" i="3"/>
  <c r="AR81" i="3"/>
  <c r="AQ81" i="3"/>
  <c r="AT80" i="3"/>
  <c r="AS80" i="3"/>
  <c r="AR80" i="3"/>
  <c r="AQ80" i="3"/>
  <c r="AQ79" i="3" s="1"/>
  <c r="AT79" i="3"/>
  <c r="AS79" i="3"/>
  <c r="AR79" i="3"/>
  <c r="AN82" i="3"/>
  <c r="AM82" i="3"/>
  <c r="AL82" i="3"/>
  <c r="AO81" i="3"/>
  <c r="AN81" i="3"/>
  <c r="AM81" i="3"/>
  <c r="AL81" i="3"/>
  <c r="AO80" i="3"/>
  <c r="AO79" i="3" s="1"/>
  <c r="AN80" i="3"/>
  <c r="AM80" i="3"/>
  <c r="AL80" i="3"/>
  <c r="AN79" i="3"/>
  <c r="AM79" i="3"/>
  <c r="AL79" i="3"/>
  <c r="AI83" i="3"/>
  <c r="AH83" i="3"/>
  <c r="AG83" i="3"/>
  <c r="AI82" i="3"/>
  <c r="AH82" i="3"/>
  <c r="AG82" i="3"/>
  <c r="AJ81" i="3"/>
  <c r="AI81" i="3"/>
  <c r="AH81" i="3"/>
  <c r="AG81" i="3"/>
  <c r="AJ80" i="3"/>
  <c r="AI80" i="3"/>
  <c r="AH80" i="3"/>
  <c r="AH79" i="3" s="1"/>
  <c r="AG80" i="3"/>
  <c r="AJ79" i="3"/>
  <c r="AI79" i="3"/>
  <c r="AG79" i="3"/>
  <c r="AD83" i="3"/>
  <c r="AC83" i="3"/>
  <c r="AB83" i="3"/>
  <c r="AC82" i="3"/>
  <c r="AB82" i="3"/>
  <c r="AE81" i="3"/>
  <c r="AD81" i="3"/>
  <c r="AC81" i="3"/>
  <c r="AB81" i="3"/>
  <c r="AE80" i="3"/>
  <c r="AD80" i="3"/>
  <c r="AD79" i="3" s="1"/>
  <c r="AC80" i="3"/>
  <c r="AB80" i="3"/>
  <c r="AE79" i="3"/>
  <c r="AC79" i="3"/>
  <c r="AB79" i="3"/>
  <c r="Y83" i="3"/>
  <c r="X83" i="3"/>
  <c r="W83" i="3"/>
  <c r="Y82" i="3"/>
  <c r="X82" i="3"/>
  <c r="W82" i="3"/>
  <c r="Z81" i="3"/>
  <c r="Y81" i="3"/>
  <c r="X81" i="3"/>
  <c r="W81" i="3"/>
  <c r="Z80" i="3"/>
  <c r="Y80" i="3"/>
  <c r="X80" i="3"/>
  <c r="W80" i="3"/>
  <c r="W79" i="3" s="1"/>
  <c r="Z79" i="3"/>
  <c r="Y79" i="3"/>
  <c r="X79" i="3"/>
  <c r="T83" i="3"/>
  <c r="U82" i="3"/>
  <c r="T82" i="3"/>
  <c r="S82" i="3"/>
  <c r="R82" i="3"/>
  <c r="U81" i="3"/>
  <c r="T81" i="3"/>
  <c r="S81" i="3"/>
  <c r="R81" i="3"/>
  <c r="U80" i="3"/>
  <c r="T80" i="3"/>
  <c r="S80" i="3"/>
  <c r="S79" i="3" s="1"/>
  <c r="R80" i="3"/>
  <c r="U79" i="3"/>
  <c r="T79" i="3"/>
  <c r="R79" i="3"/>
  <c r="O83" i="3"/>
  <c r="N83" i="3"/>
  <c r="M83" i="3"/>
  <c r="O82" i="3"/>
  <c r="N82" i="3"/>
  <c r="M82" i="3"/>
  <c r="P81" i="3"/>
  <c r="O81" i="3"/>
  <c r="N81" i="3"/>
  <c r="M81" i="3"/>
  <c r="P80" i="3"/>
  <c r="O80" i="3"/>
  <c r="N80" i="3"/>
  <c r="M80" i="3"/>
  <c r="P79" i="3"/>
  <c r="O79" i="3"/>
  <c r="N79" i="3"/>
  <c r="M79" i="3"/>
  <c r="J83" i="3"/>
  <c r="I83" i="3"/>
  <c r="H83" i="3"/>
  <c r="K82" i="3"/>
  <c r="J82" i="3"/>
  <c r="I82" i="3"/>
  <c r="H82" i="3"/>
  <c r="K81" i="3"/>
  <c r="J81" i="3"/>
  <c r="I81" i="3"/>
  <c r="H81" i="3"/>
  <c r="K80" i="3"/>
  <c r="J80" i="3"/>
  <c r="I80" i="3"/>
  <c r="H80" i="3"/>
  <c r="K79" i="3"/>
  <c r="J79" i="3"/>
  <c r="I79" i="3"/>
  <c r="H79" i="3"/>
  <c r="E83" i="3"/>
  <c r="D83" i="3"/>
  <c r="C83" i="3"/>
  <c r="F82" i="3"/>
  <c r="E82" i="3"/>
  <c r="D82" i="3"/>
  <c r="C82" i="3"/>
  <c r="F81" i="3"/>
  <c r="E81" i="3"/>
  <c r="D81" i="3"/>
  <c r="C81" i="3"/>
  <c r="F80" i="3"/>
  <c r="E80" i="3"/>
  <c r="D80" i="3"/>
  <c r="C80" i="3"/>
  <c r="F79" i="3"/>
  <c r="E79" i="3"/>
  <c r="D79" i="3"/>
  <c r="C79" i="3"/>
  <c r="DH78" i="3"/>
  <c r="DG78" i="3"/>
  <c r="DF78" i="3"/>
  <c r="DE78" i="3"/>
  <c r="DD78" i="3"/>
  <c r="DC78" i="3"/>
  <c r="DB78" i="3"/>
  <c r="DA78" i="3"/>
  <c r="CZ78" i="3"/>
  <c r="CY78" i="3"/>
  <c r="CX78" i="3"/>
  <c r="CW78" i="3"/>
  <c r="CV78" i="3"/>
  <c r="CU78" i="3"/>
  <c r="CT78" i="3"/>
  <c r="BZ70" i="3"/>
  <c r="BZ68" i="3"/>
  <c r="BZ67" i="3"/>
  <c r="F70" i="3"/>
  <c r="F72" i="3" s="1"/>
  <c r="E70" i="3"/>
  <c r="D70" i="3"/>
  <c r="BF68" i="3"/>
  <c r="BF67" i="3"/>
  <c r="CH70" i="3"/>
  <c r="CG70" i="3"/>
  <c r="CF70" i="3"/>
  <c r="CE70" i="3"/>
  <c r="CG69" i="3"/>
  <c r="CF69" i="3"/>
  <c r="CE69" i="3"/>
  <c r="CG68" i="3"/>
  <c r="CF68" i="3"/>
  <c r="CE68" i="3"/>
  <c r="CH67" i="3"/>
  <c r="CG67" i="3"/>
  <c r="CF67" i="3"/>
  <c r="CE67" i="3"/>
  <c r="BX70" i="3"/>
  <c r="BW70" i="3"/>
  <c r="BX68" i="3"/>
  <c r="BW68" i="3"/>
  <c r="BX67" i="3"/>
  <c r="BW67" i="3"/>
  <c r="BA69" i="3"/>
  <c r="BD68" i="3"/>
  <c r="BC68" i="3"/>
  <c r="BB68" i="3"/>
  <c r="BA68" i="3"/>
  <c r="BD67" i="3"/>
  <c r="BC67" i="3"/>
  <c r="BB67" i="3"/>
  <c r="BA67" i="3"/>
  <c r="AR69" i="3"/>
  <c r="AR68" i="3"/>
  <c r="AQ68" i="3"/>
  <c r="AR67" i="3"/>
  <c r="AQ67" i="3"/>
  <c r="DO71" i="3"/>
  <c r="DO82" i="3" s="1"/>
  <c r="DN71" i="3"/>
  <c r="DM71" i="3"/>
  <c r="DL71" i="3"/>
  <c r="DL82" i="3" s="1"/>
  <c r="DK71" i="3"/>
  <c r="DK82" i="3" s="1"/>
  <c r="CZ71" i="3"/>
  <c r="CZ72" i="3" s="1"/>
  <c r="DS70" i="3"/>
  <c r="DG70" i="3"/>
  <c r="DF70" i="3"/>
  <c r="DE70" i="3"/>
  <c r="DD70" i="3"/>
  <c r="DC70" i="3"/>
  <c r="DB70" i="3"/>
  <c r="DA70" i="3"/>
  <c r="CZ70" i="3"/>
  <c r="DS65" i="3"/>
  <c r="DR65" i="3"/>
  <c r="DQ65" i="3"/>
  <c r="DP65" i="3"/>
  <c r="DO65" i="3"/>
  <c r="DN65" i="3"/>
  <c r="DM65" i="3"/>
  <c r="DL65" i="3"/>
  <c r="DK65" i="3"/>
  <c r="DJ65" i="3"/>
  <c r="DI65" i="3"/>
  <c r="DH65" i="3"/>
  <c r="DG65" i="3"/>
  <c r="DF65" i="3"/>
  <c r="DE65" i="3"/>
  <c r="DD65" i="3"/>
  <c r="DC65" i="3"/>
  <c r="DB65" i="3"/>
  <c r="CT72" i="3"/>
  <c r="CY71" i="3"/>
  <c r="CX71" i="3"/>
  <c r="CX81" i="3" s="1"/>
  <c r="CY70" i="3"/>
  <c r="CX70" i="3"/>
  <c r="CW70" i="3"/>
  <c r="CV70" i="3"/>
  <c r="CU70" i="3"/>
  <c r="CT70" i="3"/>
  <c r="CY69" i="3"/>
  <c r="CX69" i="3"/>
  <c r="CW69" i="3"/>
  <c r="CV69" i="3"/>
  <c r="CU69" i="3"/>
  <c r="CT69" i="3"/>
  <c r="CV68" i="3"/>
  <c r="CU68" i="3"/>
  <c r="CT68" i="3"/>
  <c r="CY65" i="3"/>
  <c r="CX65" i="3"/>
  <c r="CW65" i="3"/>
  <c r="CV65" i="3"/>
  <c r="CU65" i="3"/>
  <c r="CT65" i="3"/>
  <c r="AQ65" i="3"/>
  <c r="AE68" i="3"/>
  <c r="AD68" i="3"/>
  <c r="AC68" i="3"/>
  <c r="AE67" i="3"/>
  <c r="AD67" i="3"/>
  <c r="AC67" i="3"/>
  <c r="AB67" i="3"/>
  <c r="AE65" i="3"/>
  <c r="AD65" i="3"/>
  <c r="AC65" i="3"/>
  <c r="E65" i="3"/>
  <c r="D65" i="3"/>
  <c r="C65" i="3"/>
  <c r="CE57" i="3"/>
  <c r="BZ57" i="3"/>
  <c r="BU57" i="3"/>
  <c r="DS57" i="3"/>
  <c r="DR57" i="3"/>
  <c r="DG57" i="3"/>
  <c r="DF57" i="3"/>
  <c r="DC57" i="3"/>
  <c r="DB57" i="3"/>
  <c r="DA57" i="3"/>
  <c r="CZ57" i="3"/>
  <c r="CY57" i="3"/>
  <c r="CX57" i="3"/>
  <c r="CW57" i="3"/>
  <c r="CV57" i="3"/>
  <c r="CU57" i="3"/>
  <c r="CT57" i="3"/>
  <c r="CL57" i="3"/>
  <c r="CK57" i="3"/>
  <c r="CJ57" i="3"/>
  <c r="CH57" i="3"/>
  <c r="CG57" i="3"/>
  <c r="CF57" i="3"/>
  <c r="CC57" i="3"/>
  <c r="CB57" i="3"/>
  <c r="CA57" i="3"/>
  <c r="BX57" i="3"/>
  <c r="BW57" i="3"/>
  <c r="BV57" i="3"/>
  <c r="BS57" i="3"/>
  <c r="BR57" i="3"/>
  <c r="BQ57" i="3"/>
  <c r="BP57" i="3"/>
  <c r="BN57" i="3"/>
  <c r="BM57" i="3"/>
  <c r="BL57" i="3"/>
  <c r="BK57" i="3"/>
  <c r="BI57" i="3"/>
  <c r="BH57" i="3"/>
  <c r="BG57" i="3"/>
  <c r="BF57" i="3"/>
  <c r="BC57" i="3"/>
  <c r="BB57" i="3"/>
  <c r="BA57" i="3"/>
  <c r="AY57" i="3"/>
  <c r="AX57" i="3"/>
  <c r="AW57" i="3"/>
  <c r="AV57" i="3"/>
  <c r="AT57" i="3"/>
  <c r="AS57" i="3"/>
  <c r="AR57" i="3"/>
  <c r="AQ57" i="3"/>
  <c r="AO57" i="3"/>
  <c r="AN57" i="3"/>
  <c r="AM57" i="3"/>
  <c r="AL57" i="3"/>
  <c r="AJ57" i="3"/>
  <c r="AI57" i="3"/>
  <c r="AH57" i="3"/>
  <c r="AG57" i="3"/>
  <c r="AE57" i="3"/>
  <c r="AD57" i="3"/>
  <c r="AC57" i="3"/>
  <c r="AB57" i="3"/>
  <c r="Z57" i="3"/>
  <c r="Y57" i="3"/>
  <c r="X57" i="3"/>
  <c r="W57" i="3"/>
  <c r="U57" i="3"/>
  <c r="T57" i="3"/>
  <c r="S57" i="3"/>
  <c r="R57" i="3"/>
  <c r="P57" i="3"/>
  <c r="O57" i="3"/>
  <c r="N57" i="3"/>
  <c r="M57" i="3"/>
  <c r="P56" i="3"/>
  <c r="N56" i="3"/>
  <c r="M56" i="3"/>
  <c r="K57" i="3"/>
  <c r="J57" i="3"/>
  <c r="I57" i="3"/>
  <c r="H57" i="3"/>
  <c r="E58" i="3"/>
  <c r="C58" i="3"/>
  <c r="F57" i="3"/>
  <c r="E57" i="3"/>
  <c r="D57" i="3"/>
  <c r="C57" i="3"/>
  <c r="F56" i="3"/>
  <c r="D56" i="3"/>
  <c r="C56" i="3"/>
  <c r="DS42" i="3"/>
  <c r="DR42" i="3"/>
  <c r="DQ42" i="3"/>
  <c r="DP42" i="3"/>
  <c r="DO42" i="3"/>
  <c r="DN42" i="3"/>
  <c r="DM42" i="3"/>
  <c r="DL42" i="3"/>
  <c r="DK42" i="3"/>
  <c r="DJ42" i="3"/>
  <c r="DI42" i="3"/>
  <c r="DH42" i="3"/>
  <c r="DG42" i="3"/>
  <c r="DF42" i="3"/>
  <c r="DE42" i="3"/>
  <c r="DD42" i="3"/>
  <c r="DC42" i="3"/>
  <c r="DB42" i="3"/>
  <c r="DA42" i="3"/>
  <c r="CZ42" i="3"/>
  <c r="CY42" i="3"/>
  <c r="CX42" i="3"/>
  <c r="CW42" i="3"/>
  <c r="CV42" i="3"/>
  <c r="CU42" i="3"/>
  <c r="CT42" i="3"/>
  <c r="DC39" i="3"/>
  <c r="DB39" i="3"/>
  <c r="DA39" i="3"/>
  <c r="CZ39" i="3"/>
  <c r="CY39" i="3"/>
  <c r="CX39" i="3"/>
  <c r="DO38" i="3"/>
  <c r="DN38" i="3"/>
  <c r="DM38" i="3"/>
  <c r="DJ38" i="3"/>
  <c r="DI38" i="3"/>
  <c r="DE38" i="3"/>
  <c r="DD38" i="3"/>
  <c r="DC38" i="3"/>
  <c r="DO37" i="3"/>
  <c r="DN37" i="3"/>
  <c r="DM37" i="3"/>
  <c r="DJ37" i="3"/>
  <c r="DI37" i="3"/>
  <c r="DH37" i="3"/>
  <c r="DG37" i="3"/>
  <c r="DF37" i="3"/>
  <c r="DE37" i="3"/>
  <c r="DD37" i="3"/>
  <c r="DC37" i="3"/>
  <c r="DB37" i="3"/>
  <c r="DA37" i="3"/>
  <c r="CZ37" i="3"/>
  <c r="CY37" i="3"/>
  <c r="CX37" i="3"/>
  <c r="CW37" i="3"/>
  <c r="CV37" i="3"/>
  <c r="CM39" i="3"/>
  <c r="CL39" i="3"/>
  <c r="CK39" i="3"/>
  <c r="CJ39" i="3"/>
  <c r="CJ38" i="3" a="1"/>
  <c r="CM38" i="3" s="1"/>
  <c r="CJ37" i="3" a="1"/>
  <c r="CH39" i="3"/>
  <c r="CG39" i="3"/>
  <c r="CF39" i="3"/>
  <c r="CE39" i="3"/>
  <c r="CH38" i="3"/>
  <c r="CG38" i="3"/>
  <c r="CF38" i="3"/>
  <c r="CE38" i="3"/>
  <c r="CH37" i="3"/>
  <c r="CG37" i="3"/>
  <c r="CF37" i="3"/>
  <c r="CE37" i="3"/>
  <c r="CC39" i="3"/>
  <c r="CB39" i="3"/>
  <c r="CA39" i="3"/>
  <c r="BZ39" i="3"/>
  <c r="CC38" i="3"/>
  <c r="CB38" i="3"/>
  <c r="CA38" i="3"/>
  <c r="BZ38" i="3"/>
  <c r="CC37" i="3"/>
  <c r="CB37" i="3"/>
  <c r="CA37" i="3"/>
  <c r="BZ37" i="3"/>
  <c r="BX39" i="3"/>
  <c r="BW39" i="3"/>
  <c r="BV39" i="3"/>
  <c r="BU39" i="3"/>
  <c r="BX38" i="3"/>
  <c r="BW38" i="3"/>
  <c r="BV38" i="3"/>
  <c r="BU38" i="3"/>
  <c r="BX37" i="3"/>
  <c r="BW37" i="3"/>
  <c r="BV37" i="3"/>
  <c r="BU37" i="3"/>
  <c r="BS39" i="3"/>
  <c r="BR39" i="3"/>
  <c r="BQ39" i="3"/>
  <c r="BP39" i="3"/>
  <c r="BS38" i="3"/>
  <c r="BR38" i="3"/>
  <c r="BQ38" i="3"/>
  <c r="BP38" i="3"/>
  <c r="BS37" i="3"/>
  <c r="BR37" i="3"/>
  <c r="BQ37" i="3"/>
  <c r="BP37" i="3"/>
  <c r="BN39" i="3"/>
  <c r="BM39" i="3"/>
  <c r="BL39" i="3"/>
  <c r="BK39" i="3"/>
  <c r="BN38" i="3"/>
  <c r="BM38" i="3"/>
  <c r="BL38" i="3"/>
  <c r="BK38" i="3"/>
  <c r="BN37" i="3"/>
  <c r="BM37" i="3"/>
  <c r="BL37" i="3"/>
  <c r="BK37" i="3"/>
  <c r="BI39" i="3"/>
  <c r="BH39" i="3"/>
  <c r="BG39" i="3"/>
  <c r="BF39" i="3"/>
  <c r="BI38" i="3"/>
  <c r="BH38" i="3"/>
  <c r="BG38" i="3"/>
  <c r="BF38" i="3"/>
  <c r="BI37" i="3"/>
  <c r="BH37" i="3"/>
  <c r="BG37" i="3"/>
  <c r="BF37" i="3"/>
  <c r="BD39" i="3"/>
  <c r="BC39" i="3"/>
  <c r="BB39" i="3"/>
  <c r="BA39" i="3"/>
  <c r="BD38" i="3"/>
  <c r="BC38" i="3"/>
  <c r="BB38" i="3"/>
  <c r="BA38" i="3"/>
  <c r="BD37" i="3"/>
  <c r="BC37" i="3"/>
  <c r="BB37" i="3"/>
  <c r="BA37" i="3"/>
  <c r="AY39" i="3"/>
  <c r="AX39" i="3"/>
  <c r="AW39" i="3"/>
  <c r="AV39" i="3"/>
  <c r="AY38" i="3"/>
  <c r="AX38" i="3"/>
  <c r="AW38" i="3"/>
  <c r="AV38" i="3"/>
  <c r="AY37" i="3"/>
  <c r="AX37" i="3"/>
  <c r="AW37" i="3"/>
  <c r="AV37" i="3"/>
  <c r="AT39" i="3"/>
  <c r="AS39" i="3"/>
  <c r="AR39" i="3"/>
  <c r="AQ39" i="3"/>
  <c r="AT38" i="3"/>
  <c r="AS38" i="3"/>
  <c r="AR38" i="3"/>
  <c r="AQ38" i="3"/>
  <c r="AT37" i="3"/>
  <c r="AS37" i="3"/>
  <c r="AR37" i="3"/>
  <c r="AQ37" i="3"/>
  <c r="AO39" i="3"/>
  <c r="AN39" i="3"/>
  <c r="AM39" i="3"/>
  <c r="AL39" i="3"/>
  <c r="AO38" i="3"/>
  <c r="AN38" i="3"/>
  <c r="AM38" i="3"/>
  <c r="AL38" i="3"/>
  <c r="AO37" i="3"/>
  <c r="AN37" i="3"/>
  <c r="AM37" i="3"/>
  <c r="AL37" i="3"/>
  <c r="AJ39" i="3"/>
  <c r="AI39" i="3"/>
  <c r="AH39" i="3"/>
  <c r="AG39" i="3"/>
  <c r="AJ38" i="3"/>
  <c r="AI38" i="3"/>
  <c r="AH38" i="3"/>
  <c r="AG38" i="3"/>
  <c r="AJ37" i="3"/>
  <c r="AI37" i="3"/>
  <c r="AH37" i="3"/>
  <c r="AG37" i="3"/>
  <c r="AE39" i="3"/>
  <c r="AD39" i="3"/>
  <c r="AC39" i="3"/>
  <c r="AB39" i="3"/>
  <c r="AE38" i="3"/>
  <c r="AD38" i="3"/>
  <c r="AC38" i="3"/>
  <c r="AB38" i="3"/>
  <c r="AE37" i="3"/>
  <c r="AD37" i="3"/>
  <c r="AC37" i="3"/>
  <c r="AB37" i="3"/>
  <c r="Z39" i="3"/>
  <c r="Y39" i="3"/>
  <c r="X39" i="3"/>
  <c r="W39" i="3"/>
  <c r="Z38" i="3"/>
  <c r="Y38" i="3"/>
  <c r="X38" i="3"/>
  <c r="W38" i="3"/>
  <c r="Z37" i="3"/>
  <c r="Y37" i="3"/>
  <c r="X37" i="3"/>
  <c r="W37" i="3"/>
  <c r="U39" i="3"/>
  <c r="T39" i="3"/>
  <c r="S39" i="3"/>
  <c r="R39" i="3"/>
  <c r="U38" i="3"/>
  <c r="T38" i="3"/>
  <c r="S38" i="3"/>
  <c r="R38" i="3"/>
  <c r="U37" i="3"/>
  <c r="T37" i="3"/>
  <c r="S37" i="3"/>
  <c r="R37" i="3"/>
  <c r="P39" i="3"/>
  <c r="O39" i="3"/>
  <c r="N39" i="3"/>
  <c r="M39" i="3"/>
  <c r="P38" i="3"/>
  <c r="O38" i="3"/>
  <c r="N38" i="3"/>
  <c r="M38" i="3"/>
  <c r="P37" i="3"/>
  <c r="O37" i="3"/>
  <c r="N37" i="3"/>
  <c r="M37" i="3"/>
  <c r="K39" i="3"/>
  <c r="J39" i="3"/>
  <c r="I39" i="3"/>
  <c r="H39" i="3"/>
  <c r="K38" i="3"/>
  <c r="J38" i="3"/>
  <c r="I38" i="3"/>
  <c r="H38" i="3"/>
  <c r="K37" i="3"/>
  <c r="J37" i="3"/>
  <c r="I37" i="3"/>
  <c r="H37" i="3"/>
  <c r="F39" i="3"/>
  <c r="E39" i="3"/>
  <c r="D39" i="3"/>
  <c r="C39" i="3"/>
  <c r="F38" i="3"/>
  <c r="E38" i="3"/>
  <c r="D38" i="3"/>
  <c r="C38" i="3"/>
  <c r="F37" i="3"/>
  <c r="E37" i="3"/>
  <c r="D37" i="3"/>
  <c r="C37" i="3"/>
  <c r="DS34" i="3"/>
  <c r="DR34" i="3"/>
  <c r="DQ34" i="3"/>
  <c r="DP34" i="3"/>
  <c r="DO34" i="3"/>
  <c r="DN34" i="3"/>
  <c r="DM34" i="3"/>
  <c r="DL34" i="3"/>
  <c r="DK34" i="3"/>
  <c r="DJ34" i="3"/>
  <c r="DI34" i="3"/>
  <c r="DH34" i="3"/>
  <c r="DG34" i="3"/>
  <c r="DF34" i="3"/>
  <c r="DE34" i="3"/>
  <c r="DD34" i="3"/>
  <c r="DC34" i="3"/>
  <c r="DB34" i="3"/>
  <c r="DA34" i="3"/>
  <c r="CZ34" i="3"/>
  <c r="BD34" i="3"/>
  <c r="BC34" i="3"/>
  <c r="BB34" i="3"/>
  <c r="BA34" i="3"/>
  <c r="AO34" i="3"/>
  <c r="AN34" i="3"/>
  <c r="AM34" i="3"/>
  <c r="AL34" i="3"/>
  <c r="AJ34" i="3"/>
  <c r="AI34" i="3"/>
  <c r="AH34" i="3"/>
  <c r="AG34" i="3"/>
  <c r="AE34" i="3"/>
  <c r="AD34" i="3"/>
  <c r="AC34" i="3"/>
  <c r="AB34" i="3"/>
  <c r="Z34" i="3"/>
  <c r="Y34" i="3"/>
  <c r="X34" i="3"/>
  <c r="W34" i="3"/>
  <c r="U34" i="3"/>
  <c r="T34" i="3"/>
  <c r="S34" i="3"/>
  <c r="R34" i="3"/>
  <c r="CO30" i="3" a="1"/>
  <c r="CR30" i="3" s="1"/>
  <c r="CJ30" i="3" a="1"/>
  <c r="CM30" i="3" s="1"/>
  <c r="CH30" i="3"/>
  <c r="CG30" i="3"/>
  <c r="CF30" i="3"/>
  <c r="CE30" i="3"/>
  <c r="CD30" i="3"/>
  <c r="CC30" i="3"/>
  <c r="CB30" i="3"/>
  <c r="CA30" i="3"/>
  <c r="BZ30" i="3"/>
  <c r="DI26" i="3"/>
  <c r="DF26" i="3"/>
  <c r="DE26" i="3"/>
  <c r="DD26" i="3"/>
  <c r="CH26" i="3"/>
  <c r="CG26" i="3"/>
  <c r="CF26" i="3"/>
  <c r="CE26" i="3"/>
  <c r="CC26" i="3"/>
  <c r="CB26" i="3"/>
  <c r="CA26" i="3"/>
  <c r="BZ26" i="3"/>
  <c r="BX26" i="3"/>
  <c r="BW26" i="3"/>
  <c r="BV26" i="3"/>
  <c r="BU26" i="3"/>
  <c r="BS26" i="3"/>
  <c r="BR26" i="3"/>
  <c r="BQ26" i="3"/>
  <c r="BP26" i="3"/>
  <c r="BN26" i="3"/>
  <c r="BM26" i="3"/>
  <c r="BL26" i="3"/>
  <c r="BK26" i="3"/>
  <c r="BI26" i="3"/>
  <c r="BH26" i="3"/>
  <c r="BG26" i="3"/>
  <c r="BF26" i="3"/>
  <c r="BD26" i="3"/>
  <c r="BC26" i="3"/>
  <c r="BB26" i="3"/>
  <c r="BA26" i="3"/>
  <c r="AY26" i="3"/>
  <c r="AX26" i="3"/>
  <c r="AW26" i="3"/>
  <c r="AV26" i="3"/>
  <c r="AT26" i="3"/>
  <c r="AS26" i="3"/>
  <c r="AR26" i="3"/>
  <c r="AQ26" i="3"/>
  <c r="AO26" i="3"/>
  <c r="AN26" i="3"/>
  <c r="AM26" i="3"/>
  <c r="AL26" i="3"/>
  <c r="AJ26" i="3"/>
  <c r="AI26" i="3"/>
  <c r="AH26" i="3"/>
  <c r="AG26" i="3"/>
  <c r="AE26" i="3"/>
  <c r="AD26" i="3"/>
  <c r="AC26" i="3"/>
  <c r="AB26" i="3"/>
  <c r="Z26" i="3"/>
  <c r="Y26" i="3"/>
  <c r="X26" i="3"/>
  <c r="W26" i="3"/>
  <c r="U26" i="3"/>
  <c r="T26" i="3"/>
  <c r="S26" i="3"/>
  <c r="R26" i="3"/>
  <c r="P26" i="3"/>
  <c r="O26" i="3"/>
  <c r="N26" i="3"/>
  <c r="M26" i="3"/>
  <c r="K26" i="3"/>
  <c r="J26" i="3"/>
  <c r="I26" i="3"/>
  <c r="H26" i="3"/>
  <c r="F26" i="3"/>
  <c r="E26" i="3"/>
  <c r="D26" i="3"/>
  <c r="C26" i="3"/>
  <c r="DF23" i="3"/>
  <c r="DE23" i="3"/>
  <c r="DD23" i="3"/>
  <c r="DF22" i="3"/>
  <c r="DE22" i="3"/>
  <c r="DD22" i="3"/>
  <c r="CO23" i="3" a="1"/>
  <c r="CR23" i="3" s="1"/>
  <c r="CJ23" i="3" a="1"/>
  <c r="CL23" i="3" s="1"/>
  <c r="CJ22" i="3" a="1"/>
  <c r="CM22" i="3" s="1"/>
  <c r="CH23" i="3"/>
  <c r="CG23" i="3"/>
  <c r="CF23" i="3"/>
  <c r="CE23" i="3"/>
  <c r="CH22" i="3"/>
  <c r="CG22" i="3"/>
  <c r="CF22" i="3"/>
  <c r="CE22" i="3"/>
  <c r="CC23" i="3"/>
  <c r="CB23" i="3"/>
  <c r="CA23" i="3"/>
  <c r="BZ23" i="3"/>
  <c r="CC22" i="3"/>
  <c r="CB22" i="3"/>
  <c r="CA22" i="3"/>
  <c r="BZ22" i="3"/>
  <c r="BX23" i="3"/>
  <c r="BW23" i="3"/>
  <c r="BV23" i="3"/>
  <c r="BU23" i="3"/>
  <c r="BX22" i="3"/>
  <c r="BW22" i="3"/>
  <c r="BV22" i="3"/>
  <c r="BU22" i="3"/>
  <c r="BS23" i="3"/>
  <c r="BR23" i="3"/>
  <c r="BQ23" i="3"/>
  <c r="BP23" i="3"/>
  <c r="BS22" i="3"/>
  <c r="BR22" i="3"/>
  <c r="BQ22" i="3"/>
  <c r="BP22" i="3"/>
  <c r="BN23" i="3"/>
  <c r="BM23" i="3"/>
  <c r="BL23" i="3"/>
  <c r="BK23" i="3"/>
  <c r="BN22" i="3"/>
  <c r="BM22" i="3"/>
  <c r="BL22" i="3"/>
  <c r="BK22" i="3"/>
  <c r="BI23" i="3"/>
  <c r="BG23" i="3"/>
  <c r="BF23" i="3"/>
  <c r="BI22" i="3"/>
  <c r="BH22" i="3"/>
  <c r="BG22" i="3"/>
  <c r="BF22" i="3"/>
  <c r="BD23" i="3"/>
  <c r="BC23" i="3"/>
  <c r="BB23" i="3"/>
  <c r="BA23" i="3"/>
  <c r="BD22" i="3"/>
  <c r="BC22" i="3"/>
  <c r="BB22" i="3"/>
  <c r="BA22" i="3"/>
  <c r="AY23" i="3"/>
  <c r="AX23" i="3"/>
  <c r="AW23" i="3"/>
  <c r="AV23" i="3"/>
  <c r="AY22" i="3"/>
  <c r="AX22" i="3"/>
  <c r="AW22" i="3"/>
  <c r="AV22" i="3"/>
  <c r="AT23" i="3"/>
  <c r="AS23" i="3"/>
  <c r="AR23" i="3"/>
  <c r="AQ23" i="3"/>
  <c r="AT22" i="3"/>
  <c r="AS22" i="3"/>
  <c r="AR22" i="3"/>
  <c r="AQ22" i="3"/>
  <c r="AO23" i="3"/>
  <c r="AN23" i="3"/>
  <c r="AM23" i="3"/>
  <c r="AL23" i="3"/>
  <c r="AO22" i="3"/>
  <c r="AN22" i="3"/>
  <c r="AM22" i="3"/>
  <c r="AL22" i="3"/>
  <c r="AJ23" i="3"/>
  <c r="AI23" i="3"/>
  <c r="AH23" i="3"/>
  <c r="AG23" i="3"/>
  <c r="AJ22" i="3"/>
  <c r="AI22" i="3"/>
  <c r="AH22" i="3"/>
  <c r="AG22" i="3"/>
  <c r="AE22" i="3"/>
  <c r="AD22" i="3"/>
  <c r="AC22" i="3"/>
  <c r="AB22" i="3"/>
  <c r="Z22" i="3"/>
  <c r="Y22" i="3"/>
  <c r="X22" i="3"/>
  <c r="W22" i="3"/>
  <c r="U22" i="3"/>
  <c r="T22" i="3"/>
  <c r="S22" i="3"/>
  <c r="R22" i="3"/>
  <c r="P22" i="3"/>
  <c r="O22" i="3"/>
  <c r="N22" i="3"/>
  <c r="M22" i="3"/>
  <c r="K22" i="3"/>
  <c r="J22" i="3"/>
  <c r="I22" i="3"/>
  <c r="H22" i="3"/>
  <c r="F22" i="3"/>
  <c r="E22" i="3"/>
  <c r="D22" i="3"/>
  <c r="C22" i="3"/>
  <c r="DK17" i="3"/>
  <c r="DJ17" i="3"/>
  <c r="DI17" i="3"/>
  <c r="DH17" i="3"/>
  <c r="DG17" i="3"/>
  <c r="DF17" i="3"/>
  <c r="DE17" i="3"/>
  <c r="DD17" i="3"/>
  <c r="DC17" i="3"/>
  <c r="DB17" i="3"/>
  <c r="CZ17" i="3"/>
  <c r="CY17" i="3"/>
  <c r="CX17" i="3"/>
  <c r="CW17" i="3"/>
  <c r="CV17" i="3"/>
  <c r="CU17" i="3"/>
  <c r="CO17" i="3" a="1"/>
  <c r="CR17" i="3" s="1"/>
  <c r="CJ17" i="3" a="1"/>
  <c r="CM17" i="3" s="1"/>
  <c r="CF17" i="3"/>
  <c r="CE17" i="3"/>
  <c r="CA17" i="3"/>
  <c r="BZ17" i="3"/>
  <c r="BV17" i="3"/>
  <c r="BU17" i="3"/>
  <c r="BQ17" i="3"/>
  <c r="BP17" i="3"/>
  <c r="BL17" i="3"/>
  <c r="BK17" i="3"/>
  <c r="BG17" i="3"/>
  <c r="BF17" i="3"/>
  <c r="BB17" i="3"/>
  <c r="BA17" i="3"/>
  <c r="AW17" i="3"/>
  <c r="AV17" i="3"/>
  <c r="P17" i="3"/>
  <c r="O17" i="3"/>
  <c r="N17" i="3"/>
  <c r="M17" i="3"/>
  <c r="K17" i="3"/>
  <c r="J17" i="3"/>
  <c r="I17" i="3"/>
  <c r="H17" i="3"/>
  <c r="F17" i="3"/>
  <c r="E17" i="3"/>
  <c r="D17" i="3"/>
  <c r="C17" i="3"/>
  <c r="DG16" i="3"/>
  <c r="DF16" i="3"/>
  <c r="DE16" i="3"/>
  <c r="DD16" i="3"/>
  <c r="DC16" i="3"/>
  <c r="X17" i="3"/>
  <c r="W17" i="3"/>
  <c r="S17" i="3"/>
  <c r="R17" i="3"/>
  <c r="DF15" i="3"/>
  <c r="DE15" i="3"/>
  <c r="DD15" i="3"/>
  <c r="DH14" i="3"/>
  <c r="DF14" i="3"/>
  <c r="DE14" i="3"/>
  <c r="DD14" i="3"/>
  <c r="DF13" i="3"/>
  <c r="DD13" i="3"/>
  <c r="DE12" i="3"/>
  <c r="CH15" i="3"/>
  <c r="CG15" i="3"/>
  <c r="CF15" i="3"/>
  <c r="CE15" i="3"/>
  <c r="CH14" i="3"/>
  <c r="CG14" i="3"/>
  <c r="CF14" i="3"/>
  <c r="CE14" i="3"/>
  <c r="CH13" i="3"/>
  <c r="CF13" i="3"/>
  <c r="CE13" i="3"/>
  <c r="CC15" i="3"/>
  <c r="CB15" i="3"/>
  <c r="CA15" i="3"/>
  <c r="BZ15" i="3"/>
  <c r="CC14" i="3"/>
  <c r="CB14" i="3"/>
  <c r="CA14" i="3"/>
  <c r="BZ14" i="3"/>
  <c r="CC13" i="3"/>
  <c r="CA13" i="3"/>
  <c r="BX15" i="3"/>
  <c r="BW15" i="3"/>
  <c r="BV15" i="3"/>
  <c r="BU15" i="3"/>
  <c r="BX14" i="3"/>
  <c r="BW14" i="3"/>
  <c r="BV14" i="3"/>
  <c r="BU14" i="3"/>
  <c r="BW13" i="3"/>
  <c r="BU13" i="3"/>
  <c r="BS15" i="3"/>
  <c r="BR15" i="3"/>
  <c r="BQ15" i="3"/>
  <c r="BP15" i="3"/>
  <c r="BR14" i="3"/>
  <c r="BQ14" i="3"/>
  <c r="BP14" i="3"/>
  <c r="BR13" i="3"/>
  <c r="BQ13" i="3"/>
  <c r="BN15" i="3"/>
  <c r="BM15" i="3"/>
  <c r="BL15" i="3"/>
  <c r="BK15" i="3"/>
  <c r="BN14" i="3"/>
  <c r="BM14" i="3"/>
  <c r="BL14" i="3"/>
  <c r="BK14" i="3"/>
  <c r="BM13" i="3"/>
  <c r="BL13" i="3"/>
  <c r="BK13" i="3"/>
  <c r="BI15" i="3"/>
  <c r="BH15" i="3"/>
  <c r="BG15" i="3"/>
  <c r="BF15" i="3"/>
  <c r="BI14" i="3"/>
  <c r="BH14" i="3"/>
  <c r="BG14" i="3"/>
  <c r="BF14" i="3"/>
  <c r="BI13" i="3"/>
  <c r="BH13" i="3"/>
  <c r="BG13" i="3"/>
  <c r="BF13" i="3"/>
  <c r="BC13" i="3"/>
  <c r="BA13" i="3"/>
  <c r="AY13" i="3"/>
  <c r="AX13" i="3"/>
  <c r="AW13" i="3"/>
  <c r="AV13" i="3"/>
  <c r="AS13" i="3"/>
  <c r="AR13" i="3"/>
  <c r="AQ13" i="3"/>
  <c r="AM17" i="3"/>
  <c r="AL17" i="3"/>
  <c r="AO16" i="3"/>
  <c r="AN16" i="3"/>
  <c r="AM16" i="3"/>
  <c r="AL16" i="3"/>
  <c r="AO15" i="3"/>
  <c r="AN15" i="3"/>
  <c r="AM15" i="3"/>
  <c r="AL15" i="3"/>
  <c r="AO14" i="3"/>
  <c r="AN14" i="3"/>
  <c r="AM14" i="3"/>
  <c r="AL14" i="3"/>
  <c r="AO13" i="3"/>
  <c r="AN13" i="3"/>
  <c r="AM13" i="3"/>
  <c r="AL13" i="3"/>
  <c r="AH17" i="3"/>
  <c r="AG17" i="3"/>
  <c r="AJ16" i="3"/>
  <c r="AI16" i="3"/>
  <c r="AH16" i="3"/>
  <c r="AG16" i="3"/>
  <c r="AJ15" i="3"/>
  <c r="AI15" i="3"/>
  <c r="AH15" i="3"/>
  <c r="AG15" i="3"/>
  <c r="AJ14" i="3"/>
  <c r="AI14" i="3"/>
  <c r="AH14" i="3"/>
  <c r="AG14" i="3"/>
  <c r="AI13" i="3"/>
  <c r="AH13" i="3"/>
  <c r="AG13" i="3"/>
  <c r="AC17" i="3"/>
  <c r="AB17" i="3"/>
  <c r="AE15" i="3"/>
  <c r="AD15" i="3"/>
  <c r="AC15" i="3"/>
  <c r="AB15" i="3"/>
  <c r="AE14" i="3"/>
  <c r="AD14" i="3"/>
  <c r="AC14" i="3"/>
  <c r="AB14" i="3"/>
  <c r="AE13" i="3"/>
  <c r="AC13" i="3"/>
  <c r="AB13" i="3"/>
  <c r="Z13" i="3"/>
  <c r="U13" i="3"/>
  <c r="T13" i="3"/>
  <c r="O13" i="3"/>
  <c r="M13" i="3"/>
  <c r="K13" i="3"/>
  <c r="J13" i="3"/>
  <c r="I13" i="3"/>
  <c r="H13" i="3"/>
  <c r="F13" i="3"/>
  <c r="E13" i="3"/>
  <c r="D13" i="3"/>
  <c r="C13" i="3"/>
  <c r="DI10" i="3"/>
  <c r="DG10" i="3"/>
  <c r="DF10" i="3"/>
  <c r="DE10" i="3"/>
  <c r="DD10" i="3"/>
  <c r="CH10" i="3"/>
  <c r="CG10" i="3"/>
  <c r="CF10" i="3"/>
  <c r="CE10" i="3"/>
  <c r="CC10" i="3"/>
  <c r="CB10" i="3"/>
  <c r="CA10" i="3"/>
  <c r="BZ10" i="3"/>
  <c r="BX10" i="3"/>
  <c r="BW10" i="3"/>
  <c r="BV10" i="3"/>
  <c r="BU10" i="3"/>
  <c r="BS10" i="3"/>
  <c r="BR10" i="3"/>
  <c r="BQ10" i="3"/>
  <c r="BP10" i="3"/>
  <c r="BN10" i="3"/>
  <c r="BM10" i="3"/>
  <c r="BL10" i="3"/>
  <c r="BK10" i="3"/>
  <c r="BI10" i="3"/>
  <c r="BH10" i="3"/>
  <c r="BG10" i="3"/>
  <c r="BF10" i="3"/>
  <c r="BD10" i="3"/>
  <c r="BC10" i="3"/>
  <c r="BB10" i="3"/>
  <c r="BA10" i="3"/>
  <c r="AY10" i="3"/>
  <c r="AX10" i="3"/>
  <c r="AW10" i="3"/>
  <c r="AV10" i="3"/>
  <c r="AT10" i="3"/>
  <c r="AS10" i="3"/>
  <c r="AR10" i="3"/>
  <c r="AQ10" i="3"/>
  <c r="AO10" i="3"/>
  <c r="AN10" i="3"/>
  <c r="AM10" i="3"/>
  <c r="AL10" i="3"/>
  <c r="AJ10" i="3"/>
  <c r="AI10" i="3"/>
  <c r="AH10" i="3"/>
  <c r="AG10" i="3"/>
  <c r="AE10" i="3"/>
  <c r="AD10" i="3"/>
  <c r="AC10" i="3"/>
  <c r="AB10" i="3"/>
  <c r="Z10" i="3"/>
  <c r="Y10" i="3"/>
  <c r="X10" i="3"/>
  <c r="W10" i="3"/>
  <c r="U10" i="3"/>
  <c r="T10" i="3"/>
  <c r="S10" i="3"/>
  <c r="R10" i="3"/>
  <c r="P10" i="3"/>
  <c r="O10" i="3"/>
  <c r="N10" i="3"/>
  <c r="M10" i="3"/>
  <c r="K10" i="3"/>
  <c r="J10" i="3"/>
  <c r="I10" i="3"/>
  <c r="H10" i="3"/>
  <c r="F10" i="3"/>
  <c r="E10" i="3"/>
  <c r="D10" i="3"/>
  <c r="C10" i="3"/>
  <c r="DF8" i="3"/>
  <c r="DF56" i="3" s="1"/>
  <c r="DE8" i="3"/>
  <c r="DD8" i="3"/>
  <c r="CH8" i="3"/>
  <c r="CG8" i="3"/>
  <c r="CF8" i="3"/>
  <c r="CE8" i="3"/>
  <c r="CC8" i="3"/>
  <c r="CB8" i="3"/>
  <c r="CA8" i="3"/>
  <c r="BZ8" i="3"/>
  <c r="BX8" i="3"/>
  <c r="BW8" i="3"/>
  <c r="BV8" i="3"/>
  <c r="BU8" i="3"/>
  <c r="BS8" i="3"/>
  <c r="BR8" i="3"/>
  <c r="BQ8" i="3"/>
  <c r="BP8" i="3"/>
  <c r="BN8" i="3"/>
  <c r="BM8" i="3"/>
  <c r="BL8" i="3"/>
  <c r="BK8" i="3"/>
  <c r="BI8" i="3"/>
  <c r="BH8" i="3"/>
  <c r="BG8" i="3"/>
  <c r="BF8" i="3"/>
  <c r="BD8" i="3"/>
  <c r="BC8" i="3"/>
  <c r="BB8" i="3"/>
  <c r="BA8" i="3"/>
  <c r="AY8" i="3"/>
  <c r="AX8" i="3"/>
  <c r="AW8" i="3"/>
  <c r="AV8" i="3"/>
  <c r="AT8" i="3"/>
  <c r="AS8" i="3"/>
  <c r="AR8" i="3"/>
  <c r="AQ8" i="3"/>
  <c r="AO8" i="3"/>
  <c r="AN8" i="3"/>
  <c r="AM8" i="3"/>
  <c r="AL8" i="3"/>
  <c r="AJ8" i="3"/>
  <c r="AI8" i="3"/>
  <c r="AH8" i="3"/>
  <c r="AG8" i="3"/>
  <c r="AE8" i="3"/>
  <c r="AD8" i="3"/>
  <c r="AC8" i="3"/>
  <c r="AB8" i="3"/>
  <c r="Z8" i="3"/>
  <c r="Y8" i="3"/>
  <c r="X8" i="3"/>
  <c r="W8" i="3"/>
  <c r="U8" i="3"/>
  <c r="T8" i="3"/>
  <c r="S8" i="3"/>
  <c r="R8" i="3"/>
  <c r="P8" i="3"/>
  <c r="O8" i="3"/>
  <c r="N8" i="3"/>
  <c r="N12" i="3" s="1"/>
  <c r="M8" i="3"/>
  <c r="K8" i="3"/>
  <c r="J8" i="3"/>
  <c r="I8" i="3"/>
  <c r="H8" i="3"/>
  <c r="F8" i="3"/>
  <c r="E8" i="3"/>
  <c r="D8" i="3"/>
  <c r="D12" i="3" s="1"/>
  <c r="C8" i="3"/>
  <c r="DA6" i="3"/>
  <c r="DB6" i="3" s="1"/>
  <c r="DC6" i="3" s="1"/>
  <c r="DD6" i="3" s="1"/>
  <c r="CY6" i="3"/>
  <c r="CZ6" i="3" s="1"/>
  <c r="CX6" i="3"/>
  <c r="K6" i="3"/>
  <c r="P6" i="3" s="1"/>
  <c r="J6" i="3"/>
  <c r="O6" i="3" s="1"/>
  <c r="I6" i="3"/>
  <c r="N6" i="3" s="1"/>
  <c r="H6" i="3"/>
  <c r="M6" i="3" s="1"/>
  <c r="DA5" i="3"/>
  <c r="CZ5" i="3"/>
  <c r="BF5" i="3"/>
  <c r="BA5" i="3"/>
  <c r="AV5" i="3"/>
  <c r="AQ5" i="3"/>
  <c r="AL5" i="3"/>
  <c r="AG5" i="3"/>
  <c r="AB5" i="3"/>
  <c r="W5" i="3"/>
  <c r="R5" i="3"/>
  <c r="H5" i="3"/>
  <c r="Q177" i="62"/>
  <c r="T175" i="62"/>
  <c r="S175" i="62"/>
  <c r="R175" i="62"/>
  <c r="Q175" i="62"/>
  <c r="P175" i="62"/>
  <c r="T129" i="62"/>
  <c r="S129" i="62"/>
  <c r="R129" i="62"/>
  <c r="Q129" i="62"/>
  <c r="P129" i="62"/>
  <c r="O129" i="62"/>
  <c r="N129" i="62"/>
  <c r="M129" i="62"/>
  <c r="L129" i="62"/>
  <c r="K129" i="62"/>
  <c r="J129" i="62"/>
  <c r="I129" i="62"/>
  <c r="H129" i="62"/>
  <c r="G129" i="62"/>
  <c r="F129" i="62"/>
  <c r="E129" i="62"/>
  <c r="D129" i="62"/>
  <c r="C129" i="62"/>
  <c r="S128" i="62"/>
  <c r="R128" i="62"/>
  <c r="Q128" i="62"/>
  <c r="P128" i="62"/>
  <c r="O128" i="62"/>
  <c r="N128" i="62"/>
  <c r="M128" i="62"/>
  <c r="L128" i="62"/>
  <c r="K128" i="62"/>
  <c r="J128" i="62"/>
  <c r="I128" i="62"/>
  <c r="H128" i="62"/>
  <c r="G128" i="62"/>
  <c r="F128" i="62"/>
  <c r="E128" i="62"/>
  <c r="D128" i="62"/>
  <c r="C128" i="62"/>
  <c r="C126" i="62"/>
  <c r="C84" i="62"/>
  <c r="M63" i="62"/>
  <c r="M105" i="62" s="1"/>
  <c r="F60" i="62"/>
  <c r="F57" i="62"/>
  <c r="F99" i="62" s="1"/>
  <c r="D56" i="62"/>
  <c r="D98" i="62" s="1"/>
  <c r="T44" i="62"/>
  <c r="T86" i="62" s="1"/>
  <c r="T128" i="62" s="1"/>
  <c r="C38" i="62"/>
  <c r="O38" i="62"/>
  <c r="O78" i="62" s="1"/>
  <c r="O175" i="62" s="1"/>
  <c r="N38" i="62"/>
  <c r="L38" i="62"/>
  <c r="G38" i="62"/>
  <c r="F38" i="62"/>
  <c r="O26" i="62"/>
  <c r="N26" i="62"/>
  <c r="M26" i="62"/>
  <c r="M152" i="62" s="1"/>
  <c r="M150" i="62" s="1"/>
  <c r="J26" i="62"/>
  <c r="I26" i="62"/>
  <c r="I150" i="62" s="1"/>
  <c r="H26" i="62"/>
  <c r="H150" i="62" s="1"/>
  <c r="G26" i="62"/>
  <c r="F26" i="62"/>
  <c r="E26" i="62"/>
  <c r="E150" i="62" s="1"/>
  <c r="D26" i="62"/>
  <c r="D150" i="62" s="1"/>
  <c r="C26" i="62"/>
  <c r="I19" i="62"/>
  <c r="F19" i="62"/>
  <c r="E19" i="62"/>
  <c r="D19" i="62"/>
  <c r="F16" i="62"/>
  <c r="F141" i="62" s="1"/>
  <c r="E16" i="62"/>
  <c r="D16" i="62"/>
  <c r="F15" i="62"/>
  <c r="E15" i="62"/>
  <c r="D15" i="62"/>
  <c r="D140" i="62" s="1"/>
  <c r="C12" i="62"/>
  <c r="F11" i="62"/>
  <c r="E11" i="62"/>
  <c r="D11" i="62"/>
  <c r="E10" i="62"/>
  <c r="I8" i="62"/>
  <c r="G8" i="62"/>
  <c r="F8" i="62"/>
  <c r="E8" i="62"/>
  <c r="D8" i="62"/>
  <c r="F6" i="62"/>
  <c r="F10" i="62" s="1"/>
  <c r="E6" i="62"/>
  <c r="D6" i="62"/>
  <c r="K228" i="30" l="1"/>
  <c r="G216" i="8"/>
  <c r="K216" i="8"/>
  <c r="M217" i="8"/>
  <c r="Y81" i="8"/>
  <c r="AC81" i="8"/>
  <c r="F210" i="8"/>
  <c r="J210" i="8"/>
  <c r="Y210" i="8"/>
  <c r="AC210" i="8"/>
  <c r="R216" i="8"/>
  <c r="CJ54" i="11"/>
  <c r="S234" i="8" s="1"/>
  <c r="AZ54" i="11"/>
  <c r="J234" i="8" s="1"/>
  <c r="K235" i="8" s="1"/>
  <c r="BL54" i="11"/>
  <c r="M234" i="8" s="1"/>
  <c r="M235" i="8" s="1"/>
  <c r="Y216" i="8"/>
  <c r="V10" i="73"/>
  <c r="V11" i="73"/>
  <c r="CR74" i="7"/>
  <c r="CX72" i="7"/>
  <c r="S112" i="30"/>
  <c r="AI112" i="30" s="1"/>
  <c r="E202" i="8"/>
  <c r="B42" i="6"/>
  <c r="DA10" i="7"/>
  <c r="L4" i="73"/>
  <c r="L5" i="73" s="1"/>
  <c r="CN10" i="15"/>
  <c r="CN16" i="15" s="1"/>
  <c r="CN22" i="15" s="1"/>
  <c r="CN28" i="15" s="1"/>
  <c r="CN34" i="15" s="1"/>
  <c r="I94" i="7"/>
  <c r="G69" i="12"/>
  <c r="C7" i="10"/>
  <c r="C206" i="8"/>
  <c r="Y94" i="7"/>
  <c r="O69" i="12"/>
  <c r="G7" i="10"/>
  <c r="G206" i="8"/>
  <c r="G204" i="8"/>
  <c r="AO94" i="7"/>
  <c r="W69" i="12"/>
  <c r="K206" i="8"/>
  <c r="K7" i="10"/>
  <c r="BI34" i="7"/>
  <c r="S7" i="10"/>
  <c r="AG69" i="12" s="1"/>
  <c r="AG74" i="12" s="1"/>
  <c r="BU94" i="7"/>
  <c r="D134" i="16"/>
  <c r="V7" i="10"/>
  <c r="D148" i="16"/>
  <c r="U206" i="8"/>
  <c r="X7" i="10"/>
  <c r="CK94" i="7"/>
  <c r="D162" i="16"/>
  <c r="L169" i="16" s="1"/>
  <c r="W206" i="8"/>
  <c r="Z7" i="10"/>
  <c r="AU69" i="12" s="1"/>
  <c r="AU75" i="12" s="1"/>
  <c r="AC95" i="7"/>
  <c r="AC75" i="7"/>
  <c r="AK15" i="7"/>
  <c r="BM95" i="7"/>
  <c r="BM45" i="7"/>
  <c r="BU15" i="7"/>
  <c r="CS15" i="7"/>
  <c r="E69" i="12"/>
  <c r="B7" i="10"/>
  <c r="B25" i="10" s="1"/>
  <c r="CP22" i="7"/>
  <c r="CZ22" i="7" s="1"/>
  <c r="CT22" i="7"/>
  <c r="F141" i="16"/>
  <c r="T137" i="16" s="1"/>
  <c r="W11" i="10"/>
  <c r="AN35" i="7"/>
  <c r="AO35" i="7" s="1"/>
  <c r="CB81" i="7"/>
  <c r="CD51" i="7"/>
  <c r="BU34" i="7"/>
  <c r="V17" i="10"/>
  <c r="V18" i="10" s="1"/>
  <c r="AW35" i="7"/>
  <c r="BE36" i="7"/>
  <c r="AP44" i="7"/>
  <c r="K19" i="10"/>
  <c r="BV45" i="7"/>
  <c r="BR45" i="7"/>
  <c r="AV83" i="7"/>
  <c r="AW53" i="7"/>
  <c r="BE50" i="7"/>
  <c r="BD80" i="7"/>
  <c r="BF50" i="7"/>
  <c r="V54" i="7"/>
  <c r="M71" i="12"/>
  <c r="M77" i="12" s="1"/>
  <c r="F14" i="10"/>
  <c r="BX65" i="7"/>
  <c r="BZ65" i="7" s="1"/>
  <c r="BY60" i="7"/>
  <c r="Y74" i="7"/>
  <c r="BZ71" i="7"/>
  <c r="CP71" i="7"/>
  <c r="CV74" i="7"/>
  <c r="CV75" i="7"/>
  <c r="T111" i="7"/>
  <c r="U111" i="7" s="1"/>
  <c r="Z81" i="7"/>
  <c r="D61" i="3" s="1"/>
  <c r="U81" i="7"/>
  <c r="AB112" i="7"/>
  <c r="AC82" i="7"/>
  <c r="CO95" i="7"/>
  <c r="I70" i="12"/>
  <c r="H34" i="6"/>
  <c r="AT70" i="6"/>
  <c r="A1" i="16"/>
  <c r="A1" i="15"/>
  <c r="A1" i="14"/>
  <c r="A1" i="13"/>
  <c r="P4" i="73"/>
  <c r="P5" i="73" s="1"/>
  <c r="CR10" i="15"/>
  <c r="CR16" i="15" s="1"/>
  <c r="CR22" i="15" s="1"/>
  <c r="CR28" i="15" s="1"/>
  <c r="CR34" i="15" s="1"/>
  <c r="BA63" i="7"/>
  <c r="D98" i="16"/>
  <c r="L105" i="16" s="1"/>
  <c r="CJ11" i="15"/>
  <c r="CJ17" i="15" s="1"/>
  <c r="CJ23" i="15" s="1"/>
  <c r="CJ29" i="15" s="1"/>
  <c r="CJ35" i="15" s="1"/>
  <c r="I5" i="73"/>
  <c r="CN11" i="15"/>
  <c r="CN17" i="15" s="1"/>
  <c r="CN23" i="15" s="1"/>
  <c r="CN29" i="15" s="1"/>
  <c r="CN35" i="15" s="1"/>
  <c r="M4" i="73"/>
  <c r="M5" i="73" s="1"/>
  <c r="M74" i="7"/>
  <c r="I69" i="12"/>
  <c r="D7" i="10"/>
  <c r="D206" i="8"/>
  <c r="D202" i="8" s="1"/>
  <c r="D22" i="10" s="1"/>
  <c r="Q69" i="12"/>
  <c r="Q75" i="12" s="1"/>
  <c r="H7" i="10"/>
  <c r="H206" i="8"/>
  <c r="H204" i="8"/>
  <c r="H205" i="8" s="1"/>
  <c r="L206" i="8"/>
  <c r="L7" i="10"/>
  <c r="BM24" i="7"/>
  <c r="T7" i="10"/>
  <c r="BQ15" i="7"/>
  <c r="BU14" i="7"/>
  <c r="CC14" i="7"/>
  <c r="X206" i="8"/>
  <c r="D169" i="16"/>
  <c r="AA7" i="10"/>
  <c r="AC15" i="7"/>
  <c r="AG15" i="7"/>
  <c r="BI15" i="7"/>
  <c r="BM15" i="7"/>
  <c r="CO15" i="7"/>
  <c r="AT22" i="7"/>
  <c r="AX22" i="7"/>
  <c r="BB22" i="7"/>
  <c r="BF22" i="7"/>
  <c r="BJ22" i="7"/>
  <c r="BN22" i="7"/>
  <c r="BR22" i="7"/>
  <c r="BV22" i="7"/>
  <c r="BZ22" i="7"/>
  <c r="CD22" i="7"/>
  <c r="CY22" i="7" s="1"/>
  <c r="CK20" i="7"/>
  <c r="AH161" i="16"/>
  <c r="AM160" i="16"/>
  <c r="T160" i="16"/>
  <c r="CN83" i="7"/>
  <c r="F168" i="16"/>
  <c r="I25" i="7"/>
  <c r="Q25" i="7"/>
  <c r="S70" i="12"/>
  <c r="I11" i="10"/>
  <c r="U70" i="12"/>
  <c r="J11" i="10"/>
  <c r="AK26" i="7"/>
  <c r="F148" i="16"/>
  <c r="X11" i="10"/>
  <c r="BA25" i="7"/>
  <c r="BQ25" i="7"/>
  <c r="CO25" i="7"/>
  <c r="AK30" i="7"/>
  <c r="AK32" i="7"/>
  <c r="AO30" i="7"/>
  <c r="AP32" i="7"/>
  <c r="AR34" i="7"/>
  <c r="AX30" i="7"/>
  <c r="BV31" i="7"/>
  <c r="CG30" i="7"/>
  <c r="CH32" i="7"/>
  <c r="CD31" i="7"/>
  <c r="CS32" i="7"/>
  <c r="BP53" i="7"/>
  <c r="BV33" i="7"/>
  <c r="BQ33" i="7"/>
  <c r="CL42" i="7"/>
  <c r="CG42" i="7"/>
  <c r="AV56" i="7"/>
  <c r="J56" i="7"/>
  <c r="K71" i="12"/>
  <c r="K77" i="12" s="1"/>
  <c r="E14" i="10"/>
  <c r="R54" i="7"/>
  <c r="BX81" i="7"/>
  <c r="BX85" i="7" s="1"/>
  <c r="BZ51" i="7"/>
  <c r="BT66" i="7"/>
  <c r="BV60" i="7"/>
  <c r="BJ71" i="7"/>
  <c r="BE71" i="7"/>
  <c r="D110" i="7"/>
  <c r="E80" i="7"/>
  <c r="H110" i="7"/>
  <c r="I80" i="7"/>
  <c r="L112" i="7"/>
  <c r="N82" i="7"/>
  <c r="M82" i="7"/>
  <c r="AK95" i="7"/>
  <c r="CR104" i="7"/>
  <c r="AB36" i="10" s="1"/>
  <c r="CS100" i="7"/>
  <c r="J27" i="10"/>
  <c r="V240" i="8"/>
  <c r="Y9" i="10" s="1"/>
  <c r="F12" i="3"/>
  <c r="C12" i="3"/>
  <c r="H12" i="3"/>
  <c r="M12" i="3"/>
  <c r="R12" i="3"/>
  <c r="W12" i="3"/>
  <c r="AB12" i="3"/>
  <c r="AL12" i="3"/>
  <c r="AQ12" i="3"/>
  <c r="AV12" i="3"/>
  <c r="BF12" i="3"/>
  <c r="BK12" i="3"/>
  <c r="BP12" i="3"/>
  <c r="CE12" i="3"/>
  <c r="B21" i="6"/>
  <c r="B56" i="6"/>
  <c r="AU70" i="6"/>
  <c r="AT77" i="6"/>
  <c r="D163" i="6"/>
  <c r="H163" i="6" s="1"/>
  <c r="L137" i="65"/>
  <c r="T136" i="65"/>
  <c r="S136" i="65" s="1"/>
  <c r="Y136" i="65"/>
  <c r="Y139" i="65" s="1"/>
  <c r="DB10" i="7"/>
  <c r="DB11" i="7"/>
  <c r="Q4" i="73"/>
  <c r="Q5" i="73" s="1"/>
  <c r="CR11" i="15"/>
  <c r="CR17" i="15" s="1"/>
  <c r="CR23" i="15" s="1"/>
  <c r="CR29" i="15" s="1"/>
  <c r="CR35" i="15" s="1"/>
  <c r="AZ14" i="7"/>
  <c r="J4" i="73"/>
  <c r="J5" i="73" s="1"/>
  <c r="CJ12" i="15"/>
  <c r="CJ18" i="15" s="1"/>
  <c r="CJ24" i="15" s="1"/>
  <c r="CJ30" i="15" s="1"/>
  <c r="CJ36" i="15" s="1"/>
  <c r="DA12" i="7"/>
  <c r="N4" i="73"/>
  <c r="N5" i="73" s="1"/>
  <c r="CN12" i="15"/>
  <c r="CN18" i="15" s="1"/>
  <c r="CN24" i="15" s="1"/>
  <c r="CN30" i="15" s="1"/>
  <c r="CN36" i="15" s="1"/>
  <c r="Q94" i="7"/>
  <c r="K69" i="12"/>
  <c r="E206" i="8"/>
  <c r="E11" i="8" s="1"/>
  <c r="E7" i="10"/>
  <c r="AG94" i="7"/>
  <c r="S69" i="12"/>
  <c r="I206" i="8"/>
  <c r="I237" i="8" s="1"/>
  <c r="M206" i="8"/>
  <c r="M202" i="8" s="1"/>
  <c r="M7" i="10"/>
  <c r="BQ24" i="7"/>
  <c r="BR24" i="7" s="1"/>
  <c r="D127" i="16"/>
  <c r="U7" i="10"/>
  <c r="BR15" i="7"/>
  <c r="T206" i="8"/>
  <c r="T202" i="8" s="1"/>
  <c r="D141" i="16"/>
  <c r="W7" i="10"/>
  <c r="D155" i="16"/>
  <c r="V206" i="8"/>
  <c r="Y7" i="10"/>
  <c r="Y8" i="10" s="1"/>
  <c r="U15" i="7"/>
  <c r="Y15" i="7"/>
  <c r="AD15" i="7"/>
  <c r="AD16" i="7" s="1"/>
  <c r="AX16" i="7"/>
  <c r="BA15" i="7"/>
  <c r="BJ15" i="7"/>
  <c r="BM96" i="7"/>
  <c r="BM36" i="7"/>
  <c r="CP15" i="7"/>
  <c r="BA23" i="7"/>
  <c r="CJ81" i="7"/>
  <c r="F159" i="16"/>
  <c r="CP20" i="7"/>
  <c r="CT20" i="7"/>
  <c r="CO23" i="7"/>
  <c r="CT23" i="7" s="1"/>
  <c r="E74" i="7"/>
  <c r="F15" i="16"/>
  <c r="E70" i="12"/>
  <c r="B11" i="10"/>
  <c r="O70" i="12"/>
  <c r="G11" i="10"/>
  <c r="H11" i="10"/>
  <c r="Q70" i="12"/>
  <c r="W70" i="12"/>
  <c r="K11" i="10"/>
  <c r="CC24" i="7"/>
  <c r="AW25" i="7"/>
  <c r="BM25" i="7"/>
  <c r="CC25" i="7"/>
  <c r="AJ35" i="7"/>
  <c r="AK35" i="7" s="1"/>
  <c r="AJ51" i="7"/>
  <c r="AT30" i="7"/>
  <c r="BQ31" i="7"/>
  <c r="CT32" i="7"/>
  <c r="BN45" i="7"/>
  <c r="AO46" i="7"/>
  <c r="AZ55" i="7"/>
  <c r="BB51" i="7"/>
  <c r="S71" i="12"/>
  <c r="S77" i="12" s="1"/>
  <c r="I14" i="10"/>
  <c r="AH54" i="7"/>
  <c r="BP65" i="7"/>
  <c r="BQ60" i="7"/>
  <c r="BD64" i="7"/>
  <c r="BE63" i="7"/>
  <c r="AP70" i="7"/>
  <c r="AO70" i="7"/>
  <c r="AF112" i="7"/>
  <c r="AG82" i="7"/>
  <c r="BL232" i="7"/>
  <c r="BL230" i="7"/>
  <c r="BL229" i="7"/>
  <c r="BL71" i="7"/>
  <c r="F70" i="10"/>
  <c r="P12" i="3"/>
  <c r="AM29" i="6"/>
  <c r="D36" i="6"/>
  <c r="H36" i="6" s="1"/>
  <c r="B49" i="6"/>
  <c r="AT63" i="6"/>
  <c r="B63" i="6"/>
  <c r="AS77" i="6"/>
  <c r="S77" i="6" s="1"/>
  <c r="AT163" i="6"/>
  <c r="Q125" i="65"/>
  <c r="AF144" i="65"/>
  <c r="AH144" i="65" s="1"/>
  <c r="AF149" i="65"/>
  <c r="AH149" i="65" s="1"/>
  <c r="DB12" i="7"/>
  <c r="R4" i="73"/>
  <c r="R5" i="73" s="1"/>
  <c r="CR12" i="15"/>
  <c r="CR18" i="15" s="1"/>
  <c r="CR24" i="15" s="1"/>
  <c r="CR30" i="15" s="1"/>
  <c r="CR36" i="15" s="1"/>
  <c r="E56" i="3"/>
  <c r="X12" i="15"/>
  <c r="X18" i="15" s="1"/>
  <c r="O56" i="3"/>
  <c r="AJ12" i="15"/>
  <c r="AJ18" i="15" s="1"/>
  <c r="AJ24" i="15" s="1"/>
  <c r="AJ30" i="15" s="1"/>
  <c r="AJ36" i="15" s="1"/>
  <c r="CJ13" i="15"/>
  <c r="CJ19" i="15" s="1"/>
  <c r="CJ25" i="15" s="1"/>
  <c r="CJ31" i="15" s="1"/>
  <c r="CJ37" i="15" s="1"/>
  <c r="K4" i="73"/>
  <c r="K5" i="73" s="1"/>
  <c r="CN13" i="15"/>
  <c r="CN19" i="15" s="1"/>
  <c r="CN25" i="15" s="1"/>
  <c r="CN31" i="15" s="1"/>
  <c r="CN37" i="15" s="1"/>
  <c r="O4" i="73"/>
  <c r="O5" i="73" s="1"/>
  <c r="M69" i="12"/>
  <c r="F204" i="8"/>
  <c r="F7" i="10"/>
  <c r="F206" i="8"/>
  <c r="U69" i="12"/>
  <c r="J7" i="10"/>
  <c r="J206" i="8"/>
  <c r="O206" i="8"/>
  <c r="Q7" i="10"/>
  <c r="AE69" i="12" s="1"/>
  <c r="AE75" i="12" s="1"/>
  <c r="BY14" i="7"/>
  <c r="CG14" i="7"/>
  <c r="CG16" i="7"/>
  <c r="V15" i="7"/>
  <c r="AS15" i="7"/>
  <c r="AW15" i="7"/>
  <c r="BB15" i="7"/>
  <c r="BU95" i="7"/>
  <c r="BU45" i="7"/>
  <c r="CC15" i="7"/>
  <c r="AT20" i="7"/>
  <c r="AX20" i="7"/>
  <c r="BB20" i="7"/>
  <c r="BF20" i="7"/>
  <c r="BJ20" i="7"/>
  <c r="BN20" i="7"/>
  <c r="BR20" i="7"/>
  <c r="BV20" i="7"/>
  <c r="BZ20" i="7"/>
  <c r="CD20" i="7"/>
  <c r="CF80" i="7"/>
  <c r="F151" i="16"/>
  <c r="AH151" i="16" s="1"/>
  <c r="F160" i="16"/>
  <c r="T159" i="16" s="1"/>
  <c r="CT21" i="7"/>
  <c r="CN24" i="7"/>
  <c r="E24" i="7"/>
  <c r="G70" i="12"/>
  <c r="C11" i="10"/>
  <c r="K70" i="12"/>
  <c r="E11" i="10"/>
  <c r="M70" i="12"/>
  <c r="F11" i="10"/>
  <c r="AS64" i="7"/>
  <c r="L11" i="10"/>
  <c r="L25" i="10" s="1"/>
  <c r="Q25" i="10"/>
  <c r="AE70" i="12"/>
  <c r="F134" i="16"/>
  <c r="V11" i="10"/>
  <c r="AS25" i="7"/>
  <c r="BI25" i="7"/>
  <c r="BY25" i="7"/>
  <c r="AX31" i="7"/>
  <c r="BJ36" i="7"/>
  <c r="CF35" i="7"/>
  <c r="BP51" i="7"/>
  <c r="BP34" i="7"/>
  <c r="CJ52" i="7"/>
  <c r="CB13" i="3" s="1"/>
  <c r="BX53" i="7"/>
  <c r="BX34" i="7"/>
  <c r="BZ33" i="7"/>
  <c r="BY33" i="7"/>
  <c r="CF44" i="7"/>
  <c r="CG40" i="7"/>
  <c r="BM46" i="7"/>
  <c r="BN46" i="7"/>
  <c r="BZ45" i="7"/>
  <c r="BY45" i="7"/>
  <c r="BE46" i="7"/>
  <c r="BP80" i="7"/>
  <c r="BQ80" i="7" s="1"/>
  <c r="BQ50" i="7"/>
  <c r="O71" i="12"/>
  <c r="O77" i="12" s="1"/>
  <c r="G14" i="10"/>
  <c r="BN62" i="7"/>
  <c r="BJ62" i="7"/>
  <c r="CB63" i="7"/>
  <c r="CC62" i="7"/>
  <c r="C27" i="10"/>
  <c r="I74" i="7"/>
  <c r="D112" i="7"/>
  <c r="J82" i="7"/>
  <c r="E82" i="7"/>
  <c r="P112" i="7"/>
  <c r="Q82" i="7"/>
  <c r="I7" i="10"/>
  <c r="B206" i="8"/>
  <c r="BF36" i="7"/>
  <c r="BZ35" i="7"/>
  <c r="BB36" i="7"/>
  <c r="BN37" i="7"/>
  <c r="BZ43" i="7"/>
  <c r="BF46" i="7"/>
  <c r="CN46" i="7"/>
  <c r="G71" i="12"/>
  <c r="G77" i="12" s="1"/>
  <c r="C14" i="10"/>
  <c r="C30" i="10" s="1"/>
  <c r="Z55" i="7"/>
  <c r="BX56" i="7"/>
  <c r="CO51" i="7"/>
  <c r="CD62" i="7"/>
  <c r="CH62" i="7"/>
  <c r="BF64" i="7"/>
  <c r="AF85" i="7"/>
  <c r="BL82" i="7"/>
  <c r="CN81" i="7"/>
  <c r="AJ104" i="7"/>
  <c r="J36" i="10" s="1"/>
  <c r="CB232" i="7"/>
  <c r="CB229" i="7"/>
  <c r="BA36" i="7"/>
  <c r="BU33" i="7"/>
  <c r="BA37" i="7"/>
  <c r="BI35" i="7"/>
  <c r="CF45" i="7"/>
  <c r="CG45" i="7" s="1"/>
  <c r="AO161" i="16" s="1"/>
  <c r="BF44" i="7"/>
  <c r="Q19" i="10"/>
  <c r="BI44" i="7"/>
  <c r="BR46" i="7"/>
  <c r="CS45" i="7"/>
  <c r="BD111" i="7"/>
  <c r="BE53" i="7"/>
  <c r="BJ51" i="7"/>
  <c r="BN52" i="7"/>
  <c r="E94" i="7"/>
  <c r="E71" i="12"/>
  <c r="E77" i="12" s="1"/>
  <c r="B14" i="10"/>
  <c r="B16" i="10" s="1"/>
  <c r="CV64" i="7"/>
  <c r="AD82" i="7"/>
  <c r="E111" i="7"/>
  <c r="AV48" i="13"/>
  <c r="D14" i="10"/>
  <c r="CH41" i="7"/>
  <c r="BM43" i="7"/>
  <c r="BM39" i="7" s="1"/>
  <c r="BU43" i="7"/>
  <c r="BX44" i="7"/>
  <c r="W19" i="10" s="1"/>
  <c r="BY46" i="7"/>
  <c r="CT42" i="7"/>
  <c r="BJ44" i="7"/>
  <c r="BQ44" i="7"/>
  <c r="CN44" i="7"/>
  <c r="CT45" i="7"/>
  <c r="AV52" i="7"/>
  <c r="AD13" i="3" s="1"/>
  <c r="BA50" i="7"/>
  <c r="BA52" i="7"/>
  <c r="BQ52" i="7"/>
  <c r="E95" i="7"/>
  <c r="AD56" i="7"/>
  <c r="CN52" i="7"/>
  <c r="CG13" i="3" s="1"/>
  <c r="BU51" i="7"/>
  <c r="AR61" i="7"/>
  <c r="X16" i="3" s="1"/>
  <c r="AW64" i="7"/>
  <c r="BU62" i="7"/>
  <c r="BZ62" i="7"/>
  <c r="CX62" i="7"/>
  <c r="AX71" i="7"/>
  <c r="BF70" i="7"/>
  <c r="BV70" i="7"/>
  <c r="CD71" i="7"/>
  <c r="CL70" i="7"/>
  <c r="CT71" i="7"/>
  <c r="E81" i="7"/>
  <c r="E83" i="7"/>
  <c r="I81" i="7"/>
  <c r="M81" i="7"/>
  <c r="Q83" i="7"/>
  <c r="V80" i="7"/>
  <c r="Z83" i="7"/>
  <c r="F61" i="3" s="1"/>
  <c r="X131" i="7"/>
  <c r="AD111" i="7"/>
  <c r="Y82" i="7"/>
  <c r="AC81" i="7"/>
  <c r="BU81" i="7"/>
  <c r="AN104" i="7"/>
  <c r="Y111" i="7"/>
  <c r="CJ126" i="7"/>
  <c r="AV232" i="7"/>
  <c r="AV230" i="7"/>
  <c r="AV73" i="7" s="1"/>
  <c r="AV229" i="7"/>
  <c r="H14" i="10"/>
  <c r="AR124" i="7"/>
  <c r="L42" i="10" s="1"/>
  <c r="T145" i="7"/>
  <c r="B42" i="10"/>
  <c r="Q70" i="10"/>
  <c r="Q71" i="10" s="1"/>
  <c r="AK161" i="16"/>
  <c r="CJ125" i="7"/>
  <c r="H199" i="7"/>
  <c r="L197" i="7"/>
  <c r="D61" i="10" s="1"/>
  <c r="A22" i="15"/>
  <c r="A8" i="14"/>
  <c r="A14" i="14" s="1"/>
  <c r="A20" i="14" s="1"/>
  <c r="A26" i="14" s="1"/>
  <c r="A32" i="14" s="1"/>
  <c r="A38" i="14" s="1"/>
  <c r="A44" i="14" s="1"/>
  <c r="A50" i="14" s="1"/>
  <c r="A56" i="14" s="1"/>
  <c r="H198" i="7"/>
  <c r="AR208" i="7"/>
  <c r="L69" i="10" s="1"/>
  <c r="CB208" i="7"/>
  <c r="X69" i="10" s="1"/>
  <c r="Y69" i="10" s="1"/>
  <c r="Z69" i="10" s="1"/>
  <c r="AA69" i="10" s="1"/>
  <c r="AB69" i="10" s="1"/>
  <c r="AC69" i="10" s="1"/>
  <c r="AD69" i="10" s="1"/>
  <c r="AE69" i="10" s="1"/>
  <c r="AF69" i="10" s="1"/>
  <c r="AG69" i="10" s="1"/>
  <c r="AN229" i="7"/>
  <c r="BD229" i="7"/>
  <c r="BT229" i="7"/>
  <c r="CJ229" i="7"/>
  <c r="R24" i="42"/>
  <c r="L69" i="16"/>
  <c r="AK69" i="16"/>
  <c r="L95" i="16"/>
  <c r="T98" i="16"/>
  <c r="L125" i="16"/>
  <c r="W6" i="42"/>
  <c r="W8" i="42"/>
  <c r="Z6" i="42"/>
  <c r="Z8" i="42"/>
  <c r="X15" i="42"/>
  <c r="L21" i="16"/>
  <c r="L84" i="16"/>
  <c r="L89" i="16"/>
  <c r="AF7" i="42"/>
  <c r="R13" i="42"/>
  <c r="AA15" i="42"/>
  <c r="D16" i="42"/>
  <c r="D29" i="16"/>
  <c r="D36" i="16"/>
  <c r="F36" i="16"/>
  <c r="AM159" i="16"/>
  <c r="S73" i="6"/>
  <c r="AY182" i="6"/>
  <c r="A37" i="6"/>
  <c r="E12" i="3"/>
  <c r="O12" i="3"/>
  <c r="O45" i="3" s="1"/>
  <c r="AS56" i="3"/>
  <c r="E46" i="3"/>
  <c r="O46" i="3"/>
  <c r="DE13" i="3"/>
  <c r="DE58" i="3" s="1"/>
  <c r="CO17" i="3"/>
  <c r="CP23" i="3"/>
  <c r="AS142" i="30"/>
  <c r="S142" i="30" s="1"/>
  <c r="AS342" i="30"/>
  <c r="AU349" i="30" s="1"/>
  <c r="A23" i="6"/>
  <c r="D22" i="6"/>
  <c r="H22" i="6" s="1"/>
  <c r="P22" i="6" s="1"/>
  <c r="B30" i="6"/>
  <c r="W28" i="6"/>
  <c r="AS62" i="6"/>
  <c r="S62" i="6" s="1"/>
  <c r="AU69" i="6"/>
  <c r="U155" i="6"/>
  <c r="AM162" i="6"/>
  <c r="AW169" i="6"/>
  <c r="AX169" i="6" s="1"/>
  <c r="D162" i="6"/>
  <c r="H162" i="6" s="1"/>
  <c r="P162" i="6" s="1"/>
  <c r="AT169" i="6"/>
  <c r="AW175" i="6"/>
  <c r="AX175" i="6" s="1"/>
  <c r="AS183" i="6"/>
  <c r="AS350" i="30" s="1"/>
  <c r="AU350" i="30" s="1"/>
  <c r="F110" i="65"/>
  <c r="L106" i="65"/>
  <c r="AH132" i="65"/>
  <c r="AF137" i="65"/>
  <c r="AH137" i="65" s="1"/>
  <c r="W137" i="65"/>
  <c r="Q139" i="65"/>
  <c r="F139" i="65" s="1"/>
  <c r="W144" i="65"/>
  <c r="D11" i="8"/>
  <c r="E207" i="8"/>
  <c r="M207" i="8"/>
  <c r="Y69" i="12"/>
  <c r="Y74" i="12" s="1"/>
  <c r="L56" i="16"/>
  <c r="A30" i="6"/>
  <c r="D77" i="6"/>
  <c r="H77" i="6" s="1"/>
  <c r="J37" i="10"/>
  <c r="J8" i="10"/>
  <c r="T46" i="3"/>
  <c r="CQ17" i="3"/>
  <c r="AS21" i="30"/>
  <c r="AU28" i="30" s="1"/>
  <c r="AS105" i="30"/>
  <c r="AS119" i="30"/>
  <c r="AS226" i="30"/>
  <c r="AS328" i="30"/>
  <c r="U21" i="6"/>
  <c r="D29" i="6"/>
  <c r="H29" i="6" s="1"/>
  <c r="AF29" i="6" s="1"/>
  <c r="AI36" i="6"/>
  <c r="AK36" i="6" s="1"/>
  <c r="A51" i="6"/>
  <c r="A58" i="6"/>
  <c r="AP73" i="6"/>
  <c r="J204" i="8" s="1"/>
  <c r="AS164" i="6"/>
  <c r="W204" i="8" s="1"/>
  <c r="AT162" i="6"/>
  <c r="AW162" i="6"/>
  <c r="AX162" i="6" s="1"/>
  <c r="AT177" i="6"/>
  <c r="AS171" i="6"/>
  <c r="X204" i="8" s="1"/>
  <c r="L109" i="65"/>
  <c r="W135" i="65"/>
  <c r="W145" i="65"/>
  <c r="W152" i="65"/>
  <c r="H30" i="10"/>
  <c r="AO69" i="12"/>
  <c r="AO74" i="12" s="1"/>
  <c r="AM69" i="12"/>
  <c r="AM75" i="12" s="1"/>
  <c r="AW69" i="12"/>
  <c r="E12" i="8"/>
  <c r="O20" i="42"/>
  <c r="O13" i="42"/>
  <c r="L14" i="42"/>
  <c r="L116" i="16"/>
  <c r="I207" i="8"/>
  <c r="H202" i="8"/>
  <c r="T75" i="16"/>
  <c r="AM75" i="16"/>
  <c r="S111" i="30"/>
  <c r="AI14" i="6"/>
  <c r="AK14" i="6" s="1"/>
  <c r="B20" i="6"/>
  <c r="A28" i="6"/>
  <c r="D30" i="6"/>
  <c r="H30" i="6" s="1"/>
  <c r="AT65" i="6"/>
  <c r="AT160" i="6"/>
  <c r="AW176" i="6"/>
  <c r="AX176" i="6" s="1"/>
  <c r="W142" i="65"/>
  <c r="E8" i="10"/>
  <c r="E12" i="10"/>
  <c r="F28" i="10"/>
  <c r="AC70" i="12"/>
  <c r="B22" i="15"/>
  <c r="B8" i="14"/>
  <c r="B14" i="14" s="1"/>
  <c r="B20" i="14" s="1"/>
  <c r="B26" i="14" s="1"/>
  <c r="B32" i="14" s="1"/>
  <c r="B38" i="14" s="1"/>
  <c r="B44" i="14" s="1"/>
  <c r="B50" i="14" s="1"/>
  <c r="B56" i="14" s="1"/>
  <c r="B24" i="15"/>
  <c r="B10" i="14"/>
  <c r="B16" i="14" s="1"/>
  <c r="B22" i="14" s="1"/>
  <c r="B28" i="14" s="1"/>
  <c r="B34" i="14" s="1"/>
  <c r="B40" i="14" s="1"/>
  <c r="B46" i="14" s="1"/>
  <c r="B52" i="14" s="1"/>
  <c r="B58" i="14" s="1"/>
  <c r="T167" i="16"/>
  <c r="AM167" i="16"/>
  <c r="L172" i="16"/>
  <c r="I8" i="10"/>
  <c r="M8" i="10"/>
  <c r="T30" i="10"/>
  <c r="Q245" i="8" s="1"/>
  <c r="V8" i="10"/>
  <c r="E16" i="10"/>
  <c r="I16" i="10"/>
  <c r="M16" i="10"/>
  <c r="M18" i="10"/>
  <c r="J20" i="10"/>
  <c r="AA24" i="42"/>
  <c r="AC9" i="42"/>
  <c r="U15" i="42"/>
  <c r="AA13" i="42"/>
  <c r="Y70" i="12"/>
  <c r="D15" i="16"/>
  <c r="L20" i="16"/>
  <c r="L26" i="16"/>
  <c r="L42" i="16"/>
  <c r="L46" i="16"/>
  <c r="D57" i="16"/>
  <c r="AM83" i="16"/>
  <c r="L90" i="16"/>
  <c r="D113" i="16"/>
  <c r="L123" i="16"/>
  <c r="L140" i="16"/>
  <c r="R139" i="16"/>
  <c r="L137" i="16"/>
  <c r="L141" i="16"/>
  <c r="L160" i="16"/>
  <c r="L166" i="16"/>
  <c r="L173" i="16"/>
  <c r="Z8" i="10"/>
  <c r="I12" i="10"/>
  <c r="Q12" i="10"/>
  <c r="F16" i="10"/>
  <c r="F205" i="8"/>
  <c r="D24" i="42"/>
  <c r="C24" i="42" s="1"/>
  <c r="AV11" i="13"/>
  <c r="AX11" i="13"/>
  <c r="AX70" i="13" s="1"/>
  <c r="L27" i="16"/>
  <c r="L34" i="16"/>
  <c r="D43" i="16"/>
  <c r="F43" i="16"/>
  <c r="L47" i="16"/>
  <c r="L54" i="16"/>
  <c r="D78" i="16"/>
  <c r="L91" i="16"/>
  <c r="L112" i="16"/>
  <c r="L124" i="16"/>
  <c r="AK173" i="16"/>
  <c r="M12" i="10"/>
  <c r="Y18" i="10"/>
  <c r="E34" i="10"/>
  <c r="I34" i="10"/>
  <c r="T34" i="10"/>
  <c r="X34" i="10"/>
  <c r="F202" i="8"/>
  <c r="E21" i="42"/>
  <c r="U13" i="42"/>
  <c r="X13" i="42"/>
  <c r="D14" i="42"/>
  <c r="AA69" i="12"/>
  <c r="AA75" i="12" s="1"/>
  <c r="AI69" i="12"/>
  <c r="AK69" i="12"/>
  <c r="AK74" i="12" s="1"/>
  <c r="AQ69" i="12"/>
  <c r="AQ75" i="12" s="1"/>
  <c r="AS69" i="12"/>
  <c r="AS74" i="12" s="1"/>
  <c r="L18" i="16"/>
  <c r="F22" i="16"/>
  <c r="L28" i="16"/>
  <c r="L35" i="16"/>
  <c r="L40" i="16"/>
  <c r="L48" i="16"/>
  <c r="AM55" i="16"/>
  <c r="L55" i="16"/>
  <c r="L63" i="16"/>
  <c r="AM88" i="16"/>
  <c r="D99" i="16"/>
  <c r="R104" i="16"/>
  <c r="L119" i="16"/>
  <c r="AK131" i="16"/>
  <c r="AM146" i="16"/>
  <c r="L147" i="16"/>
  <c r="L165" i="16"/>
  <c r="S70" i="10"/>
  <c r="S71" i="10" s="1"/>
  <c r="L183" i="6"/>
  <c r="L182" i="6"/>
  <c r="N182" i="6" s="1"/>
  <c r="V180" i="16"/>
  <c r="V179" i="16"/>
  <c r="S125" i="30"/>
  <c r="AS127" i="30"/>
  <c r="AU127" i="30" s="1"/>
  <c r="P216" i="8"/>
  <c r="T216" i="8"/>
  <c r="Z77" i="8"/>
  <c r="AK54" i="11"/>
  <c r="AJ54" i="11" s="1"/>
  <c r="F234" i="8" s="1"/>
  <c r="F235" i="8" s="1"/>
  <c r="AK23" i="11"/>
  <c r="F80" i="8" s="1"/>
  <c r="U210" i="8"/>
  <c r="Z81" i="8"/>
  <c r="AD81" i="8"/>
  <c r="AS54" i="11"/>
  <c r="AR54" i="11" s="1"/>
  <c r="H234" i="8" s="1"/>
  <c r="H235" i="8" s="1"/>
  <c r="BI56" i="11"/>
  <c r="CG56" i="11"/>
  <c r="Q210" i="8"/>
  <c r="M210" i="8"/>
  <c r="N235" i="8"/>
  <c r="AW55" i="11"/>
  <c r="BE55" i="11"/>
  <c r="CS55" i="11"/>
  <c r="CW56" i="11"/>
  <c r="L235" i="8"/>
  <c r="J235" i="8"/>
  <c r="K111" i="30"/>
  <c r="P235" i="8"/>
  <c r="H144" i="7"/>
  <c r="AK142" i="7"/>
  <c r="L146" i="7"/>
  <c r="L144" i="7"/>
  <c r="Y141" i="7"/>
  <c r="X144" i="7"/>
  <c r="AB146" i="7"/>
  <c r="AF146" i="7"/>
  <c r="I140" i="7"/>
  <c r="Q140" i="7"/>
  <c r="Y140" i="7"/>
  <c r="I143" i="7"/>
  <c r="H145" i="7"/>
  <c r="M145" i="7" s="1"/>
  <c r="M141" i="7"/>
  <c r="CP30" i="3"/>
  <c r="H146" i="7"/>
  <c r="M146" i="7" s="1"/>
  <c r="D146" i="7"/>
  <c r="I146" i="7" s="1"/>
  <c r="CL22" i="3"/>
  <c r="N42" i="30"/>
  <c r="AZ44" i="30"/>
  <c r="AZ79" i="30"/>
  <c r="N35" i="30"/>
  <c r="BE71" i="30"/>
  <c r="AY80" i="30"/>
  <c r="AZ73" i="30"/>
  <c r="BK80" i="30"/>
  <c r="N84" i="30"/>
  <c r="L133" i="6"/>
  <c r="V97" i="16"/>
  <c r="N21" i="30"/>
  <c r="N49" i="30"/>
  <c r="AK50" i="30"/>
  <c r="AU57" i="30"/>
  <c r="BW78" i="30"/>
  <c r="BB78" i="30" s="1"/>
  <c r="AZ80" i="30"/>
  <c r="BR86" i="30"/>
  <c r="S144" i="30"/>
  <c r="AI144" i="30" s="1"/>
  <c r="J105" i="6"/>
  <c r="L105" i="6" s="1"/>
  <c r="V89" i="16"/>
  <c r="V124" i="16"/>
  <c r="BI70" i="30"/>
  <c r="BB70" i="30" s="1"/>
  <c r="BN83" i="30"/>
  <c r="Z92" i="6"/>
  <c r="L112" i="6"/>
  <c r="L113" i="6"/>
  <c r="L120" i="6"/>
  <c r="N120" i="6" s="1"/>
  <c r="L134" i="6"/>
  <c r="V130" i="16"/>
  <c r="AK22" i="30"/>
  <c r="N29" i="30"/>
  <c r="O13" i="8"/>
  <c r="V110" i="16"/>
  <c r="V117" i="16"/>
  <c r="R74" i="48"/>
  <c r="R110" i="48" s="1"/>
  <c r="R147" i="48" s="1"/>
  <c r="Q9" i="48"/>
  <c r="P117" i="48"/>
  <c r="O83" i="48"/>
  <c r="H31" i="48"/>
  <c r="J118" i="48"/>
  <c r="L117" i="48"/>
  <c r="K117" i="48"/>
  <c r="J83" i="48"/>
  <c r="N118" i="48"/>
  <c r="O117" i="48"/>
  <c r="N83" i="48"/>
  <c r="S117" i="48"/>
  <c r="R84" i="48"/>
  <c r="R83" i="48"/>
  <c r="V118" i="48"/>
  <c r="V83" i="48"/>
  <c r="S74" i="48"/>
  <c r="S110" i="48" s="1"/>
  <c r="S147" i="48" s="1"/>
  <c r="X112" i="48"/>
  <c r="Y76" i="48"/>
  <c r="W115" i="48"/>
  <c r="X79" i="48"/>
  <c r="K118" i="48"/>
  <c r="M117" i="48"/>
  <c r="K83" i="48"/>
  <c r="O84" i="48"/>
  <c r="U9" i="48"/>
  <c r="J31" i="48"/>
  <c r="R31" i="48"/>
  <c r="V31" i="48"/>
  <c r="H72" i="48"/>
  <c r="H152" i="48" s="1"/>
  <c r="H82" i="48"/>
  <c r="L72" i="48"/>
  <c r="L82" i="48"/>
  <c r="P72" i="48"/>
  <c r="P82" i="48"/>
  <c r="T72" i="48"/>
  <c r="T82" i="48"/>
  <c r="M72" i="48"/>
  <c r="Y114" i="48"/>
  <c r="T117" i="48"/>
  <c r="S118" i="48"/>
  <c r="S83" i="48"/>
  <c r="S31" i="48"/>
  <c r="L64" i="48"/>
  <c r="K64" i="48"/>
  <c r="P64" i="48"/>
  <c r="O64" i="48"/>
  <c r="T64" i="48"/>
  <c r="S64" i="48"/>
  <c r="J117" i="48"/>
  <c r="I84" i="48"/>
  <c r="M118" i="48"/>
  <c r="N117" i="48"/>
  <c r="M84" i="48"/>
  <c r="U84" i="48"/>
  <c r="V117" i="48"/>
  <c r="Z78" i="48"/>
  <c r="X116" i="48"/>
  <c r="Y80" i="48"/>
  <c r="W82" i="48"/>
  <c r="Q83" i="48"/>
  <c r="K84" i="48"/>
  <c r="U85" i="48"/>
  <c r="J72" i="48"/>
  <c r="N72" i="48"/>
  <c r="R72" i="48"/>
  <c r="K72" i="48"/>
  <c r="O72" i="48"/>
  <c r="W117" i="48"/>
  <c r="X114" i="48"/>
  <c r="X77" i="48"/>
  <c r="X81" i="48"/>
  <c r="B132" i="48"/>
  <c r="C132" i="48"/>
  <c r="R35" i="16"/>
  <c r="R42" i="16"/>
  <c r="R49" i="16"/>
  <c r="AF56" i="16"/>
  <c r="R19" i="16"/>
  <c r="L36" i="16"/>
  <c r="L43" i="16"/>
  <c r="AF21" i="16"/>
  <c r="R26" i="16"/>
  <c r="R33" i="16"/>
  <c r="AH47" i="16"/>
  <c r="A166" i="16"/>
  <c r="A180" i="16"/>
  <c r="A173" i="16"/>
  <c r="A159" i="16"/>
  <c r="A152" i="16"/>
  <c r="A145" i="16"/>
  <c r="A124" i="16"/>
  <c r="A110" i="16"/>
  <c r="A103" i="16"/>
  <c r="A138" i="16"/>
  <c r="A131" i="16"/>
  <c r="A117" i="16"/>
  <c r="A89" i="16"/>
  <c r="A75" i="16"/>
  <c r="A96" i="16"/>
  <c r="A82" i="16"/>
  <c r="X12" i="16"/>
  <c r="AD12" i="16"/>
  <c r="AF19" i="16" s="1"/>
  <c r="B166" i="16"/>
  <c r="B131" i="16"/>
  <c r="B173" i="16"/>
  <c r="B159" i="16"/>
  <c r="B152" i="16"/>
  <c r="B145" i="16"/>
  <c r="B180" i="16"/>
  <c r="B124" i="16"/>
  <c r="B110" i="16"/>
  <c r="B96" i="16"/>
  <c r="B138" i="16"/>
  <c r="B117" i="16"/>
  <c r="B89" i="16"/>
  <c r="B75" i="16"/>
  <c r="B82" i="16"/>
  <c r="B103" i="16"/>
  <c r="J14" i="16"/>
  <c r="A20" i="16"/>
  <c r="N20" i="16"/>
  <c r="P20" i="16"/>
  <c r="T20" i="16"/>
  <c r="X20" i="16"/>
  <c r="AD20" i="16"/>
  <c r="AF20" i="16" s="1"/>
  <c r="B19" i="16"/>
  <c r="D22" i="16"/>
  <c r="L22" i="16" s="1"/>
  <c r="J20" i="16"/>
  <c r="R20" i="16" s="1"/>
  <c r="A28" i="16"/>
  <c r="N28" i="16"/>
  <c r="P28" i="16"/>
  <c r="T28" i="16"/>
  <c r="X28" i="16"/>
  <c r="AD28" i="16"/>
  <c r="AF28" i="16" s="1"/>
  <c r="B27" i="16"/>
  <c r="F29" i="16"/>
  <c r="A32" i="16"/>
  <c r="N32" i="16"/>
  <c r="P32" i="16"/>
  <c r="T32" i="16"/>
  <c r="X32" i="16"/>
  <c r="AD32" i="16"/>
  <c r="B35" i="16"/>
  <c r="J32" i="16"/>
  <c r="A40" i="16"/>
  <c r="N40" i="16"/>
  <c r="P40" i="16"/>
  <c r="T40" i="16"/>
  <c r="X40" i="16"/>
  <c r="AD40" i="16"/>
  <c r="B39" i="16"/>
  <c r="B43" i="16"/>
  <c r="J40" i="16"/>
  <c r="R40" i="16" s="1"/>
  <c r="L39" i="16"/>
  <c r="A48" i="16"/>
  <c r="N48" i="16"/>
  <c r="P48" i="16"/>
  <c r="T48" i="16"/>
  <c r="X48" i="16"/>
  <c r="AD48" i="16"/>
  <c r="B47" i="16"/>
  <c r="D50" i="16"/>
  <c r="L50" i="16" s="1"/>
  <c r="J48" i="16"/>
  <c r="R48" i="16" s="1"/>
  <c r="AH49" i="16"/>
  <c r="N55" i="16"/>
  <c r="P55" i="16"/>
  <c r="T55" i="16"/>
  <c r="X55" i="16"/>
  <c r="Z55" i="16" s="1"/>
  <c r="AD55" i="16"/>
  <c r="AM56" i="16"/>
  <c r="B55" i="16"/>
  <c r="F57" i="16"/>
  <c r="J56" i="16"/>
  <c r="R54" i="16"/>
  <c r="A63" i="16"/>
  <c r="N63" i="16"/>
  <c r="P63" i="16"/>
  <c r="T63" i="16"/>
  <c r="AD63" i="16"/>
  <c r="AF63" i="16" s="1"/>
  <c r="L61" i="16"/>
  <c r="J60" i="16"/>
  <c r="L60" i="16"/>
  <c r="R61" i="16"/>
  <c r="J67" i="16"/>
  <c r="J68" i="16"/>
  <c r="AH68" i="16" s="1"/>
  <c r="N67" i="16"/>
  <c r="P68" i="16"/>
  <c r="T69" i="16"/>
  <c r="AD68" i="16"/>
  <c r="B68" i="16"/>
  <c r="L68" i="16"/>
  <c r="R76" i="16"/>
  <c r="AK76" i="16"/>
  <c r="P77" i="16"/>
  <c r="A160" i="16"/>
  <c r="A167" i="16"/>
  <c r="A153" i="16"/>
  <c r="A146" i="16"/>
  <c r="A181" i="16"/>
  <c r="A174" i="16"/>
  <c r="A104" i="16"/>
  <c r="A139" i="16"/>
  <c r="A132" i="16"/>
  <c r="A118" i="16"/>
  <c r="A125" i="16"/>
  <c r="A111" i="16"/>
  <c r="A97" i="16"/>
  <c r="A83" i="16"/>
  <c r="A90" i="16"/>
  <c r="A76" i="16"/>
  <c r="X13" i="16"/>
  <c r="B181" i="16"/>
  <c r="B160" i="16"/>
  <c r="B174" i="16"/>
  <c r="B167" i="16"/>
  <c r="B153" i="16"/>
  <c r="B146" i="16"/>
  <c r="B139" i="16"/>
  <c r="B118" i="16"/>
  <c r="B132" i="16"/>
  <c r="B125" i="16"/>
  <c r="B111" i="16"/>
  <c r="B97" i="16"/>
  <c r="B83" i="16"/>
  <c r="B104" i="16"/>
  <c r="B90" i="16"/>
  <c r="B76" i="16"/>
  <c r="A21" i="16"/>
  <c r="N21" i="16"/>
  <c r="P21" i="16"/>
  <c r="T21" i="16"/>
  <c r="X21" i="16"/>
  <c r="B20" i="16"/>
  <c r="A25" i="16"/>
  <c r="N25" i="16"/>
  <c r="P25" i="16"/>
  <c r="T25" i="16"/>
  <c r="X25" i="16"/>
  <c r="AD25" i="16"/>
  <c r="B28" i="16"/>
  <c r="J25" i="16"/>
  <c r="J29" i="16" s="1"/>
  <c r="A33" i="16"/>
  <c r="N33" i="16"/>
  <c r="P33" i="16"/>
  <c r="T33" i="16"/>
  <c r="X33" i="16"/>
  <c r="AD33" i="16"/>
  <c r="B32" i="16"/>
  <c r="B36" i="16"/>
  <c r="L32" i="16"/>
  <c r="A41" i="16"/>
  <c r="N41" i="16"/>
  <c r="P41" i="16"/>
  <c r="T41" i="16"/>
  <c r="X41" i="16"/>
  <c r="AD41" i="16"/>
  <c r="B40" i="16"/>
  <c r="R39" i="16"/>
  <c r="A49" i="16"/>
  <c r="N49" i="16"/>
  <c r="P49" i="16"/>
  <c r="T49" i="16"/>
  <c r="B48" i="16"/>
  <c r="F50" i="16"/>
  <c r="R47" i="16"/>
  <c r="N56" i="16"/>
  <c r="P56" i="16"/>
  <c r="T56" i="16"/>
  <c r="B56" i="16"/>
  <c r="J53" i="16"/>
  <c r="J57" i="16" s="1"/>
  <c r="R55" i="16"/>
  <c r="A60" i="16"/>
  <c r="N60" i="16"/>
  <c r="P60" i="16"/>
  <c r="T60" i="16"/>
  <c r="X60" i="16"/>
  <c r="AD60" i="16"/>
  <c r="AM60" i="16"/>
  <c r="L62" i="16"/>
  <c r="R62" i="16"/>
  <c r="A67" i="16"/>
  <c r="N68" i="16"/>
  <c r="P69" i="16"/>
  <c r="X67" i="16"/>
  <c r="Z67" i="16" s="1"/>
  <c r="B69" i="16"/>
  <c r="L70" i="16"/>
  <c r="R69" i="16"/>
  <c r="J77" i="16"/>
  <c r="AH77" i="16"/>
  <c r="A182" i="16"/>
  <c r="A154" i="16"/>
  <c r="A161" i="16"/>
  <c r="A147" i="16"/>
  <c r="A175" i="16"/>
  <c r="A168" i="16"/>
  <c r="A140" i="16"/>
  <c r="A133" i="16"/>
  <c r="A119" i="16"/>
  <c r="A126" i="16"/>
  <c r="A112" i="16"/>
  <c r="A105" i="16"/>
  <c r="A98" i="16"/>
  <c r="A84" i="16"/>
  <c r="A70" i="16"/>
  <c r="A91" i="16"/>
  <c r="X14" i="16"/>
  <c r="B154" i="16"/>
  <c r="B168" i="16"/>
  <c r="B147" i="16"/>
  <c r="B161" i="16"/>
  <c r="B140" i="16"/>
  <c r="B182" i="16"/>
  <c r="B175" i="16"/>
  <c r="B119" i="16"/>
  <c r="B105" i="16"/>
  <c r="B133" i="16"/>
  <c r="B126" i="16"/>
  <c r="B112" i="16"/>
  <c r="B84" i="16"/>
  <c r="B70" i="16"/>
  <c r="B91" i="16"/>
  <c r="B77" i="16"/>
  <c r="B98" i="16"/>
  <c r="J12" i="16"/>
  <c r="J15" i="16" s="1"/>
  <c r="A18" i="16"/>
  <c r="N18" i="16"/>
  <c r="P18" i="16"/>
  <c r="T18" i="16"/>
  <c r="X18" i="16"/>
  <c r="AD18" i="16"/>
  <c r="AF18" i="16" s="1"/>
  <c r="B21" i="16"/>
  <c r="J18" i="16"/>
  <c r="J22" i="16" s="1"/>
  <c r="R22" i="16" s="1"/>
  <c r="A26" i="16"/>
  <c r="N26" i="16"/>
  <c r="P26" i="16"/>
  <c r="T26" i="16"/>
  <c r="X26" i="16"/>
  <c r="AD26" i="16"/>
  <c r="AF26" i="16" s="1"/>
  <c r="B25" i="16"/>
  <c r="B29" i="16"/>
  <c r="L25" i="16"/>
  <c r="A34" i="16"/>
  <c r="N34" i="16"/>
  <c r="P34" i="16"/>
  <c r="T34" i="16"/>
  <c r="X34" i="16"/>
  <c r="AD34" i="16"/>
  <c r="AF34" i="16" s="1"/>
  <c r="B33" i="16"/>
  <c r="L33" i="16"/>
  <c r="A42" i="16"/>
  <c r="N42" i="16"/>
  <c r="P42" i="16"/>
  <c r="T42" i="16"/>
  <c r="B41" i="16"/>
  <c r="L41" i="16"/>
  <c r="A46" i="16"/>
  <c r="N46" i="16"/>
  <c r="P46" i="16"/>
  <c r="T46" i="16"/>
  <c r="X46" i="16"/>
  <c r="AD46" i="16"/>
  <c r="B49" i="16"/>
  <c r="J46" i="16"/>
  <c r="J50" i="16" s="1"/>
  <c r="L49" i="16"/>
  <c r="N53" i="16"/>
  <c r="P53" i="16"/>
  <c r="X53" i="16"/>
  <c r="Z53" i="16" s="1"/>
  <c r="AD53" i="16"/>
  <c r="B53" i="16"/>
  <c r="B57" i="16"/>
  <c r="L53" i="16"/>
  <c r="AH55" i="16"/>
  <c r="A61" i="16"/>
  <c r="N61" i="16"/>
  <c r="P61" i="16"/>
  <c r="T61" i="16"/>
  <c r="X61" i="16"/>
  <c r="AD61" i="16"/>
  <c r="AM61" i="16"/>
  <c r="J63" i="16"/>
  <c r="AH63" i="16" s="1"/>
  <c r="A68" i="16"/>
  <c r="AM69" i="16"/>
  <c r="J70" i="16"/>
  <c r="AK70" i="16" s="1"/>
  <c r="N69" i="16"/>
  <c r="T67" i="16"/>
  <c r="X68" i="16"/>
  <c r="Z68" i="16" s="1"/>
  <c r="L74" i="16"/>
  <c r="L67" i="16"/>
  <c r="D71" i="16"/>
  <c r="L78" i="16" s="1"/>
  <c r="R70" i="16"/>
  <c r="A77" i="16"/>
  <c r="AD77" i="16"/>
  <c r="AF104" i="16"/>
  <c r="A172" i="16"/>
  <c r="A137" i="16"/>
  <c r="A179" i="16"/>
  <c r="A165" i="16"/>
  <c r="A158" i="16"/>
  <c r="A151" i="16"/>
  <c r="A144" i="16"/>
  <c r="A123" i="16"/>
  <c r="A109" i="16"/>
  <c r="A130" i="16"/>
  <c r="A116" i="16"/>
  <c r="A102" i="16"/>
  <c r="A88" i="16"/>
  <c r="A74" i="16"/>
  <c r="A95" i="16"/>
  <c r="A81" i="16"/>
  <c r="X11" i="16"/>
  <c r="B172" i="16"/>
  <c r="B179" i="16"/>
  <c r="B137" i="16"/>
  <c r="B165" i="16"/>
  <c r="B158" i="16"/>
  <c r="B151" i="16"/>
  <c r="B144" i="16"/>
  <c r="B130" i="16"/>
  <c r="B102" i="16"/>
  <c r="B123" i="16"/>
  <c r="B109" i="16"/>
  <c r="B116" i="16"/>
  <c r="B95" i="16"/>
  <c r="B88" i="16"/>
  <c r="B74" i="16"/>
  <c r="B81" i="16"/>
  <c r="B67" i="16"/>
  <c r="B176" i="16"/>
  <c r="B162" i="16"/>
  <c r="B155" i="16"/>
  <c r="B141" i="16"/>
  <c r="B183" i="16"/>
  <c r="B169" i="16"/>
  <c r="B148" i="16"/>
  <c r="B106" i="16"/>
  <c r="B134" i="16"/>
  <c r="B127" i="16"/>
  <c r="B113" i="16"/>
  <c r="B120" i="16"/>
  <c r="B92" i="16"/>
  <c r="B78" i="16"/>
  <c r="B99" i="16"/>
  <c r="B85" i="16"/>
  <c r="B71" i="16"/>
  <c r="A19" i="16"/>
  <c r="N19" i="16"/>
  <c r="P19" i="16"/>
  <c r="T19" i="16"/>
  <c r="X19" i="16"/>
  <c r="Z19" i="16" s="1"/>
  <c r="B18" i="16"/>
  <c r="B22" i="16"/>
  <c r="A27" i="16"/>
  <c r="N27" i="16"/>
  <c r="P27" i="16"/>
  <c r="T27" i="16"/>
  <c r="X27" i="16"/>
  <c r="Z27" i="16" s="1"/>
  <c r="B26" i="16"/>
  <c r="A35" i="16"/>
  <c r="N35" i="16"/>
  <c r="P35" i="16"/>
  <c r="T35" i="16"/>
  <c r="X35" i="16"/>
  <c r="Z35" i="16" s="1"/>
  <c r="B34" i="16"/>
  <c r="A39" i="16"/>
  <c r="N39" i="16"/>
  <c r="P39" i="16"/>
  <c r="T39" i="16"/>
  <c r="X39" i="16"/>
  <c r="Z39" i="16" s="1"/>
  <c r="AD39" i="16"/>
  <c r="AF39" i="16" s="1"/>
  <c r="B42" i="16"/>
  <c r="A47" i="16"/>
  <c r="N47" i="16"/>
  <c r="P47" i="16"/>
  <c r="T47" i="16"/>
  <c r="X47" i="16"/>
  <c r="Z47" i="16" s="1"/>
  <c r="B46" i="16"/>
  <c r="B50" i="16"/>
  <c r="A54" i="16"/>
  <c r="N54" i="16"/>
  <c r="P54" i="16"/>
  <c r="X54" i="16"/>
  <c r="Z54" i="16" s="1"/>
  <c r="AD54" i="16"/>
  <c r="AF54" i="16" s="1"/>
  <c r="B54" i="16"/>
  <c r="A62" i="16"/>
  <c r="N62" i="16"/>
  <c r="P62" i="16"/>
  <c r="T62" i="16"/>
  <c r="X62" i="16"/>
  <c r="Z62" i="16" s="1"/>
  <c r="AD62" i="16"/>
  <c r="AF62" i="16" s="1"/>
  <c r="B61" i="16"/>
  <c r="D64" i="16"/>
  <c r="R60" i="16"/>
  <c r="F64" i="16"/>
  <c r="AH60" i="16"/>
  <c r="AM67" i="16"/>
  <c r="A69" i="16"/>
  <c r="P67" i="16"/>
  <c r="T68" i="16"/>
  <c r="X69" i="16"/>
  <c r="Z69" i="16" s="1"/>
  <c r="AD67" i="16"/>
  <c r="AF67" i="16" s="1"/>
  <c r="AH67" i="16"/>
  <c r="AH70" i="16"/>
  <c r="N77" i="16"/>
  <c r="L75" i="16"/>
  <c r="AO74" i="16" s="1"/>
  <c r="J81" i="16"/>
  <c r="AH81" i="16"/>
  <c r="R91" i="16"/>
  <c r="AK91" i="16"/>
  <c r="J99" i="16"/>
  <c r="AK95" i="16"/>
  <c r="AH69" i="16"/>
  <c r="N76" i="16"/>
  <c r="P76" i="16"/>
  <c r="T76" i="16"/>
  <c r="X76" i="16"/>
  <c r="AD76" i="16"/>
  <c r="AF76" i="16" s="1"/>
  <c r="F78" i="16"/>
  <c r="L76" i="16"/>
  <c r="AH74" i="16"/>
  <c r="N81" i="16"/>
  <c r="P81" i="16"/>
  <c r="T81" i="16"/>
  <c r="X81" i="16"/>
  <c r="AD81" i="16"/>
  <c r="AF81" i="16" s="1"/>
  <c r="J82" i="16"/>
  <c r="L81" i="16"/>
  <c r="AH83" i="16"/>
  <c r="N90" i="16"/>
  <c r="AO90" i="16" s="1"/>
  <c r="P90" i="16"/>
  <c r="T90" i="16"/>
  <c r="X90" i="16"/>
  <c r="F92" i="16"/>
  <c r="N95" i="16"/>
  <c r="P95" i="16"/>
  <c r="T95" i="16"/>
  <c r="X95" i="16"/>
  <c r="J96" i="16"/>
  <c r="R96" i="16" s="1"/>
  <c r="L97" i="16"/>
  <c r="R97" i="16"/>
  <c r="J103" i="16"/>
  <c r="AD102" i="16"/>
  <c r="X102" i="16"/>
  <c r="J102" i="16"/>
  <c r="AM102" i="16"/>
  <c r="N102" i="16"/>
  <c r="T102" i="16"/>
  <c r="AH103" i="16"/>
  <c r="R111" i="16"/>
  <c r="AK111" i="16"/>
  <c r="L110" i="16"/>
  <c r="AH125" i="16"/>
  <c r="J74" i="16"/>
  <c r="L77" i="16"/>
  <c r="N82" i="16"/>
  <c r="AO82" i="16" s="1"/>
  <c r="P82" i="16"/>
  <c r="T82" i="16"/>
  <c r="X82" i="16"/>
  <c r="AD82" i="16"/>
  <c r="D85" i="16"/>
  <c r="L85" i="16" s="1"/>
  <c r="J83" i="16"/>
  <c r="AK83" i="16" s="1"/>
  <c r="L82" i="16"/>
  <c r="N91" i="16"/>
  <c r="AO91" i="16" s="1"/>
  <c r="P91" i="16"/>
  <c r="T91" i="16"/>
  <c r="J88" i="16"/>
  <c r="AH88" i="16" s="1"/>
  <c r="R90" i="16"/>
  <c r="J97" i="16"/>
  <c r="AK97" i="16" s="1"/>
  <c r="AD96" i="16"/>
  <c r="AF103" i="16" s="1"/>
  <c r="X96" i="16"/>
  <c r="N96" i="16"/>
  <c r="P96" i="16"/>
  <c r="T96" i="16"/>
  <c r="X97" i="16"/>
  <c r="AH98" i="16"/>
  <c r="J98" i="16"/>
  <c r="L98" i="16"/>
  <c r="N105" i="16"/>
  <c r="R112" i="16"/>
  <c r="AK112" i="16"/>
  <c r="AH111" i="16"/>
  <c r="L127" i="16"/>
  <c r="R133" i="16"/>
  <c r="AK133" i="16"/>
  <c r="AH131" i="16"/>
  <c r="F71" i="16"/>
  <c r="N74" i="16"/>
  <c r="P74" i="16"/>
  <c r="T74" i="16"/>
  <c r="AD74" i="16"/>
  <c r="AF74" i="16" s="1"/>
  <c r="J75" i="16"/>
  <c r="AK75" i="16" s="1"/>
  <c r="AH76" i="16"/>
  <c r="N83" i="16"/>
  <c r="AO83" i="16" s="1"/>
  <c r="P83" i="16"/>
  <c r="T83" i="16"/>
  <c r="X83" i="16"/>
  <c r="Z83" i="16" s="1"/>
  <c r="AD83" i="16"/>
  <c r="AF83" i="16" s="1"/>
  <c r="F85" i="16"/>
  <c r="J84" i="16"/>
  <c r="AK84" i="16" s="1"/>
  <c r="N88" i="16"/>
  <c r="AO88" i="16" s="1"/>
  <c r="P88" i="16"/>
  <c r="T88" i="16"/>
  <c r="X88" i="16"/>
  <c r="Z88" i="16" s="1"/>
  <c r="AD88" i="16"/>
  <c r="AF88" i="16" s="1"/>
  <c r="J89" i="16"/>
  <c r="AK89" i="16" s="1"/>
  <c r="AH90" i="16"/>
  <c r="N97" i="16"/>
  <c r="P97" i="16"/>
  <c r="T97" i="16"/>
  <c r="AD95" i="16"/>
  <c r="R95" i="16"/>
  <c r="F99" i="16"/>
  <c r="P102" i="16"/>
  <c r="L102" i="16"/>
  <c r="L109" i="16"/>
  <c r="AO105" i="16" s="1"/>
  <c r="D106" i="16"/>
  <c r="AH112" i="16"/>
  <c r="R125" i="16"/>
  <c r="AK125" i="16"/>
  <c r="N70" i="16"/>
  <c r="P70" i="16"/>
  <c r="T70" i="16"/>
  <c r="N75" i="16"/>
  <c r="P75" i="16"/>
  <c r="AD75" i="16"/>
  <c r="AF75" i="16" s="1"/>
  <c r="N84" i="16"/>
  <c r="AO84" i="16" s="1"/>
  <c r="P84" i="16"/>
  <c r="T84" i="16"/>
  <c r="N89" i="16"/>
  <c r="AO89" i="16" s="1"/>
  <c r="P89" i="16"/>
  <c r="X89" i="16"/>
  <c r="Z89" i="16" s="1"/>
  <c r="AD89" i="16"/>
  <c r="AF89" i="16" s="1"/>
  <c r="D92" i="16"/>
  <c r="L92" i="16" s="1"/>
  <c r="AM97" i="16"/>
  <c r="N98" i="16"/>
  <c r="P98" i="16"/>
  <c r="L96" i="16"/>
  <c r="AO95" i="16" s="1"/>
  <c r="J105" i="16"/>
  <c r="AK105" i="16" s="1"/>
  <c r="P105" i="16"/>
  <c r="L103" i="16"/>
  <c r="AO102" i="16" s="1"/>
  <c r="R102" i="16"/>
  <c r="F106" i="16"/>
  <c r="R116" i="16"/>
  <c r="AK116" i="16"/>
  <c r="L120" i="16"/>
  <c r="AH116" i="16"/>
  <c r="N111" i="16"/>
  <c r="P111" i="16"/>
  <c r="T111" i="16"/>
  <c r="X111" i="16"/>
  <c r="AD111" i="16"/>
  <c r="AF111" i="16" s="1"/>
  <c r="F113" i="16"/>
  <c r="N116" i="16"/>
  <c r="P116" i="16"/>
  <c r="T116" i="16"/>
  <c r="X116" i="16"/>
  <c r="AD116" i="16"/>
  <c r="J117" i="16"/>
  <c r="AH117" i="16" s="1"/>
  <c r="N125" i="16"/>
  <c r="P125" i="16"/>
  <c r="T125" i="16"/>
  <c r="AD125" i="16"/>
  <c r="F127" i="16"/>
  <c r="J126" i="16"/>
  <c r="AH126" i="16" s="1"/>
  <c r="N130" i="16"/>
  <c r="P130" i="16"/>
  <c r="T130" i="16"/>
  <c r="X130" i="16"/>
  <c r="AD130" i="16"/>
  <c r="L131" i="16"/>
  <c r="L134" i="16"/>
  <c r="N138" i="16"/>
  <c r="AO138" i="16" s="1"/>
  <c r="AD138" i="16"/>
  <c r="R138" i="16"/>
  <c r="AH144" i="16"/>
  <c r="R144" i="16"/>
  <c r="AK144" i="16"/>
  <c r="AD181" i="16"/>
  <c r="AF174" i="16"/>
  <c r="AH172" i="16"/>
  <c r="N112" i="16"/>
  <c r="AO112" i="16" s="1"/>
  <c r="P112" i="16"/>
  <c r="T112" i="16"/>
  <c r="J109" i="16"/>
  <c r="AH109" i="16" s="1"/>
  <c r="AM116" i="16"/>
  <c r="N117" i="16"/>
  <c r="AO117" i="16" s="1"/>
  <c r="P117" i="16"/>
  <c r="T117" i="16"/>
  <c r="X117" i="16"/>
  <c r="AD117" i="16"/>
  <c r="AF117" i="16" s="1"/>
  <c r="J118" i="16"/>
  <c r="AK118" i="16" s="1"/>
  <c r="L117" i="16"/>
  <c r="AO116" i="16" s="1"/>
  <c r="N126" i="16"/>
  <c r="AO126" i="16" s="1"/>
  <c r="P126" i="16"/>
  <c r="T126" i="16"/>
  <c r="J123" i="16"/>
  <c r="AH123" i="16" s="1"/>
  <c r="L126" i="16"/>
  <c r="AO125" i="16" s="1"/>
  <c r="AM130" i="16"/>
  <c r="N131" i="16"/>
  <c r="P131" i="16"/>
  <c r="T131" i="16"/>
  <c r="X131" i="16"/>
  <c r="AD131" i="16"/>
  <c r="AF131" i="16" s="1"/>
  <c r="J130" i="16"/>
  <c r="L130" i="16"/>
  <c r="R131" i="16"/>
  <c r="N139" i="16"/>
  <c r="AO139" i="16" s="1"/>
  <c r="AD139" i="16"/>
  <c r="AF139" i="16" s="1"/>
  <c r="L145" i="16"/>
  <c r="L138" i="16"/>
  <c r="R137" i="16"/>
  <c r="AH137" i="16"/>
  <c r="AH153" i="16"/>
  <c r="AK153" i="16"/>
  <c r="N103" i="16"/>
  <c r="AO103" i="16" s="1"/>
  <c r="P103" i="16"/>
  <c r="T103" i="16"/>
  <c r="N109" i="16"/>
  <c r="P109" i="16"/>
  <c r="X109" i="16"/>
  <c r="AD109" i="16"/>
  <c r="AF109" i="16" s="1"/>
  <c r="J110" i="16"/>
  <c r="AH110" i="16" s="1"/>
  <c r="N118" i="16"/>
  <c r="P118" i="16"/>
  <c r="X118" i="16"/>
  <c r="AD118" i="16"/>
  <c r="AF118" i="16" s="1"/>
  <c r="F120" i="16"/>
  <c r="J119" i="16"/>
  <c r="N123" i="16"/>
  <c r="AO123" i="16" s="1"/>
  <c r="P123" i="16"/>
  <c r="X123" i="16"/>
  <c r="Z123" i="16" s="1"/>
  <c r="AD123" i="16"/>
  <c r="AF123" i="16" s="1"/>
  <c r="J124" i="16"/>
  <c r="AH124" i="16" s="1"/>
  <c r="AM131" i="16"/>
  <c r="N132" i="16"/>
  <c r="P132" i="16"/>
  <c r="T132" i="16"/>
  <c r="X132" i="16"/>
  <c r="AD132" i="16"/>
  <c r="AF132" i="16" s="1"/>
  <c r="L132" i="16"/>
  <c r="R132" i="16"/>
  <c r="N140" i="16"/>
  <c r="X138" i="16"/>
  <c r="Z138" i="16" s="1"/>
  <c r="AH138" i="16"/>
  <c r="J140" i="16"/>
  <c r="AK140" i="16" s="1"/>
  <c r="N104" i="16"/>
  <c r="AO104" i="16" s="1"/>
  <c r="T104" i="16"/>
  <c r="N110" i="16"/>
  <c r="AO110" i="16" s="1"/>
  <c r="P110" i="16"/>
  <c r="T110" i="16"/>
  <c r="X110" i="16"/>
  <c r="Z110" i="16" s="1"/>
  <c r="AD110" i="16"/>
  <c r="AF110" i="16" s="1"/>
  <c r="N119" i="16"/>
  <c r="AO119" i="16" s="1"/>
  <c r="P119" i="16"/>
  <c r="T119" i="16"/>
  <c r="N124" i="16"/>
  <c r="AO124" i="16" s="1"/>
  <c r="P124" i="16"/>
  <c r="T124" i="16"/>
  <c r="X124" i="16"/>
  <c r="Z124" i="16" s="1"/>
  <c r="AD124" i="16"/>
  <c r="AM132" i="16"/>
  <c r="AK137" i="16"/>
  <c r="N133" i="16"/>
  <c r="AO133" i="16" s="1"/>
  <c r="P133" i="16"/>
  <c r="T133" i="16"/>
  <c r="AH133" i="16"/>
  <c r="L133" i="16"/>
  <c r="AO132" i="16" s="1"/>
  <c r="AM138" i="16"/>
  <c r="P138" i="16"/>
  <c r="AK139" i="16"/>
  <c r="AH139" i="16"/>
  <c r="AF147" i="16"/>
  <c r="AO146" i="16"/>
  <c r="AK172" i="16"/>
  <c r="AD180" i="16"/>
  <c r="AH140" i="16"/>
  <c r="N144" i="16"/>
  <c r="P144" i="16"/>
  <c r="X144" i="16"/>
  <c r="AD144" i="16"/>
  <c r="J145" i="16"/>
  <c r="L144" i="16"/>
  <c r="AM152" i="16"/>
  <c r="N151" i="16"/>
  <c r="P152" i="16"/>
  <c r="X153" i="16"/>
  <c r="AD151" i="16"/>
  <c r="AF151" i="16" s="1"/>
  <c r="J154" i="16"/>
  <c r="AK154" i="16" s="1"/>
  <c r="L155" i="16"/>
  <c r="N158" i="16"/>
  <c r="AO158" i="16" s="1"/>
  <c r="P159" i="16"/>
  <c r="AD158" i="16"/>
  <c r="J160" i="16"/>
  <c r="AK160" i="16" s="1"/>
  <c r="R161" i="16"/>
  <c r="P165" i="16"/>
  <c r="J166" i="16"/>
  <c r="AK166" i="16" s="1"/>
  <c r="L167" i="16"/>
  <c r="R167" i="16"/>
  <c r="J174" i="16"/>
  <c r="N145" i="16"/>
  <c r="AO145" i="16" s="1"/>
  <c r="P145" i="16"/>
  <c r="X145" i="16"/>
  <c r="Z145" i="16" s="1"/>
  <c r="AD145" i="16"/>
  <c r="AF145" i="16" s="1"/>
  <c r="R147" i="16"/>
  <c r="J146" i="16"/>
  <c r="AK146" i="16" s="1"/>
  <c r="N152" i="16"/>
  <c r="AO152" i="16" s="1"/>
  <c r="P153" i="16"/>
  <c r="AD152" i="16"/>
  <c r="AF152" i="16" s="1"/>
  <c r="R151" i="16"/>
  <c r="N159" i="16"/>
  <c r="AO159" i="16" s="1"/>
  <c r="AD159" i="16"/>
  <c r="N165" i="16"/>
  <c r="AO165" i="16" s="1"/>
  <c r="AD165" i="16"/>
  <c r="AF165" i="16" s="1"/>
  <c r="J168" i="16"/>
  <c r="X174" i="16"/>
  <c r="Z174" i="16" s="1"/>
  <c r="T144" i="16"/>
  <c r="N146" i="16"/>
  <c r="P146" i="16"/>
  <c r="X146" i="16"/>
  <c r="Z146" i="16" s="1"/>
  <c r="AD146" i="16"/>
  <c r="AF146" i="16" s="1"/>
  <c r="J147" i="16"/>
  <c r="AK147" i="16" s="1"/>
  <c r="N153" i="16"/>
  <c r="X151" i="16"/>
  <c r="Z151" i="16" s="1"/>
  <c r="AD153" i="16"/>
  <c r="AF153" i="16" s="1"/>
  <c r="AK151" i="16"/>
  <c r="J152" i="16"/>
  <c r="L152" i="16"/>
  <c r="AO151" i="16" s="1"/>
  <c r="X158" i="16"/>
  <c r="R159" i="16"/>
  <c r="J158" i="16"/>
  <c r="L158" i="16"/>
  <c r="P168" i="16"/>
  <c r="R165" i="16"/>
  <c r="N173" i="16"/>
  <c r="AO173" i="16" s="1"/>
  <c r="P174" i="16"/>
  <c r="R172" i="16"/>
  <c r="T139" i="16"/>
  <c r="N137" i="16"/>
  <c r="P137" i="16"/>
  <c r="X137" i="16"/>
  <c r="Z137" i="16" s="1"/>
  <c r="AD137" i="16"/>
  <c r="AF137" i="16" s="1"/>
  <c r="T145" i="16"/>
  <c r="N147" i="16"/>
  <c r="AO147" i="16" s="1"/>
  <c r="P147" i="16"/>
  <c r="AH147" i="16"/>
  <c r="AM151" i="16"/>
  <c r="AF154" i="16"/>
  <c r="P151" i="16"/>
  <c r="X152" i="16"/>
  <c r="L154" i="16"/>
  <c r="AO153" i="16" s="1"/>
  <c r="R153" i="16"/>
  <c r="T152" i="16"/>
  <c r="R154" i="16"/>
  <c r="AM158" i="16"/>
  <c r="P158" i="16"/>
  <c r="X159" i="16"/>
  <c r="Z159" i="16" s="1"/>
  <c r="J159" i="16"/>
  <c r="AK159" i="16" s="1"/>
  <c r="R160" i="16"/>
  <c r="N168" i="16"/>
  <c r="X165" i="16"/>
  <c r="Z165" i="16" s="1"/>
  <c r="AD168" i="16"/>
  <c r="AF168" i="16" s="1"/>
  <c r="J165" i="16"/>
  <c r="R166" i="16"/>
  <c r="N174" i="16"/>
  <c r="R173" i="16"/>
  <c r="N154" i="16"/>
  <c r="AO154" i="16" s="1"/>
  <c r="P154" i="16"/>
  <c r="N160" i="16"/>
  <c r="AO160" i="16" s="1"/>
  <c r="P160" i="16"/>
  <c r="X160" i="16"/>
  <c r="Z160" i="16" s="1"/>
  <c r="AD160" i="16"/>
  <c r="N166" i="16"/>
  <c r="P166" i="16"/>
  <c r="X166" i="16"/>
  <c r="Z166" i="16" s="1"/>
  <c r="AD166" i="16"/>
  <c r="AF166" i="16" s="1"/>
  <c r="N172" i="16"/>
  <c r="AO172" i="16" s="1"/>
  <c r="P172" i="16"/>
  <c r="X172" i="16"/>
  <c r="Z172" i="16" s="1"/>
  <c r="AD172" i="16"/>
  <c r="V7" i="15"/>
  <c r="L6" i="14"/>
  <c r="A41" i="15"/>
  <c r="A35" i="15"/>
  <c r="A29" i="15"/>
  <c r="A43" i="15"/>
  <c r="A37" i="15"/>
  <c r="A31" i="15"/>
  <c r="AP43" i="15"/>
  <c r="AQ37" i="15"/>
  <c r="A17" i="15"/>
  <c r="A19" i="15"/>
  <c r="H16" i="15"/>
  <c r="F42" i="15"/>
  <c r="G36" i="15"/>
  <c r="J42" i="15"/>
  <c r="K36" i="15"/>
  <c r="N42" i="15"/>
  <c r="S36" i="15"/>
  <c r="R42" i="15"/>
  <c r="V42" i="15"/>
  <c r="Z42" i="15"/>
  <c r="AD42" i="15"/>
  <c r="AH42" i="15"/>
  <c r="AI36" i="15"/>
  <c r="AL42" i="15"/>
  <c r="AP42" i="15"/>
  <c r="AQ36" i="15"/>
  <c r="AX42" i="15"/>
  <c r="AY36" i="15"/>
  <c r="BB42" i="15"/>
  <c r="BC36" i="15"/>
  <c r="BF42" i="15"/>
  <c r="BG36" i="15"/>
  <c r="BJ42" i="15"/>
  <c r="BK36" i="15"/>
  <c r="BN42" i="15"/>
  <c r="BO36" i="15"/>
  <c r="BR42" i="15"/>
  <c r="BS36" i="15"/>
  <c r="BV42" i="15"/>
  <c r="BW36" i="15"/>
  <c r="CA18" i="15"/>
  <c r="CE19" i="15"/>
  <c r="CI18" i="15"/>
  <c r="CM19" i="15"/>
  <c r="CQ18" i="15"/>
  <c r="B41" i="15"/>
  <c r="B23" i="15"/>
  <c r="B29" i="15"/>
  <c r="B35" i="15"/>
  <c r="B43" i="15"/>
  <c r="B25" i="15"/>
  <c r="B31" i="15"/>
  <c r="B37" i="15"/>
  <c r="H23" i="15"/>
  <c r="H35" i="15"/>
  <c r="H29" i="15"/>
  <c r="H31" i="15"/>
  <c r="H25" i="15"/>
  <c r="H37" i="15"/>
  <c r="L35" i="15"/>
  <c r="L29" i="15"/>
  <c r="L31" i="15"/>
  <c r="L37" i="15"/>
  <c r="P35" i="15"/>
  <c r="P29" i="15"/>
  <c r="P37" i="15"/>
  <c r="P31" i="15"/>
  <c r="T35" i="15"/>
  <c r="T29" i="15"/>
  <c r="T37" i="15"/>
  <c r="T31" i="15"/>
  <c r="X35" i="15"/>
  <c r="X29" i="15"/>
  <c r="X37" i="15"/>
  <c r="X31" i="15"/>
  <c r="AL43" i="15"/>
  <c r="AM37" i="15"/>
  <c r="AQ13" i="15"/>
  <c r="B17" i="15"/>
  <c r="B19" i="15"/>
  <c r="F41" i="15"/>
  <c r="G35" i="15"/>
  <c r="H19" i="15"/>
  <c r="J41" i="15"/>
  <c r="K35" i="15"/>
  <c r="L19" i="15"/>
  <c r="N41" i="15"/>
  <c r="O35" i="15"/>
  <c r="P19" i="15"/>
  <c r="R41" i="15"/>
  <c r="T19" i="15"/>
  <c r="V41" i="15"/>
  <c r="X19" i="15"/>
  <c r="Z41" i="15"/>
  <c r="AD41" i="15"/>
  <c r="AI35" i="15"/>
  <c r="AH41" i="15"/>
  <c r="AM35" i="15"/>
  <c r="AL41" i="15"/>
  <c r="AQ35" i="15"/>
  <c r="AP41" i="15"/>
  <c r="AY35" i="15"/>
  <c r="AX41" i="15"/>
  <c r="BC35" i="15"/>
  <c r="BB41" i="15"/>
  <c r="BG35" i="15"/>
  <c r="BF41" i="15"/>
  <c r="BK35" i="15"/>
  <c r="BJ41" i="15"/>
  <c r="BO35" i="15"/>
  <c r="BN41" i="15"/>
  <c r="BS35" i="15"/>
  <c r="BR41" i="15"/>
  <c r="BW35" i="15"/>
  <c r="BV41" i="15"/>
  <c r="BZ35" i="15"/>
  <c r="CA17" i="15"/>
  <c r="CD42" i="15"/>
  <c r="CE36" i="15"/>
  <c r="CH35" i="15"/>
  <c r="CI17" i="15"/>
  <c r="CH43" i="15"/>
  <c r="CI37" i="15"/>
  <c r="CL42" i="15"/>
  <c r="CM36" i="15"/>
  <c r="CP35" i="15"/>
  <c r="CQ17" i="15"/>
  <c r="L25" i="15"/>
  <c r="T25" i="15"/>
  <c r="A40" i="15"/>
  <c r="A28" i="15"/>
  <c r="A34" i="15"/>
  <c r="A42" i="15"/>
  <c r="A30" i="15"/>
  <c r="A36" i="15"/>
  <c r="AU35" i="15"/>
  <c r="AT41" i="15"/>
  <c r="AM13" i="15"/>
  <c r="A16" i="15"/>
  <c r="A18" i="15"/>
  <c r="F40" i="15"/>
  <c r="G34" i="15"/>
  <c r="G17" i="15"/>
  <c r="J40" i="15"/>
  <c r="K34" i="15"/>
  <c r="K17" i="15"/>
  <c r="N40" i="15"/>
  <c r="O34" i="15"/>
  <c r="O17" i="15"/>
  <c r="R40" i="15"/>
  <c r="S34" i="15"/>
  <c r="S17" i="15"/>
  <c r="V40" i="15"/>
  <c r="W34" i="15"/>
  <c r="W17" i="15"/>
  <c r="Z40" i="15"/>
  <c r="AA34" i="15"/>
  <c r="AA17" i="15"/>
  <c r="AD40" i="15"/>
  <c r="AE17" i="15"/>
  <c r="AH40" i="15"/>
  <c r="AI34" i="15"/>
  <c r="AI17" i="15"/>
  <c r="AM34" i="15"/>
  <c r="AL40" i="15"/>
  <c r="AM17" i="15"/>
  <c r="AP40" i="15"/>
  <c r="AQ34" i="15"/>
  <c r="AQ17" i="15"/>
  <c r="AT40" i="15"/>
  <c r="AU34" i="15"/>
  <c r="AX40" i="15"/>
  <c r="AY34" i="15"/>
  <c r="AY17" i="15"/>
  <c r="BB40" i="15"/>
  <c r="BC34" i="15"/>
  <c r="BC17" i="15"/>
  <c r="BF40" i="15"/>
  <c r="BG34" i="15"/>
  <c r="BG17" i="15"/>
  <c r="BJ40" i="15"/>
  <c r="BK34" i="15"/>
  <c r="BK17" i="15"/>
  <c r="BN40" i="15"/>
  <c r="BO34" i="15"/>
  <c r="BO17" i="15"/>
  <c r="BR40" i="15"/>
  <c r="BS34" i="15"/>
  <c r="BS17" i="15"/>
  <c r="BV40" i="15"/>
  <c r="BW34" i="15"/>
  <c r="BW17" i="15"/>
  <c r="CA19" i="15"/>
  <c r="CE18" i="15"/>
  <c r="CI19" i="15"/>
  <c r="CM18" i="15"/>
  <c r="A25" i="15"/>
  <c r="L23" i="15"/>
  <c r="T23" i="15"/>
  <c r="B40" i="15"/>
  <c r="B34" i="15"/>
  <c r="B28" i="15"/>
  <c r="B42" i="15"/>
  <c r="B36" i="15"/>
  <c r="B30" i="15"/>
  <c r="H34" i="15"/>
  <c r="H28" i="15"/>
  <c r="H30" i="15"/>
  <c r="H36" i="15"/>
  <c r="L34" i="15"/>
  <c r="L22" i="15"/>
  <c r="L28" i="15"/>
  <c r="L30" i="15"/>
  <c r="L24" i="15"/>
  <c r="L36" i="15"/>
  <c r="P34" i="15"/>
  <c r="P22" i="15"/>
  <c r="P28" i="15"/>
  <c r="P36" i="15"/>
  <c r="P24" i="15"/>
  <c r="P30" i="15"/>
  <c r="T34" i="15"/>
  <c r="T22" i="15"/>
  <c r="T28" i="15"/>
  <c r="T36" i="15"/>
  <c r="T24" i="15"/>
  <c r="T30" i="15"/>
  <c r="X34" i="15"/>
  <c r="X22" i="15"/>
  <c r="X28" i="15"/>
  <c r="X36" i="15"/>
  <c r="X24" i="15"/>
  <c r="X30" i="15"/>
  <c r="AT42" i="15"/>
  <c r="AU36" i="15"/>
  <c r="B16" i="15"/>
  <c r="B18" i="15"/>
  <c r="G16" i="15"/>
  <c r="H17" i="15"/>
  <c r="F43" i="15"/>
  <c r="G37" i="15"/>
  <c r="K16" i="15"/>
  <c r="L17" i="15"/>
  <c r="J43" i="15"/>
  <c r="K37" i="15"/>
  <c r="O16" i="15"/>
  <c r="P17" i="15"/>
  <c r="N43" i="15"/>
  <c r="O37" i="15"/>
  <c r="S16" i="15"/>
  <c r="T17" i="15"/>
  <c r="R43" i="15"/>
  <c r="S37" i="15"/>
  <c r="W16" i="15"/>
  <c r="X17" i="15"/>
  <c r="V43" i="15"/>
  <c r="W37" i="15"/>
  <c r="AA16" i="15"/>
  <c r="Z43" i="15"/>
  <c r="AA37" i="15"/>
  <c r="AE16" i="15"/>
  <c r="AD43" i="15"/>
  <c r="AI16" i="15"/>
  <c r="AH43" i="15"/>
  <c r="AI37" i="15"/>
  <c r="AM16" i="15"/>
  <c r="AQ16" i="15"/>
  <c r="AU16" i="15"/>
  <c r="AT43" i="15"/>
  <c r="AU37" i="15"/>
  <c r="AY16" i="15"/>
  <c r="AX43" i="15"/>
  <c r="AY37" i="15"/>
  <c r="BC16" i="15"/>
  <c r="BB43" i="15"/>
  <c r="BC37" i="15"/>
  <c r="BG16" i="15"/>
  <c r="BF43" i="15"/>
  <c r="BG37" i="15"/>
  <c r="BK16" i="15"/>
  <c r="BJ43" i="15"/>
  <c r="BK37" i="15"/>
  <c r="BO16" i="15"/>
  <c r="BN43" i="15"/>
  <c r="BO37" i="15"/>
  <c r="BS16" i="15"/>
  <c r="BR43" i="15"/>
  <c r="BS37" i="15"/>
  <c r="BW16" i="15"/>
  <c r="BV43" i="15"/>
  <c r="BW37" i="15"/>
  <c r="CA16" i="15"/>
  <c r="BZ42" i="15"/>
  <c r="CA36" i="15"/>
  <c r="CD35" i="15"/>
  <c r="CE17" i="15"/>
  <c r="CD43" i="15"/>
  <c r="CE37" i="15"/>
  <c r="CH42" i="15"/>
  <c r="CI36" i="15"/>
  <c r="CL35" i="15"/>
  <c r="CM17" i="15"/>
  <c r="CL43" i="15"/>
  <c r="CM37" i="15"/>
  <c r="CP42" i="15"/>
  <c r="CQ36" i="15"/>
  <c r="A23" i="15"/>
  <c r="H24" i="15"/>
  <c r="P25" i="15"/>
  <c r="X25" i="15"/>
  <c r="AI30" i="15"/>
  <c r="K31" i="15"/>
  <c r="AI29" i="15"/>
  <c r="K30" i="15"/>
  <c r="CA34" i="15"/>
  <c r="BZ40" i="15"/>
  <c r="CD40" i="15"/>
  <c r="CE34" i="15"/>
  <c r="CH40" i="15"/>
  <c r="CI34" i="15"/>
  <c r="CL40" i="15"/>
  <c r="CM34" i="15"/>
  <c r="CP40" i="15"/>
  <c r="CQ34" i="15"/>
  <c r="H44" i="14"/>
  <c r="H50" i="14" s="1"/>
  <c r="H32" i="14"/>
  <c r="AP44" i="14"/>
  <c r="AP50" i="14" s="1"/>
  <c r="AP32" i="14"/>
  <c r="AP56" i="14" s="1"/>
  <c r="N56" i="14"/>
  <c r="V56" i="14"/>
  <c r="AD56" i="14"/>
  <c r="H51" i="14"/>
  <c r="H33" i="14"/>
  <c r="H57" i="14" s="1"/>
  <c r="H45" i="14"/>
  <c r="AP51" i="14"/>
  <c r="AP45" i="14"/>
  <c r="AP33" i="14"/>
  <c r="AP57" i="14" s="1"/>
  <c r="H46" i="14"/>
  <c r="H52" i="14"/>
  <c r="H34" i="14"/>
  <c r="H58" i="14" s="1"/>
  <c r="AP46" i="14"/>
  <c r="AP52" i="14" s="1"/>
  <c r="AP34" i="14"/>
  <c r="AR44" i="14"/>
  <c r="AR50" i="14" s="1"/>
  <c r="AR32" i="14"/>
  <c r="AP47" i="14"/>
  <c r="AP53" i="14"/>
  <c r="AP35" i="14"/>
  <c r="D56" i="14"/>
  <c r="D51" i="14"/>
  <c r="N51" i="14"/>
  <c r="V51" i="14"/>
  <c r="Z51" i="14"/>
  <c r="AD51" i="14"/>
  <c r="AT32" i="14"/>
  <c r="AT56" i="14" s="1"/>
  <c r="AT33" i="14"/>
  <c r="AT57" i="14" s="1"/>
  <c r="AT34" i="14"/>
  <c r="AT58" i="14" s="1"/>
  <c r="D34" i="14"/>
  <c r="D58" i="14" s="1"/>
  <c r="F34" i="14"/>
  <c r="F58" i="14" s="1"/>
  <c r="J34" i="14"/>
  <c r="J58" i="14" s="1"/>
  <c r="L34" i="14"/>
  <c r="L58" i="14" s="1"/>
  <c r="N34" i="14"/>
  <c r="N58" i="14" s="1"/>
  <c r="P34" i="14"/>
  <c r="P58" i="14" s="1"/>
  <c r="R34" i="14"/>
  <c r="R58" i="14" s="1"/>
  <c r="T34" i="14"/>
  <c r="T58" i="14" s="1"/>
  <c r="V34" i="14"/>
  <c r="V58" i="14" s="1"/>
  <c r="X34" i="14"/>
  <c r="X58" i="14" s="1"/>
  <c r="Z34" i="14"/>
  <c r="Z58" i="14" s="1"/>
  <c r="AB34" i="14"/>
  <c r="AB58" i="14" s="1"/>
  <c r="AD34" i="14"/>
  <c r="AD58" i="14" s="1"/>
  <c r="AF34" i="14"/>
  <c r="AF58" i="14" s="1"/>
  <c r="AH34" i="14"/>
  <c r="AN33" i="14"/>
  <c r="D45" i="14"/>
  <c r="L45" i="14"/>
  <c r="L51" i="14" s="1"/>
  <c r="T45" i="14"/>
  <c r="T51" i="14" s="1"/>
  <c r="AB45" i="14"/>
  <c r="AB51" i="14" s="1"/>
  <c r="AJ45" i="14"/>
  <c r="AJ51" i="14" s="1"/>
  <c r="AS47" i="14"/>
  <c r="AS53" i="14" s="1"/>
  <c r="AT51" i="14"/>
  <c r="P52" i="14"/>
  <c r="X52" i="14"/>
  <c r="AF52" i="14"/>
  <c r="AN52" i="14"/>
  <c r="AL33" i="14"/>
  <c r="AN34" i="14"/>
  <c r="AN58" i="14" s="1"/>
  <c r="AS44" i="14"/>
  <c r="AS50" i="14" s="1"/>
  <c r="F45" i="14"/>
  <c r="F51" i="14" s="1"/>
  <c r="N45" i="14"/>
  <c r="V45" i="14"/>
  <c r="AD45" i="14"/>
  <c r="AL45" i="14"/>
  <c r="AL51" i="14" s="1"/>
  <c r="AT52" i="14"/>
  <c r="J52" i="14"/>
  <c r="R52" i="14"/>
  <c r="Z52" i="14"/>
  <c r="AH52" i="14"/>
  <c r="AU44" i="14"/>
  <c r="AU56" i="14" s="1"/>
  <c r="AU45" i="14"/>
  <c r="AU51" i="14" s="1"/>
  <c r="AU46" i="14"/>
  <c r="AU58" i="14" s="1"/>
  <c r="D47" i="14"/>
  <c r="D53" i="14" s="1"/>
  <c r="F47" i="14"/>
  <c r="F59" i="14" s="1"/>
  <c r="H47" i="14"/>
  <c r="H53" i="14" s="1"/>
  <c r="J47" i="14"/>
  <c r="J59" i="14" s="1"/>
  <c r="L47" i="14"/>
  <c r="L53" i="14" s="1"/>
  <c r="N47" i="14"/>
  <c r="N59" i="14" s="1"/>
  <c r="P47" i="14"/>
  <c r="P53" i="14" s="1"/>
  <c r="R47" i="14"/>
  <c r="R59" i="14" s="1"/>
  <c r="T47" i="14"/>
  <c r="T53" i="14" s="1"/>
  <c r="AB68" i="3" s="1"/>
  <c r="V47" i="14"/>
  <c r="V59" i="14" s="1"/>
  <c r="X47" i="14"/>
  <c r="X53" i="14" s="1"/>
  <c r="Z47" i="14"/>
  <c r="Z59" i="14" s="1"/>
  <c r="AB47" i="14"/>
  <c r="AB53" i="14" s="1"/>
  <c r="AD47" i="14"/>
  <c r="AD59" i="14" s="1"/>
  <c r="AF47" i="14"/>
  <c r="AF53" i="14" s="1"/>
  <c r="AH47" i="14"/>
  <c r="AH59" i="14" s="1"/>
  <c r="AJ47" i="14"/>
  <c r="AJ53" i="14" s="1"/>
  <c r="AL47" i="14"/>
  <c r="AL53" i="14" s="1"/>
  <c r="AN47" i="14"/>
  <c r="AN53" i="14" s="1"/>
  <c r="AJ33" i="14"/>
  <c r="AJ57" i="14" s="1"/>
  <c r="AL34" i="14"/>
  <c r="AL58" i="14" s="1"/>
  <c r="AN35" i="14"/>
  <c r="AN59" i="14" s="1"/>
  <c r="AS35" i="14"/>
  <c r="AS59" i="14" s="1"/>
  <c r="AS45" i="14"/>
  <c r="AS51" i="14" s="1"/>
  <c r="P45" i="14"/>
  <c r="P51" i="14" s="1"/>
  <c r="X45" i="14"/>
  <c r="X51" i="14" s="1"/>
  <c r="AF45" i="14"/>
  <c r="AF51" i="14" s="1"/>
  <c r="AN45" i="14"/>
  <c r="AN51" i="14" s="1"/>
  <c r="D52" i="14"/>
  <c r="L52" i="14"/>
  <c r="T52" i="14"/>
  <c r="AB52" i="14"/>
  <c r="AJ52" i="14"/>
  <c r="AT53" i="14"/>
  <c r="AR45" i="14"/>
  <c r="AR57" i="14" s="1"/>
  <c r="AR51" i="14"/>
  <c r="AR46" i="14"/>
  <c r="AR58" i="14" s="1"/>
  <c r="AR52" i="14"/>
  <c r="D44" i="14"/>
  <c r="D50" i="14"/>
  <c r="F44" i="14"/>
  <c r="F56" i="14" s="1"/>
  <c r="F50" i="14"/>
  <c r="J44" i="14"/>
  <c r="J56" i="14" s="1"/>
  <c r="J50" i="14"/>
  <c r="L44" i="14"/>
  <c r="L56" i="14" s="1"/>
  <c r="L50" i="14"/>
  <c r="N44" i="14"/>
  <c r="N50" i="14"/>
  <c r="P44" i="14"/>
  <c r="P56" i="14" s="1"/>
  <c r="P50" i="14"/>
  <c r="R44" i="14"/>
  <c r="R56" i="14" s="1"/>
  <c r="R50" i="14"/>
  <c r="T44" i="14"/>
  <c r="T56" i="14" s="1"/>
  <c r="T50" i="14"/>
  <c r="V44" i="14"/>
  <c r="V50" i="14"/>
  <c r="X44" i="14"/>
  <c r="X56" i="14" s="1"/>
  <c r="X50" i="14"/>
  <c r="Z44" i="14"/>
  <c r="Z56" i="14" s="1"/>
  <c r="Z50" i="14"/>
  <c r="AB44" i="14"/>
  <c r="AB56" i="14" s="1"/>
  <c r="AB50" i="14"/>
  <c r="AD44" i="14"/>
  <c r="AD50" i="14"/>
  <c r="AF44" i="14"/>
  <c r="AF56" i="14" s="1"/>
  <c r="AF50" i="14"/>
  <c r="AH44" i="14"/>
  <c r="AH56" i="14" s="1"/>
  <c r="AH50" i="14"/>
  <c r="AJ44" i="14"/>
  <c r="AJ32" i="14"/>
  <c r="AJ56" i="14" s="1"/>
  <c r="AJ50" i="14"/>
  <c r="AL44" i="14"/>
  <c r="AL32" i="14"/>
  <c r="AL50" i="14"/>
  <c r="AN44" i="14"/>
  <c r="AN32" i="14"/>
  <c r="AN56" i="14" s="1"/>
  <c r="AN50" i="14"/>
  <c r="AR47" i="14"/>
  <c r="AR53" i="14" s="1"/>
  <c r="AR35" i="14"/>
  <c r="AS32" i="14"/>
  <c r="AS56" i="14" s="1"/>
  <c r="AS33" i="14"/>
  <c r="AS57" i="14" s="1"/>
  <c r="AS34" i="14"/>
  <c r="D33" i="14"/>
  <c r="D57" i="14" s="1"/>
  <c r="F33" i="14"/>
  <c r="J33" i="14"/>
  <c r="J57" i="14" s="1"/>
  <c r="L33" i="14"/>
  <c r="L57" i="14" s="1"/>
  <c r="N33" i="14"/>
  <c r="N57" i="14" s="1"/>
  <c r="P33" i="14"/>
  <c r="P57" i="14" s="1"/>
  <c r="R33" i="14"/>
  <c r="R57" i="14" s="1"/>
  <c r="T33" i="14"/>
  <c r="V33" i="14"/>
  <c r="V57" i="14" s="1"/>
  <c r="X33" i="14"/>
  <c r="Z33" i="14"/>
  <c r="Z57" i="14" s="1"/>
  <c r="AB33" i="14"/>
  <c r="AB57" i="14" s="1"/>
  <c r="AD33" i="14"/>
  <c r="AD57" i="14" s="1"/>
  <c r="AF33" i="14"/>
  <c r="AF57" i="14" s="1"/>
  <c r="AH33" i="14"/>
  <c r="AH57" i="14" s="1"/>
  <c r="AJ34" i="14"/>
  <c r="AJ58" i="14" s="1"/>
  <c r="AL35" i="14"/>
  <c r="AL59" i="14" s="1"/>
  <c r="AT35" i="14"/>
  <c r="AT59" i="14" s="1"/>
  <c r="AS46" i="14"/>
  <c r="AS52" i="14" s="1"/>
  <c r="J45" i="14"/>
  <c r="J51" i="14" s="1"/>
  <c r="R45" i="14"/>
  <c r="R51" i="14" s="1"/>
  <c r="AH45" i="14"/>
  <c r="AH51" i="14" s="1"/>
  <c r="AT50" i="14"/>
  <c r="F52" i="14"/>
  <c r="N52" i="14"/>
  <c r="V52" i="14"/>
  <c r="AD52" i="14"/>
  <c r="AL52" i="14"/>
  <c r="AM80" i="12"/>
  <c r="AJ32" i="13"/>
  <c r="AR32" i="13"/>
  <c r="AU80" i="12"/>
  <c r="AD73" i="13"/>
  <c r="AD34" i="13"/>
  <c r="AO80" i="12"/>
  <c r="AL32" i="13"/>
  <c r="AW80" i="12"/>
  <c r="AT32" i="13"/>
  <c r="AF34" i="13"/>
  <c r="AF73" i="13"/>
  <c r="AQ80" i="12"/>
  <c r="AN32" i="13"/>
  <c r="AR73" i="13"/>
  <c r="AR34" i="13"/>
  <c r="AP32" i="13"/>
  <c r="AS80" i="12"/>
  <c r="AT73" i="13"/>
  <c r="AT34" i="13"/>
  <c r="AT54" i="13"/>
  <c r="AT65" i="13" s="1"/>
  <c r="Z72" i="13"/>
  <c r="AB72" i="13" s="1"/>
  <c r="AD72" i="13" s="1"/>
  <c r="X68" i="13"/>
  <c r="AD54" i="13"/>
  <c r="AD65" i="13" s="1"/>
  <c r="BA37" i="12"/>
  <c r="BC37" i="12" s="1"/>
  <c r="BE37" i="12" s="1"/>
  <c r="BG37" i="12" s="1"/>
  <c r="BI37" i="12" s="1"/>
  <c r="AP73" i="13"/>
  <c r="AP34" i="13"/>
  <c r="AP54" i="13" s="1"/>
  <c r="AF54" i="13"/>
  <c r="AF65" i="13" s="1"/>
  <c r="AF57" i="13"/>
  <c r="AH76" i="13"/>
  <c r="BF76" i="13"/>
  <c r="AR54" i="13"/>
  <c r="AR65" i="13" s="1"/>
  <c r="R75" i="13"/>
  <c r="R76" i="13" s="1"/>
  <c r="Z75" i="13"/>
  <c r="Z76" i="13" s="1"/>
  <c r="AH75" i="13"/>
  <c r="AP75" i="13"/>
  <c r="AP76" i="13" s="1"/>
  <c r="AX75" i="13"/>
  <c r="AX76" i="13" s="1"/>
  <c r="BF75" i="13"/>
  <c r="D54" i="13"/>
  <c r="D57" i="13" s="1"/>
  <c r="T68" i="13"/>
  <c r="T69" i="13" s="1"/>
  <c r="V69" i="13"/>
  <c r="AB68" i="13"/>
  <c r="AB69" i="13" s="1"/>
  <c r="P75" i="13"/>
  <c r="P76" i="13" s="1"/>
  <c r="X75" i="13"/>
  <c r="X76" i="13" s="1"/>
  <c r="AV75" i="13"/>
  <c r="AV76" i="13" s="1"/>
  <c r="S39" i="12"/>
  <c r="S48" i="12" s="1"/>
  <c r="S58" i="12" s="1"/>
  <c r="S76" i="12"/>
  <c r="AW39" i="12"/>
  <c r="AE39" i="12"/>
  <c r="AE48" i="12" s="1"/>
  <c r="AE58" i="12" s="1"/>
  <c r="BA42" i="12"/>
  <c r="AY46" i="12"/>
  <c r="AI58" i="12"/>
  <c r="BC51" i="12"/>
  <c r="E74" i="12"/>
  <c r="E75" i="12"/>
  <c r="G75" i="12"/>
  <c r="G74" i="12"/>
  <c r="I74" i="12"/>
  <c r="I75" i="12"/>
  <c r="M74" i="12"/>
  <c r="M75" i="12"/>
  <c r="O75" i="12"/>
  <c r="O74" i="12"/>
  <c r="Q74" i="12"/>
  <c r="U74" i="12"/>
  <c r="U75" i="12"/>
  <c r="W75" i="12"/>
  <c r="W74" i="12"/>
  <c r="AG14" i="12"/>
  <c r="AG28" i="12" s="1"/>
  <c r="AG81" i="12"/>
  <c r="AA39" i="12"/>
  <c r="AA48" i="12" s="1"/>
  <c r="AA58" i="12" s="1"/>
  <c r="AA76" i="12"/>
  <c r="AM41" i="12"/>
  <c r="AK46" i="12"/>
  <c r="AW46" i="12"/>
  <c r="BG76" i="12"/>
  <c r="AE74" i="12"/>
  <c r="AK75" i="12"/>
  <c r="AS75" i="12"/>
  <c r="AE84" i="12"/>
  <c r="AC39" i="12"/>
  <c r="AC48" i="12" s="1"/>
  <c r="AC58" i="12" s="1"/>
  <c r="AK48" i="12"/>
  <c r="AK58" i="12" s="1"/>
  <c r="I58" i="12"/>
  <c r="Q58" i="12"/>
  <c r="Y58" i="12"/>
  <c r="Y75" i="12"/>
  <c r="AQ74" i="12"/>
  <c r="AO75" i="12"/>
  <c r="AG39" i="12"/>
  <c r="AG48" i="12" s="1"/>
  <c r="AG58" i="12" s="1"/>
  <c r="AG64" i="12" s="1"/>
  <c r="E58" i="12"/>
  <c r="E64" i="12" s="1"/>
  <c r="M58" i="12"/>
  <c r="U58" i="12"/>
  <c r="AA74" i="12"/>
  <c r="AG75" i="12"/>
  <c r="AU74" i="12"/>
  <c r="AM53" i="11"/>
  <c r="AM14" i="11"/>
  <c r="CE54" i="11"/>
  <c r="CG10" i="11"/>
  <c r="CG54" i="11" s="1"/>
  <c r="R17" i="8"/>
  <c r="R211" i="8" s="1"/>
  <c r="R210" i="8" s="1"/>
  <c r="DL29" i="11"/>
  <c r="DI29" i="11"/>
  <c r="Y140" i="8"/>
  <c r="DC14" i="11"/>
  <c r="CW29" i="11"/>
  <c r="V140" i="8"/>
  <c r="L417" i="30"/>
  <c r="L413" i="30"/>
  <c r="CO10" i="11"/>
  <c r="CR10" i="11"/>
  <c r="T41" i="8"/>
  <c r="BC19" i="11"/>
  <c r="BC23" i="11" s="1"/>
  <c r="J137" i="30"/>
  <c r="L141" i="30" s="1"/>
  <c r="AZ23" i="11"/>
  <c r="AZ33" i="11"/>
  <c r="BC28" i="11"/>
  <c r="J239" i="30"/>
  <c r="L438" i="30"/>
  <c r="G235" i="8"/>
  <c r="O235" i="8"/>
  <c r="BD19" i="11"/>
  <c r="BE23" i="11"/>
  <c r="L368" i="30"/>
  <c r="L378" i="30"/>
  <c r="U378" i="30" s="1"/>
  <c r="L389" i="30"/>
  <c r="L420" i="30"/>
  <c r="N420" i="30" s="1"/>
  <c r="L434" i="30"/>
  <c r="Z448" i="30"/>
  <c r="Z452" i="30" s="1"/>
  <c r="Z453" i="30" s="1"/>
  <c r="Z454" i="30" s="1"/>
  <c r="Z455" i="30" s="1"/>
  <c r="BY56" i="11"/>
  <c r="AW56" i="11"/>
  <c r="L414" i="30"/>
  <c r="I235" i="8"/>
  <c r="U14" i="11"/>
  <c r="CA56" i="11"/>
  <c r="CC13" i="11"/>
  <c r="CC56" i="11" s="1"/>
  <c r="CS56" i="11"/>
  <c r="AW28" i="11"/>
  <c r="AR33" i="11"/>
  <c r="BE34" i="11"/>
  <c r="BM33" i="11"/>
  <c r="BI55" i="11"/>
  <c r="CK56" i="11"/>
  <c r="CO29" i="11"/>
  <c r="BI34" i="11"/>
  <c r="BM38" i="11"/>
  <c r="BH42" i="11"/>
  <c r="BT50" i="11"/>
  <c r="BY46" i="11"/>
  <c r="CC29" i="11"/>
  <c r="CC54" i="11" s="1"/>
  <c r="CB54" i="11" s="1"/>
  <c r="Q234" i="8" s="1"/>
  <c r="Q235" i="8" s="1"/>
  <c r="T57" i="11"/>
  <c r="Y53" i="11"/>
  <c r="U58" i="11"/>
  <c r="D31" i="42"/>
  <c r="H31" i="42" s="1"/>
  <c r="H16" i="42"/>
  <c r="K28" i="42"/>
  <c r="N28" i="42"/>
  <c r="D29" i="42"/>
  <c r="H29" i="42" s="1"/>
  <c r="I14" i="42"/>
  <c r="K14" i="42"/>
  <c r="N13" i="42"/>
  <c r="T15" i="42"/>
  <c r="D15" i="42"/>
  <c r="O15" i="42"/>
  <c r="N16" i="42"/>
  <c r="R16" i="42"/>
  <c r="F14" i="42"/>
  <c r="I16" i="42"/>
  <c r="R17" i="42"/>
  <c r="I20" i="42"/>
  <c r="F20" i="42"/>
  <c r="L24" i="42"/>
  <c r="X24" i="42"/>
  <c r="AD13" i="42"/>
  <c r="F15" i="42"/>
  <c r="J17" i="42"/>
  <c r="I17" i="42" s="1"/>
  <c r="W17" i="42"/>
  <c r="AA17" i="42"/>
  <c r="L23" i="42"/>
  <c r="O21" i="42"/>
  <c r="R20" i="42"/>
  <c r="R22" i="42"/>
  <c r="U21" i="42"/>
  <c r="U23" i="42"/>
  <c r="X21" i="42"/>
  <c r="X23" i="42"/>
  <c r="AA21" i="42"/>
  <c r="AA23" i="42"/>
  <c r="U24" i="42"/>
  <c r="AC24" i="42"/>
  <c r="G24" i="42"/>
  <c r="M25" i="42"/>
  <c r="Y25" i="42"/>
  <c r="Z25" i="42" s="1"/>
  <c r="J29" i="42"/>
  <c r="K29" i="42" s="1"/>
  <c r="J31" i="42"/>
  <c r="K31" i="42" s="1"/>
  <c r="P30" i="42"/>
  <c r="Q30" i="42" s="1"/>
  <c r="D13" i="42"/>
  <c r="I15" i="42"/>
  <c r="Q15" i="42"/>
  <c r="P16" i="42"/>
  <c r="AD14" i="42"/>
  <c r="F16" i="42"/>
  <c r="F17" i="42"/>
  <c r="L17" i="42"/>
  <c r="X17" i="42"/>
  <c r="K20" i="42"/>
  <c r="N20" i="42"/>
  <c r="J24" i="42"/>
  <c r="N24" i="42" s="1"/>
  <c r="N31" i="42"/>
  <c r="AC8" i="42"/>
  <c r="AF6" i="42"/>
  <c r="AF8" i="42"/>
  <c r="L13" i="42"/>
  <c r="L15" i="42"/>
  <c r="R14" i="42"/>
  <c r="AD15" i="42"/>
  <c r="U17" i="42"/>
  <c r="H20" i="42"/>
  <c r="AA20" i="42"/>
  <c r="W24" i="42"/>
  <c r="AJ24" i="42" s="1"/>
  <c r="DM72" i="3"/>
  <c r="DM82" i="3"/>
  <c r="W211" i="8"/>
  <c r="W210" i="8" s="1"/>
  <c r="W20" i="8"/>
  <c r="AA210" i="8"/>
  <c r="B216" i="8"/>
  <c r="B20" i="8"/>
  <c r="DN72" i="3"/>
  <c r="C200" i="8"/>
  <c r="C256" i="8" s="1"/>
  <c r="C104" i="8"/>
  <c r="AE104" i="8"/>
  <c r="AE200" i="8"/>
  <c r="AE56" i="8"/>
  <c r="D5" i="8"/>
  <c r="AG200" i="8"/>
  <c r="AG256" i="8" s="1"/>
  <c r="AG56" i="8"/>
  <c r="AG104" i="8"/>
  <c r="L126" i="8"/>
  <c r="K126" i="8"/>
  <c r="K130" i="8"/>
  <c r="H210" i="8"/>
  <c r="L210" i="8"/>
  <c r="I216" i="8"/>
  <c r="X81" i="8"/>
  <c r="AB81" i="8"/>
  <c r="L180" i="8"/>
  <c r="L174" i="8"/>
  <c r="X77" i="8"/>
  <c r="AA81" i="8"/>
  <c r="AB77" i="8"/>
  <c r="AA77" i="8"/>
  <c r="AA78" i="8" s="1"/>
  <c r="O111" i="8"/>
  <c r="I115" i="8"/>
  <c r="I119" i="8" s="1"/>
  <c r="H132" i="8"/>
  <c r="H126" i="8" s="1"/>
  <c r="O161" i="8"/>
  <c r="O160" i="8"/>
  <c r="O155" i="8"/>
  <c r="O156" i="8" s="1"/>
  <c r="F70" i="8"/>
  <c r="AG80" i="8"/>
  <c r="O107" i="8"/>
  <c r="N110" i="8"/>
  <c r="N107" i="8"/>
  <c r="S107" i="8"/>
  <c r="R110" i="8"/>
  <c r="R107" i="8"/>
  <c r="V110" i="8"/>
  <c r="V107" i="8"/>
  <c r="L130" i="8"/>
  <c r="W202" i="8"/>
  <c r="U112" i="8"/>
  <c r="U111" i="8"/>
  <c r="M163" i="8"/>
  <c r="M167" i="8" s="1"/>
  <c r="L168" i="8"/>
  <c r="Y77" i="8"/>
  <c r="AC77" i="8"/>
  <c r="L110" i="8"/>
  <c r="L107" i="8"/>
  <c r="P110" i="8"/>
  <c r="P107" i="8"/>
  <c r="T110" i="8"/>
  <c r="T107" i="8"/>
  <c r="M107" i="8"/>
  <c r="K110" i="8"/>
  <c r="K107" i="8"/>
  <c r="M112" i="8"/>
  <c r="M111" i="8"/>
  <c r="L109" i="8"/>
  <c r="P109" i="8"/>
  <c r="T109" i="8"/>
  <c r="P159" i="8"/>
  <c r="M159" i="8"/>
  <c r="O205" i="8"/>
  <c r="S205" i="8"/>
  <c r="S10" i="8" s="1"/>
  <c r="W205" i="8"/>
  <c r="C202" i="8"/>
  <c r="O202" i="8"/>
  <c r="H237" i="8"/>
  <c r="V229" i="8"/>
  <c r="W225" i="8"/>
  <c r="H207" i="8"/>
  <c r="B218" i="8"/>
  <c r="U229" i="8"/>
  <c r="Q270" i="8"/>
  <c r="Q271" i="8"/>
  <c r="W229" i="8"/>
  <c r="S259" i="8"/>
  <c r="T264" i="8"/>
  <c r="Q259" i="8"/>
  <c r="P271" i="8"/>
  <c r="P272" i="8" s="1"/>
  <c r="R259" i="8"/>
  <c r="V259" i="8"/>
  <c r="Q274" i="8"/>
  <c r="Y16" i="3"/>
  <c r="AS62" i="7"/>
  <c r="D25" i="10"/>
  <c r="D30" i="10"/>
  <c r="S34" i="10"/>
  <c r="H28" i="10"/>
  <c r="L28" i="10"/>
  <c r="AR60" i="7"/>
  <c r="AR66" i="7" s="1"/>
  <c r="C34" i="10"/>
  <c r="C25" i="10"/>
  <c r="K34" i="10"/>
  <c r="D12" i="10"/>
  <c r="H12" i="10"/>
  <c r="T12" i="10"/>
  <c r="X12" i="10"/>
  <c r="D16" i="10"/>
  <c r="H16" i="10"/>
  <c r="M20" i="10"/>
  <c r="Q20" i="10"/>
  <c r="V20" i="10"/>
  <c r="M25" i="10"/>
  <c r="T28" i="10"/>
  <c r="X28" i="10"/>
  <c r="W34" i="10"/>
  <c r="N8" i="10"/>
  <c r="S20" i="10"/>
  <c r="W20" i="10"/>
  <c r="D28" i="10"/>
  <c r="AD16" i="3"/>
  <c r="E30" i="10"/>
  <c r="I30" i="10"/>
  <c r="I245" i="8" s="1"/>
  <c r="I246" i="8" s="1"/>
  <c r="M30" i="10"/>
  <c r="M245" i="8" s="1"/>
  <c r="M246" i="8" s="1"/>
  <c r="T74" i="10"/>
  <c r="T39" i="10"/>
  <c r="T31" i="10"/>
  <c r="C8" i="10"/>
  <c r="K8" i="10"/>
  <c r="S8" i="10"/>
  <c r="W8" i="10"/>
  <c r="AA8" i="10"/>
  <c r="J12" i="10"/>
  <c r="V12" i="10"/>
  <c r="N31" i="10"/>
  <c r="N39" i="10"/>
  <c r="R30" i="10"/>
  <c r="R16" i="10"/>
  <c r="N16" i="10"/>
  <c r="S18" i="10"/>
  <c r="AA18" i="10"/>
  <c r="K18" i="10"/>
  <c r="K20" i="10"/>
  <c r="T20" i="10"/>
  <c r="T25" i="10"/>
  <c r="V28" i="10"/>
  <c r="Z28" i="10"/>
  <c r="P30" i="10"/>
  <c r="L37" i="10"/>
  <c r="S37" i="10"/>
  <c r="W37" i="10"/>
  <c r="AA37" i="10"/>
  <c r="I66" i="62"/>
  <c r="I108" i="62" s="1"/>
  <c r="Z16" i="3"/>
  <c r="AV60" i="7"/>
  <c r="AX64" i="7"/>
  <c r="D8" i="10"/>
  <c r="H8" i="10"/>
  <c r="L8" i="10"/>
  <c r="T8" i="10"/>
  <c r="X8" i="10"/>
  <c r="C12" i="10"/>
  <c r="G12" i="10"/>
  <c r="K12" i="10"/>
  <c r="S12" i="10"/>
  <c r="W12" i="10"/>
  <c r="C16" i="10"/>
  <c r="G16" i="10"/>
  <c r="T18" i="10"/>
  <c r="T16" i="10" s="1"/>
  <c r="X18" i="10"/>
  <c r="Q18" i="10"/>
  <c r="Q16" i="10" s="1"/>
  <c r="U20" i="10"/>
  <c r="U24" i="10"/>
  <c r="J28" i="10"/>
  <c r="G34" i="10"/>
  <c r="AA34" i="10"/>
  <c r="S25" i="10"/>
  <c r="G28" i="10"/>
  <c r="K28" i="10"/>
  <c r="S28" i="10"/>
  <c r="W28" i="10"/>
  <c r="AA28" i="10"/>
  <c r="B34" i="10"/>
  <c r="F34" i="10"/>
  <c r="J34" i="10"/>
  <c r="U34" i="10"/>
  <c r="Y34" i="10"/>
  <c r="T37" i="10"/>
  <c r="X37" i="10"/>
  <c r="AB21" i="10"/>
  <c r="P27" i="10"/>
  <c r="P28" i="10" s="1"/>
  <c r="V34" i="10"/>
  <c r="Z34" i="10"/>
  <c r="U37" i="10"/>
  <c r="Y37" i="10"/>
  <c r="E28" i="10"/>
  <c r="I28" i="10"/>
  <c r="M28" i="10"/>
  <c r="Q28" i="10"/>
  <c r="U28" i="10"/>
  <c r="Y28" i="10"/>
  <c r="D34" i="10"/>
  <c r="H34" i="10"/>
  <c r="L34" i="10"/>
  <c r="Q37" i="10"/>
  <c r="AF36" i="10"/>
  <c r="T43" i="10"/>
  <c r="AI61" i="10"/>
  <c r="V62" i="10"/>
  <c r="Z62" i="10"/>
  <c r="S62" i="10"/>
  <c r="W62" i="10"/>
  <c r="AA62" i="10"/>
  <c r="T62" i="10"/>
  <c r="X62" i="10"/>
  <c r="AB62" i="10"/>
  <c r="U62" i="10"/>
  <c r="Y62" i="10"/>
  <c r="DH16" i="3"/>
  <c r="BB64" i="7"/>
  <c r="CL45" i="7"/>
  <c r="CK45" i="7"/>
  <c r="AT46" i="7"/>
  <c r="AS46" i="7"/>
  <c r="AC94" i="7"/>
  <c r="AC74" i="7"/>
  <c r="AC54" i="7"/>
  <c r="AC14" i="7"/>
  <c r="CO104" i="7"/>
  <c r="CO94" i="7"/>
  <c r="CO14" i="7"/>
  <c r="CB53" i="7"/>
  <c r="CD33" i="7"/>
  <c r="CC33" i="7"/>
  <c r="BA53" i="7"/>
  <c r="BB53" i="7"/>
  <c r="AP45" i="7"/>
  <c r="AO45" i="7"/>
  <c r="CO44" i="7"/>
  <c r="AW56" i="7"/>
  <c r="CD85" i="7"/>
  <c r="BY85" i="7"/>
  <c r="AJ13" i="3"/>
  <c r="BS14" i="3"/>
  <c r="Q146" i="65"/>
  <c r="AW14" i="7"/>
  <c r="DZ25" i="7"/>
  <c r="AP23" i="7"/>
  <c r="AT23" i="7"/>
  <c r="AX23" i="7"/>
  <c r="BB23" i="7"/>
  <c r="BF23" i="7"/>
  <c r="BJ23" i="7"/>
  <c r="BN23" i="7"/>
  <c r="BR23" i="7"/>
  <c r="BV23" i="7"/>
  <c r="BZ23" i="7"/>
  <c r="CH23" i="7"/>
  <c r="CD23" i="7"/>
  <c r="M24" i="7"/>
  <c r="BV36" i="7"/>
  <c r="BU36" i="7"/>
  <c r="AW34" i="7"/>
  <c r="CK40" i="7"/>
  <c r="BA44" i="7"/>
  <c r="BJ46" i="7"/>
  <c r="BI46" i="7"/>
  <c r="AJ81" i="7"/>
  <c r="AL81" i="7" s="1"/>
  <c r="N61" i="3" s="1"/>
  <c r="BA55" i="7"/>
  <c r="BY56" i="7"/>
  <c r="CN82" i="7"/>
  <c r="CP52" i="7"/>
  <c r="CO52" i="7"/>
  <c r="CN56" i="7"/>
  <c r="CX74" i="7"/>
  <c r="R81" i="7"/>
  <c r="AS94" i="7"/>
  <c r="AS24" i="7"/>
  <c r="AX24" i="7" s="1"/>
  <c r="AS14" i="7"/>
  <c r="CG95" i="7"/>
  <c r="CH15" i="7"/>
  <c r="CG15" i="7"/>
  <c r="CK15" i="7"/>
  <c r="AO34" i="7"/>
  <c r="AR81" i="7"/>
  <c r="AS51" i="7"/>
  <c r="CG35" i="7"/>
  <c r="BZ36" i="7"/>
  <c r="BY36" i="7"/>
  <c r="AR44" i="7"/>
  <c r="L19" i="10" s="1"/>
  <c r="L20" i="10" s="1"/>
  <c r="AX40" i="7"/>
  <c r="AT40" i="7"/>
  <c r="AR45" i="7"/>
  <c r="AS40" i="7"/>
  <c r="BH83" i="7"/>
  <c r="BJ53" i="7"/>
  <c r="BI53" i="7"/>
  <c r="N54" i="7"/>
  <c r="I54" i="7"/>
  <c r="BU54" i="7"/>
  <c r="CT81" i="7"/>
  <c r="BZ12" i="3"/>
  <c r="AV171" i="6"/>
  <c r="BA64" i="7"/>
  <c r="BA14" i="7"/>
  <c r="BA24" i="7"/>
  <c r="BB24" i="7" s="1"/>
  <c r="U94" i="7"/>
  <c r="U74" i="7"/>
  <c r="U54" i="7"/>
  <c r="U14" i="7"/>
  <c r="AK94" i="7"/>
  <c r="AK74" i="7"/>
  <c r="AK14" i="7"/>
  <c r="BE44" i="7"/>
  <c r="BE34" i="7"/>
  <c r="BE24" i="7"/>
  <c r="BF24" i="7" s="1"/>
  <c r="AU108" i="6"/>
  <c r="BE14" i="7"/>
  <c r="BQ96" i="7"/>
  <c r="BQ46" i="7"/>
  <c r="BQ26" i="7"/>
  <c r="BR16" i="7"/>
  <c r="BQ16" i="7"/>
  <c r="M96" i="7"/>
  <c r="M76" i="7"/>
  <c r="N16" i="7"/>
  <c r="M16" i="7"/>
  <c r="U96" i="7"/>
  <c r="U76" i="7"/>
  <c r="U56" i="7"/>
  <c r="V16" i="7"/>
  <c r="U16" i="7"/>
  <c r="AC96" i="7"/>
  <c r="AC76" i="7"/>
  <c r="AC56" i="7"/>
  <c r="AC16" i="7"/>
  <c r="AK96" i="7"/>
  <c r="AL16" i="7"/>
  <c r="AK16" i="7"/>
  <c r="AS96" i="7"/>
  <c r="AS26" i="7"/>
  <c r="AT16" i="7"/>
  <c r="AS16" i="7"/>
  <c r="BA26" i="7"/>
  <c r="BB16" i="7"/>
  <c r="BA16" i="7"/>
  <c r="BI96" i="7"/>
  <c r="BI26" i="7"/>
  <c r="BJ16" i="7"/>
  <c r="BI36" i="7"/>
  <c r="BI16" i="7"/>
  <c r="BU96" i="7"/>
  <c r="BU26" i="7"/>
  <c r="BV16" i="7"/>
  <c r="BU16" i="7"/>
  <c r="CC26" i="7"/>
  <c r="CD16" i="7"/>
  <c r="CC16" i="7"/>
  <c r="CC96" i="7"/>
  <c r="CJ83" i="7"/>
  <c r="CK23" i="7"/>
  <c r="CL23" i="7" s="1"/>
  <c r="U24" i="7"/>
  <c r="AC26" i="7"/>
  <c r="AJ80" i="7"/>
  <c r="AK50" i="7"/>
  <c r="AL50" i="7"/>
  <c r="M58" i="3" s="1"/>
  <c r="AJ82" i="7"/>
  <c r="AL82" i="7" s="1"/>
  <c r="O61" i="3" s="1"/>
  <c r="AL52" i="7"/>
  <c r="O58" i="3" s="1"/>
  <c r="AN51" i="7"/>
  <c r="AT51" i="7" s="1"/>
  <c r="AP31" i="7"/>
  <c r="AO31" i="7"/>
  <c r="AN83" i="7"/>
  <c r="AP53" i="7"/>
  <c r="AO53" i="7"/>
  <c r="AS34" i="7"/>
  <c r="AR52" i="7"/>
  <c r="AT32" i="7"/>
  <c r="AS32" i="7"/>
  <c r="AR36" i="7"/>
  <c r="CF51" i="7"/>
  <c r="CH31" i="7"/>
  <c r="CL31" i="7"/>
  <c r="CG31" i="7"/>
  <c r="CT35" i="7"/>
  <c r="CS35" i="7"/>
  <c r="BB35" i="7"/>
  <c r="BA35" i="7"/>
  <c r="BR36" i="7"/>
  <c r="BQ36" i="7"/>
  <c r="BN35" i="7"/>
  <c r="BM35" i="7"/>
  <c r="CH43" i="7"/>
  <c r="CG43" i="7"/>
  <c r="CL43" i="7"/>
  <c r="AW46" i="7"/>
  <c r="AX46" i="7"/>
  <c r="BU46" i="7"/>
  <c r="BZ44" i="7"/>
  <c r="BY44" i="7"/>
  <c r="AK46" i="7"/>
  <c r="CP45" i="7"/>
  <c r="AK52" i="7"/>
  <c r="AN82" i="7"/>
  <c r="AO52" i="7"/>
  <c r="AP52" i="7"/>
  <c r="AX53" i="7"/>
  <c r="AR83" i="7"/>
  <c r="AS53" i="7"/>
  <c r="AT53" i="7"/>
  <c r="BM54" i="7"/>
  <c r="AH55" i="7"/>
  <c r="AD55" i="7"/>
  <c r="AC55" i="7"/>
  <c r="BT112" i="7"/>
  <c r="BU82" i="7"/>
  <c r="CR64" i="7"/>
  <c r="CX60" i="7"/>
  <c r="CT60" i="7"/>
  <c r="CS60" i="7"/>
  <c r="BP63" i="7"/>
  <c r="BR62" i="7"/>
  <c r="BQ62" i="7"/>
  <c r="BP66" i="7"/>
  <c r="BU66" i="7"/>
  <c r="AB110" i="7"/>
  <c r="AH80" i="7"/>
  <c r="AB85" i="7"/>
  <c r="AB86" i="7"/>
  <c r="AC80" i="7"/>
  <c r="AB84" i="7"/>
  <c r="M94" i="7"/>
  <c r="M54" i="7"/>
  <c r="M14" i="7"/>
  <c r="BM94" i="7"/>
  <c r="BM14" i="7"/>
  <c r="BM104" i="7"/>
  <c r="BM34" i="7"/>
  <c r="Q94" i="65"/>
  <c r="AV122" i="6"/>
  <c r="CS46" i="7"/>
  <c r="CS26" i="7"/>
  <c r="CT16" i="7"/>
  <c r="CS16" i="7"/>
  <c r="AJ83" i="7"/>
  <c r="AK53" i="7"/>
  <c r="AP35" i="7"/>
  <c r="CO34" i="7"/>
  <c r="X13" i="3"/>
  <c r="CM37" i="3"/>
  <c r="CK37" i="3"/>
  <c r="CJ37" i="3"/>
  <c r="CL37" i="3"/>
  <c r="CO96" i="7"/>
  <c r="CO26" i="7"/>
  <c r="CP16" i="7"/>
  <c r="CO16" i="7"/>
  <c r="E25" i="7"/>
  <c r="F15" i="7"/>
  <c r="F16" i="7" s="1"/>
  <c r="AT21" i="7"/>
  <c r="AX21" i="7"/>
  <c r="BB21" i="7"/>
  <c r="BF21" i="7"/>
  <c r="BJ21" i="7"/>
  <c r="BN21" i="7"/>
  <c r="BR21" i="7"/>
  <c r="BV21" i="7"/>
  <c r="BZ21" i="7"/>
  <c r="CH21" i="7"/>
  <c r="CD21" i="7"/>
  <c r="AC24" i="7"/>
  <c r="CF82" i="7"/>
  <c r="CH52" i="7"/>
  <c r="CG52" i="7"/>
  <c r="CH33" i="7"/>
  <c r="BR51" i="7"/>
  <c r="BP55" i="7"/>
  <c r="CJ34" i="7"/>
  <c r="Z17" i="10" s="1"/>
  <c r="Z18" i="10" s="1"/>
  <c r="CK30" i="7"/>
  <c r="CJ50" i="7"/>
  <c r="CJ80" i="7" s="1"/>
  <c r="CJ35" i="7"/>
  <c r="CP35" i="7" s="1"/>
  <c r="CP30" i="7"/>
  <c r="CL30" i="7"/>
  <c r="CO36" i="7"/>
  <c r="BF35" i="7"/>
  <c r="BE35" i="7"/>
  <c r="CJ36" i="7"/>
  <c r="CJ44" i="7"/>
  <c r="Z19" i="10" s="1"/>
  <c r="Z20" i="10" s="1"/>
  <c r="Z16" i="10" s="1"/>
  <c r="CP40" i="7"/>
  <c r="CL40" i="7"/>
  <c r="CJ46" i="7"/>
  <c r="CB50" i="7"/>
  <c r="CH50" i="7" s="1"/>
  <c r="CB46" i="7"/>
  <c r="CH40" i="7"/>
  <c r="CB45" i="7"/>
  <c r="CC40" i="7"/>
  <c r="BN44" i="7"/>
  <c r="BR44" i="7"/>
  <c r="BM44" i="7"/>
  <c r="BV44" i="7"/>
  <c r="BU44" i="7"/>
  <c r="AK44" i="7"/>
  <c r="BF45" i="7"/>
  <c r="BE45" i="7"/>
  <c r="CB44" i="7"/>
  <c r="X19" i="10" s="1"/>
  <c r="X20" i="10" s="1"/>
  <c r="CP46" i="7"/>
  <c r="CO46" i="7"/>
  <c r="CT46" i="7"/>
  <c r="AL53" i="7"/>
  <c r="P58" i="3" s="1"/>
  <c r="AX52" i="7"/>
  <c r="M56" i="7"/>
  <c r="V56" i="7"/>
  <c r="R56" i="7"/>
  <c r="Q56" i="7"/>
  <c r="AS61" i="7"/>
  <c r="BU63" i="7"/>
  <c r="BV63" i="7"/>
  <c r="CX64" i="7"/>
  <c r="N83" i="7"/>
  <c r="H113" i="7"/>
  <c r="H114" i="7" s="1"/>
  <c r="I83" i="7"/>
  <c r="P111" i="7"/>
  <c r="V81" i="7"/>
  <c r="P86" i="7"/>
  <c r="Q81" i="7"/>
  <c r="P85" i="7"/>
  <c r="BJ80" i="7"/>
  <c r="BD85" i="7"/>
  <c r="BD110" i="7"/>
  <c r="BE80" i="7"/>
  <c r="AK104" i="7"/>
  <c r="BU102" i="7"/>
  <c r="BH23" i="3"/>
  <c r="CK22" i="3"/>
  <c r="CL30" i="3"/>
  <c r="AF135" i="65"/>
  <c r="BA13" i="7"/>
  <c r="AZ13" i="15" s="1"/>
  <c r="AZ19" i="15" s="1"/>
  <c r="AZ25" i="15" s="1"/>
  <c r="AZ31" i="15" s="1"/>
  <c r="AZ37" i="15" s="1"/>
  <c r="I14" i="7"/>
  <c r="Q14" i="7"/>
  <c r="Y14" i="7"/>
  <c r="AG14" i="7"/>
  <c r="AO14" i="7"/>
  <c r="BI14" i="7"/>
  <c r="BQ14" i="7"/>
  <c r="CC104" i="7"/>
  <c r="CC94" i="7"/>
  <c r="CK14" i="7"/>
  <c r="I16" i="7"/>
  <c r="Q95" i="7"/>
  <c r="Q75" i="7"/>
  <c r="Q55" i="7"/>
  <c r="Q16" i="7"/>
  <c r="Y95" i="7"/>
  <c r="Y75" i="7"/>
  <c r="Y16" i="7"/>
  <c r="AG95" i="7"/>
  <c r="AG75" i="7"/>
  <c r="AG55" i="7"/>
  <c r="AG16" i="7"/>
  <c r="AO16" i="7"/>
  <c r="AW16" i="7"/>
  <c r="BE95" i="7"/>
  <c r="BE65" i="7"/>
  <c r="BE16" i="7"/>
  <c r="BM16" i="7"/>
  <c r="BY16" i="7"/>
  <c r="CK16" i="7"/>
  <c r="CG20" i="7"/>
  <c r="CH20" i="7" s="1"/>
  <c r="CK21" i="7"/>
  <c r="CL21" i="7" s="1"/>
  <c r="CJ24" i="7"/>
  <c r="CN113" i="7"/>
  <c r="CO83" i="7"/>
  <c r="CF25" i="7"/>
  <c r="CG25" i="7" s="1"/>
  <c r="CJ25" i="7"/>
  <c r="CK25" i="7" s="1"/>
  <c r="AJ34" i="7"/>
  <c r="AJ36" i="7"/>
  <c r="AK36" i="7" s="1"/>
  <c r="AP30" i="7"/>
  <c r="AO33" i="7"/>
  <c r="DZ35" i="7" s="1"/>
  <c r="AN36" i="7"/>
  <c r="AS30" i="7"/>
  <c r="AT31" i="7"/>
  <c r="CH30" i="7"/>
  <c r="CG33" i="7"/>
  <c r="CF36" i="7"/>
  <c r="CL32" i="7"/>
  <c r="CP32" i="7"/>
  <c r="CC31" i="7"/>
  <c r="CD32" i="7"/>
  <c r="CB34" i="7"/>
  <c r="X17" i="10" s="1"/>
  <c r="CZ52" i="7"/>
  <c r="CS52" i="7"/>
  <c r="CT52" i="7"/>
  <c r="CR36" i="7"/>
  <c r="BA33" i="7"/>
  <c r="BT83" i="7"/>
  <c r="BU53" i="7"/>
  <c r="BV53" i="7"/>
  <c r="AW36" i="7"/>
  <c r="AZ37" i="7"/>
  <c r="BA43" i="7"/>
  <c r="CG41" i="7"/>
  <c r="CH42" i="7"/>
  <c r="CL41" i="7"/>
  <c r="AV44" i="7"/>
  <c r="M19" i="10" s="1"/>
  <c r="AW45" i="7"/>
  <c r="BA46" i="7"/>
  <c r="BQ45" i="7"/>
  <c r="AN50" i="7"/>
  <c r="AR50" i="7"/>
  <c r="AX50" i="7" s="1"/>
  <c r="BR50" i="7"/>
  <c r="BL55" i="7"/>
  <c r="BL56" i="7"/>
  <c r="BN50" i="7"/>
  <c r="BL80" i="7"/>
  <c r="BM50" i="7"/>
  <c r="I56" i="7"/>
  <c r="U55" i="7"/>
  <c r="AG54" i="7"/>
  <c r="BT131" i="7"/>
  <c r="BU121" i="7"/>
  <c r="BU111" i="7"/>
  <c r="CP51" i="7"/>
  <c r="CS50" i="7"/>
  <c r="CT50" i="7"/>
  <c r="CR56" i="7"/>
  <c r="CR80" i="7"/>
  <c r="CR55" i="7"/>
  <c r="BV65" i="7"/>
  <c r="BU65" i="7"/>
  <c r="CH63" i="7"/>
  <c r="CG63" i="7"/>
  <c r="BF66" i="7"/>
  <c r="BE66" i="7"/>
  <c r="U75" i="7"/>
  <c r="Y76" i="7"/>
  <c r="BF71" i="7"/>
  <c r="BB71" i="7"/>
  <c r="BA71" i="7"/>
  <c r="BV71" i="7"/>
  <c r="BR71" i="7"/>
  <c r="BQ71" i="7"/>
  <c r="CL71" i="7"/>
  <c r="CH71" i="7"/>
  <c r="CG71" i="7"/>
  <c r="L110" i="7"/>
  <c r="R80" i="7"/>
  <c r="L85" i="7"/>
  <c r="L86" i="7"/>
  <c r="M80" i="7"/>
  <c r="L84" i="7"/>
  <c r="P133" i="7"/>
  <c r="Q123" i="7"/>
  <c r="Q113" i="7"/>
  <c r="AF130" i="7"/>
  <c r="AG120" i="7"/>
  <c r="AG110" i="7"/>
  <c r="AG85" i="7"/>
  <c r="BH111" i="7"/>
  <c r="BN81" i="7"/>
  <c r="BI81" i="7"/>
  <c r="CR82" i="7"/>
  <c r="Y96" i="7"/>
  <c r="CJ104" i="7"/>
  <c r="Z36" i="10" s="1"/>
  <c r="Z37" i="10" s="1"/>
  <c r="CK103" i="7"/>
  <c r="L131" i="7"/>
  <c r="M121" i="7"/>
  <c r="M111" i="7"/>
  <c r="R111" i="7"/>
  <c r="L132" i="65"/>
  <c r="BE13" i="7"/>
  <c r="BD13" i="15" s="1"/>
  <c r="BD19" i="15" s="1"/>
  <c r="BD25" i="15" s="1"/>
  <c r="BD31" i="15" s="1"/>
  <c r="BD37" i="15" s="1"/>
  <c r="BY94" i="7"/>
  <c r="BY104" i="7"/>
  <c r="CG94" i="7"/>
  <c r="CG104" i="7"/>
  <c r="CH16" i="7"/>
  <c r="CQ16" i="7" s="1"/>
  <c r="J15" i="7"/>
  <c r="J16" i="7" s="1"/>
  <c r="M95" i="7"/>
  <c r="M75" i="7"/>
  <c r="R15" i="7"/>
  <c r="R16" i="7" s="1"/>
  <c r="Z15" i="7"/>
  <c r="Z16" i="7" s="1"/>
  <c r="AH15" i="7"/>
  <c r="AH16" i="7" s="1"/>
  <c r="AP15" i="7"/>
  <c r="AP16" i="7" s="1"/>
  <c r="BA95" i="7"/>
  <c r="BA65" i="7"/>
  <c r="BF15" i="7"/>
  <c r="BF16" i="7" s="1"/>
  <c r="BN15" i="7"/>
  <c r="BN16" i="7" s="1"/>
  <c r="BZ15" i="7"/>
  <c r="BZ16" i="7" s="1"/>
  <c r="CL15" i="7"/>
  <c r="BI24" i="7"/>
  <c r="BJ24" i="7" s="1"/>
  <c r="BY24" i="7"/>
  <c r="CF26" i="7"/>
  <c r="CJ26" i="7"/>
  <c r="AT33" i="7"/>
  <c r="AR35" i="7"/>
  <c r="BM33" i="7"/>
  <c r="F37" i="42" s="1"/>
  <c r="CG50" i="7"/>
  <c r="CF55" i="7"/>
  <c r="CF34" i="7"/>
  <c r="Y17" i="10" s="1"/>
  <c r="CL33" i="7"/>
  <c r="CB82" i="7"/>
  <c r="CC52" i="7"/>
  <c r="CD52" i="7"/>
  <c r="CB36" i="7"/>
  <c r="AZ34" i="7"/>
  <c r="O17" i="10" s="1"/>
  <c r="BR33" i="7"/>
  <c r="BP35" i="7"/>
  <c r="CZ32" i="7"/>
  <c r="CF46" i="7"/>
  <c r="AZ81" i="7"/>
  <c r="BF51" i="7"/>
  <c r="AZ56" i="7"/>
  <c r="BA51" i="7"/>
  <c r="BD82" i="7"/>
  <c r="BD84" i="7" s="1"/>
  <c r="BJ52" i="7"/>
  <c r="BF52" i="7"/>
  <c r="BE52" i="7"/>
  <c r="BD56" i="7"/>
  <c r="Q54" i="7"/>
  <c r="Y56" i="7"/>
  <c r="CD81" i="7"/>
  <c r="BY81" i="7"/>
  <c r="BX111" i="7"/>
  <c r="BQ65" i="7"/>
  <c r="BV66" i="7"/>
  <c r="CB64" i="7"/>
  <c r="CH60" i="7"/>
  <c r="CD60" i="7"/>
  <c r="CC60" i="7"/>
  <c r="BI65" i="7"/>
  <c r="BM63" i="7"/>
  <c r="BY65" i="7"/>
  <c r="CC63" i="7"/>
  <c r="CX63" i="7"/>
  <c r="BA66" i="7"/>
  <c r="Q76" i="7"/>
  <c r="AG76" i="7"/>
  <c r="CV76" i="7"/>
  <c r="CX71" i="7"/>
  <c r="M123" i="7"/>
  <c r="R113" i="7"/>
  <c r="M113" i="7"/>
  <c r="L133" i="7"/>
  <c r="T112" i="7"/>
  <c r="Z82" i="7"/>
  <c r="E61" i="3" s="1"/>
  <c r="U82" i="7"/>
  <c r="T86" i="7"/>
  <c r="X113" i="7"/>
  <c r="AD83" i="7"/>
  <c r="Y83" i="7"/>
  <c r="AF111" i="7"/>
  <c r="AF114" i="7" s="1"/>
  <c r="AF86" i="7"/>
  <c r="AG81" i="7"/>
  <c r="BP83" i="7"/>
  <c r="CS96" i="7"/>
  <c r="BI95" i="7"/>
  <c r="CJ22" i="3"/>
  <c r="CK23" i="3"/>
  <c r="CJ30" i="3"/>
  <c r="AU101" i="6"/>
  <c r="X73" i="65"/>
  <c r="BA93" i="7"/>
  <c r="AZ83" i="7"/>
  <c r="BI104" i="7"/>
  <c r="BI94" i="7"/>
  <c r="BQ104" i="7"/>
  <c r="BQ94" i="7"/>
  <c r="CF110" i="7"/>
  <c r="CG80" i="7"/>
  <c r="CL80" i="7"/>
  <c r="I24" i="7"/>
  <c r="I26" i="7"/>
  <c r="M25" i="7"/>
  <c r="Q24" i="7"/>
  <c r="Q26" i="7"/>
  <c r="U25" i="7"/>
  <c r="Y24" i="7"/>
  <c r="AC25" i="7"/>
  <c r="AG24" i="7"/>
  <c r="AG26" i="7"/>
  <c r="AK25" i="7"/>
  <c r="AO24" i="7"/>
  <c r="BU24" i="7"/>
  <c r="BV24" i="7" s="1"/>
  <c r="CF24" i="7"/>
  <c r="AO26" i="7"/>
  <c r="BM26" i="7"/>
  <c r="BY26" i="7"/>
  <c r="CG26" i="7"/>
  <c r="CK26" i="7"/>
  <c r="CF53" i="7"/>
  <c r="CF54" i="7" s="1"/>
  <c r="Y14" i="10" s="1"/>
  <c r="AS71" i="12" s="1"/>
  <c r="AS77" i="12" s="1"/>
  <c r="CB111" i="7"/>
  <c r="CC81" i="7"/>
  <c r="CB35" i="7"/>
  <c r="CK52" i="7"/>
  <c r="CL52" i="7"/>
  <c r="BL83" i="7"/>
  <c r="BN53" i="7"/>
  <c r="BM53" i="7"/>
  <c r="BU35" i="7"/>
  <c r="BY35" i="7"/>
  <c r="CO35" i="7"/>
  <c r="BL37" i="7"/>
  <c r="AO44" i="7"/>
  <c r="AV80" i="7"/>
  <c r="BB50" i="7"/>
  <c r="AV55" i="7"/>
  <c r="BB55" i="7" s="1"/>
  <c r="AW50" i="7"/>
  <c r="AW52" i="7"/>
  <c r="AV82" i="7"/>
  <c r="AV54" i="7"/>
  <c r="M14" i="10" s="1"/>
  <c r="AA71" i="12" s="1"/>
  <c r="AA77" i="12" s="1"/>
  <c r="BN80" i="7"/>
  <c r="J55" i="7"/>
  <c r="E55" i="7"/>
  <c r="I55" i="7"/>
  <c r="R55" i="7"/>
  <c r="N55" i="7"/>
  <c r="M55" i="7"/>
  <c r="AD54" i="7"/>
  <c r="Z54" i="7"/>
  <c r="Y54" i="7"/>
  <c r="AH56" i="7"/>
  <c r="AG56" i="7"/>
  <c r="BU50" i="7"/>
  <c r="BV50" i="7"/>
  <c r="BT80" i="7"/>
  <c r="BT56" i="7"/>
  <c r="BT55" i="7"/>
  <c r="BX82" i="7"/>
  <c r="BZ52" i="7"/>
  <c r="BY52" i="7"/>
  <c r="CP53" i="7"/>
  <c r="CC51" i="7"/>
  <c r="AX62" i="7"/>
  <c r="AW62" i="7"/>
  <c r="BL64" i="7"/>
  <c r="BR60" i="7"/>
  <c r="BL65" i="7"/>
  <c r="BN60" i="7"/>
  <c r="BL66" i="7"/>
  <c r="BM60" i="7"/>
  <c r="CH64" i="7"/>
  <c r="CG64" i="7"/>
  <c r="CT62" i="7"/>
  <c r="CN63" i="7"/>
  <c r="CP62" i="7"/>
  <c r="CO62" i="7"/>
  <c r="BE64" i="7"/>
  <c r="Q74" i="7"/>
  <c r="AG74" i="7"/>
  <c r="BB70" i="7"/>
  <c r="AV75" i="7"/>
  <c r="BB75" i="7" s="1"/>
  <c r="AX70" i="7"/>
  <c r="AW70" i="7"/>
  <c r="BA75" i="7"/>
  <c r="BR70" i="7"/>
  <c r="BL75" i="7"/>
  <c r="BR75" i="7" s="1"/>
  <c r="BN70" i="7"/>
  <c r="BM70" i="7"/>
  <c r="BQ75" i="7"/>
  <c r="CH70" i="7"/>
  <c r="CB75" i="7"/>
  <c r="CD70" i="7"/>
  <c r="CC70" i="7"/>
  <c r="CH75" i="7"/>
  <c r="CG75" i="7"/>
  <c r="CX70" i="7"/>
  <c r="CR75" i="7"/>
  <c r="CX75" i="7" s="1"/>
  <c r="CR76" i="7"/>
  <c r="CT70" i="7"/>
  <c r="CS70" i="7"/>
  <c r="M73" i="7"/>
  <c r="R73" i="7"/>
  <c r="Z71" i="7"/>
  <c r="V71" i="7"/>
  <c r="AD72" i="7"/>
  <c r="Z72" i="7"/>
  <c r="AH73" i="7"/>
  <c r="AD73" i="7"/>
  <c r="AL75" i="7"/>
  <c r="AK75" i="7"/>
  <c r="Y115" i="7"/>
  <c r="BR82" i="7"/>
  <c r="BL112" i="7"/>
  <c r="BM82" i="7"/>
  <c r="AX51" i="7"/>
  <c r="AZ84" i="7"/>
  <c r="AZ110" i="7"/>
  <c r="AZ86" i="7"/>
  <c r="BB52" i="7"/>
  <c r="AZ54" i="7"/>
  <c r="O14" i="10" s="1"/>
  <c r="AC71" i="12" s="1"/>
  <c r="AC77" i="12" s="1"/>
  <c r="BD131" i="7"/>
  <c r="BJ111" i="7"/>
  <c r="BE111" i="7"/>
  <c r="BF53" i="7"/>
  <c r="BD55" i="7"/>
  <c r="BJ50" i="7"/>
  <c r="BH132" i="7"/>
  <c r="BI122" i="7"/>
  <c r="BH56" i="7"/>
  <c r="BN51" i="7"/>
  <c r="BP110" i="7"/>
  <c r="BR52" i="7"/>
  <c r="N56" i="7"/>
  <c r="CZ51" i="7"/>
  <c r="BV52" i="7"/>
  <c r="BZ50" i="7"/>
  <c r="CP50" i="7"/>
  <c r="CR111" i="7"/>
  <c r="CX81" i="7"/>
  <c r="BU52" i="7"/>
  <c r="AV61" i="7"/>
  <c r="BJ60" i="7"/>
  <c r="BZ60" i="7"/>
  <c r="CP60" i="7"/>
  <c r="BH63" i="7"/>
  <c r="BN63" i="7" s="1"/>
  <c r="BV62" i="7"/>
  <c r="BT64" i="7"/>
  <c r="BX63" i="7"/>
  <c r="CL62" i="7"/>
  <c r="CJ64" i="7"/>
  <c r="BF63" i="7"/>
  <c r="AN75" i="7"/>
  <c r="AT70" i="7"/>
  <c r="BD75" i="7"/>
  <c r="BJ70" i="7"/>
  <c r="BT75" i="7"/>
  <c r="BZ70" i="7"/>
  <c r="CJ75" i="7"/>
  <c r="CP70" i="7"/>
  <c r="D130" i="7"/>
  <c r="E120" i="7"/>
  <c r="E110" i="7"/>
  <c r="J110" i="7"/>
  <c r="D116" i="7"/>
  <c r="D114" i="7"/>
  <c r="D115" i="7"/>
  <c r="D132" i="7"/>
  <c r="E122" i="7"/>
  <c r="E112" i="7"/>
  <c r="J112" i="7"/>
  <c r="D84" i="7"/>
  <c r="D86" i="7"/>
  <c r="J80" i="7"/>
  <c r="I122" i="7"/>
  <c r="N112" i="7"/>
  <c r="H132" i="7"/>
  <c r="I112" i="7"/>
  <c r="H86" i="7"/>
  <c r="N81" i="7"/>
  <c r="Q120" i="7"/>
  <c r="V110" i="7"/>
  <c r="P115" i="7"/>
  <c r="P114" i="7"/>
  <c r="Q110" i="7"/>
  <c r="P130" i="7"/>
  <c r="R82" i="7"/>
  <c r="P84" i="7"/>
  <c r="U121" i="7"/>
  <c r="Z111" i="7"/>
  <c r="T131" i="7"/>
  <c r="V83" i="7"/>
  <c r="T85" i="7"/>
  <c r="Z80" i="7"/>
  <c r="C61" i="3" s="1"/>
  <c r="X132" i="7"/>
  <c r="Y122" i="7"/>
  <c r="AD112" i="7"/>
  <c r="Y112" i="7"/>
  <c r="X86" i="7"/>
  <c r="AD81" i="7"/>
  <c r="AB133" i="7"/>
  <c r="AC123" i="7"/>
  <c r="AH82" i="7"/>
  <c r="AF84" i="7"/>
  <c r="AW81" i="7"/>
  <c r="BA82" i="7"/>
  <c r="AZ85" i="7"/>
  <c r="BF80" i="7"/>
  <c r="BE83" i="7"/>
  <c r="BJ81" i="7"/>
  <c r="BN82" i="7"/>
  <c r="BA96" i="7"/>
  <c r="AS104" i="7"/>
  <c r="AZ104" i="7"/>
  <c r="BA101" i="7"/>
  <c r="AV104" i="7"/>
  <c r="AW103" i="7"/>
  <c r="T113" i="7"/>
  <c r="AC113" i="7"/>
  <c r="Y121" i="7"/>
  <c r="BD54" i="7"/>
  <c r="Q14" i="10" s="1"/>
  <c r="AE71" i="12" s="1"/>
  <c r="AE77" i="12" s="1"/>
  <c r="BH55" i="7"/>
  <c r="J54" i="7"/>
  <c r="BX110" i="7"/>
  <c r="BX86" i="7"/>
  <c r="BX54" i="7"/>
  <c r="W14" i="10" s="1"/>
  <c r="CN110" i="7"/>
  <c r="CN54" i="7"/>
  <c r="AA14" i="10" s="1"/>
  <c r="BH66" i="7"/>
  <c r="BX66" i="7"/>
  <c r="AR75" i="7"/>
  <c r="BH75" i="7"/>
  <c r="BX75" i="7"/>
  <c r="CN75" i="7"/>
  <c r="H131" i="7"/>
  <c r="I121" i="7"/>
  <c r="N111" i="7"/>
  <c r="I111" i="7"/>
  <c r="J83" i="7"/>
  <c r="H85" i="7"/>
  <c r="N80" i="7"/>
  <c r="L132" i="7"/>
  <c r="M122" i="7"/>
  <c r="R112" i="7"/>
  <c r="M112" i="7"/>
  <c r="T130" i="7"/>
  <c r="U120" i="7"/>
  <c r="T116" i="7"/>
  <c r="U126" i="7" s="1"/>
  <c r="Z110" i="7"/>
  <c r="U110" i="7"/>
  <c r="V82" i="7"/>
  <c r="T84" i="7"/>
  <c r="F245" i="8" s="1"/>
  <c r="F246" i="8" s="1"/>
  <c r="X151" i="7"/>
  <c r="X85" i="7"/>
  <c r="AD80" i="7"/>
  <c r="AB132" i="7"/>
  <c r="AC122" i="7"/>
  <c r="AH112" i="7"/>
  <c r="AC112" i="7"/>
  <c r="AH81" i="7"/>
  <c r="AL83" i="7"/>
  <c r="P61" i="3" s="1"/>
  <c r="AF113" i="7"/>
  <c r="BA80" i="7"/>
  <c r="BE81" i="7"/>
  <c r="BI82" i="7"/>
  <c r="BH85" i="7"/>
  <c r="BV82" i="7"/>
  <c r="CT80" i="7"/>
  <c r="BE92" i="7"/>
  <c r="BD96" i="7"/>
  <c r="BE96" i="7" s="1"/>
  <c r="BD94" i="7"/>
  <c r="CR94" i="7"/>
  <c r="AB33" i="10" s="1"/>
  <c r="AI33" i="10" s="1"/>
  <c r="CV90" i="7"/>
  <c r="BT104" i="7"/>
  <c r="V36" i="10" s="1"/>
  <c r="V37" i="10" s="1"/>
  <c r="BA103" i="7"/>
  <c r="T115" i="7"/>
  <c r="BE121" i="7"/>
  <c r="AV131" i="7"/>
  <c r="AW111" i="7"/>
  <c r="AW121" i="7"/>
  <c r="AZ132" i="7"/>
  <c r="BA122" i="7"/>
  <c r="BD133" i="7"/>
  <c r="BE123" i="7"/>
  <c r="BE113" i="7"/>
  <c r="BH110" i="7"/>
  <c r="BH86" i="7"/>
  <c r="BH84" i="7"/>
  <c r="BH54" i="7"/>
  <c r="S14" i="10" s="1"/>
  <c r="BM121" i="7"/>
  <c r="BL131" i="7"/>
  <c r="BM111" i="7"/>
  <c r="BP132" i="7"/>
  <c r="BQ122" i="7"/>
  <c r="BQ112" i="7"/>
  <c r="E54" i="7"/>
  <c r="E56" i="7"/>
  <c r="BX55" i="7"/>
  <c r="CN55" i="7"/>
  <c r="BY50" i="7"/>
  <c r="CO50" i="7"/>
  <c r="AV63" i="7"/>
  <c r="BB63" i="7" s="1"/>
  <c r="BU60" i="7"/>
  <c r="BI62" i="7"/>
  <c r="D131" i="7"/>
  <c r="E121" i="7"/>
  <c r="D133" i="7"/>
  <c r="E123" i="7"/>
  <c r="J113" i="7"/>
  <c r="D85" i="7"/>
  <c r="I120" i="7"/>
  <c r="H130" i="7"/>
  <c r="H115" i="7"/>
  <c r="I125" i="7" s="1"/>
  <c r="N110" i="7"/>
  <c r="H116" i="7"/>
  <c r="H84" i="7"/>
  <c r="V112" i="7"/>
  <c r="X130" i="7"/>
  <c r="Y120" i="7"/>
  <c r="Y110" i="7"/>
  <c r="AD110" i="7"/>
  <c r="X116" i="7"/>
  <c r="X114" i="7"/>
  <c r="X84" i="7"/>
  <c r="G245" i="8" s="1"/>
  <c r="G246" i="8" s="1"/>
  <c r="AB131" i="7"/>
  <c r="AC131" i="7" s="1"/>
  <c r="AC121" i="7"/>
  <c r="AC111" i="7"/>
  <c r="AF132" i="7"/>
  <c r="AG122" i="7"/>
  <c r="AG112" i="7"/>
  <c r="BI80" i="7"/>
  <c r="BM81" i="7"/>
  <c r="BQ82" i="7"/>
  <c r="BV80" i="7"/>
  <c r="BZ81" i="7"/>
  <c r="CO80" i="7"/>
  <c r="CS81" i="7"/>
  <c r="AW95" i="7"/>
  <c r="CS95" i="7"/>
  <c r="BE104" i="7"/>
  <c r="I110" i="7"/>
  <c r="AV126" i="7"/>
  <c r="AV124" i="7"/>
  <c r="M42" i="10" s="1"/>
  <c r="AV94" i="7"/>
  <c r="AV96" i="7"/>
  <c r="AW96" i="7" s="1"/>
  <c r="Y125" i="7"/>
  <c r="AW91" i="7"/>
  <c r="AZ94" i="7"/>
  <c r="BP125" i="7"/>
  <c r="BP126" i="7"/>
  <c r="CJ124" i="7"/>
  <c r="Z42" i="10" s="1"/>
  <c r="BE101" i="7"/>
  <c r="Q125" i="7"/>
  <c r="U142" i="7"/>
  <c r="Q142" i="7"/>
  <c r="P146" i="7"/>
  <c r="M144" i="7"/>
  <c r="Q141" i="7"/>
  <c r="L145" i="7"/>
  <c r="Q145" i="7" s="1"/>
  <c r="AG146" i="7"/>
  <c r="AK140" i="7"/>
  <c r="AF145" i="7"/>
  <c r="AK145" i="7" s="1"/>
  <c r="AF144" i="7"/>
  <c r="AG140" i="7"/>
  <c r="CB124" i="7"/>
  <c r="X42" i="10" s="1"/>
  <c r="U140" i="7"/>
  <c r="P145" i="7"/>
  <c r="P144" i="7"/>
  <c r="Q144" i="7" s="1"/>
  <c r="AG143" i="7"/>
  <c r="AC143" i="7"/>
  <c r="M142" i="7"/>
  <c r="T146" i="7"/>
  <c r="AC140" i="7"/>
  <c r="X145" i="7"/>
  <c r="Y142" i="7"/>
  <c r="X146" i="7"/>
  <c r="AC146" i="7" s="1"/>
  <c r="AC141" i="7"/>
  <c r="AB145" i="7"/>
  <c r="AJ146" i="7"/>
  <c r="AK146" i="7" s="1"/>
  <c r="T144" i="7"/>
  <c r="AB144" i="7"/>
  <c r="AG144" i="7" s="1"/>
  <c r="AJ144" i="7"/>
  <c r="D144" i="7"/>
  <c r="I144" i="7" s="1"/>
  <c r="CV163" i="7"/>
  <c r="CV164" i="7" s="1"/>
  <c r="AC48" i="10" s="1"/>
  <c r="AD48" i="10" s="1"/>
  <c r="AE48" i="10" s="1"/>
  <c r="AF48" i="10" s="1"/>
  <c r="AG48" i="10" s="1"/>
  <c r="CR164" i="7"/>
  <c r="AB48" i="10" s="1"/>
  <c r="CJ205" i="7"/>
  <c r="CJ206" i="7" s="1"/>
  <c r="CJ207" i="7" s="1"/>
  <c r="CN204" i="7" s="1"/>
  <c r="H197" i="7"/>
  <c r="C61" i="10" s="1"/>
  <c r="L198" i="7"/>
  <c r="T198" i="7"/>
  <c r="CV220" i="7"/>
  <c r="AR229" i="7"/>
  <c r="AR72" i="7" s="1"/>
  <c r="AR233" i="7"/>
  <c r="AZ229" i="7"/>
  <c r="AZ72" i="7" s="1"/>
  <c r="BH229" i="7"/>
  <c r="BH72" i="7" s="1"/>
  <c r="BH233" i="7"/>
  <c r="BP229" i="7"/>
  <c r="BX229" i="7"/>
  <c r="BX233" i="7" s="1"/>
  <c r="CF229" i="7"/>
  <c r="CN229" i="7"/>
  <c r="CN230" i="7" s="1"/>
  <c r="CN233" i="7"/>
  <c r="CF208" i="7"/>
  <c r="CJ232" i="7"/>
  <c r="P198" i="7"/>
  <c r="W122" i="65"/>
  <c r="AC159" i="65"/>
  <c r="W113" i="65"/>
  <c r="S118" i="65"/>
  <c r="W124" i="65"/>
  <c r="AF150" i="65"/>
  <c r="AH150" i="65" s="1"/>
  <c r="AF151" i="65"/>
  <c r="AH151" i="65" s="1"/>
  <c r="X55" i="65"/>
  <c r="U73" i="65"/>
  <c r="F87" i="65"/>
  <c r="U87" i="65"/>
  <c r="V90" i="65"/>
  <c r="F91" i="65"/>
  <c r="F93" i="65"/>
  <c r="S94" i="65"/>
  <c r="W94" i="65" s="1"/>
  <c r="U100" i="65"/>
  <c r="S101" i="65"/>
  <c r="F100" i="65"/>
  <c r="L97" i="65"/>
  <c r="L101" i="65"/>
  <c r="H116" i="65"/>
  <c r="F118" i="65"/>
  <c r="L118" i="65"/>
  <c r="W121" i="65"/>
  <c r="F128" i="65"/>
  <c r="H132" i="65"/>
  <c r="T135" i="65"/>
  <c r="T137" i="65"/>
  <c r="S137" i="65" s="1"/>
  <c r="W138" i="65"/>
  <c r="G139" i="65"/>
  <c r="H139" i="65" s="1"/>
  <c r="V139" i="65"/>
  <c r="X139" i="65" s="1"/>
  <c r="F143" i="65"/>
  <c r="Y142" i="65"/>
  <c r="W150" i="65"/>
  <c r="U50" i="65"/>
  <c r="U58" i="65"/>
  <c r="V66" i="65"/>
  <c r="X66" i="65" s="1"/>
  <c r="V93" i="65"/>
  <c r="X93" i="65" s="1"/>
  <c r="T94" i="65"/>
  <c r="V100" i="65"/>
  <c r="X100" i="65" s="1"/>
  <c r="E100" i="65"/>
  <c r="F101" i="65"/>
  <c r="L102" i="65"/>
  <c r="K108" i="65"/>
  <c r="V109" i="65"/>
  <c r="N116" i="65"/>
  <c r="E117" i="65"/>
  <c r="T118" i="65"/>
  <c r="F122" i="65"/>
  <c r="AD124" i="65"/>
  <c r="AF124" i="65" s="1"/>
  <c r="E131" i="65"/>
  <c r="K131" i="65"/>
  <c r="N132" i="65"/>
  <c r="F138" i="65"/>
  <c r="W143" i="65"/>
  <c r="W65" i="65"/>
  <c r="W100" i="65"/>
  <c r="L99" i="65"/>
  <c r="F117" i="65"/>
  <c r="E124" i="65"/>
  <c r="Y144" i="65"/>
  <c r="K146" i="65"/>
  <c r="V146" i="65"/>
  <c r="X146" i="65" s="1"/>
  <c r="W149" i="65"/>
  <c r="W151" i="65"/>
  <c r="U52" i="65"/>
  <c r="X76" i="65"/>
  <c r="U90" i="65"/>
  <c r="X124" i="65"/>
  <c r="G146" i="65"/>
  <c r="W36" i="6"/>
  <c r="AI299" i="30"/>
  <c r="D306" i="30"/>
  <c r="H306" i="30" s="1"/>
  <c r="P21" i="6"/>
  <c r="AF21" i="6"/>
  <c r="U28" i="30"/>
  <c r="S84" i="6"/>
  <c r="AI28" i="30"/>
  <c r="AI57" i="30"/>
  <c r="D57" i="30"/>
  <c r="H57" i="30" s="1"/>
  <c r="AF57" i="30" s="1"/>
  <c r="AM36" i="6"/>
  <c r="AI43" i="30"/>
  <c r="AK43" i="30" s="1"/>
  <c r="U43" i="30"/>
  <c r="AI336" i="30"/>
  <c r="D336" i="30"/>
  <c r="H336" i="30" s="1"/>
  <c r="AU34" i="30"/>
  <c r="S35" i="30"/>
  <c r="AS45" i="30"/>
  <c r="N9" i="8" s="1"/>
  <c r="AY97" i="6"/>
  <c r="AZ97" i="6" s="1"/>
  <c r="S104" i="30"/>
  <c r="AY160" i="6"/>
  <c r="AU111" i="30"/>
  <c r="S114" i="30"/>
  <c r="AY170" i="6"/>
  <c r="AU118" i="30"/>
  <c r="AY174" i="6"/>
  <c r="S120" i="30"/>
  <c r="AY183" i="6"/>
  <c r="AZ183" i="6" s="1"/>
  <c r="AS145" i="30"/>
  <c r="K60" i="8" s="1"/>
  <c r="S246" i="30"/>
  <c r="AI246" i="30" s="1"/>
  <c r="AK246" i="30" s="1"/>
  <c r="AU259" i="30"/>
  <c r="S300" i="30"/>
  <c r="AU306" i="30"/>
  <c r="A182" i="6"/>
  <c r="A175" i="6"/>
  <c r="A168" i="6"/>
  <c r="A161" i="6"/>
  <c r="A154" i="6"/>
  <c r="A147" i="6"/>
  <c r="A140" i="6"/>
  <c r="A133" i="6"/>
  <c r="A119" i="6"/>
  <c r="A105" i="6"/>
  <c r="A126" i="6"/>
  <c r="A112" i="6"/>
  <c r="A91" i="6"/>
  <c r="A98" i="6"/>
  <c r="A77" i="6"/>
  <c r="A70" i="6"/>
  <c r="A63" i="6"/>
  <c r="A49" i="6"/>
  <c r="A84" i="6"/>
  <c r="A56" i="6"/>
  <c r="A35" i="6"/>
  <c r="A21" i="6"/>
  <c r="B184" i="6"/>
  <c r="B177" i="6"/>
  <c r="B163" i="6"/>
  <c r="B156" i="6"/>
  <c r="B170" i="6"/>
  <c r="B149" i="6"/>
  <c r="B142" i="6"/>
  <c r="B135" i="6"/>
  <c r="B128" i="6"/>
  <c r="B121" i="6"/>
  <c r="B107" i="6"/>
  <c r="B114" i="6"/>
  <c r="B93" i="6"/>
  <c r="B100" i="6"/>
  <c r="B72" i="6"/>
  <c r="B44" i="6"/>
  <c r="B86" i="6"/>
  <c r="B79" i="6"/>
  <c r="B58" i="6"/>
  <c r="B65" i="6"/>
  <c r="B51" i="6"/>
  <c r="AK15" i="6"/>
  <c r="AM22" i="6" s="1"/>
  <c r="U15" i="6"/>
  <c r="A20" i="6"/>
  <c r="B23" i="6"/>
  <c r="D23" i="6"/>
  <c r="H23" i="6" s="1"/>
  <c r="U22" i="6"/>
  <c r="AK21" i="6"/>
  <c r="AM21" i="6" s="1"/>
  <c r="D28" i="6"/>
  <c r="H28" i="6" s="1"/>
  <c r="AI27" i="6"/>
  <c r="D27" i="6"/>
  <c r="H27" i="6" s="1"/>
  <c r="S31" i="6"/>
  <c r="AI28" i="6"/>
  <c r="AK28" i="6" s="1"/>
  <c r="N36" i="6"/>
  <c r="P36" i="6" s="1"/>
  <c r="D42" i="6"/>
  <c r="H42" i="6" s="1"/>
  <c r="N42" i="6"/>
  <c r="AI55" i="6"/>
  <c r="D55" i="6"/>
  <c r="H55" i="6" s="1"/>
  <c r="AI57" i="6"/>
  <c r="AK57" i="6" s="1"/>
  <c r="D57" i="6"/>
  <c r="H57" i="6" s="1"/>
  <c r="U57" i="6"/>
  <c r="AD69" i="6"/>
  <c r="U64" i="6"/>
  <c r="AI64" i="6"/>
  <c r="AK64" i="6" s="1"/>
  <c r="D64" i="6"/>
  <c r="H64" i="6" s="1"/>
  <c r="AU35" i="30"/>
  <c r="AY84" i="6"/>
  <c r="AU41" i="30"/>
  <c r="AY90" i="6"/>
  <c r="AI44" i="30"/>
  <c r="S42" i="30"/>
  <c r="S98" i="6" s="1"/>
  <c r="AY98" i="6"/>
  <c r="AU112" i="30"/>
  <c r="S105" i="30"/>
  <c r="BA167" i="6"/>
  <c r="AZ167" i="6"/>
  <c r="S119" i="30"/>
  <c r="S126" i="30" s="1"/>
  <c r="D156" i="30"/>
  <c r="H156" i="30" s="1"/>
  <c r="AF156" i="30" s="1"/>
  <c r="AU163" i="30"/>
  <c r="AU274" i="30"/>
  <c r="A183" i="6"/>
  <c r="A155" i="6"/>
  <c r="A162" i="6"/>
  <c r="A169" i="6"/>
  <c r="A176" i="6"/>
  <c r="A148" i="6"/>
  <c r="A141" i="6"/>
  <c r="A134" i="6"/>
  <c r="A127" i="6"/>
  <c r="A113" i="6"/>
  <c r="A120" i="6"/>
  <c r="A106" i="6"/>
  <c r="A99" i="6"/>
  <c r="A85" i="6"/>
  <c r="A78" i="6"/>
  <c r="A92" i="6"/>
  <c r="A43" i="6"/>
  <c r="A57" i="6"/>
  <c r="A71" i="6"/>
  <c r="A64" i="6"/>
  <c r="A50" i="6"/>
  <c r="B167" i="6"/>
  <c r="B181" i="6"/>
  <c r="B174" i="6"/>
  <c r="B160" i="6"/>
  <c r="B153" i="6"/>
  <c r="B139" i="6"/>
  <c r="B146" i="6"/>
  <c r="B132" i="6"/>
  <c r="B104" i="6"/>
  <c r="B97" i="6"/>
  <c r="B118" i="6"/>
  <c r="B125" i="6"/>
  <c r="B111" i="6"/>
  <c r="B76" i="6"/>
  <c r="B90" i="6"/>
  <c r="B55" i="6"/>
  <c r="B69" i="6"/>
  <c r="B62" i="6"/>
  <c r="B83" i="6"/>
  <c r="B41" i="6"/>
  <c r="B171" i="6"/>
  <c r="B185" i="6"/>
  <c r="B178" i="6"/>
  <c r="B164" i="6"/>
  <c r="B157" i="6"/>
  <c r="B150" i="6"/>
  <c r="B143" i="6"/>
  <c r="B136" i="6"/>
  <c r="B115" i="6"/>
  <c r="B101" i="6"/>
  <c r="B108" i="6"/>
  <c r="B122" i="6"/>
  <c r="B129" i="6"/>
  <c r="B80" i="6"/>
  <c r="B87" i="6"/>
  <c r="B94" i="6"/>
  <c r="B59" i="6"/>
  <c r="B66" i="6"/>
  <c r="B73" i="6"/>
  <c r="B45" i="6"/>
  <c r="AI13" i="6"/>
  <c r="AI17" i="6" s="1"/>
  <c r="A22" i="6"/>
  <c r="B24" i="6"/>
  <c r="AF22" i="6"/>
  <c r="B29" i="6"/>
  <c r="AD28" i="6"/>
  <c r="B34" i="6"/>
  <c r="AS37" i="6"/>
  <c r="S37" i="6" s="1"/>
  <c r="S38" i="6" s="1"/>
  <c r="D38" i="6" s="1"/>
  <c r="H38" i="6" s="1"/>
  <c r="AP38" i="6"/>
  <c r="AS38" i="6" s="1"/>
  <c r="AI43" i="6"/>
  <c r="AK43" i="6" s="1"/>
  <c r="AM43" i="6" s="1"/>
  <c r="D43" i="6"/>
  <c r="H43" i="6" s="1"/>
  <c r="AD42" i="6"/>
  <c r="B52" i="6"/>
  <c r="U50" i="6"/>
  <c r="W50" i="6" s="1"/>
  <c r="AI50" i="6"/>
  <c r="AK50" i="6" s="1"/>
  <c r="AM50" i="6" s="1"/>
  <c r="D50" i="6"/>
  <c r="H50" i="6" s="1"/>
  <c r="AI62" i="6"/>
  <c r="D62" i="6"/>
  <c r="H62" i="6" s="1"/>
  <c r="S66" i="6"/>
  <c r="D73" i="6" s="1"/>
  <c r="H73" i="6" s="1"/>
  <c r="AI65" i="6"/>
  <c r="AK65" i="6" s="1"/>
  <c r="D65" i="6"/>
  <c r="H65" i="6" s="1"/>
  <c r="D72" i="6"/>
  <c r="H72" i="6" s="1"/>
  <c r="AI72" i="6"/>
  <c r="AK28" i="30"/>
  <c r="S29" i="30"/>
  <c r="S85" i="6" s="1"/>
  <c r="AY85" i="6"/>
  <c r="AU50" i="30"/>
  <c r="AY99" i="6"/>
  <c r="AU51" i="30"/>
  <c r="D56" i="30"/>
  <c r="H56" i="30" s="1"/>
  <c r="AF56" i="30" s="1"/>
  <c r="AS52" i="30"/>
  <c r="O9" i="8" s="1"/>
  <c r="AK57" i="30"/>
  <c r="AM57" i="30" s="1"/>
  <c r="S58" i="30"/>
  <c r="AY114" i="6"/>
  <c r="S106" i="30"/>
  <c r="AY162" i="6"/>
  <c r="AZ168" i="6"/>
  <c r="AU149" i="30"/>
  <c r="U300" i="30"/>
  <c r="AU343" i="30"/>
  <c r="AU336" i="30"/>
  <c r="S17" i="6"/>
  <c r="S24" i="6"/>
  <c r="N29" i="6"/>
  <c r="P29" i="6" s="1"/>
  <c r="AD36" i="6"/>
  <c r="AF36" i="6" s="1"/>
  <c r="AI44" i="6"/>
  <c r="S45" i="6"/>
  <c r="AB59" i="6"/>
  <c r="D51" i="6"/>
  <c r="H51" i="6" s="1"/>
  <c r="N49" i="6"/>
  <c r="AD66" i="6"/>
  <c r="AT80" i="6"/>
  <c r="AZ99" i="6"/>
  <c r="AI27" i="30"/>
  <c r="S83" i="6"/>
  <c r="AI34" i="30"/>
  <c r="S36" i="30"/>
  <c r="AY92" i="6"/>
  <c r="AI41" i="30"/>
  <c r="AU55" i="30"/>
  <c r="AU56" i="30" s="1"/>
  <c r="S107" i="30"/>
  <c r="AI107" i="30" s="1"/>
  <c r="AY163" i="6"/>
  <c r="BA163" i="6" s="1"/>
  <c r="AU120" i="30"/>
  <c r="AY169" i="6"/>
  <c r="S245" i="30"/>
  <c r="AU257" i="30"/>
  <c r="S267" i="30"/>
  <c r="S268" i="30" s="1"/>
  <c r="F268" i="30" s="1"/>
  <c r="AU330" i="30"/>
  <c r="S330" i="30"/>
  <c r="AI330" i="30" s="1"/>
  <c r="A174" i="6"/>
  <c r="A181" i="6"/>
  <c r="A153" i="6"/>
  <c r="A160" i="6"/>
  <c r="A167" i="6"/>
  <c r="A139" i="6"/>
  <c r="A132" i="6"/>
  <c r="A146" i="6"/>
  <c r="A125" i="6"/>
  <c r="A118" i="6"/>
  <c r="A111" i="6"/>
  <c r="A104" i="6"/>
  <c r="A55" i="6"/>
  <c r="A97" i="6"/>
  <c r="A90" i="6"/>
  <c r="A76" i="6"/>
  <c r="A69" i="6"/>
  <c r="A62" i="6"/>
  <c r="A48" i="6"/>
  <c r="A83" i="6"/>
  <c r="A27" i="6"/>
  <c r="B183" i="6"/>
  <c r="B176" i="6"/>
  <c r="B169" i="6"/>
  <c r="B162" i="6"/>
  <c r="B155" i="6"/>
  <c r="B148" i="6"/>
  <c r="B134" i="6"/>
  <c r="B141" i="6"/>
  <c r="B127" i="6"/>
  <c r="B113" i="6"/>
  <c r="B120" i="6"/>
  <c r="B64" i="6"/>
  <c r="B50" i="6"/>
  <c r="B106" i="6"/>
  <c r="B99" i="6"/>
  <c r="B71" i="6"/>
  <c r="B92" i="6"/>
  <c r="B85" i="6"/>
  <c r="B78" i="6"/>
  <c r="B57" i="6"/>
  <c r="B36" i="6"/>
  <c r="B22" i="6"/>
  <c r="U14" i="6"/>
  <c r="AI20" i="6"/>
  <c r="A29" i="6"/>
  <c r="B31" i="6"/>
  <c r="A34" i="6"/>
  <c r="AI35" i="6"/>
  <c r="AK35" i="6" s="1"/>
  <c r="D35" i="6"/>
  <c r="H35" i="6" s="1"/>
  <c r="U35" i="6"/>
  <c r="W35" i="6" s="1"/>
  <c r="D41" i="6"/>
  <c r="H41" i="6" s="1"/>
  <c r="AI45" i="6"/>
  <c r="B48" i="6"/>
  <c r="N50" i="6"/>
  <c r="AI49" i="6"/>
  <c r="AK49" i="6" s="1"/>
  <c r="AM49" i="6" s="1"/>
  <c r="D49" i="6"/>
  <c r="H49" i="6" s="1"/>
  <c r="U49" i="6"/>
  <c r="W49" i="6" s="1"/>
  <c r="AI48" i="6"/>
  <c r="D48" i="6"/>
  <c r="H48" i="6" s="1"/>
  <c r="S52" i="6"/>
  <c r="AI51" i="6"/>
  <c r="AK51" i="6" s="1"/>
  <c r="AI58" i="6"/>
  <c r="AK58" i="6" s="1"/>
  <c r="D58" i="6"/>
  <c r="H58" i="6" s="1"/>
  <c r="U63" i="6"/>
  <c r="D70" i="6"/>
  <c r="H70" i="6" s="1"/>
  <c r="AI63" i="6"/>
  <c r="AK63" i="6" s="1"/>
  <c r="W71" i="6"/>
  <c r="AI78" i="6"/>
  <c r="AK78" i="6" s="1"/>
  <c r="D78" i="6"/>
  <c r="H78" i="6" s="1"/>
  <c r="AZ98" i="6"/>
  <c r="A184" i="6"/>
  <c r="A177" i="6"/>
  <c r="A170" i="6"/>
  <c r="A156" i="6"/>
  <c r="A149" i="6"/>
  <c r="A163" i="6"/>
  <c r="A142" i="6"/>
  <c r="A135" i="6"/>
  <c r="A121" i="6"/>
  <c r="A128" i="6"/>
  <c r="A114" i="6"/>
  <c r="A72" i="6"/>
  <c r="B182" i="6"/>
  <c r="B161" i="6"/>
  <c r="B154" i="6"/>
  <c r="B147" i="6"/>
  <c r="B175" i="6"/>
  <c r="B168" i="6"/>
  <c r="B140" i="6"/>
  <c r="B133" i="6"/>
  <c r="B112" i="6"/>
  <c r="B119" i="6"/>
  <c r="B126" i="6"/>
  <c r="B105" i="6"/>
  <c r="B98" i="6"/>
  <c r="B84" i="6"/>
  <c r="B70" i="6"/>
  <c r="B28" i="6"/>
  <c r="A44" i="6"/>
  <c r="AS56" i="6"/>
  <c r="S56" i="6" s="1"/>
  <c r="D63" i="6" s="1"/>
  <c r="H63" i="6" s="1"/>
  <c r="AD63" i="6"/>
  <c r="AD62" i="6"/>
  <c r="AT69" i="6"/>
  <c r="AT72" i="6"/>
  <c r="AI70" i="6"/>
  <c r="AK70" i="6" s="1"/>
  <c r="AS80" i="6"/>
  <c r="A79" i="6"/>
  <c r="S79" i="6"/>
  <c r="AT79" i="6"/>
  <c r="AR85" i="6"/>
  <c r="AS86" i="6"/>
  <c r="AS151" i="30" s="1"/>
  <c r="A93" i="6"/>
  <c r="B91" i="6"/>
  <c r="L91" i="6"/>
  <c r="N91" i="6" s="1"/>
  <c r="AB98" i="6"/>
  <c r="AU97" i="6"/>
  <c r="AU98" i="6"/>
  <c r="AU99" i="6"/>
  <c r="A100" i="6"/>
  <c r="A107" i="6"/>
  <c r="AD106" i="6"/>
  <c r="AP52" i="6"/>
  <c r="AS52" i="6" s="1"/>
  <c r="AD64" i="6"/>
  <c r="AI69" i="6"/>
  <c r="D69" i="6"/>
  <c r="H69" i="6" s="1"/>
  <c r="AI71" i="6"/>
  <c r="AK71" i="6" s="1"/>
  <c r="AT71" i="6"/>
  <c r="AZ85" i="6"/>
  <c r="AT100" i="6"/>
  <c r="AS93" i="6"/>
  <c r="N92" i="6"/>
  <c r="N119" i="6"/>
  <c r="AP59" i="6"/>
  <c r="AS59" i="6" s="1"/>
  <c r="AD65" i="6"/>
  <c r="AS73" i="6"/>
  <c r="D71" i="6"/>
  <c r="H71" i="6" s="1"/>
  <c r="N70" i="6"/>
  <c r="D76" i="6"/>
  <c r="H76" i="6" s="1"/>
  <c r="AD77" i="6"/>
  <c r="AF77" i="6" s="1"/>
  <c r="AI77" i="6"/>
  <c r="AK77" i="6" s="1"/>
  <c r="AM77" i="6" s="1"/>
  <c r="AZ84" i="6"/>
  <c r="AU84" i="6"/>
  <c r="A86" i="6"/>
  <c r="L85" i="6"/>
  <c r="AR93" i="6"/>
  <c r="AB91" i="6"/>
  <c r="AD91" i="6" s="1"/>
  <c r="L98" i="6"/>
  <c r="N99" i="6"/>
  <c r="AR108" i="6"/>
  <c r="AT108" i="6"/>
  <c r="AP66" i="6"/>
  <c r="I204" i="8" s="1"/>
  <c r="I202" i="8" s="1"/>
  <c r="AU78" i="6"/>
  <c r="B77" i="6"/>
  <c r="AD78" i="6"/>
  <c r="AT78" i="6"/>
  <c r="AS87" i="6"/>
  <c r="AU87" i="6" s="1"/>
  <c r="AZ90" i="6"/>
  <c r="AZ92" i="6"/>
  <c r="AT93" i="6"/>
  <c r="AZ107" i="6"/>
  <c r="N112" i="6"/>
  <c r="AQ122" i="6"/>
  <c r="N126" i="6"/>
  <c r="AS94" i="6"/>
  <c r="AU94" i="6" s="1"/>
  <c r="AU113" i="6"/>
  <c r="AD113" i="6"/>
  <c r="AR118" i="6"/>
  <c r="AT120" i="6"/>
  <c r="AT127" i="6"/>
  <c r="AR128" i="6"/>
  <c r="N141" i="6"/>
  <c r="AP156" i="6"/>
  <c r="AT149" i="6"/>
  <c r="AP115" i="6"/>
  <c r="AR113" i="6"/>
  <c r="AZ114" i="6"/>
  <c r="AS118" i="6"/>
  <c r="AD119" i="6"/>
  <c r="AT135" i="6"/>
  <c r="AP129" i="6"/>
  <c r="AR129" i="6" s="1"/>
  <c r="AS128" i="6"/>
  <c r="AR101" i="6"/>
  <c r="AT113" i="6"/>
  <c r="AP121" i="6"/>
  <c r="AR121" i="6" s="1"/>
  <c r="AD120" i="6"/>
  <c r="N133" i="6"/>
  <c r="N140" i="6"/>
  <c r="AD133" i="6"/>
  <c r="AP153" i="6"/>
  <c r="AB150" i="6"/>
  <c r="AD171" i="6"/>
  <c r="BE133" i="6"/>
  <c r="BD135" i="6"/>
  <c r="AP147" i="6"/>
  <c r="N147" i="6"/>
  <c r="AF163" i="6"/>
  <c r="AW171" i="6"/>
  <c r="AX171" i="6" s="1"/>
  <c r="AP141" i="6"/>
  <c r="AT141" i="6" s="1"/>
  <c r="BE143" i="6"/>
  <c r="BG142" i="6"/>
  <c r="N148" i="6"/>
  <c r="AD164" i="6"/>
  <c r="AP155" i="6"/>
  <c r="AT146" i="6"/>
  <c r="AD157" i="6"/>
  <c r="AU164" i="6"/>
  <c r="N169" i="6"/>
  <c r="U169" i="6"/>
  <c r="AD149" i="6"/>
  <c r="AW156" i="6"/>
  <c r="AX156" i="6" s="1"/>
  <c r="AI153" i="6"/>
  <c r="S157" i="6"/>
  <c r="S160" i="6"/>
  <c r="AD160" i="6"/>
  <c r="AW167" i="6"/>
  <c r="AX167" i="6" s="1"/>
  <c r="S168" i="6"/>
  <c r="AT175" i="6"/>
  <c r="AT168" i="6"/>
  <c r="AM169" i="6"/>
  <c r="AW168" i="6"/>
  <c r="AX168" i="6" s="1"/>
  <c r="AW170" i="6"/>
  <c r="AX170" i="6" s="1"/>
  <c r="AD168" i="6"/>
  <c r="AD167" i="6"/>
  <c r="AW183" i="6"/>
  <c r="CX12" i="7" s="1"/>
  <c r="N176" i="6"/>
  <c r="N175" i="6"/>
  <c r="AI154" i="6"/>
  <c r="AK154" i="6" s="1"/>
  <c r="AW160" i="6"/>
  <c r="AX160" i="6" s="1"/>
  <c r="AZ163" i="6"/>
  <c r="AW161" i="6"/>
  <c r="AX161" i="6" s="1"/>
  <c r="AW163" i="6"/>
  <c r="AX163" i="6" s="1"/>
  <c r="S161" i="6"/>
  <c r="U162" i="6"/>
  <c r="W162" i="6" s="1"/>
  <c r="AD169" i="6"/>
  <c r="AD162" i="6"/>
  <c r="AF162" i="6"/>
  <c r="AT167" i="6"/>
  <c r="AT170" i="6"/>
  <c r="N155" i="6"/>
  <c r="AD155" i="6"/>
  <c r="AI163" i="6"/>
  <c r="AK163" i="6" s="1"/>
  <c r="AM163" i="6" s="1"/>
  <c r="AI167" i="6"/>
  <c r="AU171" i="6"/>
  <c r="AT171" i="6"/>
  <c r="W146" i="65" s="1"/>
  <c r="AS181" i="6"/>
  <c r="S174" i="6"/>
  <c r="AW174" i="6"/>
  <c r="AX174" i="6" s="1"/>
  <c r="AT174" i="6"/>
  <c r="L154" i="6"/>
  <c r="N154" i="6" s="1"/>
  <c r="AI170" i="6"/>
  <c r="AK170" i="6" s="1"/>
  <c r="D170" i="6"/>
  <c r="H170" i="6" s="1"/>
  <c r="AZ174" i="6"/>
  <c r="L168" i="6"/>
  <c r="N168" i="6" s="1"/>
  <c r="D169" i="6"/>
  <c r="H169" i="6" s="1"/>
  <c r="AW182" i="6"/>
  <c r="CX11" i="7" s="1"/>
  <c r="AZ182" i="6"/>
  <c r="AT176" i="6"/>
  <c r="AD175" i="6"/>
  <c r="N183" i="6"/>
  <c r="AD174" i="6"/>
  <c r="AZ176" i="6"/>
  <c r="S175" i="6"/>
  <c r="AI23" i="30"/>
  <c r="AI42" i="30"/>
  <c r="AK42" i="30" s="1"/>
  <c r="U42" i="30"/>
  <c r="D42" i="30"/>
  <c r="H42" i="30" s="1"/>
  <c r="AF42" i="30" s="1"/>
  <c r="AM50" i="30"/>
  <c r="AI29" i="30"/>
  <c r="AK29" i="30" s="1"/>
  <c r="AM29" i="30" s="1"/>
  <c r="D29" i="30"/>
  <c r="H29" i="30" s="1"/>
  <c r="U29" i="30"/>
  <c r="AV52" i="30"/>
  <c r="AU52" i="30"/>
  <c r="AI58" i="30"/>
  <c r="BD76" i="30"/>
  <c r="D43" i="30"/>
  <c r="H43" i="30" s="1"/>
  <c r="AI36" i="30"/>
  <c r="D36" i="30"/>
  <c r="H36" i="30" s="1"/>
  <c r="U36" i="30"/>
  <c r="BB66" i="30"/>
  <c r="AI20" i="30"/>
  <c r="AV45" i="30"/>
  <c r="BL94" i="30"/>
  <c r="BL101" i="30" s="1"/>
  <c r="BL108" i="30" s="1"/>
  <c r="BL115" i="30" s="1"/>
  <c r="BL122" i="30" s="1"/>
  <c r="BL129" i="30" s="1"/>
  <c r="BL84" i="30"/>
  <c r="BL85" i="30"/>
  <c r="BL83" i="30"/>
  <c r="BP94" i="30"/>
  <c r="BP85" i="30"/>
  <c r="BP86" i="30"/>
  <c r="AS24" i="30"/>
  <c r="K9" i="8" s="1"/>
  <c r="N28" i="30"/>
  <c r="AZ30" i="30"/>
  <c r="AU36" i="30"/>
  <c r="AU43" i="30"/>
  <c r="AD43" i="30"/>
  <c r="D50" i="30"/>
  <c r="H50" i="30" s="1"/>
  <c r="K56" i="30"/>
  <c r="L57" i="30"/>
  <c r="S59" i="30"/>
  <c r="K63" i="30"/>
  <c r="L64" i="30"/>
  <c r="BG72" i="30"/>
  <c r="BI72" i="30" s="1"/>
  <c r="BB72" i="30" s="1"/>
  <c r="BO90" i="30"/>
  <c r="BO101" i="30"/>
  <c r="BS94" i="30"/>
  <c r="BO86" i="30"/>
  <c r="BM94" i="30"/>
  <c r="BM101" i="30" s="1"/>
  <c r="BM108" i="30" s="1"/>
  <c r="BM115" i="30" s="1"/>
  <c r="BM122" i="30" s="1"/>
  <c r="BM129" i="30" s="1"/>
  <c r="BM84" i="30"/>
  <c r="BM83" i="30"/>
  <c r="N99" i="30"/>
  <c r="M56" i="30"/>
  <c r="AS59" i="30"/>
  <c r="P9" i="8" s="1"/>
  <c r="P10" i="8" s="1"/>
  <c r="K70" i="30"/>
  <c r="AV70" i="30"/>
  <c r="AV72" i="30"/>
  <c r="L70" i="30"/>
  <c r="N70" i="30" s="1"/>
  <c r="K84" i="30"/>
  <c r="BO84" i="30"/>
  <c r="K92" i="30"/>
  <c r="L91" i="30"/>
  <c r="N91" i="30" s="1"/>
  <c r="AZ101" i="30"/>
  <c r="AI106" i="30"/>
  <c r="U22" i="30"/>
  <c r="AU27" i="30"/>
  <c r="AB36" i="30"/>
  <c r="S45" i="30"/>
  <c r="J50" i="30"/>
  <c r="J106" i="6" s="1"/>
  <c r="D48" i="30"/>
  <c r="H48" i="30" s="1"/>
  <c r="L49" i="30"/>
  <c r="U49" i="30" s="1"/>
  <c r="W49" i="30" s="1"/>
  <c r="AI48" i="30"/>
  <c r="AU58" i="30"/>
  <c r="U56" i="30"/>
  <c r="AI55" i="30"/>
  <c r="AS63" i="30"/>
  <c r="J71" i="30"/>
  <c r="J127" i="6" s="1"/>
  <c r="BH69" i="30"/>
  <c r="BI69" i="30" s="1"/>
  <c r="BB69" i="30" s="1"/>
  <c r="BG79" i="30"/>
  <c r="BH84" i="30"/>
  <c r="BW84" i="30" s="1"/>
  <c r="BB84" i="30" s="1"/>
  <c r="BD84" i="30" s="1"/>
  <c r="BH94" i="30"/>
  <c r="BH101" i="30" s="1"/>
  <c r="BH108" i="30" s="1"/>
  <c r="BH115" i="30" s="1"/>
  <c r="M84" i="30"/>
  <c r="BH83" i="30"/>
  <c r="BO85" i="30"/>
  <c r="Z84" i="30"/>
  <c r="L85" i="30"/>
  <c r="N85" i="30" s="1"/>
  <c r="AZ87" i="30"/>
  <c r="BQ94" i="30"/>
  <c r="BQ86" i="30"/>
  <c r="U107" i="30"/>
  <c r="AI125" i="30"/>
  <c r="D27" i="30"/>
  <c r="H27" i="30" s="1"/>
  <c r="D34" i="30"/>
  <c r="H34" i="30" s="1"/>
  <c r="AU42" i="30"/>
  <c r="D41" i="30"/>
  <c r="H41" i="30" s="1"/>
  <c r="D49" i="30"/>
  <c r="H49" i="30" s="1"/>
  <c r="S51" i="30"/>
  <c r="AI49" i="30"/>
  <c r="AK49" i="30" s="1"/>
  <c r="AZ51" i="30"/>
  <c r="D55" i="30"/>
  <c r="H55" i="30" s="1"/>
  <c r="AF55" i="30" s="1"/>
  <c r="U57" i="30"/>
  <c r="AI56" i="30"/>
  <c r="AK56" i="30" s="1"/>
  <c r="M63" i="30"/>
  <c r="N63" i="30" s="1"/>
  <c r="AS64" i="30"/>
  <c r="AV69" i="30"/>
  <c r="AV71" i="30"/>
  <c r="BF77" i="30"/>
  <c r="BW77" i="30" s="1"/>
  <c r="BB77" i="30" s="1"/>
  <c r="BH79" i="30"/>
  <c r="BL79" i="30"/>
  <c r="BN85" i="30"/>
  <c r="BN94" i="30"/>
  <c r="BN101" i="30" s="1"/>
  <c r="BN108" i="30" s="1"/>
  <c r="BN115" i="30" s="1"/>
  <c r="BN122" i="30" s="1"/>
  <c r="BN129" i="30" s="1"/>
  <c r="BR93" i="30"/>
  <c r="BR92" i="30"/>
  <c r="BR91" i="30"/>
  <c r="BR90" i="30"/>
  <c r="BR101" i="30"/>
  <c r="K85" i="30"/>
  <c r="BG83" i="30"/>
  <c r="BW83" i="30" s="1"/>
  <c r="BB83" i="30" s="1"/>
  <c r="BH85" i="30"/>
  <c r="BS86" i="30"/>
  <c r="BX86" i="30" s="1"/>
  <c r="K91" i="30"/>
  <c r="N98" i="30"/>
  <c r="S108" i="30"/>
  <c r="W7" i="8" s="1"/>
  <c r="AI104" i="30"/>
  <c r="AU114" i="30"/>
  <c r="L111" i="30"/>
  <c r="AZ115" i="30"/>
  <c r="AI119" i="30"/>
  <c r="N127" i="30"/>
  <c r="AI143" i="30"/>
  <c r="AK143" i="30" s="1"/>
  <c r="U143" i="30"/>
  <c r="AI141" i="30"/>
  <c r="U141" i="30"/>
  <c r="AU148" i="30"/>
  <c r="AU155" i="30"/>
  <c r="S155" i="30"/>
  <c r="S90" i="6" s="1"/>
  <c r="S165" i="30"/>
  <c r="S100" i="6" s="1"/>
  <c r="AS166" i="30"/>
  <c r="N60" i="8" s="1"/>
  <c r="S162" i="30"/>
  <c r="S97" i="6" s="1"/>
  <c r="AU172" i="30"/>
  <c r="AU171" i="30"/>
  <c r="S179" i="30"/>
  <c r="AU179" i="30"/>
  <c r="K105" i="30"/>
  <c r="K107" i="30"/>
  <c r="D112" i="30"/>
  <c r="H112" i="30" s="1"/>
  <c r="L112" i="30"/>
  <c r="AI114" i="30"/>
  <c r="D111" i="30"/>
  <c r="H111" i="30" s="1"/>
  <c r="L119" i="30"/>
  <c r="AU126" i="30"/>
  <c r="S145" i="30"/>
  <c r="AI148" i="30"/>
  <c r="D148" i="30"/>
  <c r="H148" i="30" s="1"/>
  <c r="AM156" i="30"/>
  <c r="P156" i="30"/>
  <c r="L171" i="30"/>
  <c r="L192" i="30"/>
  <c r="N192" i="30" s="1"/>
  <c r="K192" i="30"/>
  <c r="L191" i="30"/>
  <c r="N191" i="30" s="1"/>
  <c r="K191" i="30"/>
  <c r="L106" i="30"/>
  <c r="N106" i="30" s="1"/>
  <c r="AS108" i="30"/>
  <c r="W9" i="8" s="1"/>
  <c r="K113" i="30"/>
  <c r="AI111" i="30"/>
  <c r="AS115" i="30"/>
  <c r="X9" i="8" s="1"/>
  <c r="AU119" i="30"/>
  <c r="D118" i="30"/>
  <c r="H118" i="30" s="1"/>
  <c r="N141" i="30"/>
  <c r="S157" i="30"/>
  <c r="AU157" i="30"/>
  <c r="S170" i="30"/>
  <c r="AU170" i="30"/>
  <c r="U178" i="30"/>
  <c r="N198" i="30"/>
  <c r="AU113" i="30"/>
  <c r="D114" i="30"/>
  <c r="H114" i="30" s="1"/>
  <c r="S113" i="30"/>
  <c r="K120" i="30"/>
  <c r="D119" i="30"/>
  <c r="H119" i="30" s="1"/>
  <c r="U120" i="30"/>
  <c r="AI142" i="30"/>
  <c r="AK142" i="30" s="1"/>
  <c r="AM149" i="30" s="1"/>
  <c r="U142" i="30"/>
  <c r="AI150" i="30"/>
  <c r="AK150" i="30" s="1"/>
  <c r="AM150" i="30" s="1"/>
  <c r="D150" i="30"/>
  <c r="H150" i="30" s="1"/>
  <c r="U150" i="30"/>
  <c r="W150" i="30" s="1"/>
  <c r="S164" i="30"/>
  <c r="S99" i="6" s="1"/>
  <c r="AU164" i="30"/>
  <c r="N164" i="30"/>
  <c r="S171" i="30"/>
  <c r="D226" i="30"/>
  <c r="P127" i="30"/>
  <c r="D127" i="30"/>
  <c r="S127" i="30" s="1"/>
  <c r="AB137" i="30"/>
  <c r="L137" i="30"/>
  <c r="L138" i="30" s="1"/>
  <c r="D149" i="30"/>
  <c r="H149" i="30" s="1"/>
  <c r="AU156" i="30"/>
  <c r="AZ158" i="30"/>
  <c r="AI163" i="30"/>
  <c r="AK163" i="30" s="1"/>
  <c r="AM163" i="30" s="1"/>
  <c r="AS173" i="30"/>
  <c r="O60" i="8" s="1"/>
  <c r="O61" i="8" s="1"/>
  <c r="S172" i="30"/>
  <c r="AU178" i="30"/>
  <c r="AZ179" i="30"/>
  <c r="K198" i="30"/>
  <c r="D227" i="30"/>
  <c r="AK243" i="30"/>
  <c r="U156" i="30"/>
  <c r="D163" i="30"/>
  <c r="H163" i="30" s="1"/>
  <c r="N163" i="30"/>
  <c r="N177" i="30"/>
  <c r="L199" i="30"/>
  <c r="N199" i="30" s="1"/>
  <c r="K199" i="30"/>
  <c r="AZ208" i="30"/>
  <c r="N213" i="30"/>
  <c r="N219" i="30"/>
  <c r="AB240" i="30"/>
  <c r="P258" i="30"/>
  <c r="AF258" i="30"/>
  <c r="W265" i="30"/>
  <c r="AB141" i="30"/>
  <c r="U149" i="30"/>
  <c r="W149" i="30" s="1"/>
  <c r="AI169" i="30"/>
  <c r="N220" i="30"/>
  <c r="AZ200" i="30"/>
  <c r="AZ207" i="30"/>
  <c r="K213" i="30"/>
  <c r="AB239" i="30"/>
  <c r="AD247" i="30"/>
  <c r="D250" i="30"/>
  <c r="H250" i="30" s="1"/>
  <c r="AI250" i="30"/>
  <c r="N265" i="30"/>
  <c r="P265" i="30" s="1"/>
  <c r="AK265" i="30"/>
  <c r="AM265" i="30" s="1"/>
  <c r="AS271" i="30"/>
  <c r="AY104" i="6" s="1"/>
  <c r="AV278" i="30"/>
  <c r="AI281" i="30"/>
  <c r="D281" i="30"/>
  <c r="H281" i="30" s="1"/>
  <c r="U301" i="30"/>
  <c r="K206" i="30"/>
  <c r="L243" i="30"/>
  <c r="L239" i="30"/>
  <c r="L240" i="30" s="1"/>
  <c r="U240" i="30" s="1"/>
  <c r="AD253" i="30"/>
  <c r="AI252" i="30"/>
  <c r="AK252" i="30" s="1"/>
  <c r="D266" i="30"/>
  <c r="H266" i="30" s="1"/>
  <c r="AI259" i="30"/>
  <c r="AK259" i="30" s="1"/>
  <c r="AM259" i="30" s="1"/>
  <c r="D259" i="30"/>
  <c r="H259" i="30" s="1"/>
  <c r="U259" i="30"/>
  <c r="W259" i="30" s="1"/>
  <c r="AZ260" i="30"/>
  <c r="AI267" i="30"/>
  <c r="N266" i="30"/>
  <c r="D274" i="30"/>
  <c r="H274" i="30" s="1"/>
  <c r="AI274" i="30"/>
  <c r="N286" i="30"/>
  <c r="N293" i="30"/>
  <c r="Z205" i="30"/>
  <c r="L205" i="30"/>
  <c r="N205" i="30" s="1"/>
  <c r="N244" i="30"/>
  <c r="S247" i="30"/>
  <c r="D247" i="30" s="1"/>
  <c r="H247" i="30" s="1"/>
  <c r="N251" i="30"/>
  <c r="AI251" i="30"/>
  <c r="AK251" i="30" s="1"/>
  <c r="AM251" i="30" s="1"/>
  <c r="D251" i="30"/>
  <c r="H251" i="30" s="1"/>
  <c r="U251" i="30"/>
  <c r="W251" i="30" s="1"/>
  <c r="AV287" i="30"/>
  <c r="AS280" i="30"/>
  <c r="AY113" i="6" s="1"/>
  <c r="L272" i="30"/>
  <c r="N272" i="30" s="1"/>
  <c r="J273" i="30"/>
  <c r="L273" i="30" s="1"/>
  <c r="N273" i="30" s="1"/>
  <c r="AF306" i="30"/>
  <c r="K205" i="30"/>
  <c r="AS229" i="30"/>
  <c r="W60" i="8" s="1"/>
  <c r="N245" i="30"/>
  <c r="AD246" i="30"/>
  <c r="AZ253" i="30"/>
  <c r="AB253" i="30"/>
  <c r="AB254" i="30" s="1"/>
  <c r="AD254" i="30"/>
  <c r="AB257" i="30"/>
  <c r="AU264" i="30"/>
  <c r="S257" i="30"/>
  <c r="AF265" i="30"/>
  <c r="AI264" i="30"/>
  <c r="AI266" i="30"/>
  <c r="AK266" i="30" s="1"/>
  <c r="AS273" i="30"/>
  <c r="AY106" i="6" s="1"/>
  <c r="BH289" i="30"/>
  <c r="K293" i="30"/>
  <c r="N294" i="30"/>
  <c r="AZ296" i="30"/>
  <c r="AZ309" i="30"/>
  <c r="AZ302" i="30"/>
  <c r="AY303" i="30"/>
  <c r="AZ303" i="30" s="1"/>
  <c r="S309" i="30"/>
  <c r="AU309" i="30"/>
  <c r="AU281" i="30"/>
  <c r="BH292" i="30"/>
  <c r="BI292" i="30" s="1"/>
  <c r="BB292" i="30" s="1"/>
  <c r="K301" i="30"/>
  <c r="W307" i="30"/>
  <c r="P322" i="30"/>
  <c r="P336" i="30"/>
  <c r="AS268" i="30"/>
  <c r="K286" i="30"/>
  <c r="BH293" i="30"/>
  <c r="N300" i="30"/>
  <c r="AI302" i="30"/>
  <c r="N308" i="30"/>
  <c r="D308" i="30"/>
  <c r="H308" i="30" s="1"/>
  <c r="AI308" i="30"/>
  <c r="AV279" i="30"/>
  <c r="AS272" i="30"/>
  <c r="AY105" i="6" s="1"/>
  <c r="K287" i="30"/>
  <c r="AV288" i="30"/>
  <c r="AV186" i="30" s="1"/>
  <c r="BG300" i="30"/>
  <c r="BI300" i="30" s="1"/>
  <c r="BB300" i="30" s="1"/>
  <c r="BG301" i="30"/>
  <c r="BH288" i="30"/>
  <c r="BB288" i="30" s="1"/>
  <c r="BD65" i="30" s="1"/>
  <c r="BG295" i="30"/>
  <c r="BI295" i="30" s="1"/>
  <c r="BB295" i="30" s="1"/>
  <c r="AI301" i="30"/>
  <c r="AK301" i="30" s="1"/>
  <c r="N307" i="30"/>
  <c r="U308" i="30"/>
  <c r="W308" i="30" s="1"/>
  <c r="AI338" i="30"/>
  <c r="K307" i="30"/>
  <c r="S310" i="30"/>
  <c r="K315" i="30"/>
  <c r="AU316" i="30"/>
  <c r="AU315" i="30"/>
  <c r="AZ317" i="30"/>
  <c r="S321" i="30"/>
  <c r="AI323" i="30"/>
  <c r="S327" i="30"/>
  <c r="U336" i="30"/>
  <c r="L343" i="30"/>
  <c r="N343" i="30" s="1"/>
  <c r="D348" i="30"/>
  <c r="L365" i="30"/>
  <c r="N375" i="30"/>
  <c r="L379" i="30"/>
  <c r="AU308" i="30"/>
  <c r="AZ310" i="30"/>
  <c r="D313" i="30"/>
  <c r="H313" i="30" s="1"/>
  <c r="P314" i="30"/>
  <c r="D315" i="30"/>
  <c r="H315" i="30" s="1"/>
  <c r="U315" i="30"/>
  <c r="AI317" i="30"/>
  <c r="L321" i="30"/>
  <c r="N321" i="30" s="1"/>
  <c r="U322" i="30"/>
  <c r="W322" i="30" s="1"/>
  <c r="S324" i="30"/>
  <c r="AS324" i="30"/>
  <c r="U329" i="30"/>
  <c r="W329" i="30" s="1"/>
  <c r="S338" i="30"/>
  <c r="X106" i="8" s="1"/>
  <c r="X110" i="8" s="1"/>
  <c r="AS338" i="30"/>
  <c r="X108" i="8" s="1"/>
  <c r="AU334" i="30"/>
  <c r="N349" i="30"/>
  <c r="N342" i="30"/>
  <c r="D377" i="30"/>
  <c r="H377" i="30" s="1"/>
  <c r="D370" i="30"/>
  <c r="H370" i="30" s="1"/>
  <c r="P370" i="30" s="1"/>
  <c r="U370" i="30"/>
  <c r="W370" i="30" s="1"/>
  <c r="AI370" i="30"/>
  <c r="AK370" i="30" s="1"/>
  <c r="AU317" i="30"/>
  <c r="N322" i="30"/>
  <c r="D330" i="30"/>
  <c r="H330" i="30" s="1"/>
  <c r="D337" i="30"/>
  <c r="H337" i="30" s="1"/>
  <c r="D341" i="30"/>
  <c r="H341" i="30" s="1"/>
  <c r="AI343" i="30"/>
  <c r="D343" i="30"/>
  <c r="H343" i="30" s="1"/>
  <c r="U343" i="30"/>
  <c r="S350" i="30"/>
  <c r="S342" i="30"/>
  <c r="N364" i="30"/>
  <c r="U364" i="30"/>
  <c r="S303" i="30"/>
  <c r="AS303" i="30"/>
  <c r="Z307" i="30"/>
  <c r="AI306" i="30"/>
  <c r="AS310" i="30"/>
  <c r="D316" i="30"/>
  <c r="H316" i="30" s="1"/>
  <c r="S317" i="30"/>
  <c r="D317" i="30" s="1"/>
  <c r="H317" i="30" s="1"/>
  <c r="D323" i="30"/>
  <c r="H323" i="30" s="1"/>
  <c r="L328" i="30"/>
  <c r="N328" i="30" s="1"/>
  <c r="K328" i="30"/>
  <c r="D329" i="30"/>
  <c r="H329" i="30" s="1"/>
  <c r="AU337" i="30"/>
  <c r="U335" i="30"/>
  <c r="AU341" i="30"/>
  <c r="N368" i="30"/>
  <c r="K343" i="30"/>
  <c r="AB357" i="30"/>
  <c r="AI357" i="30" s="1"/>
  <c r="AK357" i="30" s="1"/>
  <c r="S357" i="30" s="1"/>
  <c r="N377" i="30"/>
  <c r="AI375" i="30"/>
  <c r="D382" i="30"/>
  <c r="H382" i="30" s="1"/>
  <c r="U375" i="30"/>
  <c r="S379" i="30"/>
  <c r="N384" i="30"/>
  <c r="D376" i="30"/>
  <c r="H376" i="30" s="1"/>
  <c r="AI376" i="30"/>
  <c r="AK376" i="30" s="1"/>
  <c r="W384" i="30"/>
  <c r="N389" i="30"/>
  <c r="P389" i="30"/>
  <c r="AD363" i="30"/>
  <c r="AI365" i="30"/>
  <c r="S372" i="30"/>
  <c r="D372" i="30" s="1"/>
  <c r="D368" i="30"/>
  <c r="H368" i="30" s="1"/>
  <c r="P368" i="30" s="1"/>
  <c r="AI368" i="30"/>
  <c r="U368" i="30"/>
  <c r="AI371" i="30"/>
  <c r="AD370" i="30"/>
  <c r="L386" i="30"/>
  <c r="U382" i="30"/>
  <c r="N382" i="30"/>
  <c r="D375" i="30"/>
  <c r="H375" i="30" s="1"/>
  <c r="D383" i="30"/>
  <c r="H383" i="30" s="1"/>
  <c r="AI383" i="30"/>
  <c r="U383" i="30"/>
  <c r="W383" i="30" s="1"/>
  <c r="AF391" i="30"/>
  <c r="D391" i="30"/>
  <c r="S391" i="30" s="1"/>
  <c r="D392" i="30"/>
  <c r="S348" i="30"/>
  <c r="S181" i="6" s="1"/>
  <c r="CV10" i="7" s="1"/>
  <c r="CV40" i="7" s="1"/>
  <c r="AK363" i="30"/>
  <c r="D378" i="30"/>
  <c r="H378" i="30" s="1"/>
  <c r="N376" i="30"/>
  <c r="U376" i="30"/>
  <c r="W376" i="30" s="1"/>
  <c r="AD376" i="30"/>
  <c r="D384" i="30"/>
  <c r="H384" i="30" s="1"/>
  <c r="AI384" i="30"/>
  <c r="AK384" i="30" s="1"/>
  <c r="AK361" i="30"/>
  <c r="L371" i="30"/>
  <c r="N371" i="30" s="1"/>
  <c r="H371" i="30" s="1"/>
  <c r="S386" i="30"/>
  <c r="D386" i="30" s="1"/>
  <c r="H386" i="30" s="1"/>
  <c r="L418" i="30"/>
  <c r="L427" i="30"/>
  <c r="N427" i="30" s="1"/>
  <c r="P427" i="30" s="1"/>
  <c r="L431" i="30"/>
  <c r="N438" i="30" s="1"/>
  <c r="P438" i="30" s="1"/>
  <c r="U389" i="30"/>
  <c r="L419" i="30"/>
  <c r="N419" i="30" s="1"/>
  <c r="P419" i="30" s="1"/>
  <c r="N424" i="30"/>
  <c r="P424" i="30" s="1"/>
  <c r="L428" i="30"/>
  <c r="P433" i="30"/>
  <c r="N445" i="30"/>
  <c r="H445" i="30" s="1"/>
  <c r="D445" i="30" s="1"/>
  <c r="L390" i="30"/>
  <c r="N390" i="30" s="1"/>
  <c r="D390" i="30"/>
  <c r="H390" i="30" s="1"/>
  <c r="L421" i="30"/>
  <c r="N421" i="30" s="1"/>
  <c r="P420" i="30"/>
  <c r="K431" i="30"/>
  <c r="L440" i="30"/>
  <c r="N440" i="30" s="1"/>
  <c r="P440" i="30" s="1"/>
  <c r="K441" i="30"/>
  <c r="K440" i="30"/>
  <c r="L447" i="30"/>
  <c r="N447" i="30" s="1"/>
  <c r="H447" i="30" s="1"/>
  <c r="D447" i="30" s="1"/>
  <c r="K447" i="30"/>
  <c r="L446" i="30"/>
  <c r="K446" i="30"/>
  <c r="N448" i="30"/>
  <c r="H448" i="30" s="1"/>
  <c r="D448" i="30" s="1"/>
  <c r="N453" i="30"/>
  <c r="H453" i="30" s="1"/>
  <c r="D453" i="30" s="1"/>
  <c r="S392" i="30"/>
  <c r="AI385" i="30"/>
  <c r="U385" i="30"/>
  <c r="W385" i="30" s="1"/>
  <c r="K420" i="30"/>
  <c r="N417" i="30"/>
  <c r="P417" i="30" s="1"/>
  <c r="K424" i="30"/>
  <c r="L441" i="30"/>
  <c r="N441" i="30" s="1"/>
  <c r="L452" i="30"/>
  <c r="K452" i="30"/>
  <c r="K448" i="30"/>
  <c r="N455" i="30"/>
  <c r="H455" i="30" s="1"/>
  <c r="D455" i="30" s="1"/>
  <c r="K433" i="30"/>
  <c r="L432" i="30"/>
  <c r="N432" i="30" s="1"/>
  <c r="P432" i="30" s="1"/>
  <c r="K445" i="30"/>
  <c r="L439" i="30"/>
  <c r="C45" i="3"/>
  <c r="C20" i="3"/>
  <c r="H45" i="3"/>
  <c r="H20" i="3"/>
  <c r="M45" i="3"/>
  <c r="M20" i="3"/>
  <c r="R45" i="3"/>
  <c r="W45" i="3"/>
  <c r="AB45" i="3"/>
  <c r="AB20" i="3"/>
  <c r="AL45" i="3"/>
  <c r="AL20" i="3"/>
  <c r="AQ45" i="3"/>
  <c r="AQ20" i="3"/>
  <c r="AV45" i="3"/>
  <c r="AV20" i="3"/>
  <c r="BF45" i="3"/>
  <c r="BF20" i="3"/>
  <c r="BK45" i="3"/>
  <c r="BK20" i="3"/>
  <c r="BP45" i="3"/>
  <c r="BZ45" i="3"/>
  <c r="CE45" i="3"/>
  <c r="CE20" i="3"/>
  <c r="D45" i="3"/>
  <c r="D20" i="3"/>
  <c r="N45" i="3"/>
  <c r="M46" i="3"/>
  <c r="AG58" i="3"/>
  <c r="AG46" i="3"/>
  <c r="BA58" i="3"/>
  <c r="BA46" i="3"/>
  <c r="BU46" i="3"/>
  <c r="BU59" i="3"/>
  <c r="BU47" i="3"/>
  <c r="BU60" i="3"/>
  <c r="BU48" i="3"/>
  <c r="E45" i="3"/>
  <c r="E20" i="3"/>
  <c r="AL58" i="3"/>
  <c r="AL46" i="3"/>
  <c r="BF58" i="3"/>
  <c r="BF46" i="3"/>
  <c r="BF47" i="3"/>
  <c r="BF48" i="3"/>
  <c r="BZ59" i="3"/>
  <c r="BZ47" i="3"/>
  <c r="BZ60" i="3"/>
  <c r="BZ48" i="3"/>
  <c r="DA65" i="3"/>
  <c r="AB65" i="3"/>
  <c r="M5" i="3"/>
  <c r="F45" i="3"/>
  <c r="F20" i="3"/>
  <c r="P45" i="3"/>
  <c r="P20" i="3"/>
  <c r="DD12" i="3"/>
  <c r="C46" i="3"/>
  <c r="AQ58" i="3"/>
  <c r="AQ46" i="3"/>
  <c r="BK58" i="3"/>
  <c r="BK46" i="3"/>
  <c r="BK59" i="3"/>
  <c r="BK47" i="3"/>
  <c r="BK60" i="3"/>
  <c r="BK48" i="3"/>
  <c r="CE46" i="3"/>
  <c r="CE59" i="3"/>
  <c r="CE47" i="3"/>
  <c r="CE60" i="3"/>
  <c r="CE48" i="3"/>
  <c r="DE45" i="3"/>
  <c r="DE20" i="3"/>
  <c r="H56" i="3"/>
  <c r="R56" i="3"/>
  <c r="W56" i="3"/>
  <c r="AB56" i="3"/>
  <c r="AG56" i="3"/>
  <c r="AL56" i="3"/>
  <c r="AQ56" i="3"/>
  <c r="AV56" i="3"/>
  <c r="BA56" i="3"/>
  <c r="BF56" i="3"/>
  <c r="BK56" i="3"/>
  <c r="BP56" i="3"/>
  <c r="BU56" i="3"/>
  <c r="BZ56" i="3"/>
  <c r="CE56" i="3"/>
  <c r="H58" i="3"/>
  <c r="H46" i="3"/>
  <c r="AB46" i="3"/>
  <c r="AG12" i="3"/>
  <c r="AV58" i="3"/>
  <c r="AV46" i="3"/>
  <c r="BA12" i="3"/>
  <c r="BP59" i="3"/>
  <c r="BP47" i="3"/>
  <c r="BP60" i="3"/>
  <c r="BP48" i="3"/>
  <c r="BU12" i="3"/>
  <c r="DF58" i="3"/>
  <c r="DF46" i="3"/>
  <c r="CK17" i="3"/>
  <c r="CJ17" i="3"/>
  <c r="CL17" i="3"/>
  <c r="F65" i="3"/>
  <c r="CZ65" i="3"/>
  <c r="K56" i="3"/>
  <c r="U56" i="3"/>
  <c r="Z56" i="3"/>
  <c r="AE56" i="3"/>
  <c r="AJ56" i="3"/>
  <c r="AO56" i="3"/>
  <c r="AT56" i="3"/>
  <c r="AY56" i="3"/>
  <c r="BD56" i="3"/>
  <c r="BI56" i="3"/>
  <c r="BN56" i="3"/>
  <c r="BS56" i="3"/>
  <c r="BX56" i="3"/>
  <c r="CC56" i="3"/>
  <c r="CH56" i="3"/>
  <c r="F46" i="3"/>
  <c r="K12" i="3"/>
  <c r="K58" i="3"/>
  <c r="K46" i="3"/>
  <c r="P46" i="3"/>
  <c r="U12" i="3"/>
  <c r="U58" i="3"/>
  <c r="U46" i="3"/>
  <c r="Z12" i="3"/>
  <c r="Z58" i="3"/>
  <c r="Z46" i="3"/>
  <c r="AE12" i="3"/>
  <c r="AE58" i="3"/>
  <c r="AE46" i="3"/>
  <c r="AJ12" i="3"/>
  <c r="AJ58" i="3"/>
  <c r="AJ46" i="3"/>
  <c r="AO12" i="3"/>
  <c r="AO58" i="3"/>
  <c r="AO46" i="3"/>
  <c r="AT12" i="3"/>
  <c r="AT58" i="3"/>
  <c r="AT46" i="3"/>
  <c r="AY12" i="3"/>
  <c r="AY58" i="3"/>
  <c r="AY46" i="3"/>
  <c r="BD12" i="3"/>
  <c r="BI12" i="3"/>
  <c r="BI46" i="3"/>
  <c r="BI47" i="3"/>
  <c r="BI48" i="3"/>
  <c r="BN12" i="3"/>
  <c r="BN59" i="3"/>
  <c r="BN47" i="3"/>
  <c r="BN60" i="3"/>
  <c r="BN48" i="3"/>
  <c r="BS12" i="3"/>
  <c r="BS59" i="3"/>
  <c r="BS47" i="3"/>
  <c r="BS60" i="3"/>
  <c r="BS48" i="3"/>
  <c r="BX12" i="3"/>
  <c r="BX59" i="3"/>
  <c r="BX47" i="3"/>
  <c r="BX60" i="3"/>
  <c r="BX48" i="3"/>
  <c r="CC12" i="3"/>
  <c r="CC46" i="3"/>
  <c r="CC59" i="3"/>
  <c r="CC47" i="3"/>
  <c r="CC60" i="3"/>
  <c r="CC48" i="3"/>
  <c r="CH12" i="3"/>
  <c r="CH58" i="3"/>
  <c r="CH46" i="3"/>
  <c r="CH59" i="3"/>
  <c r="CH47" i="3"/>
  <c r="CH60" i="3"/>
  <c r="CH48" i="3"/>
  <c r="DF59" i="3"/>
  <c r="DF47" i="3"/>
  <c r="CP17" i="3"/>
  <c r="CJ23" i="3"/>
  <c r="CQ23" i="3"/>
  <c r="CO23" i="3"/>
  <c r="I56" i="3"/>
  <c r="S56" i="3"/>
  <c r="X56" i="3"/>
  <c r="AC56" i="3"/>
  <c r="AH56" i="3"/>
  <c r="AM56" i="3"/>
  <c r="AR56" i="3"/>
  <c r="AW56" i="3"/>
  <c r="BB56" i="3"/>
  <c r="BG56" i="3"/>
  <c r="BL56" i="3"/>
  <c r="BQ56" i="3"/>
  <c r="BV56" i="3"/>
  <c r="CA56" i="3"/>
  <c r="CF56" i="3"/>
  <c r="DE56" i="3"/>
  <c r="D46" i="3"/>
  <c r="I12" i="3"/>
  <c r="I58" i="3"/>
  <c r="I46" i="3"/>
  <c r="S12" i="3"/>
  <c r="X12" i="3"/>
  <c r="X46" i="3"/>
  <c r="AC12" i="3"/>
  <c r="AC58" i="3"/>
  <c r="AC46" i="3"/>
  <c r="AH12" i="3"/>
  <c r="AH58" i="3"/>
  <c r="AH46" i="3"/>
  <c r="AM12" i="3"/>
  <c r="AM58" i="3"/>
  <c r="AM46" i="3"/>
  <c r="AR12" i="3"/>
  <c r="AR58" i="3"/>
  <c r="AR46" i="3"/>
  <c r="AW12" i="3"/>
  <c r="AW58" i="3"/>
  <c r="AW46" i="3"/>
  <c r="BB12" i="3"/>
  <c r="BG12" i="3"/>
  <c r="BG46" i="3"/>
  <c r="BG47" i="3"/>
  <c r="BG48" i="3"/>
  <c r="BL12" i="3"/>
  <c r="BL58" i="3"/>
  <c r="BL46" i="3"/>
  <c r="BL59" i="3"/>
  <c r="BL47" i="3"/>
  <c r="BL60" i="3"/>
  <c r="BL48" i="3"/>
  <c r="BQ12" i="3"/>
  <c r="BQ58" i="3"/>
  <c r="BQ46" i="3"/>
  <c r="BQ59" i="3"/>
  <c r="BQ47" i="3"/>
  <c r="BQ60" i="3"/>
  <c r="BQ48" i="3"/>
  <c r="BV12" i="3"/>
  <c r="BV59" i="3"/>
  <c r="BV47" i="3"/>
  <c r="BV60" i="3"/>
  <c r="BV48" i="3"/>
  <c r="CA12" i="3"/>
  <c r="CA46" i="3"/>
  <c r="CA59" i="3"/>
  <c r="CA47" i="3"/>
  <c r="CA60" i="3"/>
  <c r="CA48" i="3"/>
  <c r="CF12" i="3"/>
  <c r="CF58" i="3"/>
  <c r="CF46" i="3"/>
  <c r="CF59" i="3"/>
  <c r="CF47" i="3"/>
  <c r="CF60" i="3"/>
  <c r="CF48" i="3"/>
  <c r="DF12" i="3"/>
  <c r="DE60" i="3"/>
  <c r="DE48" i="3"/>
  <c r="CM23" i="3"/>
  <c r="CK38" i="3"/>
  <c r="CJ38" i="3"/>
  <c r="CL38" i="3"/>
  <c r="J56" i="3"/>
  <c r="T56" i="3"/>
  <c r="Y56" i="3"/>
  <c r="AD56" i="3"/>
  <c r="AI56" i="3"/>
  <c r="AN56" i="3"/>
  <c r="AX56" i="3"/>
  <c r="BC56" i="3"/>
  <c r="BH56" i="3"/>
  <c r="BM56" i="3"/>
  <c r="BR56" i="3"/>
  <c r="BW56" i="3"/>
  <c r="CB56" i="3"/>
  <c r="CG56" i="3"/>
  <c r="J12" i="3"/>
  <c r="J58" i="3"/>
  <c r="T12" i="3"/>
  <c r="T58" i="3"/>
  <c r="Y12" i="3"/>
  <c r="AD12" i="3"/>
  <c r="AD46" i="3"/>
  <c r="AI12" i="3"/>
  <c r="AI58" i="3"/>
  <c r="AI46" i="3"/>
  <c r="AN12" i="3"/>
  <c r="AN58" i="3"/>
  <c r="AN46" i="3"/>
  <c r="AS12" i="3"/>
  <c r="AS58" i="3"/>
  <c r="AS46" i="3"/>
  <c r="AX12" i="3"/>
  <c r="AX58" i="3"/>
  <c r="AX46" i="3"/>
  <c r="BC12" i="3"/>
  <c r="BC58" i="3"/>
  <c r="BC46" i="3"/>
  <c r="BH12" i="3"/>
  <c r="BH58" i="3"/>
  <c r="BH46" i="3"/>
  <c r="BH47" i="3"/>
  <c r="BH48" i="3"/>
  <c r="BM12" i="3"/>
  <c r="BM58" i="3"/>
  <c r="BM46" i="3"/>
  <c r="BM59" i="3"/>
  <c r="BM47" i="3"/>
  <c r="BM60" i="3"/>
  <c r="BM48" i="3"/>
  <c r="BR12" i="3"/>
  <c r="BR58" i="3"/>
  <c r="BR46" i="3"/>
  <c r="BR59" i="3"/>
  <c r="BR47" i="3"/>
  <c r="BR60" i="3"/>
  <c r="BR48" i="3"/>
  <c r="BW12" i="3"/>
  <c r="BW58" i="3"/>
  <c r="BW46" i="3"/>
  <c r="BW59" i="3"/>
  <c r="BW47" i="3"/>
  <c r="BW60" i="3"/>
  <c r="BW48" i="3"/>
  <c r="CB12" i="3"/>
  <c r="CB58" i="3"/>
  <c r="CB46" i="3"/>
  <c r="CB59" i="3"/>
  <c r="CB47" i="3"/>
  <c r="CB60" i="3"/>
  <c r="CB48" i="3"/>
  <c r="CG12" i="3"/>
  <c r="CG58" i="3"/>
  <c r="CG46" i="3"/>
  <c r="CG59" i="3"/>
  <c r="CG47" i="3"/>
  <c r="CG60" i="3"/>
  <c r="CG48" i="3"/>
  <c r="DD46" i="3"/>
  <c r="DE59" i="3"/>
  <c r="DE47" i="3"/>
  <c r="DF60" i="3"/>
  <c r="DF48" i="3"/>
  <c r="J46" i="3"/>
  <c r="CK30" i="3"/>
  <c r="CO30" i="3"/>
  <c r="CQ30" i="3"/>
  <c r="DL80" i="3"/>
  <c r="DK79" i="3"/>
  <c r="CY81" i="3"/>
  <c r="CY72" i="3"/>
  <c r="DO72" i="3"/>
  <c r="BC81" i="3"/>
  <c r="BB81" i="3"/>
  <c r="BD81" i="3" s="1"/>
  <c r="DJ79" i="3"/>
  <c r="BC80" i="3"/>
  <c r="BB80" i="3"/>
  <c r="DL72" i="3"/>
  <c r="DN82" i="3"/>
  <c r="DI79" i="3"/>
  <c r="G56" i="48" s="1"/>
  <c r="AD37" i="48" s="1"/>
  <c r="D141" i="62"/>
  <c r="D57" i="62"/>
  <c r="D99" i="62" s="1"/>
  <c r="E89" i="62"/>
  <c r="E131" i="62"/>
  <c r="E37" i="62"/>
  <c r="E47" i="62"/>
  <c r="F131" i="62"/>
  <c r="F47" i="62"/>
  <c r="F89" i="62"/>
  <c r="F37" i="62"/>
  <c r="F32" i="62"/>
  <c r="D133" i="62"/>
  <c r="D49" i="62"/>
  <c r="D91" i="62"/>
  <c r="E133" i="62"/>
  <c r="E91" i="62"/>
  <c r="E49" i="62"/>
  <c r="I133" i="62"/>
  <c r="I49" i="62"/>
  <c r="I91" i="62"/>
  <c r="E140" i="62"/>
  <c r="E56" i="62"/>
  <c r="E98" i="62" s="1"/>
  <c r="D144" i="62"/>
  <c r="D102" i="62"/>
  <c r="D60" i="62"/>
  <c r="C150" i="62"/>
  <c r="C66" i="62"/>
  <c r="C108" i="62" s="1"/>
  <c r="G150" i="62"/>
  <c r="G66" i="62"/>
  <c r="G108" i="62" s="1"/>
  <c r="O152" i="62"/>
  <c r="O150" i="62" s="1"/>
  <c r="O66" i="62"/>
  <c r="D52" i="62"/>
  <c r="D136" i="62"/>
  <c r="D32" i="62"/>
  <c r="D94" i="62"/>
  <c r="F140" i="62"/>
  <c r="F56" i="62"/>
  <c r="F98" i="62" s="1"/>
  <c r="F31" i="62"/>
  <c r="F13" i="62"/>
  <c r="E31" i="62"/>
  <c r="E13" i="62"/>
  <c r="G133" i="62"/>
  <c r="G91" i="62"/>
  <c r="G49" i="62"/>
  <c r="I144" i="62"/>
  <c r="I102" i="62"/>
  <c r="I60" i="62"/>
  <c r="D131" i="62"/>
  <c r="F133" i="62"/>
  <c r="F91" i="62"/>
  <c r="D10" i="62"/>
  <c r="F136" i="62"/>
  <c r="F94" i="62"/>
  <c r="F39" i="62"/>
  <c r="F144" i="62"/>
  <c r="F102" i="62"/>
  <c r="E66" i="62"/>
  <c r="E108" i="62" s="1"/>
  <c r="M66" i="62"/>
  <c r="F150" i="62"/>
  <c r="F66" i="62"/>
  <c r="F108" i="62" s="1"/>
  <c r="J66" i="62"/>
  <c r="J108" i="62" s="1"/>
  <c r="J150" i="62"/>
  <c r="N152" i="62"/>
  <c r="N150" i="62" s="1"/>
  <c r="N66" i="62"/>
  <c r="L174" i="62"/>
  <c r="L120" i="62"/>
  <c r="L78" i="62"/>
  <c r="C174" i="62"/>
  <c r="C120" i="62"/>
  <c r="C78" i="62"/>
  <c r="F49" i="62"/>
  <c r="H66" i="62"/>
  <c r="H108" i="62" s="1"/>
  <c r="D89" i="62"/>
  <c r="E136" i="62"/>
  <c r="E94" i="62"/>
  <c r="E52" i="62"/>
  <c r="E32" i="62"/>
  <c r="C137" i="62"/>
  <c r="C53" i="62"/>
  <c r="C95" i="62" s="1"/>
  <c r="E141" i="62"/>
  <c r="E57" i="62"/>
  <c r="E99" i="62" s="1"/>
  <c r="E144" i="62"/>
  <c r="E102" i="62"/>
  <c r="E60" i="62"/>
  <c r="F174" i="62"/>
  <c r="F78" i="62"/>
  <c r="F120" i="62"/>
  <c r="N176" i="62"/>
  <c r="N174" i="62" s="1"/>
  <c r="N78" i="62"/>
  <c r="N175" i="62" s="1"/>
  <c r="N120" i="62"/>
  <c r="N177" i="62" s="1"/>
  <c r="E39" i="62"/>
  <c r="D47" i="62"/>
  <c r="F52" i="62"/>
  <c r="D66" i="62"/>
  <c r="D108" i="62" s="1"/>
  <c r="G174" i="62"/>
  <c r="G120" i="62"/>
  <c r="O176" i="62"/>
  <c r="O174" i="62" s="1"/>
  <c r="O120" i="62"/>
  <c r="O177" i="62" s="1"/>
  <c r="G78" i="62"/>
  <c r="Y78" i="8" l="1"/>
  <c r="AB78" i="8"/>
  <c r="AO19" i="11"/>
  <c r="AJ23" i="11"/>
  <c r="G9" i="67"/>
  <c r="C30" i="72"/>
  <c r="C44" i="72" s="1"/>
  <c r="AX41" i="13"/>
  <c r="AU80" i="6"/>
  <c r="AV145" i="30"/>
  <c r="BA170" i="6"/>
  <c r="AZ170" i="6"/>
  <c r="AW71" i="12"/>
  <c r="AW77" i="12" s="1"/>
  <c r="AY77" i="12" s="1"/>
  <c r="BA77" i="12" s="1"/>
  <c r="BC77" i="12" s="1"/>
  <c r="B245" i="8"/>
  <c r="B246" i="8" s="1"/>
  <c r="B45" i="8"/>
  <c r="AH135" i="65"/>
  <c r="AF139" i="65"/>
  <c r="H245" i="8"/>
  <c r="H246" i="8" s="1"/>
  <c r="H31" i="10"/>
  <c r="H39" i="10"/>
  <c r="H43" i="10" s="1"/>
  <c r="AY98" i="12"/>
  <c r="AV50" i="13"/>
  <c r="CN111" i="7"/>
  <c r="CO121" i="7" s="1"/>
  <c r="CN84" i="7"/>
  <c r="CO81" i="7"/>
  <c r="AI143" i="65"/>
  <c r="CN86" i="7"/>
  <c r="CO86" i="7" s="1"/>
  <c r="CN85" i="7"/>
  <c r="L202" i="8"/>
  <c r="L207" i="8"/>
  <c r="AV113" i="7"/>
  <c r="AW83" i="7"/>
  <c r="BB83" i="7"/>
  <c r="AE17" i="3"/>
  <c r="AW73" i="7"/>
  <c r="AO104" i="7"/>
  <c r="K36" i="10"/>
  <c r="K37" i="10" s="1"/>
  <c r="J207" i="8"/>
  <c r="J112" i="8"/>
  <c r="F8" i="10"/>
  <c r="G8" i="10"/>
  <c r="F12" i="10"/>
  <c r="F30" i="10"/>
  <c r="F125" i="65"/>
  <c r="L125" i="65"/>
  <c r="BL73" i="7"/>
  <c r="BM73" i="7" s="1"/>
  <c r="AY17" i="3"/>
  <c r="N13" i="3"/>
  <c r="AJ54" i="7"/>
  <c r="AL51" i="7"/>
  <c r="N58" i="3" s="1"/>
  <c r="AJ56" i="7"/>
  <c r="AK51" i="7"/>
  <c r="AJ55" i="7"/>
  <c r="B30" i="10"/>
  <c r="B31" i="10" s="1"/>
  <c r="B12" i="10"/>
  <c r="AI136" i="65"/>
  <c r="CP81" i="7"/>
  <c r="CJ111" i="7"/>
  <c r="CP111" i="7" s="1"/>
  <c r="CK81" i="7"/>
  <c r="V207" i="8"/>
  <c r="V202" i="8"/>
  <c r="W207" i="8"/>
  <c r="V237" i="8"/>
  <c r="W22" i="10"/>
  <c r="S74" i="12"/>
  <c r="S75" i="12"/>
  <c r="K74" i="12"/>
  <c r="K75" i="12"/>
  <c r="AT34" i="7"/>
  <c r="L17" i="10"/>
  <c r="L18" i="10" s="1"/>
  <c r="AX34" i="7"/>
  <c r="AQ70" i="12"/>
  <c r="X237" i="8"/>
  <c r="X207" i="8"/>
  <c r="W343" i="30"/>
  <c r="AG71" i="12"/>
  <c r="AG77" i="12" s="1"/>
  <c r="S30" i="10"/>
  <c r="P245" i="8" s="1"/>
  <c r="AO71" i="12"/>
  <c r="AO77" i="12" s="1"/>
  <c r="W15" i="10"/>
  <c r="AM71" i="12"/>
  <c r="AM77" i="12" s="1"/>
  <c r="W30" i="10"/>
  <c r="T245" i="8" s="1"/>
  <c r="T246" i="8" s="1"/>
  <c r="AI75" i="12"/>
  <c r="AI74" i="12"/>
  <c r="CJ230" i="7"/>
  <c r="CJ72" i="7"/>
  <c r="CB17" i="3"/>
  <c r="CJ233" i="7"/>
  <c r="P116" i="7"/>
  <c r="Q112" i="7"/>
  <c r="P132" i="7"/>
  <c r="Q122" i="7"/>
  <c r="Y19" i="10"/>
  <c r="Y20" i="10" s="1"/>
  <c r="Y16" i="10" s="1"/>
  <c r="CG44" i="7"/>
  <c r="BN13" i="3"/>
  <c r="BX83" i="7"/>
  <c r="BX84" i="7" s="1"/>
  <c r="AI118" i="65" s="1"/>
  <c r="BZ53" i="7"/>
  <c r="BY53" i="7"/>
  <c r="BB13" i="3"/>
  <c r="BP56" i="7"/>
  <c r="BV56" i="7" s="1"/>
  <c r="BV51" i="7"/>
  <c r="BP81" i="7"/>
  <c r="BP54" i="7"/>
  <c r="U14" i="10" s="1"/>
  <c r="BQ51" i="7"/>
  <c r="F176" i="16"/>
  <c r="T172" i="16" s="1"/>
  <c r="F169" i="16"/>
  <c r="T165" i="16" s="1"/>
  <c r="AA11" i="10"/>
  <c r="CO24" i="7"/>
  <c r="U202" i="8"/>
  <c r="U237" i="8"/>
  <c r="U207" i="8"/>
  <c r="K202" i="8"/>
  <c r="K22" i="10" s="1"/>
  <c r="K207" i="8"/>
  <c r="G11" i="8"/>
  <c r="G202" i="8"/>
  <c r="G207" i="8"/>
  <c r="C11" i="8"/>
  <c r="C12" i="8" s="1"/>
  <c r="D207" i="8"/>
  <c r="C207" i="8"/>
  <c r="E22" i="10"/>
  <c r="E203" i="8"/>
  <c r="BX230" i="7"/>
  <c r="C245" i="8"/>
  <c r="C246" i="8" s="1"/>
  <c r="C45" i="8"/>
  <c r="W169" i="6"/>
  <c r="AM35" i="6"/>
  <c r="W64" i="6"/>
  <c r="U145" i="7"/>
  <c r="BE94" i="7"/>
  <c r="Q33" i="10"/>
  <c r="Q34" i="10" s="1"/>
  <c r="D245" i="8"/>
  <c r="D246" i="8" s="1"/>
  <c r="D45" i="8"/>
  <c r="D46" i="8" s="1"/>
  <c r="CK24" i="7"/>
  <c r="CL24" i="7" s="1"/>
  <c r="F162" i="16"/>
  <c r="T158" i="16" s="1"/>
  <c r="Z11" i="10"/>
  <c r="V16" i="10"/>
  <c r="Q30" i="10"/>
  <c r="O245" i="8" s="1"/>
  <c r="O246" i="8" s="1"/>
  <c r="AO168" i="16"/>
  <c r="AO118" i="16"/>
  <c r="AK57" i="16"/>
  <c r="X241" i="8"/>
  <c r="BD233" i="7"/>
  <c r="BD72" i="7"/>
  <c r="BD230" i="7"/>
  <c r="BD73" i="7" s="1"/>
  <c r="BN71" i="7"/>
  <c r="BM71" i="7"/>
  <c r="U8" i="10"/>
  <c r="U12" i="10"/>
  <c r="M22" i="10"/>
  <c r="P22" i="10"/>
  <c r="AI145" i="65"/>
  <c r="V30" i="10"/>
  <c r="BH74" i="7"/>
  <c r="Y145" i="7"/>
  <c r="BA94" i="7"/>
  <c r="O33" i="10"/>
  <c r="AW94" i="7"/>
  <c r="M33" i="10"/>
  <c r="M34" i="10" s="1"/>
  <c r="AW104" i="7"/>
  <c r="M36" i="10"/>
  <c r="M37" i="10" s="1"/>
  <c r="E245" i="8"/>
  <c r="E246" i="8" s="1"/>
  <c r="E45" i="8"/>
  <c r="E46" i="8" s="1"/>
  <c r="CG24" i="7"/>
  <c r="CH24" i="7" s="1"/>
  <c r="F155" i="16"/>
  <c r="T151" i="16" s="1"/>
  <c r="Y11" i="10"/>
  <c r="BZ24" i="7"/>
  <c r="AA16" i="10"/>
  <c r="AO140" i="16"/>
  <c r="AN233" i="7"/>
  <c r="AN230" i="7"/>
  <c r="AN73" i="7" s="1"/>
  <c r="AN72" i="7"/>
  <c r="AV233" i="7"/>
  <c r="AV72" i="7"/>
  <c r="BY34" i="7"/>
  <c r="W17" i="10"/>
  <c r="W18" i="10" s="1"/>
  <c r="W16" i="10" s="1"/>
  <c r="BZ34" i="7"/>
  <c r="BQ34" i="7"/>
  <c r="U17" i="10"/>
  <c r="U18" i="10" s="1"/>
  <c r="BR34" i="7"/>
  <c r="CJ82" i="7"/>
  <c r="O112" i="8"/>
  <c r="O64" i="8"/>
  <c r="F207" i="8"/>
  <c r="F11" i="8"/>
  <c r="BL233" i="7"/>
  <c r="BL72" i="7"/>
  <c r="AX17" i="3"/>
  <c r="N206" i="8"/>
  <c r="O7" i="10"/>
  <c r="L12" i="10"/>
  <c r="BV34" i="7"/>
  <c r="G205" i="8"/>
  <c r="AM70" i="6"/>
  <c r="BH230" i="7"/>
  <c r="BH73" i="7" s="1"/>
  <c r="Y144" i="7"/>
  <c r="BA104" i="7"/>
  <c r="O36" i="10"/>
  <c r="O37" i="10" s="1"/>
  <c r="AK34" i="7"/>
  <c r="DZ36" i="7" s="1"/>
  <c r="J17" i="10"/>
  <c r="J18" i="10" s="1"/>
  <c r="DZ55" i="7"/>
  <c r="X205" i="8"/>
  <c r="X10" i="8" s="1"/>
  <c r="BT233" i="7"/>
  <c r="BT72" i="7"/>
  <c r="BT230" i="7"/>
  <c r="BH17" i="3"/>
  <c r="AA19" i="10"/>
  <c r="AA20" i="10" s="1"/>
  <c r="AB146" i="65"/>
  <c r="AF146" i="65" s="1"/>
  <c r="CB233" i="7"/>
  <c r="CB230" i="7"/>
  <c r="CB72" i="7"/>
  <c r="BR17" i="3"/>
  <c r="B11" i="8"/>
  <c r="B202" i="8"/>
  <c r="L162" i="16"/>
  <c r="BQ53" i="7"/>
  <c r="BU57" i="7" s="1"/>
  <c r="BD13" i="3"/>
  <c r="BR53" i="7"/>
  <c r="AO70" i="12"/>
  <c r="AM70" i="12"/>
  <c r="L148" i="16"/>
  <c r="G30" i="10"/>
  <c r="H203" i="8"/>
  <c r="H22" i="10"/>
  <c r="AU335" i="30"/>
  <c r="S328" i="30"/>
  <c r="CG74" i="3"/>
  <c r="DE46" i="3"/>
  <c r="AU342" i="30"/>
  <c r="S21" i="30"/>
  <c r="I22" i="10"/>
  <c r="D44" i="6"/>
  <c r="H44" i="6" s="1"/>
  <c r="AY175" i="6"/>
  <c r="AZ175" i="6" s="1"/>
  <c r="L139" i="65"/>
  <c r="I203" i="8"/>
  <c r="I243" i="8" s="1"/>
  <c r="L106" i="16"/>
  <c r="L64" i="16"/>
  <c r="F203" i="8"/>
  <c r="F22" i="10"/>
  <c r="O20" i="3"/>
  <c r="O24" i="3" s="1"/>
  <c r="W11" i="8"/>
  <c r="AM71" i="6"/>
  <c r="AY161" i="6"/>
  <c r="AS331" i="30"/>
  <c r="AU331" i="30" s="1"/>
  <c r="T70" i="10"/>
  <c r="S16" i="10"/>
  <c r="AO111" i="16"/>
  <c r="AV70" i="13"/>
  <c r="BA24" i="12"/>
  <c r="X202" i="8"/>
  <c r="X203" i="8" s="1"/>
  <c r="X243" i="8" s="1"/>
  <c r="AW74" i="12"/>
  <c r="AY74" i="12" s="1"/>
  <c r="BA74" i="12" s="1"/>
  <c r="BC74" i="12" s="1"/>
  <c r="BE74" i="12" s="1"/>
  <c r="BG74" i="12" s="1"/>
  <c r="BI74" i="12" s="1"/>
  <c r="AW75" i="12"/>
  <c r="AY75" i="12" s="1"/>
  <c r="BA75" i="12" s="1"/>
  <c r="J205" i="8"/>
  <c r="J202" i="8"/>
  <c r="D45" i="6"/>
  <c r="H45" i="6" s="1"/>
  <c r="Z139" i="65"/>
  <c r="AU328" i="30"/>
  <c r="U16" i="10"/>
  <c r="I205" i="8"/>
  <c r="AM74" i="12"/>
  <c r="X61" i="8"/>
  <c r="X60" i="8" s="1"/>
  <c r="S183" i="6"/>
  <c r="CV12" i="7" s="1"/>
  <c r="CW12" i="7" s="1"/>
  <c r="CW100" i="7"/>
  <c r="D179" i="16"/>
  <c r="L179" i="16" s="1"/>
  <c r="AG6" i="42"/>
  <c r="CW10" i="7"/>
  <c r="CW60" i="7"/>
  <c r="CW70" i="7"/>
  <c r="CV20" i="7"/>
  <c r="F179" i="16" s="1"/>
  <c r="CF54" i="11"/>
  <c r="R234" i="8" s="1"/>
  <c r="S235" i="8" s="1"/>
  <c r="AG145" i="7"/>
  <c r="AK144" i="7"/>
  <c r="BX79" i="30"/>
  <c r="N98" i="6"/>
  <c r="BW79" i="30"/>
  <c r="BB79" i="30" s="1"/>
  <c r="BD79" i="30" s="1"/>
  <c r="N64" i="30"/>
  <c r="O10" i="8"/>
  <c r="O7" i="8"/>
  <c r="Z130" i="16"/>
  <c r="AB92" i="6"/>
  <c r="AB90" i="16"/>
  <c r="AD90" i="16" s="1"/>
  <c r="Z118" i="16"/>
  <c r="L127" i="6"/>
  <c r="V125" i="16"/>
  <c r="X125" i="16" s="1"/>
  <c r="Z132" i="16" s="1"/>
  <c r="L106" i="6"/>
  <c r="V104" i="16"/>
  <c r="X104" i="16" s="1"/>
  <c r="Z109" i="16"/>
  <c r="Z97" i="16"/>
  <c r="Z96" i="16"/>
  <c r="N105" i="6"/>
  <c r="O58" i="8"/>
  <c r="Z111" i="16"/>
  <c r="AA78" i="48"/>
  <c r="Q84" i="48"/>
  <c r="N119" i="48"/>
  <c r="J119" i="48"/>
  <c r="J84" i="48"/>
  <c r="M119" i="48"/>
  <c r="X117" i="48"/>
  <c r="Y81" i="48"/>
  <c r="W118" i="48"/>
  <c r="X82" i="48"/>
  <c r="U117" i="48"/>
  <c r="T83" i="48"/>
  <c r="T118" i="48"/>
  <c r="T84" i="48"/>
  <c r="L83" i="48"/>
  <c r="L119" i="48" s="1"/>
  <c r="L118" i="48"/>
  <c r="U74" i="48"/>
  <c r="U110" i="48" s="1"/>
  <c r="U147" i="48" s="1"/>
  <c r="V9" i="48"/>
  <c r="K119" i="48"/>
  <c r="X115" i="48"/>
  <c r="Y79" i="48"/>
  <c r="R119" i="48"/>
  <c r="J85" i="48"/>
  <c r="J86" i="48"/>
  <c r="C133" i="48"/>
  <c r="B133" i="48"/>
  <c r="X113" i="48"/>
  <c r="Y77" i="48"/>
  <c r="Y116" i="48"/>
  <c r="Z80" i="48"/>
  <c r="K85" i="48"/>
  <c r="K121" i="48" s="1"/>
  <c r="W83" i="48"/>
  <c r="V119" i="48"/>
  <c r="V84" i="48"/>
  <c r="R85" i="48"/>
  <c r="J87" i="48"/>
  <c r="J88" i="48" s="1"/>
  <c r="Q85" i="48"/>
  <c r="Q74" i="48"/>
  <c r="Q110" i="48" s="1"/>
  <c r="Q147" i="48" s="1"/>
  <c r="P9" i="48"/>
  <c r="K120" i="48"/>
  <c r="U86" i="48"/>
  <c r="S119" i="48"/>
  <c r="S84" i="48"/>
  <c r="Q117" i="48"/>
  <c r="P83" i="48"/>
  <c r="P118" i="48"/>
  <c r="I117" i="48"/>
  <c r="H118" i="48"/>
  <c r="H83" i="48"/>
  <c r="Y112" i="48"/>
  <c r="Z76" i="48"/>
  <c r="Y11" i="48"/>
  <c r="R118" i="48"/>
  <c r="N84" i="48"/>
  <c r="O85" i="48"/>
  <c r="O118" i="48"/>
  <c r="M85" i="48"/>
  <c r="I85" i="48"/>
  <c r="R146" i="16"/>
  <c r="AH145" i="16"/>
  <c r="R145" i="16"/>
  <c r="AK145" i="16"/>
  <c r="AF173" i="16"/>
  <c r="J141" i="16"/>
  <c r="AH166" i="16"/>
  <c r="AO144" i="16"/>
  <c r="Z167" i="16"/>
  <c r="R140" i="16"/>
  <c r="AF130" i="16"/>
  <c r="AF125" i="16"/>
  <c r="Z116" i="16"/>
  <c r="L113" i="16"/>
  <c r="R123" i="16"/>
  <c r="R105" i="16"/>
  <c r="R118" i="16"/>
  <c r="R98" i="16"/>
  <c r="AK98" i="16"/>
  <c r="AK74" i="16"/>
  <c r="J78" i="16"/>
  <c r="R103" i="16"/>
  <c r="AK103" i="16"/>
  <c r="AH97" i="16"/>
  <c r="AF90" i="16"/>
  <c r="R82" i="16"/>
  <c r="AK82" i="16"/>
  <c r="AO75" i="16"/>
  <c r="AH75" i="16"/>
  <c r="R74" i="16"/>
  <c r="AF53" i="16"/>
  <c r="Z46" i="16"/>
  <c r="Z26" i="16"/>
  <c r="Z18" i="16"/>
  <c r="Z103" i="16"/>
  <c r="AH50" i="16"/>
  <c r="R50" i="16"/>
  <c r="AK56" i="16"/>
  <c r="R56" i="16"/>
  <c r="AF55" i="16"/>
  <c r="AF40" i="16"/>
  <c r="AF32" i="16"/>
  <c r="L57" i="16"/>
  <c r="AH46" i="16"/>
  <c r="R158" i="16"/>
  <c r="AK158" i="16"/>
  <c r="J162" i="16"/>
  <c r="AK152" i="16"/>
  <c r="R152" i="16"/>
  <c r="R168" i="16"/>
  <c r="AK168" i="16"/>
  <c r="AK174" i="16"/>
  <c r="R174" i="16"/>
  <c r="J155" i="16"/>
  <c r="AH146" i="16"/>
  <c r="AK110" i="16"/>
  <c r="R110" i="16"/>
  <c r="J134" i="16"/>
  <c r="AK130" i="16"/>
  <c r="AK109" i="16"/>
  <c r="J113" i="16"/>
  <c r="Z173" i="16"/>
  <c r="AH160" i="16"/>
  <c r="AF138" i="16"/>
  <c r="Z125" i="16"/>
  <c r="AH118" i="16"/>
  <c r="R113" i="16"/>
  <c r="AR66" i="3" s="1"/>
  <c r="AH113" i="16"/>
  <c r="Z139" i="16"/>
  <c r="R106" i="16"/>
  <c r="AQ66" i="3" s="1"/>
  <c r="R99" i="16"/>
  <c r="AH99" i="16"/>
  <c r="AO109" i="16"/>
  <c r="AK102" i="16"/>
  <c r="J106" i="16"/>
  <c r="AH106" i="16" s="1"/>
  <c r="Z95" i="16"/>
  <c r="Z90" i="16"/>
  <c r="R78" i="16"/>
  <c r="AC66" i="3" s="1"/>
  <c r="AH78" i="16"/>
  <c r="Z104" i="16"/>
  <c r="AH84" i="16"/>
  <c r="R83" i="16"/>
  <c r="AF41" i="16"/>
  <c r="Z21" i="16"/>
  <c r="R57" i="16"/>
  <c r="T53" i="16"/>
  <c r="AH57" i="16"/>
  <c r="Z40" i="16"/>
  <c r="Z32" i="16"/>
  <c r="Z28" i="16"/>
  <c r="AK165" i="16"/>
  <c r="J169" i="16"/>
  <c r="AH152" i="16"/>
  <c r="AH168" i="16"/>
  <c r="AH158" i="16"/>
  <c r="AH174" i="16"/>
  <c r="AO166" i="16"/>
  <c r="Z153" i="16"/>
  <c r="AF144" i="16"/>
  <c r="AK124" i="16"/>
  <c r="R124" i="16"/>
  <c r="AK123" i="16"/>
  <c r="J127" i="16"/>
  <c r="AH154" i="16"/>
  <c r="J148" i="16"/>
  <c r="R130" i="16"/>
  <c r="R126" i="16"/>
  <c r="AK126" i="16"/>
  <c r="R117" i="16"/>
  <c r="AK117" i="16"/>
  <c r="AG111" i="16"/>
  <c r="J120" i="16"/>
  <c r="AH120" i="16" s="1"/>
  <c r="AK88" i="16"/>
  <c r="J92" i="16"/>
  <c r="AF82" i="16"/>
  <c r="Z102" i="16"/>
  <c r="AO96" i="16"/>
  <c r="R89" i="16"/>
  <c r="R84" i="16"/>
  <c r="L71" i="16"/>
  <c r="AF61" i="16"/>
  <c r="AF97" i="16"/>
  <c r="AF60" i="16"/>
  <c r="Z41" i="16"/>
  <c r="AF33" i="16"/>
  <c r="AF25" i="16"/>
  <c r="AH82" i="16"/>
  <c r="AF68" i="16"/>
  <c r="R68" i="16"/>
  <c r="AK68" i="16"/>
  <c r="J64" i="16"/>
  <c r="R64" i="16" s="1"/>
  <c r="AK60" i="16"/>
  <c r="AH53" i="16"/>
  <c r="R46" i="16"/>
  <c r="AF48" i="16"/>
  <c r="R32" i="16"/>
  <c r="J36" i="16"/>
  <c r="R36" i="16" s="1"/>
  <c r="R29" i="16"/>
  <c r="R18" i="16"/>
  <c r="AF47" i="16"/>
  <c r="AF69" i="16"/>
  <c r="R25" i="16"/>
  <c r="AH48" i="16"/>
  <c r="AF172" i="16"/>
  <c r="AD179" i="16"/>
  <c r="AF160" i="16"/>
  <c r="AF167" i="16"/>
  <c r="Z152" i="16"/>
  <c r="AH165" i="16"/>
  <c r="AH159" i="16"/>
  <c r="Z158" i="16"/>
  <c r="AF159" i="16"/>
  <c r="AF158" i="16"/>
  <c r="Z144" i="16"/>
  <c r="AF124" i="16"/>
  <c r="AO131" i="16"/>
  <c r="AK119" i="16"/>
  <c r="R119" i="16"/>
  <c r="AO137" i="16"/>
  <c r="Z131" i="16"/>
  <c r="AH119" i="16"/>
  <c r="Z117" i="16"/>
  <c r="AH130" i="16"/>
  <c r="AO130" i="16"/>
  <c r="R127" i="16"/>
  <c r="AH127" i="16"/>
  <c r="AF116" i="16"/>
  <c r="AH105" i="16"/>
  <c r="R109" i="16"/>
  <c r="AH102" i="16"/>
  <c r="AO98" i="16"/>
  <c r="AF95" i="16"/>
  <c r="AO97" i="16"/>
  <c r="AF96" i="16"/>
  <c r="AO81" i="16"/>
  <c r="AO76" i="16"/>
  <c r="AF102" i="16"/>
  <c r="AK96" i="16"/>
  <c r="AH96" i="16"/>
  <c r="R92" i="16"/>
  <c r="AH92" i="16"/>
  <c r="AO77" i="16"/>
  <c r="R75" i="16"/>
  <c r="Z76" i="16"/>
  <c r="J85" i="16"/>
  <c r="R85" i="16" s="1"/>
  <c r="AD66" i="3" s="1"/>
  <c r="R81" i="16"/>
  <c r="AK81" i="16"/>
  <c r="AH89" i="16"/>
  <c r="R63" i="16"/>
  <c r="AK63" i="16"/>
  <c r="Z61" i="16"/>
  <c r="AF46" i="16"/>
  <c r="Z34" i="16"/>
  <c r="R88" i="16"/>
  <c r="R77" i="16"/>
  <c r="AK77" i="16"/>
  <c r="Z60" i="16"/>
  <c r="Z33" i="16"/>
  <c r="Z25" i="16"/>
  <c r="L99" i="16"/>
  <c r="J71" i="16"/>
  <c r="AH71" i="16" s="1"/>
  <c r="R67" i="16"/>
  <c r="AK67" i="16"/>
  <c r="Z48" i="16"/>
  <c r="Z20" i="16"/>
  <c r="R53" i="16"/>
  <c r="AH56" i="16"/>
  <c r="J43" i="16"/>
  <c r="R43" i="16" s="1"/>
  <c r="L29" i="16"/>
  <c r="AF35" i="16"/>
  <c r="AF27" i="16"/>
  <c r="CE35" i="15"/>
  <c r="CD41" i="15"/>
  <c r="CI35" i="15"/>
  <c r="CH41" i="15"/>
  <c r="CA35" i="15"/>
  <c r="BZ41" i="15"/>
  <c r="CM35" i="15"/>
  <c r="CL41" i="15"/>
  <c r="CQ35" i="15"/>
  <c r="CP41" i="15"/>
  <c r="N6" i="14"/>
  <c r="Z7" i="15"/>
  <c r="L59" i="14"/>
  <c r="X57" i="14"/>
  <c r="F57" i="14"/>
  <c r="AL56" i="14"/>
  <c r="AH53" i="14"/>
  <c r="AD53" i="14"/>
  <c r="Z53" i="14"/>
  <c r="V53" i="14"/>
  <c r="R53" i="14"/>
  <c r="N53" i="14"/>
  <c r="J53" i="14"/>
  <c r="F53" i="14"/>
  <c r="AU52" i="14"/>
  <c r="AU50" i="14"/>
  <c r="AB59" i="14"/>
  <c r="AU57" i="14"/>
  <c r="AF59" i="14"/>
  <c r="X59" i="14"/>
  <c r="P59" i="14"/>
  <c r="H59" i="14"/>
  <c r="AR56" i="14"/>
  <c r="D59" i="14"/>
  <c r="AP58" i="14"/>
  <c r="H56" i="14"/>
  <c r="AH58" i="14"/>
  <c r="I78" i="10"/>
  <c r="AJ59" i="14"/>
  <c r="T59" i="14"/>
  <c r="T57" i="14"/>
  <c r="AS58" i="14"/>
  <c r="AR59" i="14"/>
  <c r="AL57" i="14"/>
  <c r="AN57" i="14"/>
  <c r="AP59" i="14"/>
  <c r="AP65" i="13"/>
  <c r="AP57" i="13"/>
  <c r="AD57" i="13"/>
  <c r="X69" i="13"/>
  <c r="AA85" i="12"/>
  <c r="AR57" i="13"/>
  <c r="AD68" i="13"/>
  <c r="AD69" i="13" s="1"/>
  <c r="AF72" i="13"/>
  <c r="D55" i="13"/>
  <c r="F52" i="13" s="1"/>
  <c r="Z68" i="13"/>
  <c r="Z69" i="13" s="1"/>
  <c r="AT57" i="13"/>
  <c r="BI76" i="12"/>
  <c r="AM46" i="12"/>
  <c r="AM48" i="12" s="1"/>
  <c r="AM58" i="12" s="1"/>
  <c r="AO41" i="12"/>
  <c r="AW48" i="12"/>
  <c r="AW58" i="12" s="1"/>
  <c r="BC42" i="12"/>
  <c r="BA46" i="12"/>
  <c r="BC75" i="12"/>
  <c r="BE51" i="12"/>
  <c r="AG84" i="12"/>
  <c r="S393" i="30"/>
  <c r="N386" i="30"/>
  <c r="P386" i="30" s="1"/>
  <c r="BM34" i="11"/>
  <c r="BQ28" i="11"/>
  <c r="Z260" i="30"/>
  <c r="M129" i="8"/>
  <c r="AN19" i="11"/>
  <c r="AO23" i="11"/>
  <c r="CS10" i="11"/>
  <c r="CS54" i="11" s="1"/>
  <c r="CR54" i="11" s="1"/>
  <c r="U234" i="8" s="1"/>
  <c r="U41" i="8"/>
  <c r="CV10" i="11"/>
  <c r="DG9" i="11"/>
  <c r="J114" i="30"/>
  <c r="N385" i="30"/>
  <c r="P385" i="30" s="1"/>
  <c r="BM42" i="11"/>
  <c r="BL38" i="11"/>
  <c r="BG19" i="11"/>
  <c r="BG23" i="11" s="1"/>
  <c r="J144" i="30"/>
  <c r="CO54" i="11"/>
  <c r="CN54" i="11" s="1"/>
  <c r="T234" i="8" s="1"/>
  <c r="T235" i="8" s="1"/>
  <c r="R235" i="8"/>
  <c r="BY50" i="11"/>
  <c r="BX46" i="11"/>
  <c r="AW33" i="11"/>
  <c r="AV28" i="11"/>
  <c r="U15" i="11"/>
  <c r="T14" i="11"/>
  <c r="Y9" i="11"/>
  <c r="B30" i="8"/>
  <c r="BI19" i="11"/>
  <c r="BD23" i="11"/>
  <c r="BE24" i="11"/>
  <c r="Z144" i="30"/>
  <c r="K80" i="8"/>
  <c r="Y57" i="11"/>
  <c r="X53" i="11"/>
  <c r="BC33" i="11"/>
  <c r="BD28" i="11"/>
  <c r="DM29" i="11"/>
  <c r="DP29" i="11"/>
  <c r="Z140" i="8"/>
  <c r="AM57" i="11"/>
  <c r="AQ9" i="11"/>
  <c r="Q16" i="42"/>
  <c r="T16" i="42"/>
  <c r="P23" i="42"/>
  <c r="O16" i="42"/>
  <c r="D30" i="42"/>
  <c r="H30" i="42" s="1"/>
  <c r="H15" i="42"/>
  <c r="P17" i="42"/>
  <c r="AC25" i="42"/>
  <c r="N17" i="42"/>
  <c r="J25" i="42"/>
  <c r="N25" i="42" s="1"/>
  <c r="K24" i="42"/>
  <c r="I24" i="42"/>
  <c r="D17" i="42"/>
  <c r="C17" i="42" s="1"/>
  <c r="D28" i="42"/>
  <c r="H28" i="42" s="1"/>
  <c r="H13" i="42"/>
  <c r="G25" i="42"/>
  <c r="F24" i="42"/>
  <c r="T30" i="42"/>
  <c r="N29" i="42"/>
  <c r="H110" i="8"/>
  <c r="W226" i="8"/>
  <c r="X226" i="8"/>
  <c r="O264" i="8"/>
  <c r="I238" i="8"/>
  <c r="AG77" i="8"/>
  <c r="AC78" i="8"/>
  <c r="M168" i="8"/>
  <c r="M169" i="8" s="1"/>
  <c r="N163" i="8"/>
  <c r="N167" i="8" s="1"/>
  <c r="W203" i="8"/>
  <c r="W243" i="8" s="1"/>
  <c r="R111" i="8"/>
  <c r="Z78" i="8"/>
  <c r="R22" i="10"/>
  <c r="B21" i="8"/>
  <c r="B24" i="8" s="1"/>
  <c r="C16" i="8"/>
  <c r="Q295" i="8"/>
  <c r="Q272" i="8"/>
  <c r="V264" i="8"/>
  <c r="V203" i="8"/>
  <c r="V243" i="8" s="1"/>
  <c r="Y22" i="10"/>
  <c r="M171" i="8"/>
  <c r="M161" i="8"/>
  <c r="N160" i="8"/>
  <c r="P111" i="8"/>
  <c r="Q111" i="8"/>
  <c r="V112" i="8"/>
  <c r="V111" i="8"/>
  <c r="P156" i="8"/>
  <c r="L127" i="8"/>
  <c r="D200" i="8"/>
  <c r="D256" i="8" s="1"/>
  <c r="D104" i="8"/>
  <c r="D56" i="8"/>
  <c r="E5" i="8"/>
  <c r="R266" i="8"/>
  <c r="DH70" i="3"/>
  <c r="B219" i="8"/>
  <c r="B222" i="8" s="1"/>
  <c r="C209" i="8"/>
  <c r="C218" i="8" s="1"/>
  <c r="J16" i="6"/>
  <c r="W109" i="8"/>
  <c r="W61" i="8"/>
  <c r="W10" i="8"/>
  <c r="P160" i="8"/>
  <c r="K111" i="8"/>
  <c r="K112" i="8"/>
  <c r="K135" i="8"/>
  <c r="AD78" i="8"/>
  <c r="Z22" i="10"/>
  <c r="P274" i="8"/>
  <c r="P275" i="8" s="1"/>
  <c r="V238" i="8"/>
  <c r="D203" i="8"/>
  <c r="C203" i="8"/>
  <c r="C22" i="10"/>
  <c r="T112" i="8"/>
  <c r="T111" i="8"/>
  <c r="L135" i="8"/>
  <c r="L136" i="8" s="1"/>
  <c r="L112" i="8"/>
  <c r="L111" i="8"/>
  <c r="S111" i="8"/>
  <c r="W237" i="8"/>
  <c r="N112" i="8"/>
  <c r="N111" i="8"/>
  <c r="G66" i="8"/>
  <c r="G70" i="8" s="1"/>
  <c r="F71" i="8"/>
  <c r="CW68" i="3"/>
  <c r="O208" i="8"/>
  <c r="J115" i="8"/>
  <c r="J119" i="8" s="1"/>
  <c r="I120" i="8"/>
  <c r="CZ69" i="3"/>
  <c r="F69" i="3"/>
  <c r="F83" i="8"/>
  <c r="W21" i="8"/>
  <c r="X16" i="8"/>
  <c r="DN67" i="3"/>
  <c r="S74" i="10"/>
  <c r="S75" i="10" s="1"/>
  <c r="S31" i="10"/>
  <c r="AR65" i="7"/>
  <c r="AS65" i="7" s="1"/>
  <c r="AG36" i="10"/>
  <c r="B39" i="10"/>
  <c r="N45" i="10"/>
  <c r="N43" i="10"/>
  <c r="N40" i="10"/>
  <c r="T75" i="10"/>
  <c r="T77" i="10"/>
  <c r="T78" i="10" s="1"/>
  <c r="T79" i="10" s="1"/>
  <c r="W73" i="10"/>
  <c r="W39" i="10"/>
  <c r="C39" i="10"/>
  <c r="C31" i="10"/>
  <c r="U25" i="10"/>
  <c r="V24" i="10"/>
  <c r="AW60" i="7"/>
  <c r="BB60" i="7"/>
  <c r="AX60" i="7"/>
  <c r="AB16" i="3"/>
  <c r="P39" i="10"/>
  <c r="P31" i="10"/>
  <c r="I74" i="10"/>
  <c r="I75" i="10" s="1"/>
  <c r="I31" i="10"/>
  <c r="I39" i="10"/>
  <c r="D39" i="10"/>
  <c r="D31" i="10"/>
  <c r="M74" i="10"/>
  <c r="M75" i="10" s="1"/>
  <c r="M31" i="10"/>
  <c r="M39" i="10"/>
  <c r="Q31" i="10"/>
  <c r="AS60" i="7"/>
  <c r="W16" i="3"/>
  <c r="X16" i="10"/>
  <c r="F31" i="10"/>
  <c r="F39" i="10"/>
  <c r="H40" i="10"/>
  <c r="H45" i="10"/>
  <c r="R31" i="10"/>
  <c r="R39" i="10"/>
  <c r="T45" i="10"/>
  <c r="AI72" i="12" s="1"/>
  <c r="AI78" i="12" s="1"/>
  <c r="T40" i="10"/>
  <c r="E31" i="10"/>
  <c r="E39" i="10"/>
  <c r="CG54" i="7"/>
  <c r="AG114" i="7"/>
  <c r="AG124" i="7"/>
  <c r="CP80" i="7"/>
  <c r="CJ85" i="7"/>
  <c r="CK80" i="7"/>
  <c r="CJ84" i="7"/>
  <c r="CJ86" i="7"/>
  <c r="CJ110" i="7"/>
  <c r="AI135" i="65"/>
  <c r="BI74" i="7"/>
  <c r="CO39" i="3"/>
  <c r="BJ84" i="7"/>
  <c r="BE84" i="7"/>
  <c r="CF72" i="7"/>
  <c r="BW17" i="3"/>
  <c r="BP72" i="7"/>
  <c r="BC17" i="3"/>
  <c r="BB72" i="7"/>
  <c r="BA72" i="7"/>
  <c r="AI17" i="3"/>
  <c r="BP230" i="7"/>
  <c r="BX73" i="7"/>
  <c r="BN17" i="3"/>
  <c r="CN208" i="7"/>
  <c r="CN205" i="7"/>
  <c r="CN206" i="7" s="1"/>
  <c r="CN207" i="7" s="1"/>
  <c r="CR204" i="7" s="1"/>
  <c r="AF185" i="7"/>
  <c r="AF152" i="7"/>
  <c r="AD84" i="7"/>
  <c r="Y84" i="7"/>
  <c r="I124" i="7"/>
  <c r="I114" i="7"/>
  <c r="H135" i="7"/>
  <c r="M135" i="7" s="1"/>
  <c r="H150" i="7"/>
  <c r="M130" i="7"/>
  <c r="H136" i="7"/>
  <c r="M136" i="7" s="1"/>
  <c r="BJ54" i="7"/>
  <c r="BI54" i="7"/>
  <c r="BU104" i="7"/>
  <c r="AG110" i="65"/>
  <c r="AH110" i="65" s="1"/>
  <c r="CT85" i="7"/>
  <c r="CO85" i="7"/>
  <c r="AF133" i="7"/>
  <c r="AG123" i="7"/>
  <c r="AG113" i="7"/>
  <c r="Y85" i="7"/>
  <c r="AD85" i="7"/>
  <c r="U116" i="7"/>
  <c r="Z116" i="7"/>
  <c r="I85" i="7"/>
  <c r="N85" i="7"/>
  <c r="BI75" i="7"/>
  <c r="BJ75" i="7"/>
  <c r="CO54" i="7"/>
  <c r="BY54" i="7"/>
  <c r="BY57" i="7" s="1"/>
  <c r="BZ54" i="7"/>
  <c r="BA85" i="7"/>
  <c r="BF85" i="7"/>
  <c r="Q84" i="7"/>
  <c r="V84" i="7"/>
  <c r="H152" i="7"/>
  <c r="M132" i="7"/>
  <c r="J86" i="7"/>
  <c r="E86" i="7"/>
  <c r="E116" i="7"/>
  <c r="J116" i="7"/>
  <c r="D136" i="7"/>
  <c r="I136" i="7" s="1"/>
  <c r="D135" i="7"/>
  <c r="I135" i="7" s="1"/>
  <c r="D134" i="7"/>
  <c r="E72" i="12" s="1"/>
  <c r="E78" i="12" s="1"/>
  <c r="D150" i="7"/>
  <c r="I130" i="7"/>
  <c r="AP75" i="7"/>
  <c r="AO75" i="7"/>
  <c r="BZ63" i="7"/>
  <c r="BY63" i="7"/>
  <c r="BX64" i="7"/>
  <c r="AX61" i="7"/>
  <c r="BB61" i="7"/>
  <c r="AW61" i="7"/>
  <c r="AV66" i="7"/>
  <c r="AC16" i="3"/>
  <c r="BB54" i="7"/>
  <c r="BA54" i="7"/>
  <c r="BF84" i="7"/>
  <c r="BA84" i="7"/>
  <c r="BL132" i="7"/>
  <c r="BM132" i="7" s="1"/>
  <c r="BM122" i="7"/>
  <c r="BM112" i="7"/>
  <c r="BR112" i="7"/>
  <c r="BN112" i="7"/>
  <c r="BM65" i="7"/>
  <c r="BN65" i="7"/>
  <c r="BT110" i="7"/>
  <c r="BZ80" i="7"/>
  <c r="BT85" i="7"/>
  <c r="BU80" i="7"/>
  <c r="BT86" i="7"/>
  <c r="BT84" i="7"/>
  <c r="BB82" i="7"/>
  <c r="AW82" i="7"/>
  <c r="AV112" i="7"/>
  <c r="CC35" i="7"/>
  <c r="CD35" i="7"/>
  <c r="X133" i="7"/>
  <c r="X134" i="7" s="1"/>
  <c r="Y123" i="7"/>
  <c r="AD113" i="7"/>
  <c r="Y113" i="7"/>
  <c r="T132" i="7"/>
  <c r="U132" i="7" s="1"/>
  <c r="U122" i="7"/>
  <c r="U112" i="7"/>
  <c r="Z112" i="7"/>
  <c r="BB56" i="7"/>
  <c r="BA56" i="7"/>
  <c r="CG46" i="7"/>
  <c r="CH46" i="7"/>
  <c r="BA34" i="7"/>
  <c r="BB34" i="7"/>
  <c r="CB112" i="7"/>
  <c r="CH82" i="7"/>
  <c r="CC82" i="7"/>
  <c r="AS35" i="7"/>
  <c r="AX35" i="7"/>
  <c r="AT35" i="7"/>
  <c r="BH131" i="7"/>
  <c r="BI121" i="7"/>
  <c r="BI111" i="7"/>
  <c r="BN111" i="7"/>
  <c r="M86" i="7"/>
  <c r="R86" i="7"/>
  <c r="CR110" i="7"/>
  <c r="CS80" i="7"/>
  <c r="CX80" i="7"/>
  <c r="CR85" i="7"/>
  <c r="CR86" i="7"/>
  <c r="AI149" i="65"/>
  <c r="BT184" i="7"/>
  <c r="BT172" i="7"/>
  <c r="BT151" i="7"/>
  <c r="BT141" i="7"/>
  <c r="BN55" i="7"/>
  <c r="BM55" i="7"/>
  <c r="AN80" i="7"/>
  <c r="AP80" i="7" s="1"/>
  <c r="AN55" i="7"/>
  <c r="AN56" i="7"/>
  <c r="AP50" i="7"/>
  <c r="AN54" i="7"/>
  <c r="R13" i="3"/>
  <c r="AO50" i="7"/>
  <c r="AX44" i="7"/>
  <c r="AW44" i="7"/>
  <c r="CH36" i="7"/>
  <c r="CG36" i="7"/>
  <c r="CD44" i="7"/>
  <c r="CC44" i="7"/>
  <c r="CC46" i="7"/>
  <c r="CD46" i="7"/>
  <c r="CY21" i="7"/>
  <c r="CX40" i="7"/>
  <c r="AB156" i="65"/>
  <c r="AF156" i="65" s="1"/>
  <c r="AH156" i="65" s="1"/>
  <c r="AH85" i="7"/>
  <c r="AC85" i="7"/>
  <c r="BR66" i="7"/>
  <c r="BQ66" i="7"/>
  <c r="BR63" i="7"/>
  <c r="BQ63" i="7"/>
  <c r="BT132" i="7"/>
  <c r="BU132" i="7" s="1"/>
  <c r="BU112" i="7"/>
  <c r="BU122" i="7"/>
  <c r="BV112" i="7"/>
  <c r="AR113" i="7"/>
  <c r="AS83" i="7"/>
  <c r="AX83" i="7"/>
  <c r="AN112" i="7"/>
  <c r="AO82" i="7"/>
  <c r="AL54" i="7"/>
  <c r="AK54" i="7"/>
  <c r="CQ15" i="7"/>
  <c r="AJ111" i="7"/>
  <c r="AK81" i="7"/>
  <c r="BB44" i="7"/>
  <c r="CP24" i="7"/>
  <c r="CH74" i="3"/>
  <c r="AZ230" i="7"/>
  <c r="AZ73" i="7" s="1"/>
  <c r="BJ73" i="7"/>
  <c r="BI73" i="7"/>
  <c r="Y146" i="7"/>
  <c r="AC144" i="7"/>
  <c r="CZ80" i="7"/>
  <c r="Y114" i="7"/>
  <c r="Y124" i="7"/>
  <c r="N116" i="7"/>
  <c r="I126" i="7"/>
  <c r="I116" i="7"/>
  <c r="D153" i="7"/>
  <c r="CO55" i="7"/>
  <c r="BI84" i="7"/>
  <c r="CV91" i="7"/>
  <c r="CV95" i="7" s="1"/>
  <c r="CW90" i="7"/>
  <c r="H151" i="7"/>
  <c r="M151" i="7" s="1"/>
  <c r="M131" i="7"/>
  <c r="AS75" i="7"/>
  <c r="AT75" i="7"/>
  <c r="CO84" i="7"/>
  <c r="AI146" i="65"/>
  <c r="CT84" i="7"/>
  <c r="BY84" i="7"/>
  <c r="BI55" i="7"/>
  <c r="BJ55" i="7"/>
  <c r="T133" i="7"/>
  <c r="U133" i="7" s="1"/>
  <c r="U123" i="7"/>
  <c r="U113" i="7"/>
  <c r="Z113" i="7"/>
  <c r="AH113" i="7"/>
  <c r="Y86" i="7"/>
  <c r="AD86" i="7"/>
  <c r="X152" i="7"/>
  <c r="AC132" i="7"/>
  <c r="T151" i="7"/>
  <c r="Y151" i="7" s="1"/>
  <c r="D62" i="3" s="1"/>
  <c r="Y131" i="7"/>
  <c r="Q124" i="7"/>
  <c r="Q114" i="7"/>
  <c r="E84" i="7"/>
  <c r="J84" i="7"/>
  <c r="D152" i="7"/>
  <c r="I132" i="7"/>
  <c r="BF75" i="7"/>
  <c r="BE75" i="7"/>
  <c r="BU64" i="7"/>
  <c r="BR54" i="7"/>
  <c r="BQ54" i="7"/>
  <c r="BP130" i="7"/>
  <c r="BQ120" i="7"/>
  <c r="BV110" i="7"/>
  <c r="BQ110" i="7"/>
  <c r="BH152" i="7"/>
  <c r="BH142" i="7"/>
  <c r="BH173" i="7"/>
  <c r="CD75" i="7"/>
  <c r="CC75" i="7"/>
  <c r="AX75" i="7"/>
  <c r="AW75" i="7"/>
  <c r="CP63" i="7"/>
  <c r="CO63" i="7"/>
  <c r="BX112" i="7"/>
  <c r="CD82" i="7"/>
  <c r="BY82" i="7"/>
  <c r="AW80" i="7"/>
  <c r="AV110" i="7"/>
  <c r="BB80" i="7"/>
  <c r="AV85" i="7"/>
  <c r="AV84" i="7"/>
  <c r="AV86" i="7"/>
  <c r="BL113" i="7"/>
  <c r="BM83" i="7"/>
  <c r="BR83" i="7"/>
  <c r="CJ131" i="7"/>
  <c r="CK111" i="7"/>
  <c r="AZ113" i="7"/>
  <c r="AZ114" i="7" s="1"/>
  <c r="BF83" i="7"/>
  <c r="BA83" i="7"/>
  <c r="BP113" i="7"/>
  <c r="BV83" i="7"/>
  <c r="BQ83" i="7"/>
  <c r="AF131" i="7"/>
  <c r="AF135" i="7" s="1"/>
  <c r="AG121" i="7"/>
  <c r="AG111" i="7"/>
  <c r="AL111" i="7"/>
  <c r="AH111" i="7"/>
  <c r="Z86" i="7"/>
  <c r="U86" i="7"/>
  <c r="L153" i="7"/>
  <c r="Q133" i="7"/>
  <c r="BR65" i="7"/>
  <c r="BX131" i="7"/>
  <c r="BY131" i="7" s="1"/>
  <c r="CD111" i="7"/>
  <c r="BY121" i="7"/>
  <c r="BY111" i="7"/>
  <c r="CC36" i="7"/>
  <c r="CD36" i="7"/>
  <c r="CG55" i="7"/>
  <c r="L151" i="7"/>
  <c r="CS82" i="7"/>
  <c r="CR112" i="7"/>
  <c r="AI151" i="65"/>
  <c r="AF116" i="7"/>
  <c r="AF183" i="7"/>
  <c r="AF150" i="7"/>
  <c r="AF136" i="7"/>
  <c r="P153" i="7"/>
  <c r="R85" i="7"/>
  <c r="M85" i="7"/>
  <c r="CS56" i="7"/>
  <c r="CT56" i="7"/>
  <c r="BL110" i="7"/>
  <c r="BM80" i="7"/>
  <c r="BR80" i="7"/>
  <c r="BL85" i="7"/>
  <c r="BL84" i="7"/>
  <c r="BN84" i="7" s="1"/>
  <c r="BL86" i="7"/>
  <c r="BY83" i="7"/>
  <c r="BT113" i="7"/>
  <c r="BU83" i="7"/>
  <c r="BZ83" i="7"/>
  <c r="AP36" i="7"/>
  <c r="AO36" i="7"/>
  <c r="V85" i="7"/>
  <c r="Q85" i="7"/>
  <c r="P131" i="7"/>
  <c r="V111" i="7"/>
  <c r="Q121" i="7"/>
  <c r="Q111" i="7"/>
  <c r="CB80" i="7"/>
  <c r="CC50" i="7"/>
  <c r="CD50" i="7"/>
  <c r="CB56" i="7"/>
  <c r="CB55" i="7"/>
  <c r="CB54" i="7"/>
  <c r="BP13" i="3"/>
  <c r="CK44" i="7"/>
  <c r="CL44" i="7"/>
  <c r="AB139" i="65"/>
  <c r="CP44" i="7"/>
  <c r="CK34" i="7"/>
  <c r="CL34" i="7"/>
  <c r="CP34" i="7"/>
  <c r="BV81" i="7"/>
  <c r="CD24" i="7"/>
  <c r="AH84" i="7"/>
  <c r="AC84" i="7"/>
  <c r="CN64" i="7"/>
  <c r="CT64" i="7" s="1"/>
  <c r="BN54" i="7"/>
  <c r="AN81" i="7"/>
  <c r="AO51" i="7"/>
  <c r="AP51" i="7"/>
  <c r="S13" i="3"/>
  <c r="AK55" i="7"/>
  <c r="AL55" i="7"/>
  <c r="AJ85" i="7"/>
  <c r="AJ110" i="7"/>
  <c r="AJ86" i="7"/>
  <c r="AK80" i="7"/>
  <c r="AL80" i="7"/>
  <c r="M61" i="3" s="1"/>
  <c r="AJ84" i="7"/>
  <c r="AL84" i="7" s="1"/>
  <c r="CJ113" i="7"/>
  <c r="CK83" i="7"/>
  <c r="AI138" i="65"/>
  <c r="CP83" i="7"/>
  <c r="CT111" i="7"/>
  <c r="CO111" i="7"/>
  <c r="BH113" i="7"/>
  <c r="BI83" i="7"/>
  <c r="BN83" i="7"/>
  <c r="BJ83" i="7"/>
  <c r="CN112" i="7"/>
  <c r="CO82" i="7"/>
  <c r="CT82" i="7"/>
  <c r="AI144" i="65"/>
  <c r="CP21" i="7"/>
  <c r="CZ21" i="7" s="1"/>
  <c r="CH44" i="7"/>
  <c r="CN72" i="7"/>
  <c r="CG17" i="3"/>
  <c r="BX72" i="7"/>
  <c r="BM17" i="3"/>
  <c r="BJ72" i="7"/>
  <c r="BI72" i="7"/>
  <c r="BN72" i="7"/>
  <c r="AT72" i="7"/>
  <c r="AS72" i="7"/>
  <c r="Y17" i="3"/>
  <c r="CV213" i="7"/>
  <c r="AR230" i="7"/>
  <c r="AR73" i="7" s="1"/>
  <c r="U144" i="7"/>
  <c r="U146" i="7"/>
  <c r="Q146" i="7"/>
  <c r="Y126" i="7"/>
  <c r="Y116" i="7"/>
  <c r="X150" i="7"/>
  <c r="X136" i="7"/>
  <c r="X135" i="7"/>
  <c r="P152" i="7"/>
  <c r="J85" i="7"/>
  <c r="E85" i="7"/>
  <c r="AX63" i="7"/>
  <c r="AW63" i="7"/>
  <c r="AE16" i="3"/>
  <c r="BZ55" i="7"/>
  <c r="BY55" i="7"/>
  <c r="BL172" i="7"/>
  <c r="BQ172" i="7" s="1"/>
  <c r="BL151" i="7"/>
  <c r="BQ151" i="7" s="1"/>
  <c r="BL141" i="7"/>
  <c r="BL184" i="7" s="1"/>
  <c r="BQ184" i="7" s="1"/>
  <c r="BQ131" i="7"/>
  <c r="BI86" i="7"/>
  <c r="AZ185" i="7"/>
  <c r="AZ152" i="7"/>
  <c r="AZ173" i="7"/>
  <c r="AV184" i="7"/>
  <c r="AV151" i="7"/>
  <c r="AV172" i="7"/>
  <c r="Z115" i="7"/>
  <c r="U115" i="7"/>
  <c r="U125" i="7"/>
  <c r="AB185" i="7"/>
  <c r="AB152" i="7"/>
  <c r="AG152" i="7" s="1"/>
  <c r="AG132" i="7"/>
  <c r="T114" i="7"/>
  <c r="T150" i="7"/>
  <c r="T135" i="7"/>
  <c r="T134" i="7"/>
  <c r="Y130" i="7"/>
  <c r="L152" i="7"/>
  <c r="Q152" i="7" s="1"/>
  <c r="Q132" i="7"/>
  <c r="CO75" i="7"/>
  <c r="CP75" i="7"/>
  <c r="BY66" i="7"/>
  <c r="BZ66" i="7"/>
  <c r="CT86" i="7"/>
  <c r="BY86" i="7"/>
  <c r="BE54" i="7"/>
  <c r="BF54" i="7"/>
  <c r="Q126" i="7"/>
  <c r="Q116" i="7"/>
  <c r="V116" i="7"/>
  <c r="V115" i="7"/>
  <c r="Q115" i="7"/>
  <c r="I86" i="7"/>
  <c r="N86" i="7"/>
  <c r="J115" i="7"/>
  <c r="E115" i="7"/>
  <c r="BV75" i="7"/>
  <c r="BU75" i="7"/>
  <c r="AR76" i="7"/>
  <c r="CL64" i="7"/>
  <c r="CK64" i="7"/>
  <c r="BA86" i="7"/>
  <c r="BF86" i="7"/>
  <c r="CS76" i="7"/>
  <c r="BN66" i="7"/>
  <c r="BM66" i="7"/>
  <c r="BM64" i="7"/>
  <c r="BU55" i="7"/>
  <c r="BV55" i="7"/>
  <c r="CB131" i="7"/>
  <c r="CC121" i="7"/>
  <c r="CC111" i="7"/>
  <c r="BF72" i="7"/>
  <c r="CD63" i="7"/>
  <c r="CC64" i="7"/>
  <c r="BF56" i="7"/>
  <c r="BE56" i="7"/>
  <c r="BE82" i="7"/>
  <c r="BD112" i="7"/>
  <c r="BD114" i="7" s="1"/>
  <c r="BJ82" i="7"/>
  <c r="BF82" i="7"/>
  <c r="AZ111" i="7"/>
  <c r="BA81" i="7"/>
  <c r="BF81" i="7"/>
  <c r="BB81" i="7"/>
  <c r="BQ35" i="7"/>
  <c r="BR35" i="7"/>
  <c r="CG34" i="7"/>
  <c r="CH34" i="7"/>
  <c r="CU15" i="7"/>
  <c r="CL16" i="7"/>
  <c r="CU16" i="7" s="1"/>
  <c r="DA15" i="7"/>
  <c r="AF115" i="7"/>
  <c r="R84" i="7"/>
  <c r="M84" i="7"/>
  <c r="AZ76" i="7"/>
  <c r="CT63" i="7"/>
  <c r="BZ111" i="7"/>
  <c r="CZ83" i="7"/>
  <c r="BD130" i="7"/>
  <c r="BE120" i="7"/>
  <c r="BE110" i="7"/>
  <c r="BD115" i="7"/>
  <c r="BJ110" i="7"/>
  <c r="BD116" i="7"/>
  <c r="AS66" i="7"/>
  <c r="CD45" i="7"/>
  <c r="CC45" i="7"/>
  <c r="CH45" i="7"/>
  <c r="CL46" i="7"/>
  <c r="CK46" i="7"/>
  <c r="CK35" i="7"/>
  <c r="CL35" i="7"/>
  <c r="BR55" i="7"/>
  <c r="BQ55" i="7"/>
  <c r="BV35" i="7"/>
  <c r="AB130" i="7"/>
  <c r="AC130" i="7" s="1"/>
  <c r="AC120" i="7"/>
  <c r="AB114" i="7"/>
  <c r="AH110" i="7"/>
  <c r="AB116" i="7"/>
  <c r="AC110" i="7"/>
  <c r="AB115" i="7"/>
  <c r="BZ82" i="7"/>
  <c r="CF81" i="7"/>
  <c r="CH51" i="7"/>
  <c r="BV13" i="3"/>
  <c r="CL51" i="7"/>
  <c r="CG51" i="7"/>
  <c r="AR82" i="7"/>
  <c r="AT52" i="7"/>
  <c r="AS52" i="7"/>
  <c r="Y13" i="3"/>
  <c r="AN113" i="7"/>
  <c r="AO83" i="7"/>
  <c r="AT83" i="7"/>
  <c r="AL56" i="7"/>
  <c r="AK56" i="7"/>
  <c r="AS44" i="7"/>
  <c r="AT44" i="7"/>
  <c r="CH35" i="7"/>
  <c r="AR111" i="7"/>
  <c r="AX81" i="7"/>
  <c r="AS81" i="7"/>
  <c r="CO56" i="7"/>
  <c r="CL20" i="7"/>
  <c r="CZ20" i="7" s="1"/>
  <c r="L146" i="65"/>
  <c r="F146" i="65"/>
  <c r="CB83" i="7"/>
  <c r="CC53" i="7"/>
  <c r="CD53" i="7"/>
  <c r="BS13" i="3"/>
  <c r="CE73" i="3"/>
  <c r="CF233" i="7"/>
  <c r="BP233" i="7"/>
  <c r="AZ233" i="7"/>
  <c r="AD61" i="10"/>
  <c r="CF230" i="7"/>
  <c r="CN73" i="7"/>
  <c r="CH17" i="3"/>
  <c r="CJ208" i="7"/>
  <c r="AC145" i="7"/>
  <c r="AB184" i="7"/>
  <c r="AB151" i="7"/>
  <c r="AC151" i="7" s="1"/>
  <c r="N84" i="7"/>
  <c r="I84" i="7"/>
  <c r="N115" i="7"/>
  <c r="I115" i="7"/>
  <c r="D151" i="7"/>
  <c r="I131" i="7"/>
  <c r="BP185" i="7"/>
  <c r="BP173" i="7"/>
  <c r="BP152" i="7"/>
  <c r="BP142" i="7"/>
  <c r="BH130" i="7"/>
  <c r="BI120" i="7"/>
  <c r="BH114" i="7"/>
  <c r="BH115" i="7"/>
  <c r="BI110" i="7"/>
  <c r="BN110" i="7"/>
  <c r="BH116" i="7"/>
  <c r="BD186" i="7"/>
  <c r="BD153" i="7"/>
  <c r="BD174" i="7"/>
  <c r="BN85" i="7"/>
  <c r="BI85" i="7"/>
  <c r="U84" i="7"/>
  <c r="Z84" i="7"/>
  <c r="BY75" i="7"/>
  <c r="BZ75" i="7"/>
  <c r="BI66" i="7"/>
  <c r="BJ66" i="7"/>
  <c r="CN130" i="7"/>
  <c r="CN116" i="7"/>
  <c r="CO120" i="7"/>
  <c r="CT110" i="7"/>
  <c r="CO110" i="7"/>
  <c r="BY120" i="7"/>
  <c r="BX130" i="7"/>
  <c r="BX116" i="7"/>
  <c r="BY110" i="7"/>
  <c r="CD110" i="7"/>
  <c r="BX115" i="7"/>
  <c r="AG84" i="7"/>
  <c r="AB186" i="7"/>
  <c r="AB153" i="7"/>
  <c r="AG133" i="7"/>
  <c r="U85" i="7"/>
  <c r="Z85" i="7"/>
  <c r="P150" i="7"/>
  <c r="U130" i="7"/>
  <c r="E114" i="7"/>
  <c r="J114" i="7"/>
  <c r="CL75" i="7"/>
  <c r="CK75" i="7"/>
  <c r="BH76" i="7"/>
  <c r="BJ63" i="7"/>
  <c r="BI63" i="7"/>
  <c r="BH64" i="7"/>
  <c r="BN64" i="7" s="1"/>
  <c r="AV65" i="7"/>
  <c r="CR131" i="7"/>
  <c r="CS121" i="7"/>
  <c r="CX111" i="7"/>
  <c r="CS111" i="7"/>
  <c r="BJ56" i="7"/>
  <c r="BI56" i="7"/>
  <c r="BF55" i="7"/>
  <c r="BE55" i="7"/>
  <c r="BD184" i="7"/>
  <c r="BD151" i="7"/>
  <c r="BD172" i="7"/>
  <c r="BI131" i="7"/>
  <c r="BA120" i="7"/>
  <c r="AZ130" i="7"/>
  <c r="AZ116" i="7"/>
  <c r="AZ115" i="7"/>
  <c r="BF110" i="7"/>
  <c r="BA110" i="7"/>
  <c r="CT75" i="7"/>
  <c r="CS75" i="7"/>
  <c r="BN75" i="7"/>
  <c r="BM75" i="7"/>
  <c r="BU56" i="7"/>
  <c r="AW54" i="7"/>
  <c r="AW55" i="7"/>
  <c r="CF83" i="7"/>
  <c r="CG53" i="7"/>
  <c r="CL53" i="7"/>
  <c r="CH53" i="7"/>
  <c r="BX13" i="3"/>
  <c r="DZ26" i="7"/>
  <c r="AP24" i="7"/>
  <c r="CF130" i="7"/>
  <c r="CG120" i="7"/>
  <c r="CG110" i="7"/>
  <c r="CL110" i="7"/>
  <c r="AL86" i="7"/>
  <c r="AG86" i="7"/>
  <c r="CX76" i="7"/>
  <c r="AZ74" i="7"/>
  <c r="CK104" i="7"/>
  <c r="AG139" i="65"/>
  <c r="AH139" i="65" s="1"/>
  <c r="V113" i="7"/>
  <c r="L130" i="7"/>
  <c r="M120" i="7"/>
  <c r="L114" i="7"/>
  <c r="M110" i="7"/>
  <c r="L115" i="7"/>
  <c r="R110" i="7"/>
  <c r="L116" i="7"/>
  <c r="CS55" i="7"/>
  <c r="CT55" i="7"/>
  <c r="BM56" i="7"/>
  <c r="BN56" i="7"/>
  <c r="AR80" i="7"/>
  <c r="AR54" i="7"/>
  <c r="AR56" i="7"/>
  <c r="AT50" i="7"/>
  <c r="AR55" i="7"/>
  <c r="AX55" i="7" s="1"/>
  <c r="W13" i="3"/>
  <c r="AS50" i="7"/>
  <c r="CT36" i="7"/>
  <c r="CS36" i="7"/>
  <c r="CD34" i="7"/>
  <c r="CC34" i="7"/>
  <c r="CN133" i="7"/>
  <c r="CO113" i="7"/>
  <c r="CO123" i="7"/>
  <c r="BD86" i="7"/>
  <c r="BJ85" i="7"/>
  <c r="BE85" i="7"/>
  <c r="V86" i="7"/>
  <c r="Q86" i="7"/>
  <c r="H133" i="7"/>
  <c r="I123" i="7"/>
  <c r="N113" i="7"/>
  <c r="I113" i="7"/>
  <c r="CL36" i="7"/>
  <c r="CK36" i="7"/>
  <c r="CP36" i="7"/>
  <c r="CK50" i="7"/>
  <c r="CL50" i="7"/>
  <c r="CJ56" i="7"/>
  <c r="CJ55" i="7"/>
  <c r="CY55" i="7" s="1"/>
  <c r="CJ54" i="7"/>
  <c r="BZ13" i="3"/>
  <c r="BQ56" i="7"/>
  <c r="CF112" i="7"/>
  <c r="CG82" i="7"/>
  <c r="CL82" i="7"/>
  <c r="DA16" i="7"/>
  <c r="AJ113" i="7"/>
  <c r="AL113" i="7" s="1"/>
  <c r="AK83" i="7"/>
  <c r="AP83" i="7"/>
  <c r="AC86" i="7"/>
  <c r="AH86" i="7"/>
  <c r="BP64" i="7"/>
  <c r="BF34" i="7"/>
  <c r="AT36" i="7"/>
  <c r="AS36" i="7"/>
  <c r="AX36" i="7"/>
  <c r="AJ112" i="7"/>
  <c r="AP82" i="7"/>
  <c r="AK82" i="7"/>
  <c r="CZ81" i="7"/>
  <c r="BV54" i="7"/>
  <c r="AS45" i="7"/>
  <c r="AT45" i="7"/>
  <c r="AX45" i="7"/>
  <c r="CF56" i="7"/>
  <c r="AP34" i="7"/>
  <c r="AT24" i="7"/>
  <c r="BZ56" i="7"/>
  <c r="CP23" i="7"/>
  <c r="CZ23" i="7" s="1"/>
  <c r="CY23" i="7"/>
  <c r="BN24" i="7"/>
  <c r="V101" i="65"/>
  <c r="U101" i="65"/>
  <c r="W101" i="65"/>
  <c r="X109" i="65"/>
  <c r="Z109" i="65"/>
  <c r="Y146" i="65"/>
  <c r="Z146" i="65" s="1"/>
  <c r="U94" i="65"/>
  <c r="V94" i="65"/>
  <c r="X94" i="65" s="1"/>
  <c r="X90" i="65"/>
  <c r="W118" i="65"/>
  <c r="V118" i="65"/>
  <c r="H146" i="65"/>
  <c r="S135" i="65"/>
  <c r="S139" i="65" s="1"/>
  <c r="T139" i="65"/>
  <c r="W109" i="65"/>
  <c r="W125" i="65"/>
  <c r="AZ105" i="6"/>
  <c r="AZ106" i="6"/>
  <c r="AZ113" i="6"/>
  <c r="AZ104" i="6"/>
  <c r="AI99" i="6"/>
  <c r="AK99" i="6" s="1"/>
  <c r="U99" i="6"/>
  <c r="AI97" i="6"/>
  <c r="S101" i="6"/>
  <c r="D97" i="6"/>
  <c r="H97" i="6" s="1"/>
  <c r="AI181" i="6"/>
  <c r="D181" i="6"/>
  <c r="H181" i="6" s="1"/>
  <c r="AI100" i="6"/>
  <c r="AU151" i="30"/>
  <c r="AS152" i="30"/>
  <c r="L60" i="8" s="1"/>
  <c r="L61" i="8" s="1"/>
  <c r="S151" i="30"/>
  <c r="D90" i="6"/>
  <c r="H90" i="6" s="1"/>
  <c r="AI90" i="6"/>
  <c r="AM266" i="30"/>
  <c r="AM49" i="30"/>
  <c r="W36" i="30"/>
  <c r="AI175" i="6"/>
  <c r="AK175" i="6" s="1"/>
  <c r="D175" i="6"/>
  <c r="H175" i="6" s="1"/>
  <c r="U175" i="6"/>
  <c r="AI157" i="6"/>
  <c r="AK153" i="6"/>
  <c r="AT148" i="6"/>
  <c r="F157" i="6"/>
  <c r="AP143" i="6"/>
  <c r="AP160" i="6"/>
  <c r="AP157" i="6"/>
  <c r="AQ153" i="6"/>
  <c r="AT66" i="6"/>
  <c r="AS66" i="6"/>
  <c r="U56" i="6"/>
  <c r="W56" i="6" s="1"/>
  <c r="AI56" i="6"/>
  <c r="AK56" i="6" s="1"/>
  <c r="AM56" i="6" s="1"/>
  <c r="D56" i="6"/>
  <c r="H56" i="6" s="1"/>
  <c r="W70" i="6"/>
  <c r="AM58" i="6"/>
  <c r="D52" i="6"/>
  <c r="H52" i="6" s="1"/>
  <c r="AF49" i="6"/>
  <c r="P49" i="6"/>
  <c r="AM42" i="6"/>
  <c r="AF35" i="6"/>
  <c r="P35" i="6"/>
  <c r="U85" i="6"/>
  <c r="D85" i="6"/>
  <c r="H85" i="6" s="1"/>
  <c r="AI85" i="6"/>
  <c r="AK85" i="6" s="1"/>
  <c r="AM85" i="6" s="1"/>
  <c r="AM65" i="6"/>
  <c r="AK62" i="6"/>
  <c r="AI66" i="6"/>
  <c r="AI37" i="6"/>
  <c r="D37" i="6"/>
  <c r="H37" i="6" s="1"/>
  <c r="AM64" i="6"/>
  <c r="W57" i="6"/>
  <c r="W22" i="6"/>
  <c r="AI300" i="30"/>
  <c r="AK300" i="30" s="1"/>
  <c r="D307" i="30"/>
  <c r="H307" i="30" s="1"/>
  <c r="S176" i="6"/>
  <c r="AI120" i="30"/>
  <c r="AS184" i="6"/>
  <c r="AS185" i="6" s="1"/>
  <c r="Z204" i="8" s="1"/>
  <c r="AW177" i="6"/>
  <c r="AS121" i="30"/>
  <c r="S121" i="30" s="1"/>
  <c r="AS344" i="30"/>
  <c r="S344" i="30" s="1"/>
  <c r="U168" i="6"/>
  <c r="D168" i="6"/>
  <c r="H168" i="6" s="1"/>
  <c r="AI168" i="6"/>
  <c r="AK168" i="6" s="1"/>
  <c r="AI160" i="6"/>
  <c r="D160" i="6"/>
  <c r="H160" i="6" s="1"/>
  <c r="S164" i="6"/>
  <c r="D164" i="6" s="1"/>
  <c r="D167" i="6"/>
  <c r="H167" i="6" s="1"/>
  <c r="AP162" i="6"/>
  <c r="AQ155" i="6"/>
  <c r="AR155" i="6" s="1"/>
  <c r="AP154" i="6"/>
  <c r="AT147" i="6"/>
  <c r="AP163" i="6"/>
  <c r="AQ156" i="6"/>
  <c r="AR156" i="6" s="1"/>
  <c r="AF69" i="6"/>
  <c r="AU86" i="6"/>
  <c r="AS30" i="30"/>
  <c r="AS253" i="30"/>
  <c r="AI79" i="6"/>
  <c r="AK79" i="6" s="1"/>
  <c r="D79" i="6"/>
  <c r="H79" i="6" s="1"/>
  <c r="AM78" i="6"/>
  <c r="AF63" i="6"/>
  <c r="P63" i="6"/>
  <c r="AI24" i="6"/>
  <c r="BA169" i="6"/>
  <c r="AZ169" i="6"/>
  <c r="AI83" i="6"/>
  <c r="D83" i="6"/>
  <c r="H83" i="6" s="1"/>
  <c r="AV247" i="30"/>
  <c r="BA168" i="6"/>
  <c r="S114" i="6"/>
  <c r="AF50" i="6"/>
  <c r="P50" i="6"/>
  <c r="AF43" i="6"/>
  <c r="P43" i="6"/>
  <c r="AI98" i="6"/>
  <c r="AK98" i="6" s="1"/>
  <c r="U98" i="6"/>
  <c r="P57" i="6"/>
  <c r="AF57" i="6"/>
  <c r="AI31" i="6"/>
  <c r="BA174" i="6"/>
  <c r="U35" i="30"/>
  <c r="W35" i="30" s="1"/>
  <c r="S91" i="6"/>
  <c r="D98" i="6" s="1"/>
  <c r="H98" i="6" s="1"/>
  <c r="D35" i="30"/>
  <c r="H35" i="30" s="1"/>
  <c r="AI35" i="30"/>
  <c r="AK35" i="30" s="1"/>
  <c r="AM35" i="30" s="1"/>
  <c r="U84" i="6"/>
  <c r="AI84" i="6"/>
  <c r="AK84" i="6" s="1"/>
  <c r="AM84" i="6" s="1"/>
  <c r="D84" i="6"/>
  <c r="H84" i="6" s="1"/>
  <c r="W29" i="6"/>
  <c r="S107" i="6"/>
  <c r="AF170" i="6"/>
  <c r="AI174" i="6"/>
  <c r="D174" i="6"/>
  <c r="H174" i="6" s="1"/>
  <c r="S171" i="6"/>
  <c r="U154" i="6"/>
  <c r="AU128" i="6"/>
  <c r="AR115" i="6"/>
  <c r="AT115" i="6"/>
  <c r="P71" i="6"/>
  <c r="AF71" i="6"/>
  <c r="AU93" i="6"/>
  <c r="AS158" i="30"/>
  <c r="AS260" i="30"/>
  <c r="AS37" i="30"/>
  <c r="AI73" i="6"/>
  <c r="AK69" i="6"/>
  <c r="AD105" i="6"/>
  <c r="AD98" i="6"/>
  <c r="AF78" i="6"/>
  <c r="AM63" i="6"/>
  <c r="AI52" i="6"/>
  <c r="W21" i="6"/>
  <c r="U245" i="30"/>
  <c r="W252" i="30" s="1"/>
  <c r="AI245" i="30"/>
  <c r="S92" i="6"/>
  <c r="D99" i="6" s="1"/>
  <c r="H99" i="6" s="1"/>
  <c r="AT73" i="6"/>
  <c r="BA162" i="6"/>
  <c r="AZ162" i="6"/>
  <c r="BA175" i="6"/>
  <c r="U105" i="30"/>
  <c r="AI105" i="30"/>
  <c r="AI108" i="30" s="1"/>
  <c r="AM57" i="6"/>
  <c r="AI59" i="6"/>
  <c r="AK55" i="6"/>
  <c r="P42" i="6"/>
  <c r="AF42" i="6"/>
  <c r="AM28" i="6"/>
  <c r="AF28" i="6"/>
  <c r="P28" i="6"/>
  <c r="D252" i="30"/>
  <c r="H252" i="30" s="1"/>
  <c r="P307" i="30"/>
  <c r="S63" i="30"/>
  <c r="AI45" i="30"/>
  <c r="N7" i="8" s="1"/>
  <c r="P169" i="6"/>
  <c r="AF169" i="6"/>
  <c r="AM170" i="6"/>
  <c r="AS178" i="6"/>
  <c r="Y204" i="8" s="1"/>
  <c r="AW181" i="6"/>
  <c r="CX10" i="7" s="1"/>
  <c r="AS348" i="30"/>
  <c r="AS125" i="30"/>
  <c r="AY125" i="30" s="1"/>
  <c r="AI171" i="6"/>
  <c r="AK167" i="6"/>
  <c r="U161" i="6"/>
  <c r="D161" i="6"/>
  <c r="H161" i="6" s="1"/>
  <c r="AI161" i="6"/>
  <c r="AK161" i="6" s="1"/>
  <c r="AM161" i="6" s="1"/>
  <c r="BE135" i="6"/>
  <c r="BE142" i="6"/>
  <c r="N161" i="6"/>
  <c r="AP150" i="6"/>
  <c r="AT150" i="6" s="1"/>
  <c r="AS121" i="6"/>
  <c r="AT121" i="6"/>
  <c r="AT128" i="6"/>
  <c r="AT136" i="6"/>
  <c r="AS129" i="6"/>
  <c r="AU118" i="6"/>
  <c r="AS62" i="30"/>
  <c r="AP122" i="6"/>
  <c r="AT122" i="6" s="1"/>
  <c r="AU73" i="6"/>
  <c r="AS17" i="30"/>
  <c r="AS138" i="30"/>
  <c r="J60" i="8" s="1"/>
  <c r="K61" i="8" s="1"/>
  <c r="S80" i="6"/>
  <c r="D80" i="6" s="1"/>
  <c r="H80" i="6" s="1"/>
  <c r="AF70" i="6"/>
  <c r="P70" i="6"/>
  <c r="AF58" i="6"/>
  <c r="D24" i="6"/>
  <c r="H24" i="6" s="1"/>
  <c r="AF65" i="6"/>
  <c r="AF62" i="6"/>
  <c r="AZ161" i="6"/>
  <c r="BA161" i="6"/>
  <c r="AF64" i="6"/>
  <c r="P64" i="6"/>
  <c r="S59" i="6"/>
  <c r="D59" i="6" s="1"/>
  <c r="H59" i="6" s="1"/>
  <c r="D31" i="6"/>
  <c r="H31" i="6" s="1"/>
  <c r="BA160" i="6"/>
  <c r="AZ160" i="6"/>
  <c r="W42" i="6"/>
  <c r="D393" i="30"/>
  <c r="F393" i="30"/>
  <c r="Q186" i="8" s="1"/>
  <c r="U127" i="30"/>
  <c r="W127" i="30" s="1"/>
  <c r="AI127" i="30"/>
  <c r="BB73" i="30"/>
  <c r="BD69" i="30"/>
  <c r="AF390" i="30"/>
  <c r="P390" i="30"/>
  <c r="N378" i="30"/>
  <c r="N434" i="30"/>
  <c r="P434" i="30" s="1"/>
  <c r="AF376" i="30"/>
  <c r="P376" i="30"/>
  <c r="D379" i="30"/>
  <c r="H379" i="30" s="1"/>
  <c r="S349" i="30"/>
  <c r="S182" i="6" s="1"/>
  <c r="CV11" i="7" s="1"/>
  <c r="AI342" i="30"/>
  <c r="D342" i="30"/>
  <c r="H342" i="30" s="1"/>
  <c r="U342" i="30"/>
  <c r="W342" i="30" s="1"/>
  <c r="AU338" i="30"/>
  <c r="AV338" i="30"/>
  <c r="L372" i="30"/>
  <c r="N372" i="30" s="1"/>
  <c r="AI327" i="30"/>
  <c r="S331" i="30"/>
  <c r="D327" i="30"/>
  <c r="H327" i="30" s="1"/>
  <c r="BG303" i="30"/>
  <c r="BI301" i="30"/>
  <c r="BB301" i="30" s="1"/>
  <c r="BD78" i="30" s="1"/>
  <c r="BE78" i="30" s="1"/>
  <c r="AU272" i="30"/>
  <c r="S272" i="30"/>
  <c r="S105" i="6" s="1"/>
  <c r="P308" i="30"/>
  <c r="AI309" i="30"/>
  <c r="D309" i="30"/>
  <c r="H309" i="30" s="1"/>
  <c r="S273" i="30"/>
  <c r="S106" i="6" s="1"/>
  <c r="AU273" i="30"/>
  <c r="AV294" i="30"/>
  <c r="AS294" i="30" s="1"/>
  <c r="AS287" i="30"/>
  <c r="N279" i="30"/>
  <c r="AV285" i="30"/>
  <c r="AS278" i="30"/>
  <c r="AV176" i="30"/>
  <c r="AS176" i="30" s="1"/>
  <c r="AY111" i="6" s="1"/>
  <c r="AM258" i="30"/>
  <c r="W156" i="30"/>
  <c r="AU173" i="30"/>
  <c r="AV173" i="30"/>
  <c r="N212" i="30"/>
  <c r="D171" i="30"/>
  <c r="H171" i="30" s="1"/>
  <c r="AI171" i="30"/>
  <c r="AK171" i="30" s="1"/>
  <c r="U171" i="30"/>
  <c r="D164" i="30"/>
  <c r="H164" i="30" s="1"/>
  <c r="AI164" i="30"/>
  <c r="AK164" i="30" s="1"/>
  <c r="U164" i="30"/>
  <c r="D151" i="30"/>
  <c r="H151" i="30" s="1"/>
  <c r="AI151" i="30"/>
  <c r="S152" i="30"/>
  <c r="D152" i="30" s="1"/>
  <c r="H152" i="30" s="1"/>
  <c r="N126" i="30"/>
  <c r="P126" i="30" s="1"/>
  <c r="N119" i="30"/>
  <c r="AI179" i="30"/>
  <c r="D179" i="30"/>
  <c r="H179" i="30" s="1"/>
  <c r="AV166" i="30"/>
  <c r="AI155" i="30"/>
  <c r="D155" i="30"/>
  <c r="H155" i="30" s="1"/>
  <c r="AK141" i="30"/>
  <c r="AI145" i="30"/>
  <c r="K58" i="8" s="1"/>
  <c r="BD83" i="30"/>
  <c r="BE83" i="30" s="1"/>
  <c r="AV192" i="30"/>
  <c r="AS192" i="30" s="1"/>
  <c r="AV78" i="30"/>
  <c r="AS71" i="30"/>
  <c r="K71" i="30"/>
  <c r="L71" i="30"/>
  <c r="AV185" i="30"/>
  <c r="AS185" i="30" s="1"/>
  <c r="AY120" i="6" s="1"/>
  <c r="AS72" i="30"/>
  <c r="AV79" i="30"/>
  <c r="N113" i="30"/>
  <c r="N92" i="30"/>
  <c r="BW86" i="30"/>
  <c r="BB86" i="30" s="1"/>
  <c r="BD86" i="30" s="1"/>
  <c r="BE86" i="30" s="1"/>
  <c r="N77" i="30"/>
  <c r="P29" i="30"/>
  <c r="AF29" i="30"/>
  <c r="W389" i="30"/>
  <c r="N431" i="30"/>
  <c r="P431" i="30" s="1"/>
  <c r="L435" i="30"/>
  <c r="N435" i="30" s="1"/>
  <c r="D371" i="30"/>
  <c r="P378" i="30"/>
  <c r="P375" i="30"/>
  <c r="AI372" i="30"/>
  <c r="U379" i="30"/>
  <c r="W375" i="30"/>
  <c r="P329" i="30"/>
  <c r="AD307" i="30"/>
  <c r="AF307" i="30" s="1"/>
  <c r="Z308" i="30"/>
  <c r="AB307" i="30"/>
  <c r="AK307" i="30" s="1"/>
  <c r="AM307" i="30" s="1"/>
  <c r="P343" i="30"/>
  <c r="AV324" i="30"/>
  <c r="AU324" i="30"/>
  <c r="N379" i="30"/>
  <c r="AV286" i="30"/>
  <c r="AS279" i="30"/>
  <c r="AV177" i="30"/>
  <c r="AS177" i="30" s="1"/>
  <c r="AY112" i="6" s="1"/>
  <c r="N335" i="30"/>
  <c r="AI303" i="30"/>
  <c r="AI268" i="30"/>
  <c r="N280" i="30"/>
  <c r="AF259" i="30"/>
  <c r="P259" i="30"/>
  <c r="N243" i="30"/>
  <c r="AU271" i="30"/>
  <c r="AS275" i="30"/>
  <c r="S271" i="30"/>
  <c r="S104" i="6" s="1"/>
  <c r="BA104" i="6" s="1"/>
  <c r="AF250" i="30"/>
  <c r="AF163" i="30"/>
  <c r="P163" i="30"/>
  <c r="W258" i="30"/>
  <c r="P149" i="30"/>
  <c r="AF149" i="30"/>
  <c r="W163" i="30"/>
  <c r="P150" i="30"/>
  <c r="AF150" i="30"/>
  <c r="D113" i="30"/>
  <c r="H113" i="30" s="1"/>
  <c r="U113" i="30"/>
  <c r="D120" i="30"/>
  <c r="H120" i="30" s="1"/>
  <c r="S115" i="30"/>
  <c r="X7" i="8" s="1"/>
  <c r="X8" i="8" s="1"/>
  <c r="AI113" i="30"/>
  <c r="U170" i="30"/>
  <c r="W170" i="30" s="1"/>
  <c r="S173" i="30"/>
  <c r="D170" i="30"/>
  <c r="H170" i="30" s="1"/>
  <c r="AI170" i="30"/>
  <c r="AK170" i="30" s="1"/>
  <c r="AM170" i="30" s="1"/>
  <c r="AV152" i="30"/>
  <c r="AU152" i="30"/>
  <c r="BD77" i="30"/>
  <c r="AS69" i="30"/>
  <c r="AV76" i="30"/>
  <c r="AM56" i="30"/>
  <c r="AI51" i="30"/>
  <c r="D51" i="30"/>
  <c r="H51" i="30" s="1"/>
  <c r="AF34" i="30"/>
  <c r="AI63" i="30"/>
  <c r="AK63" i="30" s="1"/>
  <c r="AM63" i="30" s="1"/>
  <c r="U63" i="30"/>
  <c r="W63" i="30" s="1"/>
  <c r="D63" i="30"/>
  <c r="H63" i="30" s="1"/>
  <c r="W56" i="30"/>
  <c r="AI52" i="30"/>
  <c r="AV77" i="30"/>
  <c r="AS70" i="30"/>
  <c r="BS93" i="30"/>
  <c r="BS92" i="30"/>
  <c r="BS91" i="30"/>
  <c r="BS90" i="30"/>
  <c r="BS101" i="30"/>
  <c r="AF50" i="30"/>
  <c r="S24" i="30"/>
  <c r="AV24" i="30"/>
  <c r="AU24" i="30"/>
  <c r="P36" i="30"/>
  <c r="AF36" i="30"/>
  <c r="N452" i="30"/>
  <c r="H452" i="30" s="1"/>
  <c r="D452" i="30" s="1"/>
  <c r="L456" i="30"/>
  <c r="U392" i="30"/>
  <c r="W392" i="30" s="1"/>
  <c r="AI392" i="30"/>
  <c r="N454" i="30"/>
  <c r="H454" i="30" s="1"/>
  <c r="D454" i="30" s="1"/>
  <c r="N428" i="30"/>
  <c r="AI391" i="30"/>
  <c r="U391" i="30"/>
  <c r="W391" i="30" s="1"/>
  <c r="AI348" i="30"/>
  <c r="AI386" i="30"/>
  <c r="AK383" i="30"/>
  <c r="U371" i="30"/>
  <c r="P382" i="30"/>
  <c r="D364" i="30"/>
  <c r="U357" i="30"/>
  <c r="W364" i="30" s="1"/>
  <c r="S356" i="30"/>
  <c r="U356" i="30" s="1"/>
  <c r="W363" i="30" s="1"/>
  <c r="AF377" i="30"/>
  <c r="P377" i="30"/>
  <c r="D324" i="30"/>
  <c r="H324" i="30" s="1"/>
  <c r="W336" i="30"/>
  <c r="D321" i="30"/>
  <c r="H321" i="30" s="1"/>
  <c r="AI321" i="30"/>
  <c r="D328" i="30"/>
  <c r="H328" i="30" s="1"/>
  <c r="U321" i="30"/>
  <c r="W321" i="30" s="1"/>
  <c r="D310" i="30"/>
  <c r="H310" i="30" s="1"/>
  <c r="AV295" i="30"/>
  <c r="AS295" i="30" s="1"/>
  <c r="AS288" i="30"/>
  <c r="BH296" i="30"/>
  <c r="BI293" i="30"/>
  <c r="BB293" i="30" s="1"/>
  <c r="BD70" i="30" s="1"/>
  <c r="BE70" i="30" s="1"/>
  <c r="AV268" i="30"/>
  <c r="W314" i="30"/>
  <c r="D264" i="30"/>
  <c r="H264" i="30" s="1"/>
  <c r="AI257" i="30"/>
  <c r="D257" i="30"/>
  <c r="H257" i="30" s="1"/>
  <c r="AF247" i="30"/>
  <c r="AK250" i="30"/>
  <c r="N206" i="30"/>
  <c r="D178" i="30"/>
  <c r="H178" i="30" s="1"/>
  <c r="AV115" i="30"/>
  <c r="AU115" i="30"/>
  <c r="AI152" i="30"/>
  <c r="L58" i="8" s="1"/>
  <c r="N112" i="30"/>
  <c r="U112" i="30"/>
  <c r="AI165" i="30"/>
  <c r="AI126" i="30"/>
  <c r="U126" i="30"/>
  <c r="BR108" i="30"/>
  <c r="BR100" i="30"/>
  <c r="BR99" i="30"/>
  <c r="BR98" i="30"/>
  <c r="BR97" i="30"/>
  <c r="BW93" i="30"/>
  <c r="BB93" i="30" s="1"/>
  <c r="S64" i="30"/>
  <c r="AU64" i="30"/>
  <c r="AF49" i="30"/>
  <c r="P49" i="30"/>
  <c r="AF27" i="30"/>
  <c r="Z85" i="30"/>
  <c r="AD84" i="30"/>
  <c r="AB84" i="30"/>
  <c r="AF48" i="30"/>
  <c r="U106" i="30"/>
  <c r="BD72" i="30"/>
  <c r="BE72" i="30" s="1"/>
  <c r="AI21" i="30"/>
  <c r="AK21" i="30" s="1"/>
  <c r="AM28" i="30" s="1"/>
  <c r="U21" i="30"/>
  <c r="W28" i="30" s="1"/>
  <c r="D28" i="30"/>
  <c r="H28" i="30" s="1"/>
  <c r="AK36" i="30"/>
  <c r="BE76" i="30"/>
  <c r="W43" i="30"/>
  <c r="N439" i="30"/>
  <c r="P439" i="30" s="1"/>
  <c r="N446" i="30"/>
  <c r="H446" i="30" s="1"/>
  <c r="D446" i="30" s="1"/>
  <c r="U390" i="30"/>
  <c r="W390" i="30" s="1"/>
  <c r="L449" i="30"/>
  <c r="N449" i="30" s="1"/>
  <c r="L442" i="30"/>
  <c r="N442" i="30" s="1"/>
  <c r="N425" i="30"/>
  <c r="P425" i="30" s="1"/>
  <c r="N418" i="30"/>
  <c r="P418" i="30" s="1"/>
  <c r="AF384" i="30"/>
  <c r="P384" i="30"/>
  <c r="N426" i="30"/>
  <c r="P426" i="30" s="1"/>
  <c r="P383" i="30"/>
  <c r="AF383" i="30"/>
  <c r="U386" i="30"/>
  <c r="W386" i="30" s="1"/>
  <c r="W382" i="30"/>
  <c r="F372" i="30"/>
  <c r="L393" i="30"/>
  <c r="N393" i="30" s="1"/>
  <c r="AI379" i="30"/>
  <c r="AU310" i="30"/>
  <c r="AV303" i="30"/>
  <c r="N350" i="30"/>
  <c r="AI350" i="30"/>
  <c r="U350" i="30"/>
  <c r="W350" i="30" s="1"/>
  <c r="D334" i="30"/>
  <c r="H334" i="30" s="1"/>
  <c r="U365" i="30"/>
  <c r="W365" i="30" s="1"/>
  <c r="U328" i="30"/>
  <c r="W328" i="30" s="1"/>
  <c r="W377" i="30"/>
  <c r="AV229" i="30"/>
  <c r="AU280" i="30"/>
  <c r="S280" i="30"/>
  <c r="S113" i="6" s="1"/>
  <c r="P251" i="30"/>
  <c r="AF251" i="30"/>
  <c r="U243" i="30"/>
  <c r="Z206" i="30"/>
  <c r="AD205" i="30"/>
  <c r="AB205" i="30"/>
  <c r="P266" i="30"/>
  <c r="AF266" i="30"/>
  <c r="W266" i="30"/>
  <c r="AI172" i="30"/>
  <c r="D172" i="30"/>
  <c r="H172" i="30" s="1"/>
  <c r="W120" i="30"/>
  <c r="P119" i="30"/>
  <c r="W178" i="30"/>
  <c r="D157" i="30"/>
  <c r="H157" i="30" s="1"/>
  <c r="U157" i="30"/>
  <c r="W157" i="30" s="1"/>
  <c r="AI157" i="30"/>
  <c r="AK157" i="30" s="1"/>
  <c r="AM157" i="30" s="1"/>
  <c r="AI115" i="30"/>
  <c r="AV108" i="30"/>
  <c r="N178" i="30"/>
  <c r="N171" i="30"/>
  <c r="AF148" i="30"/>
  <c r="U119" i="30"/>
  <c r="U111" i="30"/>
  <c r="P112" i="30"/>
  <c r="AI162" i="30"/>
  <c r="D162" i="30"/>
  <c r="H162" i="30" s="1"/>
  <c r="D169" i="30"/>
  <c r="H169" i="30" s="1"/>
  <c r="S166" i="30"/>
  <c r="BW85" i="30"/>
  <c r="BB85" i="30" s="1"/>
  <c r="BD85" i="30" s="1"/>
  <c r="BE85" i="30" s="1"/>
  <c r="AF41" i="30"/>
  <c r="BQ101" i="30"/>
  <c r="BQ90" i="30"/>
  <c r="BQ92" i="30"/>
  <c r="BQ91" i="30"/>
  <c r="AI59" i="30"/>
  <c r="P7" i="8" s="1"/>
  <c r="L50" i="30"/>
  <c r="AV59" i="30"/>
  <c r="AU59" i="30"/>
  <c r="N56" i="30"/>
  <c r="BO108" i="30"/>
  <c r="BO97" i="30"/>
  <c r="N57" i="30"/>
  <c r="S52" i="30"/>
  <c r="BP101" i="30"/>
  <c r="BP92" i="30"/>
  <c r="BW92" i="30" s="1"/>
  <c r="BB92" i="30" s="1"/>
  <c r="BP91" i="30"/>
  <c r="BW91" i="30" s="1"/>
  <c r="BB91" i="30" s="1"/>
  <c r="BP90" i="30"/>
  <c r="BW90" i="30" s="1"/>
  <c r="BB90" i="30" s="1"/>
  <c r="AF43" i="30"/>
  <c r="BB80" i="30"/>
  <c r="D58" i="30"/>
  <c r="H58" i="30" s="1"/>
  <c r="W29" i="30"/>
  <c r="BW45" i="3"/>
  <c r="BW20" i="3"/>
  <c r="DF45" i="3"/>
  <c r="DF20" i="3"/>
  <c r="AM45" i="3"/>
  <c r="AM20" i="3"/>
  <c r="S45" i="3"/>
  <c r="S20" i="3"/>
  <c r="CH45" i="3"/>
  <c r="CH20" i="3"/>
  <c r="BN45" i="3"/>
  <c r="BN20" i="3"/>
  <c r="E49" i="3"/>
  <c r="E41" i="3"/>
  <c r="E24" i="3"/>
  <c r="BK61" i="3"/>
  <c r="BK49" i="3"/>
  <c r="BK41" i="3"/>
  <c r="BK24" i="3"/>
  <c r="AV49" i="3"/>
  <c r="AV41" i="3"/>
  <c r="AV53" i="3" s="1"/>
  <c r="AV24" i="3"/>
  <c r="AL49" i="3"/>
  <c r="AL41" i="3"/>
  <c r="AL24" i="3"/>
  <c r="C49" i="3"/>
  <c r="C41" i="3"/>
  <c r="C24" i="3"/>
  <c r="BC79" i="3"/>
  <c r="DM80" i="3"/>
  <c r="DL79" i="3"/>
  <c r="CB45" i="3"/>
  <c r="CB20" i="3"/>
  <c r="AX45" i="3"/>
  <c r="AX20" i="3"/>
  <c r="AD45" i="3"/>
  <c r="AD20" i="3"/>
  <c r="T45" i="3"/>
  <c r="T20" i="3"/>
  <c r="CF74" i="3"/>
  <c r="BV45" i="3"/>
  <c r="BV20" i="3"/>
  <c r="AR45" i="3"/>
  <c r="AR20" i="3"/>
  <c r="X45" i="3"/>
  <c r="X20" i="3"/>
  <c r="BS45" i="3"/>
  <c r="BI45" i="3"/>
  <c r="BI20" i="3"/>
  <c r="AO45" i="3"/>
  <c r="AO20" i="3"/>
  <c r="U45" i="3"/>
  <c r="U20" i="3"/>
  <c r="K45" i="3"/>
  <c r="K20" i="3"/>
  <c r="DE49" i="3"/>
  <c r="DE41" i="3"/>
  <c r="DE24" i="3"/>
  <c r="DD45" i="3"/>
  <c r="DD20" i="3"/>
  <c r="DE61" i="3" s="1"/>
  <c r="F49" i="3"/>
  <c r="F24" i="3"/>
  <c r="F41" i="3"/>
  <c r="BD80" i="3"/>
  <c r="BD79" i="3" s="1"/>
  <c r="BB79" i="3"/>
  <c r="BQ45" i="3"/>
  <c r="BQ20" i="3"/>
  <c r="BG45" i="3"/>
  <c r="BG20" i="3"/>
  <c r="I45" i="3"/>
  <c r="I20" i="3"/>
  <c r="BD45" i="3"/>
  <c r="BD20" i="3"/>
  <c r="AJ45" i="3"/>
  <c r="AJ20" i="3"/>
  <c r="BU45" i="3"/>
  <c r="BU20" i="3"/>
  <c r="D49" i="3"/>
  <c r="D41" i="3"/>
  <c r="D24" i="3"/>
  <c r="CG45" i="3"/>
  <c r="CG20" i="3"/>
  <c r="BM45" i="3"/>
  <c r="BM20" i="3"/>
  <c r="BC45" i="3"/>
  <c r="BC20" i="3"/>
  <c r="AI45" i="3"/>
  <c r="AI20" i="3"/>
  <c r="CA45" i="3"/>
  <c r="CA20" i="3"/>
  <c r="AW45" i="3"/>
  <c r="AW20" i="3"/>
  <c r="AC45" i="3"/>
  <c r="AC20" i="3"/>
  <c r="BX45" i="3"/>
  <c r="BX20" i="3"/>
  <c r="AT45" i="3"/>
  <c r="AT20" i="3"/>
  <c r="Z45" i="3"/>
  <c r="Z20" i="3"/>
  <c r="AG45" i="3"/>
  <c r="AG20" i="3"/>
  <c r="O49" i="3"/>
  <c r="CE49" i="3"/>
  <c r="CE41" i="3"/>
  <c r="CE24" i="3"/>
  <c r="BF49" i="3"/>
  <c r="BF41" i="3"/>
  <c r="BF53" i="3" s="1"/>
  <c r="BF24" i="3"/>
  <c r="AQ61" i="3"/>
  <c r="AQ49" i="3"/>
  <c r="AQ41" i="3"/>
  <c r="AQ24" i="3"/>
  <c r="AB49" i="3"/>
  <c r="AB41" i="3"/>
  <c r="AB24" i="3"/>
  <c r="H61" i="3"/>
  <c r="H49" i="3"/>
  <c r="H41" i="3"/>
  <c r="H24" i="3"/>
  <c r="AS45" i="3"/>
  <c r="AS20" i="3"/>
  <c r="M49" i="3"/>
  <c r="M41" i="3"/>
  <c r="M24" i="3"/>
  <c r="BR45" i="3"/>
  <c r="BR20" i="3"/>
  <c r="BH45" i="3"/>
  <c r="BH20" i="3"/>
  <c r="AN45" i="3"/>
  <c r="AN20" i="3"/>
  <c r="Y45" i="3"/>
  <c r="Y20" i="3"/>
  <c r="J45" i="3"/>
  <c r="J20" i="3"/>
  <c r="CF45" i="3"/>
  <c r="CF20" i="3"/>
  <c r="BL45" i="3"/>
  <c r="BL20" i="3"/>
  <c r="BB45" i="3"/>
  <c r="BB20" i="3"/>
  <c r="AH45" i="3"/>
  <c r="AH20" i="3"/>
  <c r="CC45" i="3"/>
  <c r="CC20" i="3"/>
  <c r="AY45" i="3"/>
  <c r="AY20" i="3"/>
  <c r="AE45" i="3"/>
  <c r="AE20" i="3"/>
  <c r="BA45" i="3"/>
  <c r="BA20" i="3"/>
  <c r="P49" i="3"/>
  <c r="P24" i="3"/>
  <c r="P41" i="3"/>
  <c r="D93" i="62"/>
  <c r="D51" i="62"/>
  <c r="E79" i="62"/>
  <c r="E72" i="62"/>
  <c r="F121" i="62"/>
  <c r="F114" i="62"/>
  <c r="D135" i="62"/>
  <c r="F173" i="62"/>
  <c r="F135" i="62"/>
  <c r="M151" i="62"/>
  <c r="M108" i="62"/>
  <c r="M153" i="62" s="1"/>
  <c r="F40" i="62"/>
  <c r="F33" i="62"/>
  <c r="F17" i="62"/>
  <c r="D162" i="62"/>
  <c r="F182" i="62"/>
  <c r="F183" i="62" s="1"/>
  <c r="F125" i="62"/>
  <c r="F126" i="62" s="1"/>
  <c r="F83" i="62"/>
  <c r="F84" i="62" s="1"/>
  <c r="E173" i="62"/>
  <c r="E135" i="62"/>
  <c r="F79" i="62"/>
  <c r="F72" i="62"/>
  <c r="E178" i="62"/>
  <c r="E162" i="62"/>
  <c r="D31" i="62"/>
  <c r="D13" i="62"/>
  <c r="D114" i="62"/>
  <c r="D72" i="62"/>
  <c r="F119" i="62"/>
  <c r="F93" i="62"/>
  <c r="E93" i="62"/>
  <c r="E119" i="62"/>
  <c r="E121" i="62"/>
  <c r="E114" i="62"/>
  <c r="F178" i="62"/>
  <c r="F162" i="62"/>
  <c r="N108" i="62"/>
  <c r="N153" i="62" s="1"/>
  <c r="N151" i="62"/>
  <c r="E40" i="62"/>
  <c r="E33" i="62"/>
  <c r="E17" i="62"/>
  <c r="O151" i="62"/>
  <c r="O108" i="62"/>
  <c r="O153" i="62" s="1"/>
  <c r="F51" i="62"/>
  <c r="F77" i="62"/>
  <c r="E77" i="62"/>
  <c r="E51" i="62"/>
  <c r="H372" i="30" l="1"/>
  <c r="N186" i="8"/>
  <c r="F9" i="67"/>
  <c r="I9" i="67" s="1"/>
  <c r="J9" i="67" s="1"/>
  <c r="AZ41" i="13"/>
  <c r="O72" i="12"/>
  <c r="O78" i="12" s="1"/>
  <c r="L10" i="13"/>
  <c r="L16" i="13" s="1"/>
  <c r="L34" i="13" s="1"/>
  <c r="L54" i="13" s="1"/>
  <c r="L57" i="13" s="1"/>
  <c r="AX76" i="7"/>
  <c r="J10" i="13"/>
  <c r="J16" i="13" s="1"/>
  <c r="J34" i="13" s="1"/>
  <c r="J54" i="13" s="1"/>
  <c r="J57" i="13" s="1"/>
  <c r="M72" i="12"/>
  <c r="M78" i="12" s="1"/>
  <c r="CH54" i="7"/>
  <c r="X14" i="10"/>
  <c r="BM79" i="7"/>
  <c r="W71" i="12"/>
  <c r="W77" i="12" s="1"/>
  <c r="K14" i="10"/>
  <c r="CB73" i="7"/>
  <c r="CC73" i="7" s="1"/>
  <c r="BS17" i="3"/>
  <c r="T17" i="3"/>
  <c r="AN74" i="7"/>
  <c r="AO72" i="7"/>
  <c r="AP72" i="7"/>
  <c r="AN76" i="7"/>
  <c r="BE73" i="7"/>
  <c r="AO17" i="3"/>
  <c r="X22" i="10"/>
  <c r="U264" i="8"/>
  <c r="BP86" i="7"/>
  <c r="BP84" i="7"/>
  <c r="BQ84" i="7" s="1"/>
  <c r="BP85" i="7"/>
  <c r="BQ85" i="7" s="1"/>
  <c r="BR81" i="7"/>
  <c r="CJ74" i="7"/>
  <c r="CK74" i="7" s="1"/>
  <c r="CK72" i="7"/>
  <c r="CJ76" i="7"/>
  <c r="CK76" i="7" s="1"/>
  <c r="U203" i="8"/>
  <c r="N20" i="3"/>
  <c r="S61" i="3" s="1"/>
  <c r="N46" i="3"/>
  <c r="L22" i="10"/>
  <c r="L203" i="8"/>
  <c r="M203" i="8"/>
  <c r="O41" i="3"/>
  <c r="W161" i="6"/>
  <c r="CP54" i="7"/>
  <c r="Z14" i="10"/>
  <c r="CN114" i="7"/>
  <c r="T136" i="7"/>
  <c r="CN131" i="7"/>
  <c r="BP111" i="7"/>
  <c r="BQ111" i="7" s="1"/>
  <c r="BX113" i="7"/>
  <c r="BX114" i="7" s="1"/>
  <c r="CK121" i="7"/>
  <c r="AS87" i="7"/>
  <c r="Q39" i="10"/>
  <c r="Q40" i="10" s="1"/>
  <c r="W74" i="10"/>
  <c r="W75" i="10" s="1"/>
  <c r="X109" i="8"/>
  <c r="BD46" i="3"/>
  <c r="BD58" i="3"/>
  <c r="BI58" i="3"/>
  <c r="BT73" i="7"/>
  <c r="BU73" i="7" s="1"/>
  <c r="BI17" i="3"/>
  <c r="BM72" i="7"/>
  <c r="BL76" i="7"/>
  <c r="BL74" i="7"/>
  <c r="AP73" i="7"/>
  <c r="U17" i="3"/>
  <c r="U41" i="3" s="1"/>
  <c r="AO73" i="7"/>
  <c r="AN17" i="3"/>
  <c r="BD74" i="7"/>
  <c r="BE74" i="7" s="1"/>
  <c r="BE72" i="7"/>
  <c r="BD76" i="7"/>
  <c r="BE76" i="7" s="1"/>
  <c r="C46" i="8"/>
  <c r="CJ73" i="7"/>
  <c r="CK73" i="7" s="1"/>
  <c r="CC17" i="3"/>
  <c r="AX54" i="7"/>
  <c r="L14" i="10"/>
  <c r="Y135" i="7"/>
  <c r="CZ82" i="7"/>
  <c r="BU72" i="7"/>
  <c r="BT74" i="7"/>
  <c r="BU74" i="7" s="1"/>
  <c r="BT76" i="7"/>
  <c r="BU76" i="7" s="1"/>
  <c r="O28" i="10"/>
  <c r="O8" i="10"/>
  <c r="O20" i="10"/>
  <c r="AC69" i="12"/>
  <c r="Q8" i="10"/>
  <c r="O30" i="10"/>
  <c r="O12" i="10"/>
  <c r="AW72" i="7"/>
  <c r="AD17" i="3"/>
  <c r="AD41" i="3" s="1"/>
  <c r="AV76" i="7"/>
  <c r="AW76" i="7" s="1"/>
  <c r="AV74" i="7"/>
  <c r="AW74" i="7" s="1"/>
  <c r="AS70" i="12"/>
  <c r="Y12" i="10"/>
  <c r="Y30" i="10"/>
  <c r="AU70" i="12"/>
  <c r="Z12" i="10"/>
  <c r="Z30" i="10"/>
  <c r="G22" i="10"/>
  <c r="G203" i="8"/>
  <c r="G7" i="8"/>
  <c r="G9" i="8" s="1"/>
  <c r="AV133" i="7"/>
  <c r="AW113" i="7"/>
  <c r="AW123" i="7"/>
  <c r="W119" i="30"/>
  <c r="D171" i="6"/>
  <c r="H171" i="6" s="1"/>
  <c r="AF171" i="6" s="1"/>
  <c r="W63" i="6"/>
  <c r="BR56" i="7"/>
  <c r="CN115" i="7"/>
  <c r="AG131" i="7"/>
  <c r="CD83" i="7"/>
  <c r="AX72" i="7"/>
  <c r="BQ81" i="7"/>
  <c r="AF134" i="7"/>
  <c r="AF154" i="7" s="1"/>
  <c r="BN73" i="7"/>
  <c r="Q74" i="10"/>
  <c r="Q75" i="10" s="1"/>
  <c r="W31" i="10"/>
  <c r="S39" i="10"/>
  <c r="S45" i="10" s="1"/>
  <c r="AG72" i="12" s="1"/>
  <c r="AG78" i="12" s="1"/>
  <c r="G31" i="10"/>
  <c r="G39" i="10"/>
  <c r="CC72" i="7"/>
  <c r="CB74" i="7"/>
  <c r="CC74" i="7" s="1"/>
  <c r="CB76" i="7"/>
  <c r="CC76" i="7" s="1"/>
  <c r="N207" i="8"/>
  <c r="N202" i="8"/>
  <c r="N161" i="8"/>
  <c r="O207" i="8"/>
  <c r="F12" i="8"/>
  <c r="F46" i="8"/>
  <c r="AI137" i="65"/>
  <c r="CP82" i="7"/>
  <c r="CJ112" i="7"/>
  <c r="CK82" i="7"/>
  <c r="O34" i="10"/>
  <c r="S245" i="8"/>
  <c r="V74" i="10"/>
  <c r="V75" i="10" s="1"/>
  <c r="V39" i="10"/>
  <c r="V31" i="10"/>
  <c r="V73" i="10"/>
  <c r="D12" i="8"/>
  <c r="G46" i="8"/>
  <c r="G12" i="8"/>
  <c r="AW70" i="12"/>
  <c r="AA30" i="10"/>
  <c r="AA12" i="10"/>
  <c r="U15" i="10"/>
  <c r="V15" i="10"/>
  <c r="U30" i="10"/>
  <c r="AK71" i="12"/>
  <c r="AK77" i="12" s="1"/>
  <c r="BG58" i="3"/>
  <c r="BB58" i="3"/>
  <c r="BB46" i="3"/>
  <c r="BN46" i="3"/>
  <c r="BN58" i="3"/>
  <c r="U71" i="12"/>
  <c r="U77" i="12" s="1"/>
  <c r="J14" i="10"/>
  <c r="B46" i="8"/>
  <c r="O18" i="10"/>
  <c r="D331" i="30"/>
  <c r="H331" i="30" s="1"/>
  <c r="W106" i="8"/>
  <c r="D338" i="30"/>
  <c r="H338" i="30" s="1"/>
  <c r="AI183" i="6"/>
  <c r="AI80" i="6"/>
  <c r="X112" i="8"/>
  <c r="D181" i="16"/>
  <c r="L181" i="16" s="1"/>
  <c r="X11" i="8"/>
  <c r="W13" i="8"/>
  <c r="W46" i="8"/>
  <c r="D335" i="30"/>
  <c r="H335" i="30" s="1"/>
  <c r="P335" i="30" s="1"/>
  <c r="AI328" i="30"/>
  <c r="AI331" i="30" s="1"/>
  <c r="J22" i="10"/>
  <c r="K203" i="8"/>
  <c r="AA22" i="10"/>
  <c r="CG73" i="3"/>
  <c r="BA183" i="6"/>
  <c r="U183" i="6"/>
  <c r="CW62" i="7"/>
  <c r="T71" i="10"/>
  <c r="U70" i="10"/>
  <c r="J203" i="8"/>
  <c r="AY83" i="6"/>
  <c r="AZ83" i="6" s="1"/>
  <c r="W108" i="8"/>
  <c r="AV331" i="30"/>
  <c r="S109" i="30"/>
  <c r="W112" i="30"/>
  <c r="F164" i="6"/>
  <c r="D183" i="6"/>
  <c r="H183" i="6" s="1"/>
  <c r="P183" i="6" s="1"/>
  <c r="CV22" i="7"/>
  <c r="F181" i="16" s="1"/>
  <c r="CV42" i="7"/>
  <c r="AB158" i="65" s="1"/>
  <c r="AF158" i="65" s="1"/>
  <c r="AH158" i="65" s="1"/>
  <c r="CW72" i="7"/>
  <c r="AG8" i="42"/>
  <c r="AH22" i="42" s="1"/>
  <c r="CW102" i="7"/>
  <c r="CX42" i="7"/>
  <c r="AG7" i="42"/>
  <c r="D180" i="16"/>
  <c r="L180" i="16" s="1"/>
  <c r="CW61" i="7"/>
  <c r="CW11" i="7"/>
  <c r="CV21" i="7"/>
  <c r="CW101" i="7"/>
  <c r="CW71" i="7"/>
  <c r="CV41" i="7"/>
  <c r="CV15" i="7"/>
  <c r="CV16" i="7"/>
  <c r="AH20" i="42"/>
  <c r="AH13" i="42"/>
  <c r="AI13" i="42" s="1"/>
  <c r="AI6" i="42"/>
  <c r="AI24" i="30"/>
  <c r="K7" i="8" s="1"/>
  <c r="K11" i="8" s="1"/>
  <c r="AY127" i="6"/>
  <c r="CS103" i="7"/>
  <c r="L62" i="8"/>
  <c r="L59" i="8"/>
  <c r="O8" i="8"/>
  <c r="S17" i="30"/>
  <c r="AI17" i="30" s="1"/>
  <c r="J7" i="8" s="1"/>
  <c r="J9" i="8"/>
  <c r="K10" i="8" s="1"/>
  <c r="N11" i="8"/>
  <c r="N106" i="6"/>
  <c r="N113" i="6"/>
  <c r="AD92" i="6"/>
  <c r="AD99" i="6"/>
  <c r="P11" i="8"/>
  <c r="P8" i="8"/>
  <c r="D24" i="30"/>
  <c r="H24" i="30" s="1"/>
  <c r="K62" i="8"/>
  <c r="N127" i="6"/>
  <c r="N134" i="6"/>
  <c r="Y208" i="8"/>
  <c r="Y205" i="8"/>
  <c r="Q152" i="65"/>
  <c r="Z205" i="8"/>
  <c r="AA204" i="8"/>
  <c r="M86" i="48"/>
  <c r="Z112" i="48"/>
  <c r="AA76" i="48"/>
  <c r="Z11" i="48"/>
  <c r="H84" i="48"/>
  <c r="P74" i="48"/>
  <c r="P110" i="48" s="1"/>
  <c r="P147" i="48" s="1"/>
  <c r="O9" i="48"/>
  <c r="O119" i="48"/>
  <c r="K86" i="48"/>
  <c r="M121" i="48" s="1"/>
  <c r="M120" i="48"/>
  <c r="Z116" i="48"/>
  <c r="AA80" i="48"/>
  <c r="L84" i="48"/>
  <c r="L85" i="48"/>
  <c r="L121" i="48" s="1"/>
  <c r="T86" i="48"/>
  <c r="T85" i="48"/>
  <c r="R120" i="48"/>
  <c r="P84" i="48"/>
  <c r="B134" i="48"/>
  <c r="C134" i="48"/>
  <c r="X118" i="48"/>
  <c r="Y82" i="48"/>
  <c r="J120" i="48"/>
  <c r="O86" i="48"/>
  <c r="H119" i="48"/>
  <c r="I118" i="48"/>
  <c r="P119" i="48"/>
  <c r="Q118" i="48"/>
  <c r="S120" i="48"/>
  <c r="S85" i="48"/>
  <c r="V120" i="48"/>
  <c r="W84" i="48"/>
  <c r="V86" i="48"/>
  <c r="V85" i="48"/>
  <c r="V87" i="48"/>
  <c r="W119" i="48"/>
  <c r="X83" i="48"/>
  <c r="I86" i="48"/>
  <c r="N85" i="48"/>
  <c r="N86" i="48" s="1"/>
  <c r="R86" i="48"/>
  <c r="Y115" i="48"/>
  <c r="Z79" i="48"/>
  <c r="V74" i="48"/>
  <c r="V110" i="48" s="1"/>
  <c r="V147" i="48" s="1"/>
  <c r="W9" i="48"/>
  <c r="O87" i="48"/>
  <c r="AA114" i="48"/>
  <c r="AB78" i="48"/>
  <c r="U87" i="48"/>
  <c r="I87" i="48"/>
  <c r="N120" i="48"/>
  <c r="Y31" i="48"/>
  <c r="H85" i="48"/>
  <c r="P85" i="48"/>
  <c r="P121" i="48" s="1"/>
  <c r="S86" i="48"/>
  <c r="M87" i="48"/>
  <c r="Y113" i="48"/>
  <c r="Z77" i="48"/>
  <c r="J89" i="48"/>
  <c r="T120" i="48"/>
  <c r="U119" i="48"/>
  <c r="T119" i="48"/>
  <c r="U118" i="48"/>
  <c r="I88" i="48"/>
  <c r="Q86" i="48"/>
  <c r="Y117" i="48"/>
  <c r="Z81" i="48"/>
  <c r="Z114" i="48"/>
  <c r="AH85" i="16"/>
  <c r="AH64" i="16"/>
  <c r="BB66" i="3"/>
  <c r="BF66" i="3"/>
  <c r="R71" i="16"/>
  <c r="AB66" i="3" s="1"/>
  <c r="R120" i="16"/>
  <c r="BA66" i="3" s="1"/>
  <c r="AH141" i="16"/>
  <c r="R141" i="16"/>
  <c r="AH148" i="16"/>
  <c r="R148" i="16"/>
  <c r="R134" i="16"/>
  <c r="AH134" i="16"/>
  <c r="R162" i="16"/>
  <c r="AH162" i="16"/>
  <c r="AH169" i="16"/>
  <c r="R169" i="16"/>
  <c r="AH155" i="16"/>
  <c r="R155" i="16"/>
  <c r="AD7" i="15"/>
  <c r="P6" i="14"/>
  <c r="AH72" i="13"/>
  <c r="AF68" i="13"/>
  <c r="AF69" i="13" s="1"/>
  <c r="AC85" i="12"/>
  <c r="AA86" i="12"/>
  <c r="BE75" i="12"/>
  <c r="AI84" i="12"/>
  <c r="AQ41" i="12"/>
  <c r="AO46" i="12"/>
  <c r="AO48" i="12" s="1"/>
  <c r="AO58" i="12" s="1"/>
  <c r="BE77" i="12"/>
  <c r="BG51" i="12"/>
  <c r="BC46" i="12"/>
  <c r="BE42" i="12"/>
  <c r="BB41" i="13" s="1"/>
  <c r="AQ53" i="11"/>
  <c r="AQ14" i="11"/>
  <c r="AC53" i="11"/>
  <c r="Y58" i="11"/>
  <c r="X57" i="11"/>
  <c r="BK19" i="11"/>
  <c r="BK23" i="11" s="1"/>
  <c r="J151" i="30"/>
  <c r="AS19" i="11"/>
  <c r="AO24" i="11"/>
  <c r="AN23" i="11"/>
  <c r="G80" i="8"/>
  <c r="BQ33" i="11"/>
  <c r="K81" i="8"/>
  <c r="K77" i="8"/>
  <c r="BI23" i="11"/>
  <c r="BH19" i="11"/>
  <c r="BX50" i="11"/>
  <c r="CC46" i="11"/>
  <c r="P280" i="8"/>
  <c r="CW10" i="11"/>
  <c r="CW54" i="11" s="1"/>
  <c r="CV54" i="11" s="1"/>
  <c r="V234" i="8" s="1"/>
  <c r="V235" i="8" s="1"/>
  <c r="V41" i="8"/>
  <c r="CZ10" i="11"/>
  <c r="BG28" i="11"/>
  <c r="J246" i="30"/>
  <c r="BD33" i="11"/>
  <c r="AB148" i="30"/>
  <c r="AD145" i="30"/>
  <c r="AB144" i="30"/>
  <c r="AD144" i="30"/>
  <c r="B228" i="8"/>
  <c r="B27" i="8"/>
  <c r="B36" i="8" s="1"/>
  <c r="B31" i="8"/>
  <c r="BM43" i="11"/>
  <c r="BQ38" i="11"/>
  <c r="BQ42" i="11" s="1"/>
  <c r="Z364" i="30"/>
  <c r="M177" i="8"/>
  <c r="K114" i="30"/>
  <c r="K118" i="30"/>
  <c r="L114" i="30"/>
  <c r="L118" i="30"/>
  <c r="M130" i="8"/>
  <c r="M126" i="8"/>
  <c r="H393" i="30"/>
  <c r="DQ29" i="11"/>
  <c r="DT29" i="11"/>
  <c r="AA140" i="8"/>
  <c r="Y14" i="11"/>
  <c r="X9" i="11"/>
  <c r="AW34" i="11"/>
  <c r="BA28" i="11"/>
  <c r="AV33" i="11"/>
  <c r="I129" i="8"/>
  <c r="L148" i="30"/>
  <c r="L144" i="30"/>
  <c r="U235" i="8"/>
  <c r="AB264" i="30"/>
  <c r="AK264" i="30" s="1"/>
  <c r="AB260" i="30"/>
  <c r="AB261" i="30" s="1"/>
  <c r="AD260" i="30"/>
  <c r="AD261" i="30"/>
  <c r="Q17" i="42"/>
  <c r="O17" i="42"/>
  <c r="T17" i="42"/>
  <c r="Q23" i="42"/>
  <c r="P24" i="42"/>
  <c r="O23" i="42"/>
  <c r="T23" i="42"/>
  <c r="K25" i="42"/>
  <c r="X20" i="8"/>
  <c r="W24" i="8"/>
  <c r="I121" i="8"/>
  <c r="F74" i="8"/>
  <c r="F77" i="8"/>
  <c r="L20" i="6"/>
  <c r="L16" i="6"/>
  <c r="R270" i="8"/>
  <c r="R271" i="8" s="1"/>
  <c r="C21" i="8"/>
  <c r="C20" i="8"/>
  <c r="N168" i="8"/>
  <c r="O163" i="8"/>
  <c r="O167" i="8" s="1"/>
  <c r="K115" i="8"/>
  <c r="K119" i="8" s="1"/>
  <c r="J120" i="8"/>
  <c r="DA69" i="3"/>
  <c r="J132" i="8"/>
  <c r="G71" i="8"/>
  <c r="H66" i="8"/>
  <c r="H70" i="8" s="1"/>
  <c r="CX68" i="3"/>
  <c r="G83" i="8"/>
  <c r="G84" i="8" s="1"/>
  <c r="L142" i="8"/>
  <c r="C219" i="8"/>
  <c r="D209" i="8"/>
  <c r="D218" i="8" s="1"/>
  <c r="J23" i="6"/>
  <c r="CT66" i="3"/>
  <c r="CT82" i="3" s="1"/>
  <c r="E200" i="8"/>
  <c r="E256" i="8" s="1"/>
  <c r="E56" i="8"/>
  <c r="E104" i="8"/>
  <c r="E153" i="8"/>
  <c r="F5" i="8"/>
  <c r="Q275" i="8"/>
  <c r="H135" i="8"/>
  <c r="H123" i="8"/>
  <c r="H11" i="8"/>
  <c r="H7" i="8"/>
  <c r="W238" i="8"/>
  <c r="X238" i="8"/>
  <c r="Q43" i="10"/>
  <c r="H58" i="10"/>
  <c r="H55" i="10"/>
  <c r="H50" i="10"/>
  <c r="H46" i="10"/>
  <c r="M45" i="10"/>
  <c r="AA72" i="12" s="1"/>
  <c r="AA78" i="12" s="1"/>
  <c r="M40" i="10"/>
  <c r="M43" i="10"/>
  <c r="W24" i="10"/>
  <c r="V25" i="10"/>
  <c r="C45" i="10"/>
  <c r="C40" i="10"/>
  <c r="C43" i="10"/>
  <c r="T55" i="10"/>
  <c r="T58" i="10"/>
  <c r="T50" i="10"/>
  <c r="T46" i="10"/>
  <c r="R45" i="10"/>
  <c r="R40" i="10"/>
  <c r="R43" i="10"/>
  <c r="F43" i="10"/>
  <c r="F45" i="10"/>
  <c r="F40" i="10"/>
  <c r="D45" i="10"/>
  <c r="D40" i="10"/>
  <c r="D43" i="10"/>
  <c r="B45" i="10"/>
  <c r="B40" i="10"/>
  <c r="B43" i="10"/>
  <c r="E45" i="10"/>
  <c r="E40" i="10"/>
  <c r="E43" i="10"/>
  <c r="I45" i="10"/>
  <c r="I40" i="10"/>
  <c r="I43" i="10"/>
  <c r="I24" i="10" s="1"/>
  <c r="I25" i="10" s="1"/>
  <c r="P43" i="10"/>
  <c r="P40" i="10"/>
  <c r="P45" i="10"/>
  <c r="W45" i="10"/>
  <c r="AO72" i="12" s="1"/>
  <c r="AO78" i="12" s="1"/>
  <c r="W40" i="10"/>
  <c r="W43" i="10"/>
  <c r="N55" i="10"/>
  <c r="N46" i="10"/>
  <c r="N50" i="10"/>
  <c r="BY114" i="7"/>
  <c r="BY124" i="7"/>
  <c r="H153" i="7"/>
  <c r="M153" i="7" s="1"/>
  <c r="M133" i="7"/>
  <c r="CT73" i="7"/>
  <c r="CP73" i="7"/>
  <c r="CO73" i="7"/>
  <c r="BS58" i="3"/>
  <c r="BS46" i="3"/>
  <c r="AR131" i="7"/>
  <c r="AS121" i="7"/>
  <c r="AS111" i="7"/>
  <c r="AX111" i="7"/>
  <c r="AS82" i="7"/>
  <c r="AX82" i="7"/>
  <c r="AR112" i="7"/>
  <c r="AG115" i="7"/>
  <c r="AG125" i="7"/>
  <c r="Y150" i="7"/>
  <c r="C62" i="3" s="1"/>
  <c r="T155" i="7"/>
  <c r="X155" i="7"/>
  <c r="X156" i="7"/>
  <c r="BQ121" i="7"/>
  <c r="P151" i="7"/>
  <c r="U151" i="7" s="1"/>
  <c r="U131" i="7"/>
  <c r="Q131" i="7"/>
  <c r="AP54" i="7"/>
  <c r="AO54" i="7"/>
  <c r="DZ56" i="7" s="1"/>
  <c r="BZ84" i="7"/>
  <c r="BU84" i="7"/>
  <c r="AI110" i="65"/>
  <c r="BL173" i="7"/>
  <c r="BQ173" i="7" s="1"/>
  <c r="BL152" i="7"/>
  <c r="BQ152" i="7" s="1"/>
  <c r="BQ132" i="7"/>
  <c r="BL142" i="7"/>
  <c r="BL185" i="7" s="1"/>
  <c r="BQ185" i="7" s="1"/>
  <c r="BZ64" i="7"/>
  <c r="BY64" i="7"/>
  <c r="CV221" i="7"/>
  <c r="CH56" i="7"/>
  <c r="CG56" i="7"/>
  <c r="AJ132" i="7"/>
  <c r="AK122" i="7"/>
  <c r="AP112" i="7"/>
  <c r="AK112" i="7"/>
  <c r="AL112" i="7"/>
  <c r="CK56" i="7"/>
  <c r="CL56" i="7"/>
  <c r="BE86" i="7"/>
  <c r="BJ86" i="7"/>
  <c r="CN186" i="7"/>
  <c r="CN174" i="7"/>
  <c r="CN153" i="7"/>
  <c r="CN143" i="7"/>
  <c r="R116" i="7"/>
  <c r="M116" i="7"/>
  <c r="M126" i="7"/>
  <c r="M114" i="7"/>
  <c r="R114" i="7"/>
  <c r="M124" i="7"/>
  <c r="BB74" i="7"/>
  <c r="BA74" i="7"/>
  <c r="BF74" i="7"/>
  <c r="BF114" i="7"/>
  <c r="BA114" i="7"/>
  <c r="BA124" i="7"/>
  <c r="BF116" i="7"/>
  <c r="BA116" i="7"/>
  <c r="BA126" i="7"/>
  <c r="BI172" i="7"/>
  <c r="CR184" i="7"/>
  <c r="CW184" i="7" s="1"/>
  <c r="CR172" i="7"/>
  <c r="CW172" i="7" s="1"/>
  <c r="CR151" i="7"/>
  <c r="CW151" i="7" s="1"/>
  <c r="CR141" i="7"/>
  <c r="CW131" i="7"/>
  <c r="P136" i="7"/>
  <c r="U136" i="7" s="1"/>
  <c r="BI116" i="7"/>
  <c r="BI126" i="7"/>
  <c r="BI114" i="7"/>
  <c r="BI124" i="7"/>
  <c r="AC184" i="7"/>
  <c r="CF73" i="7"/>
  <c r="CF74" i="7" s="1"/>
  <c r="BX17" i="3"/>
  <c r="BX41" i="3" s="1"/>
  <c r="CV198" i="7"/>
  <c r="CP56" i="7"/>
  <c r="Y46" i="3"/>
  <c r="Y58" i="3"/>
  <c r="AD58" i="3"/>
  <c r="CF111" i="7"/>
  <c r="CG81" i="7"/>
  <c r="CL81" i="7"/>
  <c r="CH81" i="7"/>
  <c r="CF84" i="7"/>
  <c r="CF85" i="7"/>
  <c r="CF86" i="7"/>
  <c r="AH116" i="7"/>
  <c r="AC116" i="7"/>
  <c r="AC126" i="7"/>
  <c r="AB183" i="7"/>
  <c r="AB150" i="7"/>
  <c r="AB135" i="7"/>
  <c r="AG135" i="7" s="1"/>
  <c r="AB136" i="7"/>
  <c r="AG136" i="7" s="1"/>
  <c r="AB134" i="7"/>
  <c r="AG130" i="7"/>
  <c r="BJ115" i="7"/>
  <c r="BE115" i="7"/>
  <c r="BE125" i="7"/>
  <c r="BB76" i="7"/>
  <c r="BA76" i="7"/>
  <c r="CB184" i="7"/>
  <c r="CB151" i="7"/>
  <c r="CB141" i="7"/>
  <c r="CB172" i="7"/>
  <c r="T154" i="7"/>
  <c r="Y134" i="7"/>
  <c r="Z114" i="7"/>
  <c r="U114" i="7"/>
  <c r="U124" i="7"/>
  <c r="AC185" i="7"/>
  <c r="AG185" i="7"/>
  <c r="AC135" i="7"/>
  <c r="CV214" i="7"/>
  <c r="CV215" i="7" s="1"/>
  <c r="CV216" i="7" s="1"/>
  <c r="CN184" i="7"/>
  <c r="CS184" i="7" s="1"/>
  <c r="CN172" i="7"/>
  <c r="CS172" i="7" s="1"/>
  <c r="CN141" i="7"/>
  <c r="CN151" i="7"/>
  <c r="CS151" i="7" s="1"/>
  <c r="CS131" i="7"/>
  <c r="AK85" i="7"/>
  <c r="AL85" i="7"/>
  <c r="X58" i="3"/>
  <c r="S58" i="3"/>
  <c r="S46" i="3"/>
  <c r="CC56" i="7"/>
  <c r="CD56" i="7"/>
  <c r="BM86" i="7"/>
  <c r="CR132" i="7"/>
  <c r="CS122" i="7"/>
  <c r="CS112" i="7"/>
  <c r="Q151" i="7"/>
  <c r="BX184" i="7"/>
  <c r="BX151" i="7"/>
  <c r="BY151" i="7" s="1"/>
  <c r="BX141" i="7"/>
  <c r="CC131" i="7"/>
  <c r="AZ133" i="7"/>
  <c r="BA123" i="7"/>
  <c r="BA113" i="7"/>
  <c r="BF113" i="7"/>
  <c r="BB113" i="7"/>
  <c r="CJ184" i="7"/>
  <c r="CJ172" i="7"/>
  <c r="CJ151" i="7"/>
  <c r="CO131" i="7"/>
  <c r="CJ141" i="7"/>
  <c r="BB86" i="7"/>
  <c r="AW86" i="7"/>
  <c r="AV130" i="7"/>
  <c r="AW120" i="7"/>
  <c r="BB110" i="7"/>
  <c r="AV115" i="7"/>
  <c r="AV116" i="7"/>
  <c r="AW110" i="7"/>
  <c r="AV114" i="7"/>
  <c r="BX132" i="7"/>
  <c r="BY132" i="7" s="1"/>
  <c r="BY122" i="7"/>
  <c r="CD112" i="7"/>
  <c r="BY112" i="7"/>
  <c r="BM173" i="7"/>
  <c r="BA73" i="7"/>
  <c r="BB73" i="7"/>
  <c r="AJ17" i="3"/>
  <c r="AJ41" i="3" s="1"/>
  <c r="BF73" i="7"/>
  <c r="AN132" i="7"/>
  <c r="AO122" i="7"/>
  <c r="AT112" i="7"/>
  <c r="AO112" i="7"/>
  <c r="AR133" i="7"/>
  <c r="AS123" i="7"/>
  <c r="AX113" i="7"/>
  <c r="AS113" i="7"/>
  <c r="BZ112" i="7"/>
  <c r="CX86" i="7"/>
  <c r="CS86" i="7"/>
  <c r="AV132" i="7"/>
  <c r="AW112" i="7"/>
  <c r="BB112" i="7"/>
  <c r="AW122" i="7"/>
  <c r="BU86" i="7"/>
  <c r="BZ86" i="7"/>
  <c r="BT130" i="7"/>
  <c r="BU120" i="7"/>
  <c r="BU110" i="7"/>
  <c r="BT115" i="7"/>
  <c r="BZ110" i="7"/>
  <c r="BT116" i="7"/>
  <c r="BT114" i="7"/>
  <c r="BV84" i="7"/>
  <c r="M150" i="7"/>
  <c r="H155" i="7"/>
  <c r="M155" i="7" s="1"/>
  <c r="H156" i="7"/>
  <c r="M156" i="7" s="1"/>
  <c r="CD73" i="7"/>
  <c r="BZ73" i="7"/>
  <c r="BY73" i="7"/>
  <c r="CH72" i="7"/>
  <c r="CG72" i="7"/>
  <c r="CF76" i="7"/>
  <c r="CL72" i="7"/>
  <c r="CK86" i="7"/>
  <c r="CP86" i="7"/>
  <c r="CL55" i="7"/>
  <c r="CK55" i="7"/>
  <c r="AR110" i="7"/>
  <c r="AR85" i="7"/>
  <c r="AR84" i="7"/>
  <c r="AS80" i="7"/>
  <c r="AR86" i="7"/>
  <c r="AX80" i="7"/>
  <c r="CF183" i="7"/>
  <c r="CF171" i="7"/>
  <c r="CF150" i="7"/>
  <c r="CF140" i="7"/>
  <c r="CK130" i="7"/>
  <c r="AC186" i="7"/>
  <c r="CN134" i="7"/>
  <c r="CT114" i="7"/>
  <c r="CO114" i="7"/>
  <c r="CO124" i="7"/>
  <c r="AN133" i="7"/>
  <c r="AO123" i="7"/>
  <c r="AO113" i="7"/>
  <c r="AT113" i="7"/>
  <c r="AX73" i="7"/>
  <c r="AT73" i="7"/>
  <c r="AS73" i="7"/>
  <c r="Z17" i="3"/>
  <c r="CP72" i="7"/>
  <c r="CO72" i="7"/>
  <c r="CT72" i="7"/>
  <c r="CN74" i="7"/>
  <c r="CN76" i="7"/>
  <c r="AK84" i="7"/>
  <c r="AN111" i="7"/>
  <c r="AT81" i="7"/>
  <c r="AO81" i="7"/>
  <c r="CD55" i="7"/>
  <c r="CC55" i="7"/>
  <c r="BL133" i="7"/>
  <c r="BM123" i="7"/>
  <c r="BR113" i="7"/>
  <c r="BM113" i="7"/>
  <c r="CP55" i="7"/>
  <c r="CB132" i="7"/>
  <c r="CH112" i="7"/>
  <c r="CC122" i="7"/>
  <c r="CC112" i="7"/>
  <c r="AX66" i="7"/>
  <c r="AW66" i="7"/>
  <c r="BB66" i="7"/>
  <c r="CP85" i="7"/>
  <c r="CK85" i="7"/>
  <c r="CH73" i="3"/>
  <c r="BQ64" i="7"/>
  <c r="BR64" i="7"/>
  <c r="BZ58" i="3"/>
  <c r="CE58" i="3"/>
  <c r="BZ46" i="3"/>
  <c r="CE74" i="3" s="1"/>
  <c r="BZ20" i="3"/>
  <c r="AT56" i="7"/>
  <c r="AS56" i="7"/>
  <c r="AX56" i="7"/>
  <c r="AR74" i="7"/>
  <c r="AZ183" i="7"/>
  <c r="AZ150" i="7"/>
  <c r="BE130" i="7"/>
  <c r="AZ171" i="7"/>
  <c r="BB65" i="7"/>
  <c r="AX65" i="7"/>
  <c r="AW65" i="7"/>
  <c r="BJ76" i="7"/>
  <c r="BI76" i="7"/>
  <c r="P135" i="7"/>
  <c r="U135" i="7" s="1"/>
  <c r="CT115" i="7"/>
  <c r="CO125" i="7"/>
  <c r="CO115" i="7"/>
  <c r="D184" i="7"/>
  <c r="I151" i="7"/>
  <c r="CO37" i="3" a="1"/>
  <c r="CV199" i="7"/>
  <c r="BE124" i="7"/>
  <c r="BE114" i="7"/>
  <c r="BJ114" i="7"/>
  <c r="BD132" i="7"/>
  <c r="BE122" i="7"/>
  <c r="BJ112" i="7"/>
  <c r="BE112" i="7"/>
  <c r="BF112" i="7"/>
  <c r="Y136" i="7"/>
  <c r="BN86" i="7"/>
  <c r="X154" i="7"/>
  <c r="AD116" i="7"/>
  <c r="BZ72" i="7"/>
  <c r="BY72" i="7"/>
  <c r="CD72" i="7"/>
  <c r="BX74" i="7"/>
  <c r="BX76" i="7"/>
  <c r="CN132" i="7"/>
  <c r="CT112" i="7"/>
  <c r="CO112" i="7"/>
  <c r="CO122" i="7"/>
  <c r="CO64" i="7"/>
  <c r="CP64" i="7"/>
  <c r="BP20" i="3"/>
  <c r="BU61" i="3" s="1"/>
  <c r="BP58" i="3"/>
  <c r="BU58" i="3"/>
  <c r="BP46" i="3"/>
  <c r="BM84" i="7"/>
  <c r="BR84" i="7"/>
  <c r="BL130" i="7"/>
  <c r="BR110" i="7"/>
  <c r="BL115" i="7"/>
  <c r="BM120" i="7"/>
  <c r="BL114" i="7"/>
  <c r="BM110" i="7"/>
  <c r="BL116" i="7"/>
  <c r="BN116" i="7" s="1"/>
  <c r="BP133" i="7"/>
  <c r="BQ113" i="7"/>
  <c r="BQ123" i="7"/>
  <c r="BV113" i="7"/>
  <c r="AW84" i="7"/>
  <c r="BB84" i="7"/>
  <c r="BH185" i="7"/>
  <c r="BM185" i="7" s="1"/>
  <c r="BM142" i="7"/>
  <c r="BP183" i="7"/>
  <c r="BP171" i="7"/>
  <c r="BP150" i="7"/>
  <c r="BP140" i="7"/>
  <c r="BU130" i="7"/>
  <c r="BV64" i="7"/>
  <c r="D185" i="7"/>
  <c r="I152" i="7"/>
  <c r="V114" i="7"/>
  <c r="T153" i="7"/>
  <c r="U153" i="7" s="1"/>
  <c r="Y133" i="7"/>
  <c r="I133" i="7"/>
  <c r="AP81" i="7"/>
  <c r="AT82" i="7"/>
  <c r="BT185" i="7"/>
  <c r="BT173" i="7"/>
  <c r="BU173" i="7" s="1"/>
  <c r="BT152" i="7"/>
  <c r="BU152" i="7" s="1"/>
  <c r="BT142" i="7"/>
  <c r="AO56" i="7"/>
  <c r="AP56" i="7"/>
  <c r="CR130" i="7"/>
  <c r="CS110" i="7"/>
  <c r="CX110" i="7"/>
  <c r="CR116" i="7"/>
  <c r="CS120" i="7"/>
  <c r="CR115" i="7"/>
  <c r="BH151" i="7"/>
  <c r="BM151" i="7" s="1"/>
  <c r="BH172" i="7"/>
  <c r="BM172" i="7" s="1"/>
  <c r="BH141" i="7"/>
  <c r="BM131" i="7"/>
  <c r="BF76" i="7"/>
  <c r="T152" i="7"/>
  <c r="Y152" i="7" s="1"/>
  <c r="E62" i="3" s="1"/>
  <c r="Y132" i="7"/>
  <c r="X153" i="7"/>
  <c r="AC153" i="7" s="1"/>
  <c r="AC133" i="7"/>
  <c r="D183" i="7"/>
  <c r="D155" i="7"/>
  <c r="I155" i="7" s="1"/>
  <c r="I150" i="7"/>
  <c r="D156" i="7"/>
  <c r="I156" i="7" s="1"/>
  <c r="CR205" i="7"/>
  <c r="CR206" i="7" s="1"/>
  <c r="CR207" i="7" s="1"/>
  <c r="CV204" i="7" s="1"/>
  <c r="BP73" i="7"/>
  <c r="BP74" i="7" s="1"/>
  <c r="BD17" i="3"/>
  <c r="CY20" i="7"/>
  <c r="CP84" i="7"/>
  <c r="CK84" i="7"/>
  <c r="AI139" i="65"/>
  <c r="AS55" i="7"/>
  <c r="AT55" i="7"/>
  <c r="BA125" i="7"/>
  <c r="BF115" i="7"/>
  <c r="BA115" i="7"/>
  <c r="BX183" i="7"/>
  <c r="BX150" i="7"/>
  <c r="CC130" i="7"/>
  <c r="BX140" i="7"/>
  <c r="BX135" i="7"/>
  <c r="CC135" i="7" s="1"/>
  <c r="CN183" i="7"/>
  <c r="CS183" i="7" s="1"/>
  <c r="CN171" i="7"/>
  <c r="CN150" i="7"/>
  <c r="CS130" i="7"/>
  <c r="CN140" i="7"/>
  <c r="CN135" i="7"/>
  <c r="BI115" i="7"/>
  <c r="BI125" i="7"/>
  <c r="BN115" i="7"/>
  <c r="BD183" i="7"/>
  <c r="BD171" i="7"/>
  <c r="BD150" i="7"/>
  <c r="BD136" i="7"/>
  <c r="BD134" i="7"/>
  <c r="BI130" i="7"/>
  <c r="BD135" i="7"/>
  <c r="BI135" i="7" s="1"/>
  <c r="AT76" i="7"/>
  <c r="AS76" i="7"/>
  <c r="AJ130" i="7"/>
  <c r="AK120" i="7"/>
  <c r="AJ116" i="7"/>
  <c r="AJ114" i="7"/>
  <c r="AK110" i="7"/>
  <c r="AJ115" i="7"/>
  <c r="AL110" i="7"/>
  <c r="CB110" i="7"/>
  <c r="CC80" i="7"/>
  <c r="CH80" i="7"/>
  <c r="CB85" i="7"/>
  <c r="CB84" i="7"/>
  <c r="CB86" i="7"/>
  <c r="BX133" i="7"/>
  <c r="BX134" i="7" s="1"/>
  <c r="BY123" i="7"/>
  <c r="BY113" i="7"/>
  <c r="Q153" i="7"/>
  <c r="AN86" i="7"/>
  <c r="AN84" i="7"/>
  <c r="AP84" i="7" s="1"/>
  <c r="AN110" i="7"/>
  <c r="AP110" i="7" s="1"/>
  <c r="AT80" i="7"/>
  <c r="AO80" i="7"/>
  <c r="AN85" i="7"/>
  <c r="AP85" i="7" s="1"/>
  <c r="H134" i="7"/>
  <c r="G72" i="12" s="1"/>
  <c r="G78" i="12" s="1"/>
  <c r="CJ130" i="7"/>
  <c r="CP110" i="7"/>
  <c r="CJ115" i="7"/>
  <c r="CJ116" i="7"/>
  <c r="CJ114" i="7"/>
  <c r="CK110" i="7"/>
  <c r="CK120" i="7"/>
  <c r="BS20" i="3"/>
  <c r="BS61" i="3" s="1"/>
  <c r="AJ133" i="7"/>
  <c r="AK123" i="7"/>
  <c r="AK113" i="7"/>
  <c r="AP113" i="7"/>
  <c r="CF132" i="7"/>
  <c r="CG122" i="7"/>
  <c r="CG112" i="7"/>
  <c r="CL112" i="7"/>
  <c r="CK54" i="7"/>
  <c r="CK57" i="7" s="1"/>
  <c r="CL54" i="7"/>
  <c r="W46" i="3"/>
  <c r="AB58" i="3"/>
  <c r="W20" i="3"/>
  <c r="W58" i="3"/>
  <c r="AT54" i="7"/>
  <c r="AS54" i="7"/>
  <c r="M115" i="7"/>
  <c r="M125" i="7"/>
  <c r="R115" i="7"/>
  <c r="L150" i="7"/>
  <c r="L136" i="7"/>
  <c r="Q136" i="7" s="1"/>
  <c r="L134" i="7"/>
  <c r="Q130" i="7"/>
  <c r="L135" i="7"/>
  <c r="Q135" i="7" s="1"/>
  <c r="BX46" i="3"/>
  <c r="CC58" i="3"/>
  <c r="BX58" i="3"/>
  <c r="CF113" i="7"/>
  <c r="CL83" i="7"/>
  <c r="CG83" i="7"/>
  <c r="BJ64" i="7"/>
  <c r="BI64" i="7"/>
  <c r="P134" i="7"/>
  <c r="U150" i="7"/>
  <c r="P155" i="7"/>
  <c r="U155" i="7" s="1"/>
  <c r="P156" i="7"/>
  <c r="CD115" i="7"/>
  <c r="BY115" i="7"/>
  <c r="BY125" i="7"/>
  <c r="BY116" i="7"/>
  <c r="BY126" i="7"/>
  <c r="CO116" i="7"/>
  <c r="CT116" i="7"/>
  <c r="CO126" i="7"/>
  <c r="BH171" i="7"/>
  <c r="BH150" i="7"/>
  <c r="BH140" i="7"/>
  <c r="BH135" i="7"/>
  <c r="BH136" i="7"/>
  <c r="BH134" i="7"/>
  <c r="CV197" i="7"/>
  <c r="AC61" i="10" s="1"/>
  <c r="CB113" i="7"/>
  <c r="CH83" i="7"/>
  <c r="CC83" i="7"/>
  <c r="CY56" i="7"/>
  <c r="BV58" i="3"/>
  <c r="BV46" i="3"/>
  <c r="CA58" i="3"/>
  <c r="AC125" i="7"/>
  <c r="AC115" i="7"/>
  <c r="AH115" i="7"/>
  <c r="AD115" i="7"/>
  <c r="AC114" i="7"/>
  <c r="AH114" i="7"/>
  <c r="AC124" i="7"/>
  <c r="BJ116" i="7"/>
  <c r="BE126" i="7"/>
  <c r="BE116" i="7"/>
  <c r="AZ131" i="7"/>
  <c r="AZ135" i="7" s="1"/>
  <c r="BA121" i="7"/>
  <c r="BF111" i="7"/>
  <c r="BA111" i="7"/>
  <c r="BB111" i="7"/>
  <c r="CD64" i="7"/>
  <c r="U152" i="7"/>
  <c r="BH133" i="7"/>
  <c r="BI123" i="7"/>
  <c r="BN113" i="7"/>
  <c r="BI113" i="7"/>
  <c r="BJ113" i="7"/>
  <c r="CJ133" i="7"/>
  <c r="CP113" i="7"/>
  <c r="CK113" i="7"/>
  <c r="CK123" i="7"/>
  <c r="AK86" i="7"/>
  <c r="AP86" i="7"/>
  <c r="CC54" i="7"/>
  <c r="CC57" i="7" s="1"/>
  <c r="CD54" i="7"/>
  <c r="BT133" i="7"/>
  <c r="BU123" i="7"/>
  <c r="BZ113" i="7"/>
  <c r="BU113" i="7"/>
  <c r="BM85" i="7"/>
  <c r="BR85" i="7"/>
  <c r="AG116" i="7"/>
  <c r="AG126" i="7"/>
  <c r="AL116" i="7"/>
  <c r="CH55" i="7"/>
  <c r="AF184" i="7"/>
  <c r="AF189" i="7" s="1"/>
  <c r="AF151" i="7"/>
  <c r="AW85" i="7"/>
  <c r="BB85" i="7"/>
  <c r="AC152" i="7"/>
  <c r="CW91" i="7"/>
  <c r="CV92" i="7"/>
  <c r="D186" i="7"/>
  <c r="I153" i="7"/>
  <c r="AD114" i="7"/>
  <c r="AJ131" i="7"/>
  <c r="AK131" i="7" s="1"/>
  <c r="AK121" i="7"/>
  <c r="AP111" i="7"/>
  <c r="AK111" i="7"/>
  <c r="R20" i="3"/>
  <c r="R58" i="3"/>
  <c r="R46" i="3"/>
  <c r="AO55" i="7"/>
  <c r="AP55" i="7"/>
  <c r="BY184" i="7"/>
  <c r="CX85" i="7"/>
  <c r="CS85" i="7"/>
  <c r="BU85" i="7"/>
  <c r="BZ85" i="7"/>
  <c r="D154" i="7"/>
  <c r="I134" i="7"/>
  <c r="M152" i="7"/>
  <c r="CO57" i="7"/>
  <c r="AF186" i="7"/>
  <c r="AG186" i="7" s="1"/>
  <c r="AF153" i="7"/>
  <c r="AG153" i="7" s="1"/>
  <c r="AK133" i="7"/>
  <c r="N114" i="7"/>
  <c r="BV85" i="7"/>
  <c r="BR72" i="7"/>
  <c r="BQ72" i="7"/>
  <c r="BP76" i="7"/>
  <c r="BV72" i="7"/>
  <c r="CG57" i="7"/>
  <c r="Z118" i="65"/>
  <c r="X118" i="65"/>
  <c r="X101" i="65"/>
  <c r="Z101" i="65"/>
  <c r="AI106" i="6"/>
  <c r="AK106" i="6" s="1"/>
  <c r="AM106" i="6" s="1"/>
  <c r="D106" i="6"/>
  <c r="H106" i="6" s="1"/>
  <c r="U106" i="6"/>
  <c r="W106" i="6" s="1"/>
  <c r="BA106" i="6"/>
  <c r="AI105" i="6"/>
  <c r="AK105" i="6" s="1"/>
  <c r="AM105" i="6" s="1"/>
  <c r="U105" i="6"/>
  <c r="W105" i="6" s="1"/>
  <c r="D105" i="6"/>
  <c r="H105" i="6" s="1"/>
  <c r="BA105" i="6"/>
  <c r="AZ120" i="6"/>
  <c r="AF99" i="6"/>
  <c r="P99" i="6"/>
  <c r="AI182" i="6"/>
  <c r="D182" i="6"/>
  <c r="H182" i="6" s="1"/>
  <c r="U182" i="6"/>
  <c r="W182" i="6" s="1"/>
  <c r="BA182" i="6"/>
  <c r="S62" i="30"/>
  <c r="AU62" i="30"/>
  <c r="AU63" i="30" s="1"/>
  <c r="AU129" i="6"/>
  <c r="AW136" i="6"/>
  <c r="S241" i="8" s="1"/>
  <c r="V9" i="10" s="1"/>
  <c r="AT178" i="6"/>
  <c r="AW178" i="6"/>
  <c r="AK245" i="30"/>
  <c r="AI247" i="30"/>
  <c r="AU44" i="30"/>
  <c r="AY93" i="6"/>
  <c r="AZ93" i="6" s="1"/>
  <c r="S37" i="30"/>
  <c r="AS38" i="30"/>
  <c r="M9" i="8" s="1"/>
  <c r="U91" i="6"/>
  <c r="W91" i="6" s="1"/>
  <c r="AI91" i="6"/>
  <c r="AK91" i="6" s="1"/>
  <c r="AM91" i="6" s="1"/>
  <c r="D91" i="6"/>
  <c r="H91" i="6" s="1"/>
  <c r="D66" i="6"/>
  <c r="H66" i="6" s="1"/>
  <c r="AP161" i="6"/>
  <c r="AP164" i="6" s="1"/>
  <c r="AQ154" i="6"/>
  <c r="AR154" i="6" s="1"/>
  <c r="H164" i="6"/>
  <c r="AF168" i="6"/>
  <c r="P168" i="6"/>
  <c r="AS351" i="30"/>
  <c r="AU351" i="30" s="1"/>
  <c r="AS128" i="30"/>
  <c r="AS129" i="30" s="1"/>
  <c r="Z9" i="8" s="1"/>
  <c r="AI176" i="6"/>
  <c r="AK176" i="6" s="1"/>
  <c r="AM176" i="6" s="1"/>
  <c r="D176" i="6"/>
  <c r="H176" i="6" s="1"/>
  <c r="U176" i="6"/>
  <c r="W176" i="6" s="1"/>
  <c r="BA176" i="6"/>
  <c r="AF85" i="6"/>
  <c r="AI38" i="6"/>
  <c r="AT143" i="6"/>
  <c r="AS143" i="6"/>
  <c r="AK157" i="6"/>
  <c r="W175" i="6"/>
  <c r="AI101" i="6"/>
  <c r="AI113" i="6"/>
  <c r="AK113" i="6" s="1"/>
  <c r="D113" i="6"/>
  <c r="U113" i="6"/>
  <c r="W113" i="6" s="1"/>
  <c r="AT129" i="6"/>
  <c r="AU121" i="6"/>
  <c r="AS65" i="30"/>
  <c r="AF161" i="6"/>
  <c r="P161" i="6"/>
  <c r="AY181" i="6"/>
  <c r="AU125" i="30"/>
  <c r="P252" i="30"/>
  <c r="AF252" i="30"/>
  <c r="S260" i="30"/>
  <c r="AU267" i="30"/>
  <c r="AS261" i="30"/>
  <c r="AF174" i="6"/>
  <c r="AM98" i="6"/>
  <c r="D114" i="6"/>
  <c r="AI114" i="6"/>
  <c r="AU260" i="30"/>
  <c r="AU253" i="30"/>
  <c r="AS254" i="30"/>
  <c r="S253" i="30"/>
  <c r="AP170" i="6"/>
  <c r="AQ163" i="6"/>
  <c r="AR163" i="6" s="1"/>
  <c r="AF160" i="6"/>
  <c r="W168" i="6"/>
  <c r="AM42" i="30"/>
  <c r="AS186" i="30"/>
  <c r="AQ157" i="6"/>
  <c r="AR153" i="6"/>
  <c r="P175" i="6"/>
  <c r="AF175" i="6"/>
  <c r="S108" i="6"/>
  <c r="D108" i="6" s="1"/>
  <c r="D104" i="6"/>
  <c r="H104" i="6" s="1"/>
  <c r="AI104" i="6"/>
  <c r="AZ127" i="6"/>
  <c r="AZ111" i="6"/>
  <c r="S138" i="30"/>
  <c r="AU145" i="30"/>
  <c r="AU348" i="30"/>
  <c r="AM69" i="6"/>
  <c r="S158" i="30"/>
  <c r="AS159" i="30"/>
  <c r="M60" i="8" s="1"/>
  <c r="AU165" i="30"/>
  <c r="AU158" i="30"/>
  <c r="AI107" i="6"/>
  <c r="D107" i="6"/>
  <c r="H107" i="6" s="1"/>
  <c r="BA107" i="6"/>
  <c r="AU37" i="30"/>
  <c r="AY86" i="6"/>
  <c r="AZ86" i="6" s="1"/>
  <c r="AU30" i="30"/>
  <c r="S30" i="30"/>
  <c r="AS31" i="30"/>
  <c r="L9" i="8" s="1"/>
  <c r="L10" i="8" s="1"/>
  <c r="AQ162" i="6"/>
  <c r="AR162" i="6" s="1"/>
  <c r="AP169" i="6"/>
  <c r="AI164" i="6"/>
  <c r="AK160" i="6"/>
  <c r="AM167" i="6" s="1"/>
  <c r="AS345" i="30"/>
  <c r="Y108" i="8" s="1"/>
  <c r="AU344" i="30"/>
  <c r="W183" i="6"/>
  <c r="BA114" i="6"/>
  <c r="AT157" i="6"/>
  <c r="AS157" i="6"/>
  <c r="AM175" i="6"/>
  <c r="AZ112" i="6"/>
  <c r="AS122" i="6"/>
  <c r="AU122" i="6" s="1"/>
  <c r="AK171" i="6"/>
  <c r="AT185" i="6"/>
  <c r="AK59" i="6"/>
  <c r="AI92" i="6"/>
  <c r="AK92" i="6" s="1"/>
  <c r="AM92" i="6" s="1"/>
  <c r="D92" i="6"/>
  <c r="H92" i="6" s="1"/>
  <c r="U92" i="6"/>
  <c r="W92" i="6" s="1"/>
  <c r="AK174" i="6"/>
  <c r="AF84" i="6"/>
  <c r="P35" i="30"/>
  <c r="AF35" i="30"/>
  <c r="P98" i="6"/>
  <c r="AF98" i="6"/>
  <c r="AK83" i="6"/>
  <c r="AR122" i="6"/>
  <c r="AF167" i="6"/>
  <c r="AM168" i="6"/>
  <c r="AY177" i="6"/>
  <c r="AS122" i="30"/>
  <c r="Y9" i="8" s="1"/>
  <c r="AU121" i="30"/>
  <c r="AM62" i="6"/>
  <c r="AK66" i="6"/>
  <c r="AF56" i="6"/>
  <c r="P56" i="6"/>
  <c r="AP167" i="6"/>
  <c r="AQ160" i="6"/>
  <c r="W42" i="30"/>
  <c r="BA113" i="6"/>
  <c r="BD90" i="30"/>
  <c r="BE90" i="30" s="1"/>
  <c r="BB94" i="30"/>
  <c r="AZ441" i="30"/>
  <c r="AZ440" i="30"/>
  <c r="D52" i="30"/>
  <c r="H52" i="30" s="1"/>
  <c r="AZ417" i="30"/>
  <c r="AZ424" i="30"/>
  <c r="AZ419" i="30"/>
  <c r="AZ418" i="30"/>
  <c r="AZ420" i="30"/>
  <c r="AZ410" i="30"/>
  <c r="AZ411" i="30"/>
  <c r="AZ412" i="30"/>
  <c r="AI166" i="30"/>
  <c r="N58" i="8" s="1"/>
  <c r="AY345" i="30"/>
  <c r="AZ345" i="30" s="1"/>
  <c r="AZ344" i="30"/>
  <c r="AD85" i="30"/>
  <c r="AB85" i="30"/>
  <c r="BR107" i="30"/>
  <c r="BR106" i="30"/>
  <c r="BR115" i="30"/>
  <c r="BR105" i="30"/>
  <c r="BR104" i="30"/>
  <c r="AY126" i="30"/>
  <c r="AZ126" i="30" s="1"/>
  <c r="AM250" i="30"/>
  <c r="AK257" i="30"/>
  <c r="AI324" i="30"/>
  <c r="W378" i="30"/>
  <c r="W371" i="30"/>
  <c r="AY348" i="30"/>
  <c r="AY391" i="30"/>
  <c r="AK391" i="30"/>
  <c r="AI393" i="30"/>
  <c r="Q155" i="8" s="1"/>
  <c r="BS108" i="30"/>
  <c r="BS100" i="30"/>
  <c r="BS99" i="30"/>
  <c r="BS98" i="30"/>
  <c r="BS97" i="30"/>
  <c r="BE77" i="30"/>
  <c r="P170" i="30"/>
  <c r="AF170" i="30"/>
  <c r="S116" i="30"/>
  <c r="AV199" i="30"/>
  <c r="AS199" i="30" s="1"/>
  <c r="AS78" i="30"/>
  <c r="AV85" i="30"/>
  <c r="AM164" i="30"/>
  <c r="P171" i="30"/>
  <c r="AF171" i="30"/>
  <c r="AU176" i="30"/>
  <c r="AS180" i="30"/>
  <c r="P60" i="8" s="1"/>
  <c r="P61" i="8" s="1"/>
  <c r="S176" i="30"/>
  <c r="BD91" i="30"/>
  <c r="BE91" i="30" s="1"/>
  <c r="BO115" i="30"/>
  <c r="BO104" i="30"/>
  <c r="BQ99" i="30"/>
  <c r="BQ98" i="30"/>
  <c r="BQ97" i="30"/>
  <c r="BQ108" i="30"/>
  <c r="AF169" i="30"/>
  <c r="P157" i="30"/>
  <c r="AF157" i="30"/>
  <c r="AD206" i="30"/>
  <c r="AB206" i="30"/>
  <c r="W335" i="30"/>
  <c r="AF28" i="30"/>
  <c r="P28" i="30"/>
  <c r="AF264" i="30"/>
  <c r="P321" i="30"/>
  <c r="N456" i="30"/>
  <c r="D59" i="30"/>
  <c r="H59" i="30" s="1"/>
  <c r="S70" i="30"/>
  <c r="AU70" i="30"/>
  <c r="AV197" i="30"/>
  <c r="AS197" i="30" s="1"/>
  <c r="AS76" i="30"/>
  <c r="AY132" i="6" s="1"/>
  <c r="AV83" i="30"/>
  <c r="D173" i="30"/>
  <c r="H173" i="30" s="1"/>
  <c r="P120" i="30"/>
  <c r="AM264" i="30"/>
  <c r="AU177" i="30"/>
  <c r="S177" i="30"/>
  <c r="AV200" i="30"/>
  <c r="AS200" i="30" s="1"/>
  <c r="AV86" i="30"/>
  <c r="AS79" i="30"/>
  <c r="BE84" i="30"/>
  <c r="S192" i="30"/>
  <c r="AU192" i="30"/>
  <c r="P164" i="30"/>
  <c r="AF164" i="30"/>
  <c r="S278" i="30"/>
  <c r="AS282" i="30"/>
  <c r="AU278" i="30"/>
  <c r="S287" i="30"/>
  <c r="AU287" i="30"/>
  <c r="D273" i="30"/>
  <c r="H273" i="30" s="1"/>
  <c r="AI273" i="30"/>
  <c r="AK273" i="30" s="1"/>
  <c r="AM273" i="30" s="1"/>
  <c r="U273" i="30"/>
  <c r="W273" i="30" s="1"/>
  <c r="BG308" i="30"/>
  <c r="BG306" i="30"/>
  <c r="BI306" i="30" s="1"/>
  <c r="BB306" i="30" s="1"/>
  <c r="BG307" i="30"/>
  <c r="BI307" i="30" s="1"/>
  <c r="BB307" i="30" s="1"/>
  <c r="AI349" i="30"/>
  <c r="U349" i="30"/>
  <c r="W349" i="30" s="1"/>
  <c r="P379" i="30"/>
  <c r="BD92" i="30"/>
  <c r="BE92" i="30" s="1"/>
  <c r="AF162" i="30"/>
  <c r="AI280" i="30"/>
  <c r="AK280" i="30" s="1"/>
  <c r="AM280" i="30" s="1"/>
  <c r="D280" i="30"/>
  <c r="H280" i="30" s="1"/>
  <c r="U280" i="30"/>
  <c r="W280" i="30" s="1"/>
  <c r="AY350" i="30"/>
  <c r="AZ350" i="30" s="1"/>
  <c r="AZ125" i="30"/>
  <c r="AZ426" i="30"/>
  <c r="U64" i="30"/>
  <c r="W64" i="30" s="1"/>
  <c r="D64" i="30"/>
  <c r="H64" i="30" s="1"/>
  <c r="AI64" i="30"/>
  <c r="AU288" i="30"/>
  <c r="S288" i="30"/>
  <c r="AV198" i="30"/>
  <c r="AS198" i="30" s="1"/>
  <c r="AS77" i="30"/>
  <c r="AV84" i="30"/>
  <c r="AZ425" i="30"/>
  <c r="AS73" i="30"/>
  <c r="R9" i="8" s="1"/>
  <c r="S69" i="30"/>
  <c r="AU69" i="30"/>
  <c r="W113" i="30"/>
  <c r="AI271" i="30"/>
  <c r="D271" i="30"/>
  <c r="H271" i="30" s="1"/>
  <c r="S275" i="30"/>
  <c r="D275" i="30" s="1"/>
  <c r="H275" i="30" s="1"/>
  <c r="AU279" i="30"/>
  <c r="S279" i="30"/>
  <c r="S72" i="30"/>
  <c r="AU72" i="30"/>
  <c r="S185" i="30"/>
  <c r="S120" i="6" s="1"/>
  <c r="AU185" i="30"/>
  <c r="W171" i="30"/>
  <c r="AS285" i="30"/>
  <c r="AV292" i="30"/>
  <c r="AV183" i="30"/>
  <c r="AS183" i="30" s="1"/>
  <c r="AY118" i="6" s="1"/>
  <c r="AU294" i="30"/>
  <c r="S294" i="30"/>
  <c r="AU301" i="30"/>
  <c r="U272" i="30"/>
  <c r="W272" i="30" s="1"/>
  <c r="AI272" i="30"/>
  <c r="AK272" i="30" s="1"/>
  <c r="AM272" i="30" s="1"/>
  <c r="D272" i="30"/>
  <c r="H272" i="30" s="1"/>
  <c r="AY127" i="30"/>
  <c r="AZ127" i="30" s="1"/>
  <c r="BE79" i="30"/>
  <c r="BP108" i="30"/>
  <c r="BP99" i="30"/>
  <c r="BW99" i="30" s="1"/>
  <c r="BB99" i="30" s="1"/>
  <c r="BP98" i="30"/>
  <c r="BW98" i="30" s="1"/>
  <c r="BB98" i="30" s="1"/>
  <c r="BP97" i="30"/>
  <c r="BW97" i="30" s="1"/>
  <c r="BB97" i="30" s="1"/>
  <c r="N50" i="30"/>
  <c r="P50" i="30" s="1"/>
  <c r="U50" i="30"/>
  <c r="AI173" i="30"/>
  <c r="AM36" i="30"/>
  <c r="AM43" i="30"/>
  <c r="BD93" i="30"/>
  <c r="BE93" i="30" s="1"/>
  <c r="BW100" i="30"/>
  <c r="BB100" i="30" s="1"/>
  <c r="W126" i="30"/>
  <c r="AF178" i="30"/>
  <c r="P178" i="30"/>
  <c r="AF257" i="30"/>
  <c r="S295" i="30"/>
  <c r="AU302" i="30"/>
  <c r="AU295" i="30"/>
  <c r="P328" i="30"/>
  <c r="AY392" i="30"/>
  <c r="AF63" i="30"/>
  <c r="P63" i="30"/>
  <c r="AZ413" i="30"/>
  <c r="P113" i="30"/>
  <c r="AU275" i="30"/>
  <c r="AV275" i="30"/>
  <c r="AV293" i="30"/>
  <c r="AS286" i="30"/>
  <c r="AV184" i="30"/>
  <c r="AS184" i="30" s="1"/>
  <c r="AY119" i="6" s="1"/>
  <c r="AB308" i="30"/>
  <c r="AD308" i="30"/>
  <c r="AF308" i="30" s="1"/>
  <c r="U393" i="30"/>
  <c r="W393" i="30" s="1"/>
  <c r="AV193" i="30"/>
  <c r="AS193" i="30" s="1"/>
  <c r="AY128" i="6" s="1"/>
  <c r="N71" i="30"/>
  <c r="N78" i="30"/>
  <c r="AU71" i="30"/>
  <c r="S71" i="30"/>
  <c r="BB87" i="30"/>
  <c r="AF155" i="30"/>
  <c r="W164" i="30"/>
  <c r="AM171" i="30"/>
  <c r="AM178" i="30"/>
  <c r="P342" i="30"/>
  <c r="AI310" i="30"/>
  <c r="U372" i="30"/>
  <c r="W372" i="30" s="1"/>
  <c r="P393" i="30"/>
  <c r="AH61" i="3"/>
  <c r="AH49" i="3"/>
  <c r="AH41" i="3"/>
  <c r="AH24" i="3"/>
  <c r="Y61" i="3"/>
  <c r="Y49" i="3"/>
  <c r="Y41" i="3"/>
  <c r="Y24" i="3"/>
  <c r="M63" i="3"/>
  <c r="M53" i="3"/>
  <c r="AB53" i="3"/>
  <c r="AG61" i="3"/>
  <c r="AG49" i="3"/>
  <c r="AG41" i="3"/>
  <c r="AG24" i="3"/>
  <c r="AC61" i="3"/>
  <c r="AC49" i="3"/>
  <c r="AC41" i="3"/>
  <c r="AC24" i="3"/>
  <c r="BM61" i="3"/>
  <c r="BM49" i="3"/>
  <c r="BM41" i="3"/>
  <c r="BM24" i="3"/>
  <c r="BU49" i="3"/>
  <c r="BU41" i="3"/>
  <c r="BU24" i="3"/>
  <c r="BG61" i="3"/>
  <c r="BG49" i="3"/>
  <c r="BG41" i="3"/>
  <c r="BG24" i="3"/>
  <c r="F50" i="3"/>
  <c r="F28" i="3"/>
  <c r="F51" i="3"/>
  <c r="BS24" i="3"/>
  <c r="CF73" i="3"/>
  <c r="M50" i="3"/>
  <c r="M28" i="3"/>
  <c r="M51" i="3"/>
  <c r="H50" i="3"/>
  <c r="H28" i="3"/>
  <c r="H51" i="3"/>
  <c r="AB50" i="3"/>
  <c r="AB28" i="3"/>
  <c r="AB51" i="3"/>
  <c r="AQ50" i="3"/>
  <c r="AQ28" i="3"/>
  <c r="AQ51" i="3"/>
  <c r="BF50" i="3"/>
  <c r="BF28" i="3"/>
  <c r="BF51" i="3"/>
  <c r="CE53" i="3"/>
  <c r="O63" i="3"/>
  <c r="O53" i="3"/>
  <c r="F63" i="3"/>
  <c r="F53" i="3"/>
  <c r="DE53" i="3"/>
  <c r="AL50" i="3"/>
  <c r="AL28" i="3"/>
  <c r="AL51" i="3"/>
  <c r="AV50" i="3"/>
  <c r="AV28" i="3"/>
  <c r="AV51" i="3"/>
  <c r="BK63" i="3"/>
  <c r="BK53" i="3"/>
  <c r="CH61" i="3"/>
  <c r="CH49" i="3"/>
  <c r="CH41" i="3"/>
  <c r="CH24" i="3"/>
  <c r="S49" i="3"/>
  <c r="S41" i="3"/>
  <c r="S24" i="3"/>
  <c r="DF61" i="3"/>
  <c r="DF49" i="3"/>
  <c r="DF41" i="3"/>
  <c r="DF24" i="3"/>
  <c r="CC61" i="3"/>
  <c r="CC49" i="3"/>
  <c r="CC41" i="3"/>
  <c r="CC24" i="3"/>
  <c r="BH61" i="3"/>
  <c r="BH49" i="3"/>
  <c r="BH41" i="3"/>
  <c r="BH24" i="3"/>
  <c r="BX49" i="3"/>
  <c r="BX24" i="3"/>
  <c r="AI61" i="3"/>
  <c r="AI49" i="3"/>
  <c r="AI41" i="3"/>
  <c r="AI24" i="3"/>
  <c r="BD61" i="3"/>
  <c r="BD49" i="3"/>
  <c r="BD24" i="3"/>
  <c r="BD41" i="3"/>
  <c r="K61" i="3"/>
  <c r="K49" i="3"/>
  <c r="K24" i="3"/>
  <c r="K41" i="3"/>
  <c r="X61" i="3"/>
  <c r="X49" i="3"/>
  <c r="X41" i="3"/>
  <c r="X24" i="3"/>
  <c r="T61" i="3"/>
  <c r="T49" i="3"/>
  <c r="T41" i="3"/>
  <c r="T24" i="3"/>
  <c r="C50" i="3"/>
  <c r="C28" i="3"/>
  <c r="C51" i="3"/>
  <c r="AL63" i="3"/>
  <c r="AL53" i="3"/>
  <c r="E50" i="3"/>
  <c r="E28" i="3"/>
  <c r="E51" i="3"/>
  <c r="P50" i="3"/>
  <c r="P28" i="3"/>
  <c r="P51" i="3"/>
  <c r="O50" i="3"/>
  <c r="O28" i="3"/>
  <c r="O51" i="3"/>
  <c r="D50" i="3"/>
  <c r="D28" i="3"/>
  <c r="D51" i="3"/>
  <c r="C63" i="3"/>
  <c r="C53" i="3"/>
  <c r="BZ61" i="3"/>
  <c r="E63" i="3"/>
  <c r="E53" i="3"/>
  <c r="BN61" i="3"/>
  <c r="BN49" i="3"/>
  <c r="BN41" i="3"/>
  <c r="BN24" i="3"/>
  <c r="AM61" i="3"/>
  <c r="AM49" i="3"/>
  <c r="AM41" i="3"/>
  <c r="AM24" i="3"/>
  <c r="BW61" i="3"/>
  <c r="BW41" i="3"/>
  <c r="BW49" i="3"/>
  <c r="BW24" i="3"/>
  <c r="P63" i="3"/>
  <c r="P53" i="3"/>
  <c r="AE61" i="3"/>
  <c r="AE49" i="3"/>
  <c r="AE24" i="3"/>
  <c r="AE41" i="3"/>
  <c r="BL61" i="3"/>
  <c r="BL49" i="3"/>
  <c r="BL41" i="3"/>
  <c r="BL24" i="3"/>
  <c r="H63" i="3"/>
  <c r="H53" i="3"/>
  <c r="AQ63" i="3"/>
  <c r="AQ53" i="3"/>
  <c r="Z61" i="3"/>
  <c r="Z49" i="3"/>
  <c r="Z24" i="3"/>
  <c r="Z41" i="3"/>
  <c r="CA61" i="3"/>
  <c r="CA49" i="3"/>
  <c r="CA41" i="3"/>
  <c r="CA24" i="3"/>
  <c r="AO61" i="3"/>
  <c r="AO49" i="3"/>
  <c r="AO24" i="3"/>
  <c r="AO41" i="3"/>
  <c r="BV61" i="3"/>
  <c r="BV49" i="3"/>
  <c r="BV41" i="3"/>
  <c r="BV24" i="3"/>
  <c r="AX61" i="3"/>
  <c r="AX49" i="3"/>
  <c r="AX41" i="3"/>
  <c r="AX24" i="3"/>
  <c r="BA61" i="3"/>
  <c r="BA49" i="3"/>
  <c r="BA41" i="3"/>
  <c r="BA24" i="3"/>
  <c r="AY61" i="3"/>
  <c r="AY49" i="3"/>
  <c r="AY41" i="3"/>
  <c r="AY24" i="3"/>
  <c r="BB61" i="3"/>
  <c r="BB49" i="3"/>
  <c r="BB41" i="3"/>
  <c r="BB24" i="3"/>
  <c r="CF61" i="3"/>
  <c r="CF49" i="3"/>
  <c r="CF41" i="3"/>
  <c r="CF24" i="3"/>
  <c r="J61" i="3"/>
  <c r="J49" i="3"/>
  <c r="J41" i="3"/>
  <c r="J24" i="3"/>
  <c r="AN61" i="3"/>
  <c r="AN49" i="3"/>
  <c r="AN41" i="3"/>
  <c r="AN24" i="3"/>
  <c r="BR61" i="3"/>
  <c r="BR49" i="3"/>
  <c r="BR41" i="3"/>
  <c r="BR24" i="3"/>
  <c r="AS61" i="3"/>
  <c r="AS49" i="3"/>
  <c r="AS41" i="3"/>
  <c r="AS24" i="3"/>
  <c r="CE28" i="3"/>
  <c r="CE50" i="3"/>
  <c r="CE51" i="3"/>
  <c r="AT61" i="3"/>
  <c r="AT49" i="3"/>
  <c r="AT41" i="3"/>
  <c r="AT24" i="3"/>
  <c r="AW61" i="3"/>
  <c r="AW49" i="3"/>
  <c r="AW41" i="3"/>
  <c r="AW24" i="3"/>
  <c r="BC61" i="3"/>
  <c r="BC49" i="3"/>
  <c r="BC41" i="3"/>
  <c r="BC24" i="3"/>
  <c r="CG61" i="3"/>
  <c r="CG49" i="3"/>
  <c r="CG41" i="3"/>
  <c r="CG24" i="3"/>
  <c r="D63" i="3"/>
  <c r="D53" i="3"/>
  <c r="AJ61" i="3"/>
  <c r="AJ49" i="3"/>
  <c r="AJ24" i="3"/>
  <c r="I61" i="3"/>
  <c r="I49" i="3"/>
  <c r="I41" i="3"/>
  <c r="I24" i="3"/>
  <c r="BQ61" i="3"/>
  <c r="BQ49" i="3"/>
  <c r="BQ41" i="3"/>
  <c r="BQ24" i="3"/>
  <c r="DD49" i="3"/>
  <c r="DD41" i="3"/>
  <c r="DD24" i="3"/>
  <c r="DE50" i="3"/>
  <c r="DE28" i="3"/>
  <c r="DE51" i="3"/>
  <c r="U61" i="3"/>
  <c r="U49" i="3"/>
  <c r="U24" i="3"/>
  <c r="BI61" i="3"/>
  <c r="BI49" i="3"/>
  <c r="BI41" i="3"/>
  <c r="BI24" i="3"/>
  <c r="AR61" i="3"/>
  <c r="AR49" i="3"/>
  <c r="AR41" i="3"/>
  <c r="AR24" i="3"/>
  <c r="AD61" i="3"/>
  <c r="AD49" i="3"/>
  <c r="AD24" i="3"/>
  <c r="CB61" i="3"/>
  <c r="CB49" i="3"/>
  <c r="CB41" i="3"/>
  <c r="CB24" i="3"/>
  <c r="DN80" i="3"/>
  <c r="DM79" i="3"/>
  <c r="AL61" i="3"/>
  <c r="BK28" i="3"/>
  <c r="BK50" i="3"/>
  <c r="BK51" i="3"/>
  <c r="F71" i="62"/>
  <c r="F54" i="62"/>
  <c r="E113" i="62"/>
  <c r="E96" i="62"/>
  <c r="D71" i="62"/>
  <c r="D54" i="62"/>
  <c r="E23" i="62"/>
  <c r="E25" i="62" s="1"/>
  <c r="E34" i="62"/>
  <c r="E158" i="62"/>
  <c r="E138" i="62"/>
  <c r="F158" i="62"/>
  <c r="F138" i="62"/>
  <c r="D113" i="62"/>
  <c r="D96" i="62"/>
  <c r="F113" i="62"/>
  <c r="F96" i="62"/>
  <c r="D33" i="62"/>
  <c r="D17" i="62"/>
  <c r="D158" i="62"/>
  <c r="D138" i="62"/>
  <c r="E71" i="62"/>
  <c r="E54" i="62"/>
  <c r="F34" i="62"/>
  <c r="F23" i="62"/>
  <c r="F25" i="62" s="1"/>
  <c r="W245" i="8" l="1"/>
  <c r="W246" i="8" s="1"/>
  <c r="Z31" i="10"/>
  <c r="Z39" i="10"/>
  <c r="Z74" i="10"/>
  <c r="Z75" i="10" s="1"/>
  <c r="Z73" i="10"/>
  <c r="BQ86" i="7"/>
  <c r="BV86" i="7"/>
  <c r="BS41" i="3"/>
  <c r="BE135" i="7"/>
  <c r="F10" i="13"/>
  <c r="F16" i="13" s="1"/>
  <c r="F34" i="13" s="1"/>
  <c r="F54" i="13" s="1"/>
  <c r="I72" i="12"/>
  <c r="I78" i="12" s="1"/>
  <c r="BP114" i="7"/>
  <c r="CC184" i="7"/>
  <c r="BV111" i="7"/>
  <c r="Y155" i="7"/>
  <c r="S43" i="10"/>
  <c r="Q45" i="10"/>
  <c r="AE72" i="12" s="1"/>
  <c r="V45" i="10"/>
  <c r="V43" i="10"/>
  <c r="V40" i="10"/>
  <c r="O22" i="10"/>
  <c r="O203" i="8"/>
  <c r="N203" i="8"/>
  <c r="Q22" i="10"/>
  <c r="AC74" i="12"/>
  <c r="AC75" i="12"/>
  <c r="AP76" i="7"/>
  <c r="AO76" i="7"/>
  <c r="K16" i="10"/>
  <c r="K30" i="10"/>
  <c r="S72" i="12"/>
  <c r="S78" i="12" s="1"/>
  <c r="P10" i="13"/>
  <c r="P16" i="13" s="1"/>
  <c r="P34" i="13" s="1"/>
  <c r="P54" i="13" s="1"/>
  <c r="P57" i="13" s="1"/>
  <c r="AV153" i="7"/>
  <c r="AV186" i="7"/>
  <c r="AV174" i="7"/>
  <c r="AU71" i="12"/>
  <c r="AU77" i="12" s="1"/>
  <c r="Z23" i="10"/>
  <c r="AA15" i="10"/>
  <c r="AA23" i="10"/>
  <c r="Z15" i="10"/>
  <c r="AO74" i="7"/>
  <c r="AP74" i="7"/>
  <c r="BX61" i="3"/>
  <c r="BS49" i="3"/>
  <c r="BP115" i="7"/>
  <c r="AF187" i="7"/>
  <c r="AC136" i="7"/>
  <c r="K72" i="12"/>
  <c r="K78" i="12" s="1"/>
  <c r="H10" i="13"/>
  <c r="H16" i="13" s="1"/>
  <c r="H34" i="13" s="1"/>
  <c r="H54" i="13" s="1"/>
  <c r="H57" i="13" s="1"/>
  <c r="CO151" i="7"/>
  <c r="BR111" i="7"/>
  <c r="BP131" i="7"/>
  <c r="S40" i="10"/>
  <c r="J30" i="10"/>
  <c r="J16" i="10"/>
  <c r="R245" i="8"/>
  <c r="U74" i="10"/>
  <c r="U73" i="10"/>
  <c r="U31" i="10"/>
  <c r="U39" i="10"/>
  <c r="X245" i="8"/>
  <c r="X246" i="8" s="1"/>
  <c r="AA39" i="10"/>
  <c r="AA31" i="10"/>
  <c r="AA73" i="10"/>
  <c r="CJ132" i="7"/>
  <c r="CK112" i="7"/>
  <c r="CP112" i="7"/>
  <c r="CK122" i="7"/>
  <c r="G43" i="10"/>
  <c r="G40" i="10"/>
  <c r="G45" i="10"/>
  <c r="O16" i="10"/>
  <c r="Y71" i="12"/>
  <c r="Y77" i="12" s="1"/>
  <c r="L16" i="10"/>
  <c r="L30" i="10"/>
  <c r="BM74" i="7"/>
  <c r="BN74" i="7"/>
  <c r="N49" i="3"/>
  <c r="N24" i="3"/>
  <c r="N41" i="3"/>
  <c r="AQ71" i="12"/>
  <c r="AQ77" i="12" s="1"/>
  <c r="X15" i="10"/>
  <c r="X23" i="10"/>
  <c r="Y15" i="10"/>
  <c r="X30" i="10"/>
  <c r="Y23" i="10"/>
  <c r="BM152" i="7"/>
  <c r="BP116" i="7"/>
  <c r="BI151" i="7"/>
  <c r="BR86" i="7"/>
  <c r="N10" i="13"/>
  <c r="N16" i="13" s="1"/>
  <c r="N34" i="13" s="1"/>
  <c r="N54" i="13" s="1"/>
  <c r="N57" i="13" s="1"/>
  <c r="Q72" i="12"/>
  <c r="Q78" i="12" s="1"/>
  <c r="V245" i="8"/>
  <c r="V246" i="8" s="1"/>
  <c r="Y74" i="10"/>
  <c r="Y75" i="10" s="1"/>
  <c r="Y73" i="10"/>
  <c r="Y31" i="10"/>
  <c r="Y39" i="10"/>
  <c r="N245" i="8"/>
  <c r="N246" i="8" s="1"/>
  <c r="O39" i="10"/>
  <c r="O31" i="10"/>
  <c r="O74" i="10"/>
  <c r="O75" i="10" s="1"/>
  <c r="BM76" i="7"/>
  <c r="BN76" i="7"/>
  <c r="BJ74" i="7"/>
  <c r="U71" i="10"/>
  <c r="V70" i="10"/>
  <c r="AM66" i="6"/>
  <c r="J11" i="8"/>
  <c r="K12" i="8" s="1"/>
  <c r="AH15" i="42"/>
  <c r="AI15" i="42" s="1"/>
  <c r="X46" i="8"/>
  <c r="X13" i="8"/>
  <c r="X12" i="8"/>
  <c r="F152" i="65"/>
  <c r="L152" i="65"/>
  <c r="W110" i="8"/>
  <c r="W107" i="8"/>
  <c r="X107" i="8"/>
  <c r="AI8" i="42"/>
  <c r="AE78" i="12"/>
  <c r="AB10" i="13"/>
  <c r="AB16" i="13" s="1"/>
  <c r="AI22" i="42"/>
  <c r="CV45" i="7"/>
  <c r="CX41" i="7"/>
  <c r="CV46" i="7"/>
  <c r="AB157" i="65"/>
  <c r="AF157" i="65" s="1"/>
  <c r="AH157" i="65" s="1"/>
  <c r="CW16" i="7"/>
  <c r="CW76" i="7"/>
  <c r="CW75" i="7"/>
  <c r="CW15" i="7"/>
  <c r="CX15" i="7"/>
  <c r="CX16" i="7" s="1"/>
  <c r="CW95" i="7"/>
  <c r="F180" i="16"/>
  <c r="CV25" i="7"/>
  <c r="CW25" i="7" s="1"/>
  <c r="CV26" i="7"/>
  <c r="CW26" i="7" s="1"/>
  <c r="AH21" i="42"/>
  <c r="AI7" i="42"/>
  <c r="AH14" i="42"/>
  <c r="AI14" i="42" s="1"/>
  <c r="AI20" i="42"/>
  <c r="AH28" i="42"/>
  <c r="AI28" i="42" s="1"/>
  <c r="C36" i="72"/>
  <c r="C38" i="72" s="1"/>
  <c r="H39" i="72" s="1"/>
  <c r="AX48" i="13"/>
  <c r="AC62" i="10"/>
  <c r="CO172" i="7"/>
  <c r="K8" i="8"/>
  <c r="F108" i="6"/>
  <c r="AM99" i="6"/>
  <c r="CS63" i="7"/>
  <c r="CS73" i="7"/>
  <c r="AD9" i="42"/>
  <c r="D175" i="16"/>
  <c r="L175" i="16" s="1"/>
  <c r="AO174" i="16" s="1"/>
  <c r="CS13" i="7"/>
  <c r="CR13" i="15" s="1"/>
  <c r="CR19" i="15" s="1"/>
  <c r="CR25" i="15" s="1"/>
  <c r="CR31" i="15" s="1"/>
  <c r="CR37" i="15" s="1"/>
  <c r="CR44" i="7"/>
  <c r="F175" i="16"/>
  <c r="CR14" i="7"/>
  <c r="CS64" i="7" s="1"/>
  <c r="CS93" i="7"/>
  <c r="AY133" i="6"/>
  <c r="M10" i="8"/>
  <c r="N10" i="8"/>
  <c r="K64" i="8"/>
  <c r="P46" i="8"/>
  <c r="P12" i="8"/>
  <c r="AY135" i="6"/>
  <c r="N62" i="8"/>
  <c r="W99" i="6"/>
  <c r="M61" i="8"/>
  <c r="N61" i="8"/>
  <c r="L64" i="8"/>
  <c r="L63" i="8"/>
  <c r="J13" i="8"/>
  <c r="K46" i="8"/>
  <c r="K13" i="8"/>
  <c r="O59" i="8"/>
  <c r="N46" i="8"/>
  <c r="O12" i="8"/>
  <c r="N13" i="8"/>
  <c r="AA205" i="8"/>
  <c r="AB204" i="8"/>
  <c r="Z61" i="8"/>
  <c r="Z10" i="8"/>
  <c r="Z109" i="8"/>
  <c r="Y109" i="8"/>
  <c r="Y61" i="8"/>
  <c r="Y60" i="8" s="1"/>
  <c r="Y10" i="8"/>
  <c r="N122" i="48"/>
  <c r="O121" i="48"/>
  <c r="H121" i="48"/>
  <c r="I120" i="48"/>
  <c r="W74" i="48"/>
  <c r="W110" i="48" s="1"/>
  <c r="W147" i="48" s="1"/>
  <c r="X9" i="48"/>
  <c r="W87" i="48"/>
  <c r="V122" i="48"/>
  <c r="W86" i="48"/>
  <c r="W120" i="48"/>
  <c r="X84" i="48"/>
  <c r="Y118" i="48"/>
  <c r="Z82" i="48"/>
  <c r="M88" i="48"/>
  <c r="H86" i="48"/>
  <c r="U121" i="48"/>
  <c r="AA116" i="48"/>
  <c r="AB80" i="48"/>
  <c r="AA112" i="48"/>
  <c r="AA11" i="48"/>
  <c r="AB76" i="48"/>
  <c r="Z117" i="48"/>
  <c r="AA81" i="48"/>
  <c r="AC78" i="48"/>
  <c r="J122" i="48"/>
  <c r="R121" i="48"/>
  <c r="U88" i="48"/>
  <c r="V123" i="48" s="1"/>
  <c r="S121" i="48"/>
  <c r="C135" i="48"/>
  <c r="B135" i="48"/>
  <c r="S87" i="48"/>
  <c r="N87" i="48"/>
  <c r="N123" i="48" s="1"/>
  <c r="H120" i="48"/>
  <c r="I119" i="48"/>
  <c r="J90" i="48"/>
  <c r="I89" i="48"/>
  <c r="R87" i="48"/>
  <c r="O88" i="48"/>
  <c r="X119" i="48"/>
  <c r="Y83" i="48"/>
  <c r="V121" i="48"/>
  <c r="W85" i="48"/>
  <c r="U89" i="48"/>
  <c r="Q120" i="48"/>
  <c r="V88" i="48"/>
  <c r="T121" i="48"/>
  <c r="U120" i="48"/>
  <c r="T87" i="48"/>
  <c r="L120" i="48"/>
  <c r="L86" i="48"/>
  <c r="J121" i="48"/>
  <c r="U90" i="48"/>
  <c r="O74" i="48"/>
  <c r="O110" i="48" s="1"/>
  <c r="O147" i="48" s="1"/>
  <c r="N9" i="48"/>
  <c r="Z113" i="48"/>
  <c r="AA77" i="48"/>
  <c r="Z115" i="48"/>
  <c r="AA79" i="48"/>
  <c r="N121" i="48"/>
  <c r="O120" i="48"/>
  <c r="I122" i="48"/>
  <c r="J123" i="48"/>
  <c r="U91" i="48"/>
  <c r="O122" i="48"/>
  <c r="P120" i="48"/>
  <c r="P86" i="48"/>
  <c r="Q119" i="48"/>
  <c r="K122" i="48"/>
  <c r="K87" i="48"/>
  <c r="H87" i="48"/>
  <c r="H123" i="48" s="1"/>
  <c r="Z31" i="48"/>
  <c r="M89" i="48"/>
  <c r="J91" i="48"/>
  <c r="Q87" i="48"/>
  <c r="AH7" i="15"/>
  <c r="R6" i="14"/>
  <c r="AE85" i="12"/>
  <c r="AC86" i="12"/>
  <c r="AJ72" i="13"/>
  <c r="AH68" i="13"/>
  <c r="AH69" i="13" s="1"/>
  <c r="BG42" i="12"/>
  <c r="BD41" i="13" s="1"/>
  <c r="BE46" i="12"/>
  <c r="BG77" i="12"/>
  <c r="BI51" i="12"/>
  <c r="AQ46" i="12"/>
  <c r="AQ48" i="12" s="1"/>
  <c r="AQ58" i="12" s="1"/>
  <c r="AS41" i="12"/>
  <c r="AS46" i="12" s="1"/>
  <c r="AS48" i="12" s="1"/>
  <c r="AS58" i="12" s="1"/>
  <c r="AK84" i="12"/>
  <c r="BG75" i="12"/>
  <c r="DK9" i="11"/>
  <c r="J121" i="30"/>
  <c r="I130" i="8"/>
  <c r="J126" i="8"/>
  <c r="I126" i="8"/>
  <c r="J130" i="8"/>
  <c r="I132" i="8"/>
  <c r="I133" i="8" s="1"/>
  <c r="BU38" i="11"/>
  <c r="BQ43" i="11"/>
  <c r="BP42" i="11"/>
  <c r="Z371" i="30"/>
  <c r="N177" i="8"/>
  <c r="Z16" i="6"/>
  <c r="B225" i="8"/>
  <c r="B237" i="8" s="1"/>
  <c r="B231" i="8"/>
  <c r="AK148" i="30"/>
  <c r="BO19" i="11"/>
  <c r="BO23" i="11" s="1"/>
  <c r="J158" i="30"/>
  <c r="AQ57" i="11"/>
  <c r="AU9" i="11"/>
  <c r="Y15" i="11"/>
  <c r="X14" i="11"/>
  <c r="AC9" i="11"/>
  <c r="C30" i="8"/>
  <c r="U118" i="30"/>
  <c r="N118" i="30"/>
  <c r="P118" i="30" s="1"/>
  <c r="P277" i="8"/>
  <c r="P281" i="8"/>
  <c r="P283" i="8"/>
  <c r="P284" i="8" s="1"/>
  <c r="BI24" i="11"/>
  <c r="BM19" i="11"/>
  <c r="L80" i="8"/>
  <c r="BH23" i="11"/>
  <c r="Z151" i="30"/>
  <c r="Q156" i="8"/>
  <c r="Q159" i="8"/>
  <c r="N144" i="30"/>
  <c r="L145" i="30"/>
  <c r="U144" i="30"/>
  <c r="BA34" i="11"/>
  <c r="AZ28" i="11"/>
  <c r="N114" i="30"/>
  <c r="P114" i="30" s="1"/>
  <c r="U114" i="30"/>
  <c r="L115" i="30"/>
  <c r="N174" i="8"/>
  <c r="M178" i="8"/>
  <c r="M174" i="8"/>
  <c r="M180" i="8"/>
  <c r="M181" i="8" s="1"/>
  <c r="AK144" i="30"/>
  <c r="AK145" i="30" s="1"/>
  <c r="AM145" i="30" s="1"/>
  <c r="AB145" i="30"/>
  <c r="L246" i="30"/>
  <c r="L250" i="30"/>
  <c r="DA10" i="11"/>
  <c r="DA54" i="11" s="1"/>
  <c r="CZ54" i="11" s="1"/>
  <c r="W234" i="8" s="1"/>
  <c r="W235" i="8" s="1"/>
  <c r="W41" i="8"/>
  <c r="DD10" i="11"/>
  <c r="CB46" i="11"/>
  <c r="CC50" i="11"/>
  <c r="K86" i="8"/>
  <c r="BQ34" i="11"/>
  <c r="Z267" i="30"/>
  <c r="BU28" i="11"/>
  <c r="N129" i="8"/>
  <c r="AS23" i="11"/>
  <c r="AR19" i="11"/>
  <c r="J133" i="8"/>
  <c r="U148" i="30"/>
  <c r="N148" i="30"/>
  <c r="P148" i="30" s="1"/>
  <c r="DX29" i="11"/>
  <c r="DU29" i="11"/>
  <c r="AB140" i="8"/>
  <c r="M135" i="8"/>
  <c r="M136" i="8" s="1"/>
  <c r="M127" i="8"/>
  <c r="M142" i="8" s="1"/>
  <c r="AD372" i="30"/>
  <c r="AD365" i="30"/>
  <c r="AB364" i="30"/>
  <c r="AB368" i="30"/>
  <c r="BG33" i="11"/>
  <c r="BH28" i="11"/>
  <c r="G77" i="8"/>
  <c r="G86" i="8" s="1"/>
  <c r="G81" i="8"/>
  <c r="L155" i="30"/>
  <c r="L151" i="30"/>
  <c r="AC57" i="11"/>
  <c r="AB53" i="11"/>
  <c r="P25" i="42"/>
  <c r="O24" i="42"/>
  <c r="Q24" i="42"/>
  <c r="T24" i="42"/>
  <c r="G72" i="8"/>
  <c r="G95" i="8" s="1"/>
  <c r="G74" i="8"/>
  <c r="G75" i="8" s="1"/>
  <c r="K120" i="8"/>
  <c r="L115" i="8"/>
  <c r="L119" i="8" s="1"/>
  <c r="DB69" i="3"/>
  <c r="K132" i="8"/>
  <c r="K133" i="8" s="1"/>
  <c r="C22" i="8"/>
  <c r="C24" i="8"/>
  <c r="C25" i="8" s="1"/>
  <c r="L17" i="6"/>
  <c r="U16" i="6"/>
  <c r="U17" i="6" s="1"/>
  <c r="P163" i="8"/>
  <c r="P167" i="8" s="1"/>
  <c r="O168" i="8"/>
  <c r="U20" i="6"/>
  <c r="L27" i="6"/>
  <c r="L23" i="6"/>
  <c r="H46" i="8"/>
  <c r="H12" i="8"/>
  <c r="H9" i="8"/>
  <c r="F200" i="8"/>
  <c r="F256" i="8" s="1"/>
  <c r="F153" i="8"/>
  <c r="F104" i="8"/>
  <c r="F56" i="8"/>
  <c r="G5" i="8"/>
  <c r="D219" i="8"/>
  <c r="E209" i="8"/>
  <c r="E218" i="8" s="1"/>
  <c r="J30" i="6"/>
  <c r="CU66" i="3"/>
  <c r="CU82" i="3" s="1"/>
  <c r="R272" i="8"/>
  <c r="R295" i="8" s="1"/>
  <c r="R274" i="8"/>
  <c r="R275" i="8" s="1"/>
  <c r="F86" i="8"/>
  <c r="G87" i="8" s="1"/>
  <c r="G78" i="8"/>
  <c r="G93" i="8" s="1"/>
  <c r="Y16" i="8"/>
  <c r="DO67" i="3"/>
  <c r="C220" i="8"/>
  <c r="C222" i="8"/>
  <c r="C223" i="8" s="1"/>
  <c r="I66" i="8"/>
  <c r="I70" i="8" s="1"/>
  <c r="H71" i="8"/>
  <c r="CY68" i="3"/>
  <c r="J121" i="8"/>
  <c r="J123" i="8"/>
  <c r="N169" i="8"/>
  <c r="N192" i="8" s="1"/>
  <c r="N171" i="8"/>
  <c r="N172" i="8" s="1"/>
  <c r="D16" i="8"/>
  <c r="CT67" i="3"/>
  <c r="C33" i="8"/>
  <c r="C34" i="8" s="1"/>
  <c r="S266" i="8"/>
  <c r="DI70" i="3"/>
  <c r="X21" i="8"/>
  <c r="E50" i="10"/>
  <c r="E58" i="10"/>
  <c r="E46" i="10"/>
  <c r="B50" i="10"/>
  <c r="B46" i="10"/>
  <c r="F58" i="10"/>
  <c r="F50" i="10"/>
  <c r="F46" i="10"/>
  <c r="R55" i="10"/>
  <c r="R50" i="10"/>
  <c r="R46" i="10"/>
  <c r="X24" i="10"/>
  <c r="W25" i="10"/>
  <c r="S46" i="10"/>
  <c r="S55" i="10"/>
  <c r="T56" i="10" s="1"/>
  <c r="S58" i="10"/>
  <c r="S50" i="10"/>
  <c r="W46" i="10"/>
  <c r="W55" i="10"/>
  <c r="W58" i="10"/>
  <c r="W50" i="10"/>
  <c r="P55" i="10"/>
  <c r="P56" i="10" s="1"/>
  <c r="P50" i="10"/>
  <c r="P51" i="10" s="1"/>
  <c r="P46" i="10"/>
  <c r="Q50" i="10"/>
  <c r="Q58" i="10"/>
  <c r="Q55" i="10"/>
  <c r="Q46" i="10"/>
  <c r="I50" i="10"/>
  <c r="I51" i="10" s="1"/>
  <c r="I58" i="10"/>
  <c r="I55" i="10"/>
  <c r="I56" i="10" s="1"/>
  <c r="I46" i="10"/>
  <c r="D50" i="10"/>
  <c r="D46" i="10"/>
  <c r="C46" i="10"/>
  <c r="C50" i="10"/>
  <c r="M50" i="10"/>
  <c r="M58" i="10"/>
  <c r="M55" i="10"/>
  <c r="M46" i="10"/>
  <c r="CJ186" i="7"/>
  <c r="CO186" i="7" s="1"/>
  <c r="CJ174" i="7"/>
  <c r="CO174" i="7" s="1"/>
  <c r="CJ153" i="7"/>
  <c r="CO153" i="7" s="1"/>
  <c r="CJ143" i="7"/>
  <c r="CO133" i="7"/>
  <c r="CB133" i="7"/>
  <c r="CC123" i="7"/>
  <c r="CH113" i="7"/>
  <c r="CC113" i="7"/>
  <c r="BH156" i="7"/>
  <c r="BH155" i="7"/>
  <c r="P154" i="7"/>
  <c r="U154" i="7" s="1"/>
  <c r="U134" i="7"/>
  <c r="L154" i="7"/>
  <c r="Q134" i="7"/>
  <c r="CP115" i="7"/>
  <c r="CK115" i="7"/>
  <c r="CK125" i="7"/>
  <c r="BV116" i="7"/>
  <c r="BQ116" i="7"/>
  <c r="BQ126" i="7"/>
  <c r="CC85" i="7"/>
  <c r="CH85" i="7"/>
  <c r="BX187" i="7"/>
  <c r="BX154" i="7"/>
  <c r="BU150" i="7"/>
  <c r="BR114" i="7"/>
  <c r="BM114" i="7"/>
  <c r="BM124" i="7"/>
  <c r="BL150" i="7"/>
  <c r="BL140" i="7"/>
  <c r="BL136" i="7"/>
  <c r="BL134" i="7"/>
  <c r="BQ130" i="7"/>
  <c r="BL171" i="7"/>
  <c r="BL135" i="7"/>
  <c r="BQ135" i="7" s="1"/>
  <c r="CN185" i="7"/>
  <c r="CN173" i="7"/>
  <c r="CN152" i="7"/>
  <c r="CN156" i="7" s="1"/>
  <c r="CS156" i="7" s="1"/>
  <c r="CN142" i="7"/>
  <c r="CS132" i="7"/>
  <c r="BZ49" i="3"/>
  <c r="CE75" i="3" s="1"/>
  <c r="BZ41" i="3"/>
  <c r="BZ24" i="3"/>
  <c r="CE61" i="3"/>
  <c r="CB185" i="7"/>
  <c r="CB173" i="7"/>
  <c r="CB152" i="7"/>
  <c r="CB142" i="7"/>
  <c r="CG132" i="7"/>
  <c r="BZ115" i="7"/>
  <c r="BU115" i="7"/>
  <c r="BU125" i="7"/>
  <c r="AW115" i="7"/>
  <c r="BB115" i="7"/>
  <c r="AW125" i="7"/>
  <c r="Y154" i="7"/>
  <c r="AB187" i="7"/>
  <c r="AB154" i="7"/>
  <c r="AG154" i="7" s="1"/>
  <c r="AG134" i="7"/>
  <c r="R24" i="3"/>
  <c r="R61" i="3"/>
  <c r="R49" i="3"/>
  <c r="R41" i="3"/>
  <c r="BV115" i="7"/>
  <c r="BQ115" i="7"/>
  <c r="BQ125" i="7"/>
  <c r="BH174" i="7"/>
  <c r="BH153" i="7"/>
  <c r="BH143" i="7"/>
  <c r="BM133" i="7"/>
  <c r="BI133" i="7"/>
  <c r="BM130" i="7"/>
  <c r="BM171" i="7"/>
  <c r="BH176" i="7"/>
  <c r="BH177" i="7"/>
  <c r="W24" i="3"/>
  <c r="W61" i="3"/>
  <c r="AB61" i="3"/>
  <c r="W41" i="3"/>
  <c r="W49" i="3"/>
  <c r="AT86" i="7"/>
  <c r="AO86" i="7"/>
  <c r="BX186" i="7"/>
  <c r="BX153" i="7"/>
  <c r="BX143" i="7"/>
  <c r="CC133" i="7"/>
  <c r="AK125" i="7"/>
  <c r="AK115" i="7"/>
  <c r="AK116" i="7"/>
  <c r="AK126" i="7"/>
  <c r="BD187" i="7"/>
  <c r="BD175" i="7"/>
  <c r="BD154" i="7"/>
  <c r="BI134" i="7"/>
  <c r="BD188" i="7"/>
  <c r="D189" i="7"/>
  <c r="D188" i="7"/>
  <c r="BH184" i="7"/>
  <c r="BM141" i="7"/>
  <c r="BU171" i="7"/>
  <c r="BZ76" i="7"/>
  <c r="BY76" i="7"/>
  <c r="CD76" i="7"/>
  <c r="BD185" i="7"/>
  <c r="BD189" i="7" s="1"/>
  <c r="BD173" i="7"/>
  <c r="BD177" i="7" s="1"/>
  <c r="BI177" i="7" s="1"/>
  <c r="BI132" i="7"/>
  <c r="BD152" i="7"/>
  <c r="BE132" i="7"/>
  <c r="AZ134" i="7"/>
  <c r="BL153" i="7"/>
  <c r="BL174" i="7"/>
  <c r="BL143" i="7"/>
  <c r="BL186" i="7" s="1"/>
  <c r="BQ133" i="7"/>
  <c r="AX85" i="7"/>
  <c r="AS85" i="7"/>
  <c r="CH76" i="7"/>
  <c r="CG76" i="7"/>
  <c r="CL76" i="7"/>
  <c r="BU124" i="7"/>
  <c r="BU114" i="7"/>
  <c r="BZ114" i="7"/>
  <c r="AV185" i="7"/>
  <c r="BA185" i="7" s="1"/>
  <c r="AV173" i="7"/>
  <c r="BA173" i="7" s="1"/>
  <c r="AV152" i="7"/>
  <c r="BA152" i="7" s="1"/>
  <c r="BA132" i="7"/>
  <c r="AR240" i="7"/>
  <c r="AR186" i="7"/>
  <c r="AW186" i="7" s="1"/>
  <c r="AR153" i="7"/>
  <c r="AW153" i="7" s="1"/>
  <c r="AR174" i="7"/>
  <c r="AW174" i="7" s="1"/>
  <c r="AW133" i="7"/>
  <c r="AN185" i="7"/>
  <c r="AN173" i="7"/>
  <c r="AN152" i="7"/>
  <c r="BB114" i="7"/>
  <c r="AW114" i="7"/>
  <c r="AW124" i="7"/>
  <c r="CR185" i="7"/>
  <c r="CR173" i="7"/>
  <c r="CR142" i="7"/>
  <c r="CR152" i="7"/>
  <c r="CC172" i="7"/>
  <c r="CG85" i="7"/>
  <c r="CL85" i="7"/>
  <c r="CG73" i="7"/>
  <c r="CH73" i="7"/>
  <c r="CL73" i="7"/>
  <c r="AJ185" i="7"/>
  <c r="AJ152" i="7"/>
  <c r="AO132" i="7"/>
  <c r="AK132" i="7"/>
  <c r="AR184" i="7"/>
  <c r="AW184" i="7" s="1"/>
  <c r="AR172" i="7"/>
  <c r="AW172" i="7" s="1"/>
  <c r="AR151" i="7"/>
  <c r="AW151" i="7" s="1"/>
  <c r="AW131" i="7"/>
  <c r="BM136" i="7"/>
  <c r="AO84" i="7"/>
  <c r="AT84" i="7"/>
  <c r="BI171" i="7"/>
  <c r="BD176" i="7"/>
  <c r="BI176" i="7" s="1"/>
  <c r="CN146" i="7"/>
  <c r="CS146" i="7" s="1"/>
  <c r="CN145" i="7"/>
  <c r="CS145" i="7" s="1"/>
  <c r="CK183" i="7"/>
  <c r="BX185" i="7"/>
  <c r="CC185" i="7" s="1"/>
  <c r="BX142" i="7"/>
  <c r="BX146" i="7" s="1"/>
  <c r="CC132" i="7"/>
  <c r="BX152" i="7"/>
  <c r="CC152" i="7" s="1"/>
  <c r="CO132" i="7"/>
  <c r="AB188" i="7"/>
  <c r="AC183" i="7"/>
  <c r="AB189" i="7"/>
  <c r="AG183" i="7"/>
  <c r="BR76" i="7"/>
  <c r="BQ76" i="7"/>
  <c r="BV76" i="7"/>
  <c r="D187" i="7"/>
  <c r="AJ184" i="7"/>
  <c r="AJ151" i="7"/>
  <c r="CV93" i="7"/>
  <c r="CO22" i="3" s="1" a="1"/>
  <c r="CW92" i="7"/>
  <c r="BM135" i="7"/>
  <c r="CF133" i="7"/>
  <c r="CG123" i="7"/>
  <c r="CL113" i="7"/>
  <c r="CG113" i="7"/>
  <c r="Q150" i="7"/>
  <c r="L156" i="7"/>
  <c r="Q156" i="7" s="1"/>
  <c r="L155" i="7"/>
  <c r="Q155" i="7" s="1"/>
  <c r="CF185" i="7"/>
  <c r="CF152" i="7"/>
  <c r="CK132" i="7"/>
  <c r="CF173" i="7"/>
  <c r="CF142" i="7"/>
  <c r="AJ186" i="7"/>
  <c r="AJ153" i="7"/>
  <c r="AK153" i="7" s="1"/>
  <c r="P62" i="3" s="1"/>
  <c r="AO133" i="7"/>
  <c r="CP114" i="7"/>
  <c r="CK114" i="7"/>
  <c r="CK124" i="7"/>
  <c r="CJ183" i="7"/>
  <c r="CJ171" i="7"/>
  <c r="CJ140" i="7"/>
  <c r="CJ150" i="7"/>
  <c r="CJ134" i="7"/>
  <c r="CJ136" i="7"/>
  <c r="CJ135" i="7"/>
  <c r="CO135" i="7" s="1"/>
  <c r="CO130" i="7"/>
  <c r="CH86" i="7"/>
  <c r="CC86" i="7"/>
  <c r="CD86" i="7"/>
  <c r="BI136" i="7"/>
  <c r="AG151" i="7"/>
  <c r="CN136" i="7"/>
  <c r="CS150" i="7"/>
  <c r="CN155" i="7"/>
  <c r="CS155" i="7" s="1"/>
  <c r="BX144" i="7"/>
  <c r="AL10" i="13" s="1"/>
  <c r="AL16" i="13" s="1"/>
  <c r="BX145" i="7"/>
  <c r="CC145" i="7" s="1"/>
  <c r="BX156" i="7"/>
  <c r="BX155" i="7"/>
  <c r="CC155" i="7" s="1"/>
  <c r="CC150" i="7"/>
  <c r="BQ73" i="7"/>
  <c r="BR73" i="7"/>
  <c r="BV73" i="7"/>
  <c r="CR183" i="7"/>
  <c r="CW183" i="7" s="1"/>
  <c r="CR171" i="7"/>
  <c r="CR150" i="7"/>
  <c r="CR140" i="7"/>
  <c r="CR136" i="7"/>
  <c r="CW130" i="7"/>
  <c r="CR135" i="7"/>
  <c r="Y153" i="7"/>
  <c r="F62" i="3" s="1"/>
  <c r="BU183" i="7"/>
  <c r="BP186" i="7"/>
  <c r="BP153" i="7"/>
  <c r="BP174" i="7"/>
  <c r="BP143" i="7"/>
  <c r="BU133" i="7"/>
  <c r="BM116" i="7"/>
  <c r="BR116" i="7"/>
  <c r="BM126" i="7"/>
  <c r="BM115" i="7"/>
  <c r="BR115" i="7"/>
  <c r="BM125" i="7"/>
  <c r="BP49" i="3"/>
  <c r="BP24" i="3"/>
  <c r="BP61" i="3"/>
  <c r="BP41" i="3"/>
  <c r="BZ74" i="7"/>
  <c r="BY74" i="7"/>
  <c r="CD74" i="7"/>
  <c r="CR37" i="3"/>
  <c r="CO37" i="3"/>
  <c r="CQ37" i="3"/>
  <c r="CP37" i="3"/>
  <c r="BE171" i="7"/>
  <c r="BE150" i="7"/>
  <c r="CP76" i="7"/>
  <c r="CO76" i="7"/>
  <c r="CT76" i="7"/>
  <c r="AN186" i="7"/>
  <c r="AN174" i="7"/>
  <c r="AN153" i="7"/>
  <c r="AS153" i="7" s="1"/>
  <c r="AS133" i="7"/>
  <c r="CN187" i="7"/>
  <c r="CS187" i="7" s="1"/>
  <c r="CN175" i="7"/>
  <c r="CN154" i="7"/>
  <c r="CS154" i="7" s="1"/>
  <c r="CS134" i="7"/>
  <c r="CN144" i="7"/>
  <c r="CK150" i="7"/>
  <c r="AS86" i="7"/>
  <c r="AX86" i="7"/>
  <c r="AR130" i="7"/>
  <c r="AS120" i="7"/>
  <c r="AR114" i="7"/>
  <c r="AX110" i="7"/>
  <c r="AR116" i="7"/>
  <c r="AR115" i="7"/>
  <c r="AS110" i="7"/>
  <c r="CH74" i="7"/>
  <c r="CG74" i="7"/>
  <c r="CL74" i="7"/>
  <c r="BU126" i="7"/>
  <c r="BZ116" i="7"/>
  <c r="BU116" i="7"/>
  <c r="CV94" i="7"/>
  <c r="AC33" i="10" s="1"/>
  <c r="AD33" i="10" s="1"/>
  <c r="AE33" i="10" s="1"/>
  <c r="AF33" i="10" s="1"/>
  <c r="AG33" i="10" s="1"/>
  <c r="CO184" i="7"/>
  <c r="CC151" i="7"/>
  <c r="AF156" i="7"/>
  <c r="CL84" i="7"/>
  <c r="CG84" i="7"/>
  <c r="AI132" i="65"/>
  <c r="CF131" i="7"/>
  <c r="CG111" i="7"/>
  <c r="CG121" i="7"/>
  <c r="CL111" i="7"/>
  <c r="CH111" i="7"/>
  <c r="CF114" i="7"/>
  <c r="CF115" i="7"/>
  <c r="CF116" i="7"/>
  <c r="BN114" i="7"/>
  <c r="T156" i="7"/>
  <c r="Y156" i="7" s="1"/>
  <c r="AL115" i="7"/>
  <c r="BT186" i="7"/>
  <c r="BY186" i="7" s="1"/>
  <c r="BT174" i="7"/>
  <c r="BT153" i="7"/>
  <c r="BY153" i="7" s="1"/>
  <c r="BT143" i="7"/>
  <c r="BY133" i="7"/>
  <c r="AT85" i="7"/>
  <c r="AO85" i="7"/>
  <c r="CV205" i="7"/>
  <c r="CV206" i="7" s="1"/>
  <c r="CV207" i="7" s="1"/>
  <c r="CS115" i="7"/>
  <c r="CX115" i="7"/>
  <c r="CS125" i="7"/>
  <c r="AC154" i="7"/>
  <c r="AT74" i="7"/>
  <c r="AS74" i="7"/>
  <c r="AX74" i="7"/>
  <c r="AS84" i="7"/>
  <c r="AX84" i="7"/>
  <c r="CG86" i="7"/>
  <c r="CL86" i="7"/>
  <c r="CV222" i="7"/>
  <c r="CP39" i="3"/>
  <c r="BP184" i="7"/>
  <c r="BU184" i="7" s="1"/>
  <c r="BP172" i="7"/>
  <c r="BU172" i="7" s="1"/>
  <c r="BP151" i="7"/>
  <c r="BU151" i="7" s="1"/>
  <c r="BP141" i="7"/>
  <c r="BU131" i="7"/>
  <c r="BR74" i="7"/>
  <c r="BQ74" i="7"/>
  <c r="BV74" i="7"/>
  <c r="AK184" i="7"/>
  <c r="AZ184" i="7"/>
  <c r="AZ189" i="7" s="1"/>
  <c r="BE189" i="7" s="1"/>
  <c r="AZ172" i="7"/>
  <c r="AZ176" i="7" s="1"/>
  <c r="AZ151" i="7"/>
  <c r="AZ156" i="7" s="1"/>
  <c r="BE156" i="7" s="1"/>
  <c r="BE131" i="7"/>
  <c r="BA131" i="7"/>
  <c r="BH154" i="7"/>
  <c r="BH175" i="7"/>
  <c r="BM134" i="7"/>
  <c r="BH183" i="7"/>
  <c r="BI183" i="7" s="1"/>
  <c r="BH144" i="7"/>
  <c r="BH146" i="7"/>
  <c r="BH145" i="7"/>
  <c r="BM140" i="7"/>
  <c r="CK116" i="7"/>
  <c r="CP116" i="7"/>
  <c r="CK126" i="7"/>
  <c r="H154" i="7"/>
  <c r="M154" i="7" s="1"/>
  <c r="M134" i="7"/>
  <c r="AN130" i="7"/>
  <c r="AO120" i="7"/>
  <c r="AO110" i="7"/>
  <c r="AT110" i="7"/>
  <c r="AN116" i="7"/>
  <c r="AN114" i="7"/>
  <c r="AN115" i="7"/>
  <c r="CD113" i="7"/>
  <c r="CC84" i="7"/>
  <c r="CH84" i="7"/>
  <c r="AI125" i="65"/>
  <c r="CD84" i="7"/>
  <c r="CB130" i="7"/>
  <c r="CC120" i="7"/>
  <c r="CC110" i="7"/>
  <c r="CB116" i="7"/>
  <c r="CH110" i="7"/>
  <c r="CB115" i="7"/>
  <c r="CB114" i="7"/>
  <c r="AK114" i="7"/>
  <c r="AK124" i="7"/>
  <c r="AL114" i="7"/>
  <c r="AJ183" i="7"/>
  <c r="AJ150" i="7"/>
  <c r="AJ135" i="7"/>
  <c r="AJ136" i="7"/>
  <c r="AJ134" i="7"/>
  <c r="AO130" i="7"/>
  <c r="AK130" i="7"/>
  <c r="BD155" i="7"/>
  <c r="BI155" i="7" s="1"/>
  <c r="BD156" i="7"/>
  <c r="BI156" i="7" s="1"/>
  <c r="BI150" i="7"/>
  <c r="CN188" i="7"/>
  <c r="CS188" i="7" s="1"/>
  <c r="CS135" i="7"/>
  <c r="CN176" i="7"/>
  <c r="CS176" i="7" s="1"/>
  <c r="CN177" i="7"/>
  <c r="CS177" i="7" s="1"/>
  <c r="CS171" i="7"/>
  <c r="BX136" i="7"/>
  <c r="BX189" i="7"/>
  <c r="CC183" i="7"/>
  <c r="BX188" i="7"/>
  <c r="CC188" i="7" s="1"/>
  <c r="CR208" i="7"/>
  <c r="CX116" i="7"/>
  <c r="CS116" i="7"/>
  <c r="CS126" i="7"/>
  <c r="BY152" i="7"/>
  <c r="BP136" i="7"/>
  <c r="BP144" i="7"/>
  <c r="AH10" i="13" s="1"/>
  <c r="AH16" i="13" s="1"/>
  <c r="BP146" i="7"/>
  <c r="BP145" i="7"/>
  <c r="AF188" i="7"/>
  <c r="AC134" i="7"/>
  <c r="AZ136" i="7"/>
  <c r="BE136" i="7" s="1"/>
  <c r="BE183" i="7"/>
  <c r="AN131" i="7"/>
  <c r="AO131" i="7" s="1"/>
  <c r="AO121" i="7"/>
  <c r="AT111" i="7"/>
  <c r="AO111" i="7"/>
  <c r="CP74" i="7"/>
  <c r="CO74" i="7"/>
  <c r="CT74" i="7"/>
  <c r="CK171" i="7"/>
  <c r="BT183" i="7"/>
  <c r="BT150" i="7"/>
  <c r="BT171" i="7"/>
  <c r="BT140" i="7"/>
  <c r="BY130" i="7"/>
  <c r="BT135" i="7"/>
  <c r="BY135" i="7" s="1"/>
  <c r="BT136" i="7"/>
  <c r="BY136" i="7" s="1"/>
  <c r="BT134" i="7"/>
  <c r="BV114" i="7"/>
  <c r="BQ114" i="7"/>
  <c r="BQ124" i="7"/>
  <c r="AW116" i="7"/>
  <c r="BB116" i="7"/>
  <c r="AW126" i="7"/>
  <c r="AV183" i="7"/>
  <c r="AV171" i="7"/>
  <c r="AV150" i="7"/>
  <c r="AV136" i="7"/>
  <c r="AV134" i="7"/>
  <c r="X10" i="13" s="1"/>
  <c r="X16" i="13" s="1"/>
  <c r="BA130" i="7"/>
  <c r="AV135" i="7"/>
  <c r="BA135" i="7" s="1"/>
  <c r="AZ186" i="7"/>
  <c r="AZ174" i="7"/>
  <c r="AZ153" i="7"/>
  <c r="BE133" i="7"/>
  <c r="BA133" i="7"/>
  <c r="AF155" i="7"/>
  <c r="AG150" i="7"/>
  <c r="AB156" i="7"/>
  <c r="AG156" i="7" s="1"/>
  <c r="AB155" i="7"/>
  <c r="AG155" i="7" s="1"/>
  <c r="AG184" i="7"/>
  <c r="AC150" i="7"/>
  <c r="AR132" i="7"/>
  <c r="AS122" i="7"/>
  <c r="AX112" i="7"/>
  <c r="AS112" i="7"/>
  <c r="BU185" i="7"/>
  <c r="CV96" i="7"/>
  <c r="CW96" i="7" s="1"/>
  <c r="AZ118" i="6"/>
  <c r="AZ128" i="6"/>
  <c r="AI120" i="6"/>
  <c r="AK120" i="6" s="1"/>
  <c r="AM120" i="6" s="1"/>
  <c r="D120" i="6"/>
  <c r="H120" i="6" s="1"/>
  <c r="U120" i="6"/>
  <c r="W120" i="6" s="1"/>
  <c r="BA120" i="6"/>
  <c r="AU129" i="30"/>
  <c r="AV129" i="30"/>
  <c r="S127" i="6"/>
  <c r="S111" i="6"/>
  <c r="AY134" i="6"/>
  <c r="AP174" i="6"/>
  <c r="AQ167" i="6"/>
  <c r="AZ177" i="6"/>
  <c r="AM160" i="6"/>
  <c r="AK164" i="6"/>
  <c r="AM164" i="6" s="1"/>
  <c r="AP176" i="6"/>
  <c r="AQ169" i="6"/>
  <c r="AR169" i="6" s="1"/>
  <c r="AS352" i="30"/>
  <c r="Z108" i="8" s="1"/>
  <c r="AI108" i="6"/>
  <c r="AY121" i="6"/>
  <c r="S65" i="30"/>
  <c r="D72" i="30" s="1"/>
  <c r="H72" i="30" s="1"/>
  <c r="AS66" i="30"/>
  <c r="Q9" i="8" s="1"/>
  <c r="AU65" i="30"/>
  <c r="AM113" i="6"/>
  <c r="AP168" i="6"/>
  <c r="AP171" i="6" s="1"/>
  <c r="AQ161" i="6"/>
  <c r="AR161" i="6" s="1"/>
  <c r="W98" i="6"/>
  <c r="AW129" i="6"/>
  <c r="R241" i="8" s="1"/>
  <c r="U9" i="10" s="1"/>
  <c r="AZ119" i="6"/>
  <c r="AZ135" i="6"/>
  <c r="S112" i="6"/>
  <c r="AM174" i="6"/>
  <c r="AF92" i="6"/>
  <c r="P92" i="6"/>
  <c r="AU159" i="30"/>
  <c r="AU166" i="30"/>
  <c r="AV159" i="30"/>
  <c r="AP177" i="6"/>
  <c r="AQ170" i="6"/>
  <c r="AR170" i="6" s="1"/>
  <c r="D267" i="30"/>
  <c r="H267" i="30" s="1"/>
  <c r="AI260" i="30"/>
  <c r="D260" i="30"/>
  <c r="H260" i="30" s="1"/>
  <c r="S261" i="30"/>
  <c r="BA181" i="6"/>
  <c r="AZ181" i="6"/>
  <c r="AF176" i="6"/>
  <c r="P176" i="6"/>
  <c r="AU128" i="30"/>
  <c r="AY184" i="6"/>
  <c r="AF164" i="6"/>
  <c r="P91" i="6"/>
  <c r="AF91" i="6"/>
  <c r="AU45" i="30"/>
  <c r="AU38" i="30"/>
  <c r="AV38" i="30"/>
  <c r="P105" i="6"/>
  <c r="AF105" i="6"/>
  <c r="AU157" i="6"/>
  <c r="AW157" i="6"/>
  <c r="AT164" i="6"/>
  <c r="W139" i="65" s="1"/>
  <c r="AW164" i="6"/>
  <c r="AX164" i="6" s="1"/>
  <c r="AV345" i="30"/>
  <c r="AU345" i="30"/>
  <c r="AU31" i="30"/>
  <c r="AV31" i="30"/>
  <c r="AI158" i="30"/>
  <c r="D158" i="30"/>
  <c r="H158" i="30" s="1"/>
  <c r="D165" i="30"/>
  <c r="H165" i="30" s="1"/>
  <c r="S159" i="30"/>
  <c r="AI138" i="30"/>
  <c r="J58" i="8" s="1"/>
  <c r="U138" i="30"/>
  <c r="D145" i="30"/>
  <c r="H145" i="30" s="1"/>
  <c r="H108" i="6"/>
  <c r="AI253" i="30"/>
  <c r="D253" i="30"/>
  <c r="H253" i="30" s="1"/>
  <c r="S254" i="30"/>
  <c r="D254" i="30" s="1"/>
  <c r="H254" i="30" s="1"/>
  <c r="AW150" i="6"/>
  <c r="AX150" i="6" s="1"/>
  <c r="AU143" i="6"/>
  <c r="AW143" i="6"/>
  <c r="AV310" i="30"/>
  <c r="S93" i="6"/>
  <c r="D44" i="30"/>
  <c r="H44" i="30" s="1"/>
  <c r="S38" i="30"/>
  <c r="AI37" i="30"/>
  <c r="D37" i="30"/>
  <c r="H37" i="30" s="1"/>
  <c r="AM252" i="30"/>
  <c r="AK247" i="30"/>
  <c r="AM247" i="30" s="1"/>
  <c r="P182" i="6"/>
  <c r="AF106" i="6"/>
  <c r="P106" i="6"/>
  <c r="AZ133" i="6"/>
  <c r="AZ132" i="6"/>
  <c r="AR160" i="6"/>
  <c r="AV122" i="30"/>
  <c r="AU122" i="30"/>
  <c r="S86" i="6"/>
  <c r="S31" i="30"/>
  <c r="AI30" i="30"/>
  <c r="D30" i="30"/>
  <c r="H30" i="30" s="1"/>
  <c r="AU186" i="30"/>
  <c r="S186" i="30"/>
  <c r="AU254" i="30"/>
  <c r="AV254" i="30"/>
  <c r="AV261" i="30"/>
  <c r="AU261" i="30"/>
  <c r="AU268" i="30"/>
  <c r="AF66" i="6"/>
  <c r="D62" i="30"/>
  <c r="H62" i="30" s="1"/>
  <c r="AI62" i="30"/>
  <c r="BB101" i="30"/>
  <c r="BD97" i="30"/>
  <c r="BE97" i="30" s="1"/>
  <c r="S184" i="30"/>
  <c r="AU184" i="30"/>
  <c r="U294" i="30"/>
  <c r="AI294" i="30"/>
  <c r="AK294" i="30" s="1"/>
  <c r="D294" i="30"/>
  <c r="H294" i="30" s="1"/>
  <c r="D301" i="30"/>
  <c r="H301" i="30" s="1"/>
  <c r="S285" i="30"/>
  <c r="AU285" i="30"/>
  <c r="AS289" i="30"/>
  <c r="AZ434" i="30"/>
  <c r="AI72" i="30"/>
  <c r="AF271" i="30"/>
  <c r="BI308" i="30"/>
  <c r="BB308" i="30" s="1"/>
  <c r="BG310" i="30"/>
  <c r="S282" i="30"/>
  <c r="D282" i="30" s="1"/>
  <c r="H282" i="30" s="1"/>
  <c r="AI278" i="30"/>
  <c r="D278" i="30"/>
  <c r="H278" i="30" s="1"/>
  <c r="AU79" i="30"/>
  <c r="S79" i="30"/>
  <c r="AV204" i="30"/>
  <c r="AS204" i="30" s="1"/>
  <c r="AS83" i="30"/>
  <c r="AV90" i="30"/>
  <c r="AZ432" i="30"/>
  <c r="D70" i="30"/>
  <c r="H70" i="30" s="1"/>
  <c r="AI70" i="30"/>
  <c r="AK70" i="30" s="1"/>
  <c r="AM70" i="30" s="1"/>
  <c r="U70" i="30"/>
  <c r="W70" i="30" s="1"/>
  <c r="AU286" i="30"/>
  <c r="S286" i="30"/>
  <c r="BD100" i="30"/>
  <c r="BE100" i="30" s="1"/>
  <c r="BD98" i="30"/>
  <c r="BE98" i="30" s="1"/>
  <c r="W379" i="30"/>
  <c r="AI275" i="30"/>
  <c r="AV205" i="30"/>
  <c r="AS205" i="30" s="1"/>
  <c r="AV91" i="30"/>
  <c r="AS84" i="30"/>
  <c r="AF280" i="30"/>
  <c r="P280" i="30"/>
  <c r="AI287" i="30"/>
  <c r="AK287" i="30" s="1"/>
  <c r="AM287" i="30" s="1"/>
  <c r="D287" i="30"/>
  <c r="H287" i="30" s="1"/>
  <c r="U287" i="30"/>
  <c r="W287" i="30" s="1"/>
  <c r="AV207" i="30"/>
  <c r="AS207" i="30" s="1"/>
  <c r="AV93" i="30"/>
  <c r="AS86" i="30"/>
  <c r="AS80" i="30"/>
  <c r="S9" i="8" s="1"/>
  <c r="S76" i="30"/>
  <c r="AU76" i="30"/>
  <c r="AV206" i="30"/>
  <c r="AS206" i="30" s="1"/>
  <c r="AS85" i="30"/>
  <c r="AV92" i="30"/>
  <c r="AZ348" i="30"/>
  <c r="AM257" i="30"/>
  <c r="AS293" i="30"/>
  <c r="AV191" i="30"/>
  <c r="AS191" i="30" s="1"/>
  <c r="W50" i="30"/>
  <c r="W57" i="30"/>
  <c r="BD99" i="30"/>
  <c r="BE99" i="30" s="1"/>
  <c r="AF272" i="30"/>
  <c r="P272" i="30"/>
  <c r="AU183" i="30"/>
  <c r="AS187" i="30"/>
  <c r="Q60" i="8" s="1"/>
  <c r="Q61" i="8" s="1"/>
  <c r="S183" i="30"/>
  <c r="S118" i="6" s="1"/>
  <c r="D185" i="30"/>
  <c r="H185" i="30" s="1"/>
  <c r="AI185" i="30"/>
  <c r="AK185" i="30" s="1"/>
  <c r="AM185" i="30" s="1"/>
  <c r="U185" i="30"/>
  <c r="W185" i="30" s="1"/>
  <c r="AI279" i="30"/>
  <c r="AK279" i="30" s="1"/>
  <c r="AM279" i="30" s="1"/>
  <c r="D279" i="30"/>
  <c r="H279" i="30" s="1"/>
  <c r="U279" i="30"/>
  <c r="W279" i="30" s="1"/>
  <c r="AZ431" i="30"/>
  <c r="S73" i="30"/>
  <c r="D69" i="30"/>
  <c r="H69" i="30" s="1"/>
  <c r="AI69" i="30"/>
  <c r="AU77" i="30"/>
  <c r="S77" i="30"/>
  <c r="S133" i="6" s="1"/>
  <c r="BA133" i="6" s="1"/>
  <c r="AI288" i="30"/>
  <c r="D288" i="30"/>
  <c r="H288" i="30" s="1"/>
  <c r="AK64" i="30"/>
  <c r="AY349" i="30"/>
  <c r="AZ349" i="30" s="1"/>
  <c r="D192" i="30"/>
  <c r="H192" i="30" s="1"/>
  <c r="AI192" i="30"/>
  <c r="AK192" i="30" s="1"/>
  <c r="AM192" i="30" s="1"/>
  <c r="U192" i="30"/>
  <c r="W192" i="30" s="1"/>
  <c r="AU200" i="30"/>
  <c r="S200" i="30"/>
  <c r="AI177" i="30"/>
  <c r="AK177" i="30" s="1"/>
  <c r="AM177" i="30" s="1"/>
  <c r="D177" i="30"/>
  <c r="H177" i="30" s="1"/>
  <c r="U177" i="30"/>
  <c r="W177" i="30" s="1"/>
  <c r="AS201" i="30"/>
  <c r="S60" i="8" s="1"/>
  <c r="S197" i="30"/>
  <c r="BO122" i="30"/>
  <c r="BO111" i="30"/>
  <c r="D176" i="30"/>
  <c r="H176" i="30" s="1"/>
  <c r="AI176" i="30"/>
  <c r="S180" i="30"/>
  <c r="S78" i="30"/>
  <c r="S134" i="6" s="1"/>
  <c r="AU78" i="30"/>
  <c r="AY122" i="30"/>
  <c r="AZ122" i="30" s="1"/>
  <c r="AZ121" i="30"/>
  <c r="AY393" i="30"/>
  <c r="BR112" i="30"/>
  <c r="BR111" i="30"/>
  <c r="BR122" i="30"/>
  <c r="BR114" i="30"/>
  <c r="BR113" i="30"/>
  <c r="AZ433" i="30"/>
  <c r="D71" i="30"/>
  <c r="H71" i="30" s="1"/>
  <c r="AI71" i="30"/>
  <c r="AK71" i="30" s="1"/>
  <c r="AM71" i="30" s="1"/>
  <c r="U71" i="30"/>
  <c r="W71" i="30" s="1"/>
  <c r="AU193" i="30"/>
  <c r="S193" i="30"/>
  <c r="S128" i="6" s="1"/>
  <c r="AK308" i="30"/>
  <c r="D302" i="30"/>
  <c r="H302" i="30" s="1"/>
  <c r="AI295" i="30"/>
  <c r="D295" i="30"/>
  <c r="H295" i="30" s="1"/>
  <c r="BP115" i="30"/>
  <c r="BP105" i="30"/>
  <c r="BP104" i="30"/>
  <c r="BP106" i="30"/>
  <c r="AS292" i="30"/>
  <c r="AV190" i="30"/>
  <c r="AS190" i="30" s="1"/>
  <c r="AY125" i="6" s="1"/>
  <c r="AV73" i="30"/>
  <c r="AU73" i="30"/>
  <c r="AU198" i="30"/>
  <c r="S198" i="30"/>
  <c r="AF64" i="30"/>
  <c r="P64" i="30"/>
  <c r="P273" i="30"/>
  <c r="AF273" i="30"/>
  <c r="AV282" i="30"/>
  <c r="AU282" i="30"/>
  <c r="BQ115" i="30"/>
  <c r="BQ105" i="30"/>
  <c r="BQ104" i="30"/>
  <c r="BQ106" i="30"/>
  <c r="AV180" i="30"/>
  <c r="AU180" i="30"/>
  <c r="AU199" i="30"/>
  <c r="S199" i="30"/>
  <c r="BS115" i="30"/>
  <c r="BS107" i="30"/>
  <c r="BW107" i="30" s="1"/>
  <c r="BB107" i="30" s="1"/>
  <c r="BS106" i="30"/>
  <c r="BS105" i="30"/>
  <c r="BS104" i="30"/>
  <c r="U50" i="3"/>
  <c r="U28" i="3"/>
  <c r="U51" i="3"/>
  <c r="BC63" i="3"/>
  <c r="BC53" i="3"/>
  <c r="AT63" i="3"/>
  <c r="AT53" i="3"/>
  <c r="J63" i="3"/>
  <c r="J53" i="3"/>
  <c r="BB63" i="3"/>
  <c r="BB53" i="3"/>
  <c r="BL63" i="3"/>
  <c r="BL53" i="3"/>
  <c r="AE50" i="3"/>
  <c r="AE28" i="3"/>
  <c r="AE51" i="3"/>
  <c r="AM63" i="3"/>
  <c r="AM53" i="3"/>
  <c r="BN63" i="3"/>
  <c r="BN53" i="3"/>
  <c r="C78" i="3"/>
  <c r="C52" i="3"/>
  <c r="C36" i="3"/>
  <c r="BD63" i="3"/>
  <c r="BD53" i="3"/>
  <c r="AI50" i="3"/>
  <c r="AI28" i="3"/>
  <c r="AI51" i="3"/>
  <c r="BX50" i="3"/>
  <c r="BX28" i="3"/>
  <c r="BX51" i="3"/>
  <c r="AB78" i="3"/>
  <c r="AB52" i="3"/>
  <c r="AB32" i="3"/>
  <c r="AB36" i="3"/>
  <c r="M78" i="3"/>
  <c r="M52" i="3"/>
  <c r="M36" i="3"/>
  <c r="BK52" i="3"/>
  <c r="BK32" i="3"/>
  <c r="CB50" i="3"/>
  <c r="CB28" i="3"/>
  <c r="CB51" i="3"/>
  <c r="AD28" i="3"/>
  <c r="AD50" i="3"/>
  <c r="AD51" i="3"/>
  <c r="DD53" i="3"/>
  <c r="BQ50" i="3"/>
  <c r="BQ28" i="3"/>
  <c r="BQ51" i="3"/>
  <c r="I50" i="3"/>
  <c r="I28" i="3"/>
  <c r="I51" i="3"/>
  <c r="AJ63" i="3"/>
  <c r="AJ53" i="3"/>
  <c r="CG75" i="3"/>
  <c r="CF75" i="3"/>
  <c r="BW63" i="3"/>
  <c r="BW53" i="3"/>
  <c r="E78" i="3"/>
  <c r="E52" i="3"/>
  <c r="E36" i="3"/>
  <c r="BD50" i="3"/>
  <c r="BD28" i="3"/>
  <c r="BD51" i="3"/>
  <c r="AI63" i="3"/>
  <c r="AI53" i="3"/>
  <c r="BX63" i="3"/>
  <c r="BX53" i="3"/>
  <c r="DF50" i="3"/>
  <c r="DF28" i="3"/>
  <c r="DF51" i="3"/>
  <c r="S50" i="3"/>
  <c r="S28" i="3"/>
  <c r="S51" i="3"/>
  <c r="CH50" i="3"/>
  <c r="CH28" i="3"/>
  <c r="CH51" i="3"/>
  <c r="AL78" i="3"/>
  <c r="AL52" i="3"/>
  <c r="AL32" i="3"/>
  <c r="AL36" i="3"/>
  <c r="AQ78" i="3"/>
  <c r="AQ52" i="3"/>
  <c r="AQ32" i="3"/>
  <c r="AQ62" i="3" s="1"/>
  <c r="AQ36" i="3"/>
  <c r="BG50" i="3"/>
  <c r="BG28" i="3"/>
  <c r="BG51" i="3"/>
  <c r="BU50" i="3"/>
  <c r="BU28" i="3"/>
  <c r="BU51" i="3"/>
  <c r="BM50" i="3"/>
  <c r="BM28" i="3"/>
  <c r="BM51" i="3"/>
  <c r="AC50" i="3"/>
  <c r="AC28" i="3"/>
  <c r="AC51" i="3"/>
  <c r="AG50" i="3"/>
  <c r="AG28" i="3"/>
  <c r="AG51" i="3"/>
  <c r="Y50" i="3"/>
  <c r="Y28" i="3"/>
  <c r="Y51" i="3"/>
  <c r="AH50" i="3"/>
  <c r="AH28" i="3"/>
  <c r="AH51" i="3"/>
  <c r="DO80" i="3"/>
  <c r="DN79" i="3"/>
  <c r="AS63" i="3"/>
  <c r="AS53" i="3"/>
  <c r="AN63" i="3"/>
  <c r="AN53" i="3"/>
  <c r="CF63" i="3"/>
  <c r="CF53" i="3"/>
  <c r="AY63" i="3"/>
  <c r="AY53" i="3"/>
  <c r="CB63" i="3"/>
  <c r="CB53" i="3"/>
  <c r="AD63" i="3"/>
  <c r="AD53" i="3"/>
  <c r="DE77" i="3"/>
  <c r="DE52" i="3"/>
  <c r="DE36" i="3"/>
  <c r="DE32" i="3"/>
  <c r="BQ63" i="3"/>
  <c r="BQ53" i="3"/>
  <c r="I63" i="3"/>
  <c r="I53" i="3"/>
  <c r="AJ50" i="3"/>
  <c r="AJ28" i="3"/>
  <c r="AJ51" i="3"/>
  <c r="AX50" i="3"/>
  <c r="AX28" i="3"/>
  <c r="AX51" i="3"/>
  <c r="BV50" i="3"/>
  <c r="BV28" i="3"/>
  <c r="BV51" i="3"/>
  <c r="AO63" i="3"/>
  <c r="AO53" i="3"/>
  <c r="CA50" i="3"/>
  <c r="CA28" i="3"/>
  <c r="CA51" i="3"/>
  <c r="Z63" i="3"/>
  <c r="Z53" i="3"/>
  <c r="O78" i="3"/>
  <c r="O52" i="3"/>
  <c r="O36" i="3"/>
  <c r="P78" i="3"/>
  <c r="P52" i="3"/>
  <c r="P36" i="3"/>
  <c r="T50" i="3"/>
  <c r="T28" i="3"/>
  <c r="T51" i="3"/>
  <c r="X50" i="3"/>
  <c r="X28" i="3"/>
  <c r="X51" i="3"/>
  <c r="K63" i="3"/>
  <c r="K53" i="3"/>
  <c r="BH50" i="3"/>
  <c r="BH28" i="3"/>
  <c r="BH51" i="3"/>
  <c r="CC50" i="3"/>
  <c r="CC28" i="3"/>
  <c r="CC51" i="3"/>
  <c r="DF63" i="3"/>
  <c r="DF53" i="3"/>
  <c r="S63" i="3"/>
  <c r="S53" i="3"/>
  <c r="CH63" i="3"/>
  <c r="CH53" i="3"/>
  <c r="AV78" i="3"/>
  <c r="AV52" i="3"/>
  <c r="AV32" i="3"/>
  <c r="AV36" i="3"/>
  <c r="BF52" i="3"/>
  <c r="BF32" i="3"/>
  <c r="H78" i="3"/>
  <c r="H52" i="3"/>
  <c r="H36" i="3"/>
  <c r="H62" i="3" s="1"/>
  <c r="BS50" i="3"/>
  <c r="BS28" i="3"/>
  <c r="BS51" i="3"/>
  <c r="BG63" i="3"/>
  <c r="BG53" i="3"/>
  <c r="BU63" i="3"/>
  <c r="BU53" i="3"/>
  <c r="BM63" i="3"/>
  <c r="BM53" i="3"/>
  <c r="AC63" i="3"/>
  <c r="AC53" i="3"/>
  <c r="AG63" i="3"/>
  <c r="AG53" i="3"/>
  <c r="Y63" i="3"/>
  <c r="Y53" i="3"/>
  <c r="AH63" i="3"/>
  <c r="AH53" i="3"/>
  <c r="AR63" i="3"/>
  <c r="AR53" i="3"/>
  <c r="BI63" i="3"/>
  <c r="BI53" i="3"/>
  <c r="DD50" i="3"/>
  <c r="DD28" i="3"/>
  <c r="DD51" i="3"/>
  <c r="CG63" i="3"/>
  <c r="CG53" i="3"/>
  <c r="AW63" i="3"/>
  <c r="AW53" i="3"/>
  <c r="BR63" i="3"/>
  <c r="BR53" i="3"/>
  <c r="BA63" i="3"/>
  <c r="BA53" i="3"/>
  <c r="AR50" i="3"/>
  <c r="AR28" i="3"/>
  <c r="AR51" i="3"/>
  <c r="BI50" i="3"/>
  <c r="BI28" i="3"/>
  <c r="BI51" i="3"/>
  <c r="U63" i="3"/>
  <c r="U53" i="3"/>
  <c r="CG50" i="3"/>
  <c r="CG28" i="3"/>
  <c r="CG51" i="3"/>
  <c r="BC50" i="3"/>
  <c r="BC28" i="3"/>
  <c r="BC51" i="3"/>
  <c r="AW50" i="3"/>
  <c r="AW28" i="3"/>
  <c r="AW51" i="3"/>
  <c r="AT50" i="3"/>
  <c r="AT28" i="3"/>
  <c r="AT51" i="3"/>
  <c r="CE52" i="3"/>
  <c r="CE32" i="3"/>
  <c r="AS50" i="3"/>
  <c r="AS28" i="3"/>
  <c r="AS51" i="3"/>
  <c r="BR50" i="3"/>
  <c r="BR28" i="3"/>
  <c r="BR51" i="3"/>
  <c r="AN50" i="3"/>
  <c r="AN28" i="3"/>
  <c r="AN51" i="3"/>
  <c r="J50" i="3"/>
  <c r="J28" i="3"/>
  <c r="J51" i="3"/>
  <c r="CF50" i="3"/>
  <c r="CF28" i="3"/>
  <c r="CF51" i="3"/>
  <c r="BB50" i="3"/>
  <c r="BB28" i="3"/>
  <c r="BB51" i="3"/>
  <c r="AY50" i="3"/>
  <c r="AY28" i="3"/>
  <c r="AY51" i="3"/>
  <c r="BA50" i="3"/>
  <c r="BA28" i="3"/>
  <c r="BA51" i="3"/>
  <c r="AX63" i="3"/>
  <c r="AX53" i="3"/>
  <c r="BV63" i="3"/>
  <c r="BV53" i="3"/>
  <c r="AO50" i="3"/>
  <c r="AO28" i="3"/>
  <c r="AO51" i="3"/>
  <c r="CA63" i="3"/>
  <c r="CA53" i="3"/>
  <c r="Z50" i="3"/>
  <c r="Z28" i="3"/>
  <c r="Z51" i="3"/>
  <c r="BL50" i="3"/>
  <c r="BL28" i="3"/>
  <c r="BL51" i="3"/>
  <c r="AE63" i="3"/>
  <c r="AE53" i="3"/>
  <c r="BW50" i="3"/>
  <c r="BW28" i="3"/>
  <c r="BW51" i="3"/>
  <c r="AM50" i="3"/>
  <c r="AM28" i="3"/>
  <c r="AM51" i="3"/>
  <c r="BN50" i="3"/>
  <c r="BN28" i="3"/>
  <c r="BN51" i="3"/>
  <c r="D78" i="3"/>
  <c r="D52" i="3"/>
  <c r="D36" i="3"/>
  <c r="T63" i="3"/>
  <c r="T53" i="3"/>
  <c r="X63" i="3"/>
  <c r="X53" i="3"/>
  <c r="K50" i="3"/>
  <c r="K28" i="3"/>
  <c r="K51" i="3"/>
  <c r="BH63" i="3"/>
  <c r="BH53" i="3"/>
  <c r="CC63" i="3"/>
  <c r="CC53" i="3"/>
  <c r="CH75" i="3"/>
  <c r="DE63" i="3"/>
  <c r="BS63" i="3"/>
  <c r="BS53" i="3"/>
  <c r="F78" i="3"/>
  <c r="F52" i="3"/>
  <c r="F36" i="3"/>
  <c r="E80" i="62"/>
  <c r="E73" i="62"/>
  <c r="E58" i="62"/>
  <c r="F73" i="62"/>
  <c r="F58" i="62"/>
  <c r="F80" i="62"/>
  <c r="F115" i="62"/>
  <c r="F100" i="62"/>
  <c r="F122" i="62"/>
  <c r="D115" i="62"/>
  <c r="D100" i="62"/>
  <c r="F41" i="62"/>
  <c r="D166" i="62"/>
  <c r="D142" i="62"/>
  <c r="E166" i="62"/>
  <c r="E179" i="62"/>
  <c r="E142" i="62"/>
  <c r="D58" i="62"/>
  <c r="D73" i="62"/>
  <c r="E122" i="62"/>
  <c r="E115" i="62"/>
  <c r="E100" i="62"/>
  <c r="D23" i="62"/>
  <c r="D25" i="62" s="1"/>
  <c r="D34" i="62"/>
  <c r="F166" i="62"/>
  <c r="F179" i="62"/>
  <c r="F142" i="62"/>
  <c r="AH34" i="13" l="1"/>
  <c r="AH54" i="13" s="1"/>
  <c r="AH73" i="13"/>
  <c r="AL34" i="13"/>
  <c r="AL54" i="13" s="1"/>
  <c r="AL73" i="13"/>
  <c r="CK173" i="7"/>
  <c r="BP177" i="7"/>
  <c r="S51" i="10"/>
  <c r="R51" i="10"/>
  <c r="AB7" i="10"/>
  <c r="O43" i="10"/>
  <c r="O40" i="10"/>
  <c r="O45" i="10"/>
  <c r="N28" i="3"/>
  <c r="N51" i="3"/>
  <c r="N50" i="3"/>
  <c r="L245" i="8"/>
  <c r="L246" i="8" s="1"/>
  <c r="L74" i="10"/>
  <c r="L75" i="10" s="1"/>
  <c r="L39" i="10"/>
  <c r="L31" i="10"/>
  <c r="G58" i="10"/>
  <c r="G55" i="10"/>
  <c r="H56" i="10" s="1"/>
  <c r="G46" i="10"/>
  <c r="G50" i="10"/>
  <c r="H51" i="10" s="1"/>
  <c r="BP135" i="7"/>
  <c r="BP134" i="7"/>
  <c r="U72" i="12"/>
  <c r="U78" i="12" s="1"/>
  <c r="R10" i="13"/>
  <c r="R16" i="13" s="1"/>
  <c r="R34" i="13" s="1"/>
  <c r="R54" i="13" s="1"/>
  <c r="BU174" i="7"/>
  <c r="AH30" i="42"/>
  <c r="AI30" i="42" s="1"/>
  <c r="AA43" i="10"/>
  <c r="AA45" i="10"/>
  <c r="AA40" i="10"/>
  <c r="J245" i="8"/>
  <c r="J246" i="8" s="1"/>
  <c r="J74" i="10"/>
  <c r="J75" i="10" s="1"/>
  <c r="J31" i="10"/>
  <c r="J39" i="10"/>
  <c r="Z45" i="10"/>
  <c r="Z43" i="10"/>
  <c r="Z40" i="10"/>
  <c r="W56" i="10"/>
  <c r="Y45" i="10"/>
  <c r="Y43" i="10"/>
  <c r="Y40" i="10"/>
  <c r="U245" i="8"/>
  <c r="U246" i="8" s="1"/>
  <c r="X31" i="10"/>
  <c r="X73" i="10"/>
  <c r="X39" i="10"/>
  <c r="X74" i="10"/>
  <c r="X75" i="10" s="1"/>
  <c r="CJ152" i="7"/>
  <c r="CK152" i="7" s="1"/>
  <c r="CJ142" i="7"/>
  <c r="CJ173" i="7"/>
  <c r="CO173" i="7" s="1"/>
  <c r="CJ185" i="7"/>
  <c r="CO185" i="7" s="1"/>
  <c r="U75" i="10"/>
  <c r="U77" i="10"/>
  <c r="U78" i="10" s="1"/>
  <c r="U79" i="10" s="1"/>
  <c r="K245" i="8"/>
  <c r="K246" i="8" s="1"/>
  <c r="K39" i="10"/>
  <c r="K31" i="10"/>
  <c r="K74" i="10"/>
  <c r="K75" i="10" s="1"/>
  <c r="AM72" i="12"/>
  <c r="AM78" i="12" s="1"/>
  <c r="V50" i="10"/>
  <c r="W51" i="10" s="1"/>
  <c r="V46" i="10"/>
  <c r="V55" i="10"/>
  <c r="V58" i="10"/>
  <c r="W59" i="10" s="1"/>
  <c r="F57" i="13"/>
  <c r="F55" i="13"/>
  <c r="X34" i="13"/>
  <c r="X54" i="13" s="1"/>
  <c r="X73" i="13"/>
  <c r="BP175" i="7"/>
  <c r="C51" i="10"/>
  <c r="N53" i="3"/>
  <c r="N63" i="3"/>
  <c r="U43" i="10"/>
  <c r="U40" i="10"/>
  <c r="U45" i="10"/>
  <c r="AX157" i="6"/>
  <c r="V241" i="8"/>
  <c r="W112" i="8"/>
  <c r="X111" i="8"/>
  <c r="W111" i="8"/>
  <c r="J46" i="8"/>
  <c r="AB34" i="13"/>
  <c r="AB54" i="13" s="1"/>
  <c r="AB73" i="13"/>
  <c r="AQ164" i="6"/>
  <c r="AD16" i="42"/>
  <c r="AD19" i="42" s="1"/>
  <c r="AD23" i="42"/>
  <c r="W241" i="8"/>
  <c r="W70" i="10"/>
  <c r="V71" i="10"/>
  <c r="T51" i="10"/>
  <c r="CX46" i="7"/>
  <c r="CW46" i="7"/>
  <c r="AI21" i="42"/>
  <c r="AH29" i="42"/>
  <c r="AI29" i="42" s="1"/>
  <c r="CX45" i="7"/>
  <c r="CW45" i="7"/>
  <c r="BA98" i="12"/>
  <c r="AX50" i="13"/>
  <c r="I24" i="72"/>
  <c r="F24" i="72"/>
  <c r="G24" i="72"/>
  <c r="C24" i="72"/>
  <c r="J24" i="72"/>
  <c r="D24" i="72"/>
  <c r="H24" i="72"/>
  <c r="E24" i="72"/>
  <c r="BE176" i="7"/>
  <c r="CO152" i="7"/>
  <c r="AS186" i="7"/>
  <c r="CS185" i="7"/>
  <c r="AO186" i="7"/>
  <c r="CR24" i="7"/>
  <c r="AB11" i="10" s="1"/>
  <c r="AB12" i="10" s="1"/>
  <c r="CS104" i="7"/>
  <c r="CS94" i="7"/>
  <c r="CS74" i="7"/>
  <c r="CS14" i="7"/>
  <c r="Y206" i="8"/>
  <c r="Q153" i="65"/>
  <c r="D176" i="16"/>
  <c r="L176" i="16" s="1"/>
  <c r="AB152" i="65"/>
  <c r="AF152" i="65" s="1"/>
  <c r="BW104" i="30"/>
  <c r="BB104" i="30" s="1"/>
  <c r="CT43" i="7"/>
  <c r="AE24" i="42"/>
  <c r="CZ43" i="7"/>
  <c r="AF9" i="42"/>
  <c r="DB13" i="7"/>
  <c r="S4" i="73"/>
  <c r="S5" i="73" s="1"/>
  <c r="CS24" i="7"/>
  <c r="CT24" i="7" s="1"/>
  <c r="J62" i="8"/>
  <c r="K59" i="8"/>
  <c r="D180" i="30"/>
  <c r="H180" i="30" s="1"/>
  <c r="P58" i="8"/>
  <c r="AY141" i="6"/>
  <c r="AY139" i="6"/>
  <c r="Q10" i="8"/>
  <c r="AY142" i="6"/>
  <c r="AY140" i="6"/>
  <c r="S135" i="6"/>
  <c r="O63" i="8"/>
  <c r="N64" i="8"/>
  <c r="N208" i="8" s="1"/>
  <c r="R10" i="8"/>
  <c r="AB19" i="10"/>
  <c r="CZ44" i="7"/>
  <c r="CT44" i="7"/>
  <c r="CS44" i="7"/>
  <c r="AB153" i="65"/>
  <c r="T174" i="16"/>
  <c r="AM174" i="16"/>
  <c r="AI11" i="10"/>
  <c r="C4" i="72"/>
  <c r="C14" i="72" s="1"/>
  <c r="AY69" i="12"/>
  <c r="AB28" i="10"/>
  <c r="AB34" i="10"/>
  <c r="AB37" i="10"/>
  <c r="AI7" i="10"/>
  <c r="AB8" i="10"/>
  <c r="C5" i="72" s="1"/>
  <c r="AB205" i="8"/>
  <c r="AC204" i="8"/>
  <c r="AF16" i="42"/>
  <c r="AJ16" i="42"/>
  <c r="AE17" i="42"/>
  <c r="Z60" i="8"/>
  <c r="AA109" i="8"/>
  <c r="AA108" i="8" s="1"/>
  <c r="AA61" i="8"/>
  <c r="AA10" i="8"/>
  <c r="AA9" i="8" s="1"/>
  <c r="P122" i="48"/>
  <c r="Q121" i="48"/>
  <c r="AA115" i="48"/>
  <c r="AB79" i="48"/>
  <c r="AA113" i="48"/>
  <c r="AB77" i="48"/>
  <c r="L122" i="48"/>
  <c r="U122" i="48"/>
  <c r="T88" i="48"/>
  <c r="O89" i="48"/>
  <c r="W123" i="48"/>
  <c r="X87" i="48"/>
  <c r="X74" i="48"/>
  <c r="X110" i="48" s="1"/>
  <c r="X147" i="48" s="1"/>
  <c r="Y9" i="48"/>
  <c r="J92" i="48"/>
  <c r="V124" i="48"/>
  <c r="W88" i="48"/>
  <c r="Q88" i="48"/>
  <c r="R123" i="48" s="1"/>
  <c r="H88" i="48"/>
  <c r="U92" i="48"/>
  <c r="AB112" i="48"/>
  <c r="AC76" i="48"/>
  <c r="AB11" i="48"/>
  <c r="W122" i="48"/>
  <c r="X86" i="48"/>
  <c r="R88" i="48"/>
  <c r="K123" i="48"/>
  <c r="K88" i="48"/>
  <c r="K89" i="48" s="1"/>
  <c r="H89" i="48"/>
  <c r="O90" i="48"/>
  <c r="O91" i="48" s="1"/>
  <c r="L87" i="48"/>
  <c r="J93" i="48"/>
  <c r="Y119" i="48"/>
  <c r="Z83" i="48"/>
  <c r="J124" i="48"/>
  <c r="AC114" i="48"/>
  <c r="M122" i="48"/>
  <c r="AA31" i="48"/>
  <c r="P87" i="48"/>
  <c r="AC80" i="48"/>
  <c r="AB116" i="48"/>
  <c r="T122" i="48"/>
  <c r="M90" i="48"/>
  <c r="N74" i="48"/>
  <c r="N110" i="48" s="1"/>
  <c r="N147" i="48" s="1"/>
  <c r="M9" i="48"/>
  <c r="Q89" i="48"/>
  <c r="W121" i="48"/>
  <c r="X85" i="48"/>
  <c r="R122" i="48"/>
  <c r="S88" i="48"/>
  <c r="B136" i="48"/>
  <c r="C136" i="48"/>
  <c r="AB114" i="48"/>
  <c r="I90" i="48"/>
  <c r="AA117" i="48"/>
  <c r="AB81" i="48"/>
  <c r="H122" i="48"/>
  <c r="I121" i="48"/>
  <c r="Z118" i="48"/>
  <c r="AA82" i="48"/>
  <c r="X120" i="48"/>
  <c r="Y84" i="48"/>
  <c r="S122" i="48"/>
  <c r="V89" i="48"/>
  <c r="N88" i="48"/>
  <c r="AL7" i="15"/>
  <c r="T6" i="14"/>
  <c r="AL72" i="13"/>
  <c r="AJ68" i="13"/>
  <c r="AJ69" i="13" s="1"/>
  <c r="AG85" i="12"/>
  <c r="AE86" i="12"/>
  <c r="BI75" i="12"/>
  <c r="BI77" i="12"/>
  <c r="AM84" i="12"/>
  <c r="BI42" i="12"/>
  <c r="BG46" i="12"/>
  <c r="AB57" i="11"/>
  <c r="AC58" i="11"/>
  <c r="AK368" i="30"/>
  <c r="EB29" i="11"/>
  <c r="DY29" i="11"/>
  <c r="AC140" i="8"/>
  <c r="BU33" i="11"/>
  <c r="DE10" i="11"/>
  <c r="DE54" i="11" s="1"/>
  <c r="DD54" i="11" s="1"/>
  <c r="X234" i="8" s="1"/>
  <c r="X235" i="8" s="1"/>
  <c r="DH10" i="11"/>
  <c r="X41" i="8"/>
  <c r="U246" i="30"/>
  <c r="U247" i="30" s="1"/>
  <c r="W247" i="30" s="1"/>
  <c r="N246" i="30"/>
  <c r="L247" i="30"/>
  <c r="N247" i="30" s="1"/>
  <c r="P247" i="30" s="1"/>
  <c r="M175" i="8"/>
  <c r="M183" i="8"/>
  <c r="W114" i="30"/>
  <c r="U115" i="30"/>
  <c r="AC14" i="11"/>
  <c r="AB9" i="11"/>
  <c r="BS19" i="11"/>
  <c r="BS23" i="11" s="1"/>
  <c r="J165" i="30"/>
  <c r="L125" i="30"/>
  <c r="K125" i="30"/>
  <c r="L121" i="30"/>
  <c r="K121" i="30"/>
  <c r="N151" i="30"/>
  <c r="P151" i="30" s="1"/>
  <c r="U151" i="30"/>
  <c r="W151" i="30" s="1"/>
  <c r="AK364" i="30"/>
  <c r="AB365" i="30"/>
  <c r="AD364" i="30"/>
  <c r="L152" i="30"/>
  <c r="N152" i="30" s="1"/>
  <c r="P152" i="30" s="1"/>
  <c r="AD267" i="30"/>
  <c r="AB271" i="30"/>
  <c r="AB267" i="30"/>
  <c r="AD268" i="30"/>
  <c r="N145" i="30"/>
  <c r="U145" i="30"/>
  <c r="W145" i="30" s="1"/>
  <c r="Q160" i="8"/>
  <c r="L81" i="8"/>
  <c r="L77" i="8"/>
  <c r="W118" i="30"/>
  <c r="AU53" i="11"/>
  <c r="AU14" i="11"/>
  <c r="AM148" i="30"/>
  <c r="AB16" i="6"/>
  <c r="AB20" i="6"/>
  <c r="I110" i="8"/>
  <c r="I127" i="8"/>
  <c r="DK14" i="11"/>
  <c r="P145" i="30"/>
  <c r="N155" i="30"/>
  <c r="P155" i="30" s="1"/>
  <c r="U155" i="30"/>
  <c r="W155" i="30" s="1"/>
  <c r="AW19" i="11"/>
  <c r="AR23" i="11"/>
  <c r="H80" i="8"/>
  <c r="AS24" i="11"/>
  <c r="CB50" i="11"/>
  <c r="CG46" i="11"/>
  <c r="Q280" i="8"/>
  <c r="N175" i="8"/>
  <c r="N190" i="8" s="1"/>
  <c r="N183" i="8"/>
  <c r="N184" i="8" s="1"/>
  <c r="BL19" i="11"/>
  <c r="BM23" i="11"/>
  <c r="N178" i="8"/>
  <c r="N180" i="8"/>
  <c r="N181" i="8" s="1"/>
  <c r="BU42" i="11"/>
  <c r="BT38" i="11"/>
  <c r="J127" i="8"/>
  <c r="J135" i="8"/>
  <c r="K127" i="8"/>
  <c r="K142" i="8" s="1"/>
  <c r="BK28" i="11"/>
  <c r="J253" i="30"/>
  <c r="BH33" i="11"/>
  <c r="W148" i="30"/>
  <c r="N130" i="8"/>
  <c r="N126" i="8"/>
  <c r="U250" i="30"/>
  <c r="W250" i="30" s="1"/>
  <c r="N250" i="30"/>
  <c r="P250" i="30" s="1"/>
  <c r="AB151" i="30"/>
  <c r="AD151" i="30"/>
  <c r="AF151" i="30" s="1"/>
  <c r="AB155" i="30"/>
  <c r="AD152" i="30"/>
  <c r="P278" i="8"/>
  <c r="P286" i="8"/>
  <c r="P287" i="8" s="1"/>
  <c r="C27" i="8"/>
  <c r="C31" i="8"/>
  <c r="C228" i="8"/>
  <c r="L162" i="30"/>
  <c r="L158" i="30"/>
  <c r="AB375" i="30"/>
  <c r="AB371" i="30"/>
  <c r="AK371" i="30" s="1"/>
  <c r="AM371" i="30" s="1"/>
  <c r="Q25" i="42"/>
  <c r="T25" i="42"/>
  <c r="H74" i="8"/>
  <c r="H75" i="8" s="1"/>
  <c r="H72" i="8"/>
  <c r="H95" i="8" s="1"/>
  <c r="D220" i="8"/>
  <c r="D222" i="8"/>
  <c r="D223" i="8" s="1"/>
  <c r="U27" i="6"/>
  <c r="N27" i="6"/>
  <c r="P27" i="6" s="1"/>
  <c r="O169" i="8"/>
  <c r="O192" i="8" s="1"/>
  <c r="O171" i="8"/>
  <c r="O172" i="8" s="1"/>
  <c r="M115" i="8"/>
  <c r="M119" i="8" s="1"/>
  <c r="L132" i="8"/>
  <c r="L133" i="8" s="1"/>
  <c r="L120" i="8"/>
  <c r="DC69" i="3"/>
  <c r="G200" i="8"/>
  <c r="G256" i="8" s="1"/>
  <c r="G153" i="8"/>
  <c r="G104" i="8"/>
  <c r="G56" i="8"/>
  <c r="H5" i="8"/>
  <c r="Q163" i="8"/>
  <c r="Q167" i="8" s="1"/>
  <c r="Q168" i="8" s="1"/>
  <c r="P168" i="8"/>
  <c r="K121" i="8"/>
  <c r="K144" i="8" s="1"/>
  <c r="K123" i="8"/>
  <c r="K124" i="8" s="1"/>
  <c r="D20" i="8"/>
  <c r="D21" i="8" s="1"/>
  <c r="J66" i="8"/>
  <c r="J70" i="8" s="1"/>
  <c r="I71" i="8"/>
  <c r="F68" i="3"/>
  <c r="CZ68" i="3"/>
  <c r="Y20" i="8"/>
  <c r="L34" i="6"/>
  <c r="L30" i="6"/>
  <c r="X22" i="8"/>
  <c r="X48" i="8" s="1"/>
  <c r="X24" i="8"/>
  <c r="X25" i="8" s="1"/>
  <c r="S270" i="8"/>
  <c r="S271" i="8" s="1"/>
  <c r="E219" i="8"/>
  <c r="F209" i="8"/>
  <c r="F218" i="8" s="1"/>
  <c r="H47" i="48" s="1"/>
  <c r="CV66" i="3"/>
  <c r="CV82" i="3" s="1"/>
  <c r="J37" i="6"/>
  <c r="N23" i="6"/>
  <c r="P23" i="6" s="1"/>
  <c r="U23" i="6"/>
  <c r="W23" i="6" s="1"/>
  <c r="L24" i="6"/>
  <c r="N24" i="6" s="1"/>
  <c r="P24" i="6" s="1"/>
  <c r="R56" i="10"/>
  <c r="D51" i="10"/>
  <c r="AK33" i="10"/>
  <c r="S59" i="10"/>
  <c r="E51" i="10"/>
  <c r="N51" i="10"/>
  <c r="S56" i="10"/>
  <c r="F51" i="10"/>
  <c r="T59" i="10"/>
  <c r="X25" i="10"/>
  <c r="Y24" i="10"/>
  <c r="AR185" i="7"/>
  <c r="AW185" i="7" s="1"/>
  <c r="AR173" i="7"/>
  <c r="AW173" i="7" s="1"/>
  <c r="AR152" i="7"/>
  <c r="AW152" i="7" s="1"/>
  <c r="AW132" i="7"/>
  <c r="AV187" i="7"/>
  <c r="AV175" i="7"/>
  <c r="AV154" i="7"/>
  <c r="BA134" i="7"/>
  <c r="CH115" i="7"/>
  <c r="CC115" i="7"/>
  <c r="CC125" i="7"/>
  <c r="AO152" i="7"/>
  <c r="AK152" i="7"/>
  <c r="O62" i="3" s="1"/>
  <c r="BQ153" i="7"/>
  <c r="R53" i="3"/>
  <c r="R63" i="3"/>
  <c r="BL175" i="7"/>
  <c r="BQ175" i="7" s="1"/>
  <c r="BL154" i="7"/>
  <c r="BQ134" i="7"/>
  <c r="BE153" i="7"/>
  <c r="BA153" i="7"/>
  <c r="BA171" i="7"/>
  <c r="AV176" i="7"/>
  <c r="BA176" i="7" s="1"/>
  <c r="AV177" i="7"/>
  <c r="BT187" i="7"/>
  <c r="BY187" i="7" s="1"/>
  <c r="BT154" i="7"/>
  <c r="BY154" i="7" s="1"/>
  <c r="BT175" i="7"/>
  <c r="BY134" i="7"/>
  <c r="BT146" i="7"/>
  <c r="BY146" i="7" s="1"/>
  <c r="BT145" i="7"/>
  <c r="BY145" i="7" s="1"/>
  <c r="BT144" i="7"/>
  <c r="AJ10" i="13" s="1"/>
  <c r="AJ16" i="13" s="1"/>
  <c r="BU145" i="7"/>
  <c r="AK136" i="7"/>
  <c r="CC114" i="7"/>
  <c r="CH114" i="7"/>
  <c r="CC124" i="7"/>
  <c r="CD114" i="7"/>
  <c r="AT115" i="7"/>
  <c r="AO115" i="7"/>
  <c r="AO125" i="7"/>
  <c r="BH188" i="7"/>
  <c r="BI188" i="7" s="1"/>
  <c r="BH189" i="7"/>
  <c r="BE184" i="7"/>
  <c r="BA184" i="7"/>
  <c r="CF184" i="7"/>
  <c r="CF172" i="7"/>
  <c r="CF151" i="7"/>
  <c r="CK131" i="7"/>
  <c r="CF141" i="7"/>
  <c r="CF136" i="7"/>
  <c r="CK136" i="7" s="1"/>
  <c r="CG131" i="7"/>
  <c r="CF135" i="7"/>
  <c r="CK135" i="7" s="1"/>
  <c r="CF134" i="7"/>
  <c r="AS115" i="7"/>
  <c r="AS125" i="7"/>
  <c r="AX115" i="7"/>
  <c r="BP63" i="3"/>
  <c r="BP53" i="3"/>
  <c r="BP188" i="7"/>
  <c r="CR177" i="7"/>
  <c r="CW177" i="7" s="1"/>
  <c r="CW171" i="7"/>
  <c r="CR176" i="7"/>
  <c r="CW176" i="7" s="1"/>
  <c r="CJ155" i="7"/>
  <c r="CO155" i="7" s="1"/>
  <c r="CJ156" i="7"/>
  <c r="CO156" i="7" s="1"/>
  <c r="CO150" i="7"/>
  <c r="AO153" i="7"/>
  <c r="AK151" i="7"/>
  <c r="N62" i="3" s="1"/>
  <c r="AG188" i="7"/>
  <c r="AC188" i="7"/>
  <c r="AS152" i="7"/>
  <c r="BQ174" i="7"/>
  <c r="BI152" i="7"/>
  <c r="BE152" i="7"/>
  <c r="BM184" i="7"/>
  <c r="BI184" i="7"/>
  <c r="BI189" i="7"/>
  <c r="BI175" i="7"/>
  <c r="BM174" i="7"/>
  <c r="BI174" i="7"/>
  <c r="R50" i="3"/>
  <c r="R28" i="3"/>
  <c r="R51" i="3"/>
  <c r="AC187" i="7"/>
  <c r="AG187" i="7"/>
  <c r="CG185" i="7"/>
  <c r="CS173" i="7"/>
  <c r="BL155" i="7"/>
  <c r="BQ155" i="7" s="1"/>
  <c r="BQ150" i="7"/>
  <c r="BL156" i="7"/>
  <c r="BP155" i="7"/>
  <c r="CB186" i="7"/>
  <c r="CB174" i="7"/>
  <c r="CB153" i="7"/>
  <c r="CG133" i="7"/>
  <c r="CB143" i="7"/>
  <c r="BE174" i="7"/>
  <c r="BA174" i="7"/>
  <c r="AN184" i="7"/>
  <c r="AS184" i="7" s="1"/>
  <c r="AN172" i="7"/>
  <c r="AN151" i="7"/>
  <c r="AS151" i="7" s="1"/>
  <c r="AS131" i="7"/>
  <c r="AO124" i="7"/>
  <c r="AO114" i="7"/>
  <c r="AT114" i="7"/>
  <c r="CL116" i="7"/>
  <c r="CG116" i="7"/>
  <c r="CG126" i="7"/>
  <c r="AX116" i="7"/>
  <c r="AS116" i="7"/>
  <c r="AS126" i="7"/>
  <c r="BP189" i="7"/>
  <c r="CR189" i="7"/>
  <c r="CW189" i="7" s="1"/>
  <c r="CW136" i="7"/>
  <c r="CJ146" i="7"/>
  <c r="CO146" i="7" s="1"/>
  <c r="CJ145" i="7"/>
  <c r="CO145" i="7" s="1"/>
  <c r="CF186" i="7"/>
  <c r="CK186" i="7" s="1"/>
  <c r="CF174" i="7"/>
  <c r="CK174" i="7" s="1"/>
  <c r="CF153" i="7"/>
  <c r="CK153" i="7" s="1"/>
  <c r="CF143" i="7"/>
  <c r="CK133" i="7"/>
  <c r="AO173" i="7"/>
  <c r="BE186" i="7"/>
  <c r="BA186" i="7"/>
  <c r="BA136" i="7"/>
  <c r="BT156" i="7"/>
  <c r="BY156" i="7" s="1"/>
  <c r="BY150" i="7"/>
  <c r="BT155" i="7"/>
  <c r="BY155" i="7" s="1"/>
  <c r="AZ188" i="7"/>
  <c r="BE188" i="7" s="1"/>
  <c r="AJ156" i="7"/>
  <c r="AJ155" i="7"/>
  <c r="AK150" i="7"/>
  <c r="M62" i="3" s="1"/>
  <c r="CB183" i="7"/>
  <c r="CB171" i="7"/>
  <c r="CB150" i="7"/>
  <c r="CB140" i="7"/>
  <c r="CG130" i="7"/>
  <c r="CB135" i="7"/>
  <c r="CG135" i="7" s="1"/>
  <c r="CB134" i="7"/>
  <c r="CB136" i="7"/>
  <c r="CG136" i="7" s="1"/>
  <c r="AT116" i="7"/>
  <c r="AO126" i="7"/>
  <c r="AO116" i="7"/>
  <c r="AN183" i="7"/>
  <c r="AN171" i="7"/>
  <c r="AN150" i="7"/>
  <c r="AO150" i="7" s="1"/>
  <c r="AN136" i="7"/>
  <c r="AS136" i="7" s="1"/>
  <c r="AN134" i="7"/>
  <c r="AN135" i="7"/>
  <c r="AO135" i="7" s="1"/>
  <c r="AS130" i="7"/>
  <c r="BM175" i="7"/>
  <c r="BE151" i="7"/>
  <c r="BA151" i="7"/>
  <c r="AC155" i="7"/>
  <c r="CG115" i="7"/>
  <c r="CL115" i="7"/>
  <c r="CG125" i="7"/>
  <c r="AS174" i="7"/>
  <c r="AO174" i="7"/>
  <c r="BP50" i="3"/>
  <c r="BP28" i="3"/>
  <c r="BP51" i="3"/>
  <c r="BU186" i="7"/>
  <c r="CR146" i="7"/>
  <c r="CW146" i="7" s="1"/>
  <c r="CR145" i="7"/>
  <c r="CW145" i="7" s="1"/>
  <c r="CN189" i="7"/>
  <c r="CS189" i="7" s="1"/>
  <c r="CS136" i="7"/>
  <c r="CO136" i="7"/>
  <c r="CJ177" i="7"/>
  <c r="CO177" i="7" s="1"/>
  <c r="CO171" i="7"/>
  <c r="CJ176" i="7"/>
  <c r="CO176" i="7" s="1"/>
  <c r="AO184" i="7"/>
  <c r="AC189" i="7"/>
  <c r="AG189" i="7"/>
  <c r="AC156" i="7"/>
  <c r="AO185" i="7"/>
  <c r="AK185" i="7"/>
  <c r="AZ187" i="7"/>
  <c r="BE187" i="7" s="1"/>
  <c r="AZ175" i="7"/>
  <c r="BE175" i="7" s="1"/>
  <c r="AZ154" i="7"/>
  <c r="BE154" i="7" s="1"/>
  <c r="BE134" i="7"/>
  <c r="BI173" i="7"/>
  <c r="BE173" i="7"/>
  <c r="BY185" i="7"/>
  <c r="AP115" i="7"/>
  <c r="CC153" i="7"/>
  <c r="W51" i="3"/>
  <c r="W50" i="3"/>
  <c r="W28" i="3"/>
  <c r="BH186" i="7"/>
  <c r="BM143" i="7"/>
  <c r="CG152" i="7"/>
  <c r="BZ50" i="3"/>
  <c r="BZ28" i="3"/>
  <c r="BZ51" i="3"/>
  <c r="BQ136" i="7"/>
  <c r="BP156" i="7"/>
  <c r="BU156" i="7" s="1"/>
  <c r="BM155" i="7"/>
  <c r="BU135" i="7"/>
  <c r="BA183" i="7"/>
  <c r="AV188" i="7"/>
  <c r="AV189" i="7"/>
  <c r="BA189" i="7" s="1"/>
  <c r="BT176" i="7"/>
  <c r="BT177" i="7"/>
  <c r="BU177" i="7" s="1"/>
  <c r="AK135" i="7"/>
  <c r="CV223" i="7"/>
  <c r="CQ39" i="3"/>
  <c r="AR183" i="7"/>
  <c r="AR150" i="7"/>
  <c r="AR171" i="7"/>
  <c r="AR135" i="7"/>
  <c r="AW135" i="7" s="1"/>
  <c r="AR136" i="7"/>
  <c r="AW136" i="7" s="1"/>
  <c r="AR134" i="7"/>
  <c r="V10" i="13" s="1"/>
  <c r="V16" i="13" s="1"/>
  <c r="V34" i="13" s="1"/>
  <c r="V54" i="13" s="1"/>
  <c r="AW130" i="7"/>
  <c r="BU153" i="7"/>
  <c r="CR22" i="3"/>
  <c r="CQ22" i="3"/>
  <c r="CO22" i="3"/>
  <c r="CP22" i="3"/>
  <c r="AK186" i="7"/>
  <c r="AV155" i="7"/>
  <c r="AV156" i="7"/>
  <c r="BA156" i="7" s="1"/>
  <c r="BA150" i="7"/>
  <c r="BY183" i="7"/>
  <c r="BT188" i="7"/>
  <c r="BY188" i="7" s="1"/>
  <c r="BT189" i="7"/>
  <c r="BY189" i="7" s="1"/>
  <c r="BU136" i="7"/>
  <c r="AJ187" i="7"/>
  <c r="AJ154" i="7"/>
  <c r="AK134" i="7"/>
  <c r="AJ188" i="7"/>
  <c r="AJ189" i="7"/>
  <c r="AK183" i="7"/>
  <c r="AP114" i="7"/>
  <c r="CH116" i="7"/>
  <c r="CC126" i="7"/>
  <c r="CC116" i="7"/>
  <c r="CD116" i="7"/>
  <c r="BH187" i="7"/>
  <c r="BI187" i="7" s="1"/>
  <c r="BM154" i="7"/>
  <c r="BE172" i="7"/>
  <c r="BA172" i="7"/>
  <c r="CV208" i="7"/>
  <c r="CL114" i="7"/>
  <c r="CG114" i="7"/>
  <c r="CG124" i="7"/>
  <c r="AX114" i="7"/>
  <c r="AS114" i="7"/>
  <c r="AS124" i="7"/>
  <c r="AZ155" i="7"/>
  <c r="BE155" i="7" s="1"/>
  <c r="AZ177" i="7"/>
  <c r="BE177" i="7" s="1"/>
  <c r="CR188" i="7"/>
  <c r="CW188" i="7" s="1"/>
  <c r="CW135" i="7"/>
  <c r="CR155" i="7"/>
  <c r="CW155" i="7" s="1"/>
  <c r="CR156" i="7"/>
  <c r="CW156" i="7" s="1"/>
  <c r="CW150" i="7"/>
  <c r="CJ187" i="7"/>
  <c r="CO187" i="7" s="1"/>
  <c r="CJ175" i="7"/>
  <c r="CO175" i="7" s="1"/>
  <c r="CJ154" i="7"/>
  <c r="CO154" i="7" s="1"/>
  <c r="CJ144" i="7"/>
  <c r="CO134" i="7"/>
  <c r="CO183" i="7"/>
  <c r="CJ188" i="7"/>
  <c r="CO188" i="7" s="1"/>
  <c r="I154" i="7"/>
  <c r="BU134" i="7"/>
  <c r="AS132" i="7"/>
  <c r="BQ186" i="7"/>
  <c r="BI185" i="7"/>
  <c r="BE185" i="7"/>
  <c r="BP176" i="7"/>
  <c r="BI154" i="7"/>
  <c r="AP116" i="7"/>
  <c r="CC186" i="7"/>
  <c r="AB63" i="3"/>
  <c r="W63" i="3"/>
  <c r="W53" i="3"/>
  <c r="U156" i="7"/>
  <c r="BM153" i="7"/>
  <c r="BI153" i="7"/>
  <c r="CG173" i="7"/>
  <c r="CC173" i="7"/>
  <c r="CE63" i="3"/>
  <c r="BZ63" i="3"/>
  <c r="BZ53" i="3"/>
  <c r="CS152" i="7"/>
  <c r="BL177" i="7"/>
  <c r="BQ177" i="7" s="1"/>
  <c r="BQ171" i="7"/>
  <c r="BL176" i="7"/>
  <c r="BQ176" i="7" s="1"/>
  <c r="BL183" i="7"/>
  <c r="BL145" i="7"/>
  <c r="BQ145" i="7" s="1"/>
  <c r="BL144" i="7"/>
  <c r="BL187" i="7" s="1"/>
  <c r="BL146" i="7"/>
  <c r="BQ146" i="7" s="1"/>
  <c r="Q154" i="7"/>
  <c r="BM150" i="7"/>
  <c r="D118" i="6"/>
  <c r="AI118" i="6"/>
  <c r="BA118" i="6"/>
  <c r="AI128" i="6"/>
  <c r="BA128" i="6"/>
  <c r="AY126" i="6"/>
  <c r="D86" i="6"/>
  <c r="H86" i="6" s="1"/>
  <c r="AI86" i="6"/>
  <c r="S87" i="6"/>
  <c r="D87" i="6" s="1"/>
  <c r="H87" i="6" s="1"/>
  <c r="D45" i="30"/>
  <c r="H45" i="30" s="1"/>
  <c r="D38" i="30"/>
  <c r="H38" i="30" s="1"/>
  <c r="AF253" i="30"/>
  <c r="AM171" i="6"/>
  <c r="D261" i="30"/>
  <c r="H261" i="30" s="1"/>
  <c r="D268" i="30"/>
  <c r="H268" i="30" s="1"/>
  <c r="U112" i="6"/>
  <c r="W112" i="6" s="1"/>
  <c r="AI112" i="6"/>
  <c r="AK112" i="6" s="1"/>
  <c r="AM112" i="6" s="1"/>
  <c r="D112" i="6"/>
  <c r="BA112" i="6"/>
  <c r="AV66" i="30"/>
  <c r="AU66" i="30"/>
  <c r="AI111" i="6"/>
  <c r="D111" i="6"/>
  <c r="S115" i="6"/>
  <c r="D115" i="6" s="1"/>
  <c r="BA111" i="6"/>
  <c r="AI135" i="6"/>
  <c r="D135" i="6"/>
  <c r="H135" i="6" s="1"/>
  <c r="AF62" i="30"/>
  <c r="AK253" i="30"/>
  <c r="AI254" i="30"/>
  <c r="AZ184" i="6"/>
  <c r="AF260" i="30"/>
  <c r="AP184" i="6"/>
  <c r="AQ184" i="6" s="1"/>
  <c r="AR184" i="6" s="1"/>
  <c r="AQ177" i="6"/>
  <c r="AR177" i="6" s="1"/>
  <c r="AP175" i="6"/>
  <c r="AQ168" i="6"/>
  <c r="AR168" i="6" s="1"/>
  <c r="S121" i="6"/>
  <c r="D128" i="6" s="1"/>
  <c r="H128" i="6" s="1"/>
  <c r="AZ427" i="30"/>
  <c r="D65" i="30"/>
  <c r="H65" i="30" s="1"/>
  <c r="S66" i="30"/>
  <c r="D66" i="30" s="1"/>
  <c r="H66" i="30" s="1"/>
  <c r="AI65" i="30"/>
  <c r="AP181" i="6"/>
  <c r="AP178" i="6"/>
  <c r="AQ174" i="6"/>
  <c r="AI127" i="6"/>
  <c r="AK127" i="6" s="1"/>
  <c r="AM127" i="6" s="1"/>
  <c r="D127" i="6"/>
  <c r="H127" i="6" s="1"/>
  <c r="U127" i="6"/>
  <c r="W127" i="6" s="1"/>
  <c r="BA127" i="6"/>
  <c r="AZ125" i="6"/>
  <c r="D134" i="6"/>
  <c r="H134" i="6" s="1"/>
  <c r="AI134" i="6"/>
  <c r="AK134" i="6" s="1"/>
  <c r="U134" i="6"/>
  <c r="AI133" i="6"/>
  <c r="AK133" i="6" s="1"/>
  <c r="U133" i="6"/>
  <c r="D73" i="30"/>
  <c r="S119" i="6"/>
  <c r="AI31" i="30"/>
  <c r="L7" i="8" s="1"/>
  <c r="AI93" i="6"/>
  <c r="D93" i="6"/>
  <c r="H93" i="6" s="1"/>
  <c r="D100" i="6"/>
  <c r="H100" i="6" s="1"/>
  <c r="S94" i="6"/>
  <c r="AF254" i="30"/>
  <c r="AI159" i="30"/>
  <c r="M58" i="8" s="1"/>
  <c r="AK260" i="30"/>
  <c r="AI261" i="30"/>
  <c r="BA135" i="6"/>
  <c r="BA121" i="6"/>
  <c r="AZ121" i="6"/>
  <c r="AP183" i="6"/>
  <c r="AQ183" i="6" s="1"/>
  <c r="AR183" i="6" s="1"/>
  <c r="AQ176" i="6"/>
  <c r="AR176" i="6" s="1"/>
  <c r="AF120" i="6"/>
  <c r="P120" i="6"/>
  <c r="S132" i="6"/>
  <c r="D186" i="30"/>
  <c r="H186" i="30" s="1"/>
  <c r="AI186" i="30"/>
  <c r="D31" i="30"/>
  <c r="H31" i="30" s="1"/>
  <c r="AI38" i="30"/>
  <c r="M7" i="8" s="1"/>
  <c r="D159" i="30"/>
  <c r="H159" i="30" s="1"/>
  <c r="D166" i="30"/>
  <c r="H166" i="30" s="1"/>
  <c r="AF267" i="30"/>
  <c r="AV352" i="30"/>
  <c r="AU352" i="30"/>
  <c r="AQ171" i="6"/>
  <c r="AR167" i="6"/>
  <c r="BA134" i="6"/>
  <c r="AZ134" i="6"/>
  <c r="BD107" i="30"/>
  <c r="BE107" i="30" s="1"/>
  <c r="BD104" i="30"/>
  <c r="BE104" i="30" s="1"/>
  <c r="BS122" i="30"/>
  <c r="BS114" i="30"/>
  <c r="BW114" i="30" s="1"/>
  <c r="BB114" i="30" s="1"/>
  <c r="BS113" i="30"/>
  <c r="BS112" i="30"/>
  <c r="BS111" i="30"/>
  <c r="AS194" i="30"/>
  <c r="R60" i="8" s="1"/>
  <c r="R61" i="8" s="1"/>
  <c r="AU190" i="30"/>
  <c r="S190" i="30"/>
  <c r="BW105" i="30"/>
  <c r="BB105" i="30" s="1"/>
  <c r="AI193" i="30"/>
  <c r="D193" i="30"/>
  <c r="H193" i="30" s="1"/>
  <c r="P71" i="30"/>
  <c r="AF71" i="30"/>
  <c r="AI78" i="30"/>
  <c r="AK78" i="30" s="1"/>
  <c r="AM78" i="30" s="1"/>
  <c r="D78" i="30"/>
  <c r="H78" i="30" s="1"/>
  <c r="U78" i="30"/>
  <c r="W78" i="30" s="1"/>
  <c r="AF176" i="30"/>
  <c r="AU187" i="30"/>
  <c r="AV187" i="30"/>
  <c r="AU300" i="30"/>
  <c r="S293" i="30"/>
  <c r="AU293" i="30"/>
  <c r="AV80" i="30"/>
  <c r="AU80" i="30"/>
  <c r="AV214" i="30"/>
  <c r="AS214" i="30" s="1"/>
  <c r="AV100" i="30"/>
  <c r="AS93" i="30"/>
  <c r="AY149" i="6" s="1"/>
  <c r="AU84" i="30"/>
  <c r="S84" i="30"/>
  <c r="AI286" i="30"/>
  <c r="AK286" i="30" s="1"/>
  <c r="AM286" i="30" s="1"/>
  <c r="D286" i="30"/>
  <c r="H286" i="30" s="1"/>
  <c r="U286" i="30"/>
  <c r="W286" i="30" s="1"/>
  <c r="AV211" i="30"/>
  <c r="AS211" i="30" s="1"/>
  <c r="AS90" i="30"/>
  <c r="AY146" i="6" s="1"/>
  <c r="AV97" i="30"/>
  <c r="AI79" i="30"/>
  <c r="D79" i="30"/>
  <c r="H79" i="30" s="1"/>
  <c r="AM294" i="30"/>
  <c r="AM301" i="30"/>
  <c r="U199" i="30"/>
  <c r="W199" i="30" s="1"/>
  <c r="AI199" i="30"/>
  <c r="AK199" i="30" s="1"/>
  <c r="AM199" i="30" s="1"/>
  <c r="D199" i="30"/>
  <c r="H199" i="30" s="1"/>
  <c r="S292" i="30"/>
  <c r="AS296" i="30"/>
  <c r="AU292" i="30"/>
  <c r="AU299" i="30"/>
  <c r="BP113" i="30"/>
  <c r="BP112" i="30"/>
  <c r="BP111" i="30"/>
  <c r="BP122" i="30"/>
  <c r="AU197" i="30"/>
  <c r="P177" i="30"/>
  <c r="AF177" i="30"/>
  <c r="AI73" i="30"/>
  <c r="R7" i="8" s="1"/>
  <c r="AV213" i="30"/>
  <c r="AS213" i="30" s="1"/>
  <c r="AV99" i="30"/>
  <c r="AS92" i="30"/>
  <c r="AY148" i="6" s="1"/>
  <c r="S207" i="30"/>
  <c r="AU207" i="30"/>
  <c r="AV212" i="30"/>
  <c r="AS212" i="30" s="1"/>
  <c r="AV98" i="30"/>
  <c r="AS91" i="30"/>
  <c r="AU83" i="30"/>
  <c r="AS87" i="30"/>
  <c r="T9" i="8" s="1"/>
  <c r="S83" i="30"/>
  <c r="S289" i="30"/>
  <c r="D289" i="30" s="1"/>
  <c r="H289" i="30" s="1"/>
  <c r="AI285" i="30"/>
  <c r="D285" i="30"/>
  <c r="H285" i="30" s="1"/>
  <c r="W294" i="30"/>
  <c r="W301" i="30"/>
  <c r="U184" i="30"/>
  <c r="W184" i="30" s="1"/>
  <c r="D184" i="30"/>
  <c r="H184" i="30" s="1"/>
  <c r="AI184" i="30"/>
  <c r="AK184" i="30" s="1"/>
  <c r="AM184" i="30" s="1"/>
  <c r="BQ122" i="30"/>
  <c r="BQ112" i="30"/>
  <c r="BQ111" i="30"/>
  <c r="BQ113" i="30"/>
  <c r="AI198" i="30"/>
  <c r="AK198" i="30" s="1"/>
  <c r="U198" i="30"/>
  <c r="BW106" i="30"/>
  <c r="BB106" i="30" s="1"/>
  <c r="AM308" i="30"/>
  <c r="BO129" i="30"/>
  <c r="BO125" i="30" s="1"/>
  <c r="BO118" i="30"/>
  <c r="D197" i="30"/>
  <c r="H197" i="30" s="1"/>
  <c r="S201" i="30"/>
  <c r="S58" i="8" s="1"/>
  <c r="AI197" i="30"/>
  <c r="AF69" i="30"/>
  <c r="P279" i="30"/>
  <c r="AF279" i="30"/>
  <c r="P185" i="30"/>
  <c r="AF185" i="30"/>
  <c r="AU85" i="30"/>
  <c r="S85" i="30"/>
  <c r="AU205" i="30"/>
  <c r="S205" i="30"/>
  <c r="P70" i="30"/>
  <c r="AF70" i="30"/>
  <c r="AS208" i="30"/>
  <c r="T60" i="8" s="1"/>
  <c r="S204" i="30"/>
  <c r="AU204" i="30"/>
  <c r="AF278" i="30"/>
  <c r="P301" i="30"/>
  <c r="AF301" i="30"/>
  <c r="BR129" i="30"/>
  <c r="BR121" i="30"/>
  <c r="BR120" i="30"/>
  <c r="BR118" i="30"/>
  <c r="BR119" i="30"/>
  <c r="AI180" i="30"/>
  <c r="AV201" i="30"/>
  <c r="AI200" i="30"/>
  <c r="D200" i="30"/>
  <c r="H200" i="30" s="1"/>
  <c r="P192" i="30"/>
  <c r="AF192" i="30"/>
  <c r="AM64" i="30"/>
  <c r="AZ439" i="30"/>
  <c r="U77" i="30"/>
  <c r="W77" i="30" s="1"/>
  <c r="AI77" i="30"/>
  <c r="AK77" i="30" s="1"/>
  <c r="AM77" i="30" s="1"/>
  <c r="D77" i="30"/>
  <c r="H77" i="30" s="1"/>
  <c r="F73" i="30"/>
  <c r="AI183" i="30"/>
  <c r="S187" i="30"/>
  <c r="D183" i="30"/>
  <c r="H183" i="30" s="1"/>
  <c r="S191" i="30"/>
  <c r="AU191" i="30"/>
  <c r="S206" i="30"/>
  <c r="AU206" i="30"/>
  <c r="AZ438" i="30"/>
  <c r="AI76" i="30"/>
  <c r="S80" i="30"/>
  <c r="F80" i="30"/>
  <c r="S39" i="8" s="1"/>
  <c r="D76" i="30"/>
  <c r="H76" i="30" s="1"/>
  <c r="S86" i="30"/>
  <c r="S142" i="6" s="1"/>
  <c r="AI142" i="6" s="1"/>
  <c r="AK142" i="6" s="1"/>
  <c r="AU86" i="30"/>
  <c r="P287" i="30"/>
  <c r="AF287" i="30"/>
  <c r="AI282" i="30"/>
  <c r="AV289" i="30"/>
  <c r="AU289" i="30"/>
  <c r="AF294" i="30"/>
  <c r="P294" i="30"/>
  <c r="AN78" i="3"/>
  <c r="AN36" i="3"/>
  <c r="AN32" i="3"/>
  <c r="AN52" i="3"/>
  <c r="AT78" i="3"/>
  <c r="AT52" i="3"/>
  <c r="AT36" i="3"/>
  <c r="AT32" i="3"/>
  <c r="BV52" i="3"/>
  <c r="BV32" i="3"/>
  <c r="AH78" i="3"/>
  <c r="AH52" i="3"/>
  <c r="AH32" i="3"/>
  <c r="AH36" i="3"/>
  <c r="BM52" i="3"/>
  <c r="BM32" i="3"/>
  <c r="S78" i="3"/>
  <c r="S52" i="3"/>
  <c r="S32" i="3"/>
  <c r="S36" i="3"/>
  <c r="AM78" i="3"/>
  <c r="AM52" i="3"/>
  <c r="AM32" i="3"/>
  <c r="AM62" i="3" s="1"/>
  <c r="AM36" i="3"/>
  <c r="BN52" i="3"/>
  <c r="BN32" i="3"/>
  <c r="CG52" i="3"/>
  <c r="CG32" i="3"/>
  <c r="AR78" i="3"/>
  <c r="AR52" i="3"/>
  <c r="AR32" i="3"/>
  <c r="AR36" i="3"/>
  <c r="DD77" i="3"/>
  <c r="DD52" i="3"/>
  <c r="DD36" i="3"/>
  <c r="DD32" i="3"/>
  <c r="AJ78" i="3"/>
  <c r="AJ52" i="3"/>
  <c r="AJ36" i="3"/>
  <c r="AJ32" i="3"/>
  <c r="Z78" i="3"/>
  <c r="Z52" i="3"/>
  <c r="Z36" i="3"/>
  <c r="Z32" i="3"/>
  <c r="BB78" i="3"/>
  <c r="BB52" i="3"/>
  <c r="BB32" i="3"/>
  <c r="BB36" i="3"/>
  <c r="BR52" i="3"/>
  <c r="BR32" i="3"/>
  <c r="BC78" i="3"/>
  <c r="BC52" i="3"/>
  <c r="BC36" i="3"/>
  <c r="BC32" i="3"/>
  <c r="BI52" i="3"/>
  <c r="BI32" i="3"/>
  <c r="BS52" i="3"/>
  <c r="BS32" i="3"/>
  <c r="CC52" i="3"/>
  <c r="CC32" i="3"/>
  <c r="T78" i="3"/>
  <c r="T36" i="3"/>
  <c r="T32" i="3"/>
  <c r="T62" i="3" s="1"/>
  <c r="T52" i="3"/>
  <c r="AX78" i="3"/>
  <c r="AX52" i="3"/>
  <c r="AX36" i="3"/>
  <c r="AX32" i="3"/>
  <c r="Y78" i="3"/>
  <c r="Y52" i="3"/>
  <c r="Y36" i="3"/>
  <c r="Y32" i="3"/>
  <c r="BU32" i="3"/>
  <c r="BU52" i="3"/>
  <c r="DF77" i="3"/>
  <c r="DF52" i="3"/>
  <c r="DF36" i="3"/>
  <c r="DF62" i="3" s="1"/>
  <c r="DF32" i="3"/>
  <c r="I78" i="3"/>
  <c r="I52" i="3"/>
  <c r="I36" i="3"/>
  <c r="I62" i="3" s="1"/>
  <c r="AD78" i="3"/>
  <c r="AD52" i="3"/>
  <c r="AD36" i="3"/>
  <c r="AD32" i="3"/>
  <c r="AI78" i="3"/>
  <c r="AI52" i="3"/>
  <c r="AI36" i="3"/>
  <c r="AI32" i="3"/>
  <c r="AI62" i="3" s="1"/>
  <c r="AE78" i="3"/>
  <c r="AE52" i="3"/>
  <c r="AE36" i="3"/>
  <c r="AE32" i="3"/>
  <c r="BW52" i="3"/>
  <c r="BW32" i="3"/>
  <c r="AS78" i="3"/>
  <c r="AS52" i="3"/>
  <c r="AS36" i="3"/>
  <c r="AS32" i="3"/>
  <c r="BL52" i="3"/>
  <c r="BL32" i="3"/>
  <c r="BA78" i="3"/>
  <c r="BA52" i="3"/>
  <c r="BA32" i="3"/>
  <c r="BA36" i="3"/>
  <c r="J78" i="3"/>
  <c r="J52" i="3"/>
  <c r="J36" i="3"/>
  <c r="J62" i="3" s="1"/>
  <c r="AW78" i="3"/>
  <c r="AW52" i="3"/>
  <c r="AW32" i="3"/>
  <c r="AW36" i="3"/>
  <c r="BH52" i="3"/>
  <c r="BH32" i="3"/>
  <c r="X78" i="3"/>
  <c r="X52" i="3"/>
  <c r="X32" i="3"/>
  <c r="X36" i="3"/>
  <c r="CA52" i="3"/>
  <c r="CA32" i="3"/>
  <c r="AC78" i="3"/>
  <c r="AC52" i="3"/>
  <c r="AC32" i="3"/>
  <c r="AC36" i="3"/>
  <c r="CH52" i="3"/>
  <c r="CH32" i="3"/>
  <c r="CH62" i="3" s="1"/>
  <c r="CB52" i="3"/>
  <c r="CB32" i="3"/>
  <c r="AY78" i="3"/>
  <c r="AY52" i="3"/>
  <c r="AY36" i="3"/>
  <c r="AY32" i="3"/>
  <c r="BX52" i="3"/>
  <c r="BX32" i="3"/>
  <c r="K78" i="3"/>
  <c r="K52" i="3"/>
  <c r="K36" i="3"/>
  <c r="K62" i="3" s="1"/>
  <c r="AO78" i="3"/>
  <c r="AO52" i="3"/>
  <c r="AO36" i="3"/>
  <c r="AO32" i="3"/>
  <c r="CF52" i="3"/>
  <c r="CF32" i="3"/>
  <c r="DP80" i="3"/>
  <c r="DO79" i="3"/>
  <c r="AG78" i="3"/>
  <c r="AG52" i="3"/>
  <c r="AG32" i="3"/>
  <c r="AG62" i="3" s="1"/>
  <c r="AG36" i="3"/>
  <c r="BG52" i="3"/>
  <c r="BG32" i="3"/>
  <c r="BG62" i="3" s="1"/>
  <c r="AL62" i="3"/>
  <c r="BD78" i="3"/>
  <c r="BD52" i="3"/>
  <c r="BD36" i="3"/>
  <c r="BD32" i="3"/>
  <c r="BQ52" i="3"/>
  <c r="BQ32" i="3"/>
  <c r="BQ62" i="3" s="1"/>
  <c r="BK62" i="3"/>
  <c r="U78" i="3"/>
  <c r="U52" i="3"/>
  <c r="U36" i="3"/>
  <c r="U32" i="3"/>
  <c r="U62" i="3" s="1"/>
  <c r="D62" i="62"/>
  <c r="D65" i="62" s="1"/>
  <c r="D74" i="62"/>
  <c r="F62" i="62"/>
  <c r="F65" i="62" s="1"/>
  <c r="F74" i="62"/>
  <c r="E62" i="62"/>
  <c r="E65" i="62" s="1"/>
  <c r="E81" i="62" s="1"/>
  <c r="E74" i="62"/>
  <c r="E41" i="62"/>
  <c r="E104" i="62"/>
  <c r="E107" i="62" s="1"/>
  <c r="E116" i="62"/>
  <c r="D147" i="62"/>
  <c r="D149" i="62" s="1"/>
  <c r="D167" i="62"/>
  <c r="D104" i="62"/>
  <c r="D107" i="62" s="1"/>
  <c r="D116" i="62"/>
  <c r="F104" i="62"/>
  <c r="F107" i="62" s="1"/>
  <c r="F116" i="62"/>
  <c r="F147" i="62"/>
  <c r="F149" i="62" s="1"/>
  <c r="F167" i="62"/>
  <c r="E147" i="62"/>
  <c r="E149" i="62" s="1"/>
  <c r="E180" i="62" s="1"/>
  <c r="E167" i="62"/>
  <c r="BI46" i="12" l="1"/>
  <c r="BF41" i="13"/>
  <c r="AK72" i="12"/>
  <c r="AK78" i="12" s="1"/>
  <c r="U58" i="10"/>
  <c r="U50" i="10"/>
  <c r="U51" i="10" s="1"/>
  <c r="U55" i="10"/>
  <c r="U56" i="10" s="1"/>
  <c r="U46" i="10"/>
  <c r="K40" i="10"/>
  <c r="K43" i="10"/>
  <c r="K24" i="10" s="1"/>
  <c r="K25" i="10" s="1"/>
  <c r="K45" i="10"/>
  <c r="AU72" i="12"/>
  <c r="AU78" i="12" s="1"/>
  <c r="Z46" i="10"/>
  <c r="Z55" i="10"/>
  <c r="Z50" i="10"/>
  <c r="AH65" i="13"/>
  <c r="AH57" i="13"/>
  <c r="AW62" i="3"/>
  <c r="BQ187" i="7"/>
  <c r="BA155" i="7"/>
  <c r="BU146" i="7"/>
  <c r="V51" i="10"/>
  <c r="G51" i="10"/>
  <c r="X43" i="10"/>
  <c r="X40" i="10"/>
  <c r="X45" i="10"/>
  <c r="J45" i="10"/>
  <c r="J40" i="10"/>
  <c r="J43" i="10"/>
  <c r="J24" i="10" s="1"/>
  <c r="J25" i="10" s="1"/>
  <c r="L43" i="10"/>
  <c r="L40" i="10"/>
  <c r="L45" i="10"/>
  <c r="R65" i="13"/>
  <c r="R57" i="13"/>
  <c r="BX62" i="3"/>
  <c r="BH62" i="3"/>
  <c r="CJ189" i="7"/>
  <c r="V65" i="13"/>
  <c r="V57" i="13"/>
  <c r="AS173" i="7"/>
  <c r="BU155" i="7"/>
  <c r="AJ34" i="13"/>
  <c r="AJ54" i="13" s="1"/>
  <c r="AJ73" i="13"/>
  <c r="BU175" i="7"/>
  <c r="X65" i="13"/>
  <c r="X57" i="13"/>
  <c r="AW72" i="12"/>
  <c r="AW78" i="12" s="1"/>
  <c r="AA46" i="10"/>
  <c r="AA55" i="10"/>
  <c r="AA50" i="10"/>
  <c r="BP154" i="7"/>
  <c r="BU154" i="7" s="1"/>
  <c r="BP187" i="7"/>
  <c r="N78" i="3"/>
  <c r="N52" i="3"/>
  <c r="N36" i="3"/>
  <c r="S62" i="3" s="1"/>
  <c r="AL65" i="13"/>
  <c r="AL57" i="13"/>
  <c r="BD62" i="3"/>
  <c r="Z62" i="3"/>
  <c r="W72" i="12"/>
  <c r="W78" i="12" s="1"/>
  <c r="T10" i="13"/>
  <c r="T16" i="13" s="1"/>
  <c r="T34" i="13" s="1"/>
  <c r="T54" i="13" s="1"/>
  <c r="BQ154" i="7"/>
  <c r="CK185" i="7"/>
  <c r="I9" i="12"/>
  <c r="I14" i="12" s="1"/>
  <c r="I28" i="12" s="1"/>
  <c r="I64" i="12" s="1"/>
  <c r="H52" i="13"/>
  <c r="H55" i="13" s="1"/>
  <c r="AS72" i="12"/>
  <c r="AS78" i="12" s="1"/>
  <c r="Y55" i="10"/>
  <c r="Y46" i="10"/>
  <c r="Y50" i="10"/>
  <c r="AC72" i="12"/>
  <c r="O50" i="10"/>
  <c r="O58" i="10"/>
  <c r="O46" i="10"/>
  <c r="O55" i="10"/>
  <c r="CA62" i="3"/>
  <c r="X70" i="10"/>
  <c r="W71" i="10"/>
  <c r="AC62" i="3"/>
  <c r="AY70" i="12"/>
  <c r="AB65" i="13"/>
  <c r="AB57" i="13"/>
  <c r="CR39" i="3"/>
  <c r="BU187" i="7"/>
  <c r="BM176" i="7"/>
  <c r="BU189" i="7"/>
  <c r="BA187" i="7"/>
  <c r="Y202" i="8"/>
  <c r="AE206" i="8"/>
  <c r="Y207" i="8"/>
  <c r="Z208" i="8"/>
  <c r="AE31" i="42"/>
  <c r="AF31" i="42" s="1"/>
  <c r="AF23" i="42"/>
  <c r="AU201" i="30"/>
  <c r="D80" i="30"/>
  <c r="S7" i="8"/>
  <c r="D187" i="30"/>
  <c r="H187" i="30" s="1"/>
  <c r="Q58" i="8"/>
  <c r="S62" i="8"/>
  <c r="AY147" i="6"/>
  <c r="AZ147" i="6" s="1"/>
  <c r="R11" i="8"/>
  <c r="AZ149" i="6"/>
  <c r="D142" i="6"/>
  <c r="H142" i="6" s="1"/>
  <c r="U152" i="30"/>
  <c r="W152" i="30" s="1"/>
  <c r="AZ140" i="6"/>
  <c r="P62" i="8"/>
  <c r="P59" i="8"/>
  <c r="S139" i="6"/>
  <c r="BA139" i="6" s="1"/>
  <c r="AZ148" i="6"/>
  <c r="AZ146" i="6"/>
  <c r="M59" i="8"/>
  <c r="M62" i="8"/>
  <c r="N59" i="8"/>
  <c r="S61" i="8"/>
  <c r="AZ139" i="6"/>
  <c r="H73" i="30"/>
  <c r="R39" i="8"/>
  <c r="T61" i="8"/>
  <c r="BW111" i="30"/>
  <c r="BB111" i="30" s="1"/>
  <c r="S140" i="6"/>
  <c r="BB108" i="30"/>
  <c r="M11" i="8"/>
  <c r="M8" i="8"/>
  <c r="N8" i="8"/>
  <c r="AZ142" i="6"/>
  <c r="BA142" i="6"/>
  <c r="S141" i="6"/>
  <c r="BA141" i="6" s="1"/>
  <c r="L11" i="8"/>
  <c r="L8" i="8"/>
  <c r="AZ141" i="6"/>
  <c r="J64" i="8"/>
  <c r="J63" i="8"/>
  <c r="K63" i="8"/>
  <c r="AI19" i="10"/>
  <c r="AB20" i="10"/>
  <c r="AC205" i="8"/>
  <c r="AD204" i="8"/>
  <c r="AD205" i="8" s="1"/>
  <c r="AD109" i="8" s="1"/>
  <c r="AA60" i="8"/>
  <c r="AB109" i="8"/>
  <c r="AB108" i="8" s="1"/>
  <c r="AB61" i="8"/>
  <c r="AB10" i="8"/>
  <c r="AB9" i="8" s="1"/>
  <c r="AE25" i="42"/>
  <c r="AF25" i="42" s="1"/>
  <c r="AF24" i="42"/>
  <c r="AD24" i="42"/>
  <c r="AB22" i="10"/>
  <c r="AF17" i="42"/>
  <c r="AD17" i="42"/>
  <c r="AV28" i="13"/>
  <c r="K125" i="48"/>
  <c r="M124" i="48"/>
  <c r="O92" i="48"/>
  <c r="V125" i="48"/>
  <c r="W89" i="48"/>
  <c r="AA118" i="48"/>
  <c r="AB82" i="48"/>
  <c r="H125" i="48"/>
  <c r="I124" i="48"/>
  <c r="K90" i="48"/>
  <c r="K91" i="48" s="1"/>
  <c r="AC112" i="48"/>
  <c r="AC11" i="48"/>
  <c r="W124" i="48"/>
  <c r="X88" i="48"/>
  <c r="X123" i="48"/>
  <c r="Y87" i="48"/>
  <c r="R89" i="48"/>
  <c r="R90" i="48"/>
  <c r="L88" i="48"/>
  <c r="L90" i="48" s="1"/>
  <c r="Y120" i="48"/>
  <c r="Z84" i="48"/>
  <c r="I91" i="48"/>
  <c r="J125" i="48"/>
  <c r="C137" i="48"/>
  <c r="B137" i="48"/>
  <c r="S124" i="48"/>
  <c r="S89" i="48"/>
  <c r="X121" i="48"/>
  <c r="Y85" i="48"/>
  <c r="M74" i="48"/>
  <c r="M110" i="48" s="1"/>
  <c r="M147" i="48" s="1"/>
  <c r="L9" i="48"/>
  <c r="AC116" i="48"/>
  <c r="N89" i="48"/>
  <c r="X122" i="48"/>
  <c r="Y86" i="48"/>
  <c r="H124" i="48"/>
  <c r="I123" i="48"/>
  <c r="U93" i="48"/>
  <c r="T124" i="48"/>
  <c r="U123" i="48"/>
  <c r="AB115" i="48"/>
  <c r="AC79" i="48"/>
  <c r="AC115" i="48" s="1"/>
  <c r="N124" i="48"/>
  <c r="O123" i="48"/>
  <c r="N91" i="48"/>
  <c r="N92" i="48" s="1"/>
  <c r="N90" i="48"/>
  <c r="P123" i="48"/>
  <c r="Q122" i="48"/>
  <c r="AA83" i="48"/>
  <c r="Z119" i="48"/>
  <c r="J94" i="48"/>
  <c r="L123" i="48"/>
  <c r="L89" i="48"/>
  <c r="L125" i="48" s="1"/>
  <c r="K124" i="48"/>
  <c r="M123" i="48"/>
  <c r="R124" i="48"/>
  <c r="M91" i="48"/>
  <c r="S123" i="48"/>
  <c r="H90" i="48"/>
  <c r="Y74" i="48"/>
  <c r="Y110" i="48" s="1"/>
  <c r="Y147" i="48" s="1"/>
  <c r="Z9" i="48"/>
  <c r="M92" i="48"/>
  <c r="M93" i="48" s="1"/>
  <c r="O125" i="48"/>
  <c r="T89" i="48"/>
  <c r="AB113" i="48"/>
  <c r="AC77" i="48"/>
  <c r="AC113" i="48" s="1"/>
  <c r="AB117" i="48"/>
  <c r="AC81" i="48"/>
  <c r="AC117" i="48" s="1"/>
  <c r="V90" i="48"/>
  <c r="O126" i="48"/>
  <c r="AB31" i="48"/>
  <c r="Q90" i="48"/>
  <c r="U94" i="48"/>
  <c r="T123" i="48"/>
  <c r="P88" i="48"/>
  <c r="V6" i="14"/>
  <c r="AP7" i="15"/>
  <c r="AI85" i="12"/>
  <c r="AG86" i="12"/>
  <c r="AL68" i="13"/>
  <c r="AL69" i="13" s="1"/>
  <c r="AN72" i="13"/>
  <c r="AO84" i="12"/>
  <c r="N158" i="30"/>
  <c r="P158" i="30" s="1"/>
  <c r="U158" i="30"/>
  <c r="C28" i="8"/>
  <c r="C43" i="8" s="1"/>
  <c r="C36" i="8"/>
  <c r="C37" i="8" s="1"/>
  <c r="AK155" i="30"/>
  <c r="AM155" i="30" s="1"/>
  <c r="K136" i="8"/>
  <c r="CF46" i="11"/>
  <c r="CG50" i="11"/>
  <c r="L159" i="30"/>
  <c r="N159" i="30" s="1"/>
  <c r="P159" i="30" s="1"/>
  <c r="AK16" i="6"/>
  <c r="AK17" i="6" s="1"/>
  <c r="AB17" i="6"/>
  <c r="L78" i="8"/>
  <c r="L93" i="8" s="1"/>
  <c r="L86" i="8"/>
  <c r="L87" i="8" s="1"/>
  <c r="AM364" i="30"/>
  <c r="AK365" i="30"/>
  <c r="AM365" i="30" s="1"/>
  <c r="N162" i="30"/>
  <c r="P162" i="30" s="1"/>
  <c r="U162" i="30"/>
  <c r="L257" i="30"/>
  <c r="L253" i="30"/>
  <c r="AV19" i="11"/>
  <c r="AW23" i="11"/>
  <c r="AD371" i="30"/>
  <c r="AF371" i="30" s="1"/>
  <c r="N125" i="30"/>
  <c r="P125" i="30" s="1"/>
  <c r="U125" i="30"/>
  <c r="AC15" i="11"/>
  <c r="D30" i="8"/>
  <c r="AB14" i="11"/>
  <c r="AG9" i="11"/>
  <c r="AD140" i="8"/>
  <c r="EC29" i="11"/>
  <c r="C231" i="8"/>
  <c r="C225" i="8"/>
  <c r="Z23" i="6"/>
  <c r="CT71" i="3"/>
  <c r="CT81" i="3" s="1"/>
  <c r="AK151" i="30"/>
  <c r="AB152" i="30"/>
  <c r="BK33" i="11"/>
  <c r="BL28" i="11"/>
  <c r="I11" i="8"/>
  <c r="I7" i="8"/>
  <c r="J111" i="8"/>
  <c r="I135" i="8"/>
  <c r="I136" i="8" s="1"/>
  <c r="I111" i="8"/>
  <c r="I123" i="8"/>
  <c r="AB268" i="30"/>
  <c r="AK267" i="30"/>
  <c r="AK268" i="30" s="1"/>
  <c r="N121" i="30"/>
  <c r="L122" i="30"/>
  <c r="N122" i="30" s="1"/>
  <c r="L169" i="30"/>
  <c r="L165" i="30"/>
  <c r="U165" i="30" s="1"/>
  <c r="W165" i="30" s="1"/>
  <c r="DI10" i="11"/>
  <c r="DI54" i="11" s="1"/>
  <c r="DH54" i="11" s="1"/>
  <c r="Y234" i="8" s="1"/>
  <c r="Y235" i="8" s="1"/>
  <c r="Y41" i="8"/>
  <c r="DL10" i="11"/>
  <c r="BU34" i="11"/>
  <c r="BY28" i="11"/>
  <c r="O129" i="8"/>
  <c r="Z274" i="30"/>
  <c r="AK372" i="30"/>
  <c r="AM372" i="30" s="1"/>
  <c r="S122" i="6"/>
  <c r="AD375" i="30"/>
  <c r="AF375" i="30" s="1"/>
  <c r="AK375" i="30"/>
  <c r="N127" i="8"/>
  <c r="N142" i="8" s="1"/>
  <c r="N135" i="8"/>
  <c r="N136" i="8" s="1"/>
  <c r="BU43" i="11"/>
  <c r="BT42" i="11"/>
  <c r="BY38" i="11"/>
  <c r="O177" i="8"/>
  <c r="Z378" i="30"/>
  <c r="BL23" i="11"/>
  <c r="BM24" i="11"/>
  <c r="BQ19" i="11"/>
  <c r="M80" i="8"/>
  <c r="Z158" i="30"/>
  <c r="Q283" i="8"/>
  <c r="Q284" i="8" s="1"/>
  <c r="Q281" i="8"/>
  <c r="Q277" i="8"/>
  <c r="H81" i="8"/>
  <c r="H77" i="8"/>
  <c r="H83" i="8"/>
  <c r="H84" i="8" s="1"/>
  <c r="DO9" i="11"/>
  <c r="J128" i="30"/>
  <c r="AK20" i="6"/>
  <c r="AU57" i="11"/>
  <c r="AY9" i="11"/>
  <c r="AK271" i="30"/>
  <c r="BW19" i="11"/>
  <c r="BW23" i="11" s="1"/>
  <c r="J172" i="30"/>
  <c r="AB372" i="30"/>
  <c r="D22" i="8"/>
  <c r="D24" i="8"/>
  <c r="D25" i="8" s="1"/>
  <c r="S272" i="8"/>
  <c r="S295" i="8" s="1"/>
  <c r="S274" i="8"/>
  <c r="S275" i="8" s="1"/>
  <c r="L41" i="6"/>
  <c r="L37" i="6"/>
  <c r="Z16" i="8"/>
  <c r="DP67" i="3"/>
  <c r="H200" i="8"/>
  <c r="H256" i="8" s="1"/>
  <c r="H153" i="8"/>
  <c r="H104" i="8"/>
  <c r="H56" i="8"/>
  <c r="I5" i="8"/>
  <c r="L121" i="8"/>
  <c r="L144" i="8" s="1"/>
  <c r="L123" i="8"/>
  <c r="L124" i="8" s="1"/>
  <c r="W27" i="6"/>
  <c r="F219" i="8"/>
  <c r="G209" i="8"/>
  <c r="G218" i="8" s="1"/>
  <c r="I47" i="48" s="1"/>
  <c r="I48" i="48" s="1"/>
  <c r="CW66" i="3"/>
  <c r="CW82" i="3" s="1"/>
  <c r="C66" i="3"/>
  <c r="J44" i="6"/>
  <c r="V42" i="16" s="1"/>
  <c r="X42" i="16" s="1"/>
  <c r="Z42" i="16" s="1"/>
  <c r="K66" i="8"/>
  <c r="K70" i="8" s="1"/>
  <c r="J71" i="8"/>
  <c r="DA68" i="3"/>
  <c r="J83" i="8"/>
  <c r="T266" i="8"/>
  <c r="DJ70" i="3"/>
  <c r="Y21" i="8"/>
  <c r="I74" i="8"/>
  <c r="I75" i="8" s="1"/>
  <c r="I72" i="8"/>
  <c r="I95" i="8" s="1"/>
  <c r="P169" i="8"/>
  <c r="P192" i="8" s="1"/>
  <c r="P171" i="8"/>
  <c r="P172" i="8" s="1"/>
  <c r="N30" i="6"/>
  <c r="P30" i="6" s="1"/>
  <c r="U30" i="6"/>
  <c r="W30" i="6" s="1"/>
  <c r="Q169" i="8"/>
  <c r="Q192" i="8" s="1"/>
  <c r="Q171" i="8"/>
  <c r="Q172" i="8" s="1"/>
  <c r="N115" i="8"/>
  <c r="N119" i="8" s="1"/>
  <c r="M120" i="8"/>
  <c r="DD69" i="3"/>
  <c r="M132" i="8"/>
  <c r="M133" i="8" s="1"/>
  <c r="E220" i="8"/>
  <c r="E222" i="8"/>
  <c r="E223" i="8" s="1"/>
  <c r="U24" i="6"/>
  <c r="W24" i="6" s="1"/>
  <c r="U34" i="6"/>
  <c r="N34" i="6"/>
  <c r="P34" i="6" s="1"/>
  <c r="L38" i="6"/>
  <c r="E16" i="8"/>
  <c r="CU67" i="3"/>
  <c r="D33" i="8"/>
  <c r="D34" i="8" s="1"/>
  <c r="L31" i="6"/>
  <c r="N31" i="6" s="1"/>
  <c r="P31" i="6" s="1"/>
  <c r="E123" i="62"/>
  <c r="Y25" i="10"/>
  <c r="Z24" i="10"/>
  <c r="Y58" i="10"/>
  <c r="AW171" i="7"/>
  <c r="AR176" i="7"/>
  <c r="AW176" i="7" s="1"/>
  <c r="AR177" i="7"/>
  <c r="AW177" i="7" s="1"/>
  <c r="AN187" i="7"/>
  <c r="AN175" i="7"/>
  <c r="AN154" i="7"/>
  <c r="AS134" i="7"/>
  <c r="CB146" i="7"/>
  <c r="CB145" i="7"/>
  <c r="CF187" i="7"/>
  <c r="CK187" i="7" s="1"/>
  <c r="CF175" i="7"/>
  <c r="CK175" i="7" s="1"/>
  <c r="CF154" i="7"/>
  <c r="CK154" i="7" s="1"/>
  <c r="CF144" i="7"/>
  <c r="CK134" i="7"/>
  <c r="BA177" i="7"/>
  <c r="AO151" i="7"/>
  <c r="BR62" i="3"/>
  <c r="CG62" i="3"/>
  <c r="BQ183" i="7"/>
  <c r="BL188" i="7"/>
  <c r="BQ188" i="7" s="1"/>
  <c r="BL189" i="7"/>
  <c r="BQ189" i="7" s="1"/>
  <c r="BU176" i="7"/>
  <c r="CV224" i="7"/>
  <c r="BM144" i="7"/>
  <c r="AK189" i="7"/>
  <c r="AO134" i="7"/>
  <c r="AR187" i="7"/>
  <c r="AW187" i="7" s="1"/>
  <c r="AR175" i="7"/>
  <c r="AW175" i="7" s="1"/>
  <c r="AR154" i="7"/>
  <c r="AW154" i="7" s="1"/>
  <c r="AW134" i="7"/>
  <c r="AR156" i="7"/>
  <c r="AW156" i="7" s="1"/>
  <c r="AW150" i="7"/>
  <c r="AR155" i="7"/>
  <c r="AW155" i="7" s="1"/>
  <c r="BP52" i="3"/>
  <c r="BP32" i="3"/>
  <c r="BP62" i="3" s="1"/>
  <c r="BM146" i="7"/>
  <c r="CB187" i="7"/>
  <c r="CB175" i="7"/>
  <c r="CB154" i="7"/>
  <c r="CB144" i="7"/>
  <c r="CG134" i="7"/>
  <c r="CC134" i="7"/>
  <c r="CB155" i="7"/>
  <c r="CG150" i="7"/>
  <c r="CB156" i="7"/>
  <c r="AS172" i="7"/>
  <c r="AO172" i="7"/>
  <c r="CG186" i="7"/>
  <c r="BQ156" i="7"/>
  <c r="R32" i="3"/>
  <c r="R62" i="3" s="1"/>
  <c r="R36" i="3"/>
  <c r="R78" i="3"/>
  <c r="R52" i="3"/>
  <c r="BM177" i="7"/>
  <c r="BU188" i="7"/>
  <c r="BM183" i="7"/>
  <c r="AK155" i="7"/>
  <c r="CO38" i="3" a="1"/>
  <c r="AS183" i="7"/>
  <c r="AN189" i="7"/>
  <c r="AN188" i="7"/>
  <c r="CC174" i="7"/>
  <c r="CG174" i="7"/>
  <c r="CF146" i="7"/>
  <c r="CK146" i="7" s="1"/>
  <c r="CF145" i="7"/>
  <c r="CK145" i="7" s="1"/>
  <c r="CK184" i="7"/>
  <c r="CF188" i="7"/>
  <c r="CK188" i="7" s="1"/>
  <c r="CF189" i="7"/>
  <c r="CK189" i="7" s="1"/>
  <c r="CG184" i="7"/>
  <c r="AO62" i="3"/>
  <c r="AE62" i="3"/>
  <c r="AD62" i="3"/>
  <c r="BV62" i="3"/>
  <c r="CO189" i="7"/>
  <c r="BM187" i="7"/>
  <c r="AO188" i="7"/>
  <c r="AO154" i="7"/>
  <c r="AK154" i="7"/>
  <c r="AK188" i="7"/>
  <c r="AR189" i="7"/>
  <c r="AW189" i="7" s="1"/>
  <c r="AW183" i="7"/>
  <c r="AR188" i="7"/>
  <c r="AW188" i="7" s="1"/>
  <c r="BA188" i="7"/>
  <c r="BZ52" i="3"/>
  <c r="BZ32" i="3"/>
  <c r="BM186" i="7"/>
  <c r="BI186" i="7"/>
  <c r="AS150" i="7"/>
  <c r="AN155" i="7"/>
  <c r="AO155" i="7" s="1"/>
  <c r="AN156" i="7"/>
  <c r="AS156" i="7" s="1"/>
  <c r="CB177" i="7"/>
  <c r="CG171" i="7"/>
  <c r="CC171" i="7"/>
  <c r="CB176" i="7"/>
  <c r="BM156" i="7"/>
  <c r="CK151" i="7"/>
  <c r="CF156" i="7"/>
  <c r="CK156" i="7" s="1"/>
  <c r="CF155" i="7"/>
  <c r="CK155" i="7" s="1"/>
  <c r="CG151" i="7"/>
  <c r="AO136" i="7"/>
  <c r="BA154" i="7"/>
  <c r="AY62" i="3"/>
  <c r="BN62" i="3"/>
  <c r="AO183" i="7"/>
  <c r="AO187" i="7"/>
  <c r="AK187" i="7"/>
  <c r="W52" i="3"/>
  <c r="W32" i="3"/>
  <c r="W36" i="3"/>
  <c r="W78" i="3"/>
  <c r="AS185" i="7"/>
  <c r="AS135" i="7"/>
  <c r="AN177" i="7"/>
  <c r="AO171" i="7"/>
  <c r="AN176" i="7"/>
  <c r="AS171" i="7"/>
  <c r="CG183" i="7"/>
  <c r="CB188" i="7"/>
  <c r="CG188" i="7" s="1"/>
  <c r="CB189" i="7"/>
  <c r="BM145" i="7"/>
  <c r="CG153" i="7"/>
  <c r="AK156" i="7"/>
  <c r="CK172" i="7"/>
  <c r="CF176" i="7"/>
  <c r="CK176" i="7" s="1"/>
  <c r="CG172" i="7"/>
  <c r="CF177" i="7"/>
  <c r="CK177" i="7" s="1"/>
  <c r="BM189" i="7"/>
  <c r="CC136" i="7"/>
  <c r="BA175" i="7"/>
  <c r="D198" i="30"/>
  <c r="H198" i="30" s="1"/>
  <c r="P198" i="30" s="1"/>
  <c r="S126" i="6"/>
  <c r="BA126" i="6" s="1"/>
  <c r="AI94" i="6"/>
  <c r="D119" i="6"/>
  <c r="H119" i="6" s="1"/>
  <c r="AI119" i="6"/>
  <c r="AK119" i="6" s="1"/>
  <c r="AM119" i="6" s="1"/>
  <c r="U119" i="6"/>
  <c r="W119" i="6" s="1"/>
  <c r="BA119" i="6"/>
  <c r="W134" i="6"/>
  <c r="AF268" i="30"/>
  <c r="D94" i="6"/>
  <c r="H94" i="6" s="1"/>
  <c r="D101" i="6"/>
  <c r="H101" i="6" s="1"/>
  <c r="AM134" i="6"/>
  <c r="AR174" i="6"/>
  <c r="AI66" i="30"/>
  <c r="Q7" i="8" s="1"/>
  <c r="R8" i="8" s="1"/>
  <c r="AI121" i="6"/>
  <c r="D121" i="6"/>
  <c r="H121" i="6" s="1"/>
  <c r="AM253" i="30"/>
  <c r="AK254" i="30"/>
  <c r="AM254" i="30" s="1"/>
  <c r="AI115" i="6"/>
  <c r="AF261" i="30"/>
  <c r="S125" i="6"/>
  <c r="AI132" i="6"/>
  <c r="S136" i="6"/>
  <c r="D139" i="6"/>
  <c r="H139" i="6" s="1"/>
  <c r="D132" i="6"/>
  <c r="H132" i="6" s="1"/>
  <c r="BA132" i="6"/>
  <c r="AF134" i="6"/>
  <c r="P134" i="6"/>
  <c r="AZ126" i="6"/>
  <c r="AM260" i="30"/>
  <c r="AM267" i="30"/>
  <c r="AK261" i="30"/>
  <c r="P127" i="6"/>
  <c r="AF127" i="6"/>
  <c r="AQ181" i="6"/>
  <c r="AP182" i="6"/>
  <c r="AQ182" i="6" s="1"/>
  <c r="AR182" i="6" s="1"/>
  <c r="AQ175" i="6"/>
  <c r="AR175" i="6" s="1"/>
  <c r="AI87" i="6"/>
  <c r="D122" i="6"/>
  <c r="H122" i="6" s="1"/>
  <c r="BD111" i="30"/>
  <c r="BE111" i="30" s="1"/>
  <c r="BC111" i="30"/>
  <c r="D86" i="30"/>
  <c r="H86" i="30" s="1"/>
  <c r="AI86" i="30"/>
  <c r="BC93" i="30"/>
  <c r="AI80" i="30"/>
  <c r="U206" i="30"/>
  <c r="W206" i="30" s="1"/>
  <c r="D206" i="30"/>
  <c r="H206" i="30" s="1"/>
  <c r="AI206" i="30"/>
  <c r="AK206" i="30" s="1"/>
  <c r="AM206" i="30" s="1"/>
  <c r="BR128" i="30"/>
  <c r="BR127" i="30"/>
  <c r="BR125" i="30"/>
  <c r="BR126" i="30"/>
  <c r="U85" i="30"/>
  <c r="W85" i="30" s="1"/>
  <c r="D85" i="30"/>
  <c r="H85" i="30" s="1"/>
  <c r="AI85" i="30"/>
  <c r="AK85" i="30" s="1"/>
  <c r="AM85" i="30" s="1"/>
  <c r="BC92" i="30"/>
  <c r="BD106" i="30"/>
  <c r="BE106" i="30" s="1"/>
  <c r="AF184" i="30"/>
  <c r="P184" i="30"/>
  <c r="AU213" i="30"/>
  <c r="S213" i="30"/>
  <c r="BP120" i="30"/>
  <c r="BP118" i="30"/>
  <c r="BP119" i="30"/>
  <c r="BP129" i="30"/>
  <c r="AF199" i="30"/>
  <c r="P199" i="30"/>
  <c r="AU211" i="30"/>
  <c r="AS215" i="30"/>
  <c r="U60" i="8" s="1"/>
  <c r="U61" i="8" s="1"/>
  <c r="S211" i="30"/>
  <c r="AI84" i="30"/>
  <c r="AK84" i="30" s="1"/>
  <c r="AM84" i="30" s="1"/>
  <c r="D84" i="30"/>
  <c r="H84" i="30" s="1"/>
  <c r="U84" i="30"/>
  <c r="W84" i="30" s="1"/>
  <c r="BC91" i="30"/>
  <c r="S214" i="30"/>
  <c r="AU214" i="30"/>
  <c r="D300" i="30"/>
  <c r="H300" i="30" s="1"/>
  <c r="AI293" i="30"/>
  <c r="AK293" i="30" s="1"/>
  <c r="U293" i="30"/>
  <c r="D293" i="30"/>
  <c r="H293" i="30" s="1"/>
  <c r="S194" i="30"/>
  <c r="D190" i="30"/>
  <c r="H190" i="30" s="1"/>
  <c r="AI190" i="30"/>
  <c r="AF76" i="30"/>
  <c r="AF183" i="30"/>
  <c r="P77" i="30"/>
  <c r="AF77" i="30"/>
  <c r="D204" i="30"/>
  <c r="H204" i="30" s="1"/>
  <c r="AI204" i="30"/>
  <c r="S208" i="30"/>
  <c r="AF197" i="30"/>
  <c r="AF285" i="30"/>
  <c r="S91" i="30"/>
  <c r="AU91" i="30"/>
  <c r="D207" i="30"/>
  <c r="H207" i="30" s="1"/>
  <c r="AI207" i="30"/>
  <c r="AV208" i="30"/>
  <c r="AU208" i="30"/>
  <c r="AI205" i="30"/>
  <c r="AK205" i="30" s="1"/>
  <c r="AM205" i="30" s="1"/>
  <c r="U205" i="30"/>
  <c r="W205" i="30" s="1"/>
  <c r="D205" i="30"/>
  <c r="H205" i="30" s="1"/>
  <c r="BD114" i="30"/>
  <c r="BE114" i="30" s="1"/>
  <c r="BC114" i="30"/>
  <c r="AI289" i="30"/>
  <c r="AI83" i="30"/>
  <c r="S87" i="30"/>
  <c r="D83" i="30"/>
  <c r="H83" i="30" s="1"/>
  <c r="BC90" i="30"/>
  <c r="AV219" i="30"/>
  <c r="AS219" i="30" s="1"/>
  <c r="AS98" i="30"/>
  <c r="S92" i="30"/>
  <c r="S148" i="6" s="1"/>
  <c r="AU92" i="30"/>
  <c r="BW112" i="30"/>
  <c r="BB112" i="30" s="1"/>
  <c r="AV296" i="30"/>
  <c r="AU296" i="30"/>
  <c r="AU303" i="30"/>
  <c r="AV218" i="30"/>
  <c r="AS218" i="30" s="1"/>
  <c r="AS97" i="30"/>
  <c r="P286" i="30"/>
  <c r="AF286" i="30"/>
  <c r="AU93" i="30"/>
  <c r="S93" i="30"/>
  <c r="AF78" i="30"/>
  <c r="P78" i="30"/>
  <c r="AU194" i="30"/>
  <c r="AV194" i="30"/>
  <c r="BS129" i="30"/>
  <c r="BS119" i="30"/>
  <c r="BS121" i="30"/>
  <c r="BW121" i="30" s="1"/>
  <c r="BB121" i="30" s="1"/>
  <c r="BS120" i="30"/>
  <c r="BS118" i="30"/>
  <c r="H80" i="30"/>
  <c r="D191" i="30"/>
  <c r="H191" i="30" s="1"/>
  <c r="AI191" i="30"/>
  <c r="AK191" i="30" s="1"/>
  <c r="AM191" i="30" s="1"/>
  <c r="U191" i="30"/>
  <c r="W191" i="30" s="1"/>
  <c r="AI187" i="30"/>
  <c r="AI201" i="30"/>
  <c r="AM198" i="30"/>
  <c r="BQ129" i="30"/>
  <c r="BQ120" i="30"/>
  <c r="BQ119" i="30"/>
  <c r="BQ118" i="30"/>
  <c r="AU87" i="30"/>
  <c r="AV87" i="30"/>
  <c r="S212" i="30"/>
  <c r="AU212" i="30"/>
  <c r="AV220" i="30"/>
  <c r="AS220" i="30" s="1"/>
  <c r="AS99" i="30"/>
  <c r="BW113" i="30"/>
  <c r="BB113" i="30" s="1"/>
  <c r="S296" i="30"/>
  <c r="D299" i="30"/>
  <c r="H299" i="30" s="1"/>
  <c r="AI292" i="30"/>
  <c r="D292" i="30"/>
  <c r="H292" i="30" s="1"/>
  <c r="AS94" i="30"/>
  <c r="U9" i="8" s="1"/>
  <c r="S90" i="30"/>
  <c r="S146" i="6" s="1"/>
  <c r="AU90" i="30"/>
  <c r="AV221" i="30"/>
  <c r="AS221" i="30" s="1"/>
  <c r="AS100" i="30"/>
  <c r="BD105" i="30"/>
  <c r="BE105" i="30" s="1"/>
  <c r="CF62" i="3"/>
  <c r="AS62" i="3"/>
  <c r="BW62" i="3"/>
  <c r="AJ62" i="3"/>
  <c r="DQ80" i="3"/>
  <c r="DP79" i="3"/>
  <c r="CB62" i="3"/>
  <c r="BL62" i="3"/>
  <c r="CC62" i="3"/>
  <c r="BI62" i="3"/>
  <c r="AR62" i="3"/>
  <c r="BM62" i="3"/>
  <c r="AT62" i="3"/>
  <c r="AN62" i="3"/>
  <c r="X62" i="3"/>
  <c r="DE62" i="3"/>
  <c r="Y62" i="3"/>
  <c r="AX62" i="3"/>
  <c r="BS62" i="3"/>
  <c r="BC62" i="3"/>
  <c r="AH62" i="3"/>
  <c r="F123" i="62"/>
  <c r="F180" i="62"/>
  <c r="F81" i="62"/>
  <c r="O59" i="10" l="1"/>
  <c r="Q59" i="10"/>
  <c r="AJ65" i="13"/>
  <c r="AJ57" i="13"/>
  <c r="J58" i="10"/>
  <c r="J59" i="10" s="1"/>
  <c r="J55" i="10"/>
  <c r="J56" i="10" s="1"/>
  <c r="J50" i="10"/>
  <c r="J51" i="10" s="1"/>
  <c r="J46" i="10"/>
  <c r="AA51" i="10"/>
  <c r="Z51" i="10"/>
  <c r="K46" i="10"/>
  <c r="K58" i="10"/>
  <c r="K59" i="10" s="1"/>
  <c r="K55" i="10"/>
  <c r="K56" i="10" s="1"/>
  <c r="K50" i="10"/>
  <c r="K51" i="10" s="1"/>
  <c r="O51" i="10"/>
  <c r="Q51" i="10"/>
  <c r="Y56" i="10"/>
  <c r="AQ72" i="12"/>
  <c r="X50" i="10"/>
  <c r="X51" i="10" s="1"/>
  <c r="X55" i="10"/>
  <c r="X56" i="10" s="1"/>
  <c r="X46" i="10"/>
  <c r="X58" i="10"/>
  <c r="X59" i="10" s="1"/>
  <c r="AA56" i="10"/>
  <c r="Z56" i="10"/>
  <c r="BM188" i="7"/>
  <c r="Q56" i="10"/>
  <c r="O56" i="10"/>
  <c r="Z10" i="13"/>
  <c r="Z16" i="13" s="1"/>
  <c r="AC78" i="12"/>
  <c r="U59" i="10"/>
  <c r="V59" i="10"/>
  <c r="I9" i="8"/>
  <c r="J52" i="13"/>
  <c r="J55" i="13" s="1"/>
  <c r="K9" i="12"/>
  <c r="K14" i="12" s="1"/>
  <c r="K28" i="12" s="1"/>
  <c r="K64" i="12" s="1"/>
  <c r="T65" i="13"/>
  <c r="T57" i="13"/>
  <c r="V56" i="10"/>
  <c r="Y72" i="12"/>
  <c r="Y78" i="12" s="1"/>
  <c r="L46" i="10"/>
  <c r="L58" i="10"/>
  <c r="L55" i="10"/>
  <c r="L50" i="10"/>
  <c r="Y70" i="10"/>
  <c r="X71" i="10"/>
  <c r="AD61" i="8"/>
  <c r="AB60" i="8"/>
  <c r="AE61" i="10"/>
  <c r="BB48" i="13" s="1"/>
  <c r="AZ48" i="13"/>
  <c r="AD62" i="10"/>
  <c r="AS189" i="7"/>
  <c r="Y203" i="8"/>
  <c r="AF198" i="30"/>
  <c r="AD10" i="8"/>
  <c r="AY155" i="6"/>
  <c r="M63" i="8"/>
  <c r="M64" i="8"/>
  <c r="N63" i="8"/>
  <c r="P63" i="8"/>
  <c r="P206" i="8"/>
  <c r="Q59" i="8"/>
  <c r="Q62" i="8"/>
  <c r="D155" i="6"/>
  <c r="H155" i="6" s="1"/>
  <c r="AI148" i="6"/>
  <c r="AK148" i="6" s="1"/>
  <c r="U148" i="6"/>
  <c r="D148" i="6"/>
  <c r="H148" i="6" s="1"/>
  <c r="Q8" i="8"/>
  <c r="Q11" i="8"/>
  <c r="L46" i="8"/>
  <c r="L13" i="8"/>
  <c r="L12" i="8"/>
  <c r="AI140" i="6"/>
  <c r="AK140" i="6" s="1"/>
  <c r="AM140" i="6" s="1"/>
  <c r="U140" i="6"/>
  <c r="W140" i="6" s="1"/>
  <c r="D140" i="6"/>
  <c r="H140" i="6" s="1"/>
  <c r="BA148" i="6"/>
  <c r="BA140" i="6"/>
  <c r="AY156" i="6"/>
  <c r="BW118" i="30"/>
  <c r="BB118" i="30" s="1"/>
  <c r="S149" i="6"/>
  <c r="AY153" i="6"/>
  <c r="AY154" i="6"/>
  <c r="D87" i="30"/>
  <c r="H87" i="30" s="1"/>
  <c r="T7" i="8"/>
  <c r="D208" i="30"/>
  <c r="H208" i="30" s="1"/>
  <c r="T58" i="8"/>
  <c r="AI141" i="6"/>
  <c r="AK141" i="6" s="1"/>
  <c r="AM141" i="6" s="1"/>
  <c r="U141" i="6"/>
  <c r="W141" i="6" s="1"/>
  <c r="D141" i="6"/>
  <c r="H141" i="6" s="1"/>
  <c r="S143" i="6"/>
  <c r="AI139" i="6"/>
  <c r="F143" i="6"/>
  <c r="T241" i="8" s="1"/>
  <c r="W9" i="10" s="1"/>
  <c r="S8" i="8"/>
  <c r="S11" i="8"/>
  <c r="D146" i="6"/>
  <c r="H146" i="6" s="1"/>
  <c r="AI146" i="6"/>
  <c r="D153" i="6"/>
  <c r="H153" i="6" s="1"/>
  <c r="AF153" i="6" s="1"/>
  <c r="S147" i="6"/>
  <c r="D194" i="30"/>
  <c r="H194" i="30" s="1"/>
  <c r="R58" i="8"/>
  <c r="M12" i="8"/>
  <c r="M13" i="8"/>
  <c r="M46" i="8"/>
  <c r="N12" i="8"/>
  <c r="BA146" i="6"/>
  <c r="R12" i="8"/>
  <c r="R46" i="8"/>
  <c r="AV24" i="13"/>
  <c r="AC10" i="8"/>
  <c r="AC9" i="8" s="1"/>
  <c r="AC109" i="8"/>
  <c r="AC108" i="8" s="1"/>
  <c r="AD108" i="8" s="1"/>
  <c r="AC61" i="8"/>
  <c r="L126" i="48"/>
  <c r="M94" i="48"/>
  <c r="K127" i="48"/>
  <c r="K92" i="48"/>
  <c r="M126" i="48"/>
  <c r="N128" i="48"/>
  <c r="O127" i="48"/>
  <c r="H126" i="48"/>
  <c r="I125" i="48"/>
  <c r="M127" i="48"/>
  <c r="AA119" i="48"/>
  <c r="AB83" i="48"/>
  <c r="H91" i="48"/>
  <c r="S125" i="48"/>
  <c r="S90" i="48"/>
  <c r="B138" i="48"/>
  <c r="C138" i="48"/>
  <c r="R91" i="48"/>
  <c r="Y123" i="48"/>
  <c r="Z87" i="48"/>
  <c r="AC31" i="48"/>
  <c r="O93" i="48"/>
  <c r="P124" i="48"/>
  <c r="Q123" i="48"/>
  <c r="J95" i="48"/>
  <c r="P89" i="48"/>
  <c r="Y122" i="48"/>
  <c r="Z86" i="48"/>
  <c r="Y121" i="48"/>
  <c r="Z85" i="48"/>
  <c r="R125" i="48"/>
  <c r="AC82" i="48"/>
  <c r="AB118" i="48"/>
  <c r="U95" i="48"/>
  <c r="Q91" i="48"/>
  <c r="T125" i="48"/>
  <c r="T90" i="48"/>
  <c r="U124" i="48"/>
  <c r="Z74" i="48"/>
  <c r="Z110" i="48" s="1"/>
  <c r="Z147" i="48" s="1"/>
  <c r="AA9" i="48"/>
  <c r="N126" i="48"/>
  <c r="N93" i="48"/>
  <c r="L74" i="48"/>
  <c r="L110" i="48" s="1"/>
  <c r="L147" i="48" s="1"/>
  <c r="K9" i="48"/>
  <c r="Z120" i="48"/>
  <c r="AA84" i="48"/>
  <c r="T91" i="48"/>
  <c r="K126" i="48"/>
  <c r="M125" i="48"/>
  <c r="V91" i="48"/>
  <c r="V126" i="48"/>
  <c r="W90" i="48"/>
  <c r="N127" i="48"/>
  <c r="N125" i="48"/>
  <c r="O124" i="48"/>
  <c r="I92" i="48"/>
  <c r="J126" i="48"/>
  <c r="L124" i="48"/>
  <c r="L91" i="48"/>
  <c r="L127" i="48" s="1"/>
  <c r="X124" i="48"/>
  <c r="Y88" i="48"/>
  <c r="W125" i="48"/>
  <c r="X89" i="48"/>
  <c r="AT7" i="15"/>
  <c r="X6" i="14"/>
  <c r="AK85" i="12"/>
  <c r="AI86" i="12"/>
  <c r="AP72" i="13"/>
  <c r="AN68" i="13"/>
  <c r="AN69" i="13" s="1"/>
  <c r="AQ84" i="12"/>
  <c r="CA19" i="11"/>
  <c r="CA23" i="11" s="1"/>
  <c r="J179" i="30"/>
  <c r="DO14" i="11"/>
  <c r="BQ23" i="11"/>
  <c r="BP19" i="11"/>
  <c r="O178" i="8"/>
  <c r="O180" i="8"/>
  <c r="O181" i="8" s="1"/>
  <c r="O174" i="8"/>
  <c r="AW24" i="11"/>
  <c r="AV23" i="11"/>
  <c r="BA19" i="11"/>
  <c r="I80" i="8"/>
  <c r="W162" i="30"/>
  <c r="U166" i="30"/>
  <c r="CF50" i="11"/>
  <c r="CK46" i="11"/>
  <c r="R280" i="8"/>
  <c r="Z427" i="30"/>
  <c r="W158" i="30"/>
  <c r="U159" i="30"/>
  <c r="W159" i="30" s="1"/>
  <c r="AI122" i="6"/>
  <c r="AM271" i="30"/>
  <c r="BX38" i="11"/>
  <c r="BY42" i="11"/>
  <c r="AB274" i="30"/>
  <c r="AB278" i="30"/>
  <c r="AD274" i="30"/>
  <c r="AF274" i="30" s="1"/>
  <c r="AD275" i="30"/>
  <c r="AF275" i="30" s="1"/>
  <c r="J142" i="8"/>
  <c r="J144" i="8"/>
  <c r="BO28" i="11"/>
  <c r="J260" i="30"/>
  <c r="BL33" i="11"/>
  <c r="AB27" i="6"/>
  <c r="AB23" i="6"/>
  <c r="D228" i="8"/>
  <c r="D31" i="8"/>
  <c r="D27" i="8"/>
  <c r="Q286" i="8"/>
  <c r="Q287" i="8" s="1"/>
  <c r="Q278" i="8"/>
  <c r="Q293" i="8" s="1"/>
  <c r="AB162" i="30"/>
  <c r="AB158" i="30"/>
  <c r="AD159" i="30"/>
  <c r="AD158" i="30"/>
  <c r="AF158" i="30" s="1"/>
  <c r="O130" i="8"/>
  <c r="O126" i="8"/>
  <c r="DM10" i="11"/>
  <c r="DM54" i="11" s="1"/>
  <c r="DL54" i="11" s="1"/>
  <c r="Z234" i="8" s="1"/>
  <c r="Z235" i="8" s="1"/>
  <c r="Z41" i="8"/>
  <c r="DP10" i="11"/>
  <c r="I124" i="8"/>
  <c r="J124" i="8"/>
  <c r="C237" i="8"/>
  <c r="C238" i="8" s="1"/>
  <c r="C226" i="8"/>
  <c r="C243" i="8" s="1"/>
  <c r="N253" i="30"/>
  <c r="P253" i="30" s="1"/>
  <c r="U253" i="30"/>
  <c r="L254" i="30"/>
  <c r="N254" i="30" s="1"/>
  <c r="P254" i="30" s="1"/>
  <c r="L166" i="30"/>
  <c r="N166" i="30" s="1"/>
  <c r="P166" i="30" s="1"/>
  <c r="N165" i="30"/>
  <c r="P165" i="30" s="1"/>
  <c r="L176" i="30"/>
  <c r="L172" i="30"/>
  <c r="AY53" i="11"/>
  <c r="AY14" i="11"/>
  <c r="L128" i="30"/>
  <c r="K128" i="30"/>
  <c r="H86" i="8"/>
  <c r="H87" i="8" s="1"/>
  <c r="H78" i="8"/>
  <c r="H93" i="8" s="1"/>
  <c r="M81" i="8"/>
  <c r="M77" i="8"/>
  <c r="AB382" i="30"/>
  <c r="AB378" i="30"/>
  <c r="AD379" i="30"/>
  <c r="BY33" i="11"/>
  <c r="U169" i="30"/>
  <c r="L173" i="30"/>
  <c r="N173" i="30" s="1"/>
  <c r="P173" i="30" s="1"/>
  <c r="N169" i="30"/>
  <c r="P169" i="30" s="1"/>
  <c r="I144" i="8"/>
  <c r="I142" i="8"/>
  <c r="J12" i="8"/>
  <c r="I46" i="8"/>
  <c r="I12" i="8"/>
  <c r="AM151" i="30"/>
  <c r="AK152" i="30"/>
  <c r="AM152" i="30" s="1"/>
  <c r="CT73" i="3"/>
  <c r="C232" i="8"/>
  <c r="AG53" i="11"/>
  <c r="AG14" i="11"/>
  <c r="AF9" i="11"/>
  <c r="AF53" i="11" s="1"/>
  <c r="W125" i="30"/>
  <c r="N257" i="30"/>
  <c r="P257" i="30" s="1"/>
  <c r="U257" i="30"/>
  <c r="J136" i="8"/>
  <c r="O115" i="8"/>
  <c r="O119" i="8" s="1"/>
  <c r="N120" i="8"/>
  <c r="DE69" i="3"/>
  <c r="N132" i="8"/>
  <c r="N133" i="8" s="1"/>
  <c r="T270" i="8"/>
  <c r="J72" i="8"/>
  <c r="J95" i="8" s="1"/>
  <c r="J74" i="8"/>
  <c r="J75" i="8" s="1"/>
  <c r="I104" i="8"/>
  <c r="I200" i="8"/>
  <c r="I256" i="8" s="1"/>
  <c r="I56" i="8"/>
  <c r="I153" i="8"/>
  <c r="J5" i="8"/>
  <c r="U41" i="6"/>
  <c r="N41" i="6"/>
  <c r="P41" i="6" s="1"/>
  <c r="E20" i="8"/>
  <c r="G231" i="8"/>
  <c r="G219" i="8"/>
  <c r="H209" i="8"/>
  <c r="H218" i="8" s="1"/>
  <c r="J47" i="48" s="1"/>
  <c r="J48" i="48" s="1"/>
  <c r="J51" i="6"/>
  <c r="V49" i="16" s="1"/>
  <c r="X49" i="16" s="1"/>
  <c r="Z49" i="16" s="1"/>
  <c r="CX66" i="3"/>
  <c r="CX82" i="3" s="1"/>
  <c r="D66" i="3"/>
  <c r="W34" i="6"/>
  <c r="M121" i="8"/>
  <c r="M144" i="8" s="1"/>
  <c r="M123" i="8"/>
  <c r="M124" i="8" s="1"/>
  <c r="K71" i="8"/>
  <c r="L66" i="8"/>
  <c r="L70" i="8" s="1"/>
  <c r="DB68" i="3"/>
  <c r="K83" i="8"/>
  <c r="K84" i="8" s="1"/>
  <c r="U31" i="6"/>
  <c r="W31" i="6" s="1"/>
  <c r="Z20" i="8"/>
  <c r="N38" i="6"/>
  <c r="P38" i="6" s="1"/>
  <c r="Y22" i="8"/>
  <c r="L44" i="6"/>
  <c r="L45" i="6" s="1"/>
  <c r="N45" i="6" s="1"/>
  <c r="P45" i="6" s="1"/>
  <c r="L48" i="6"/>
  <c r="F220" i="8"/>
  <c r="F222" i="8"/>
  <c r="F223" i="8" s="1"/>
  <c r="N37" i="6"/>
  <c r="P37" i="6" s="1"/>
  <c r="U37" i="6"/>
  <c r="W37" i="6" s="1"/>
  <c r="AA24" i="10"/>
  <c r="Z25" i="10"/>
  <c r="Z58" i="10"/>
  <c r="Z59" i="10" s="1"/>
  <c r="CC176" i="7"/>
  <c r="CG176" i="7"/>
  <c r="AO156" i="7"/>
  <c r="CG177" i="7"/>
  <c r="CC177" i="7"/>
  <c r="AS188" i="7"/>
  <c r="CG175" i="7"/>
  <c r="CC175" i="7"/>
  <c r="CG146" i="7"/>
  <c r="CC146" i="7"/>
  <c r="AS187" i="7"/>
  <c r="AS177" i="7"/>
  <c r="AO177" i="7"/>
  <c r="W62" i="3"/>
  <c r="AB62" i="3"/>
  <c r="AS155" i="7"/>
  <c r="AO189" i="7"/>
  <c r="AS154" i="7"/>
  <c r="CG156" i="7"/>
  <c r="CC156" i="7"/>
  <c r="CG187" i="7"/>
  <c r="CC187" i="7"/>
  <c r="CG189" i="7"/>
  <c r="CC189" i="7"/>
  <c r="AS176" i="7"/>
  <c r="AO176" i="7"/>
  <c r="CR38" i="3"/>
  <c r="CP38" i="3"/>
  <c r="CQ38" i="3"/>
  <c r="CO38" i="3"/>
  <c r="CG155" i="7"/>
  <c r="CG154" i="7"/>
  <c r="CC154" i="7"/>
  <c r="CG145" i="7"/>
  <c r="AS175" i="7"/>
  <c r="AO175" i="7"/>
  <c r="AR181" i="6"/>
  <c r="AQ185" i="6"/>
  <c r="AQ178" i="6"/>
  <c r="P119" i="6"/>
  <c r="AF119" i="6"/>
  <c r="AI126" i="6"/>
  <c r="AK126" i="6" s="1"/>
  <c r="U126" i="6"/>
  <c r="D126" i="6"/>
  <c r="H126" i="6" s="1"/>
  <c r="D133" i="6"/>
  <c r="H133" i="6" s="1"/>
  <c r="BA156" i="6"/>
  <c r="AZ156" i="6"/>
  <c r="AP185" i="6"/>
  <c r="D143" i="6"/>
  <c r="H143" i="6" s="1"/>
  <c r="AI125" i="6"/>
  <c r="S129" i="6"/>
  <c r="D129" i="6" s="1"/>
  <c r="H129" i="6" s="1"/>
  <c r="D125" i="6"/>
  <c r="H125" i="6" s="1"/>
  <c r="BA125" i="6"/>
  <c r="AM261" i="30"/>
  <c r="AM268" i="30"/>
  <c r="AI136" i="6"/>
  <c r="BC121" i="30"/>
  <c r="BD121" i="30"/>
  <c r="BE121" i="30" s="1"/>
  <c r="BD118" i="30"/>
  <c r="BE118" i="30" s="1"/>
  <c r="BC118" i="30"/>
  <c r="S94" i="30"/>
  <c r="D90" i="30"/>
  <c r="H90" i="30" s="1"/>
  <c r="AI90" i="30"/>
  <c r="BC97" i="30"/>
  <c r="AI296" i="30"/>
  <c r="BC113" i="30"/>
  <c r="BD113" i="30"/>
  <c r="BE113" i="30" s="1"/>
  <c r="AI212" i="30"/>
  <c r="U212" i="30"/>
  <c r="W212" i="30" s="1"/>
  <c r="D212" i="30"/>
  <c r="H212" i="30" s="1"/>
  <c r="BQ126" i="30"/>
  <c r="BQ125" i="30"/>
  <c r="BQ127" i="30"/>
  <c r="AU225" i="30"/>
  <c r="AU218" i="30"/>
  <c r="AS222" i="30"/>
  <c r="V60" i="8" s="1"/>
  <c r="S218" i="30"/>
  <c r="BD112" i="30"/>
  <c r="BE112" i="30" s="1"/>
  <c r="BC112" i="30"/>
  <c r="AI92" i="30"/>
  <c r="U92" i="30"/>
  <c r="W92" i="30" s="1"/>
  <c r="D92" i="30"/>
  <c r="H92" i="30" s="1"/>
  <c r="BC99" i="30"/>
  <c r="W198" i="30"/>
  <c r="AI208" i="30"/>
  <c r="AF190" i="30"/>
  <c r="W293" i="30"/>
  <c r="W300" i="30"/>
  <c r="D214" i="30"/>
  <c r="H214" i="30" s="1"/>
  <c r="AI214" i="30"/>
  <c r="BP127" i="30"/>
  <c r="BP126" i="30"/>
  <c r="BP125" i="30"/>
  <c r="U213" i="30"/>
  <c r="W213" i="30" s="1"/>
  <c r="D213" i="30"/>
  <c r="H213" i="30" s="1"/>
  <c r="AI213" i="30"/>
  <c r="AF85" i="30"/>
  <c r="P85" i="30"/>
  <c r="AU107" i="30"/>
  <c r="S100" i="30"/>
  <c r="AU100" i="30"/>
  <c r="AU94" i="30"/>
  <c r="AV94" i="30"/>
  <c r="AF299" i="30"/>
  <c r="AU99" i="30"/>
  <c r="AU106" i="30"/>
  <c r="S99" i="30"/>
  <c r="AU105" i="30"/>
  <c r="S98" i="30"/>
  <c r="AU98" i="30"/>
  <c r="AF83" i="30"/>
  <c r="D91" i="30"/>
  <c r="H91" i="30" s="1"/>
  <c r="AI91" i="30"/>
  <c r="U91" i="30"/>
  <c r="W91" i="30" s="1"/>
  <c r="BC98" i="30"/>
  <c r="AF204" i="30"/>
  <c r="AM293" i="30"/>
  <c r="AM300" i="30"/>
  <c r="D211" i="30"/>
  <c r="H211" i="30" s="1"/>
  <c r="AI211" i="30"/>
  <c r="S215" i="30"/>
  <c r="BW119" i="30"/>
  <c r="BB119" i="30" s="1"/>
  <c r="D201" i="30"/>
  <c r="H201" i="30" s="1"/>
  <c r="S221" i="30"/>
  <c r="AU221" i="30"/>
  <c r="AU228" i="30"/>
  <c r="AF292" i="30"/>
  <c r="D296" i="30"/>
  <c r="D303" i="30"/>
  <c r="H303" i="30" s="1"/>
  <c r="S220" i="30"/>
  <c r="AU220" i="30"/>
  <c r="AU227" i="30"/>
  <c r="AF191" i="30"/>
  <c r="P191" i="30"/>
  <c r="BS126" i="30"/>
  <c r="BS125" i="30"/>
  <c r="BS127" i="30"/>
  <c r="BS128" i="30"/>
  <c r="S219" i="30"/>
  <c r="AU219" i="30"/>
  <c r="AU226" i="30"/>
  <c r="AF205" i="30"/>
  <c r="P205" i="30"/>
  <c r="P300" i="30"/>
  <c r="AF300" i="30"/>
  <c r="AU215" i="30"/>
  <c r="AV215" i="30"/>
  <c r="F296" i="30"/>
  <c r="R138" i="8" s="1"/>
  <c r="AI93" i="30"/>
  <c r="D93" i="30"/>
  <c r="H93" i="30" s="1"/>
  <c r="BC100" i="30"/>
  <c r="AS101" i="30"/>
  <c r="V9" i="8" s="1"/>
  <c r="AU97" i="30"/>
  <c r="AU104" i="30"/>
  <c r="S97" i="30"/>
  <c r="AI87" i="30"/>
  <c r="AI194" i="30"/>
  <c r="P293" i="30"/>
  <c r="AF293" i="30"/>
  <c r="P84" i="30"/>
  <c r="AF84" i="30"/>
  <c r="BW120" i="30"/>
  <c r="BB120" i="30" s="1"/>
  <c r="BW128" i="30"/>
  <c r="BB128" i="30" s="1"/>
  <c r="AF206" i="30"/>
  <c r="P206" i="30"/>
  <c r="BB115" i="30"/>
  <c r="DR80" i="3"/>
  <c r="DQ79" i="3"/>
  <c r="L56" i="10" l="1"/>
  <c r="M56" i="10"/>
  <c r="N56" i="10"/>
  <c r="L52" i="13"/>
  <c r="L55" i="13" s="1"/>
  <c r="M9" i="12"/>
  <c r="M14" i="12" s="1"/>
  <c r="M28" i="12" s="1"/>
  <c r="M64" i="12" s="1"/>
  <c r="AQ78" i="12"/>
  <c r="AN10" i="13"/>
  <c r="AN16" i="13" s="1"/>
  <c r="Y59" i="10"/>
  <c r="L59" i="10"/>
  <c r="M59" i="10"/>
  <c r="Y51" i="10"/>
  <c r="L51" i="10"/>
  <c r="M51" i="10"/>
  <c r="Z34" i="13"/>
  <c r="Z54" i="13" s="1"/>
  <c r="Z73" i="13"/>
  <c r="Y71" i="10"/>
  <c r="Z70" i="10"/>
  <c r="AD9" i="8"/>
  <c r="AC60" i="8"/>
  <c r="AD60" i="8" s="1"/>
  <c r="BC98" i="12"/>
  <c r="AZ50" i="13"/>
  <c r="AF61" i="10"/>
  <c r="AE62" i="10"/>
  <c r="P141" i="6"/>
  <c r="AF141" i="6"/>
  <c r="BA153" i="6"/>
  <c r="AZ153" i="6"/>
  <c r="W155" i="6"/>
  <c r="W148" i="6"/>
  <c r="BA147" i="6"/>
  <c r="D147" i="6"/>
  <c r="H147" i="6" s="1"/>
  <c r="U147" i="6"/>
  <c r="D154" i="6"/>
  <c r="H154" i="6" s="1"/>
  <c r="AI147" i="6"/>
  <c r="AK147" i="6" s="1"/>
  <c r="AK146" i="6"/>
  <c r="T8" i="8"/>
  <c r="T11" i="8"/>
  <c r="D156" i="6"/>
  <c r="H156" i="6" s="1"/>
  <c r="AF156" i="6" s="1"/>
  <c r="AI149" i="6"/>
  <c r="AK149" i="6" s="1"/>
  <c r="D149" i="6"/>
  <c r="H149" i="6" s="1"/>
  <c r="AF149" i="6" s="1"/>
  <c r="BA149" i="6"/>
  <c r="Q12" i="8"/>
  <c r="Q46" i="8"/>
  <c r="Q206" i="8"/>
  <c r="Q13" i="8" s="1"/>
  <c r="AM148" i="6"/>
  <c r="AM155" i="6"/>
  <c r="P246" i="8"/>
  <c r="P207" i="8"/>
  <c r="P13" i="8"/>
  <c r="P161" i="8"/>
  <c r="P202" i="8"/>
  <c r="P112" i="8"/>
  <c r="M208" i="8"/>
  <c r="S150" i="6"/>
  <c r="AI143" i="6"/>
  <c r="P155" i="6"/>
  <c r="AF155" i="6"/>
  <c r="P64" i="8"/>
  <c r="D215" i="30"/>
  <c r="H215" i="30" s="1"/>
  <c r="U58" i="8"/>
  <c r="D94" i="30"/>
  <c r="H94" i="30" s="1"/>
  <c r="U7" i="8"/>
  <c r="R59" i="8"/>
  <c r="R62" i="8"/>
  <c r="S59" i="8"/>
  <c r="S206" i="8"/>
  <c r="S46" i="8"/>
  <c r="S12" i="8"/>
  <c r="T59" i="8"/>
  <c r="T62" i="8"/>
  <c r="AZ154" i="6"/>
  <c r="BA154" i="6"/>
  <c r="P140" i="6"/>
  <c r="AF140" i="6"/>
  <c r="AF148" i="6"/>
  <c r="P148" i="6"/>
  <c r="Q63" i="8"/>
  <c r="BA155" i="6"/>
  <c r="AZ155" i="6"/>
  <c r="P175" i="16"/>
  <c r="N175" i="16"/>
  <c r="AO175" i="16" s="1"/>
  <c r="J175" i="16"/>
  <c r="J127" i="48"/>
  <c r="I93" i="48"/>
  <c r="U126" i="48"/>
  <c r="J9" i="48"/>
  <c r="K74" i="48"/>
  <c r="K110" i="48" s="1"/>
  <c r="K147" i="48" s="1"/>
  <c r="AA74" i="48"/>
  <c r="AA110" i="48" s="1"/>
  <c r="AA147" i="48" s="1"/>
  <c r="AB9" i="48"/>
  <c r="Q92" i="48"/>
  <c r="O94" i="48"/>
  <c r="O95" i="48" s="1"/>
  <c r="AB119" i="48"/>
  <c r="AC83" i="48"/>
  <c r="K128" i="48"/>
  <c r="K93" i="48"/>
  <c r="Y124" i="48"/>
  <c r="Z88" i="48"/>
  <c r="V127" i="48"/>
  <c r="W91" i="48"/>
  <c r="N129" i="48"/>
  <c r="N94" i="48"/>
  <c r="Z122" i="48"/>
  <c r="AA86" i="48"/>
  <c r="P125" i="48"/>
  <c r="Q124" i="48"/>
  <c r="P90" i="48"/>
  <c r="O128" i="48"/>
  <c r="R127" i="48"/>
  <c r="R92" i="48"/>
  <c r="C139" i="48"/>
  <c r="B139" i="48"/>
  <c r="H127" i="48"/>
  <c r="H92" i="48"/>
  <c r="I126" i="48"/>
  <c r="M95" i="48"/>
  <c r="L92" i="48"/>
  <c r="W126" i="48"/>
  <c r="X90" i="48"/>
  <c r="AA120" i="48"/>
  <c r="AB84" i="48"/>
  <c r="T92" i="48"/>
  <c r="AC118" i="48"/>
  <c r="J96" i="48"/>
  <c r="R126" i="48"/>
  <c r="S126" i="48"/>
  <c r="S91" i="48"/>
  <c r="T126" i="48" s="1"/>
  <c r="X125" i="48"/>
  <c r="Y89" i="48"/>
  <c r="U125" i="48"/>
  <c r="T93" i="48"/>
  <c r="T94" i="48" s="1"/>
  <c r="Z121" i="48"/>
  <c r="AA85" i="48"/>
  <c r="U96" i="48"/>
  <c r="Z123" i="48"/>
  <c r="AA87" i="48"/>
  <c r="V92" i="48"/>
  <c r="AX7" i="15"/>
  <c r="BB7" i="15" s="1"/>
  <c r="BF7" i="15" s="1"/>
  <c r="BJ7" i="15" s="1"/>
  <c r="Z6" i="14"/>
  <c r="AR72" i="13"/>
  <c r="AP68" i="13"/>
  <c r="AP69" i="13" s="1"/>
  <c r="AM85" i="12"/>
  <c r="AK86" i="12"/>
  <c r="AS84" i="12"/>
  <c r="AG57" i="11"/>
  <c r="AG58" i="11" s="1"/>
  <c r="AG15" i="11"/>
  <c r="AF14" i="11"/>
  <c r="AF57" i="11" s="1"/>
  <c r="AK9" i="11"/>
  <c r="E30" i="8"/>
  <c r="CC28" i="11"/>
  <c r="BY34" i="11"/>
  <c r="P129" i="8"/>
  <c r="Z281" i="30"/>
  <c r="M78" i="8"/>
  <c r="M93" i="8" s="1"/>
  <c r="M86" i="8"/>
  <c r="M87" i="8" s="1"/>
  <c r="AY57" i="11"/>
  <c r="J16" i="30"/>
  <c r="BC9" i="11"/>
  <c r="O127" i="8"/>
  <c r="O142" i="8" s="1"/>
  <c r="O135" i="8"/>
  <c r="O136" i="8" s="1"/>
  <c r="AK23" i="6"/>
  <c r="AD23" i="6"/>
  <c r="AF23" i="6" s="1"/>
  <c r="AB24" i="6"/>
  <c r="AD24" i="6" s="1"/>
  <c r="AF24" i="6" s="1"/>
  <c r="BO33" i="11"/>
  <c r="BP28" i="11"/>
  <c r="AK274" i="30"/>
  <c r="AB275" i="30"/>
  <c r="BA24" i="11"/>
  <c r="AZ19" i="11"/>
  <c r="BQ24" i="11"/>
  <c r="BP23" i="11"/>
  <c r="BU19" i="11"/>
  <c r="Z165" i="30"/>
  <c r="N80" i="8"/>
  <c r="CE19" i="11"/>
  <c r="CE23" i="11" s="1"/>
  <c r="J186" i="30"/>
  <c r="AA41" i="8"/>
  <c r="DQ10" i="11"/>
  <c r="DQ54" i="11" s="1"/>
  <c r="DP54" i="11" s="1"/>
  <c r="AA234" i="8" s="1"/>
  <c r="AA235" i="8" s="1"/>
  <c r="DT10" i="11"/>
  <c r="D28" i="8"/>
  <c r="D43" i="8" s="1"/>
  <c r="D36" i="8"/>
  <c r="D37" i="8" s="1"/>
  <c r="AD27" i="6"/>
  <c r="AF27" i="6" s="1"/>
  <c r="AK27" i="6"/>
  <c r="CC38" i="11"/>
  <c r="BY43" i="11"/>
  <c r="BX42" i="11"/>
  <c r="P177" i="8"/>
  <c r="Z385" i="30"/>
  <c r="W166" i="30"/>
  <c r="DS9" i="11"/>
  <c r="W169" i="30"/>
  <c r="AD378" i="30"/>
  <c r="AF378" i="30" s="1"/>
  <c r="AK378" i="30"/>
  <c r="AB379" i="30"/>
  <c r="N172" i="30"/>
  <c r="P172" i="30" s="1"/>
  <c r="U172" i="30"/>
  <c r="W172" i="30" s="1"/>
  <c r="AK158" i="30"/>
  <c r="AB159" i="30"/>
  <c r="R281" i="8"/>
  <c r="R283" i="8"/>
  <c r="R284" i="8" s="1"/>
  <c r="R277" i="8"/>
  <c r="W257" i="30"/>
  <c r="AK382" i="30"/>
  <c r="AD382" i="30"/>
  <c r="AF382" i="30" s="1"/>
  <c r="N128" i="30"/>
  <c r="P128" i="30" s="1"/>
  <c r="L129" i="30"/>
  <c r="N129" i="30" s="1"/>
  <c r="N176" i="30"/>
  <c r="P176" i="30" s="1"/>
  <c r="U176" i="30"/>
  <c r="U254" i="30"/>
  <c r="W254" i="30" s="1"/>
  <c r="W253" i="30"/>
  <c r="AK162" i="30"/>
  <c r="Z30" i="6"/>
  <c r="CU71" i="3"/>
  <c r="CU81" i="3" s="1"/>
  <c r="D229" i="8"/>
  <c r="CU72" i="3" s="1"/>
  <c r="D225" i="8"/>
  <c r="D231" i="8"/>
  <c r="L264" i="30"/>
  <c r="L260" i="30"/>
  <c r="AK278" i="30"/>
  <c r="CK50" i="11"/>
  <c r="CJ46" i="11"/>
  <c r="J81" i="8"/>
  <c r="I81" i="8"/>
  <c r="J77" i="8"/>
  <c r="I83" i="8"/>
  <c r="I77" i="8"/>
  <c r="O183" i="8"/>
  <c r="O184" i="8" s="1"/>
  <c r="O175" i="8"/>
  <c r="O190" i="8" s="1"/>
  <c r="K183" i="30"/>
  <c r="L179" i="30"/>
  <c r="L183" i="30"/>
  <c r="AA16" i="8"/>
  <c r="DQ67" i="3"/>
  <c r="U266" i="8"/>
  <c r="DK70" i="3"/>
  <c r="U48" i="6"/>
  <c r="N48" i="6"/>
  <c r="P48" i="6" s="1"/>
  <c r="K72" i="8"/>
  <c r="K95" i="8" s="1"/>
  <c r="K74" i="8"/>
  <c r="K75" i="8" s="1"/>
  <c r="U38" i="6"/>
  <c r="W38" i="6" s="1"/>
  <c r="L55" i="6"/>
  <c r="F83" i="3"/>
  <c r="L51" i="6"/>
  <c r="F16" i="8"/>
  <c r="CV67" i="3"/>
  <c r="E33" i="8"/>
  <c r="E34" i="8" s="1"/>
  <c r="N44" i="6"/>
  <c r="P44" i="6" s="1"/>
  <c r="U44" i="6"/>
  <c r="W44" i="6" s="1"/>
  <c r="H231" i="8"/>
  <c r="H219" i="8"/>
  <c r="I209" i="8"/>
  <c r="I218" i="8" s="1"/>
  <c r="K47" i="48" s="1"/>
  <c r="K48" i="48" s="1"/>
  <c r="J58" i="6"/>
  <c r="V56" i="16" s="1"/>
  <c r="X56" i="16" s="1"/>
  <c r="Z56" i="16" s="1"/>
  <c r="CY66" i="3"/>
  <c r="CY82" i="3" s="1"/>
  <c r="E66" i="3"/>
  <c r="E21" i="8"/>
  <c r="W48" i="6"/>
  <c r="W41" i="6"/>
  <c r="N121" i="8"/>
  <c r="N144" i="8" s="1"/>
  <c r="N123" i="8"/>
  <c r="N124" i="8" s="1"/>
  <c r="G220" i="8"/>
  <c r="G222" i="8"/>
  <c r="G223" i="8" s="1"/>
  <c r="O120" i="8"/>
  <c r="P115" i="8"/>
  <c r="P119" i="8" s="1"/>
  <c r="DF69" i="3"/>
  <c r="O132" i="8"/>
  <c r="O133" i="8" s="1"/>
  <c r="Z21" i="8"/>
  <c r="M66" i="8"/>
  <c r="M70" i="8" s="1"/>
  <c r="L71" i="8"/>
  <c r="DC68" i="3"/>
  <c r="L83" i="8"/>
  <c r="L84" i="8" s="1"/>
  <c r="D73" i="3"/>
  <c r="CX73" i="3"/>
  <c r="J200" i="8"/>
  <c r="J256" i="8" s="1"/>
  <c r="J153" i="8"/>
  <c r="J104" i="8"/>
  <c r="J56" i="8"/>
  <c r="K5" i="8"/>
  <c r="T271" i="8"/>
  <c r="AB24" i="10"/>
  <c r="AA25" i="10"/>
  <c r="AA58" i="10"/>
  <c r="AA59" i="10" s="1"/>
  <c r="D136" i="6"/>
  <c r="H136" i="6" s="1"/>
  <c r="P133" i="6"/>
  <c r="AF133" i="6"/>
  <c r="AF126" i="6"/>
  <c r="P126" i="6"/>
  <c r="AI129" i="6"/>
  <c r="W126" i="6"/>
  <c r="W133" i="6"/>
  <c r="AM126" i="6"/>
  <c r="AM133" i="6"/>
  <c r="S226" i="30"/>
  <c r="AI219" i="30"/>
  <c r="U219" i="30"/>
  <c r="W219" i="30" s="1"/>
  <c r="D219" i="30"/>
  <c r="H219" i="30" s="1"/>
  <c r="BD119" i="30"/>
  <c r="BE119" i="30" s="1"/>
  <c r="BC119" i="30"/>
  <c r="D98" i="30"/>
  <c r="H98" i="30" s="1"/>
  <c r="AI98" i="30"/>
  <c r="U98" i="30"/>
  <c r="D105" i="30"/>
  <c r="BC105" i="30"/>
  <c r="P92" i="30"/>
  <c r="BD128" i="30"/>
  <c r="BE128" i="30" s="1"/>
  <c r="H296" i="30"/>
  <c r="BW125" i="30"/>
  <c r="BB125" i="30" s="1"/>
  <c r="D218" i="30"/>
  <c r="H218" i="30" s="1"/>
  <c r="AI218" i="30"/>
  <c r="S222" i="30"/>
  <c r="BD120" i="30"/>
  <c r="BE120" i="30" s="1"/>
  <c r="BC120" i="30"/>
  <c r="AU101" i="30"/>
  <c r="AV101" i="30"/>
  <c r="AU108" i="30"/>
  <c r="D221" i="30"/>
  <c r="H221" i="30" s="1"/>
  <c r="AI221" i="30"/>
  <c r="P91" i="30"/>
  <c r="AI99" i="30"/>
  <c r="U99" i="30"/>
  <c r="D99" i="30"/>
  <c r="H99" i="30" s="1"/>
  <c r="D106" i="30"/>
  <c r="BC106" i="30"/>
  <c r="AI100" i="30"/>
  <c r="D100" i="30"/>
  <c r="H100" i="30" s="1"/>
  <c r="D107" i="30"/>
  <c r="BC107" i="30"/>
  <c r="BW126" i="30"/>
  <c r="BB126" i="30" s="1"/>
  <c r="AV222" i="30"/>
  <c r="AU222" i="30"/>
  <c r="AU229" i="30"/>
  <c r="P212" i="30"/>
  <c r="AI94" i="30"/>
  <c r="S101" i="30"/>
  <c r="V7" i="8" s="1"/>
  <c r="D97" i="30"/>
  <c r="H97" i="30" s="1"/>
  <c r="AI97" i="30"/>
  <c r="D104" i="30"/>
  <c r="BC104" i="30"/>
  <c r="U220" i="30"/>
  <c r="W220" i="30" s="1"/>
  <c r="S227" i="30"/>
  <c r="D220" i="30"/>
  <c r="H220" i="30" s="1"/>
  <c r="AI220" i="30"/>
  <c r="AI215" i="30"/>
  <c r="P213" i="30"/>
  <c r="BW127" i="30"/>
  <c r="BB127" i="30" s="1"/>
  <c r="BB122" i="30"/>
  <c r="DS80" i="3"/>
  <c r="DS79" i="3" s="1"/>
  <c r="DR79" i="3"/>
  <c r="Q64" i="8" l="1"/>
  <c r="N52" i="13"/>
  <c r="N55" i="13" s="1"/>
  <c r="O9" i="12"/>
  <c r="AN73" i="13"/>
  <c r="AN34" i="13"/>
  <c r="AN54" i="13" s="1"/>
  <c r="Z65" i="13"/>
  <c r="Z57" i="13"/>
  <c r="Z71" i="10"/>
  <c r="AA70" i="10"/>
  <c r="U45" i="6"/>
  <c r="W45" i="6" s="1"/>
  <c r="BD48" i="13"/>
  <c r="AG61" i="10"/>
  <c r="AF62" i="10"/>
  <c r="BE98" i="12"/>
  <c r="BB50" i="13"/>
  <c r="U173" i="30"/>
  <c r="W173" i="30" s="1"/>
  <c r="V8" i="8"/>
  <c r="W8" i="8"/>
  <c r="D222" i="30"/>
  <c r="H222" i="30" s="1"/>
  <c r="V58" i="8"/>
  <c r="R63" i="8"/>
  <c r="R206" i="8"/>
  <c r="S63" i="8"/>
  <c r="U62" i="8"/>
  <c r="U59" i="8"/>
  <c r="AK150" i="6"/>
  <c r="AM157" i="6" s="1"/>
  <c r="AM153" i="6"/>
  <c r="AF147" i="6"/>
  <c r="P147" i="6"/>
  <c r="T63" i="8"/>
  <c r="T64" i="8"/>
  <c r="S246" i="8"/>
  <c r="S112" i="8"/>
  <c r="T207" i="8"/>
  <c r="S202" i="8"/>
  <c r="S64" i="8"/>
  <c r="T46" i="8"/>
  <c r="T13" i="8"/>
  <c r="T12" i="8"/>
  <c r="AM147" i="6"/>
  <c r="AM154" i="6"/>
  <c r="S13" i="8"/>
  <c r="U8" i="8"/>
  <c r="U11" i="8"/>
  <c r="D150" i="6"/>
  <c r="D157" i="6"/>
  <c r="H157" i="6" s="1"/>
  <c r="AF157" i="6" s="1"/>
  <c r="F150" i="6"/>
  <c r="U241" i="8" s="1"/>
  <c r="P203" i="8"/>
  <c r="S22" i="10"/>
  <c r="P264" i="8"/>
  <c r="P208" i="8" s="1"/>
  <c r="Q161" i="8"/>
  <c r="Q246" i="8"/>
  <c r="Q208" i="8"/>
  <c r="Q112" i="8"/>
  <c r="Q202" i="8"/>
  <c r="Q207" i="8"/>
  <c r="AF154" i="6"/>
  <c r="P154" i="6"/>
  <c r="V11" i="8"/>
  <c r="AM156" i="6"/>
  <c r="AM149" i="6"/>
  <c r="AI150" i="6"/>
  <c r="W147" i="6"/>
  <c r="W154" i="6"/>
  <c r="AK175" i="16"/>
  <c r="J176" i="16"/>
  <c r="AH175" i="16"/>
  <c r="R175" i="16"/>
  <c r="T95" i="48"/>
  <c r="U129" i="48"/>
  <c r="O96" i="48"/>
  <c r="AA123" i="48"/>
  <c r="AB87" i="48"/>
  <c r="AA121" i="48"/>
  <c r="AB85" i="48"/>
  <c r="Y125" i="48"/>
  <c r="Z89" i="48"/>
  <c r="AB120" i="48"/>
  <c r="AC84" i="48"/>
  <c r="L128" i="48"/>
  <c r="L93" i="48"/>
  <c r="AA122" i="48"/>
  <c r="AB86" i="48"/>
  <c r="Q93" i="48"/>
  <c r="M96" i="48"/>
  <c r="H128" i="48"/>
  <c r="H93" i="48"/>
  <c r="I127" i="48"/>
  <c r="P126" i="48"/>
  <c r="Q125" i="48"/>
  <c r="P91" i="48"/>
  <c r="W127" i="48"/>
  <c r="X91" i="48"/>
  <c r="K129" i="48"/>
  <c r="K94" i="48"/>
  <c r="M128" i="48"/>
  <c r="J97" i="48"/>
  <c r="X126" i="48"/>
  <c r="Y90" i="48"/>
  <c r="R128" i="48"/>
  <c r="R93" i="48"/>
  <c r="J74" i="48"/>
  <c r="J110" i="48" s="1"/>
  <c r="J147" i="48" s="1"/>
  <c r="I9" i="48"/>
  <c r="V128" i="48"/>
  <c r="W92" i="48"/>
  <c r="V93" i="48"/>
  <c r="U97" i="48"/>
  <c r="U128" i="48"/>
  <c r="S127" i="48"/>
  <c r="S92" i="48"/>
  <c r="U127" i="48"/>
  <c r="B140" i="48"/>
  <c r="C140" i="48"/>
  <c r="N130" i="48"/>
  <c r="N95" i="48"/>
  <c r="Z124" i="48"/>
  <c r="AA88" i="48"/>
  <c r="AC119" i="48"/>
  <c r="O129" i="48"/>
  <c r="AB74" i="48"/>
  <c r="AB110" i="48" s="1"/>
  <c r="AB147" i="48" s="1"/>
  <c r="AC9" i="48"/>
  <c r="AC74" i="48" s="1"/>
  <c r="AC110" i="48" s="1"/>
  <c r="AC147" i="48" s="1"/>
  <c r="I94" i="48"/>
  <c r="J128" i="48"/>
  <c r="AO85" i="12"/>
  <c r="AM86" i="12"/>
  <c r="AT72" i="13"/>
  <c r="AR68" i="13"/>
  <c r="AR69" i="13" s="1"/>
  <c r="AU84" i="12"/>
  <c r="N183" i="30"/>
  <c r="P183" i="30" s="1"/>
  <c r="U183" i="30"/>
  <c r="AM278" i="30"/>
  <c r="D232" i="8"/>
  <c r="CU73" i="3"/>
  <c r="AB34" i="6"/>
  <c r="AB30" i="6"/>
  <c r="R278" i="8"/>
  <c r="R293" i="8" s="1"/>
  <c r="R286" i="8"/>
  <c r="R287" i="8" s="1"/>
  <c r="L186" i="30"/>
  <c r="L187" i="30" s="1"/>
  <c r="K186" i="30"/>
  <c r="L190" i="30"/>
  <c r="K190" i="30"/>
  <c r="BT19" i="11"/>
  <c r="BU23" i="11"/>
  <c r="BS28" i="11"/>
  <c r="J267" i="30"/>
  <c r="BP33" i="11"/>
  <c r="P130" i="8"/>
  <c r="P126" i="8"/>
  <c r="E228" i="8"/>
  <c r="E27" i="8"/>
  <c r="E31" i="8"/>
  <c r="U179" i="30"/>
  <c r="W179" i="30" s="1"/>
  <c r="N179" i="30"/>
  <c r="P179" i="30" s="1"/>
  <c r="I78" i="8"/>
  <c r="I93" i="8" s="1"/>
  <c r="I86" i="8"/>
  <c r="I87" i="8" s="1"/>
  <c r="D237" i="8"/>
  <c r="D238" i="8" s="1"/>
  <c r="D226" i="8"/>
  <c r="D243" i="8" s="1"/>
  <c r="AM162" i="30"/>
  <c r="W176" i="30"/>
  <c r="AM158" i="30"/>
  <c r="AK159" i="30"/>
  <c r="AM159" i="30" s="1"/>
  <c r="AM378" i="30"/>
  <c r="AK379" i="30"/>
  <c r="AM379" i="30" s="1"/>
  <c r="AB385" i="30"/>
  <c r="AB389" i="30"/>
  <c r="AD386" i="30"/>
  <c r="CC42" i="11"/>
  <c r="CB38" i="11"/>
  <c r="CI19" i="11"/>
  <c r="CI23" i="11" s="1"/>
  <c r="J193" i="30"/>
  <c r="AK14" i="11"/>
  <c r="AJ9" i="11"/>
  <c r="I84" i="8"/>
  <c r="J84" i="8"/>
  <c r="N260" i="30"/>
  <c r="P260" i="30" s="1"/>
  <c r="U260" i="30"/>
  <c r="L261" i="30"/>
  <c r="N261" i="30" s="1"/>
  <c r="P261" i="30" s="1"/>
  <c r="L180" i="30"/>
  <c r="N180" i="30" s="1"/>
  <c r="P180" i="30" s="1"/>
  <c r="DS14" i="11"/>
  <c r="P178" i="8"/>
  <c r="P180" i="8"/>
  <c r="P181" i="8" s="1"/>
  <c r="P174" i="8"/>
  <c r="AM27" i="6"/>
  <c r="N81" i="8"/>
  <c r="N77" i="8"/>
  <c r="AM274" i="30"/>
  <c r="AK275" i="30"/>
  <c r="AM275" i="30" s="1"/>
  <c r="BC53" i="11"/>
  <c r="BC14" i="11"/>
  <c r="CC33" i="11"/>
  <c r="J86" i="8"/>
  <c r="J78" i="8"/>
  <c r="J93" i="8" s="1"/>
  <c r="K78" i="8"/>
  <c r="K93" i="8" s="1"/>
  <c r="CJ50" i="11"/>
  <c r="CO46" i="11"/>
  <c r="S280" i="8"/>
  <c r="Z434" i="30"/>
  <c r="U264" i="30"/>
  <c r="N264" i="30"/>
  <c r="P264" i="30" s="1"/>
  <c r="DU10" i="11"/>
  <c r="DU54" i="11" s="1"/>
  <c r="DT54" i="11" s="1"/>
  <c r="DX10" i="11"/>
  <c r="AB41" i="8"/>
  <c r="AB165" i="30"/>
  <c r="AD166" i="30"/>
  <c r="AF166" i="30" s="1"/>
  <c r="AD165" i="30"/>
  <c r="AF165" i="30" s="1"/>
  <c r="AB169" i="30"/>
  <c r="AM23" i="6"/>
  <c r="AK24" i="6"/>
  <c r="AM24" i="6" s="1"/>
  <c r="L16" i="30"/>
  <c r="L17" i="30" s="1"/>
  <c r="U17" i="30" s="1"/>
  <c r="L20" i="30"/>
  <c r="AB281" i="30"/>
  <c r="AD281" i="30"/>
  <c r="AF281" i="30" s="1"/>
  <c r="AB285" i="30"/>
  <c r="AD282" i="30"/>
  <c r="AF282" i="30" s="1"/>
  <c r="M71" i="8"/>
  <c r="N66" i="8"/>
  <c r="N70" i="8" s="1"/>
  <c r="DD68" i="3"/>
  <c r="M83" i="8"/>
  <c r="M84" i="8" s="1"/>
  <c r="H220" i="8"/>
  <c r="H222" i="8"/>
  <c r="H223" i="8" s="1"/>
  <c r="F21" i="8"/>
  <c r="F20" i="8"/>
  <c r="U270" i="8"/>
  <c r="Z22" i="8"/>
  <c r="H232" i="8"/>
  <c r="E73" i="3"/>
  <c r="CY73" i="3"/>
  <c r="N51" i="6"/>
  <c r="P51" i="6" s="1"/>
  <c r="U51" i="6"/>
  <c r="W51" i="6" s="1"/>
  <c r="T272" i="8"/>
  <c r="T295" i="8" s="1"/>
  <c r="T274" i="8"/>
  <c r="T275" i="8" s="1"/>
  <c r="Q115" i="8"/>
  <c r="Q119" i="8" s="1"/>
  <c r="P120" i="8"/>
  <c r="P132" i="8"/>
  <c r="P133" i="8" s="1"/>
  <c r="DG69" i="3"/>
  <c r="L62" i="6"/>
  <c r="L58" i="6"/>
  <c r="L59" i="6" s="1"/>
  <c r="K83" i="3"/>
  <c r="K153" i="8"/>
  <c r="L153" i="8" s="1"/>
  <c r="M153" i="8" s="1"/>
  <c r="N153" i="8" s="1"/>
  <c r="O153" i="8" s="1"/>
  <c r="P153" i="8" s="1"/>
  <c r="Q153" i="8" s="1"/>
  <c r="K200" i="8"/>
  <c r="K104" i="8"/>
  <c r="L104" i="8" s="1"/>
  <c r="M104" i="8" s="1"/>
  <c r="N104" i="8" s="1"/>
  <c r="O104" i="8" s="1"/>
  <c r="P104" i="8" s="1"/>
  <c r="Q104" i="8" s="1"/>
  <c r="R104" i="8" s="1"/>
  <c r="S104" i="8" s="1"/>
  <c r="T104" i="8" s="1"/>
  <c r="U104" i="8" s="1"/>
  <c r="V104" i="8" s="1"/>
  <c r="W104" i="8" s="1"/>
  <c r="X104" i="8" s="1"/>
  <c r="Y104" i="8" s="1"/>
  <c r="Z104" i="8" s="1"/>
  <c r="AA104" i="8" s="1"/>
  <c r="AB104" i="8" s="1"/>
  <c r="AC104" i="8" s="1"/>
  <c r="AD104" i="8" s="1"/>
  <c r="K56" i="8"/>
  <c r="L56" i="8" s="1"/>
  <c r="M56" i="8" s="1"/>
  <c r="N56" i="8" s="1"/>
  <c r="O56" i="8" s="1"/>
  <c r="P56" i="8" s="1"/>
  <c r="Q56" i="8" s="1"/>
  <c r="R56" i="8" s="1"/>
  <c r="S56" i="8" s="1"/>
  <c r="T56" i="8" s="1"/>
  <c r="U56" i="8" s="1"/>
  <c r="V56" i="8" s="1"/>
  <c r="W56" i="8" s="1"/>
  <c r="X56" i="8" s="1"/>
  <c r="Y56" i="8" s="1"/>
  <c r="Z56" i="8" s="1"/>
  <c r="AA56" i="8" s="1"/>
  <c r="AB56" i="8" s="1"/>
  <c r="AC56" i="8" s="1"/>
  <c r="AD56" i="8" s="1"/>
  <c r="L5" i="8"/>
  <c r="M5" i="8" s="1"/>
  <c r="N5" i="8" s="1"/>
  <c r="O5" i="8" s="1"/>
  <c r="P5" i="8" s="1"/>
  <c r="Q5" i="8" s="1"/>
  <c r="R5" i="8" s="1"/>
  <c r="S5" i="8" s="1"/>
  <c r="T5" i="8" s="1"/>
  <c r="U5" i="8" s="1"/>
  <c r="V5" i="8" s="1"/>
  <c r="W5" i="8" s="1"/>
  <c r="X5" i="8" s="1"/>
  <c r="Y5" i="8" s="1"/>
  <c r="Z5" i="8" s="1"/>
  <c r="AA5" i="8" s="1"/>
  <c r="AB5" i="8" s="1"/>
  <c r="AC5" i="8" s="1"/>
  <c r="AD5" i="8" s="1"/>
  <c r="L72" i="8"/>
  <c r="L95" i="8" s="1"/>
  <c r="L74" i="8"/>
  <c r="L75" i="8" s="1"/>
  <c r="O121" i="8"/>
  <c r="O144" i="8" s="1"/>
  <c r="O123" i="8"/>
  <c r="O124" i="8" s="1"/>
  <c r="E22" i="8"/>
  <c r="E24" i="8"/>
  <c r="E25" i="8" s="1"/>
  <c r="I231" i="8"/>
  <c r="I219" i="8"/>
  <c r="J209" i="8"/>
  <c r="J218" i="8" s="1"/>
  <c r="L47" i="48" s="1"/>
  <c r="L48" i="48" s="1"/>
  <c r="J65" i="6"/>
  <c r="V63" i="16" s="1"/>
  <c r="X63" i="16" s="1"/>
  <c r="Z63" i="16" s="1"/>
  <c r="F66" i="3"/>
  <c r="CZ66" i="3"/>
  <c r="CZ82" i="3" s="1"/>
  <c r="N55" i="6"/>
  <c r="P55" i="6" s="1"/>
  <c r="U55" i="6"/>
  <c r="L52" i="6"/>
  <c r="N52" i="6" s="1"/>
  <c r="P52" i="6" s="1"/>
  <c r="AA20" i="8"/>
  <c r="AB25" i="10"/>
  <c r="AC24" i="10"/>
  <c r="U227" i="30"/>
  <c r="W227" i="30" s="1"/>
  <c r="AI227" i="30"/>
  <c r="AI101" i="30"/>
  <c r="BC126" i="30"/>
  <c r="BD126" i="30"/>
  <c r="BE126" i="30" s="1"/>
  <c r="H106" i="30"/>
  <c r="B6" i="30"/>
  <c r="W98" i="30"/>
  <c r="W105" i="30"/>
  <c r="AI226" i="30"/>
  <c r="U226" i="30"/>
  <c r="W226" i="30" s="1"/>
  <c r="P99" i="30"/>
  <c r="BD125" i="30"/>
  <c r="BE125" i="30" s="1"/>
  <c r="BB129" i="30"/>
  <c r="BC125" i="30"/>
  <c r="P219" i="30"/>
  <c r="D101" i="30"/>
  <c r="H101" i="30" s="1"/>
  <c r="D108" i="30"/>
  <c r="H108" i="30" s="1"/>
  <c r="W99" i="30"/>
  <c r="W106" i="30"/>
  <c r="AI222" i="30"/>
  <c r="P98" i="30"/>
  <c r="BD127" i="30"/>
  <c r="BE127" i="30" s="1"/>
  <c r="BC127" i="30"/>
  <c r="P220" i="30"/>
  <c r="H104" i="30"/>
  <c r="B4" i="30"/>
  <c r="H107" i="30"/>
  <c r="B7" i="30"/>
  <c r="H105" i="30"/>
  <c r="B5" i="30"/>
  <c r="L56" i="13" l="1"/>
  <c r="O14" i="12"/>
  <c r="O28" i="12" s="1"/>
  <c r="O64" i="12" s="1"/>
  <c r="O81" i="12"/>
  <c r="AN57" i="13"/>
  <c r="AN65" i="13"/>
  <c r="P52" i="13"/>
  <c r="P55" i="13" s="1"/>
  <c r="Q9" i="12"/>
  <c r="H150" i="6"/>
  <c r="AB70" i="10"/>
  <c r="AA71" i="10"/>
  <c r="N187" i="30"/>
  <c r="P187" i="30" s="1"/>
  <c r="BF48" i="13"/>
  <c r="AG62" i="10"/>
  <c r="AK61" i="10"/>
  <c r="BG98" i="12"/>
  <c r="BD50" i="13"/>
  <c r="U180" i="30"/>
  <c r="W180" i="30" s="1"/>
  <c r="S264" i="8"/>
  <c r="S208" i="8" s="1"/>
  <c r="T203" i="8"/>
  <c r="V22" i="10"/>
  <c r="V62" i="8"/>
  <c r="V59" i="8"/>
  <c r="S207" i="8"/>
  <c r="R246" i="8"/>
  <c r="R112" i="8"/>
  <c r="R202" i="8"/>
  <c r="S203" i="8" s="1"/>
  <c r="R207" i="8"/>
  <c r="R13" i="8"/>
  <c r="U12" i="8"/>
  <c r="U46" i="8"/>
  <c r="U13" i="8"/>
  <c r="R64" i="8"/>
  <c r="V12" i="8"/>
  <c r="V13" i="8"/>
  <c r="W12" i="8"/>
  <c r="V46" i="8"/>
  <c r="T22" i="10"/>
  <c r="Q264" i="8"/>
  <c r="Q203" i="8"/>
  <c r="U64" i="8"/>
  <c r="U63" i="8"/>
  <c r="R176" i="16"/>
  <c r="AH176" i="16"/>
  <c r="N131" i="48"/>
  <c r="N96" i="48"/>
  <c r="V129" i="48"/>
  <c r="W93" i="48"/>
  <c r="V94" i="48"/>
  <c r="Y126" i="48"/>
  <c r="Z90" i="48"/>
  <c r="L129" i="48"/>
  <c r="L94" i="48"/>
  <c r="W128" i="48"/>
  <c r="X92" i="48"/>
  <c r="O130" i="48"/>
  <c r="K130" i="48"/>
  <c r="M129" i="48"/>
  <c r="K95" i="48"/>
  <c r="P127" i="48"/>
  <c r="P92" i="48"/>
  <c r="Q126" i="48"/>
  <c r="H129" i="48"/>
  <c r="H94" i="48"/>
  <c r="I128" i="48"/>
  <c r="AB122" i="48"/>
  <c r="AC86" i="48"/>
  <c r="AC122" i="48" s="1"/>
  <c r="Z125" i="48"/>
  <c r="AA89" i="48"/>
  <c r="AB123" i="48"/>
  <c r="AC87" i="48"/>
  <c r="AC123" i="48" s="1"/>
  <c r="AA124" i="48"/>
  <c r="AB88" i="48"/>
  <c r="S128" i="48"/>
  <c r="S93" i="48"/>
  <c r="T127" i="48"/>
  <c r="U98" i="48"/>
  <c r="R94" i="48"/>
  <c r="J98" i="48"/>
  <c r="T96" i="48"/>
  <c r="U130" i="48"/>
  <c r="I95" i="48"/>
  <c r="J129" i="48"/>
  <c r="C141" i="48"/>
  <c r="B141" i="48"/>
  <c r="I74" i="48"/>
  <c r="I110" i="48" s="1"/>
  <c r="I147" i="48" s="1"/>
  <c r="H9" i="48"/>
  <c r="H74" i="48" s="1"/>
  <c r="H110" i="48" s="1"/>
  <c r="H147" i="48" s="1"/>
  <c r="C155" i="48" s="1" a="1"/>
  <c r="X127" i="48"/>
  <c r="Y91" i="48"/>
  <c r="M97" i="48"/>
  <c r="Q94" i="48"/>
  <c r="AC120" i="48"/>
  <c r="AB121" i="48"/>
  <c r="AC85" i="48"/>
  <c r="AC121" i="48" s="1"/>
  <c r="O97" i="48"/>
  <c r="AT68" i="13"/>
  <c r="AT69" i="13" s="1"/>
  <c r="AV72" i="13"/>
  <c r="AO86" i="12"/>
  <c r="AW84" i="12"/>
  <c r="AK281" i="30"/>
  <c r="AB282" i="30"/>
  <c r="AK165" i="30"/>
  <c r="AB166" i="30"/>
  <c r="S281" i="8"/>
  <c r="S283" i="8"/>
  <c r="S284" i="8" s="1"/>
  <c r="S277" i="8"/>
  <c r="BC57" i="11"/>
  <c r="BG9" i="11"/>
  <c r="J23" i="30"/>
  <c r="N86" i="8"/>
  <c r="N87" i="8" s="1"/>
  <c r="N78" i="8"/>
  <c r="N93" i="8" s="1"/>
  <c r="J200" i="30"/>
  <c r="CM19" i="11"/>
  <c r="CM23" i="11" s="1"/>
  <c r="AK389" i="30"/>
  <c r="AD389" i="30"/>
  <c r="AF389" i="30" s="1"/>
  <c r="E36" i="8"/>
  <c r="E37" i="8" s="1"/>
  <c r="E28" i="8"/>
  <c r="E43" i="8" s="1"/>
  <c r="BY19" i="11"/>
  <c r="BT23" i="11"/>
  <c r="BU24" i="11"/>
  <c r="O80" i="8"/>
  <c r="Z172" i="30"/>
  <c r="U20" i="30"/>
  <c r="N20" i="30"/>
  <c r="AK169" i="30"/>
  <c r="CN46" i="11"/>
  <c r="CO50" i="11"/>
  <c r="J87" i="8"/>
  <c r="K87" i="8"/>
  <c r="P175" i="8"/>
  <c r="P190" i="8" s="1"/>
  <c r="P183" i="8"/>
  <c r="P184" i="8" s="1"/>
  <c r="DW9" i="11"/>
  <c r="W260" i="30"/>
  <c r="U261" i="30"/>
  <c r="W261" i="30" s="1"/>
  <c r="AD385" i="30"/>
  <c r="AF385" i="30" s="1"/>
  <c r="AK385" i="30"/>
  <c r="AB386" i="30"/>
  <c r="Z37" i="6"/>
  <c r="CV71" i="3"/>
  <c r="CV81" i="3" s="1"/>
  <c r="E225" i="8"/>
  <c r="E229" i="8"/>
  <c r="CV72" i="3" s="1"/>
  <c r="E231" i="8"/>
  <c r="N186" i="30"/>
  <c r="P186" i="30" s="1"/>
  <c r="U186" i="30"/>
  <c r="W186" i="30" s="1"/>
  <c r="AK30" i="6"/>
  <c r="AD30" i="6"/>
  <c r="AF30" i="6" s="1"/>
  <c r="AB31" i="6"/>
  <c r="AD31" i="6" s="1"/>
  <c r="AF31" i="6" s="1"/>
  <c r="AK285" i="30"/>
  <c r="DY10" i="11"/>
  <c r="DY54" i="11" s="1"/>
  <c r="DX54" i="11" s="1"/>
  <c r="AC41" i="8"/>
  <c r="EB10" i="11"/>
  <c r="W264" i="30"/>
  <c r="AK57" i="11"/>
  <c r="AK15" i="11"/>
  <c r="AJ14" i="11"/>
  <c r="AO9" i="11"/>
  <c r="F30" i="8"/>
  <c r="CC43" i="11"/>
  <c r="CG38" i="11"/>
  <c r="CG42" i="11" s="1"/>
  <c r="Z392" i="30"/>
  <c r="Q177" i="8"/>
  <c r="P135" i="8"/>
  <c r="P136" i="8" s="1"/>
  <c r="P127" i="8"/>
  <c r="P142" i="8" s="1"/>
  <c r="L271" i="30"/>
  <c r="L267" i="30"/>
  <c r="AK34" i="6"/>
  <c r="AD34" i="6"/>
  <c r="AF34" i="6" s="1"/>
  <c r="AC234" i="8"/>
  <c r="AB234" i="8"/>
  <c r="AB235" i="8" s="1"/>
  <c r="AD234" i="8"/>
  <c r="CC34" i="11"/>
  <c r="CG28" i="11"/>
  <c r="Q129" i="8"/>
  <c r="Z288" i="30"/>
  <c r="K193" i="30"/>
  <c r="L197" i="30"/>
  <c r="K197" i="30"/>
  <c r="L193" i="30"/>
  <c r="L194" i="30" s="1"/>
  <c r="N194" i="30" s="1"/>
  <c r="P194" i="30" s="1"/>
  <c r="BS33" i="11"/>
  <c r="BT28" i="11"/>
  <c r="N190" i="30"/>
  <c r="P190" i="30" s="1"/>
  <c r="U190" i="30"/>
  <c r="W183" i="30"/>
  <c r="I220" i="8"/>
  <c r="I222" i="8"/>
  <c r="I223" i="8" s="1"/>
  <c r="V266" i="8"/>
  <c r="DL70" i="3"/>
  <c r="N71" i="8"/>
  <c r="O66" i="8"/>
  <c r="O70" i="8" s="1"/>
  <c r="DE68" i="3"/>
  <c r="N83" i="8"/>
  <c r="N84" i="8" s="1"/>
  <c r="N59" i="6"/>
  <c r="P59" i="6" s="1"/>
  <c r="I232" i="8"/>
  <c r="F73" i="3"/>
  <c r="CZ73" i="3"/>
  <c r="U271" i="8"/>
  <c r="M72" i="8"/>
  <c r="M95" i="8" s="1"/>
  <c r="M74" i="8"/>
  <c r="M75" i="8" s="1"/>
  <c r="DR67" i="3"/>
  <c r="AB16" i="8"/>
  <c r="W55" i="6"/>
  <c r="L69" i="6"/>
  <c r="L65" i="6"/>
  <c r="U58" i="6"/>
  <c r="W58" i="6" s="1"/>
  <c r="N58" i="6"/>
  <c r="P58" i="6" s="1"/>
  <c r="P121" i="8"/>
  <c r="P144" i="8" s="1"/>
  <c r="P123" i="8"/>
  <c r="P124" i="8" s="1"/>
  <c r="U52" i="6"/>
  <c r="W52" i="6" s="1"/>
  <c r="G16" i="8"/>
  <c r="CW67" i="3"/>
  <c r="F33" i="8"/>
  <c r="F34" i="8" s="1"/>
  <c r="AA21" i="8"/>
  <c r="AA22" i="8" s="1"/>
  <c r="J219" i="8"/>
  <c r="K209" i="8"/>
  <c r="K218" i="8" s="1"/>
  <c r="M47" i="48" s="1"/>
  <c r="M48" i="48" s="1"/>
  <c r="J72" i="6"/>
  <c r="V70" i="16" s="1"/>
  <c r="X70" i="16" s="1"/>
  <c r="Z70" i="16" s="1"/>
  <c r="DA66" i="3"/>
  <c r="DA82" i="3" s="1"/>
  <c r="K256" i="8"/>
  <c r="L200" i="8"/>
  <c r="N62" i="6"/>
  <c r="P62" i="6" s="1"/>
  <c r="U62" i="6"/>
  <c r="L66" i="6"/>
  <c r="N66" i="6" s="1"/>
  <c r="P66" i="6" s="1"/>
  <c r="R115" i="8"/>
  <c r="R119" i="8" s="1"/>
  <c r="Q120" i="8"/>
  <c r="DH69" i="3"/>
  <c r="Q132" i="8"/>
  <c r="Q133" i="8" s="1"/>
  <c r="F22" i="8"/>
  <c r="F48" i="8" s="1"/>
  <c r="F24" i="8"/>
  <c r="F25" i="8" s="1"/>
  <c r="AD24" i="10"/>
  <c r="AY226" i="30"/>
  <c r="AZ226" i="30" s="1"/>
  <c r="AY227" i="30"/>
  <c r="AZ227" i="30" s="1"/>
  <c r="P105" i="30"/>
  <c r="P106" i="30"/>
  <c r="Q14" i="12" l="1"/>
  <c r="Q28" i="12" s="1"/>
  <c r="Q64" i="12" s="1"/>
  <c r="Q81" i="12"/>
  <c r="N56" i="13"/>
  <c r="S9" i="12"/>
  <c r="R52" i="13"/>
  <c r="R55" i="13" s="1"/>
  <c r="AB71" i="10"/>
  <c r="AC70" i="10"/>
  <c r="AD235" i="8"/>
  <c r="BI98" i="12"/>
  <c r="BF50" i="13"/>
  <c r="R264" i="8"/>
  <c r="R208" i="8" s="1"/>
  <c r="U22" i="10"/>
  <c r="R203" i="8"/>
  <c r="U187" i="30"/>
  <c r="W187" i="30" s="1"/>
  <c r="V63" i="8"/>
  <c r="V64" i="8"/>
  <c r="Y127" i="48"/>
  <c r="Z91" i="48"/>
  <c r="J99" i="48"/>
  <c r="U99" i="48"/>
  <c r="K131" i="48"/>
  <c r="K96" i="48"/>
  <c r="M130" i="48"/>
  <c r="X128" i="48"/>
  <c r="Y92" i="48"/>
  <c r="Z126" i="48"/>
  <c r="AA90" i="48"/>
  <c r="O98" i="48"/>
  <c r="M98" i="48"/>
  <c r="N132" i="48"/>
  <c r="N97" i="48"/>
  <c r="O131" i="48"/>
  <c r="C166" i="48"/>
  <c r="C162" i="48"/>
  <c r="C158" i="48"/>
  <c r="C169" i="48"/>
  <c r="C165" i="48"/>
  <c r="C161" i="48"/>
  <c r="C157" i="48"/>
  <c r="C167" i="48"/>
  <c r="C163" i="48"/>
  <c r="C159" i="48"/>
  <c r="C155" i="48"/>
  <c r="C164" i="48"/>
  <c r="C160" i="48"/>
  <c r="C168" i="48"/>
  <c r="C156" i="48"/>
  <c r="T97" i="48"/>
  <c r="U131" i="48"/>
  <c r="R95" i="48"/>
  <c r="AB124" i="48"/>
  <c r="AC88" i="48"/>
  <c r="AC124" i="48" s="1"/>
  <c r="AA125" i="48"/>
  <c r="AB89" i="48"/>
  <c r="P128" i="48"/>
  <c r="P93" i="48"/>
  <c r="Q127" i="48"/>
  <c r="L130" i="48"/>
  <c r="L95" i="48"/>
  <c r="V130" i="48"/>
  <c r="W94" i="48"/>
  <c r="V95" i="48"/>
  <c r="Q95" i="48"/>
  <c r="I96" i="48"/>
  <c r="J130" i="48"/>
  <c r="R129" i="48"/>
  <c r="S129" i="48"/>
  <c r="S94" i="48"/>
  <c r="T128" i="48"/>
  <c r="H130" i="48"/>
  <c r="H95" i="48"/>
  <c r="I129" i="48"/>
  <c r="W129" i="48"/>
  <c r="X93" i="48"/>
  <c r="AX72" i="13"/>
  <c r="AV68" i="13"/>
  <c r="AV69" i="13" s="1"/>
  <c r="AY84" i="12"/>
  <c r="N197" i="30"/>
  <c r="P197" i="30" s="1"/>
  <c r="U197" i="30"/>
  <c r="CG33" i="11"/>
  <c r="AM34" i="6"/>
  <c r="CK38" i="11"/>
  <c r="CK42" i="11" s="1"/>
  <c r="CG43" i="11"/>
  <c r="AM285" i="30"/>
  <c r="AM30" i="6"/>
  <c r="AK31" i="6"/>
  <c r="AM31" i="6" s="1"/>
  <c r="O81" i="8"/>
  <c r="O77" i="8"/>
  <c r="S278" i="8"/>
  <c r="S293" i="8" s="1"/>
  <c r="S286" i="8"/>
  <c r="S287" i="8" s="1"/>
  <c r="W190" i="30"/>
  <c r="BW28" i="11"/>
  <c r="J274" i="30"/>
  <c r="BT33" i="11"/>
  <c r="AC235" i="8"/>
  <c r="EC10" i="11"/>
  <c r="EC54" i="11" s="1"/>
  <c r="EB54" i="11" s="1"/>
  <c r="AD41" i="8"/>
  <c r="E237" i="8"/>
  <c r="E238" i="8" s="1"/>
  <c r="E226" i="8"/>
  <c r="E243" i="8" s="1"/>
  <c r="AM385" i="30"/>
  <c r="AK386" i="30"/>
  <c r="AM386" i="30" s="1"/>
  <c r="DW14" i="11"/>
  <c r="AM169" i="30"/>
  <c r="CQ19" i="11"/>
  <c r="CQ23" i="11" s="1"/>
  <c r="J207" i="30"/>
  <c r="L23" i="30"/>
  <c r="L27" i="30"/>
  <c r="AM165" i="30"/>
  <c r="AK166" i="30"/>
  <c r="AM166" i="30" s="1"/>
  <c r="N193" i="30"/>
  <c r="P193" i="30" s="1"/>
  <c r="U193" i="30"/>
  <c r="W193" i="30" s="1"/>
  <c r="AB288" i="30"/>
  <c r="AB292" i="30"/>
  <c r="AD289" i="30"/>
  <c r="AF289" i="30" s="1"/>
  <c r="AD288" i="30"/>
  <c r="AF288" i="30" s="1"/>
  <c r="U267" i="30"/>
  <c r="N267" i="30"/>
  <c r="P267" i="30" s="1"/>
  <c r="L268" i="30"/>
  <c r="N268" i="30" s="1"/>
  <c r="P268" i="30" s="1"/>
  <c r="Q178" i="8"/>
  <c r="Q174" i="8"/>
  <c r="F228" i="8"/>
  <c r="F27" i="8"/>
  <c r="F31" i="8"/>
  <c r="AK58" i="11"/>
  <c r="AJ57" i="11"/>
  <c r="L204" i="30"/>
  <c r="K204" i="30"/>
  <c r="K200" i="30"/>
  <c r="L200" i="30"/>
  <c r="BG53" i="11"/>
  <c r="BG14" i="11"/>
  <c r="Q130" i="8"/>
  <c r="Q126" i="8"/>
  <c r="N271" i="30"/>
  <c r="P271" i="30" s="1"/>
  <c r="U271" i="30"/>
  <c r="AD393" i="30"/>
  <c r="AB392" i="30"/>
  <c r="AO53" i="11"/>
  <c r="AN53" i="11" s="1"/>
  <c r="AO14" i="11"/>
  <c r="AN9" i="11"/>
  <c r="E232" i="8"/>
  <c r="CV73" i="3"/>
  <c r="AB37" i="6"/>
  <c r="AB41" i="6"/>
  <c r="CN50" i="11"/>
  <c r="CS46" i="11"/>
  <c r="T280" i="8"/>
  <c r="AB176" i="30"/>
  <c r="AB172" i="30"/>
  <c r="AD172" i="30"/>
  <c r="AF172" i="30" s="1"/>
  <c r="AD173" i="30"/>
  <c r="AF173" i="30" s="1"/>
  <c r="BY23" i="11"/>
  <c r="BX19" i="11"/>
  <c r="AM281" i="30"/>
  <c r="AK282" i="30"/>
  <c r="AM282" i="30" s="1"/>
  <c r="K219" i="8"/>
  <c r="L209" i="8"/>
  <c r="L218" i="8" s="1"/>
  <c r="N47" i="48" s="1"/>
  <c r="N48" i="48" s="1"/>
  <c r="J79" i="6"/>
  <c r="V77" i="16" s="1"/>
  <c r="X77" i="16" s="1"/>
  <c r="Z77" i="16" s="1"/>
  <c r="DB66" i="3"/>
  <c r="DB82" i="3" s="1"/>
  <c r="N69" i="6"/>
  <c r="P69" i="6" s="1"/>
  <c r="U69" i="6"/>
  <c r="AB20" i="8"/>
  <c r="U272" i="8"/>
  <c r="U295" i="8" s="1"/>
  <c r="U274" i="8"/>
  <c r="U275" i="8" s="1"/>
  <c r="N72" i="8"/>
  <c r="N95" i="8" s="1"/>
  <c r="N74" i="8"/>
  <c r="N75" i="8" s="1"/>
  <c r="W62" i="6"/>
  <c r="J220" i="8"/>
  <c r="J222" i="8"/>
  <c r="J223" i="8" s="1"/>
  <c r="G20" i="8"/>
  <c r="Q121" i="8"/>
  <c r="Q144" i="8" s="1"/>
  <c r="Q123" i="8"/>
  <c r="Q124" i="8" s="1"/>
  <c r="U59" i="6"/>
  <c r="W59" i="6" s="1"/>
  <c r="S115" i="8"/>
  <c r="S119" i="8" s="1"/>
  <c r="R120" i="8"/>
  <c r="DI69" i="3"/>
  <c r="L256" i="8"/>
  <c r="M200" i="8"/>
  <c r="J76" i="6"/>
  <c r="V74" i="16" s="1"/>
  <c r="X74" i="16" s="1"/>
  <c r="P83" i="3"/>
  <c r="L72" i="6"/>
  <c r="N65" i="6"/>
  <c r="P65" i="6" s="1"/>
  <c r="U65" i="6"/>
  <c r="W65" i="6" s="1"/>
  <c r="O71" i="8"/>
  <c r="P66" i="8"/>
  <c r="P70" i="8" s="1"/>
  <c r="DF68" i="3"/>
  <c r="O83" i="8"/>
  <c r="O84" i="8" s="1"/>
  <c r="V270" i="8"/>
  <c r="V271" i="8"/>
  <c r="AE24" i="10"/>
  <c r="S81" i="12" l="1"/>
  <c r="P56" i="13"/>
  <c r="S14" i="12"/>
  <c r="S28" i="12" s="1"/>
  <c r="S64" i="12" s="1"/>
  <c r="U9" i="12"/>
  <c r="T52" i="13"/>
  <c r="T55" i="13" s="1"/>
  <c r="AD70" i="10"/>
  <c r="AC71" i="10"/>
  <c r="Z74" i="16"/>
  <c r="Z81" i="16"/>
  <c r="L131" i="48"/>
  <c r="L96" i="48"/>
  <c r="O99" i="48"/>
  <c r="K132" i="48"/>
  <c r="K97" i="48"/>
  <c r="M131" i="48"/>
  <c r="J100" i="48"/>
  <c r="S130" i="48"/>
  <c r="S95" i="48"/>
  <c r="T129" i="48"/>
  <c r="J131" i="48"/>
  <c r="I97" i="48"/>
  <c r="V131" i="48"/>
  <c r="W95" i="48"/>
  <c r="V96" i="48"/>
  <c r="AB125" i="48"/>
  <c r="AC89" i="48"/>
  <c r="T98" i="48"/>
  <c r="U132" i="48"/>
  <c r="M99" i="48"/>
  <c r="Y128" i="48"/>
  <c r="Z92" i="48"/>
  <c r="H131" i="48"/>
  <c r="H96" i="48"/>
  <c r="H33" i="48"/>
  <c r="I130" i="48"/>
  <c r="W130" i="48"/>
  <c r="X94" i="48"/>
  <c r="R131" i="48"/>
  <c r="R96" i="48"/>
  <c r="U100" i="48"/>
  <c r="Z127" i="48"/>
  <c r="AA91" i="48"/>
  <c r="X129" i="48"/>
  <c r="Y93" i="48"/>
  <c r="Q96" i="48"/>
  <c r="P129" i="48"/>
  <c r="P94" i="48"/>
  <c r="Q128" i="48"/>
  <c r="R130" i="48"/>
  <c r="N133" i="48"/>
  <c r="N98" i="48"/>
  <c r="O132" i="48"/>
  <c r="AA126" i="48"/>
  <c r="AB90" i="48"/>
  <c r="AZ72" i="13"/>
  <c r="AX68" i="13"/>
  <c r="BA84" i="12"/>
  <c r="BY24" i="11"/>
  <c r="BX23" i="11"/>
  <c r="P80" i="8"/>
  <c r="P83" i="8" s="1"/>
  <c r="P84" i="8" s="1"/>
  <c r="Z179" i="30"/>
  <c r="CC19" i="11"/>
  <c r="AK176" i="30"/>
  <c r="AK41" i="6"/>
  <c r="AD41" i="6"/>
  <c r="AF41" i="6" s="1"/>
  <c r="Q135" i="8"/>
  <c r="Q136" i="8" s="1"/>
  <c r="Q127" i="8"/>
  <c r="Q142" i="8" s="1"/>
  <c r="N204" i="30"/>
  <c r="P204" i="30" s="1"/>
  <c r="U204" i="30"/>
  <c r="F28" i="8"/>
  <c r="F43" i="8" s="1"/>
  <c r="F36" i="8"/>
  <c r="F37" i="8" s="1"/>
  <c r="U23" i="30"/>
  <c r="U24" i="30" s="1"/>
  <c r="W24" i="30" s="1"/>
  <c r="N23" i="30"/>
  <c r="L24" i="30"/>
  <c r="N24" i="30" s="1"/>
  <c r="P24" i="30" s="1"/>
  <c r="L278" i="30"/>
  <c r="L274" i="30"/>
  <c r="CK28" i="11"/>
  <c r="CG34" i="11"/>
  <c r="R129" i="8"/>
  <c r="Z295" i="30"/>
  <c r="T281" i="8"/>
  <c r="T283" i="8"/>
  <c r="T284" i="8" s="1"/>
  <c r="T277" i="8"/>
  <c r="AD37" i="6"/>
  <c r="AF37" i="6" s="1"/>
  <c r="AK37" i="6"/>
  <c r="AB38" i="6"/>
  <c r="AD38" i="6" s="1"/>
  <c r="AF38" i="6" s="1"/>
  <c r="AO57" i="11"/>
  <c r="AO15" i="11"/>
  <c r="AN14" i="11"/>
  <c r="AS9" i="11"/>
  <c r="G30" i="8"/>
  <c r="W271" i="30"/>
  <c r="N200" i="30"/>
  <c r="P200" i="30" s="1"/>
  <c r="U200" i="30"/>
  <c r="W200" i="30" s="1"/>
  <c r="C70" i="3"/>
  <c r="Z44" i="6"/>
  <c r="AB42" i="16" s="1"/>
  <c r="AD42" i="16" s="1"/>
  <c r="CW71" i="3"/>
  <c r="F229" i="8"/>
  <c r="CW72" i="3" s="1"/>
  <c r="G229" i="8"/>
  <c r="G225" i="8"/>
  <c r="F225" i="8"/>
  <c r="F231" i="8"/>
  <c r="AK292" i="30"/>
  <c r="K207" i="30"/>
  <c r="K211" i="30"/>
  <c r="L211" i="30"/>
  <c r="L207" i="30"/>
  <c r="L208" i="30" s="1"/>
  <c r="N208" i="30" s="1"/>
  <c r="P208" i="30" s="1"/>
  <c r="Z207" i="30"/>
  <c r="BW33" i="11"/>
  <c r="BX28" i="11"/>
  <c r="W197" i="30"/>
  <c r="CS50" i="11"/>
  <c r="CR46" i="11"/>
  <c r="Q175" i="8"/>
  <c r="Q190" i="8" s="1"/>
  <c r="Q183" i="8"/>
  <c r="Q184" i="8" s="1"/>
  <c r="W267" i="30"/>
  <c r="U268" i="30"/>
  <c r="W268" i="30" s="1"/>
  <c r="AK288" i="30"/>
  <c r="AB289" i="30"/>
  <c r="J214" i="30"/>
  <c r="CU19" i="11"/>
  <c r="CU23" i="11" s="1"/>
  <c r="J221" i="30" s="1"/>
  <c r="EA9" i="11"/>
  <c r="U194" i="30"/>
  <c r="W194" i="30" s="1"/>
  <c r="AK172" i="30"/>
  <c r="AB173" i="30"/>
  <c r="AD392" i="30"/>
  <c r="AF392" i="30" s="1"/>
  <c r="AK392" i="30"/>
  <c r="AB393" i="30"/>
  <c r="BG57" i="11"/>
  <c r="J30" i="30"/>
  <c r="BK9" i="11"/>
  <c r="U27" i="30"/>
  <c r="W27" i="30" s="1"/>
  <c r="N27" i="30"/>
  <c r="P27" i="30" s="1"/>
  <c r="O78" i="8"/>
  <c r="O93" i="8" s="1"/>
  <c r="O86" i="8"/>
  <c r="O87" i="8" s="1"/>
  <c r="CK43" i="11"/>
  <c r="CO38" i="11"/>
  <c r="CO42" i="11" s="1"/>
  <c r="L201" i="30"/>
  <c r="N201" i="30" s="1"/>
  <c r="P201" i="30" s="1"/>
  <c r="U72" i="6"/>
  <c r="W72" i="6" s="1"/>
  <c r="N72" i="6"/>
  <c r="P72" i="6" s="1"/>
  <c r="S120" i="8"/>
  <c r="T115" i="8"/>
  <c r="T119" i="8" s="1"/>
  <c r="DJ69" i="3"/>
  <c r="AC16" i="8"/>
  <c r="DS67" i="3"/>
  <c r="M209" i="8"/>
  <c r="M218" i="8" s="1"/>
  <c r="O47" i="48" s="1"/>
  <c r="O48" i="48" s="1"/>
  <c r="L219" i="8"/>
  <c r="DC66" i="3"/>
  <c r="DC82" i="3" s="1"/>
  <c r="J86" i="6"/>
  <c r="V84" i="16" s="1"/>
  <c r="X84" i="16" s="1"/>
  <c r="Z84" i="16" s="1"/>
  <c r="L76" i="6"/>
  <c r="R83" i="3"/>
  <c r="J77" i="6"/>
  <c r="V75" i="16" s="1"/>
  <c r="X75" i="16" s="1"/>
  <c r="U66" i="6"/>
  <c r="W66" i="6" s="1"/>
  <c r="L73" i="6"/>
  <c r="N73" i="6" s="1"/>
  <c r="P73" i="6" s="1"/>
  <c r="V272" i="8"/>
  <c r="V274" i="8"/>
  <c r="V275" i="8" s="1"/>
  <c r="Q66" i="8"/>
  <c r="Q70" i="8" s="1"/>
  <c r="P71" i="8"/>
  <c r="DG68" i="3"/>
  <c r="H16" i="8"/>
  <c r="CX67" i="3"/>
  <c r="G33" i="8"/>
  <c r="G34" i="8" s="1"/>
  <c r="M256" i="8"/>
  <c r="N200" i="8"/>
  <c r="R121" i="8"/>
  <c r="R144" i="8" s="1"/>
  <c r="R123" i="8"/>
  <c r="R124" i="8" s="1"/>
  <c r="W69" i="6"/>
  <c r="L79" i="6"/>
  <c r="U83" i="3"/>
  <c r="L83" i="6"/>
  <c r="W266" i="8"/>
  <c r="DM70" i="3"/>
  <c r="O72" i="8"/>
  <c r="O95" i="8" s="1"/>
  <c r="O74" i="8"/>
  <c r="O75" i="8" s="1"/>
  <c r="G21" i="8"/>
  <c r="AB21" i="8"/>
  <c r="AB22" i="8" s="1"/>
  <c r="K220" i="8"/>
  <c r="K222" i="8"/>
  <c r="K223" i="8" s="1"/>
  <c r="AF24" i="10"/>
  <c r="AC69" i="3"/>
  <c r="DO57" i="3"/>
  <c r="DN57" i="3"/>
  <c r="DM57" i="3"/>
  <c r="M38" i="62"/>
  <c r="DO74" i="3"/>
  <c r="DO75" i="3"/>
  <c r="DN75" i="3"/>
  <c r="DE39" i="3"/>
  <c r="DB38" i="3"/>
  <c r="DA38" i="3"/>
  <c r="CZ38" i="3"/>
  <c r="CY38" i="3"/>
  <c r="CX38" i="3"/>
  <c r="CW38" i="3"/>
  <c r="CV38" i="3"/>
  <c r="CU38" i="3"/>
  <c r="CT38" i="3"/>
  <c r="DD39" i="3"/>
  <c r="CW39" i="3"/>
  <c r="CV39" i="3"/>
  <c r="CU39" i="3"/>
  <c r="CT39" i="3"/>
  <c r="CU37" i="3"/>
  <c r="CT37" i="3"/>
  <c r="DB26" i="3"/>
  <c r="DA26" i="3"/>
  <c r="CZ26" i="3"/>
  <c r="CY26" i="3"/>
  <c r="CX26" i="3"/>
  <c r="CW26" i="3"/>
  <c r="CV26" i="3"/>
  <c r="CU26" i="3"/>
  <c r="CT26" i="3"/>
  <c r="DB23" i="3"/>
  <c r="DA23" i="3"/>
  <c r="DB22" i="3"/>
  <c r="DA22" i="3"/>
  <c r="CZ22" i="3"/>
  <c r="CX22" i="3"/>
  <c r="CW22" i="3"/>
  <c r="CV22" i="3"/>
  <c r="CT22" i="3"/>
  <c r="K12" i="62"/>
  <c r="J12" i="62"/>
  <c r="I12" i="62"/>
  <c r="H12" i="62"/>
  <c r="G12" i="62"/>
  <c r="DA17" i="3"/>
  <c r="CT17" i="3"/>
  <c r="DN15" i="3"/>
  <c r="DM15" i="3"/>
  <c r="DL15" i="3"/>
  <c r="DJ15" i="3"/>
  <c r="DI15" i="3"/>
  <c r="DH15" i="3"/>
  <c r="DC15" i="3"/>
  <c r="DB15" i="3"/>
  <c r="DC14" i="3"/>
  <c r="DB14" i="3"/>
  <c r="DA14" i="3"/>
  <c r="DN14" i="3"/>
  <c r="DL14" i="3"/>
  <c r="DJ14" i="3"/>
  <c r="CZ13" i="3"/>
  <c r="CV13" i="3"/>
  <c r="DB10" i="3"/>
  <c r="DA10" i="3"/>
  <c r="CZ10" i="3"/>
  <c r="CY10" i="3"/>
  <c r="CX10" i="3"/>
  <c r="CW10" i="3"/>
  <c r="CV10" i="3"/>
  <c r="CU10" i="3"/>
  <c r="CT10" i="3"/>
  <c r="CY8" i="3"/>
  <c r="CU8" i="3"/>
  <c r="CU12" i="3" s="1"/>
  <c r="BD57" i="3"/>
  <c r="BC83" i="3"/>
  <c r="BB83" i="3"/>
  <c r="BA83" i="3"/>
  <c r="AX83" i="3"/>
  <c r="AW83" i="3"/>
  <c r="AV83" i="3"/>
  <c r="AS83" i="3"/>
  <c r="AQ83" i="3"/>
  <c r="AN83" i="3"/>
  <c r="AM83" i="3"/>
  <c r="AL83" i="3"/>
  <c r="U14" i="12" l="1"/>
  <c r="U28" i="12" s="1"/>
  <c r="U64" i="12" s="1"/>
  <c r="R56" i="13"/>
  <c r="U81" i="12"/>
  <c r="V52" i="13"/>
  <c r="V55" i="13" s="1"/>
  <c r="W9" i="12"/>
  <c r="AE70" i="10"/>
  <c r="AD71" i="10"/>
  <c r="Z75" i="16"/>
  <c r="Z82" i="16"/>
  <c r="AF49" i="16"/>
  <c r="AF42" i="16"/>
  <c r="U73" i="6"/>
  <c r="W73" i="6" s="1"/>
  <c r="U201" i="30"/>
  <c r="W201" i="30" s="1"/>
  <c r="I29" i="48"/>
  <c r="H24" i="48"/>
  <c r="H30" i="48"/>
  <c r="H15" i="48" s="1"/>
  <c r="V132" i="48"/>
  <c r="W96" i="48"/>
  <c r="V97" i="48"/>
  <c r="K133" i="48"/>
  <c r="K98" i="48"/>
  <c r="M132" i="48"/>
  <c r="AC125" i="48"/>
  <c r="O100" i="48"/>
  <c r="AB126" i="48"/>
  <c r="AC90" i="48"/>
  <c r="L132" i="48"/>
  <c r="L97" i="48"/>
  <c r="Q97" i="48"/>
  <c r="AA127" i="48"/>
  <c r="AB91" i="48"/>
  <c r="R132" i="48"/>
  <c r="R97" i="48"/>
  <c r="Z128" i="48"/>
  <c r="AA92" i="48"/>
  <c r="I98" i="48"/>
  <c r="J132" i="48"/>
  <c r="S131" i="48"/>
  <c r="S96" i="48"/>
  <c r="T130" i="48"/>
  <c r="N134" i="48"/>
  <c r="N99" i="48"/>
  <c r="O133" i="48"/>
  <c r="T99" i="48"/>
  <c r="U133" i="48"/>
  <c r="P130" i="48"/>
  <c r="P95" i="48"/>
  <c r="Q129" i="48"/>
  <c r="Y129" i="48"/>
  <c r="Z93" i="48"/>
  <c r="U101" i="48"/>
  <c r="X130" i="48"/>
  <c r="Y94" i="48"/>
  <c r="H132" i="48"/>
  <c r="H97" i="48"/>
  <c r="I131" i="48"/>
  <c r="M100" i="48"/>
  <c r="W131" i="48"/>
  <c r="X95" i="48"/>
  <c r="W68" i="48"/>
  <c r="W66" i="48" s="1"/>
  <c r="W67" i="48" s="1"/>
  <c r="J101" i="48"/>
  <c r="AX69" i="13"/>
  <c r="AQ85" i="12"/>
  <c r="BB72" i="13"/>
  <c r="BC84" i="12"/>
  <c r="CS38" i="11"/>
  <c r="CS42" i="11" s="1"/>
  <c r="CO43" i="11"/>
  <c r="BK53" i="11"/>
  <c r="BK14" i="11"/>
  <c r="AM392" i="30"/>
  <c r="AK393" i="30"/>
  <c r="AM393" i="30" s="1"/>
  <c r="K218" i="30"/>
  <c r="K214" i="30"/>
  <c r="L218" i="30"/>
  <c r="L214" i="30"/>
  <c r="CW46" i="11"/>
  <c r="CR50" i="11"/>
  <c r="U280" i="8"/>
  <c r="CA28" i="11"/>
  <c r="J281" i="30"/>
  <c r="BX33" i="11"/>
  <c r="CW73" i="3"/>
  <c r="C73" i="3"/>
  <c r="F232" i="8"/>
  <c r="G232" i="8"/>
  <c r="G31" i="8"/>
  <c r="G27" i="8"/>
  <c r="AO58" i="11"/>
  <c r="AN57" i="11"/>
  <c r="T278" i="8"/>
  <c r="T293" i="8" s="1"/>
  <c r="T286" i="8"/>
  <c r="T287" i="8" s="1"/>
  <c r="AD296" i="30"/>
  <c r="AF296" i="30" s="1"/>
  <c r="AB299" i="30"/>
  <c r="AK299" i="30" s="1"/>
  <c r="AD295" i="30"/>
  <c r="AF295" i="30" s="1"/>
  <c r="AB295" i="30"/>
  <c r="W204" i="30"/>
  <c r="AM176" i="30"/>
  <c r="P81" i="8"/>
  <c r="P77" i="8"/>
  <c r="L34" i="30"/>
  <c r="L30" i="30"/>
  <c r="EA14" i="11"/>
  <c r="Z211" i="30"/>
  <c r="AB207" i="30"/>
  <c r="F237" i="8"/>
  <c r="F238" i="8" s="1"/>
  <c r="F226" i="8"/>
  <c r="F243" i="8" s="1"/>
  <c r="CW81" i="3"/>
  <c r="CX72" i="3"/>
  <c r="AS53" i="11"/>
  <c r="AR53" i="11" s="1"/>
  <c r="AS14" i="11"/>
  <c r="AR9" i="11"/>
  <c r="R130" i="8"/>
  <c r="R132" i="8"/>
  <c r="R133" i="8" s="1"/>
  <c r="R126" i="8"/>
  <c r="N274" i="30"/>
  <c r="P274" i="30" s="1"/>
  <c r="U274" i="30"/>
  <c r="L275" i="30"/>
  <c r="N275" i="30" s="1"/>
  <c r="P275" i="30" s="1"/>
  <c r="AM288" i="30"/>
  <c r="AK289" i="30"/>
  <c r="AM289" i="30" s="1"/>
  <c r="N207" i="30"/>
  <c r="P207" i="30" s="1"/>
  <c r="U207" i="30"/>
  <c r="W207" i="30" s="1"/>
  <c r="AM292" i="30"/>
  <c r="G237" i="8"/>
  <c r="H226" i="8"/>
  <c r="H243" i="8" s="1"/>
  <c r="G226" i="8"/>
  <c r="G243" i="8" s="1"/>
  <c r="AB48" i="6"/>
  <c r="AB44" i="6"/>
  <c r="AM37" i="6"/>
  <c r="AK38" i="6"/>
  <c r="AM38" i="6" s="1"/>
  <c r="N278" i="30"/>
  <c r="P278" i="30" s="1"/>
  <c r="U278" i="30"/>
  <c r="CB19" i="11"/>
  <c r="CC23" i="11"/>
  <c r="AM172" i="30"/>
  <c r="AK173" i="30"/>
  <c r="AM173" i="30" s="1"/>
  <c r="L225" i="30"/>
  <c r="K221" i="30"/>
  <c r="L221" i="30"/>
  <c r="K225" i="30"/>
  <c r="N211" i="30"/>
  <c r="P211" i="30" s="1"/>
  <c r="L215" i="30"/>
  <c r="N215" i="30" s="1"/>
  <c r="P215" i="30" s="1"/>
  <c r="U211" i="30"/>
  <c r="CK33" i="11"/>
  <c r="AM41" i="6"/>
  <c r="AD179" i="30"/>
  <c r="AF179" i="30" s="1"/>
  <c r="AD180" i="30"/>
  <c r="AF180" i="30" s="1"/>
  <c r="AB179" i="30"/>
  <c r="AB183" i="30"/>
  <c r="L78" i="6"/>
  <c r="L80" i="6" s="1"/>
  <c r="N80" i="6" s="1"/>
  <c r="P80" i="6" s="1"/>
  <c r="S83" i="3"/>
  <c r="L77" i="6"/>
  <c r="G22" i="8"/>
  <c r="G48" i="8" s="1"/>
  <c r="G24" i="8"/>
  <c r="G25" i="8" s="1"/>
  <c r="N79" i="6"/>
  <c r="P79" i="6" s="1"/>
  <c r="U79" i="6"/>
  <c r="W79" i="6" s="1"/>
  <c r="P72" i="8"/>
  <c r="P95" i="8" s="1"/>
  <c r="P74" i="8"/>
  <c r="P75" i="8" s="1"/>
  <c r="U76" i="6"/>
  <c r="N76" i="6"/>
  <c r="P76" i="6" s="1"/>
  <c r="L220" i="8"/>
  <c r="L222" i="8"/>
  <c r="L223" i="8" s="1"/>
  <c r="AC20" i="8"/>
  <c r="U115" i="8"/>
  <c r="U119" i="8" s="1"/>
  <c r="T120" i="8"/>
  <c r="DK69" i="3"/>
  <c r="Z83" i="3"/>
  <c r="L86" i="6"/>
  <c r="L90" i="6"/>
  <c r="W270" i="8"/>
  <c r="W271" i="8"/>
  <c r="N256" i="8"/>
  <c r="O200" i="8"/>
  <c r="H20" i="8"/>
  <c r="Q71" i="8"/>
  <c r="R66" i="8"/>
  <c r="R70" i="8" s="1"/>
  <c r="DH68" i="3"/>
  <c r="M219" i="8"/>
  <c r="N209" i="8"/>
  <c r="N218" i="8" s="1"/>
  <c r="P47" i="48" s="1"/>
  <c r="P48" i="48" s="1"/>
  <c r="DD66" i="3"/>
  <c r="DD82" i="3" s="1"/>
  <c r="S121" i="8"/>
  <c r="S144" i="8" s="1"/>
  <c r="S123" i="8"/>
  <c r="S124" i="8" s="1"/>
  <c r="N83" i="6"/>
  <c r="P83" i="6" s="1"/>
  <c r="U83" i="6"/>
  <c r="AG24" i="10"/>
  <c r="E12" i="62"/>
  <c r="DI16" i="3"/>
  <c r="CW8" i="3"/>
  <c r="CW12" i="3" s="1"/>
  <c r="DA8" i="3"/>
  <c r="I6" i="62"/>
  <c r="DI8" i="3"/>
  <c r="DI48" i="3" s="1"/>
  <c r="M6" i="62"/>
  <c r="DM8" i="3"/>
  <c r="DM48" i="3" s="1"/>
  <c r="DL10" i="3"/>
  <c r="L8" i="62"/>
  <c r="CW13" i="3"/>
  <c r="DA13" i="3"/>
  <c r="DJ13" i="3"/>
  <c r="J11" i="62"/>
  <c r="DN13" i="3"/>
  <c r="N11" i="62"/>
  <c r="DI14" i="3"/>
  <c r="DM14" i="3"/>
  <c r="DN59" i="3" s="1"/>
  <c r="DI60" i="3"/>
  <c r="DM60" i="3"/>
  <c r="I53" i="62"/>
  <c r="I95" i="62" s="1"/>
  <c r="I137" i="62"/>
  <c r="DM17" i="3"/>
  <c r="M12" i="62"/>
  <c r="DQ17" i="3"/>
  <c r="Q12" i="62"/>
  <c r="DH22" i="3"/>
  <c r="H15" i="62"/>
  <c r="DL22" i="3"/>
  <c r="L15" i="62"/>
  <c r="DP22" i="3"/>
  <c r="P15" i="62"/>
  <c r="DJ23" i="3"/>
  <c r="J16" i="62"/>
  <c r="N16" i="62"/>
  <c r="DN23" i="3"/>
  <c r="DJ26" i="3"/>
  <c r="J19" i="62"/>
  <c r="DN26" i="3"/>
  <c r="N19" i="62"/>
  <c r="DO30" i="3"/>
  <c r="O21" i="62"/>
  <c r="O63" i="62" s="1"/>
  <c r="O105" i="62" s="1"/>
  <c r="DL38" i="3"/>
  <c r="L26" i="62"/>
  <c r="DL37" i="3"/>
  <c r="DP38" i="3"/>
  <c r="P26" i="62"/>
  <c r="P66" i="62" s="1"/>
  <c r="P108" i="62" s="1"/>
  <c r="DP37" i="3"/>
  <c r="M120" i="62"/>
  <c r="M177" i="62" s="1"/>
  <c r="M78" i="62"/>
  <c r="M175" i="62" s="1"/>
  <c r="M176" i="62"/>
  <c r="M174" i="62" s="1"/>
  <c r="CT8" i="3"/>
  <c r="CT12" i="3" s="1"/>
  <c r="CX8" i="3"/>
  <c r="CY56" i="3" s="1"/>
  <c r="DB8" i="3"/>
  <c r="J6" i="62"/>
  <c r="DJ8" i="3"/>
  <c r="DJ48" i="3" s="1"/>
  <c r="N6" i="62"/>
  <c r="DN8" i="3"/>
  <c r="DN48" i="3" s="1"/>
  <c r="DC10" i="3"/>
  <c r="C8" i="62"/>
  <c r="DH10" i="3"/>
  <c r="H8" i="62"/>
  <c r="DM10" i="3"/>
  <c r="M8" i="62"/>
  <c r="CT13" i="3"/>
  <c r="CX13" i="3"/>
  <c r="DB13" i="3"/>
  <c r="DG13" i="3"/>
  <c r="G11" i="62"/>
  <c r="DK13" i="3"/>
  <c r="K11" i="62"/>
  <c r="O11" i="62"/>
  <c r="DO13" i="3"/>
  <c r="DJ59" i="3"/>
  <c r="DJ47" i="3"/>
  <c r="DN47" i="3"/>
  <c r="DJ60" i="3"/>
  <c r="DN60" i="3"/>
  <c r="J137" i="62"/>
  <c r="J53" i="62"/>
  <c r="J95" i="62" s="1"/>
  <c r="DN17" i="3"/>
  <c r="N12" i="62"/>
  <c r="DI22" i="3"/>
  <c r="I15" i="62"/>
  <c r="M15" i="62"/>
  <c r="DM22" i="3"/>
  <c r="Q15" i="62"/>
  <c r="DQ22" i="3"/>
  <c r="DC23" i="3"/>
  <c r="C16" i="62"/>
  <c r="DG23" i="3"/>
  <c r="G16" i="62"/>
  <c r="DK23" i="3"/>
  <c r="K16" i="62"/>
  <c r="DO23" i="3"/>
  <c r="O16" i="62"/>
  <c r="DC26" i="3"/>
  <c r="C19" i="62"/>
  <c r="DG26" i="3"/>
  <c r="G19" i="62"/>
  <c r="DK26" i="3"/>
  <c r="K19" i="62"/>
  <c r="DO26" i="3"/>
  <c r="O19" i="62"/>
  <c r="DP30" i="3"/>
  <c r="P21" i="62"/>
  <c r="DQ37" i="3"/>
  <c r="DQ38" i="3"/>
  <c r="Q26" i="62"/>
  <c r="AD69" i="3"/>
  <c r="BF69" i="3"/>
  <c r="BB69" i="3"/>
  <c r="CU45" i="3"/>
  <c r="CY12" i="3"/>
  <c r="DC8" i="3"/>
  <c r="C6" i="62"/>
  <c r="DG8" i="3"/>
  <c r="G6" i="62"/>
  <c r="DK8" i="3"/>
  <c r="K6" i="62"/>
  <c r="DO8" i="3"/>
  <c r="O6" i="62"/>
  <c r="J8" i="62"/>
  <c r="DJ10" i="3"/>
  <c r="DN10" i="3"/>
  <c r="N8" i="62"/>
  <c r="CU13" i="3"/>
  <c r="CU20" i="3" s="1"/>
  <c r="CY13" i="3"/>
  <c r="CZ58" i="3" s="1"/>
  <c r="DC13" i="3"/>
  <c r="C11" i="62"/>
  <c r="H11" i="62"/>
  <c r="DH13" i="3"/>
  <c r="DL13" i="3"/>
  <c r="L11" i="62"/>
  <c r="DG14" i="3"/>
  <c r="DK14" i="3"/>
  <c r="DO14" i="3"/>
  <c r="DA15" i="3"/>
  <c r="DG15" i="3"/>
  <c r="DH60" i="3" s="1"/>
  <c r="DK15" i="3"/>
  <c r="DL60" i="3" s="1"/>
  <c r="DO15" i="3"/>
  <c r="G53" i="62"/>
  <c r="G95" i="62" s="1"/>
  <c r="G137" i="62"/>
  <c r="K53" i="62"/>
  <c r="K95" i="62" s="1"/>
  <c r="K137" i="62"/>
  <c r="DO17" i="3"/>
  <c r="O12" i="62"/>
  <c r="DJ22" i="3"/>
  <c r="J15" i="62"/>
  <c r="DN22" i="3"/>
  <c r="N15" i="62"/>
  <c r="DH23" i="3"/>
  <c r="H16" i="62"/>
  <c r="DL23" i="3"/>
  <c r="L16" i="62"/>
  <c r="DP23" i="3"/>
  <c r="P16" i="62"/>
  <c r="DH26" i="3"/>
  <c r="H19" i="62"/>
  <c r="L19" i="62"/>
  <c r="DL26" i="3"/>
  <c r="DQ30" i="3"/>
  <c r="Q21" i="62"/>
  <c r="Q63" i="62" s="1"/>
  <c r="Q105" i="62" s="1"/>
  <c r="DF38" i="3"/>
  <c r="DF39" i="3"/>
  <c r="DR37" i="3"/>
  <c r="R26" i="62"/>
  <c r="AE69" i="3"/>
  <c r="BW69" i="3"/>
  <c r="BC69" i="3"/>
  <c r="CV8" i="3"/>
  <c r="CV12" i="3" s="1"/>
  <c r="CZ8" i="3"/>
  <c r="CZ46" i="3" s="1"/>
  <c r="H6" i="62"/>
  <c r="DH8" i="3"/>
  <c r="DL8" i="3"/>
  <c r="DL47" i="3" s="1"/>
  <c r="L6" i="62"/>
  <c r="DK10" i="3"/>
  <c r="K8" i="62"/>
  <c r="DO10" i="3"/>
  <c r="O8" i="62"/>
  <c r="CV58" i="3"/>
  <c r="I11" i="62"/>
  <c r="DI13" i="3"/>
  <c r="DM13" i="3"/>
  <c r="M11" i="62"/>
  <c r="DL59" i="3"/>
  <c r="DH48" i="3"/>
  <c r="H137" i="62"/>
  <c r="H53" i="62"/>
  <c r="H95" i="62" s="1"/>
  <c r="DL17" i="3"/>
  <c r="L12" i="62"/>
  <c r="DP17" i="3"/>
  <c r="P12" i="62"/>
  <c r="P53" i="62" s="1"/>
  <c r="P95" i="62" s="1"/>
  <c r="CU22" i="3"/>
  <c r="CY22" i="3"/>
  <c r="DC22" i="3"/>
  <c r="C15" i="62"/>
  <c r="DG22" i="3"/>
  <c r="G15" i="62"/>
  <c r="DK22" i="3"/>
  <c r="K15" i="62"/>
  <c r="DO22" i="3"/>
  <c r="O15" i="62"/>
  <c r="DI23" i="3"/>
  <c r="I16" i="62"/>
  <c r="DM23" i="3"/>
  <c r="M16" i="62"/>
  <c r="DQ23" i="3"/>
  <c r="Q16" i="62"/>
  <c r="DM26" i="3"/>
  <c r="M19" i="62"/>
  <c r="DN30" i="3"/>
  <c r="N21" i="62"/>
  <c r="N63" i="62" s="1"/>
  <c r="N105" i="62" s="1"/>
  <c r="DK38" i="3"/>
  <c r="DK37" i="3"/>
  <c r="K26" i="62"/>
  <c r="CY84" i="3"/>
  <c r="E74" i="3"/>
  <c r="AB69" i="3"/>
  <c r="BX69" i="3"/>
  <c r="BD69" i="3"/>
  <c r="AX177" i="6"/>
  <c r="CM57" i="3"/>
  <c r="J38" i="62"/>
  <c r="DJ57" i="3"/>
  <c r="AX181" i="6"/>
  <c r="CO57" i="3"/>
  <c r="AX182" i="6"/>
  <c r="CP57" i="3"/>
  <c r="AX183" i="6"/>
  <c r="CQ57" i="3"/>
  <c r="H38" i="62"/>
  <c r="DH57" i="3"/>
  <c r="I38" i="62"/>
  <c r="DI57" i="3"/>
  <c r="AR83" i="3"/>
  <c r="AD82" i="3"/>
  <c r="DM75" i="3"/>
  <c r="DN74" i="3"/>
  <c r="DL74" i="3"/>
  <c r="CW56" i="3"/>
  <c r="CT56" i="3"/>
  <c r="CU56" i="3"/>
  <c r="CV56" i="3"/>
  <c r="F13" i="67" l="1"/>
  <c r="I13" i="67" s="1"/>
  <c r="J13" i="67" s="1"/>
  <c r="G13" i="67"/>
  <c r="X52" i="13"/>
  <c r="X55" i="13" s="1"/>
  <c r="Y9" i="12"/>
  <c r="W14" i="12"/>
  <c r="W28" i="12" s="1"/>
  <c r="T56" i="13"/>
  <c r="W81" i="12"/>
  <c r="DL48" i="3"/>
  <c r="AE71" i="10"/>
  <c r="AF70" i="10"/>
  <c r="J102" i="48"/>
  <c r="U102" i="48"/>
  <c r="Y130" i="48"/>
  <c r="Z94" i="48"/>
  <c r="Z129" i="48"/>
  <c r="AA93" i="48"/>
  <c r="S132" i="48"/>
  <c r="S97" i="48"/>
  <c r="T131" i="48"/>
  <c r="R98" i="48"/>
  <c r="Q98" i="48"/>
  <c r="R133" i="48" s="1"/>
  <c r="H29" i="48"/>
  <c r="H133" i="48"/>
  <c r="H98" i="48"/>
  <c r="I132" i="48"/>
  <c r="T100" i="48"/>
  <c r="U134" i="48"/>
  <c r="AA128" i="48"/>
  <c r="AB92" i="48"/>
  <c r="AB127" i="48"/>
  <c r="AC91" i="48"/>
  <c r="AC127" i="48" s="1"/>
  <c r="W132" i="48"/>
  <c r="X96" i="48"/>
  <c r="X131" i="48"/>
  <c r="Y95" i="48"/>
  <c r="X68" i="48"/>
  <c r="X66" i="48" s="1"/>
  <c r="X67" i="48" s="1"/>
  <c r="N135" i="48"/>
  <c r="N100" i="48"/>
  <c r="O134" i="48"/>
  <c r="AC126" i="48"/>
  <c r="V133" i="48"/>
  <c r="W97" i="48"/>
  <c r="V98" i="48"/>
  <c r="H153" i="48"/>
  <c r="H154" i="48"/>
  <c r="I21" i="48"/>
  <c r="M101" i="48"/>
  <c r="P131" i="48"/>
  <c r="P96" i="48"/>
  <c r="Q130" i="48"/>
  <c r="I99" i="48"/>
  <c r="J133" i="48"/>
  <c r="L133" i="48"/>
  <c r="L98" i="48"/>
  <c r="O101" i="48"/>
  <c r="K134" i="48"/>
  <c r="K99" i="48"/>
  <c r="M133" i="48"/>
  <c r="BD72" i="13"/>
  <c r="AS85" i="12"/>
  <c r="AQ86" i="12"/>
  <c r="BE84" i="12"/>
  <c r="L229" i="30"/>
  <c r="N225" i="30"/>
  <c r="H225" i="30" s="1"/>
  <c r="D225" i="30" s="1"/>
  <c r="S225" i="30" s="1"/>
  <c r="CB23" i="11"/>
  <c r="CG19" i="11"/>
  <c r="CC24" i="11"/>
  <c r="Q80" i="8"/>
  <c r="Z186" i="30"/>
  <c r="AD48" i="6"/>
  <c r="AF48" i="6" s="1"/>
  <c r="AD55" i="6"/>
  <c r="AF55" i="6" s="1"/>
  <c r="AB52" i="6"/>
  <c r="AK48" i="6"/>
  <c r="AK207" i="30"/>
  <c r="U34" i="30"/>
  <c r="N34" i="30"/>
  <c r="P34" i="30" s="1"/>
  <c r="L285" i="30"/>
  <c r="K285" i="30"/>
  <c r="L281" i="30"/>
  <c r="CW50" i="11"/>
  <c r="CV46" i="11"/>
  <c r="CK34" i="11"/>
  <c r="CO28" i="11"/>
  <c r="S129" i="8"/>
  <c r="Z302" i="30"/>
  <c r="R127" i="8"/>
  <c r="R142" i="8" s="1"/>
  <c r="R135" i="8"/>
  <c r="R136" i="8" s="1"/>
  <c r="AK295" i="30"/>
  <c r="AB296" i="30"/>
  <c r="G28" i="8"/>
  <c r="G43" i="8" s="1"/>
  <c r="G36" i="8"/>
  <c r="G37" i="8" s="1"/>
  <c r="CA33" i="11"/>
  <c r="CB28" i="11"/>
  <c r="N214" i="30"/>
  <c r="P214" i="30" s="1"/>
  <c r="U214" i="30"/>
  <c r="W214" i="30" s="1"/>
  <c r="AK183" i="30"/>
  <c r="W211" i="30"/>
  <c r="N228" i="30"/>
  <c r="H228" i="30" s="1"/>
  <c r="D228" i="30" s="1"/>
  <c r="S228" i="30" s="1"/>
  <c r="N221" i="30"/>
  <c r="P221" i="30" s="1"/>
  <c r="U221" i="30"/>
  <c r="W278" i="30"/>
  <c r="AS57" i="11"/>
  <c r="AS15" i="11"/>
  <c r="AR14" i="11"/>
  <c r="H30" i="8"/>
  <c r="AW9" i="11"/>
  <c r="AD211" i="30"/>
  <c r="AF211" i="30" s="1"/>
  <c r="Z212" i="30"/>
  <c r="AB211" i="30"/>
  <c r="AK211" i="30" s="1"/>
  <c r="P78" i="8"/>
  <c r="P93" i="8" s="1"/>
  <c r="P86" i="8"/>
  <c r="P87" i="8" s="1"/>
  <c r="U281" i="8"/>
  <c r="U283" i="8"/>
  <c r="U284" i="8" s="1"/>
  <c r="U277" i="8"/>
  <c r="N218" i="30"/>
  <c r="P218" i="30" s="1"/>
  <c r="L222" i="30"/>
  <c r="N222" i="30" s="1"/>
  <c r="P222" i="30" s="1"/>
  <c r="U218" i="30"/>
  <c r="CS43" i="11"/>
  <c r="CW38" i="11"/>
  <c r="CW42" i="11" s="1"/>
  <c r="AK179" i="30"/>
  <c r="AB180" i="30"/>
  <c r="AD44" i="6"/>
  <c r="AF44" i="6" s="1"/>
  <c r="AK44" i="6"/>
  <c r="AD51" i="6"/>
  <c r="AF51" i="6" s="1"/>
  <c r="AB45" i="6"/>
  <c r="AD45" i="6" s="1"/>
  <c r="AF45" i="6" s="1"/>
  <c r="H238" i="8"/>
  <c r="G238" i="8"/>
  <c r="W274" i="30"/>
  <c r="U275" i="30"/>
  <c r="W275" i="30" s="1"/>
  <c r="N30" i="30"/>
  <c r="P30" i="30" s="1"/>
  <c r="U30" i="30"/>
  <c r="W30" i="30" s="1"/>
  <c r="L31" i="30"/>
  <c r="U208" i="30"/>
  <c r="W208" i="30" s="1"/>
  <c r="AM299" i="30"/>
  <c r="BK57" i="11"/>
  <c r="BO9" i="11"/>
  <c r="J37" i="30"/>
  <c r="N86" i="6"/>
  <c r="P86" i="6" s="1"/>
  <c r="U86" i="6"/>
  <c r="U87" i="6" s="1"/>
  <c r="AD16" i="8"/>
  <c r="N219" i="8"/>
  <c r="O209" i="8"/>
  <c r="O218" i="8" s="1"/>
  <c r="Q47" i="48" s="1"/>
  <c r="Q48" i="48" s="1"/>
  <c r="DE66" i="3"/>
  <c r="DE82" i="3" s="1"/>
  <c r="I16" i="8"/>
  <c r="H33" i="8"/>
  <c r="H34" i="8" s="1"/>
  <c r="CY67" i="3"/>
  <c r="W272" i="8"/>
  <c r="V115" i="8"/>
  <c r="V119" i="8" s="1"/>
  <c r="U120" i="8"/>
  <c r="DL69" i="3"/>
  <c r="AC21" i="8"/>
  <c r="AC22" i="8" s="1"/>
  <c r="N77" i="6"/>
  <c r="P77" i="6" s="1"/>
  <c r="N84" i="6"/>
  <c r="P84" i="6" s="1"/>
  <c r="U77" i="6"/>
  <c r="Q72" i="8"/>
  <c r="Q95" i="8" s="1"/>
  <c r="Q74" i="8"/>
  <c r="Q75" i="8" s="1"/>
  <c r="T121" i="8"/>
  <c r="T144" i="8" s="1"/>
  <c r="T123" i="8"/>
  <c r="T124" i="8" s="1"/>
  <c r="W83" i="6"/>
  <c r="M220" i="8"/>
  <c r="M222" i="8"/>
  <c r="M223" i="8" s="1"/>
  <c r="H21" i="8"/>
  <c r="X266" i="8"/>
  <c r="DN70" i="3"/>
  <c r="W76" i="6"/>
  <c r="L87" i="6"/>
  <c r="N87" i="6" s="1"/>
  <c r="P87" i="6" s="1"/>
  <c r="R71" i="8"/>
  <c r="S66" i="8"/>
  <c r="DI68" i="3"/>
  <c r="O256" i="8"/>
  <c r="P200" i="8"/>
  <c r="U90" i="6"/>
  <c r="N90" i="6"/>
  <c r="P90" i="6" s="1"/>
  <c r="N85" i="6"/>
  <c r="P85" i="6" s="1"/>
  <c r="U78" i="6"/>
  <c r="N78" i="6"/>
  <c r="P78" i="6" s="1"/>
  <c r="CV46" i="3"/>
  <c r="DJ16" i="3"/>
  <c r="E137" i="62"/>
  <c r="E155" i="62" s="1"/>
  <c r="E53" i="62"/>
  <c r="E28" i="62"/>
  <c r="D12" i="62"/>
  <c r="DS23" i="3"/>
  <c r="S16" i="62"/>
  <c r="DA16" i="3"/>
  <c r="I141" i="62"/>
  <c r="I57" i="62"/>
  <c r="I99" i="62" s="1"/>
  <c r="G56" i="62"/>
  <c r="G98" i="62" s="1"/>
  <c r="G140" i="62"/>
  <c r="DI58" i="3"/>
  <c r="DI46" i="3"/>
  <c r="DL56" i="3"/>
  <c r="DL12" i="3"/>
  <c r="L102" i="62"/>
  <c r="L144" i="62"/>
  <c r="L60" i="62"/>
  <c r="N56" i="62"/>
  <c r="N98" i="62" s="1"/>
  <c r="N140" i="62"/>
  <c r="O137" i="62"/>
  <c r="O53" i="62"/>
  <c r="O95" i="62" s="1"/>
  <c r="DO60" i="3"/>
  <c r="DO48" i="3"/>
  <c r="DG60" i="3"/>
  <c r="DG48" i="3"/>
  <c r="DO47" i="3"/>
  <c r="DO59" i="3"/>
  <c r="DG47" i="3"/>
  <c r="DH59" i="3"/>
  <c r="DG59" i="3"/>
  <c r="DC58" i="3"/>
  <c r="DC46" i="3"/>
  <c r="DD58" i="3"/>
  <c r="CU58" i="3"/>
  <c r="CU46" i="3"/>
  <c r="N49" i="62"/>
  <c r="N91" i="62"/>
  <c r="O10" i="62"/>
  <c r="O37" i="62"/>
  <c r="O47" i="62"/>
  <c r="O89" i="62"/>
  <c r="DK56" i="3"/>
  <c r="DK12" i="3"/>
  <c r="C89" i="62"/>
  <c r="C47" i="62"/>
  <c r="C10" i="62"/>
  <c r="D37" i="62"/>
  <c r="C131" i="62"/>
  <c r="M140" i="62"/>
  <c r="M56" i="62"/>
  <c r="M98" i="62" s="1"/>
  <c r="DK58" i="3"/>
  <c r="DK46" i="3"/>
  <c r="H133" i="62"/>
  <c r="H49" i="62"/>
  <c r="H91" i="62"/>
  <c r="DN56" i="3"/>
  <c r="DN12" i="3"/>
  <c r="J10" i="62"/>
  <c r="J89" i="62"/>
  <c r="J37" i="62"/>
  <c r="J125" i="62" s="1"/>
  <c r="J126" i="62" s="1"/>
  <c r="J131" i="62"/>
  <c r="J47" i="62"/>
  <c r="CX56" i="3"/>
  <c r="CX12" i="3"/>
  <c r="L150" i="62"/>
  <c r="L66" i="62"/>
  <c r="L108" i="62" s="1"/>
  <c r="N102" i="62"/>
  <c r="N60" i="62"/>
  <c r="N141" i="62"/>
  <c r="N57" i="62"/>
  <c r="N99" i="62" s="1"/>
  <c r="M137" i="62"/>
  <c r="M53" i="62"/>
  <c r="M95" i="62" s="1"/>
  <c r="DM59" i="3"/>
  <c r="DM47" i="3"/>
  <c r="N39" i="62"/>
  <c r="N94" i="62"/>
  <c r="N52" i="62"/>
  <c r="N32" i="62"/>
  <c r="N164" i="62" s="1"/>
  <c r="N162" i="62" s="1"/>
  <c r="DJ46" i="3"/>
  <c r="DJ58" i="3"/>
  <c r="CW58" i="3"/>
  <c r="CW46" i="3"/>
  <c r="L133" i="62"/>
  <c r="L49" i="62"/>
  <c r="L91" i="62"/>
  <c r="DA12" i="3"/>
  <c r="DA56" i="3"/>
  <c r="DG38" i="3"/>
  <c r="DG39" i="3"/>
  <c r="DL75" i="3"/>
  <c r="R16" i="62"/>
  <c r="DR23" i="3"/>
  <c r="K140" i="62"/>
  <c r="K56" i="62"/>
  <c r="K98" i="62" s="1"/>
  <c r="L137" i="62"/>
  <c r="L53" i="62"/>
  <c r="L95" i="62" s="1"/>
  <c r="I136" i="62"/>
  <c r="I94" i="62"/>
  <c r="I39" i="62"/>
  <c r="I52" i="62"/>
  <c r="I32" i="62"/>
  <c r="O91" i="62"/>
  <c r="O49" i="62"/>
  <c r="CZ56" i="3"/>
  <c r="CZ12" i="3"/>
  <c r="DS37" i="3"/>
  <c r="S26" i="62"/>
  <c r="H60" i="62"/>
  <c r="H102" i="62"/>
  <c r="H144" i="62"/>
  <c r="P141" i="62"/>
  <c r="H141" i="62"/>
  <c r="H57" i="62"/>
  <c r="H99" i="62" s="1"/>
  <c r="DH46" i="3"/>
  <c r="DH58" i="3"/>
  <c r="DO12" i="3"/>
  <c r="DO56" i="3"/>
  <c r="G10" i="62"/>
  <c r="G47" i="62"/>
  <c r="G37" i="62"/>
  <c r="G131" i="62"/>
  <c r="G89" i="62"/>
  <c r="DD56" i="3"/>
  <c r="DC12" i="3"/>
  <c r="DC56" i="3"/>
  <c r="CU61" i="3"/>
  <c r="CU24" i="3"/>
  <c r="CU49" i="3"/>
  <c r="CU41" i="3"/>
  <c r="K60" i="62"/>
  <c r="K102" i="62"/>
  <c r="K144" i="62"/>
  <c r="C60" i="62"/>
  <c r="C102" i="62"/>
  <c r="C144" i="62"/>
  <c r="O57" i="62"/>
  <c r="O99" i="62" s="1"/>
  <c r="O141" i="62"/>
  <c r="G57" i="62"/>
  <c r="G99" i="62" s="1"/>
  <c r="G141" i="62"/>
  <c r="I56" i="62"/>
  <c r="I98" i="62" s="1"/>
  <c r="I140" i="62"/>
  <c r="DO58" i="3"/>
  <c r="DO46" i="3"/>
  <c r="G94" i="62"/>
  <c r="G32" i="62"/>
  <c r="G52" i="62"/>
  <c r="G136" i="62"/>
  <c r="G39" i="62"/>
  <c r="CX58" i="3"/>
  <c r="CX46" i="3"/>
  <c r="N89" i="62"/>
  <c r="N37" i="62"/>
  <c r="N10" i="62"/>
  <c r="N47" i="62"/>
  <c r="P151" i="62"/>
  <c r="P153" i="62"/>
  <c r="P152" i="62"/>
  <c r="P150" i="62" s="1"/>
  <c r="J141" i="62"/>
  <c r="J57" i="62"/>
  <c r="J99" i="62" s="1"/>
  <c r="L140" i="62"/>
  <c r="L56" i="62"/>
  <c r="L98" i="62" s="1"/>
  <c r="DN58" i="3"/>
  <c r="DN46" i="3"/>
  <c r="DI12" i="3"/>
  <c r="DI56" i="3"/>
  <c r="K150" i="62"/>
  <c r="K66" i="62"/>
  <c r="K108" i="62" s="1"/>
  <c r="M57" i="62"/>
  <c r="M99" i="62" s="1"/>
  <c r="M141" i="62"/>
  <c r="O56" i="62"/>
  <c r="O98" i="62" s="1"/>
  <c r="O140" i="62"/>
  <c r="M32" i="62"/>
  <c r="M164" i="62" s="1"/>
  <c r="M162" i="62" s="1"/>
  <c r="M94" i="62"/>
  <c r="M39" i="62"/>
  <c r="M52" i="62"/>
  <c r="DH47" i="3"/>
  <c r="DH56" i="3"/>
  <c r="DH12" i="3"/>
  <c r="DR30" i="3"/>
  <c r="R21" i="62"/>
  <c r="R63" i="62" s="1"/>
  <c r="R105" i="62" s="1"/>
  <c r="J140" i="62"/>
  <c r="J56" i="62"/>
  <c r="J98" i="62" s="1"/>
  <c r="DK60" i="3"/>
  <c r="DK48" i="3"/>
  <c r="DK59" i="3"/>
  <c r="DK47" i="3"/>
  <c r="L32" i="62"/>
  <c r="L136" i="62"/>
  <c r="L39" i="62"/>
  <c r="L94" i="62"/>
  <c r="L52" i="62"/>
  <c r="H39" i="62"/>
  <c r="H136" i="62"/>
  <c r="H32" i="62"/>
  <c r="H52" i="62"/>
  <c r="H94" i="62"/>
  <c r="CY46" i="3"/>
  <c r="CY58" i="3"/>
  <c r="DG12" i="3"/>
  <c r="DG56" i="3"/>
  <c r="CY45" i="3"/>
  <c r="CY20" i="3"/>
  <c r="Q152" i="62"/>
  <c r="Q150" i="62" s="1"/>
  <c r="Q66" i="62"/>
  <c r="Q151" i="62" s="1"/>
  <c r="Q108" i="62"/>
  <c r="Q153" i="62" s="1"/>
  <c r="Q56" i="62"/>
  <c r="Q98" i="62" s="1"/>
  <c r="Q140" i="62"/>
  <c r="O52" i="62"/>
  <c r="O94" i="62"/>
  <c r="O39" i="62"/>
  <c r="O32" i="62"/>
  <c r="O164" i="62" s="1"/>
  <c r="O162" i="62" s="1"/>
  <c r="DG58" i="3"/>
  <c r="DG46" i="3"/>
  <c r="M91" i="62"/>
  <c r="M49" i="62"/>
  <c r="C49" i="62"/>
  <c r="C133" i="62"/>
  <c r="C91" i="62"/>
  <c r="DB56" i="3"/>
  <c r="DB12" i="3"/>
  <c r="CT45" i="3"/>
  <c r="CT20" i="3"/>
  <c r="J60" i="62"/>
  <c r="J144" i="62"/>
  <c r="J102" i="62"/>
  <c r="Q53" i="62"/>
  <c r="Q95" i="62" s="1"/>
  <c r="Q137" i="62"/>
  <c r="DI59" i="3"/>
  <c r="DI47" i="3"/>
  <c r="DA58" i="3"/>
  <c r="DA46" i="3"/>
  <c r="DM12" i="3"/>
  <c r="DM56" i="3"/>
  <c r="I10" i="62"/>
  <c r="I47" i="62"/>
  <c r="I37" i="62"/>
  <c r="I83" i="62" s="1"/>
  <c r="I84" i="62" s="1"/>
  <c r="I131" i="62"/>
  <c r="I89" i="62"/>
  <c r="CW45" i="3"/>
  <c r="CW20" i="3"/>
  <c r="T26" i="62"/>
  <c r="F12" i="62"/>
  <c r="CZ75" i="3"/>
  <c r="CZ74" i="3"/>
  <c r="F74" i="3"/>
  <c r="CZ84" i="3"/>
  <c r="DM74" i="3"/>
  <c r="M102" i="62"/>
  <c r="M60" i="62"/>
  <c r="Q57" i="62"/>
  <c r="Q99" i="62" s="1"/>
  <c r="Q141" i="62"/>
  <c r="C56" i="62"/>
  <c r="C98" i="62" s="1"/>
  <c r="C140" i="62"/>
  <c r="P137" i="62"/>
  <c r="DM58" i="3"/>
  <c r="DM46" i="3"/>
  <c r="K10" i="62"/>
  <c r="K49" i="62"/>
  <c r="K133" i="62"/>
  <c r="K91" i="62"/>
  <c r="L47" i="62"/>
  <c r="L131" i="62"/>
  <c r="L10" i="62"/>
  <c r="L89" i="62"/>
  <c r="L37" i="62"/>
  <c r="H37" i="62"/>
  <c r="H182" i="62" s="1"/>
  <c r="H183" i="62" s="1"/>
  <c r="H10" i="62"/>
  <c r="H47" i="62"/>
  <c r="H131" i="62"/>
  <c r="H89" i="62"/>
  <c r="CV45" i="3"/>
  <c r="CV20" i="3"/>
  <c r="R152" i="62"/>
  <c r="R150" i="62" s="1"/>
  <c r="R66" i="62"/>
  <c r="R151" i="62" s="1"/>
  <c r="R108" i="62"/>
  <c r="R153" i="62" s="1"/>
  <c r="L141" i="62"/>
  <c r="L57" i="62"/>
  <c r="L99" i="62" s="1"/>
  <c r="DR22" i="3"/>
  <c r="R15" i="62"/>
  <c r="DL58" i="3"/>
  <c r="DL46" i="3"/>
  <c r="C94" i="62"/>
  <c r="C52" i="62"/>
  <c r="C32" i="62"/>
  <c r="C136" i="62"/>
  <c r="D39" i="62"/>
  <c r="J133" i="62"/>
  <c r="J91" i="62"/>
  <c r="J49" i="62"/>
  <c r="K37" i="62"/>
  <c r="K89" i="62"/>
  <c r="K131" i="62"/>
  <c r="K47" i="62"/>
  <c r="O102" i="62"/>
  <c r="O60" i="62"/>
  <c r="G144" i="62"/>
  <c r="G102" i="62"/>
  <c r="G60" i="62"/>
  <c r="K141" i="62"/>
  <c r="K57" i="62"/>
  <c r="K99" i="62" s="1"/>
  <c r="C141" i="62"/>
  <c r="C57" i="62"/>
  <c r="C99" i="62" s="1"/>
  <c r="N137" i="62"/>
  <c r="N53" i="62"/>
  <c r="N95" i="62" s="1"/>
  <c r="K136" i="62"/>
  <c r="K32" i="62"/>
  <c r="K94" i="62"/>
  <c r="K39" i="62"/>
  <c r="K52" i="62"/>
  <c r="DB46" i="3"/>
  <c r="DB58" i="3"/>
  <c r="CT58" i="3"/>
  <c r="CT46" i="3"/>
  <c r="DJ56" i="3"/>
  <c r="DJ12" i="3"/>
  <c r="P140" i="62"/>
  <c r="H140" i="62"/>
  <c r="H56" i="62"/>
  <c r="H98" i="62" s="1"/>
  <c r="J39" i="62"/>
  <c r="J52" i="62"/>
  <c r="J32" i="62"/>
  <c r="J136" i="62"/>
  <c r="J94" i="62"/>
  <c r="M10" i="62"/>
  <c r="M47" i="62"/>
  <c r="M89" i="62"/>
  <c r="M37" i="62"/>
  <c r="I120" i="62"/>
  <c r="I174" i="62"/>
  <c r="I78" i="62"/>
  <c r="I182" i="62"/>
  <c r="I183" i="62" s="1"/>
  <c r="H174" i="62"/>
  <c r="H78" i="62"/>
  <c r="H120" i="62"/>
  <c r="H83" i="62"/>
  <c r="H84" i="62" s="1"/>
  <c r="J120" i="62"/>
  <c r="J78" i="62"/>
  <c r="J174" i="62"/>
  <c r="J182" i="62"/>
  <c r="J183" i="62" s="1"/>
  <c r="K38" i="62"/>
  <c r="DK57" i="3"/>
  <c r="T16" i="62"/>
  <c r="DH39" i="3"/>
  <c r="W221" i="30" l="1"/>
  <c r="V56" i="13"/>
  <c r="Y14" i="12"/>
  <c r="Y28" i="12" s="1"/>
  <c r="Y81" i="12"/>
  <c r="U80" i="6"/>
  <c r="W80" i="6" s="1"/>
  <c r="AA9" i="12"/>
  <c r="Z52" i="13"/>
  <c r="Z55" i="13" s="1"/>
  <c r="AB52" i="13" s="1"/>
  <c r="AB55" i="13" s="1"/>
  <c r="AD52" i="13" s="1"/>
  <c r="AD55" i="13" s="1"/>
  <c r="AF52" i="13" s="1"/>
  <c r="AF55" i="13" s="1"/>
  <c r="AH52" i="13" s="1"/>
  <c r="AH55" i="13" s="1"/>
  <c r="AJ52" i="13" s="1"/>
  <c r="AJ55" i="13" s="1"/>
  <c r="AL52" i="13" s="1"/>
  <c r="AL55" i="13" s="1"/>
  <c r="AN52" i="13" s="1"/>
  <c r="AN55" i="13" s="1"/>
  <c r="AP52" i="13" s="1"/>
  <c r="AP55" i="13" s="1"/>
  <c r="AR52" i="13" s="1"/>
  <c r="AR55" i="13" s="1"/>
  <c r="AT52" i="13" s="1"/>
  <c r="AT55" i="13" s="1"/>
  <c r="AV52" i="13" s="1"/>
  <c r="H125" i="62"/>
  <c r="H126" i="62" s="1"/>
  <c r="J83" i="62"/>
  <c r="J84" i="62" s="1"/>
  <c r="AF71" i="10"/>
  <c r="AG70" i="10"/>
  <c r="U215" i="30"/>
  <c r="W215" i="30" s="1"/>
  <c r="S133" i="48"/>
  <c r="S98" i="48"/>
  <c r="T132" i="48"/>
  <c r="K135" i="48"/>
  <c r="K100" i="48"/>
  <c r="M134" i="48"/>
  <c r="L134" i="48"/>
  <c r="L99" i="48"/>
  <c r="M102" i="48"/>
  <c r="X132" i="48"/>
  <c r="Y96" i="48"/>
  <c r="AB128" i="48"/>
  <c r="AC92" i="48"/>
  <c r="AC128" i="48" s="1"/>
  <c r="AA129" i="48"/>
  <c r="AB93" i="48"/>
  <c r="U103" i="48"/>
  <c r="P132" i="48"/>
  <c r="P97" i="48"/>
  <c r="Q131" i="48"/>
  <c r="Y131" i="48"/>
  <c r="Z95" i="48"/>
  <c r="Y68" i="48"/>
  <c r="Y66" i="48" s="1"/>
  <c r="Y67" i="48" s="1"/>
  <c r="H134" i="48"/>
  <c r="H99" i="48"/>
  <c r="I133" i="48"/>
  <c r="J103" i="48"/>
  <c r="V134" i="48"/>
  <c r="W98" i="48"/>
  <c r="V99" i="48"/>
  <c r="Q99" i="48"/>
  <c r="O102" i="48"/>
  <c r="W133" i="48"/>
  <c r="X97" i="48"/>
  <c r="Z130" i="48"/>
  <c r="AA94" i="48"/>
  <c r="I100" i="48"/>
  <c r="J134" i="48"/>
  <c r="I154" i="48"/>
  <c r="H172" i="48"/>
  <c r="H23" i="48" s="1"/>
  <c r="H12" i="48" s="1"/>
  <c r="H13" i="48" s="1"/>
  <c r="H16" i="48" s="1"/>
  <c r="J154" i="48"/>
  <c r="N136" i="48"/>
  <c r="N101" i="48"/>
  <c r="O135" i="48"/>
  <c r="T101" i="48"/>
  <c r="U135" i="48"/>
  <c r="R99" i="48"/>
  <c r="AU85" i="12"/>
  <c r="AS86" i="12"/>
  <c r="BF72" i="13"/>
  <c r="BG84" i="12"/>
  <c r="N31" i="30"/>
  <c r="P31" i="30" s="1"/>
  <c r="U31" i="30"/>
  <c r="W31" i="30" s="1"/>
  <c r="AM179" i="30"/>
  <c r="AK180" i="30"/>
  <c r="AM180" i="30" s="1"/>
  <c r="W218" i="30"/>
  <c r="U222" i="30"/>
  <c r="W222" i="30" s="1"/>
  <c r="AW53" i="11"/>
  <c r="AV53" i="11" s="1"/>
  <c r="AW14" i="11"/>
  <c r="AV9" i="11"/>
  <c r="AS58" i="11"/>
  <c r="AR57" i="11"/>
  <c r="AM183" i="30"/>
  <c r="N281" i="30"/>
  <c r="P281" i="30" s="1"/>
  <c r="U281" i="30"/>
  <c r="L282" i="30"/>
  <c r="N282" i="30" s="1"/>
  <c r="P282" i="30" s="1"/>
  <c r="W34" i="30"/>
  <c r="AK52" i="6"/>
  <c r="AM55" i="6"/>
  <c r="AM48" i="6"/>
  <c r="AB186" i="30"/>
  <c r="AD186" i="30"/>
  <c r="AF186" i="30" s="1"/>
  <c r="AD187" i="30"/>
  <c r="AF187" i="30" s="1"/>
  <c r="AB190" i="30"/>
  <c r="AM44" i="6"/>
  <c r="AM51" i="6"/>
  <c r="AK45" i="6"/>
  <c r="AM45" i="6" s="1"/>
  <c r="H31" i="8"/>
  <c r="H27" i="8"/>
  <c r="AI228" i="30"/>
  <c r="AY228" i="30" s="1"/>
  <c r="AZ228" i="30" s="1"/>
  <c r="U228" i="30"/>
  <c r="W228" i="30" s="1"/>
  <c r="CE28" i="11"/>
  <c r="J288" i="30"/>
  <c r="CB33" i="11"/>
  <c r="AM295" i="30"/>
  <c r="AK296" i="30"/>
  <c r="AM296" i="30" s="1"/>
  <c r="AD302" i="30"/>
  <c r="AF302" i="30" s="1"/>
  <c r="AB306" i="30"/>
  <c r="AD303" i="30"/>
  <c r="AF303" i="30" s="1"/>
  <c r="AB302" i="30"/>
  <c r="AD59" i="6"/>
  <c r="AF59" i="6" s="1"/>
  <c r="AD52" i="6"/>
  <c r="AF52" i="6" s="1"/>
  <c r="Q81" i="8"/>
  <c r="AE80" i="8"/>
  <c r="Q83" i="8"/>
  <c r="Q84" i="8" s="1"/>
  <c r="Q77" i="8"/>
  <c r="U225" i="30"/>
  <c r="S229" i="30"/>
  <c r="AI225" i="30"/>
  <c r="J93" i="6"/>
  <c r="V91" i="16" s="1"/>
  <c r="X91" i="16" s="1"/>
  <c r="Z91" i="16" s="1"/>
  <c r="L41" i="30"/>
  <c r="L37" i="30"/>
  <c r="DA38" i="11"/>
  <c r="DA42" i="11" s="1"/>
  <c r="CW43" i="11"/>
  <c r="AD212" i="30"/>
  <c r="AF212" i="30" s="1"/>
  <c r="Z213" i="30"/>
  <c r="AB212" i="30"/>
  <c r="AK212" i="30" s="1"/>
  <c r="AM212" i="30" s="1"/>
  <c r="S130" i="8"/>
  <c r="S132" i="8"/>
  <c r="S133" i="8" s="1"/>
  <c r="S126" i="8"/>
  <c r="N285" i="30"/>
  <c r="P285" i="30" s="1"/>
  <c r="U285" i="30"/>
  <c r="N229" i="30"/>
  <c r="BO53" i="11"/>
  <c r="BO14" i="11"/>
  <c r="U286" i="8"/>
  <c r="U287" i="8" s="1"/>
  <c r="U278" i="8"/>
  <c r="U293" i="8" s="1"/>
  <c r="CO33" i="11"/>
  <c r="DA46" i="11"/>
  <c r="DA50" i="11" s="1"/>
  <c r="V280" i="8"/>
  <c r="CG23" i="11"/>
  <c r="CF19" i="11"/>
  <c r="W78" i="6"/>
  <c r="W85" i="6"/>
  <c r="W90" i="6"/>
  <c r="H22" i="8"/>
  <c r="H48" i="8" s="1"/>
  <c r="H24" i="8"/>
  <c r="H25" i="8" s="1"/>
  <c r="W115" i="8"/>
  <c r="W119" i="8" s="1"/>
  <c r="V120" i="8"/>
  <c r="DM69" i="3"/>
  <c r="AD20" i="8"/>
  <c r="AD21" i="8" s="1"/>
  <c r="AD22" i="8" s="1"/>
  <c r="W84" i="6"/>
  <c r="W77" i="6"/>
  <c r="I21" i="8"/>
  <c r="I20" i="8"/>
  <c r="O219" i="8"/>
  <c r="P209" i="8"/>
  <c r="P218" i="8" s="1"/>
  <c r="R47" i="48" s="1"/>
  <c r="R48" i="48" s="1"/>
  <c r="DF66" i="3"/>
  <c r="DF82" i="3" s="1"/>
  <c r="W86" i="6"/>
  <c r="P256" i="8"/>
  <c r="Q200" i="8"/>
  <c r="S70" i="8"/>
  <c r="S65" i="8"/>
  <c r="N220" i="8"/>
  <c r="N222" i="8"/>
  <c r="N223" i="8" s="1"/>
  <c r="R72" i="8"/>
  <c r="R95" i="8" s="1"/>
  <c r="R74" i="8"/>
  <c r="R75" i="8" s="1"/>
  <c r="X271" i="8"/>
  <c r="X270" i="8"/>
  <c r="U121" i="8"/>
  <c r="U144" i="8" s="1"/>
  <c r="U123" i="8"/>
  <c r="U124" i="8" s="1"/>
  <c r="I125" i="62"/>
  <c r="I126" i="62" s="1"/>
  <c r="D137" i="62"/>
  <c r="D155" i="62" s="1"/>
  <c r="E181" i="62" s="1"/>
  <c r="D53" i="62"/>
  <c r="D28" i="62"/>
  <c r="E42" i="62" s="1"/>
  <c r="E95" i="62"/>
  <c r="E110" i="62" s="1"/>
  <c r="E68" i="62"/>
  <c r="DK16" i="3"/>
  <c r="M125" i="62"/>
  <c r="M83" i="62"/>
  <c r="M84" i="62" s="1"/>
  <c r="M184" i="62" s="1"/>
  <c r="M182" i="62"/>
  <c r="J121" i="62"/>
  <c r="J114" i="62"/>
  <c r="C114" i="62"/>
  <c r="D121" i="62"/>
  <c r="DS22" i="3"/>
  <c r="S15" i="62"/>
  <c r="H135" i="62"/>
  <c r="H173" i="62"/>
  <c r="L182" i="62"/>
  <c r="L183" i="62" s="1"/>
  <c r="L125" i="62"/>
  <c r="L83" i="62"/>
  <c r="L84" i="62" s="1"/>
  <c r="L184" i="62" s="1"/>
  <c r="L51" i="62"/>
  <c r="L77" i="62"/>
  <c r="K13" i="62"/>
  <c r="K31" i="62"/>
  <c r="I93" i="62"/>
  <c r="I119" i="62"/>
  <c r="I31" i="62"/>
  <c r="I13" i="62"/>
  <c r="CT61" i="3"/>
  <c r="CT49" i="3"/>
  <c r="CT24" i="3"/>
  <c r="CT41" i="3"/>
  <c r="CT53" i="3" s="1"/>
  <c r="H178" i="62"/>
  <c r="H162" i="62"/>
  <c r="DI45" i="3"/>
  <c r="DI20" i="3"/>
  <c r="N77" i="62"/>
  <c r="N51" i="62"/>
  <c r="G79" i="62"/>
  <c r="G72" i="62"/>
  <c r="DC20" i="3"/>
  <c r="DC45" i="3"/>
  <c r="G83" i="62"/>
  <c r="G84" i="62" s="1"/>
  <c r="G125" i="62"/>
  <c r="G126" i="62" s="1"/>
  <c r="G182" i="62"/>
  <c r="G183" i="62" s="1"/>
  <c r="DO20" i="3"/>
  <c r="DO45" i="3"/>
  <c r="CZ20" i="3"/>
  <c r="CZ45" i="3"/>
  <c r="I178" i="62"/>
  <c r="I162" i="62"/>
  <c r="DA45" i="3"/>
  <c r="DA20" i="3"/>
  <c r="J93" i="62"/>
  <c r="J119" i="62"/>
  <c r="C51" i="62"/>
  <c r="D77" i="62"/>
  <c r="O119" i="62"/>
  <c r="O93" i="62"/>
  <c r="M119" i="62"/>
  <c r="M93" i="62"/>
  <c r="J178" i="62"/>
  <c r="J162" i="62"/>
  <c r="K72" i="62"/>
  <c r="K79" i="62"/>
  <c r="K162" i="62"/>
  <c r="K178" i="62"/>
  <c r="K77" i="62"/>
  <c r="K51" i="62"/>
  <c r="C162" i="62"/>
  <c r="D178" i="62"/>
  <c r="R140" i="62"/>
  <c r="R56" i="62"/>
  <c r="R98" i="62" s="1"/>
  <c r="CV24" i="3"/>
  <c r="CV61" i="3"/>
  <c r="CV49" i="3"/>
  <c r="CV41" i="3"/>
  <c r="H51" i="62"/>
  <c r="H77" i="62"/>
  <c r="L119" i="62"/>
  <c r="L93" i="62"/>
  <c r="T152" i="62"/>
  <c r="T150" i="62" s="1"/>
  <c r="T108" i="62"/>
  <c r="T153" i="62" s="1"/>
  <c r="T66" i="62"/>
  <c r="T151" i="62" s="1"/>
  <c r="I173" i="62"/>
  <c r="I135" i="62"/>
  <c r="O114" i="62"/>
  <c r="O165" i="62" s="1"/>
  <c r="O121" i="62"/>
  <c r="H114" i="62"/>
  <c r="H121" i="62"/>
  <c r="L178" i="62"/>
  <c r="L162" i="62"/>
  <c r="M79" i="62"/>
  <c r="M72" i="62"/>
  <c r="M163" i="62" s="1"/>
  <c r="N31" i="62"/>
  <c r="N160" i="62" s="1"/>
  <c r="N158" i="62" s="1"/>
  <c r="N13" i="62"/>
  <c r="CU50" i="3"/>
  <c r="CU28" i="3"/>
  <c r="CU51" i="3"/>
  <c r="G77" i="62"/>
  <c r="G51" i="62"/>
  <c r="I79" i="62"/>
  <c r="I72" i="62"/>
  <c r="N79" i="62"/>
  <c r="N72" i="62"/>
  <c r="N163" i="62" s="1"/>
  <c r="J51" i="62"/>
  <c r="J77" i="62"/>
  <c r="J31" i="62"/>
  <c r="J13" i="62"/>
  <c r="D173" i="62"/>
  <c r="C135" i="62"/>
  <c r="C93" i="62"/>
  <c r="D119" i="62"/>
  <c r="O51" i="62"/>
  <c r="O77" i="62"/>
  <c r="CZ16" i="3"/>
  <c r="T141" i="62"/>
  <c r="T57" i="62"/>
  <c r="T99" i="62" s="1"/>
  <c r="M77" i="62"/>
  <c r="M51" i="62"/>
  <c r="K173" i="62"/>
  <c r="K135" i="62"/>
  <c r="H13" i="62"/>
  <c r="H31" i="62"/>
  <c r="L13" i="62"/>
  <c r="L31" i="62"/>
  <c r="F137" i="62"/>
  <c r="F155" i="62" s="1"/>
  <c r="F181" i="62" s="1"/>
  <c r="F53" i="62"/>
  <c r="F28" i="62"/>
  <c r="F42" i="62" s="1"/>
  <c r="CW41" i="3"/>
  <c r="CW24" i="3"/>
  <c r="CW49" i="3"/>
  <c r="CW61" i="3"/>
  <c r="DM45" i="3"/>
  <c r="DM20" i="3"/>
  <c r="DB45" i="3"/>
  <c r="DB20" i="3"/>
  <c r="O72" i="62"/>
  <c r="O163" i="62" s="1"/>
  <c r="O79" i="62"/>
  <c r="DG45" i="3"/>
  <c r="DG20" i="3"/>
  <c r="H79" i="62"/>
  <c r="H72" i="62"/>
  <c r="L79" i="62"/>
  <c r="L72" i="62"/>
  <c r="DH20" i="3"/>
  <c r="DH45" i="3"/>
  <c r="N125" i="62"/>
  <c r="N83" i="62"/>
  <c r="N84" i="62" s="1"/>
  <c r="N184" i="62" s="1"/>
  <c r="N182" i="62"/>
  <c r="G114" i="62"/>
  <c r="G121" i="62"/>
  <c r="G119" i="62"/>
  <c r="G93" i="62"/>
  <c r="G31" i="62"/>
  <c r="G13" i="62"/>
  <c r="S66" i="62"/>
  <c r="S151" i="62" s="1"/>
  <c r="S152" i="62"/>
  <c r="S150" i="62" s="1"/>
  <c r="S108" i="62"/>
  <c r="S153" i="62" s="1"/>
  <c r="R141" i="62"/>
  <c r="R57" i="62"/>
  <c r="R99" i="62" s="1"/>
  <c r="N121" i="62"/>
  <c r="N114" i="62"/>
  <c r="N165" i="62" s="1"/>
  <c r="J135" i="62"/>
  <c r="J173" i="62"/>
  <c r="DN20" i="3"/>
  <c r="DN45" i="3"/>
  <c r="DK20" i="3"/>
  <c r="DK45" i="3"/>
  <c r="O125" i="62"/>
  <c r="O182" i="62"/>
  <c r="O83" i="62"/>
  <c r="O84" i="62" s="1"/>
  <c r="O184" i="62" s="1"/>
  <c r="DL45" i="3"/>
  <c r="DL20" i="3"/>
  <c r="S141" i="62"/>
  <c r="S57" i="62"/>
  <c r="S99" i="62" s="1"/>
  <c r="M13" i="62"/>
  <c r="M31" i="62"/>
  <c r="M160" i="62" s="1"/>
  <c r="M158" i="62" s="1"/>
  <c r="J72" i="62"/>
  <c r="J79" i="62"/>
  <c r="DJ45" i="3"/>
  <c r="DJ20" i="3"/>
  <c r="K114" i="62"/>
  <c r="K121" i="62"/>
  <c r="K119" i="62"/>
  <c r="K93" i="62"/>
  <c r="C72" i="62"/>
  <c r="D79" i="62"/>
  <c r="H119" i="62"/>
  <c r="H93" i="62"/>
  <c r="L173" i="62"/>
  <c r="L135" i="62"/>
  <c r="I51" i="62"/>
  <c r="I77" i="62"/>
  <c r="CY49" i="3"/>
  <c r="CY24" i="3"/>
  <c r="CY41" i="3"/>
  <c r="L114" i="62"/>
  <c r="L121" i="62"/>
  <c r="DS30" i="3"/>
  <c r="S21" i="62"/>
  <c r="S63" i="62" s="1"/>
  <c r="S105" i="62" s="1"/>
  <c r="M121" i="62"/>
  <c r="M114" i="62"/>
  <c r="M165" i="62" s="1"/>
  <c r="N93" i="62"/>
  <c r="N119" i="62"/>
  <c r="G162" i="62"/>
  <c r="G178" i="62"/>
  <c r="CU53" i="3"/>
  <c r="CU63" i="3"/>
  <c r="G173" i="62"/>
  <c r="G135" i="62"/>
  <c r="I121" i="62"/>
  <c r="I114" i="62"/>
  <c r="CX45" i="3"/>
  <c r="CX20" i="3"/>
  <c r="CY61" i="3" s="1"/>
  <c r="C13" i="62"/>
  <c r="C31" i="62"/>
  <c r="O31" i="62"/>
  <c r="O160" i="62" s="1"/>
  <c r="O158" i="62" s="1"/>
  <c r="O13" i="62"/>
  <c r="BB181" i="6"/>
  <c r="AV181" i="6"/>
  <c r="AU181" i="6"/>
  <c r="BB182" i="6"/>
  <c r="AV182" i="6"/>
  <c r="AU182" i="6"/>
  <c r="BB183" i="6"/>
  <c r="AV183" i="6"/>
  <c r="AU183" i="6"/>
  <c r="DL57" i="3"/>
  <c r="K78" i="62"/>
  <c r="K174" i="62"/>
  <c r="K120" i="62"/>
  <c r="K182" i="62"/>
  <c r="K183" i="62" s="1"/>
  <c r="K125" i="62"/>
  <c r="K126" i="62" s="1"/>
  <c r="K83" i="62"/>
  <c r="K84" i="62" s="1"/>
  <c r="BZ66" i="3"/>
  <c r="CF66" i="3"/>
  <c r="CE66" i="3"/>
  <c r="AE66" i="3"/>
  <c r="DL16" i="3"/>
  <c r="DH38" i="3"/>
  <c r="DI39" i="3"/>
  <c r="S380" i="30"/>
  <c r="W87" i="6" l="1"/>
  <c r="AG71" i="10"/>
  <c r="AA14" i="12"/>
  <c r="AA28" i="12" s="1"/>
  <c r="X56" i="13"/>
  <c r="AA81" i="12"/>
  <c r="R135" i="48"/>
  <c r="R100" i="48"/>
  <c r="Q100" i="48"/>
  <c r="N137" i="48"/>
  <c r="N102" i="48"/>
  <c r="O136" i="48"/>
  <c r="O103" i="48"/>
  <c r="V135" i="48"/>
  <c r="W99" i="48"/>
  <c r="V100" i="48"/>
  <c r="P133" i="48"/>
  <c r="P98" i="48"/>
  <c r="Q132" i="48"/>
  <c r="AB129" i="48"/>
  <c r="AC93" i="48"/>
  <c r="Y132" i="48"/>
  <c r="Z96" i="48"/>
  <c r="L135" i="48"/>
  <c r="L100" i="48"/>
  <c r="H135" i="48"/>
  <c r="H100" i="48"/>
  <c r="I134" i="48"/>
  <c r="M103" i="48"/>
  <c r="T102" i="48"/>
  <c r="U136" i="48"/>
  <c r="L154" i="48"/>
  <c r="I101" i="48"/>
  <c r="J135" i="48"/>
  <c r="X133" i="48"/>
  <c r="Y97" i="48"/>
  <c r="W134" i="48"/>
  <c r="X98" i="48"/>
  <c r="Z131" i="48"/>
  <c r="AA95" i="48"/>
  <c r="Z68" i="48"/>
  <c r="Z66" i="48" s="1"/>
  <c r="Z67" i="48" s="1"/>
  <c r="U104" i="48"/>
  <c r="S134" i="48"/>
  <c r="S99" i="48"/>
  <c r="T133" i="48"/>
  <c r="R134" i="48"/>
  <c r="K154" i="48"/>
  <c r="AA130" i="48"/>
  <c r="AB94" i="48"/>
  <c r="J104" i="48"/>
  <c r="K136" i="48"/>
  <c r="K101" i="48"/>
  <c r="M135" i="48"/>
  <c r="AW85" i="12"/>
  <c r="AU86" i="12"/>
  <c r="BI84" i="12"/>
  <c r="BO57" i="11"/>
  <c r="J44" i="30"/>
  <c r="BS9" i="11"/>
  <c r="W285" i="30"/>
  <c r="DA43" i="11"/>
  <c r="DE38" i="11"/>
  <c r="DE42" i="11" s="1"/>
  <c r="Q78" i="8"/>
  <c r="Q93" i="8" s="1"/>
  <c r="Q86" i="8"/>
  <c r="Q87" i="8" s="1"/>
  <c r="AE77" i="8"/>
  <c r="AK186" i="30"/>
  <c r="AB187" i="30"/>
  <c r="W281" i="30"/>
  <c r="U282" i="30"/>
  <c r="W282" i="30" s="1"/>
  <c r="CK19" i="11"/>
  <c r="CG24" i="11"/>
  <c r="Z193" i="30"/>
  <c r="R80" i="8"/>
  <c r="CF23" i="11"/>
  <c r="CO34" i="11"/>
  <c r="CS28" i="11"/>
  <c r="T129" i="8"/>
  <c r="Z214" i="30"/>
  <c r="AB213" i="30"/>
  <c r="AK213" i="30" s="1"/>
  <c r="AM213" i="30" s="1"/>
  <c r="AD213" i="30"/>
  <c r="AF213" i="30" s="1"/>
  <c r="N37" i="30"/>
  <c r="P37" i="30" s="1"/>
  <c r="U37" i="30"/>
  <c r="L38" i="30"/>
  <c r="N38" i="30" s="1"/>
  <c r="P38" i="30" s="1"/>
  <c r="AI229" i="30"/>
  <c r="AY225" i="30"/>
  <c r="AK306" i="30"/>
  <c r="AK190" i="30"/>
  <c r="V281" i="8"/>
  <c r="V283" i="8"/>
  <c r="V284" i="8" s="1"/>
  <c r="V277" i="8"/>
  <c r="N41" i="30"/>
  <c r="P41" i="30" s="1"/>
  <c r="U41" i="30"/>
  <c r="W58" i="8"/>
  <c r="D229" i="30"/>
  <c r="H229" i="30" s="1"/>
  <c r="P229" i="30" s="1"/>
  <c r="D115" i="30"/>
  <c r="H115" i="30" s="1"/>
  <c r="K288" i="30"/>
  <c r="L288" i="30"/>
  <c r="L292" i="30"/>
  <c r="K292" i="30"/>
  <c r="H28" i="8"/>
  <c r="H43" i="8" s="1"/>
  <c r="H36" i="8"/>
  <c r="H37" i="8" s="1"/>
  <c r="DE46" i="11"/>
  <c r="DE50" i="11" s="1"/>
  <c r="W280" i="8"/>
  <c r="S127" i="8"/>
  <c r="S142" i="8" s="1"/>
  <c r="S135" i="8"/>
  <c r="S136" i="8" s="1"/>
  <c r="L97" i="6"/>
  <c r="L93" i="6"/>
  <c r="W225" i="30"/>
  <c r="U229" i="30"/>
  <c r="W229" i="30" s="1"/>
  <c r="AB303" i="30"/>
  <c r="AK302" i="30"/>
  <c r="CE33" i="11"/>
  <c r="CF28" i="11"/>
  <c r="AM52" i="6"/>
  <c r="AM59" i="6"/>
  <c r="AW57" i="11"/>
  <c r="AW15" i="11"/>
  <c r="BA9" i="11"/>
  <c r="I30" i="8"/>
  <c r="AV14" i="11"/>
  <c r="X272" i="8"/>
  <c r="S71" i="8"/>
  <c r="T66" i="8"/>
  <c r="T70" i="8" s="1"/>
  <c r="DJ68" i="3"/>
  <c r="W120" i="8"/>
  <c r="X115" i="8"/>
  <c r="X119" i="8" s="1"/>
  <c r="DN69" i="3"/>
  <c r="Q256" i="8"/>
  <c r="R200" i="8"/>
  <c r="O220" i="8"/>
  <c r="O222" i="8"/>
  <c r="O223" i="8" s="1"/>
  <c r="J16" i="8"/>
  <c r="F67" i="3"/>
  <c r="CZ67" i="3"/>
  <c r="I33" i="8"/>
  <c r="I34" i="8" s="1"/>
  <c r="Y266" i="8"/>
  <c r="DO70" i="3"/>
  <c r="P219" i="8"/>
  <c r="Q209" i="8"/>
  <c r="Q218" i="8" s="1"/>
  <c r="S47" i="48" s="1"/>
  <c r="S48" i="48" s="1"/>
  <c r="DG66" i="3"/>
  <c r="DG82" i="3" s="1"/>
  <c r="I22" i="8"/>
  <c r="I48" i="8" s="1"/>
  <c r="I24" i="8"/>
  <c r="I25" i="8" s="1"/>
  <c r="AG20" i="8"/>
  <c r="V121" i="8"/>
  <c r="V144" i="8" s="1"/>
  <c r="V123" i="8"/>
  <c r="V124" i="8" s="1"/>
  <c r="D95" i="62"/>
  <c r="D110" i="62" s="1"/>
  <c r="E124" i="62" s="1"/>
  <c r="D68" i="62"/>
  <c r="E82" i="62" s="1"/>
  <c r="D40" i="62"/>
  <c r="C17" i="62"/>
  <c r="C28" i="62"/>
  <c r="D42" i="62" s="1"/>
  <c r="C33" i="62"/>
  <c r="G158" i="62"/>
  <c r="G138" i="62"/>
  <c r="T21" i="62"/>
  <c r="T63" i="62" s="1"/>
  <c r="T105" i="62" s="1"/>
  <c r="M28" i="62"/>
  <c r="M40" i="62"/>
  <c r="M33" i="62"/>
  <c r="M17" i="62"/>
  <c r="DN49" i="3"/>
  <c r="DN41" i="3"/>
  <c r="DN61" i="3"/>
  <c r="DN24" i="3"/>
  <c r="G33" i="62"/>
  <c r="G17" i="62"/>
  <c r="G28" i="62"/>
  <c r="G42" i="62" s="1"/>
  <c r="G40" i="62"/>
  <c r="DH49" i="3"/>
  <c r="DH41" i="3"/>
  <c r="DH24" i="3"/>
  <c r="DH61" i="3"/>
  <c r="CW53" i="3"/>
  <c r="CW63" i="3"/>
  <c r="H40" i="62"/>
  <c r="H17" i="62"/>
  <c r="H33" i="62"/>
  <c r="H28" i="62"/>
  <c r="C113" i="62"/>
  <c r="C96" i="62"/>
  <c r="CU52" i="3"/>
  <c r="CU32" i="3"/>
  <c r="CU77" i="3"/>
  <c r="N33" i="62"/>
  <c r="N28" i="62"/>
  <c r="N42" i="62" s="1"/>
  <c r="N17" i="62"/>
  <c r="N40" i="62"/>
  <c r="L113" i="62"/>
  <c r="L96" i="62"/>
  <c r="CV53" i="3"/>
  <c r="CV63" i="3"/>
  <c r="K71" i="62"/>
  <c r="K54" i="62"/>
  <c r="C71" i="62"/>
  <c r="C54" i="62"/>
  <c r="DA49" i="3"/>
  <c r="DA41" i="3"/>
  <c r="DA24" i="3"/>
  <c r="DA61" i="3"/>
  <c r="DO61" i="3"/>
  <c r="DO41" i="3"/>
  <c r="DO49" i="3"/>
  <c r="DO24" i="3"/>
  <c r="DI41" i="3"/>
  <c r="DI49" i="3"/>
  <c r="DI24" i="3"/>
  <c r="DI61" i="3"/>
  <c r="I113" i="62"/>
  <c r="I96" i="62"/>
  <c r="K28" i="62"/>
  <c r="K40" i="62"/>
  <c r="K33" i="62"/>
  <c r="K17" i="62"/>
  <c r="L126" i="62"/>
  <c r="L186" i="62" s="1"/>
  <c r="L185" i="62"/>
  <c r="T15" i="62"/>
  <c r="BD66" i="3"/>
  <c r="BX66" i="3"/>
  <c r="O17" i="62"/>
  <c r="O28" i="62"/>
  <c r="O42" i="62" s="1"/>
  <c r="O33" i="62"/>
  <c r="O40" i="62"/>
  <c r="CX41" i="3"/>
  <c r="CY63" i="3" s="1"/>
  <c r="CX24" i="3"/>
  <c r="CX49" i="3"/>
  <c r="CX61" i="3"/>
  <c r="CY50" i="3"/>
  <c r="CY28" i="3"/>
  <c r="CY51" i="3"/>
  <c r="I71" i="62"/>
  <c r="I54" i="62"/>
  <c r="H96" i="62"/>
  <c r="H113" i="62"/>
  <c r="K96" i="62"/>
  <c r="K113" i="62"/>
  <c r="O185" i="62"/>
  <c r="O183" i="62" s="1"/>
  <c r="O173" i="62" s="1"/>
  <c r="O126" i="62"/>
  <c r="O186" i="62" s="1"/>
  <c r="DG41" i="3"/>
  <c r="DG24" i="3"/>
  <c r="DG49" i="3"/>
  <c r="DG61" i="3"/>
  <c r="DB24" i="3"/>
  <c r="DB61" i="3"/>
  <c r="DB41" i="3"/>
  <c r="DB49" i="3"/>
  <c r="K138" i="62"/>
  <c r="K158" i="62"/>
  <c r="M54" i="62"/>
  <c r="M71" i="62"/>
  <c r="M159" i="62" s="1"/>
  <c r="BZ69" i="3"/>
  <c r="C158" i="62"/>
  <c r="C138" i="62"/>
  <c r="G71" i="62"/>
  <c r="G54" i="62"/>
  <c r="O113" i="62"/>
  <c r="O161" i="62" s="1"/>
  <c r="O96" i="62"/>
  <c r="CZ24" i="3"/>
  <c r="CZ41" i="3"/>
  <c r="CZ61" i="3"/>
  <c r="CZ49" i="3"/>
  <c r="DC24" i="3"/>
  <c r="DC41" i="3"/>
  <c r="DC61" i="3"/>
  <c r="DC49" i="3"/>
  <c r="DD61" i="3"/>
  <c r="CT28" i="3"/>
  <c r="CT50" i="3"/>
  <c r="CT51" i="3"/>
  <c r="I40" i="62"/>
  <c r="I28" i="62"/>
  <c r="I33" i="62"/>
  <c r="I17" i="62"/>
  <c r="S56" i="62"/>
  <c r="S98" i="62" s="1"/>
  <c r="S140" i="62"/>
  <c r="M185" i="62"/>
  <c r="M183" i="62" s="1"/>
  <c r="M173" i="62" s="1"/>
  <c r="M131" i="62" s="1"/>
  <c r="M126" i="62"/>
  <c r="M186" i="62" s="1"/>
  <c r="AN64" i="7"/>
  <c r="DB16" i="3"/>
  <c r="J138" i="62"/>
  <c r="J158" i="62"/>
  <c r="G96" i="62"/>
  <c r="G113" i="62"/>
  <c r="N185" i="62"/>
  <c r="N183" i="62" s="1"/>
  <c r="N173" i="62" s="1"/>
  <c r="N126" i="62"/>
  <c r="N186" i="62" s="1"/>
  <c r="F95" i="62"/>
  <c r="F110" i="62" s="1"/>
  <c r="F124" i="62" s="1"/>
  <c r="F68" i="62"/>
  <c r="F82" i="62" s="1"/>
  <c r="L40" i="62"/>
  <c r="L17" i="62"/>
  <c r="L33" i="62"/>
  <c r="L28" i="62"/>
  <c r="O71" i="62"/>
  <c r="O159" i="62" s="1"/>
  <c r="O54" i="62"/>
  <c r="J54" i="62"/>
  <c r="J71" i="62"/>
  <c r="M96" i="62"/>
  <c r="M113" i="62"/>
  <c r="M161" i="62" s="1"/>
  <c r="J113" i="62"/>
  <c r="J96" i="62"/>
  <c r="N71" i="62"/>
  <c r="N159" i="62" s="1"/>
  <c r="N54" i="62"/>
  <c r="L71" i="62"/>
  <c r="L54" i="62"/>
  <c r="BC66" i="3"/>
  <c r="BW66" i="3"/>
  <c r="N113" i="62"/>
  <c r="N161" i="62" s="1"/>
  <c r="N96" i="62"/>
  <c r="CY53" i="3"/>
  <c r="L138" i="62"/>
  <c r="L158" i="62"/>
  <c r="DJ41" i="3"/>
  <c r="DJ24" i="3"/>
  <c r="DJ49" i="3"/>
  <c r="DJ61" i="3"/>
  <c r="DM61" i="3"/>
  <c r="DL24" i="3"/>
  <c r="DL41" i="3"/>
  <c r="DL61" i="3"/>
  <c r="DL49" i="3"/>
  <c r="DK61" i="3"/>
  <c r="DK49" i="3"/>
  <c r="DK24" i="3"/>
  <c r="DK41" i="3"/>
  <c r="DM49" i="3"/>
  <c r="DM41" i="3"/>
  <c r="DM24" i="3"/>
  <c r="CW50" i="3"/>
  <c r="CW28" i="3"/>
  <c r="CW51" i="3"/>
  <c r="J40" i="62"/>
  <c r="J33" i="62"/>
  <c r="J28" i="62"/>
  <c r="J17" i="62"/>
  <c r="I138" i="62"/>
  <c r="I158" i="62"/>
  <c r="H54" i="62"/>
  <c r="H71" i="62"/>
  <c r="CV50" i="3"/>
  <c r="CV28" i="3"/>
  <c r="CV51" i="3"/>
  <c r="H138" i="62"/>
  <c r="H158" i="62"/>
  <c r="BB177" i="6"/>
  <c r="AV177" i="6"/>
  <c r="AW184" i="6" s="1"/>
  <c r="CX13" i="7" s="1"/>
  <c r="CJ8" i="3" a="1"/>
  <c r="DJ39" i="3"/>
  <c r="DM16" i="3"/>
  <c r="J42" i="62" l="1"/>
  <c r="S135" i="48"/>
  <c r="S100" i="48"/>
  <c r="T134" i="48"/>
  <c r="N138" i="48"/>
  <c r="N103" i="48"/>
  <c r="O137" i="48"/>
  <c r="K137" i="48"/>
  <c r="K102" i="48"/>
  <c r="M136" i="48"/>
  <c r="AB130" i="48"/>
  <c r="AC94" i="48"/>
  <c r="U105" i="48"/>
  <c r="I102" i="48"/>
  <c r="J136" i="48"/>
  <c r="T103" i="48"/>
  <c r="U137" i="48"/>
  <c r="V136" i="48"/>
  <c r="W100" i="48"/>
  <c r="V101" i="48"/>
  <c r="Q101" i="48"/>
  <c r="AA131" i="48"/>
  <c r="AB95" i="48"/>
  <c r="AA68" i="48"/>
  <c r="AA66" i="48" s="1"/>
  <c r="AA67" i="48" s="1"/>
  <c r="Y133" i="48"/>
  <c r="Z97" i="48"/>
  <c r="N154" i="48"/>
  <c r="H136" i="48"/>
  <c r="H101" i="48"/>
  <c r="I135" i="48"/>
  <c r="Z132" i="48"/>
  <c r="AA96" i="48"/>
  <c r="W135" i="48"/>
  <c r="X99" i="48"/>
  <c r="R136" i="48"/>
  <c r="R101" i="48"/>
  <c r="J105" i="48"/>
  <c r="M104" i="48"/>
  <c r="P134" i="48"/>
  <c r="P99" i="48"/>
  <c r="Q133" i="48"/>
  <c r="X134" i="48"/>
  <c r="Y98" i="48"/>
  <c r="L136" i="48"/>
  <c r="L101" i="48"/>
  <c r="AC129" i="48"/>
  <c r="O104" i="48"/>
  <c r="M154" i="48"/>
  <c r="AY85" i="12"/>
  <c r="AW86" i="12"/>
  <c r="AW58" i="11"/>
  <c r="AV57" i="11"/>
  <c r="CI28" i="11"/>
  <c r="J295" i="30"/>
  <c r="CF33" i="11"/>
  <c r="W37" i="30"/>
  <c r="U38" i="30"/>
  <c r="W38" i="30" s="1"/>
  <c r="AB214" i="30"/>
  <c r="AD215" i="30"/>
  <c r="AF215" i="30" s="1"/>
  <c r="Z218" i="30"/>
  <c r="AD214" i="30"/>
  <c r="AF214" i="30" s="1"/>
  <c r="I27" i="8"/>
  <c r="I31" i="8"/>
  <c r="AM302" i="30"/>
  <c r="AK303" i="30"/>
  <c r="AM303" i="30" s="1"/>
  <c r="U93" i="6"/>
  <c r="L94" i="6"/>
  <c r="N94" i="6" s="1"/>
  <c r="P94" i="6" s="1"/>
  <c r="N93" i="6"/>
  <c r="P93" i="6" s="1"/>
  <c r="W281" i="8"/>
  <c r="W283" i="8"/>
  <c r="W284" i="8" s="1"/>
  <c r="W41" i="30"/>
  <c r="AZ225" i="30"/>
  <c r="AY229" i="30"/>
  <c r="AZ229" i="30" s="1"/>
  <c r="T130" i="8"/>
  <c r="T132" i="8"/>
  <c r="T133" i="8" s="1"/>
  <c r="T126" i="8"/>
  <c r="CJ19" i="11"/>
  <c r="CK23" i="11"/>
  <c r="AM186" i="30"/>
  <c r="AK187" i="30"/>
  <c r="AM187" i="30" s="1"/>
  <c r="DI38" i="11"/>
  <c r="DI42" i="11" s="1"/>
  <c r="DE43" i="11"/>
  <c r="BS53" i="11"/>
  <c r="BS14" i="11"/>
  <c r="BA53" i="11"/>
  <c r="AZ53" i="11" s="1"/>
  <c r="BA14" i="11"/>
  <c r="AZ9" i="11"/>
  <c r="U97" i="6"/>
  <c r="N97" i="6"/>
  <c r="P97" i="6" s="1"/>
  <c r="DI46" i="11"/>
  <c r="DI50" i="11" s="1"/>
  <c r="X280" i="8"/>
  <c r="X277" i="8" s="1"/>
  <c r="X278" i="8" s="1"/>
  <c r="N292" i="30"/>
  <c r="P292" i="30" s="1"/>
  <c r="U292" i="30"/>
  <c r="W277" i="8"/>
  <c r="CS33" i="11"/>
  <c r="Z313" i="30"/>
  <c r="R81" i="8"/>
  <c r="R83" i="8"/>
  <c r="R84" i="8" s="1"/>
  <c r="R77" i="8"/>
  <c r="J100" i="6"/>
  <c r="V98" i="16" s="1"/>
  <c r="X98" i="16" s="1"/>
  <c r="Z98" i="16" s="1"/>
  <c r="L44" i="30"/>
  <c r="L48" i="30"/>
  <c r="N288" i="30"/>
  <c r="P288" i="30" s="1"/>
  <c r="U288" i="30"/>
  <c r="L289" i="30"/>
  <c r="N289" i="30" s="1"/>
  <c r="P289" i="30" s="1"/>
  <c r="W62" i="8"/>
  <c r="X58" i="8"/>
  <c r="W59" i="8"/>
  <c r="W278" i="8"/>
  <c r="W258" i="8" s="1"/>
  <c r="V286" i="8"/>
  <c r="V287" i="8" s="1"/>
  <c r="V278" i="8"/>
  <c r="AM190" i="30"/>
  <c r="AM306" i="30"/>
  <c r="AD194" i="30"/>
  <c r="AF194" i="30" s="1"/>
  <c r="AD193" i="30"/>
  <c r="AF193" i="30" s="1"/>
  <c r="AB193" i="30"/>
  <c r="AB197" i="30"/>
  <c r="P220" i="8"/>
  <c r="P222" i="8"/>
  <c r="P223" i="8" s="1"/>
  <c r="R256" i="8"/>
  <c r="S200" i="8"/>
  <c r="Y115" i="8"/>
  <c r="Y119" i="8" s="1"/>
  <c r="X120" i="8"/>
  <c r="DO69" i="3"/>
  <c r="U66" i="8"/>
  <c r="U70" i="8" s="1"/>
  <c r="T71" i="8"/>
  <c r="DK68" i="3"/>
  <c r="Q219" i="8"/>
  <c r="R209" i="8"/>
  <c r="R218" i="8" s="1"/>
  <c r="T47" i="48" s="1"/>
  <c r="T48" i="48" s="1"/>
  <c r="DH66" i="3"/>
  <c r="DH82" i="3" s="1"/>
  <c r="Y270" i="8"/>
  <c r="Y271" i="8" s="1"/>
  <c r="J21" i="8"/>
  <c r="J20" i="8"/>
  <c r="W121" i="8"/>
  <c r="W144" i="8" s="1"/>
  <c r="W123" i="8"/>
  <c r="W124" i="8" s="1"/>
  <c r="S72" i="8"/>
  <c r="S95" i="8" s="1"/>
  <c r="S74" i="8"/>
  <c r="S75" i="8" s="1"/>
  <c r="L42" i="62"/>
  <c r="I42" i="62"/>
  <c r="CV77" i="3"/>
  <c r="CV32" i="3"/>
  <c r="CV62" i="3" s="1"/>
  <c r="CV52" i="3"/>
  <c r="DK63" i="3"/>
  <c r="DK53" i="3"/>
  <c r="DJ63" i="3"/>
  <c r="DJ53" i="3"/>
  <c r="M122" i="62"/>
  <c r="M110" i="62"/>
  <c r="M115" i="62"/>
  <c r="M100" i="62"/>
  <c r="J179" i="62"/>
  <c r="J142" i="62"/>
  <c r="J166" i="62"/>
  <c r="J155" i="62"/>
  <c r="I34" i="62"/>
  <c r="I23" i="62"/>
  <c r="I25" i="62" s="1"/>
  <c r="O100" i="62"/>
  <c r="O122" i="62"/>
  <c r="O110" i="62"/>
  <c r="O115" i="62"/>
  <c r="C166" i="62"/>
  <c r="D179" i="62"/>
  <c r="C142" i="62"/>
  <c r="C155" i="62"/>
  <c r="D181" i="62" s="1"/>
  <c r="T140" i="62"/>
  <c r="T56" i="62"/>
  <c r="T98" i="62" s="1"/>
  <c r="DI63" i="3"/>
  <c r="DI53" i="3"/>
  <c r="C115" i="62"/>
  <c r="C100" i="62"/>
  <c r="C110" i="62"/>
  <c r="D124" i="62" s="1"/>
  <c r="D122" i="62"/>
  <c r="H23" i="62"/>
  <c r="H25" i="62" s="1"/>
  <c r="H34" i="62"/>
  <c r="DN50" i="3"/>
  <c r="DN28" i="3"/>
  <c r="DN51" i="3"/>
  <c r="M23" i="62"/>
  <c r="M25" i="62" s="1"/>
  <c r="M34" i="62"/>
  <c r="M169" i="62" s="1"/>
  <c r="M167" i="62" s="1"/>
  <c r="I142" i="62"/>
  <c r="I179" i="62"/>
  <c r="I166" i="62"/>
  <c r="I155" i="62"/>
  <c r="DM28" i="3"/>
  <c r="DM50" i="3"/>
  <c r="DM51" i="3"/>
  <c r="DK50" i="3"/>
  <c r="DK28" i="3"/>
  <c r="DK51" i="3"/>
  <c r="N110" i="62"/>
  <c r="N122" i="62"/>
  <c r="N100" i="62"/>
  <c r="N115" i="62"/>
  <c r="L73" i="62"/>
  <c r="L80" i="62"/>
  <c r="L58" i="62"/>
  <c r="L68" i="62"/>
  <c r="J110" i="62"/>
  <c r="J122" i="62"/>
  <c r="J100" i="62"/>
  <c r="J115" i="62"/>
  <c r="M135" i="62"/>
  <c r="M136" i="62"/>
  <c r="M178" i="62" s="1"/>
  <c r="N131" i="62"/>
  <c r="M80" i="62"/>
  <c r="M73" i="62"/>
  <c r="M68" i="62"/>
  <c r="M58" i="62"/>
  <c r="DB63" i="3"/>
  <c r="DB53" i="3"/>
  <c r="H122" i="62"/>
  <c r="H110" i="62"/>
  <c r="H115" i="62"/>
  <c r="H100" i="62"/>
  <c r="CY32" i="3"/>
  <c r="CY52" i="3"/>
  <c r="CY77" i="3"/>
  <c r="CX50" i="3"/>
  <c r="CX28" i="3"/>
  <c r="CX51" i="3"/>
  <c r="AQ69" i="3"/>
  <c r="DO50" i="3"/>
  <c r="DO28" i="3"/>
  <c r="DO51" i="3"/>
  <c r="C73" i="62"/>
  <c r="C68" i="62"/>
  <c r="D82" i="62" s="1"/>
  <c r="D80" i="62"/>
  <c r="C58" i="62"/>
  <c r="DH28" i="3"/>
  <c r="DH50" i="3"/>
  <c r="DH51" i="3"/>
  <c r="H142" i="62"/>
  <c r="H166" i="62"/>
  <c r="H179" i="62"/>
  <c r="H155" i="62"/>
  <c r="J23" i="62"/>
  <c r="J25" i="62" s="1"/>
  <c r="J41" i="62" s="1"/>
  <c r="J34" i="62"/>
  <c r="DM53" i="3"/>
  <c r="DM63" i="3"/>
  <c r="DL53" i="3"/>
  <c r="DL63" i="3"/>
  <c r="L142" i="62"/>
  <c r="L179" i="62"/>
  <c r="L166" i="62"/>
  <c r="L155" i="62"/>
  <c r="J73" i="62"/>
  <c r="J68" i="62"/>
  <c r="J80" i="62"/>
  <c r="J58" i="62"/>
  <c r="G115" i="62"/>
  <c r="G110" i="62"/>
  <c r="G124" i="62" s="1"/>
  <c r="G100" i="62"/>
  <c r="G122" i="62"/>
  <c r="AT64" i="7"/>
  <c r="AN62" i="7"/>
  <c r="AN60" i="7"/>
  <c r="AN63" i="7"/>
  <c r="AN61" i="7"/>
  <c r="AO64" i="7"/>
  <c r="DZ66" i="7" s="1"/>
  <c r="CT77" i="3"/>
  <c r="CT32" i="3"/>
  <c r="CT62" i="3" s="1"/>
  <c r="CT52" i="3"/>
  <c r="DC63" i="3"/>
  <c r="DD63" i="3"/>
  <c r="DC53" i="3"/>
  <c r="CZ53" i="3"/>
  <c r="CZ63" i="3"/>
  <c r="G73" i="62"/>
  <c r="G58" i="62"/>
  <c r="G68" i="62"/>
  <c r="G82" i="62" s="1"/>
  <c r="G80" i="62"/>
  <c r="DG28" i="3"/>
  <c r="DG50" i="3"/>
  <c r="DG51" i="3"/>
  <c r="I68" i="62"/>
  <c r="I80" i="62"/>
  <c r="I73" i="62"/>
  <c r="I58" i="62"/>
  <c r="CX63" i="3"/>
  <c r="CX53" i="3"/>
  <c r="O23" i="62"/>
  <c r="O25" i="62" s="1"/>
  <c r="O34" i="62"/>
  <c r="O169" i="62" s="1"/>
  <c r="O167" i="62" s="1"/>
  <c r="K42" i="62"/>
  <c r="DI50" i="3"/>
  <c r="DI28" i="3"/>
  <c r="DI51" i="3"/>
  <c r="DA50" i="3"/>
  <c r="DA28" i="3"/>
  <c r="DA51" i="3"/>
  <c r="N23" i="62"/>
  <c r="N25" i="62" s="1"/>
  <c r="N34" i="62"/>
  <c r="N169" i="62" s="1"/>
  <c r="N167" i="62" s="1"/>
  <c r="CU62" i="3"/>
  <c r="H42" i="62"/>
  <c r="DH53" i="3"/>
  <c r="DH63" i="3"/>
  <c r="G23" i="62"/>
  <c r="G25" i="62" s="1"/>
  <c r="G41" i="62" s="1"/>
  <c r="G34" i="62"/>
  <c r="DN53" i="3"/>
  <c r="DN63" i="3"/>
  <c r="G179" i="62"/>
  <c r="G166" i="62"/>
  <c r="G142" i="62"/>
  <c r="G155" i="62"/>
  <c r="G181" i="62" s="1"/>
  <c r="C23" i="62"/>
  <c r="C25" i="62" s="1"/>
  <c r="D41" i="62" s="1"/>
  <c r="C34" i="62"/>
  <c r="H58" i="62"/>
  <c r="H68" i="62"/>
  <c r="H82" i="62" s="1"/>
  <c r="H80" i="62"/>
  <c r="H73" i="62"/>
  <c r="CW77" i="3"/>
  <c r="CW52" i="3"/>
  <c r="CW32" i="3"/>
  <c r="CW62" i="3" s="1"/>
  <c r="DL50" i="3"/>
  <c r="DL28" i="3"/>
  <c r="DL51" i="3"/>
  <c r="DJ50" i="3"/>
  <c r="DJ28" i="3"/>
  <c r="DJ51" i="3"/>
  <c r="N73" i="62"/>
  <c r="N68" i="62"/>
  <c r="N82" i="62" s="1"/>
  <c r="N80" i="62"/>
  <c r="N58" i="62"/>
  <c r="O68" i="62"/>
  <c r="O73" i="62"/>
  <c r="O58" i="62"/>
  <c r="O80" i="62"/>
  <c r="L23" i="62"/>
  <c r="L25" i="62" s="1"/>
  <c r="L34" i="62"/>
  <c r="DC50" i="3"/>
  <c r="DC28" i="3"/>
  <c r="DC51" i="3"/>
  <c r="CZ50" i="3"/>
  <c r="CZ28" i="3"/>
  <c r="CZ51" i="3"/>
  <c r="K166" i="62"/>
  <c r="K179" i="62"/>
  <c r="K142" i="62"/>
  <c r="K155" i="62"/>
  <c r="K181" i="62" s="1"/>
  <c r="DB28" i="3"/>
  <c r="DB50" i="3"/>
  <c r="DB51" i="3"/>
  <c r="DG63" i="3"/>
  <c r="DG53" i="3"/>
  <c r="K115" i="62"/>
  <c r="K110" i="62"/>
  <c r="K122" i="62"/>
  <c r="K100" i="62"/>
  <c r="K23" i="62"/>
  <c r="K25" i="62" s="1"/>
  <c r="K34" i="62"/>
  <c r="I110" i="62"/>
  <c r="I122" i="62"/>
  <c r="I115" i="62"/>
  <c r="I100" i="62"/>
  <c r="DO63" i="3"/>
  <c r="DO53" i="3"/>
  <c r="DA53" i="3"/>
  <c r="DA63" i="3"/>
  <c r="K80" i="62"/>
  <c r="K68" i="62"/>
  <c r="K82" i="62" s="1"/>
  <c r="K58" i="62"/>
  <c r="K73" i="62"/>
  <c r="L122" i="62"/>
  <c r="L110" i="62"/>
  <c r="L115" i="62"/>
  <c r="L100" i="62"/>
  <c r="M42" i="62"/>
  <c r="AV178" i="6"/>
  <c r="AW185" i="6" s="1"/>
  <c r="AU178" i="6"/>
  <c r="CJ15" i="3" a="1"/>
  <c r="CJ10" i="3" a="1"/>
  <c r="CM8" i="3"/>
  <c r="CJ8" i="3"/>
  <c r="CL8" i="3"/>
  <c r="CK8" i="3"/>
  <c r="DN16" i="3"/>
  <c r="DK39" i="3"/>
  <c r="L41" i="62" l="1"/>
  <c r="O82" i="62"/>
  <c r="I124" i="62"/>
  <c r="N124" i="62"/>
  <c r="AB131" i="48"/>
  <c r="AC95" i="48"/>
  <c r="AB68" i="48"/>
  <c r="AB66" i="48" s="1"/>
  <c r="AB67" i="48" s="1"/>
  <c r="H137" i="48"/>
  <c r="H102" i="48"/>
  <c r="I136" i="48"/>
  <c r="Q102" i="48"/>
  <c r="R137" i="48" s="1"/>
  <c r="W136" i="48"/>
  <c r="X100" i="48"/>
  <c r="AC130" i="48"/>
  <c r="L137" i="48"/>
  <c r="L102" i="48"/>
  <c r="Y134" i="48"/>
  <c r="Z98" i="48"/>
  <c r="M105" i="48"/>
  <c r="R102" i="48"/>
  <c r="AA132" i="48"/>
  <c r="AB96" i="48"/>
  <c r="O154" i="48"/>
  <c r="U106" i="48"/>
  <c r="S136" i="48"/>
  <c r="S101" i="48"/>
  <c r="T135" i="48"/>
  <c r="N139" i="48"/>
  <c r="N104" i="48"/>
  <c r="O138" i="48"/>
  <c r="O105" i="48"/>
  <c r="P135" i="48"/>
  <c r="P100" i="48"/>
  <c r="Q134" i="48"/>
  <c r="J106" i="48"/>
  <c r="X135" i="48"/>
  <c r="Y99" i="48"/>
  <c r="Z133" i="48"/>
  <c r="AA97" i="48"/>
  <c r="V137" i="48"/>
  <c r="W101" i="48"/>
  <c r="V102" i="48"/>
  <c r="T104" i="48"/>
  <c r="U138" i="48"/>
  <c r="I103" i="48"/>
  <c r="J137" i="48"/>
  <c r="K138" i="48"/>
  <c r="K103" i="48"/>
  <c r="M137" i="48"/>
  <c r="BA85" i="12"/>
  <c r="AY86" i="12"/>
  <c r="U94" i="6"/>
  <c r="W94" i="6" s="1"/>
  <c r="W93" i="6"/>
  <c r="L295" i="30"/>
  <c r="L299" i="30"/>
  <c r="K295" i="30"/>
  <c r="K299" i="30"/>
  <c r="W286" i="8"/>
  <c r="W287" i="8" s="1"/>
  <c r="W264" i="8"/>
  <c r="X258" i="8"/>
  <c r="W259" i="8"/>
  <c r="W274" i="8"/>
  <c r="W275" i="8" s="1"/>
  <c r="N44" i="30"/>
  <c r="P44" i="30" s="1"/>
  <c r="U44" i="30"/>
  <c r="L45" i="30"/>
  <c r="N45" i="30" s="1"/>
  <c r="P45" i="30" s="1"/>
  <c r="CS34" i="11"/>
  <c r="CW28" i="11"/>
  <c r="U129" i="8"/>
  <c r="DI43" i="11"/>
  <c r="DM38" i="11"/>
  <c r="DM42" i="11" s="1"/>
  <c r="CI33" i="11"/>
  <c r="CJ28" i="11"/>
  <c r="U48" i="30"/>
  <c r="N48" i="30"/>
  <c r="P48" i="30" s="1"/>
  <c r="BA57" i="11"/>
  <c r="BA15" i="11"/>
  <c r="AZ14" i="11"/>
  <c r="BE9" i="11"/>
  <c r="J30" i="8"/>
  <c r="Z16" i="30"/>
  <c r="I28" i="8"/>
  <c r="I43" i="8" s="1"/>
  <c r="I36" i="8"/>
  <c r="I37" i="8" s="1"/>
  <c r="AK197" i="30"/>
  <c r="W288" i="30"/>
  <c r="U289" i="30"/>
  <c r="W289" i="30" s="1"/>
  <c r="L104" i="6"/>
  <c r="L100" i="6"/>
  <c r="X281" i="8"/>
  <c r="X283" i="8"/>
  <c r="X284" i="8" s="1"/>
  <c r="W97" i="6"/>
  <c r="BS57" i="11"/>
  <c r="J51" i="30"/>
  <c r="BW9" i="11"/>
  <c r="T127" i="8"/>
  <c r="T142" i="8" s="1"/>
  <c r="T135" i="8"/>
  <c r="T136" i="8" s="1"/>
  <c r="AB218" i="30"/>
  <c r="AD218" i="30"/>
  <c r="AF218" i="30" s="1"/>
  <c r="Z219" i="30"/>
  <c r="W64" i="8"/>
  <c r="W63" i="8"/>
  <c r="CO19" i="11"/>
  <c r="CK24" i="11"/>
  <c r="CJ23" i="11"/>
  <c r="Z200" i="30"/>
  <c r="S80" i="8"/>
  <c r="AB215" i="30"/>
  <c r="AK214" i="30"/>
  <c r="AK193" i="30"/>
  <c r="AB194" i="30"/>
  <c r="X62" i="8"/>
  <c r="Y58" i="8"/>
  <c r="X59" i="8"/>
  <c r="R86" i="8"/>
  <c r="R87" i="8" s="1"/>
  <c r="R78" i="8"/>
  <c r="R93" i="8" s="1"/>
  <c r="AD313" i="30"/>
  <c r="AF313" i="30" s="1"/>
  <c r="Z314" i="30"/>
  <c r="W292" i="30"/>
  <c r="DM46" i="11"/>
  <c r="DM50" i="11" s="1"/>
  <c r="Y280" i="8"/>
  <c r="Y277" i="8" s="1"/>
  <c r="Y278" i="8" s="1"/>
  <c r="R219" i="8"/>
  <c r="S209" i="8"/>
  <c r="S218" i="8" s="1"/>
  <c r="U47" i="48" s="1"/>
  <c r="U48" i="48" s="1"/>
  <c r="DI66" i="3"/>
  <c r="DI83" i="3" s="1"/>
  <c r="J22" i="8"/>
  <c r="J48" i="8" s="1"/>
  <c r="J24" i="8"/>
  <c r="J25" i="8" s="1"/>
  <c r="S256" i="8"/>
  <c r="T200" i="8"/>
  <c r="Y272" i="8"/>
  <c r="Z266" i="8"/>
  <c r="DP70" i="3"/>
  <c r="Y283" i="8"/>
  <c r="Y284" i="8" s="1"/>
  <c r="T72" i="8"/>
  <c r="T95" i="8" s="1"/>
  <c r="T74" i="8"/>
  <c r="T75" i="8" s="1"/>
  <c r="X121" i="8"/>
  <c r="X144" i="8" s="1"/>
  <c r="X123" i="8"/>
  <c r="X124" i="8" s="1"/>
  <c r="K16" i="8"/>
  <c r="DA67" i="3"/>
  <c r="J33" i="8"/>
  <c r="J34" i="8" s="1"/>
  <c r="Q220" i="8"/>
  <c r="Q222" i="8"/>
  <c r="Q223" i="8" s="1"/>
  <c r="U71" i="8"/>
  <c r="DL68" i="3"/>
  <c r="V66" i="8"/>
  <c r="V70" i="8" s="1"/>
  <c r="Z115" i="8"/>
  <c r="Z119" i="8" s="1"/>
  <c r="Y120" i="8"/>
  <c r="AE119" i="8"/>
  <c r="DP69" i="3"/>
  <c r="M138" i="62"/>
  <c r="M41" i="62"/>
  <c r="J181" i="62"/>
  <c r="H181" i="62"/>
  <c r="V25" i="62"/>
  <c r="W25" i="62" s="1"/>
  <c r="N41" i="62"/>
  <c r="L124" i="62"/>
  <c r="K41" i="62"/>
  <c r="DA36" i="3"/>
  <c r="DA77" i="3"/>
  <c r="DA32" i="3"/>
  <c r="DA52" i="3"/>
  <c r="DG77" i="3"/>
  <c r="DG52" i="3"/>
  <c r="DG32" i="3"/>
  <c r="DG36" i="3"/>
  <c r="DG62" i="3" s="1"/>
  <c r="AO61" i="7"/>
  <c r="S16" i="3"/>
  <c r="AT61" i="7"/>
  <c r="L147" i="62"/>
  <c r="L149" i="62" s="1"/>
  <c r="L167" i="62"/>
  <c r="CX77" i="3"/>
  <c r="CX52" i="3"/>
  <c r="CX32" i="3"/>
  <c r="CX62" i="3" s="1"/>
  <c r="M82" i="62"/>
  <c r="N135" i="62"/>
  <c r="N136" i="62"/>
  <c r="N178" i="62" s="1"/>
  <c r="O131" i="62"/>
  <c r="J104" i="62"/>
  <c r="J107" i="62" s="1"/>
  <c r="J116" i="62"/>
  <c r="L62" i="62"/>
  <c r="L65" i="62" s="1"/>
  <c r="L74" i="62"/>
  <c r="N104" i="62"/>
  <c r="N107" i="62" s="1"/>
  <c r="N116" i="62"/>
  <c r="N170" i="62" s="1"/>
  <c r="DK32" i="3"/>
  <c r="DK78" i="3"/>
  <c r="DK52" i="3"/>
  <c r="DK36" i="3"/>
  <c r="DM78" i="3"/>
  <c r="DM52" i="3"/>
  <c r="DM32" i="3"/>
  <c r="DM36" i="3"/>
  <c r="I167" i="62"/>
  <c r="I147" i="62"/>
  <c r="I149" i="62" s="1"/>
  <c r="DN78" i="3"/>
  <c r="DN52" i="3"/>
  <c r="DN36" i="3"/>
  <c r="DN62" i="3" s="1"/>
  <c r="DN32" i="3"/>
  <c r="I41" i="62"/>
  <c r="J147" i="62"/>
  <c r="J149" i="62" s="1"/>
  <c r="J167" i="62"/>
  <c r="M124" i="62"/>
  <c r="CV32" i="7"/>
  <c r="CV31" i="7"/>
  <c r="CV30" i="7"/>
  <c r="K104" i="62"/>
  <c r="K107" i="62" s="1"/>
  <c r="K123" i="62" s="1"/>
  <c r="K116" i="62"/>
  <c r="DB77" i="3"/>
  <c r="DB52" i="3"/>
  <c r="DB36" i="3"/>
  <c r="DB32" i="3"/>
  <c r="G147" i="62"/>
  <c r="G149" i="62" s="1"/>
  <c r="G180" i="62" s="1"/>
  <c r="G167" i="62"/>
  <c r="I82" i="62"/>
  <c r="G62" i="62"/>
  <c r="G65" i="62" s="1"/>
  <c r="G81" i="62" s="1"/>
  <c r="G74" i="62"/>
  <c r="AO63" i="7"/>
  <c r="DZ65" i="7" s="1"/>
  <c r="U16" i="3"/>
  <c r="AT63" i="7"/>
  <c r="J62" i="62"/>
  <c r="J65" i="62" s="1"/>
  <c r="J74" i="62"/>
  <c r="L181" i="62"/>
  <c r="DH32" i="3"/>
  <c r="DH77" i="3"/>
  <c r="DH52" i="3"/>
  <c r="DH36" i="3"/>
  <c r="DH62" i="3" s="1"/>
  <c r="H104" i="62"/>
  <c r="H107" i="62" s="1"/>
  <c r="H116" i="62"/>
  <c r="I181" i="62"/>
  <c r="C147" i="62"/>
  <c r="C149" i="62" s="1"/>
  <c r="D180" i="62" s="1"/>
  <c r="C167" i="62"/>
  <c r="O124" i="62"/>
  <c r="L104" i="62"/>
  <c r="L107" i="62" s="1"/>
  <c r="L116" i="62"/>
  <c r="DC32" i="3"/>
  <c r="DC77" i="3"/>
  <c r="DC52" i="3"/>
  <c r="DC36" i="3"/>
  <c r="N62" i="62"/>
  <c r="N65" i="62" s="1"/>
  <c r="N74" i="62"/>
  <c r="N168" i="62" s="1"/>
  <c r="DL78" i="3"/>
  <c r="DL32" i="3"/>
  <c r="DM62" i="3" s="1"/>
  <c r="DL52" i="3"/>
  <c r="DL36" i="3"/>
  <c r="DL62" i="3" s="1"/>
  <c r="H62" i="62"/>
  <c r="H65" i="62" s="1"/>
  <c r="H81" i="62" s="1"/>
  <c r="H74" i="62"/>
  <c r="I74" i="62"/>
  <c r="I62" i="62"/>
  <c r="I65" i="62" s="1"/>
  <c r="AT60" i="7"/>
  <c r="AN66" i="7"/>
  <c r="AN65" i="7"/>
  <c r="AO60" i="7"/>
  <c r="R16" i="3"/>
  <c r="G104" i="62"/>
  <c r="G107" i="62" s="1"/>
  <c r="G123" i="62" s="1"/>
  <c r="G116" i="62"/>
  <c r="H147" i="62"/>
  <c r="H149" i="62" s="1"/>
  <c r="H180" i="62" s="1"/>
  <c r="H167" i="62"/>
  <c r="C62" i="62"/>
  <c r="C65" i="62" s="1"/>
  <c r="D81" i="62" s="1"/>
  <c r="C74" i="62"/>
  <c r="M166" i="62"/>
  <c r="M179" i="62"/>
  <c r="M142" i="62"/>
  <c r="M155" i="62"/>
  <c r="M181" i="62" s="1"/>
  <c r="J124" i="62"/>
  <c r="C104" i="62"/>
  <c r="C107" i="62" s="1"/>
  <c r="D123" i="62" s="1"/>
  <c r="C116" i="62"/>
  <c r="M104" i="62"/>
  <c r="M107" i="62" s="1"/>
  <c r="M123" i="62" s="1"/>
  <c r="M116" i="62"/>
  <c r="M170" i="62" s="1"/>
  <c r="K62" i="62"/>
  <c r="K65" i="62" s="1"/>
  <c r="K74" i="62"/>
  <c r="I104" i="62"/>
  <c r="I107" i="62" s="1"/>
  <c r="I116" i="62"/>
  <c r="K124" i="62"/>
  <c r="K147" i="62"/>
  <c r="K149" i="62" s="1"/>
  <c r="K180" i="62" s="1"/>
  <c r="K167" i="62"/>
  <c r="CZ77" i="3"/>
  <c r="CZ52" i="3"/>
  <c r="CZ32" i="3"/>
  <c r="CZ62" i="3" s="1"/>
  <c r="CZ36" i="3"/>
  <c r="O62" i="62"/>
  <c r="O65" i="62" s="1"/>
  <c r="O74" i="62"/>
  <c r="O168" i="62" s="1"/>
  <c r="DJ32" i="3"/>
  <c r="DJ78" i="3"/>
  <c r="DJ36" i="3"/>
  <c r="DJ52" i="3"/>
  <c r="DI36" i="3"/>
  <c r="DI62" i="3" s="1"/>
  <c r="DI78" i="3"/>
  <c r="DI32" i="3"/>
  <c r="DI52" i="3"/>
  <c r="O41" i="62"/>
  <c r="T16" i="3"/>
  <c r="AO62" i="7"/>
  <c r="AT62" i="7"/>
  <c r="J82" i="62"/>
  <c r="DO78" i="3"/>
  <c r="DO32" i="3"/>
  <c r="DO52" i="3"/>
  <c r="DO36" i="3"/>
  <c r="DO62" i="3" s="1"/>
  <c r="H124" i="62"/>
  <c r="M62" i="62"/>
  <c r="M65" i="62" s="1"/>
  <c r="M81" i="62" s="1"/>
  <c r="M74" i="62"/>
  <c r="M168" i="62" s="1"/>
  <c r="M133" i="62"/>
  <c r="L82" i="62"/>
  <c r="H41" i="62"/>
  <c r="O104" i="62"/>
  <c r="O107" i="62" s="1"/>
  <c r="O116" i="62"/>
  <c r="O170" i="62" s="1"/>
  <c r="DP8" i="3"/>
  <c r="P6" i="62"/>
  <c r="CK56" i="3"/>
  <c r="CM15" i="3"/>
  <c r="CK15" i="3"/>
  <c r="CJ15" i="3"/>
  <c r="CL15" i="3"/>
  <c r="CM56" i="3"/>
  <c r="CL56" i="3"/>
  <c r="CM10" i="3"/>
  <c r="CM12" i="3" s="1"/>
  <c r="CL10" i="3"/>
  <c r="CL12" i="3" s="1"/>
  <c r="CK10" i="3"/>
  <c r="CJ10" i="3"/>
  <c r="CJ12" i="3" s="1"/>
  <c r="CJ56" i="3"/>
  <c r="DL39" i="3"/>
  <c r="DO16" i="3"/>
  <c r="P89" i="62" l="1"/>
  <c r="P47" i="62"/>
  <c r="I81" i="62"/>
  <c r="O81" i="62"/>
  <c r="T105" i="48"/>
  <c r="U139" i="48"/>
  <c r="Y135" i="48"/>
  <c r="Z99" i="48"/>
  <c r="O106" i="48"/>
  <c r="Z134" i="48"/>
  <c r="AA98" i="48"/>
  <c r="P154" i="48"/>
  <c r="AC131" i="48"/>
  <c r="AC68" i="48"/>
  <c r="AC66" i="48" s="1"/>
  <c r="AC67" i="48" s="1"/>
  <c r="I104" i="48"/>
  <c r="J138" i="48"/>
  <c r="P136" i="48"/>
  <c r="P101" i="48"/>
  <c r="Q135" i="48"/>
  <c r="AB132" i="48"/>
  <c r="AC96" i="48"/>
  <c r="M106" i="48"/>
  <c r="X136" i="48"/>
  <c r="Y100" i="48"/>
  <c r="K139" i="48"/>
  <c r="K104" i="48"/>
  <c r="M138" i="48"/>
  <c r="V138" i="48"/>
  <c r="W102" i="48"/>
  <c r="V103" i="48"/>
  <c r="AA133" i="48"/>
  <c r="AB97" i="48"/>
  <c r="L138" i="48"/>
  <c r="L103" i="48"/>
  <c r="H138" i="48"/>
  <c r="H103" i="48"/>
  <c r="I137" i="48"/>
  <c r="W137" i="48"/>
  <c r="X101" i="48"/>
  <c r="N140" i="48"/>
  <c r="N105" i="48"/>
  <c r="O139" i="48"/>
  <c r="S137" i="48"/>
  <c r="S102" i="48"/>
  <c r="T136" i="48"/>
  <c r="R103" i="48"/>
  <c r="Q103" i="48"/>
  <c r="R138" i="48" s="1"/>
  <c r="BA86" i="12"/>
  <c r="DQ46" i="11"/>
  <c r="DQ50" i="11" s="1"/>
  <c r="DU46" i="11" s="1"/>
  <c r="DU50" i="11" s="1"/>
  <c r="DY46" i="11" s="1"/>
  <c r="DY50" i="11" s="1"/>
  <c r="EC46" i="11" s="1"/>
  <c r="EC50" i="11" s="1"/>
  <c r="AB280" i="8"/>
  <c r="AA280" i="8"/>
  <c r="AD280" i="8"/>
  <c r="AD281" i="8" s="1"/>
  <c r="Z280" i="8"/>
  <c r="AC280" i="8"/>
  <c r="Z315" i="30"/>
  <c r="AB314" i="30"/>
  <c r="AK314" i="30" s="1"/>
  <c r="AM314" i="30" s="1"/>
  <c r="AD314" i="30"/>
  <c r="AF314" i="30" s="1"/>
  <c r="AM193" i="30"/>
  <c r="AK194" i="30"/>
  <c r="AM194" i="30" s="1"/>
  <c r="S81" i="8"/>
  <c r="S83" i="8"/>
  <c r="S84" i="8" s="1"/>
  <c r="S77" i="8"/>
  <c r="CO23" i="11"/>
  <c r="CN19" i="11"/>
  <c r="AD219" i="30"/>
  <c r="AF219" i="30" s="1"/>
  <c r="Z220" i="30"/>
  <c r="AB219" i="30"/>
  <c r="AK219" i="30" s="1"/>
  <c r="AM219" i="30" s="1"/>
  <c r="DQ38" i="11"/>
  <c r="DQ42" i="11" s="1"/>
  <c r="DM43" i="11"/>
  <c r="U299" i="30"/>
  <c r="W299" i="30" s="1"/>
  <c r="N299" i="30"/>
  <c r="P299" i="30" s="1"/>
  <c r="Z58" i="8"/>
  <c r="Y59" i="8"/>
  <c r="Y62" i="8"/>
  <c r="AD201" i="30"/>
  <c r="AF201" i="30" s="1"/>
  <c r="AB200" i="30"/>
  <c r="AB204" i="30"/>
  <c r="AD200" i="30"/>
  <c r="AF200" i="30" s="1"/>
  <c r="AD208" i="30"/>
  <c r="AF208" i="30" s="1"/>
  <c r="AD207" i="30"/>
  <c r="AF207" i="30" s="1"/>
  <c r="BW53" i="11"/>
  <c r="BW14" i="11"/>
  <c r="U100" i="6"/>
  <c r="N100" i="6"/>
  <c r="P100" i="6" s="1"/>
  <c r="L101" i="6"/>
  <c r="N101" i="6" s="1"/>
  <c r="P101" i="6" s="1"/>
  <c r="AM197" i="30"/>
  <c r="AB16" i="30"/>
  <c r="AB17" i="30" s="1"/>
  <c r="AK17" i="30" s="1"/>
  <c r="AB20" i="30"/>
  <c r="W48" i="30"/>
  <c r="N295" i="30"/>
  <c r="P295" i="30" s="1"/>
  <c r="U295" i="30"/>
  <c r="L296" i="30"/>
  <c r="N296" i="30" s="1"/>
  <c r="P296" i="30" s="1"/>
  <c r="X86" i="8"/>
  <c r="X63" i="8"/>
  <c r="X64" i="8"/>
  <c r="AE62" i="8"/>
  <c r="AM214" i="30"/>
  <c r="AK215" i="30"/>
  <c r="AK218" i="30"/>
  <c r="J107" i="6"/>
  <c r="V105" i="16" s="1"/>
  <c r="X105" i="16" s="1"/>
  <c r="Z105" i="16" s="1"/>
  <c r="L55" i="30"/>
  <c r="K55" i="30"/>
  <c r="L51" i="30"/>
  <c r="N104" i="6"/>
  <c r="P104" i="6" s="1"/>
  <c r="U104" i="6"/>
  <c r="J27" i="8"/>
  <c r="J31" i="8"/>
  <c r="BA58" i="11"/>
  <c r="AZ57" i="11"/>
  <c r="BE53" i="11"/>
  <c r="BD53" i="11" s="1"/>
  <c r="J228" i="8"/>
  <c r="Z72" i="6"/>
  <c r="AB70" i="16" s="1"/>
  <c r="AD70" i="16" s="1"/>
  <c r="U130" i="8"/>
  <c r="U132" i="8"/>
  <c r="U133" i="8" s="1"/>
  <c r="U126" i="8"/>
  <c r="Y281" i="8"/>
  <c r="Z277" i="8"/>
  <c r="Z278" i="8" s="1"/>
  <c r="BE14" i="11"/>
  <c r="BD9" i="11"/>
  <c r="CM28" i="11"/>
  <c r="J302" i="30"/>
  <c r="CJ33" i="11"/>
  <c r="CW33" i="11"/>
  <c r="W44" i="30"/>
  <c r="U45" i="30"/>
  <c r="W45" i="30" s="1"/>
  <c r="X286" i="8"/>
  <c r="X287" i="8" s="1"/>
  <c r="X264" i="8"/>
  <c r="Y258" i="8"/>
  <c r="X259" i="8"/>
  <c r="X274" i="8"/>
  <c r="X275" i="8" s="1"/>
  <c r="Z270" i="8"/>
  <c r="Z271" i="8" s="1"/>
  <c r="Y121" i="8"/>
  <c r="N138" i="62"/>
  <c r="N179" i="62" s="1"/>
  <c r="AA115" i="8"/>
  <c r="AA119" i="8" s="1"/>
  <c r="Z120" i="8"/>
  <c r="DQ69" i="3"/>
  <c r="U72" i="8"/>
  <c r="U95" i="8" s="1"/>
  <c r="U74" i="8"/>
  <c r="U75" i="8" s="1"/>
  <c r="T256" i="8"/>
  <c r="U200" i="8"/>
  <c r="K21" i="8"/>
  <c r="K20" i="8"/>
  <c r="S219" i="8"/>
  <c r="T209" i="8"/>
  <c r="T218" i="8" s="1"/>
  <c r="V47" i="48" s="1"/>
  <c r="V48" i="48" s="1"/>
  <c r="DJ66" i="3"/>
  <c r="DJ83" i="3" s="1"/>
  <c r="V71" i="8"/>
  <c r="W66" i="8"/>
  <c r="W70" i="8" s="1"/>
  <c r="DM68" i="3"/>
  <c r="R220" i="8"/>
  <c r="R222" i="8"/>
  <c r="R223" i="8" s="1"/>
  <c r="J123" i="62"/>
  <c r="CY62" i="3"/>
  <c r="L81" i="62"/>
  <c r="I123" i="62"/>
  <c r="O123" i="62"/>
  <c r="K81" i="62"/>
  <c r="N81" i="62"/>
  <c r="V65" i="62"/>
  <c r="W65" i="62" s="1"/>
  <c r="DD62" i="3"/>
  <c r="DC62" i="3"/>
  <c r="H123" i="62"/>
  <c r="CV50" i="7"/>
  <c r="CV36" i="7"/>
  <c r="CX30" i="7"/>
  <c r="CW30" i="7"/>
  <c r="CV35" i="7"/>
  <c r="CW32" i="7"/>
  <c r="CX32" i="7"/>
  <c r="CV52" i="7"/>
  <c r="J180" i="62"/>
  <c r="DK62" i="3"/>
  <c r="L180" i="62"/>
  <c r="DJ62" i="3"/>
  <c r="J81" i="62"/>
  <c r="N123" i="62"/>
  <c r="V107" i="62"/>
  <c r="W107" i="62" s="1"/>
  <c r="N166" i="62"/>
  <c r="N155" i="62"/>
  <c r="N181" i="62" s="1"/>
  <c r="DA62" i="3"/>
  <c r="AO65" i="7"/>
  <c r="AT65" i="7"/>
  <c r="L123" i="62"/>
  <c r="DB62" i="3"/>
  <c r="CV51" i="7"/>
  <c r="CX31" i="7"/>
  <c r="CW31" i="7"/>
  <c r="I180" i="62"/>
  <c r="N133" i="62"/>
  <c r="CT84" i="3"/>
  <c r="M144" i="62"/>
  <c r="M147" i="62" s="1"/>
  <c r="M149" i="62" s="1"/>
  <c r="M180" i="62" s="1"/>
  <c r="AO66" i="7"/>
  <c r="AT66" i="7"/>
  <c r="O136" i="62"/>
  <c r="O178" i="62" s="1"/>
  <c r="O135" i="62"/>
  <c r="O133" i="62" s="1"/>
  <c r="CJ45" i="3"/>
  <c r="CL45" i="3"/>
  <c r="CM45" i="3"/>
  <c r="CL60" i="3"/>
  <c r="CL48" i="3"/>
  <c r="P37" i="62"/>
  <c r="CJ60" i="3"/>
  <c r="CJ48" i="3"/>
  <c r="CK12" i="3"/>
  <c r="DP56" i="3"/>
  <c r="DP15" i="3"/>
  <c r="P8" i="62"/>
  <c r="P10" i="62" s="1"/>
  <c r="DP10" i="3"/>
  <c r="DP12" i="3" s="1"/>
  <c r="CK48" i="3"/>
  <c r="CK60" i="3"/>
  <c r="CM60" i="3"/>
  <c r="CM48" i="3"/>
  <c r="DM39" i="3"/>
  <c r="DP16" i="3"/>
  <c r="P51" i="62" l="1"/>
  <c r="P72" i="62"/>
  <c r="P93" i="62"/>
  <c r="P114" i="62"/>
  <c r="N142" i="62"/>
  <c r="AF70" i="16"/>
  <c r="AF77" i="16"/>
  <c r="R104" i="48"/>
  <c r="X137" i="48"/>
  <c r="Y101" i="48"/>
  <c r="AB133" i="48"/>
  <c r="AC97" i="48"/>
  <c r="P137" i="48"/>
  <c r="P102" i="48"/>
  <c r="Q136" i="48"/>
  <c r="Q154" i="48"/>
  <c r="L139" i="48"/>
  <c r="L104" i="48"/>
  <c r="Y136" i="48"/>
  <c r="Z100" i="48"/>
  <c r="AC132" i="48"/>
  <c r="AA134" i="48"/>
  <c r="AB98" i="48"/>
  <c r="Q104" i="48"/>
  <c r="V139" i="48"/>
  <c r="W103" i="48"/>
  <c r="V104" i="48"/>
  <c r="K140" i="48"/>
  <c r="K105" i="48"/>
  <c r="M139" i="48"/>
  <c r="T106" i="48"/>
  <c r="U141" i="48" s="1"/>
  <c r="U143" i="48" s="1"/>
  <c r="U140" i="48"/>
  <c r="N141" i="48"/>
  <c r="N143" i="48" s="1"/>
  <c r="N106" i="48"/>
  <c r="O141" i="48" s="1"/>
  <c r="O140" i="48"/>
  <c r="S138" i="48"/>
  <c r="S103" i="48"/>
  <c r="T137" i="48"/>
  <c r="H139" i="48"/>
  <c r="H104" i="48"/>
  <c r="I138" i="48"/>
  <c r="W138" i="48"/>
  <c r="X102" i="48"/>
  <c r="I105" i="48"/>
  <c r="J139" i="48"/>
  <c r="Z135" i="48"/>
  <c r="AA99" i="48"/>
  <c r="CW34" i="11"/>
  <c r="DA28" i="11"/>
  <c r="V129" i="8"/>
  <c r="U127" i="8"/>
  <c r="U142" i="8" s="1"/>
  <c r="U135" i="8"/>
  <c r="U136" i="8" s="1"/>
  <c r="AB72" i="6"/>
  <c r="AB76" i="6"/>
  <c r="P82" i="3"/>
  <c r="N55" i="30"/>
  <c r="U55" i="30"/>
  <c r="W295" i="30"/>
  <c r="U296" i="30"/>
  <c r="W296" i="30" s="1"/>
  <c r="AK20" i="30"/>
  <c r="BW57" i="11"/>
  <c r="J58" i="30"/>
  <c r="CA9" i="11"/>
  <c r="Y86" i="8"/>
  <c r="Y87" i="8" s="1"/>
  <c r="Y63" i="8"/>
  <c r="Y93" i="8" s="1"/>
  <c r="Y64" i="8"/>
  <c r="CS19" i="11"/>
  <c r="T80" i="8"/>
  <c r="CN23" i="11"/>
  <c r="CO24" i="11"/>
  <c r="BE57" i="11"/>
  <c r="BE15" i="11"/>
  <c r="BI9" i="11"/>
  <c r="BD14" i="11"/>
  <c r="K30" i="8"/>
  <c r="Z23" i="30"/>
  <c r="J225" i="8"/>
  <c r="DA71" i="3"/>
  <c r="J229" i="8"/>
  <c r="J231" i="8"/>
  <c r="L107" i="6"/>
  <c r="L111" i="6"/>
  <c r="AK204" i="30"/>
  <c r="AB208" i="30"/>
  <c r="AB220" i="30"/>
  <c r="Z221" i="30"/>
  <c r="AD220" i="30"/>
  <c r="AF220" i="30" s="1"/>
  <c r="S78" i="8"/>
  <c r="S93" i="8" s="1"/>
  <c r="S86" i="8"/>
  <c r="S87" i="8" s="1"/>
  <c r="AB315" i="30"/>
  <c r="AK315" i="30" s="1"/>
  <c r="AM315" i="30" s="1"/>
  <c r="AD315" i="30"/>
  <c r="AF315" i="30" s="1"/>
  <c r="AB277" i="8"/>
  <c r="AA281" i="8"/>
  <c r="Y259" i="8"/>
  <c r="Y286" i="8"/>
  <c r="Y287" i="8" s="1"/>
  <c r="Y264" i="8"/>
  <c r="Z258" i="8"/>
  <c r="Y274" i="8"/>
  <c r="Y275" i="8" s="1"/>
  <c r="K306" i="30"/>
  <c r="L306" i="30"/>
  <c r="L302" i="30"/>
  <c r="K302" i="30"/>
  <c r="J28" i="8"/>
  <c r="J43" i="8" s="1"/>
  <c r="J36" i="8"/>
  <c r="J37" i="8" s="1"/>
  <c r="N51" i="30"/>
  <c r="P51" i="30" s="1"/>
  <c r="U51" i="30"/>
  <c r="L52" i="30"/>
  <c r="N52" i="30" s="1"/>
  <c r="P52" i="30" s="1"/>
  <c r="AE86" i="8"/>
  <c r="AK200" i="30"/>
  <c r="AB201" i="30"/>
  <c r="AA58" i="8"/>
  <c r="Z59" i="8"/>
  <c r="Z62" i="8"/>
  <c r="AC281" i="8"/>
  <c r="AG280" i="8"/>
  <c r="AD277" i="8"/>
  <c r="AD278" i="8" s="1"/>
  <c r="AC277" i="8"/>
  <c r="AB281" i="8"/>
  <c r="CM33" i="11"/>
  <c r="CN28" i="11"/>
  <c r="W104" i="6"/>
  <c r="AM218" i="30"/>
  <c r="W100" i="6"/>
  <c r="U101" i="6"/>
  <c r="W101" i="6" s="1"/>
  <c r="DQ43" i="11"/>
  <c r="DU38" i="11"/>
  <c r="DU42" i="11" s="1"/>
  <c r="AA277" i="8"/>
  <c r="AA278" i="8" s="1"/>
  <c r="Z281" i="8"/>
  <c r="Z272" i="8"/>
  <c r="Z274" i="8"/>
  <c r="Z275" i="8" s="1"/>
  <c r="L16" i="8"/>
  <c r="DB67" i="3"/>
  <c r="K33" i="8"/>
  <c r="K34" i="8" s="1"/>
  <c r="Z121" i="8"/>
  <c r="AA266" i="8"/>
  <c r="DQ70" i="3"/>
  <c r="Z283" i="8"/>
  <c r="Z284" i="8" s="1"/>
  <c r="W71" i="8"/>
  <c r="X66" i="8"/>
  <c r="X70" i="8" s="1"/>
  <c r="DN68" i="3"/>
  <c r="W83" i="8"/>
  <c r="K22" i="8"/>
  <c r="K48" i="8" s="1"/>
  <c r="K24" i="8"/>
  <c r="K25" i="8" s="1"/>
  <c r="AA120" i="8"/>
  <c r="AA121" i="8" s="1"/>
  <c r="AB115" i="8"/>
  <c r="AB119" i="8" s="1"/>
  <c r="DR69" i="3"/>
  <c r="S220" i="8"/>
  <c r="S222" i="8"/>
  <c r="S223" i="8" s="1"/>
  <c r="V72" i="8"/>
  <c r="V95" i="8" s="1"/>
  <c r="V74" i="8"/>
  <c r="V75" i="8" s="1"/>
  <c r="T219" i="8"/>
  <c r="U209" i="8"/>
  <c r="U218" i="8" s="1"/>
  <c r="W47" i="48" s="1"/>
  <c r="W48" i="48" s="1"/>
  <c r="DK66" i="3"/>
  <c r="DK83" i="3" s="1"/>
  <c r="T231" i="8"/>
  <c r="U256" i="8"/>
  <c r="V200" i="8"/>
  <c r="O138" i="62"/>
  <c r="N144" i="62"/>
  <c r="N147" i="62" s="1"/>
  <c r="N149" i="62" s="1"/>
  <c r="N180" i="62" s="1"/>
  <c r="CW52" i="7"/>
  <c r="CX52" i="7"/>
  <c r="CV82" i="7"/>
  <c r="CX35" i="7"/>
  <c r="CW35" i="7"/>
  <c r="CW50" i="7"/>
  <c r="CV55" i="7"/>
  <c r="CX50" i="7"/>
  <c r="CV56" i="7"/>
  <c r="CV80" i="7"/>
  <c r="CR53" i="7"/>
  <c r="CZ33" i="7"/>
  <c r="CR34" i="7"/>
  <c r="AB17" i="10" s="1"/>
  <c r="CS33" i="7"/>
  <c r="CT33" i="7"/>
  <c r="CX51" i="7"/>
  <c r="CW51" i="7"/>
  <c r="CV81" i="7"/>
  <c r="CW36" i="7"/>
  <c r="CX36" i="7"/>
  <c r="P31" i="62"/>
  <c r="DP45" i="3"/>
  <c r="CK45" i="3"/>
  <c r="DP60" i="3"/>
  <c r="DP48" i="3"/>
  <c r="DN39" i="3"/>
  <c r="DQ16" i="3"/>
  <c r="P113" i="62" l="1"/>
  <c r="P96" i="62"/>
  <c r="P71" i="62"/>
  <c r="P54" i="62"/>
  <c r="AA135" i="48"/>
  <c r="AB99" i="48"/>
  <c r="S139" i="48"/>
  <c r="S104" i="48"/>
  <c r="T138" i="48"/>
  <c r="AC133" i="48"/>
  <c r="X138" i="48"/>
  <c r="Y102" i="48"/>
  <c r="U153" i="48"/>
  <c r="U54" i="48"/>
  <c r="U22" i="48"/>
  <c r="Q105" i="48"/>
  <c r="P138" i="48"/>
  <c r="P103" i="48"/>
  <c r="Q137" i="48"/>
  <c r="Y137" i="48"/>
  <c r="Z101" i="48"/>
  <c r="N153" i="48"/>
  <c r="N54" i="48"/>
  <c r="N22" i="48"/>
  <c r="O143" i="48"/>
  <c r="V140" i="48"/>
  <c r="W104" i="48"/>
  <c r="V105" i="48"/>
  <c r="Z136" i="48"/>
  <c r="AA100" i="48"/>
  <c r="R154" i="48"/>
  <c r="I106" i="48"/>
  <c r="J141" i="48" s="1"/>
  <c r="J143" i="48" s="1"/>
  <c r="J140" i="48"/>
  <c r="W139" i="48"/>
  <c r="X103" i="48"/>
  <c r="AB134" i="48"/>
  <c r="AC98" i="48"/>
  <c r="R140" i="48"/>
  <c r="R105" i="48"/>
  <c r="H140" i="48"/>
  <c r="H105" i="48"/>
  <c r="I139" i="48"/>
  <c r="K141" i="48"/>
  <c r="K143" i="48" s="1"/>
  <c r="K106" i="48"/>
  <c r="M141" i="48" s="1"/>
  <c r="M143" i="48" s="1"/>
  <c r="M140" i="48"/>
  <c r="L140" i="48"/>
  <c r="L105" i="48"/>
  <c r="R139" i="48"/>
  <c r="J309" i="30"/>
  <c r="CQ28" i="11"/>
  <c r="CN33" i="11"/>
  <c r="AA62" i="8"/>
  <c r="AB58" i="8"/>
  <c r="AA59" i="8"/>
  <c r="U306" i="30"/>
  <c r="N306" i="30"/>
  <c r="P306" i="30" s="1"/>
  <c r="AB278" i="8"/>
  <c r="AK220" i="30"/>
  <c r="K27" i="8"/>
  <c r="K31" i="8"/>
  <c r="BE58" i="11"/>
  <c r="BD57" i="11"/>
  <c r="K228" i="8"/>
  <c r="CR19" i="11"/>
  <c r="CS23" i="11"/>
  <c r="CA53" i="11"/>
  <c r="CA14" i="11"/>
  <c r="W55" i="30"/>
  <c r="AD76" i="6"/>
  <c r="AF76" i="6" s="1"/>
  <c r="AB80" i="6"/>
  <c r="AD83" i="6"/>
  <c r="AF83" i="6" s="1"/>
  <c r="AK76" i="6"/>
  <c r="V130" i="8"/>
  <c r="V132" i="8"/>
  <c r="V133" i="8" s="1"/>
  <c r="V126" i="8"/>
  <c r="N111" i="6"/>
  <c r="U111" i="6"/>
  <c r="DA72" i="3"/>
  <c r="DA81" i="3"/>
  <c r="J114" i="6"/>
  <c r="V112" i="16" s="1"/>
  <c r="X112" i="16" s="1"/>
  <c r="Z112" i="16" s="1"/>
  <c r="L62" i="30"/>
  <c r="K58" i="30"/>
  <c r="L58" i="30"/>
  <c r="K62" i="30"/>
  <c r="AD79" i="6"/>
  <c r="AF79" i="6" s="1"/>
  <c r="AD72" i="6"/>
  <c r="AF72" i="6" s="1"/>
  <c r="AB73" i="6"/>
  <c r="AD73" i="6" s="1"/>
  <c r="AF73" i="6" s="1"/>
  <c r="AK72" i="6"/>
  <c r="DA33" i="11"/>
  <c r="AG277" i="8"/>
  <c r="AC278" i="8"/>
  <c r="Z63" i="8"/>
  <c r="Z93" i="8" s="1"/>
  <c r="Z86" i="8"/>
  <c r="Z87" i="8" s="1"/>
  <c r="AM200" i="30"/>
  <c r="AM207" i="30"/>
  <c r="AK201" i="30"/>
  <c r="AM201" i="30" s="1"/>
  <c r="W51" i="30"/>
  <c r="U52" i="30"/>
  <c r="W52" i="30" s="1"/>
  <c r="AK208" i="30"/>
  <c r="AM204" i="30"/>
  <c r="AM211" i="30"/>
  <c r="N107" i="6"/>
  <c r="P107" i="6" s="1"/>
  <c r="U107" i="6"/>
  <c r="L108" i="6"/>
  <c r="N108" i="6" s="1"/>
  <c r="P108" i="6" s="1"/>
  <c r="J226" i="8"/>
  <c r="J243" i="8" s="1"/>
  <c r="J237" i="8"/>
  <c r="J238" i="8" s="1"/>
  <c r="BI53" i="11"/>
  <c r="BH53" i="11" s="1"/>
  <c r="BI14" i="11"/>
  <c r="BH9" i="11"/>
  <c r="DY38" i="11"/>
  <c r="DY42" i="11" s="1"/>
  <c r="DU43" i="11"/>
  <c r="N302" i="30"/>
  <c r="P302" i="30" s="1"/>
  <c r="U302" i="30"/>
  <c r="L303" i="30"/>
  <c r="N303" i="30" s="1"/>
  <c r="P303" i="30" s="1"/>
  <c r="Z286" i="8"/>
  <c r="Z287" i="8" s="1"/>
  <c r="Z259" i="8"/>
  <c r="AA258" i="8"/>
  <c r="AB221" i="30"/>
  <c r="AK221" i="30" s="1"/>
  <c r="AM221" i="30" s="1"/>
  <c r="Z225" i="30"/>
  <c r="AD221" i="30"/>
  <c r="AF221" i="30" s="1"/>
  <c r="AD222" i="30"/>
  <c r="AF222" i="30" s="1"/>
  <c r="AD229" i="30"/>
  <c r="AF229" i="30" s="1"/>
  <c r="AD228" i="30"/>
  <c r="AF228" i="30" s="1"/>
  <c r="J232" i="8"/>
  <c r="DA73" i="3"/>
  <c r="AD24" i="30"/>
  <c r="AF24" i="30" s="1"/>
  <c r="AB23" i="30"/>
  <c r="AB27" i="30"/>
  <c r="AD23" i="30"/>
  <c r="T81" i="8"/>
  <c r="T83" i="8"/>
  <c r="T84" i="8" s="1"/>
  <c r="T77" i="8"/>
  <c r="AB18" i="10"/>
  <c r="AB16" i="10" s="1"/>
  <c r="AI17" i="10"/>
  <c r="V256" i="8"/>
  <c r="W200" i="8"/>
  <c r="AC115" i="8"/>
  <c r="AC119" i="8" s="1"/>
  <c r="AB120" i="8"/>
  <c r="AB121" i="8" s="1"/>
  <c r="DS69" i="3"/>
  <c r="U219" i="8"/>
  <c r="V209" i="8"/>
  <c r="V218" i="8" s="1"/>
  <c r="X47" i="48" s="1"/>
  <c r="X48" i="48" s="1"/>
  <c r="DL66" i="3"/>
  <c r="DL83" i="3" s="1"/>
  <c r="U231" i="8"/>
  <c r="T220" i="8"/>
  <c r="T222" i="8"/>
  <c r="T223" i="8" s="1"/>
  <c r="AE70" i="8"/>
  <c r="X83" i="8"/>
  <c r="X84" i="8" s="1"/>
  <c r="DO68" i="3"/>
  <c r="X71" i="8"/>
  <c r="Y66" i="8"/>
  <c r="Y70" i="8" s="1"/>
  <c r="AA270" i="8"/>
  <c r="AA271" i="8" s="1"/>
  <c r="DK73" i="3"/>
  <c r="W72" i="8"/>
  <c r="W95" i="8" s="1"/>
  <c r="W74" i="8"/>
  <c r="W75" i="8" s="1"/>
  <c r="L21" i="8"/>
  <c r="L20" i="8"/>
  <c r="CS34" i="7"/>
  <c r="CZ34" i="7"/>
  <c r="CT34" i="7"/>
  <c r="CU84" i="3"/>
  <c r="CZ53" i="7"/>
  <c r="CS53" i="7"/>
  <c r="CT53" i="7"/>
  <c r="CR54" i="7"/>
  <c r="AB14" i="10" s="1"/>
  <c r="AY71" i="12" s="1"/>
  <c r="CR83" i="7"/>
  <c r="CV110" i="7"/>
  <c r="CV86" i="7"/>
  <c r="CW86" i="7" s="1"/>
  <c r="CV85" i="7"/>
  <c r="CW85" i="7" s="1"/>
  <c r="CW80" i="7"/>
  <c r="CX55" i="7"/>
  <c r="CW55" i="7"/>
  <c r="CV112" i="7"/>
  <c r="CW82" i="7"/>
  <c r="CX82" i="7"/>
  <c r="CV111" i="7"/>
  <c r="CW81" i="7"/>
  <c r="CW56" i="7"/>
  <c r="CX56" i="7"/>
  <c r="O166" i="62"/>
  <c r="O142" i="62"/>
  <c r="O179" i="62"/>
  <c r="O155" i="62"/>
  <c r="O181" i="62" s="1"/>
  <c r="P161" i="62"/>
  <c r="P160" i="62"/>
  <c r="P158" i="62" s="1"/>
  <c r="P159" i="62"/>
  <c r="DR16" i="3"/>
  <c r="DO39" i="3"/>
  <c r="P73" i="62" l="1"/>
  <c r="P58" i="62"/>
  <c r="P68" i="62"/>
  <c r="P100" i="62"/>
  <c r="P110" i="62"/>
  <c r="P115" i="62"/>
  <c r="AI157" i="65"/>
  <c r="AV26" i="13"/>
  <c r="AB135" i="48"/>
  <c r="AC99" i="48"/>
  <c r="AC135" i="48" s="1"/>
  <c r="M153" i="48"/>
  <c r="M54" i="48"/>
  <c r="M22" i="48"/>
  <c r="J153" i="48"/>
  <c r="J54" i="48"/>
  <c r="J22" i="48"/>
  <c r="W140" i="48"/>
  <c r="X104" i="48"/>
  <c r="N55" i="48"/>
  <c r="N51" i="48"/>
  <c r="N59" i="48"/>
  <c r="N60" i="48" s="1"/>
  <c r="Y138" i="48"/>
  <c r="Z102" i="48"/>
  <c r="S140" i="48"/>
  <c r="S105" i="48"/>
  <c r="T139" i="48"/>
  <c r="O153" i="48"/>
  <c r="O54" i="48"/>
  <c r="O22" i="48"/>
  <c r="Z137" i="48"/>
  <c r="AA101" i="48"/>
  <c r="U51" i="48"/>
  <c r="U59" i="48"/>
  <c r="U60" i="48" s="1"/>
  <c r="L141" i="48"/>
  <c r="L143" i="48" s="1"/>
  <c r="L106" i="48"/>
  <c r="K153" i="48"/>
  <c r="K54" i="48"/>
  <c r="K22" i="48"/>
  <c r="R141" i="48"/>
  <c r="R143" i="48" s="1"/>
  <c r="R106" i="48"/>
  <c r="X139" i="48"/>
  <c r="Y103" i="48"/>
  <c r="AA136" i="48"/>
  <c r="AB100" i="48"/>
  <c r="P139" i="48"/>
  <c r="P104" i="48"/>
  <c r="Q138" i="48"/>
  <c r="U167" i="48"/>
  <c r="U32" i="48"/>
  <c r="H141" i="48"/>
  <c r="H143" i="48" s="1"/>
  <c r="H106" i="48"/>
  <c r="I141" i="48" s="1"/>
  <c r="I143" i="48" s="1"/>
  <c r="I140" i="48"/>
  <c r="AC134" i="48"/>
  <c r="S154" i="48"/>
  <c r="V141" i="48"/>
  <c r="V143" i="48" s="1"/>
  <c r="W105" i="48"/>
  <c r="V106" i="48"/>
  <c r="W106" i="48" s="1"/>
  <c r="X106" i="48" s="1"/>
  <c r="Y106" i="48" s="1"/>
  <c r="Z106" i="48" s="1"/>
  <c r="AA106" i="48" s="1"/>
  <c r="AB106" i="48" s="1"/>
  <c r="AC106" i="48" s="1"/>
  <c r="N160" i="48"/>
  <c r="O160" i="48" s="1"/>
  <c r="N32" i="48"/>
  <c r="Q106" i="48"/>
  <c r="AK23" i="30"/>
  <c r="AK24" i="30" s="1"/>
  <c r="AM24" i="30" s="1"/>
  <c r="AB24" i="30"/>
  <c r="AD225" i="30"/>
  <c r="AF225" i="30" s="1"/>
  <c r="AB225" i="30"/>
  <c r="Z226" i="30"/>
  <c r="DA34" i="11"/>
  <c r="DE28" i="11"/>
  <c r="W129" i="8"/>
  <c r="N62" i="30"/>
  <c r="P62" i="30" s="1"/>
  <c r="U62" i="30"/>
  <c r="W111" i="6"/>
  <c r="V127" i="8"/>
  <c r="V142" i="8" s="1"/>
  <c r="V135" i="8"/>
  <c r="V136" i="8" s="1"/>
  <c r="AK80" i="6"/>
  <c r="AM76" i="6"/>
  <c r="AM83" i="6"/>
  <c r="CW19" i="11"/>
  <c r="CS24" i="11"/>
  <c r="CR23" i="11"/>
  <c r="U80" i="8"/>
  <c r="V80" i="8"/>
  <c r="AB222" i="30"/>
  <c r="AA63" i="8"/>
  <c r="AA93" i="8" s="1"/>
  <c r="AA86" i="8"/>
  <c r="AA87" i="8" s="1"/>
  <c r="AM72" i="6"/>
  <c r="AK73" i="6"/>
  <c r="AM73" i="6" s="1"/>
  <c r="AM79" i="6"/>
  <c r="L118" i="6"/>
  <c r="L114" i="6"/>
  <c r="AM220" i="30"/>
  <c r="AK222" i="30"/>
  <c r="AM222" i="30" s="1"/>
  <c r="W306" i="30"/>
  <c r="T78" i="8"/>
  <c r="T93" i="8" s="1"/>
  <c r="T86" i="8"/>
  <c r="T87" i="8" s="1"/>
  <c r="AA259" i="8"/>
  <c r="AA286" i="8"/>
  <c r="AA287" i="8" s="1"/>
  <c r="AB258" i="8"/>
  <c r="DY43" i="11"/>
  <c r="EC38" i="11"/>
  <c r="EC42" i="11" s="1"/>
  <c r="EC43" i="11" s="1"/>
  <c r="BI57" i="11"/>
  <c r="BI15" i="11"/>
  <c r="BH14" i="11"/>
  <c r="Z30" i="30"/>
  <c r="L30" i="8"/>
  <c r="BM9" i="11"/>
  <c r="U58" i="30"/>
  <c r="N58" i="30"/>
  <c r="L59" i="30"/>
  <c r="N59" i="30" s="1"/>
  <c r="AD80" i="6"/>
  <c r="AF80" i="6" s="1"/>
  <c r="CA57" i="11"/>
  <c r="CE9" i="11"/>
  <c r="J65" i="30"/>
  <c r="DB71" i="3"/>
  <c r="K225" i="8"/>
  <c r="K229" i="8"/>
  <c r="K231" i="8"/>
  <c r="K28" i="8"/>
  <c r="K43" i="8" s="1"/>
  <c r="K36" i="8"/>
  <c r="K37" i="8" s="1"/>
  <c r="CQ33" i="11"/>
  <c r="CR28" i="11"/>
  <c r="AK27" i="30"/>
  <c r="U303" i="30"/>
  <c r="W303" i="30" s="1"/>
  <c r="W302" i="30"/>
  <c r="W107" i="6"/>
  <c r="U108" i="6"/>
  <c r="W108" i="6" s="1"/>
  <c r="AM208" i="30"/>
  <c r="AM215" i="30"/>
  <c r="AB59" i="8"/>
  <c r="AB62" i="8"/>
  <c r="AC58" i="8"/>
  <c r="L309" i="30"/>
  <c r="K309" i="30"/>
  <c r="K313" i="30"/>
  <c r="L313" i="30"/>
  <c r="Z309" i="30"/>
  <c r="AB23" i="10"/>
  <c r="AB15" i="10"/>
  <c r="AI14" i="10"/>
  <c r="AB30" i="10"/>
  <c r="C6" i="72" s="1"/>
  <c r="AA272" i="8"/>
  <c r="AA274" i="8"/>
  <c r="AA275" i="8" s="1"/>
  <c r="V219" i="8"/>
  <c r="W209" i="8"/>
  <c r="W218" i="8" s="1"/>
  <c r="Y47" i="48" s="1"/>
  <c r="Y48" i="48" s="1"/>
  <c r="DM66" i="3"/>
  <c r="DM83" i="3" s="1"/>
  <c r="V231" i="8"/>
  <c r="AB266" i="8"/>
  <c r="DR70" i="3"/>
  <c r="AA283" i="8"/>
  <c r="AA284" i="8" s="1"/>
  <c r="U220" i="8"/>
  <c r="U222" i="8"/>
  <c r="U223" i="8" s="1"/>
  <c r="AD115" i="8"/>
  <c r="AD119" i="8" s="1"/>
  <c r="AC120" i="8"/>
  <c r="AC121" i="8" s="1"/>
  <c r="M16" i="8"/>
  <c r="DC67" i="3"/>
  <c r="L33" i="8"/>
  <c r="L34" i="8" s="1"/>
  <c r="Y71" i="8"/>
  <c r="Z66" i="8"/>
  <c r="Z70" i="8" s="1"/>
  <c r="DP68" i="3"/>
  <c r="Y83" i="8"/>
  <c r="Y84" i="8" s="1"/>
  <c r="U232" i="8"/>
  <c r="DL73" i="3"/>
  <c r="W256" i="8"/>
  <c r="X200" i="8"/>
  <c r="L22" i="8"/>
  <c r="L48" i="8" s="1"/>
  <c r="L24" i="8"/>
  <c r="L25" i="8" s="1"/>
  <c r="X72" i="8"/>
  <c r="X95" i="8" s="1"/>
  <c r="X74" i="8"/>
  <c r="X75" i="8" s="1"/>
  <c r="CV122" i="7"/>
  <c r="CV132" i="7" s="1"/>
  <c r="CW112" i="7"/>
  <c r="CX112" i="7"/>
  <c r="CR113" i="7"/>
  <c r="CS123" i="7" s="1"/>
  <c r="CS83" i="7"/>
  <c r="AI152" i="65"/>
  <c r="CT83" i="7"/>
  <c r="CR84" i="7"/>
  <c r="CW111" i="7"/>
  <c r="CV121" i="7"/>
  <c r="CV131" i="7" s="1"/>
  <c r="CS54" i="7"/>
  <c r="CS57" i="7" s="1"/>
  <c r="CT54" i="7"/>
  <c r="CZ54" i="7"/>
  <c r="O144" i="62"/>
  <c r="O147" i="62" s="1"/>
  <c r="O149" i="62" s="1"/>
  <c r="O180" i="62" s="1"/>
  <c r="CV120" i="7"/>
  <c r="CV130" i="7" s="1"/>
  <c r="CV116" i="7"/>
  <c r="CW116" i="7" s="1"/>
  <c r="CW110" i="7"/>
  <c r="CV115" i="7"/>
  <c r="CW115" i="7" s="1"/>
  <c r="DS16" i="3"/>
  <c r="DP39" i="3"/>
  <c r="P104" i="62" l="1"/>
  <c r="P107" i="62" s="1"/>
  <c r="P116" i="62"/>
  <c r="P74" i="62"/>
  <c r="P62" i="62"/>
  <c r="P65" i="62" s="1"/>
  <c r="AI158" i="65"/>
  <c r="AI156" i="65"/>
  <c r="C9" i="72"/>
  <c r="C10" i="72" s="1"/>
  <c r="C7" i="72"/>
  <c r="I153" i="48"/>
  <c r="I54" i="48"/>
  <c r="J55" i="48" s="1"/>
  <c r="I22" i="48"/>
  <c r="O161" i="48"/>
  <c r="O32" i="48"/>
  <c r="W141" i="48"/>
  <c r="W143" i="48" s="1"/>
  <c r="X105" i="48"/>
  <c r="K59" i="48"/>
  <c r="K51" i="48"/>
  <c r="K60" i="48"/>
  <c r="K55" i="48"/>
  <c r="AA137" i="48"/>
  <c r="AB101" i="48"/>
  <c r="Z138" i="48"/>
  <c r="AA102" i="48"/>
  <c r="J156" i="48"/>
  <c r="J32" i="48"/>
  <c r="M60" i="48"/>
  <c r="M51" i="48"/>
  <c r="M59" i="48"/>
  <c r="P160" i="48"/>
  <c r="Q160" i="48"/>
  <c r="R153" i="48"/>
  <c r="R54" i="48"/>
  <c r="R22" i="48"/>
  <c r="X140" i="48"/>
  <c r="Y104" i="48"/>
  <c r="V153" i="48"/>
  <c r="V54" i="48"/>
  <c r="V22" i="48"/>
  <c r="V167" i="48"/>
  <c r="AB136" i="48"/>
  <c r="AC100" i="48"/>
  <c r="AC136" i="48" s="1"/>
  <c r="J51" i="48"/>
  <c r="J59" i="48"/>
  <c r="J60" i="48" s="1"/>
  <c r="T154" i="48"/>
  <c r="S141" i="48"/>
  <c r="S143" i="48" s="1"/>
  <c r="S106" i="48"/>
  <c r="T141" i="48" s="1"/>
  <c r="T143" i="48" s="1"/>
  <c r="T140" i="48"/>
  <c r="H54" i="48"/>
  <c r="H22" i="48"/>
  <c r="P140" i="48"/>
  <c r="P105" i="48"/>
  <c r="Q139" i="48"/>
  <c r="Y139" i="48"/>
  <c r="Z103" i="48"/>
  <c r="K157" i="48"/>
  <c r="K32" i="48"/>
  <c r="L153" i="48"/>
  <c r="L22" i="48"/>
  <c r="L54" i="48"/>
  <c r="O59" i="48"/>
  <c r="O60" i="48" s="1"/>
  <c r="O55" i="48"/>
  <c r="O51" i="48"/>
  <c r="O52" i="48" s="1"/>
  <c r="N52" i="48"/>
  <c r="M159" i="48"/>
  <c r="N159" i="48" s="1"/>
  <c r="M32" i="48"/>
  <c r="AB309" i="30"/>
  <c r="AD310" i="30"/>
  <c r="AF310" i="30" s="1"/>
  <c r="AD309" i="30"/>
  <c r="AF309" i="30" s="1"/>
  <c r="AB313" i="30"/>
  <c r="N315" i="30"/>
  <c r="P315" i="30" s="1"/>
  <c r="N309" i="30"/>
  <c r="P309" i="30" s="1"/>
  <c r="U309" i="30"/>
  <c r="L310" i="30"/>
  <c r="N310" i="30" s="1"/>
  <c r="P310" i="30" s="1"/>
  <c r="K232" i="8"/>
  <c r="DB73" i="3"/>
  <c r="J121" i="6"/>
  <c r="V119" i="16" s="1"/>
  <c r="X119" i="16" s="1"/>
  <c r="Z119" i="16" s="1"/>
  <c r="L69" i="30"/>
  <c r="K69" i="30"/>
  <c r="L65" i="30"/>
  <c r="K65" i="30"/>
  <c r="L27" i="8"/>
  <c r="L31" i="8"/>
  <c r="BI58" i="11"/>
  <c r="BH57" i="11"/>
  <c r="Z86" i="6"/>
  <c r="AB84" i="16" s="1"/>
  <c r="AD84" i="16" s="1"/>
  <c r="AF84" i="16" s="1"/>
  <c r="L228" i="8"/>
  <c r="N114" i="6"/>
  <c r="U114" i="6"/>
  <c r="L115" i="6"/>
  <c r="V81" i="8"/>
  <c r="W77" i="8"/>
  <c r="W81" i="8"/>
  <c r="V83" i="8"/>
  <c r="CW23" i="11"/>
  <c r="CV19" i="11"/>
  <c r="W62" i="30"/>
  <c r="DE33" i="11"/>
  <c r="AK225" i="30"/>
  <c r="N313" i="30"/>
  <c r="P313" i="30" s="1"/>
  <c r="U313" i="30"/>
  <c r="AC62" i="8"/>
  <c r="AD58" i="8"/>
  <c r="AC59" i="8"/>
  <c r="CU28" i="11"/>
  <c r="J316" i="30"/>
  <c r="CR33" i="11"/>
  <c r="CE53" i="11"/>
  <c r="CE14" i="11"/>
  <c r="AB30" i="30"/>
  <c r="AD31" i="30"/>
  <c r="AF31" i="30" s="1"/>
  <c r="AB34" i="30"/>
  <c r="AD30" i="30"/>
  <c r="AF30" i="30" s="1"/>
  <c r="N118" i="6"/>
  <c r="U118" i="6"/>
  <c r="V77" i="8"/>
  <c r="U81" i="8"/>
  <c r="U83" i="8"/>
  <c r="U84" i="8" s="1"/>
  <c r="U77" i="8"/>
  <c r="AB63" i="8"/>
  <c r="AB93" i="8" s="1"/>
  <c r="AB86" i="8"/>
  <c r="AB87" i="8" s="1"/>
  <c r="K226" i="8"/>
  <c r="K243" i="8" s="1"/>
  <c r="K237" i="8"/>
  <c r="K238" i="8" s="1"/>
  <c r="W58" i="30"/>
  <c r="U59" i="30"/>
  <c r="W59" i="30" s="1"/>
  <c r="AM27" i="30"/>
  <c r="DB72" i="3"/>
  <c r="DB81" i="3"/>
  <c r="BM53" i="11"/>
  <c r="BL53" i="11" s="1"/>
  <c r="BM14" i="11"/>
  <c r="BL9" i="11"/>
  <c r="AB286" i="8"/>
  <c r="AB287" i="8" s="1"/>
  <c r="AC258" i="8"/>
  <c r="AB259" i="8"/>
  <c r="AM80" i="6"/>
  <c r="W130" i="8"/>
  <c r="W132" i="8"/>
  <c r="W133" i="8" s="1"/>
  <c r="W126" i="8"/>
  <c r="Z227" i="30"/>
  <c r="AB226" i="30"/>
  <c r="AK226" i="30" s="1"/>
  <c r="AM226" i="30" s="1"/>
  <c r="AD226" i="30"/>
  <c r="AF226" i="30" s="1"/>
  <c r="Y245" i="8"/>
  <c r="AB31" i="10"/>
  <c r="AB73" i="10"/>
  <c r="AB39" i="10"/>
  <c r="AI30" i="10"/>
  <c r="Z71" i="8"/>
  <c r="AA66" i="8"/>
  <c r="AA70" i="8" s="1"/>
  <c r="DQ68" i="3"/>
  <c r="Z83" i="8"/>
  <c r="Z84" i="8" s="1"/>
  <c r="Y72" i="8"/>
  <c r="Y95" i="8" s="1"/>
  <c r="Y74" i="8"/>
  <c r="Y75" i="8" s="1"/>
  <c r="V220" i="8"/>
  <c r="V222" i="8"/>
  <c r="V223" i="8" s="1"/>
  <c r="M20" i="8"/>
  <c r="W219" i="8"/>
  <c r="X209" i="8"/>
  <c r="X218" i="8" s="1"/>
  <c r="Z47" i="48" s="1"/>
  <c r="Z48" i="48" s="1"/>
  <c r="DN66" i="3"/>
  <c r="DN83" i="3" s="1"/>
  <c r="W231" i="8"/>
  <c r="X256" i="8"/>
  <c r="Y200" i="8"/>
  <c r="V232" i="8"/>
  <c r="DM73" i="3"/>
  <c r="AB270" i="8"/>
  <c r="AD120" i="8"/>
  <c r="AD121" i="8" s="1"/>
  <c r="AG119" i="8"/>
  <c r="CV183" i="7"/>
  <c r="CV171" i="7"/>
  <c r="CV150" i="7"/>
  <c r="CV140" i="7"/>
  <c r="CV135" i="7"/>
  <c r="CV188" i="7" s="1"/>
  <c r="CV136" i="7"/>
  <c r="CV189" i="7" s="1"/>
  <c r="CV184" i="7"/>
  <c r="CV172" i="7"/>
  <c r="CV151" i="7"/>
  <c r="CV141" i="7"/>
  <c r="CV84" i="3"/>
  <c r="CS84" i="7"/>
  <c r="CV125" i="7"/>
  <c r="CW125" i="7" s="1"/>
  <c r="CV126" i="7"/>
  <c r="CW126" i="7" s="1"/>
  <c r="CR124" i="7"/>
  <c r="AB42" i="10" s="1"/>
  <c r="CS113" i="7"/>
  <c r="CT113" i="7"/>
  <c r="CR114" i="7"/>
  <c r="CV185" i="7"/>
  <c r="CW185" i="7" s="1"/>
  <c r="CV173" i="7"/>
  <c r="CW173" i="7" s="1"/>
  <c r="CV152" i="7"/>
  <c r="CW152" i="7" s="1"/>
  <c r="CV142" i="7"/>
  <c r="CW132" i="7"/>
  <c r="CG66" i="3"/>
  <c r="DQ39" i="3"/>
  <c r="C11" i="72" l="1"/>
  <c r="T153" i="48"/>
  <c r="T54" i="48"/>
  <c r="T22" i="48"/>
  <c r="V55" i="48"/>
  <c r="V51" i="48"/>
  <c r="V52" i="48" s="1"/>
  <c r="V59" i="48"/>
  <c r="V60" i="48" s="1"/>
  <c r="W153" i="48"/>
  <c r="W54" i="48"/>
  <c r="W22" i="48"/>
  <c r="H51" i="48"/>
  <c r="H59" i="48"/>
  <c r="U154" i="48"/>
  <c r="Y140" i="48"/>
  <c r="Z104" i="48"/>
  <c r="K156" i="48"/>
  <c r="P161" i="48"/>
  <c r="R164" i="48"/>
  <c r="S164" i="48" s="1"/>
  <c r="R32" i="48"/>
  <c r="L55" i="48"/>
  <c r="L51" i="48"/>
  <c r="L52" i="48" s="1"/>
  <c r="L59" i="48"/>
  <c r="L60" i="48" s="1"/>
  <c r="L157" i="48"/>
  <c r="M157" i="48"/>
  <c r="P141" i="48"/>
  <c r="P143" i="48" s="1"/>
  <c r="P106" i="48"/>
  <c r="Q141" i="48" s="1"/>
  <c r="Q143" i="48" s="1"/>
  <c r="Q140" i="48"/>
  <c r="V168" i="48"/>
  <c r="V32" i="48"/>
  <c r="R160" i="48"/>
  <c r="M55" i="48"/>
  <c r="AA138" i="48"/>
  <c r="AB102" i="48"/>
  <c r="X141" i="48"/>
  <c r="X143" i="48" s="1"/>
  <c r="Y105" i="48"/>
  <c r="I155" i="48"/>
  <c r="I32" i="48"/>
  <c r="I30" i="48" s="1"/>
  <c r="L158" i="48"/>
  <c r="M158" i="48" s="1"/>
  <c r="L32" i="48"/>
  <c r="Z139" i="48"/>
  <c r="AA103" i="48"/>
  <c r="I55" i="48"/>
  <c r="I51" i="48"/>
  <c r="I59" i="48"/>
  <c r="I60" i="48" s="1"/>
  <c r="P159" i="48"/>
  <c r="R159" i="48" s="1"/>
  <c r="Q159" i="48"/>
  <c r="O159" i="48"/>
  <c r="S153" i="48"/>
  <c r="S54" i="48"/>
  <c r="S22" i="48"/>
  <c r="J52" i="48"/>
  <c r="W167" i="48"/>
  <c r="X167" i="48" s="1"/>
  <c r="R51" i="48"/>
  <c r="R59" i="48"/>
  <c r="R60" i="48" s="1"/>
  <c r="AB137" i="48"/>
  <c r="AC101" i="48"/>
  <c r="AC137" i="48" s="1"/>
  <c r="K52" i="48"/>
  <c r="AC9" i="12"/>
  <c r="Z56" i="13" s="1"/>
  <c r="AB227" i="30"/>
  <c r="AK227" i="30" s="1"/>
  <c r="AM227" i="30" s="1"/>
  <c r="AD227" i="30"/>
  <c r="AF227" i="30" s="1"/>
  <c r="AB228" i="30"/>
  <c r="AK228" i="30" s="1"/>
  <c r="AM228" i="30" s="1"/>
  <c r="AK30" i="30"/>
  <c r="AB31" i="30"/>
  <c r="K316" i="30"/>
  <c r="K320" i="30"/>
  <c r="L316" i="30"/>
  <c r="L320" i="30"/>
  <c r="Z316" i="30"/>
  <c r="AG62" i="8"/>
  <c r="AC86" i="8"/>
  <c r="AC63" i="8"/>
  <c r="AC93" i="8" s="1"/>
  <c r="V84" i="8"/>
  <c r="W84" i="8"/>
  <c r="N115" i="6"/>
  <c r="AB86" i="6"/>
  <c r="Z82" i="3"/>
  <c r="AB90" i="6"/>
  <c r="L28" i="8"/>
  <c r="L43" i="8" s="1"/>
  <c r="L36" i="8"/>
  <c r="L37" i="8" s="1"/>
  <c r="N69" i="30"/>
  <c r="P69" i="30" s="1"/>
  <c r="U69" i="30"/>
  <c r="AK313" i="30"/>
  <c r="W127" i="8"/>
  <c r="W142" i="8" s="1"/>
  <c r="W135" i="8"/>
  <c r="W136" i="8" s="1"/>
  <c r="V86" i="8"/>
  <c r="V78" i="8"/>
  <c r="V93" i="8" s="1"/>
  <c r="CE57" i="11"/>
  <c r="J72" i="30"/>
  <c r="CI9" i="11"/>
  <c r="CU33" i="11"/>
  <c r="CV28" i="11"/>
  <c r="W313" i="30"/>
  <c r="AM225" i="30"/>
  <c r="W114" i="6"/>
  <c r="U115" i="6"/>
  <c r="W115" i="6" s="1"/>
  <c r="L121" i="6"/>
  <c r="L125" i="6"/>
  <c r="W315" i="30"/>
  <c r="W309" i="30"/>
  <c r="U310" i="30"/>
  <c r="W310" i="30" s="1"/>
  <c r="BM57" i="11"/>
  <c r="M30" i="8"/>
  <c r="BM15" i="11"/>
  <c r="BL14" i="11"/>
  <c r="BQ9" i="11"/>
  <c r="Z37" i="30"/>
  <c r="U78" i="8"/>
  <c r="U93" i="8" s="1"/>
  <c r="U86" i="8"/>
  <c r="U87" i="8" s="1"/>
  <c r="W118" i="6"/>
  <c r="AK34" i="30"/>
  <c r="W78" i="8"/>
  <c r="W93" i="8" s="1"/>
  <c r="X78" i="8"/>
  <c r="X93" i="8" s="1"/>
  <c r="W86" i="8"/>
  <c r="N65" i="30"/>
  <c r="P65" i="30" s="1"/>
  <c r="U65" i="30"/>
  <c r="L66" i="30"/>
  <c r="N66" i="30" s="1"/>
  <c r="AC259" i="8"/>
  <c r="AC286" i="8"/>
  <c r="AG258" i="8"/>
  <c r="AD258" i="8"/>
  <c r="AD62" i="8"/>
  <c r="AD59" i="8"/>
  <c r="DE34" i="11"/>
  <c r="DI28" i="11"/>
  <c r="X129" i="8"/>
  <c r="CW24" i="11"/>
  <c r="CV23" i="11"/>
  <c r="L229" i="8"/>
  <c r="L225" i="8"/>
  <c r="DC71" i="3"/>
  <c r="L231" i="8"/>
  <c r="AK309" i="30"/>
  <c r="AB310" i="30"/>
  <c r="CR133" i="7"/>
  <c r="AI39" i="10"/>
  <c r="AB45" i="10"/>
  <c r="AY72" i="12" s="1"/>
  <c r="AB40" i="10"/>
  <c r="AB43" i="10"/>
  <c r="AI42" i="10"/>
  <c r="AE245" i="8"/>
  <c r="Y246" i="8"/>
  <c r="N16" i="8"/>
  <c r="DD67" i="3"/>
  <c r="M33" i="8"/>
  <c r="M34" i="8" s="1"/>
  <c r="AC266" i="8"/>
  <c r="AB283" i="8"/>
  <c r="AB284" i="8" s="1"/>
  <c r="X219" i="8"/>
  <c r="Y209" i="8"/>
  <c r="Y218" i="8" s="1"/>
  <c r="AA47" i="48" s="1"/>
  <c r="AA48" i="48" s="1"/>
  <c r="DO66" i="3"/>
  <c r="DO83" i="3" s="1"/>
  <c r="X231" i="8"/>
  <c r="AB271" i="8"/>
  <c r="W220" i="8"/>
  <c r="W222" i="8"/>
  <c r="W223" i="8" s="1"/>
  <c r="W232" i="8"/>
  <c r="DN73" i="3"/>
  <c r="AA71" i="8"/>
  <c r="AB66" i="8"/>
  <c r="AB70" i="8" s="1"/>
  <c r="DR68" i="3"/>
  <c r="AA83" i="8"/>
  <c r="AA84" i="8" s="1"/>
  <c r="Y256" i="8"/>
  <c r="Z200" i="8"/>
  <c r="M21" i="8"/>
  <c r="Z72" i="8"/>
  <c r="Z95" i="8" s="1"/>
  <c r="Z74" i="8"/>
  <c r="Z75" i="8" s="1"/>
  <c r="CV146" i="7"/>
  <c r="CV145" i="7"/>
  <c r="CV156" i="7"/>
  <c r="CV155" i="7"/>
  <c r="CR134" i="7"/>
  <c r="CS114" i="7"/>
  <c r="CS124" i="7"/>
  <c r="CV176" i="7"/>
  <c r="CV177" i="7"/>
  <c r="DR39" i="3"/>
  <c r="AB229" i="30" l="1"/>
  <c r="CS133" i="7"/>
  <c r="CR174" i="7"/>
  <c r="AK229" i="30"/>
  <c r="AM229" i="30" s="1"/>
  <c r="CR153" i="7"/>
  <c r="CR143" i="7"/>
  <c r="CR186" i="7"/>
  <c r="AY53" i="12"/>
  <c r="AY56" i="12" s="1"/>
  <c r="AV10" i="13"/>
  <c r="AV16" i="13" s="1"/>
  <c r="Y141" i="48"/>
  <c r="Y143" i="48" s="1"/>
  <c r="Z105" i="48"/>
  <c r="S165" i="48"/>
  <c r="S32" i="48"/>
  <c r="I15" i="48"/>
  <c r="I38" i="48" s="1"/>
  <c r="I44" i="48"/>
  <c r="I33" i="48"/>
  <c r="J29" i="48" s="1"/>
  <c r="AB138" i="48"/>
  <c r="AC102" i="48"/>
  <c r="X168" i="48"/>
  <c r="W168" i="48"/>
  <c r="Q153" i="48"/>
  <c r="Q54" i="48"/>
  <c r="Q22" i="48"/>
  <c r="N157" i="48"/>
  <c r="S160" i="48"/>
  <c r="R161" i="48"/>
  <c r="L156" i="48"/>
  <c r="M156" i="48"/>
  <c r="M52" i="48"/>
  <c r="W59" i="48"/>
  <c r="W60" i="48"/>
  <c r="W55" i="48"/>
  <c r="W51" i="48"/>
  <c r="W52" i="48" s="1"/>
  <c r="U164" i="48"/>
  <c r="T164" i="48"/>
  <c r="N156" i="48"/>
  <c r="S59" i="48"/>
  <c r="S60" i="48"/>
  <c r="S55" i="48"/>
  <c r="S51" i="48"/>
  <c r="S52" i="48" s="1"/>
  <c r="T159" i="48"/>
  <c r="S159" i="48"/>
  <c r="J155" i="48"/>
  <c r="J172" i="48" s="1"/>
  <c r="J23" i="48" s="1"/>
  <c r="J12" i="48" s="1"/>
  <c r="J13" i="48" s="1"/>
  <c r="I172" i="48"/>
  <c r="I23" i="48" s="1"/>
  <c r="Y167" i="48"/>
  <c r="Z167" i="48" s="1"/>
  <c r="P153" i="48"/>
  <c r="P54" i="48"/>
  <c r="P22" i="48"/>
  <c r="O157" i="48"/>
  <c r="S161" i="48"/>
  <c r="N158" i="48"/>
  <c r="T166" i="48"/>
  <c r="T32" i="48"/>
  <c r="I52" i="48"/>
  <c r="AA139" i="48"/>
  <c r="AB103" i="48"/>
  <c r="X153" i="48"/>
  <c r="X54" i="48"/>
  <c r="X22" i="48"/>
  <c r="Q161" i="48"/>
  <c r="O156" i="48"/>
  <c r="Z140" i="48"/>
  <c r="AA104" i="48"/>
  <c r="V154" i="48"/>
  <c r="W169" i="48"/>
  <c r="W32" i="48"/>
  <c r="T60" i="48"/>
  <c r="T55" i="48"/>
  <c r="T51" i="48"/>
  <c r="T59" i="48"/>
  <c r="U55" i="48"/>
  <c r="AC81" i="12"/>
  <c r="AC14" i="12"/>
  <c r="AC28" i="12" s="1"/>
  <c r="AE9" i="12"/>
  <c r="AB56" i="13" s="1"/>
  <c r="DC81" i="3"/>
  <c r="DC72" i="3"/>
  <c r="W65" i="30"/>
  <c r="U66" i="30"/>
  <c r="W66" i="30" s="1"/>
  <c r="BQ53" i="11"/>
  <c r="BP53" i="11" s="1"/>
  <c r="BQ14" i="11"/>
  <c r="BP9" i="11"/>
  <c r="BM58" i="11"/>
  <c r="BL57" i="11"/>
  <c r="M228" i="8"/>
  <c r="N125" i="6"/>
  <c r="P125" i="6" s="1"/>
  <c r="U125" i="6"/>
  <c r="L76" i="30"/>
  <c r="J128" i="6"/>
  <c r="V126" i="16" s="1"/>
  <c r="X126" i="16" s="1"/>
  <c r="Z126" i="16" s="1"/>
  <c r="K76" i="30"/>
  <c r="L72" i="30"/>
  <c r="K72" i="30"/>
  <c r="AC87" i="8"/>
  <c r="AG86" i="8"/>
  <c r="N316" i="30"/>
  <c r="P316" i="30" s="1"/>
  <c r="U316" i="30"/>
  <c r="L317" i="30"/>
  <c r="N317" i="30" s="1"/>
  <c r="P317" i="30" s="1"/>
  <c r="AM30" i="30"/>
  <c r="AK31" i="30"/>
  <c r="AM31" i="30" s="1"/>
  <c r="L237" i="8"/>
  <c r="L238" i="8" s="1"/>
  <c r="L226" i="8"/>
  <c r="L243" i="8" s="1"/>
  <c r="X130" i="8"/>
  <c r="X132" i="8"/>
  <c r="X133" i="8" s="1"/>
  <c r="X126" i="8"/>
  <c r="AG286" i="8"/>
  <c r="AC287" i="8"/>
  <c r="N121" i="6"/>
  <c r="P121" i="6" s="1"/>
  <c r="U121" i="6"/>
  <c r="L122" i="6"/>
  <c r="N122" i="6" s="1"/>
  <c r="P122" i="6" s="1"/>
  <c r="W69" i="30"/>
  <c r="AD86" i="6"/>
  <c r="AF86" i="6" s="1"/>
  <c r="AB87" i="6"/>
  <c r="AD87" i="6" s="1"/>
  <c r="AF87" i="6" s="1"/>
  <c r="AK86" i="6"/>
  <c r="AM309" i="30"/>
  <c r="AK310" i="30"/>
  <c r="AM310" i="30" s="1"/>
  <c r="DI33" i="11"/>
  <c r="AD86" i="8"/>
  <c r="AD87" i="8" s="1"/>
  <c r="AD63" i="8"/>
  <c r="AD93" i="8" s="1"/>
  <c r="W87" i="8"/>
  <c r="X87" i="8"/>
  <c r="AM34" i="30"/>
  <c r="CY28" i="11"/>
  <c r="J323" i="30"/>
  <c r="CV33" i="11"/>
  <c r="AD316" i="30"/>
  <c r="AF316" i="30" s="1"/>
  <c r="AB316" i="30"/>
  <c r="Z320" i="30"/>
  <c r="AD317" i="30"/>
  <c r="AF317" i="30" s="1"/>
  <c r="DC73" i="3"/>
  <c r="L232" i="8"/>
  <c r="AD286" i="8"/>
  <c r="AD287" i="8" s="1"/>
  <c r="AD259" i="8"/>
  <c r="AB37" i="30"/>
  <c r="Z93" i="6"/>
  <c r="AB91" i="16" s="1"/>
  <c r="AD91" i="16" s="1"/>
  <c r="AD38" i="30"/>
  <c r="AF38" i="30" s="1"/>
  <c r="AD37" i="30"/>
  <c r="AF37" i="30" s="1"/>
  <c r="AB41" i="30"/>
  <c r="M27" i="8"/>
  <c r="M31" i="8"/>
  <c r="CI53" i="11"/>
  <c r="CI14" i="11"/>
  <c r="V87" i="8"/>
  <c r="AM313" i="30"/>
  <c r="AD90" i="6"/>
  <c r="AF90" i="6" s="1"/>
  <c r="AK90" i="6"/>
  <c r="U320" i="30"/>
  <c r="N320" i="30"/>
  <c r="P320" i="30" s="1"/>
  <c r="AB55" i="10"/>
  <c r="AB50" i="10"/>
  <c r="AB46" i="10"/>
  <c r="AI45" i="10"/>
  <c r="AX72" i="12" s="1"/>
  <c r="AB58" i="10"/>
  <c r="AB59" i="10" s="1"/>
  <c r="AC270" i="8"/>
  <c r="Z256" i="8"/>
  <c r="AA200" i="8"/>
  <c r="AA72" i="8"/>
  <c r="AA95" i="8" s="1"/>
  <c r="AA74" i="8"/>
  <c r="AA75" i="8" s="1"/>
  <c r="M22" i="8"/>
  <c r="M48" i="8" s="1"/>
  <c r="M24" i="8"/>
  <c r="M25" i="8" s="1"/>
  <c r="AB71" i="8"/>
  <c r="AC66" i="8"/>
  <c r="AC70" i="8" s="1"/>
  <c r="AB83" i="8"/>
  <c r="AB84" i="8" s="1"/>
  <c r="DS68" i="3"/>
  <c r="Y219" i="8"/>
  <c r="AE218" i="8"/>
  <c r="Z209" i="8"/>
  <c r="Z218" i="8" s="1"/>
  <c r="AB47" i="48" s="1"/>
  <c r="AB48" i="48" s="1"/>
  <c r="DP66" i="3"/>
  <c r="DP83" i="3" s="1"/>
  <c r="X220" i="8"/>
  <c r="X222" i="8"/>
  <c r="X223" i="8" s="1"/>
  <c r="AB272" i="8"/>
  <c r="AB274" i="8"/>
  <c r="AB275" i="8" s="1"/>
  <c r="X232" i="8"/>
  <c r="DO73" i="3"/>
  <c r="N20" i="8"/>
  <c r="C74" i="3"/>
  <c r="CW84" i="3"/>
  <c r="CX84" i="3"/>
  <c r="D74" i="3"/>
  <c r="CR187" i="7"/>
  <c r="CR175" i="7"/>
  <c r="CR154" i="7"/>
  <c r="CR144" i="7"/>
  <c r="DR38" i="3"/>
  <c r="DS39" i="3"/>
  <c r="CS153" i="7" l="1"/>
  <c r="CS174" i="7"/>
  <c r="CS186" i="7"/>
  <c r="AF91" i="16"/>
  <c r="AV27" i="13"/>
  <c r="AV30" i="13" s="1"/>
  <c r="AV73" i="13" s="1"/>
  <c r="AY39" i="12"/>
  <c r="AY48" i="12" s="1"/>
  <c r="V161" i="48"/>
  <c r="X164" i="48"/>
  <c r="V164" i="48"/>
  <c r="Q60" i="48"/>
  <c r="Q55" i="48"/>
  <c r="Q51" i="48"/>
  <c r="Q59" i="48"/>
  <c r="R55" i="48"/>
  <c r="AA167" i="48"/>
  <c r="Z141" i="48"/>
  <c r="Z143" i="48" s="1"/>
  <c r="AA105" i="48"/>
  <c r="T52" i="48"/>
  <c r="U52" i="48"/>
  <c r="X169" i="48"/>
  <c r="U166" i="48"/>
  <c r="P55" i="48"/>
  <c r="P51" i="48"/>
  <c r="P52" i="48" s="1"/>
  <c r="P59" i="48"/>
  <c r="P60" i="48" s="1"/>
  <c r="P157" i="48"/>
  <c r="Y168" i="48"/>
  <c r="W154" i="48"/>
  <c r="AB139" i="48"/>
  <c r="AC103" i="48"/>
  <c r="O158" i="48"/>
  <c r="P156" i="48"/>
  <c r="Q156" i="48"/>
  <c r="K155" i="48"/>
  <c r="U159" i="48"/>
  <c r="T161" i="48"/>
  <c r="Q163" i="48"/>
  <c r="R163" i="48" s="1"/>
  <c r="Q32" i="48"/>
  <c r="Z168" i="48"/>
  <c r="AA168" i="48" s="1"/>
  <c r="J30" i="48"/>
  <c r="J15" i="48" s="1"/>
  <c r="J38" i="48" s="1"/>
  <c r="T165" i="48"/>
  <c r="AB167" i="48"/>
  <c r="AC167" i="48" s="1"/>
  <c r="X170" i="48"/>
  <c r="X32" i="48"/>
  <c r="AA140" i="48"/>
  <c r="AB104" i="48"/>
  <c r="X60" i="48"/>
  <c r="X55" i="48"/>
  <c r="X51" i="48"/>
  <c r="X52" i="48" s="1"/>
  <c r="X59" i="48"/>
  <c r="P162" i="48"/>
  <c r="Q162" i="48" s="1"/>
  <c r="P32" i="48"/>
  <c r="I12" i="48"/>
  <c r="I13" i="48" s="1"/>
  <c r="I16" i="48" s="1"/>
  <c r="I24" i="48"/>
  <c r="M155" i="48"/>
  <c r="M172" i="48" s="1"/>
  <c r="M23" i="48" s="1"/>
  <c r="M12" i="48" s="1"/>
  <c r="M13" i="48" s="1"/>
  <c r="W164" i="48"/>
  <c r="Y164" i="48" s="1"/>
  <c r="T160" i="48"/>
  <c r="AC138" i="48"/>
  <c r="U161" i="48"/>
  <c r="Y153" i="48"/>
  <c r="Y54" i="48"/>
  <c r="Y22" i="48"/>
  <c r="AE81" i="12"/>
  <c r="AE14" i="12"/>
  <c r="AE28" i="12" s="1"/>
  <c r="AE64" i="12" s="1"/>
  <c r="AI9" i="12"/>
  <c r="AF56" i="13" s="1"/>
  <c r="M36" i="8"/>
  <c r="M37" i="8" s="1"/>
  <c r="M28" i="8"/>
  <c r="M43" i="8" s="1"/>
  <c r="AB93" i="6"/>
  <c r="AB97" i="6"/>
  <c r="AK316" i="30"/>
  <c r="AB317" i="30"/>
  <c r="CY53" i="11"/>
  <c r="CY33" i="11"/>
  <c r="CZ28" i="11"/>
  <c r="DI34" i="11"/>
  <c r="DM28" i="11"/>
  <c r="Y129" i="8"/>
  <c r="CI57" i="11"/>
  <c r="J79" i="30"/>
  <c r="CM9" i="11"/>
  <c r="AK41" i="30"/>
  <c r="AK37" i="30"/>
  <c r="AB38" i="30"/>
  <c r="W121" i="6"/>
  <c r="U122" i="6"/>
  <c r="W122" i="6" s="1"/>
  <c r="X135" i="8"/>
  <c r="X136" i="8" s="1"/>
  <c r="X127" i="8"/>
  <c r="X142" i="8" s="1"/>
  <c r="L128" i="6"/>
  <c r="L132" i="6"/>
  <c r="W320" i="30"/>
  <c r="W316" i="30"/>
  <c r="U317" i="30"/>
  <c r="W317" i="30" s="1"/>
  <c r="N76" i="30"/>
  <c r="P76" i="30" s="1"/>
  <c r="U76" i="30"/>
  <c r="DD71" i="3"/>
  <c r="M225" i="8"/>
  <c r="M229" i="8"/>
  <c r="M231" i="8"/>
  <c r="BQ57" i="11"/>
  <c r="BQ15" i="11"/>
  <c r="BP14" i="11"/>
  <c r="BU9" i="11"/>
  <c r="Z44" i="30"/>
  <c r="N30" i="8"/>
  <c r="AM90" i="6"/>
  <c r="AD320" i="30"/>
  <c r="AF320" i="30" s="1"/>
  <c r="Z321" i="30"/>
  <c r="AB320" i="30"/>
  <c r="L323" i="30"/>
  <c r="K323" i="30"/>
  <c r="K327" i="30"/>
  <c r="L327" i="30"/>
  <c r="AM86" i="6"/>
  <c r="AK87" i="6"/>
  <c r="AM87" i="6" s="1"/>
  <c r="N72" i="30"/>
  <c r="P72" i="30" s="1"/>
  <c r="U72" i="30"/>
  <c r="L73" i="30"/>
  <c r="N73" i="30" s="1"/>
  <c r="W125" i="6"/>
  <c r="AI50" i="10"/>
  <c r="AB51" i="10"/>
  <c r="AB56" i="10"/>
  <c r="AI55" i="10"/>
  <c r="AD266" i="8"/>
  <c r="AG270" i="8"/>
  <c r="AC283" i="8"/>
  <c r="AC284" i="8" s="1"/>
  <c r="AA256" i="8"/>
  <c r="AB200" i="8"/>
  <c r="O16" i="8"/>
  <c r="DE67" i="3"/>
  <c r="N33" i="8"/>
  <c r="N34" i="8" s="1"/>
  <c r="AC71" i="8"/>
  <c r="AD66" i="8"/>
  <c r="AD70" i="8" s="1"/>
  <c r="AG70" i="8"/>
  <c r="AC83" i="8"/>
  <c r="AC84" i="8" s="1"/>
  <c r="Z219" i="8"/>
  <c r="AA209" i="8"/>
  <c r="AA218" i="8" s="1"/>
  <c r="AC47" i="48" s="1"/>
  <c r="DQ66" i="3"/>
  <c r="DQ83" i="3" s="1"/>
  <c r="N21" i="8"/>
  <c r="Y220" i="8"/>
  <c r="Y222" i="8"/>
  <c r="Y223" i="8" s="1"/>
  <c r="AB72" i="8"/>
  <c r="AB95" i="8" s="1"/>
  <c r="AB74" i="8"/>
  <c r="AB75" i="8" s="1"/>
  <c r="AC271" i="8"/>
  <c r="CS175" i="7"/>
  <c r="DS38" i="3"/>
  <c r="AC48" i="48" l="1"/>
  <c r="AY58" i="12"/>
  <c r="AV32" i="13"/>
  <c r="AV34" i="13" s="1"/>
  <c r="AV54" i="13" s="1"/>
  <c r="C17" i="72"/>
  <c r="C18" i="72" s="1"/>
  <c r="C21" i="72" s="1"/>
  <c r="C25" i="72" s="1"/>
  <c r="AA164" i="48"/>
  <c r="Z164" i="48"/>
  <c r="Y171" i="48"/>
  <c r="Y32" i="48"/>
  <c r="S158" i="48"/>
  <c r="P158" i="48"/>
  <c r="R157" i="48"/>
  <c r="Q157" i="48"/>
  <c r="U165" i="48"/>
  <c r="V165" i="48" s="1"/>
  <c r="J33" i="48"/>
  <c r="T157" i="48"/>
  <c r="U157" i="48" s="1"/>
  <c r="V166" i="48"/>
  <c r="Q52" i="48"/>
  <c r="R52" i="48"/>
  <c r="AB168" i="48"/>
  <c r="AC168" i="48" s="1"/>
  <c r="V159" i="48"/>
  <c r="AB140" i="48"/>
  <c r="AC104" i="48"/>
  <c r="AC139" i="48"/>
  <c r="T162" i="48"/>
  <c r="S162" i="48"/>
  <c r="R162" i="48"/>
  <c r="R156" i="48"/>
  <c r="K172" i="48"/>
  <c r="K23" i="48" s="1"/>
  <c r="K12" i="48" s="1"/>
  <c r="K13" i="48" s="1"/>
  <c r="L155" i="48"/>
  <c r="R158" i="48"/>
  <c r="X154" i="48"/>
  <c r="W161" i="48"/>
  <c r="X161" i="48" s="1"/>
  <c r="S157" i="48"/>
  <c r="Q158" i="48"/>
  <c r="X166" i="48"/>
  <c r="W166" i="48"/>
  <c r="S156" i="48"/>
  <c r="T156" i="48" s="1"/>
  <c r="I37" i="48"/>
  <c r="I35" i="48"/>
  <c r="J21" i="48"/>
  <c r="J24" i="48" s="1"/>
  <c r="AA141" i="48"/>
  <c r="AA143" i="48" s="1"/>
  <c r="AB105" i="48"/>
  <c r="Y60" i="48"/>
  <c r="Y55" i="48"/>
  <c r="Y51" i="48"/>
  <c r="Y52" i="48" s="1"/>
  <c r="Y59" i="48"/>
  <c r="Y170" i="48"/>
  <c r="Z170" i="48" s="1"/>
  <c r="S163" i="48"/>
  <c r="U163" i="48"/>
  <c r="T163" i="48"/>
  <c r="V163" i="48"/>
  <c r="J16" i="48"/>
  <c r="Y169" i="48"/>
  <c r="Z153" i="48"/>
  <c r="Z54" i="48"/>
  <c r="Z22" i="48"/>
  <c r="U160" i="48"/>
  <c r="V160" i="48" s="1"/>
  <c r="AI81" i="12"/>
  <c r="AI14" i="12"/>
  <c r="AI28" i="12" s="1"/>
  <c r="AI64" i="12" s="1"/>
  <c r="AK9" i="12"/>
  <c r="AH56" i="13" s="1"/>
  <c r="W72" i="30"/>
  <c r="U73" i="30"/>
  <c r="W73" i="30" s="1"/>
  <c r="N327" i="30"/>
  <c r="P327" i="30" s="1"/>
  <c r="U327" i="30"/>
  <c r="AK320" i="30"/>
  <c r="CM53" i="11"/>
  <c r="CM14" i="11"/>
  <c r="DM33" i="11"/>
  <c r="DC28" i="11"/>
  <c r="J330" i="30"/>
  <c r="CY57" i="11"/>
  <c r="CZ33" i="11"/>
  <c r="AD97" i="6"/>
  <c r="AF97" i="6" s="1"/>
  <c r="AK97" i="6"/>
  <c r="AB321" i="30"/>
  <c r="AK321" i="30" s="1"/>
  <c r="AM321" i="30" s="1"/>
  <c r="AD321" i="30"/>
  <c r="AF321" i="30" s="1"/>
  <c r="Z322" i="30"/>
  <c r="N27" i="8"/>
  <c r="N31" i="8"/>
  <c r="M226" i="8"/>
  <c r="M237" i="8"/>
  <c r="M238" i="8" s="1"/>
  <c r="DD75" i="3"/>
  <c r="AM37" i="30"/>
  <c r="AK38" i="30"/>
  <c r="AM38" i="30" s="1"/>
  <c r="K83" i="30"/>
  <c r="J135" i="6"/>
  <c r="V133" i="16" s="1"/>
  <c r="X133" i="16" s="1"/>
  <c r="L83" i="30"/>
  <c r="L79" i="30"/>
  <c r="K79" i="30"/>
  <c r="AD93" i="6"/>
  <c r="AF93" i="6" s="1"/>
  <c r="AK93" i="6"/>
  <c r="AB94" i="6"/>
  <c r="AD94" i="6" s="1"/>
  <c r="AF94" i="6" s="1"/>
  <c r="AB48" i="30"/>
  <c r="AK48" i="30" s="1"/>
  <c r="AD44" i="30"/>
  <c r="AF44" i="30" s="1"/>
  <c r="AB44" i="30"/>
  <c r="AD45" i="30"/>
  <c r="AF45" i="30" s="1"/>
  <c r="BQ58" i="11"/>
  <c r="BP57" i="11"/>
  <c r="N228" i="8"/>
  <c r="DD72" i="3"/>
  <c r="DD81" i="3"/>
  <c r="N132" i="6"/>
  <c r="P132" i="6" s="1"/>
  <c r="U132" i="6"/>
  <c r="U323" i="30"/>
  <c r="N323" i="30"/>
  <c r="P323" i="30" s="1"/>
  <c r="L324" i="30"/>
  <c r="N324" i="30" s="1"/>
  <c r="P324" i="30" s="1"/>
  <c r="BU53" i="11"/>
  <c r="BT53" i="11" s="1"/>
  <c r="BU14" i="11"/>
  <c r="BT9" i="11"/>
  <c r="M232" i="8"/>
  <c r="DD73" i="3"/>
  <c r="W76" i="30"/>
  <c r="N128" i="6"/>
  <c r="P128" i="6" s="1"/>
  <c r="U128" i="6"/>
  <c r="L129" i="6"/>
  <c r="N129" i="6" s="1"/>
  <c r="P129" i="6" s="1"/>
  <c r="AM41" i="30"/>
  <c r="Y130" i="8"/>
  <c r="AE129" i="8"/>
  <c r="Y132" i="8"/>
  <c r="Y133" i="8" s="1"/>
  <c r="Y126" i="8"/>
  <c r="AM316" i="30"/>
  <c r="AK317" i="30"/>
  <c r="AM317" i="30" s="1"/>
  <c r="Z220" i="8"/>
  <c r="AC272" i="8"/>
  <c r="AC274" i="8"/>
  <c r="AC275" i="8" s="1"/>
  <c r="AC72" i="8"/>
  <c r="AC95" i="8" s="1"/>
  <c r="AC74" i="8"/>
  <c r="AC75" i="8" s="1"/>
  <c r="AD71" i="8"/>
  <c r="AD83" i="8"/>
  <c r="AD84" i="8" s="1"/>
  <c r="O20" i="8"/>
  <c r="AB256" i="8"/>
  <c r="AC200" i="8"/>
  <c r="N22" i="8"/>
  <c r="N48" i="8" s="1"/>
  <c r="N24" i="8"/>
  <c r="N25" i="8" s="1"/>
  <c r="AA219" i="8"/>
  <c r="AB209" i="8"/>
  <c r="AB218" i="8" s="1"/>
  <c r="AD47" i="48" s="1"/>
  <c r="AD51" i="48" s="1"/>
  <c r="DR66" i="3"/>
  <c r="DR83" i="3" s="1"/>
  <c r="AD270" i="8"/>
  <c r="AD283" i="8" s="1"/>
  <c r="AD284" i="8" s="1"/>
  <c r="AD271" i="8"/>
  <c r="BM278" i="30"/>
  <c r="BM280" i="30"/>
  <c r="BN278" i="30"/>
  <c r="BN280" i="30"/>
  <c r="AD48" i="48" l="1"/>
  <c r="Z133" i="16"/>
  <c r="AV65" i="13"/>
  <c r="AV57" i="13"/>
  <c r="AV55" i="13"/>
  <c r="AX52" i="13" s="1"/>
  <c r="AA170" i="48"/>
  <c r="AC170" i="48"/>
  <c r="AB170" i="48"/>
  <c r="Z157" i="48"/>
  <c r="V157" i="48"/>
  <c r="W157" i="48" s="1"/>
  <c r="Y154" i="48"/>
  <c r="L172" i="48"/>
  <c r="L23" i="48" s="1"/>
  <c r="L12" i="48" s="1"/>
  <c r="L13" i="48" s="1"/>
  <c r="V156" i="48"/>
  <c r="W156" i="48" s="1"/>
  <c r="X156" i="48" s="1"/>
  <c r="Y156" i="48" s="1"/>
  <c r="Z156" i="48" s="1"/>
  <c r="AA156" i="48" s="1"/>
  <c r="AB156" i="48" s="1"/>
  <c r="AC156" i="48" s="1"/>
  <c r="Z169" i="48"/>
  <c r="AA169" i="48" s="1"/>
  <c r="AB169" i="48" s="1"/>
  <c r="AB141" i="48"/>
  <c r="AB143" i="48" s="1"/>
  <c r="AC105" i="48"/>
  <c r="AC141" i="48" s="1"/>
  <c r="Z166" i="48"/>
  <c r="AA166" i="48" s="1"/>
  <c r="AB166" i="48" s="1"/>
  <c r="Y166" i="48"/>
  <c r="K29" i="48"/>
  <c r="J44" i="48"/>
  <c r="AB164" i="48"/>
  <c r="AC164" i="48" s="1"/>
  <c r="W160" i="48"/>
  <c r="AB160" i="48" s="1"/>
  <c r="AC160" i="48" s="1"/>
  <c r="X160" i="48"/>
  <c r="AA160" i="48"/>
  <c r="N155" i="48"/>
  <c r="N172" i="48" s="1"/>
  <c r="N23" i="48" s="1"/>
  <c r="N12" i="48" s="1"/>
  <c r="N13" i="48" s="1"/>
  <c r="U156" i="48"/>
  <c r="Z171" i="48"/>
  <c r="Z32" i="48"/>
  <c r="X157" i="48"/>
  <c r="AA153" i="48"/>
  <c r="AA54" i="48"/>
  <c r="AA22" i="48"/>
  <c r="O155" i="48"/>
  <c r="O172" i="48" s="1"/>
  <c r="O23" i="48" s="1"/>
  <c r="O12" i="48" s="1"/>
  <c r="O13" i="48" s="1"/>
  <c r="U162" i="48"/>
  <c r="W159" i="48"/>
  <c r="Y160" i="48"/>
  <c r="Z160" i="48" s="1"/>
  <c r="Y157" i="48"/>
  <c r="Z55" i="48"/>
  <c r="Z51" i="48"/>
  <c r="Z52" i="48" s="1"/>
  <c r="Z59" i="48"/>
  <c r="Z60" i="48" s="1"/>
  <c r="W165" i="48"/>
  <c r="X165" i="48" s="1"/>
  <c r="W163" i="48"/>
  <c r="J37" i="48"/>
  <c r="J39" i="48" s="1"/>
  <c r="J35" i="48"/>
  <c r="K21" i="48"/>
  <c r="K24" i="48" s="1"/>
  <c r="AC140" i="48"/>
  <c r="T158" i="48"/>
  <c r="U158" i="48" s="1"/>
  <c r="Y161" i="48"/>
  <c r="AK81" i="12"/>
  <c r="AK14" i="12"/>
  <c r="AK28" i="12" s="1"/>
  <c r="AK64" i="12" s="1"/>
  <c r="AM9" i="12"/>
  <c r="AJ56" i="13" s="1"/>
  <c r="N225" i="8"/>
  <c r="Z100" i="6"/>
  <c r="AB98" i="16" s="1"/>
  <c r="AD98" i="16" s="1"/>
  <c r="AF98" i="16" s="1"/>
  <c r="DE71" i="3"/>
  <c r="N229" i="8"/>
  <c r="N231" i="8"/>
  <c r="AK44" i="30"/>
  <c r="AB45" i="30"/>
  <c r="AM93" i="6"/>
  <c r="AK94" i="6"/>
  <c r="AM94" i="6" s="1"/>
  <c r="N83" i="30"/>
  <c r="P83" i="30" s="1"/>
  <c r="U83" i="30"/>
  <c r="L135" i="6"/>
  <c r="L139" i="6"/>
  <c r="N28" i="8"/>
  <c r="N43" i="8" s="1"/>
  <c r="N36" i="8"/>
  <c r="N37" i="8" s="1"/>
  <c r="AM97" i="6"/>
  <c r="DM34" i="11"/>
  <c r="DQ28" i="11"/>
  <c r="Z129" i="8"/>
  <c r="AM320" i="30"/>
  <c r="BU57" i="11"/>
  <c r="BT14" i="11"/>
  <c r="BU15" i="11"/>
  <c r="BY9" i="11"/>
  <c r="Z51" i="30"/>
  <c r="O30" i="8"/>
  <c r="W323" i="30"/>
  <c r="U324" i="30"/>
  <c r="W324" i="30" s="1"/>
  <c r="AM48" i="30"/>
  <c r="Z323" i="30"/>
  <c r="AD322" i="30"/>
  <c r="AF322" i="30" s="1"/>
  <c r="AB322" i="30"/>
  <c r="AK322" i="30" s="1"/>
  <c r="AM322" i="30" s="1"/>
  <c r="K330" i="30"/>
  <c r="J163" i="6"/>
  <c r="V161" i="16" s="1"/>
  <c r="X161" i="16" s="1"/>
  <c r="L330" i="30"/>
  <c r="L334" i="30"/>
  <c r="K334" i="30"/>
  <c r="CM57" i="11"/>
  <c r="CQ9" i="11"/>
  <c r="J86" i="30"/>
  <c r="Y127" i="8"/>
  <c r="AE126" i="8"/>
  <c r="W128" i="6"/>
  <c r="U129" i="6"/>
  <c r="W129" i="6" s="1"/>
  <c r="W132" i="6"/>
  <c r="N79" i="30"/>
  <c r="P79" i="30" s="1"/>
  <c r="U79" i="30"/>
  <c r="L80" i="30"/>
  <c r="N80" i="30" s="1"/>
  <c r="DC33" i="11"/>
  <c r="DC53" i="11"/>
  <c r="DD28" i="11"/>
  <c r="W327" i="30"/>
  <c r="AC256" i="8"/>
  <c r="AD200" i="8"/>
  <c r="AD256" i="8" s="1"/>
  <c r="BN281" i="30"/>
  <c r="AD272" i="8"/>
  <c r="AD274" i="8"/>
  <c r="AD275" i="8" s="1"/>
  <c r="AA220" i="8"/>
  <c r="P16" i="8"/>
  <c r="DF67" i="3"/>
  <c r="O33" i="8"/>
  <c r="O34" i="8" s="1"/>
  <c r="O21" i="8"/>
  <c r="AC209" i="8"/>
  <c r="AC218" i="8" s="1"/>
  <c r="DS66" i="3"/>
  <c r="DS83" i="3" s="1"/>
  <c r="AB219" i="8"/>
  <c r="AD72" i="8"/>
  <c r="AD95" i="8" s="1"/>
  <c r="AD74" i="8"/>
  <c r="AD75" i="8" s="1"/>
  <c r="Z165" i="48" l="1"/>
  <c r="Y165" i="48"/>
  <c r="AA165" i="48" s="1"/>
  <c r="W158" i="48"/>
  <c r="X158" i="48" s="1"/>
  <c r="V158" i="48"/>
  <c r="L21" i="48"/>
  <c r="L24" i="48" s="1"/>
  <c r="K37" i="48"/>
  <c r="K39" i="48" s="1"/>
  <c r="AA157" i="48"/>
  <c r="AB157" i="48" s="1"/>
  <c r="AC157" i="48" s="1"/>
  <c r="AA159" i="48"/>
  <c r="AB159" i="48" s="1"/>
  <c r="AC159" i="48" s="1"/>
  <c r="AA171" i="48"/>
  <c r="AA32" i="48"/>
  <c r="X163" i="48"/>
  <c r="P155" i="48"/>
  <c r="AB153" i="48"/>
  <c r="AB54" i="48"/>
  <c r="AB22" i="48"/>
  <c r="Q155" i="48"/>
  <c r="Q172" i="48" s="1"/>
  <c r="Q23" i="48" s="1"/>
  <c r="Q12" i="48" s="1"/>
  <c r="Q13" i="48" s="1"/>
  <c r="K33" i="48"/>
  <c r="L29" i="48" s="1"/>
  <c r="K30" i="48"/>
  <c r="K15" i="48" s="1"/>
  <c r="Z161" i="48"/>
  <c r="AA161" i="48" s="1"/>
  <c r="AB161" i="48" s="1"/>
  <c r="AC161" i="48" s="1"/>
  <c r="X159" i="48"/>
  <c r="Y159" i="48" s="1"/>
  <c r="Z159" i="48" s="1"/>
  <c r="AA59" i="48"/>
  <c r="AA60" i="48"/>
  <c r="AA55" i="48"/>
  <c r="AA51" i="48"/>
  <c r="AA52" i="48" s="1"/>
  <c r="Y163" i="48"/>
  <c r="Z163" i="48" s="1"/>
  <c r="K44" i="48"/>
  <c r="V162" i="48"/>
  <c r="R155" i="48"/>
  <c r="R172" i="48" s="1"/>
  <c r="R23" i="48" s="1"/>
  <c r="R12" i="48" s="1"/>
  <c r="R13" i="48" s="1"/>
  <c r="AC169" i="48"/>
  <c r="Z154" i="48"/>
  <c r="AC166" i="48"/>
  <c r="AC143" i="48"/>
  <c r="AM81" i="12"/>
  <c r="AM14" i="12"/>
  <c r="AM28" i="12" s="1"/>
  <c r="AM64" i="12" s="1"/>
  <c r="AO9" i="12"/>
  <c r="AL56" i="13" s="1"/>
  <c r="L163" i="6"/>
  <c r="L167" i="6"/>
  <c r="AD323" i="30"/>
  <c r="AF323" i="30" s="1"/>
  <c r="AB323" i="30"/>
  <c r="AK323" i="30" s="1"/>
  <c r="AM323" i="30" s="1"/>
  <c r="AD324" i="30"/>
  <c r="AF324" i="30" s="1"/>
  <c r="Z327" i="30"/>
  <c r="W83" i="30"/>
  <c r="W79" i="30"/>
  <c r="U80" i="30"/>
  <c r="W80" i="30" s="1"/>
  <c r="O27" i="8"/>
  <c r="O31" i="8"/>
  <c r="Z130" i="8"/>
  <c r="Z132" i="8"/>
  <c r="Z133" i="8" s="1"/>
  <c r="Z126" i="8"/>
  <c r="N139" i="6"/>
  <c r="P139" i="6" s="1"/>
  <c r="U139" i="6"/>
  <c r="DE72" i="3"/>
  <c r="DE81" i="3"/>
  <c r="L86" i="30"/>
  <c r="J142" i="6"/>
  <c r="V140" i="16" s="1"/>
  <c r="X140" i="16" s="1"/>
  <c r="Z140" i="16" s="1"/>
  <c r="K90" i="30"/>
  <c r="L90" i="30"/>
  <c r="K86" i="30"/>
  <c r="Z86" i="30"/>
  <c r="N334" i="30"/>
  <c r="P334" i="30" s="1"/>
  <c r="U334" i="30"/>
  <c r="AB55" i="30"/>
  <c r="AK55" i="30" s="1"/>
  <c r="AD52" i="30"/>
  <c r="AF52" i="30" s="1"/>
  <c r="AD51" i="30"/>
  <c r="AF51" i="30" s="1"/>
  <c r="AB51" i="30"/>
  <c r="BY53" i="11"/>
  <c r="BX53" i="11" s="1"/>
  <c r="BU58" i="11"/>
  <c r="BT57" i="11"/>
  <c r="O228" i="8"/>
  <c r="DQ33" i="11"/>
  <c r="N135" i="6"/>
  <c r="P135" i="6" s="1"/>
  <c r="U135" i="6"/>
  <c r="L136" i="6"/>
  <c r="N136" i="6" s="1"/>
  <c r="P136" i="6" s="1"/>
  <c r="AM44" i="30"/>
  <c r="AK45" i="30"/>
  <c r="AM45" i="30" s="1"/>
  <c r="AJ82" i="3"/>
  <c r="AB104" i="6"/>
  <c r="AB100" i="6"/>
  <c r="DG28" i="11"/>
  <c r="J337" i="30"/>
  <c r="DC57" i="11"/>
  <c r="DD33" i="11"/>
  <c r="CQ53" i="11"/>
  <c r="CQ14" i="11"/>
  <c r="N330" i="30"/>
  <c r="P330" i="30" s="1"/>
  <c r="U330" i="30"/>
  <c r="L331" i="30"/>
  <c r="BY14" i="11"/>
  <c r="BX9" i="11"/>
  <c r="AK324" i="30"/>
  <c r="AM324" i="30" s="1"/>
  <c r="AB324" i="30"/>
  <c r="DE73" i="3"/>
  <c r="N232" i="8"/>
  <c r="N226" i="8"/>
  <c r="N237" i="8"/>
  <c r="N238" i="8" s="1"/>
  <c r="DE75" i="3"/>
  <c r="P20" i="8"/>
  <c r="AB220" i="8"/>
  <c r="AC219" i="8"/>
  <c r="AC220" i="8" s="1"/>
  <c r="AD209" i="8"/>
  <c r="AD218" i="8" s="1"/>
  <c r="O22" i="8"/>
  <c r="O48" i="8" s="1"/>
  <c r="O24" i="8"/>
  <c r="O25" i="8" s="1"/>
  <c r="AA163" i="48" l="1"/>
  <c r="AB163" i="48" s="1"/>
  <c r="AC163" i="48"/>
  <c r="AB165" i="48"/>
  <c r="L30" i="48"/>
  <c r="L15" i="48" s="1"/>
  <c r="L33" i="48"/>
  <c r="M29" i="48" s="1"/>
  <c r="P172" i="48"/>
  <c r="P23" i="48" s="1"/>
  <c r="P12" i="48" s="1"/>
  <c r="P13" i="48" s="1"/>
  <c r="M21" i="48"/>
  <c r="M24" i="48" s="1"/>
  <c r="L44" i="48"/>
  <c r="AB171" i="48"/>
  <c r="AB32" i="48"/>
  <c r="S155" i="48"/>
  <c r="W162" i="48"/>
  <c r="Y158" i="48"/>
  <c r="Z158" i="48" s="1"/>
  <c r="AA158" i="48" s="1"/>
  <c r="AB158" i="48" s="1"/>
  <c r="AC158" i="48" s="1"/>
  <c r="AC165" i="48"/>
  <c r="AB55" i="48"/>
  <c r="AB51" i="48"/>
  <c r="AB52" i="48" s="1"/>
  <c r="AB59" i="48"/>
  <c r="AB60" i="48" s="1"/>
  <c r="AC153" i="48"/>
  <c r="AC54" i="48"/>
  <c r="AC22" i="48"/>
  <c r="AA154" i="48"/>
  <c r="K38" i="48"/>
  <c r="K16" i="48"/>
  <c r="K35" i="48"/>
  <c r="AO81" i="12"/>
  <c r="AO14" i="12"/>
  <c r="AO28" i="12" s="1"/>
  <c r="AO64" i="12" s="1"/>
  <c r="AQ9" i="12"/>
  <c r="AN56" i="13" s="1"/>
  <c r="N331" i="30"/>
  <c r="P331" i="30" s="1"/>
  <c r="DG53" i="11"/>
  <c r="DH28" i="11"/>
  <c r="W135" i="6"/>
  <c r="U136" i="6"/>
  <c r="W136" i="6" s="1"/>
  <c r="Z107" i="6"/>
  <c r="AB105" i="16" s="1"/>
  <c r="AD105" i="16" s="1"/>
  <c r="AF105" i="16" s="1"/>
  <c r="DF71" i="3"/>
  <c r="O229" i="8"/>
  <c r="O225" i="8"/>
  <c r="O231" i="8"/>
  <c r="AB52" i="30"/>
  <c r="AK51" i="30"/>
  <c r="W334" i="30"/>
  <c r="N86" i="30"/>
  <c r="P86" i="30" s="1"/>
  <c r="U86" i="30"/>
  <c r="L87" i="30"/>
  <c r="N87" i="30" s="1"/>
  <c r="AD327" i="30"/>
  <c r="AF327" i="30" s="1"/>
  <c r="AB327" i="30"/>
  <c r="Z328" i="30"/>
  <c r="U167" i="6"/>
  <c r="W330" i="30"/>
  <c r="U331" i="30"/>
  <c r="W331" i="30" s="1"/>
  <c r="N90" i="30"/>
  <c r="P90" i="30" s="1"/>
  <c r="U90" i="30"/>
  <c r="U163" i="6"/>
  <c r="AD100" i="6"/>
  <c r="AF100" i="6" s="1"/>
  <c r="AK100" i="6"/>
  <c r="AB101" i="6"/>
  <c r="AD101" i="6" s="1"/>
  <c r="AF101" i="6" s="1"/>
  <c r="Z127" i="8"/>
  <c r="BY57" i="11"/>
  <c r="BX14" i="11"/>
  <c r="CC9" i="11"/>
  <c r="BY15" i="11"/>
  <c r="Z58" i="30"/>
  <c r="P30" i="8"/>
  <c r="CU9" i="11"/>
  <c r="J93" i="30"/>
  <c r="L337" i="30"/>
  <c r="K337" i="30"/>
  <c r="L341" i="30"/>
  <c r="K341" i="30"/>
  <c r="J170" i="6"/>
  <c r="V168" i="16" s="1"/>
  <c r="X168" i="16" s="1"/>
  <c r="AD104" i="6"/>
  <c r="AF104" i="6" s="1"/>
  <c r="AK104" i="6"/>
  <c r="DQ34" i="11"/>
  <c r="DU28" i="11"/>
  <c r="AA129" i="8"/>
  <c r="AM55" i="30"/>
  <c r="AB86" i="30"/>
  <c r="L142" i="6"/>
  <c r="L146" i="6"/>
  <c r="W139" i="6"/>
  <c r="O28" i="8"/>
  <c r="O43" i="8" s="1"/>
  <c r="O36" i="8"/>
  <c r="O37" i="8" s="1"/>
  <c r="Q16" i="8"/>
  <c r="DG67" i="3"/>
  <c r="P33" i="8"/>
  <c r="P34" i="8" s="1"/>
  <c r="AD219" i="8"/>
  <c r="AD220" i="8" s="1"/>
  <c r="AG218" i="8"/>
  <c r="P21" i="8"/>
  <c r="AE83" i="3"/>
  <c r="Z168" i="16" l="1"/>
  <c r="L35" i="48"/>
  <c r="AC60" i="48"/>
  <c r="AC55" i="48"/>
  <c r="AC51" i="48"/>
  <c r="AC59" i="48"/>
  <c r="AC171" i="48"/>
  <c r="AC32" i="48"/>
  <c r="X162" i="48"/>
  <c r="L37" i="48"/>
  <c r="L39" i="48" s="1"/>
  <c r="AB154" i="48"/>
  <c r="M30" i="48"/>
  <c r="M15" i="48" s="1"/>
  <c r="M33" i="48"/>
  <c r="N29" i="48" s="1"/>
  <c r="S172" i="48"/>
  <c r="S23" i="48" s="1"/>
  <c r="S12" i="48" s="1"/>
  <c r="S13" i="48" s="1"/>
  <c r="T155" i="48"/>
  <c r="Y162" i="48"/>
  <c r="Z162" i="48" s="1"/>
  <c r="N21" i="48"/>
  <c r="N24" i="48" s="1"/>
  <c r="L38" i="48"/>
  <c r="L16" i="48"/>
  <c r="AQ81" i="12"/>
  <c r="AQ14" i="12"/>
  <c r="AQ28" i="12" s="1"/>
  <c r="AQ64" i="12" s="1"/>
  <c r="AS9" i="12"/>
  <c r="AP56" i="13" s="1"/>
  <c r="L174" i="6"/>
  <c r="L170" i="6"/>
  <c r="N337" i="30"/>
  <c r="P337" i="30" s="1"/>
  <c r="U337" i="30"/>
  <c r="L338" i="30"/>
  <c r="N338" i="30" s="1"/>
  <c r="P338" i="30" s="1"/>
  <c r="P27" i="8"/>
  <c r="P31" i="8"/>
  <c r="O232" i="8"/>
  <c r="DF73" i="3"/>
  <c r="AB111" i="6"/>
  <c r="AO82" i="3"/>
  <c r="AB107" i="6"/>
  <c r="AA130" i="8"/>
  <c r="AA132" i="8"/>
  <c r="AA133" i="8" s="1"/>
  <c r="AA126" i="8"/>
  <c r="AM104" i="6"/>
  <c r="J149" i="6"/>
  <c r="V147" i="16" s="1"/>
  <c r="X147" i="16" s="1"/>
  <c r="Z147" i="16" s="1"/>
  <c r="K97" i="30"/>
  <c r="L97" i="30"/>
  <c r="L93" i="30"/>
  <c r="K93" i="30"/>
  <c r="AB62" i="30"/>
  <c r="AK62" i="30" s="1"/>
  <c r="AB58" i="30"/>
  <c r="AD59" i="30"/>
  <c r="AF59" i="30" s="1"/>
  <c r="AD58" i="30"/>
  <c r="AF58" i="30" s="1"/>
  <c r="BY58" i="11"/>
  <c r="BX57" i="11"/>
  <c r="P228" i="8"/>
  <c r="AM100" i="6"/>
  <c r="AK101" i="6"/>
  <c r="AM101" i="6" s="1"/>
  <c r="W90" i="30"/>
  <c r="O226" i="8"/>
  <c r="O243" i="8" s="1"/>
  <c r="O237" i="8"/>
  <c r="O238" i="8" s="1"/>
  <c r="DF75" i="3"/>
  <c r="DK28" i="11"/>
  <c r="J344" i="30"/>
  <c r="DG57" i="11"/>
  <c r="DH33" i="11"/>
  <c r="U146" i="6"/>
  <c r="N146" i="6"/>
  <c r="P146" i="6" s="1"/>
  <c r="AK86" i="30"/>
  <c r="DU33" i="11"/>
  <c r="U341" i="30"/>
  <c r="N341" i="30"/>
  <c r="P341" i="30" s="1"/>
  <c r="CU53" i="11"/>
  <c r="CU14" i="11"/>
  <c r="Z329" i="30"/>
  <c r="AD328" i="30"/>
  <c r="AF328" i="30" s="1"/>
  <c r="AB328" i="30"/>
  <c r="AK328" i="30" s="1"/>
  <c r="AM328" i="30" s="1"/>
  <c r="W86" i="30"/>
  <c r="U87" i="30"/>
  <c r="W87" i="30" s="1"/>
  <c r="AM51" i="30"/>
  <c r="AK52" i="30"/>
  <c r="AM52" i="30" s="1"/>
  <c r="N142" i="6"/>
  <c r="P142" i="6" s="1"/>
  <c r="U142" i="6"/>
  <c r="L143" i="6"/>
  <c r="N143" i="6" s="1"/>
  <c r="P143" i="6" s="1"/>
  <c r="CC53" i="11"/>
  <c r="CB53" i="11" s="1"/>
  <c r="CC14" i="11"/>
  <c r="CB9" i="11"/>
  <c r="AK327" i="30"/>
  <c r="DF72" i="3"/>
  <c r="DF81" i="3"/>
  <c r="Q21" i="8"/>
  <c r="Q20" i="8"/>
  <c r="P22" i="8"/>
  <c r="P48" i="8" s="1"/>
  <c r="P24" i="8"/>
  <c r="P25" i="8" s="1"/>
  <c r="AC52" i="48" l="1"/>
  <c r="AD52" i="48"/>
  <c r="M37" i="48"/>
  <c r="M39" i="48" s="1"/>
  <c r="AC154" i="48"/>
  <c r="AA162" i="48"/>
  <c r="AB162" i="48" s="1"/>
  <c r="AC162" i="48" s="1"/>
  <c r="M35" i="48"/>
  <c r="M38" i="48"/>
  <c r="M16" i="48"/>
  <c r="M44" i="48"/>
  <c r="O21" i="48"/>
  <c r="O24" i="48" s="1"/>
  <c r="T172" i="48"/>
  <c r="T23" i="48" s="1"/>
  <c r="T12" i="48" s="1"/>
  <c r="T13" i="48" s="1"/>
  <c r="U155" i="48"/>
  <c r="AS81" i="12"/>
  <c r="AS14" i="12"/>
  <c r="AS28" i="12" s="1"/>
  <c r="AS64" i="12" s="1"/>
  <c r="AU9" i="12"/>
  <c r="AM327" i="30"/>
  <c r="CU57" i="11"/>
  <c r="J100" i="30"/>
  <c r="W341" i="30"/>
  <c r="L149" i="6"/>
  <c r="L153" i="6"/>
  <c r="AD107" i="6"/>
  <c r="AF107" i="6" s="1"/>
  <c r="AK107" i="6"/>
  <c r="AB108" i="6"/>
  <c r="AD108" i="6" s="1"/>
  <c r="AF108" i="6" s="1"/>
  <c r="W337" i="30"/>
  <c r="U338" i="30"/>
  <c r="W338" i="30" s="1"/>
  <c r="P229" i="8"/>
  <c r="P225" i="8"/>
  <c r="Z114" i="6"/>
  <c r="AB112" i="16" s="1"/>
  <c r="AD112" i="16" s="1"/>
  <c r="AF112" i="16" s="1"/>
  <c r="DG71" i="3"/>
  <c r="P231" i="8"/>
  <c r="N93" i="30"/>
  <c r="P93" i="30" s="1"/>
  <c r="U93" i="30"/>
  <c r="L94" i="30"/>
  <c r="N94" i="30" s="1"/>
  <c r="W142" i="6"/>
  <c r="U143" i="6"/>
  <c r="W143" i="6" s="1"/>
  <c r="DU34" i="11"/>
  <c r="AB129" i="8"/>
  <c r="DY28" i="11"/>
  <c r="K344" i="30"/>
  <c r="L344" i="30"/>
  <c r="L348" i="30"/>
  <c r="K348" i="30"/>
  <c r="J177" i="6"/>
  <c r="AB59" i="30"/>
  <c r="AK58" i="30"/>
  <c r="N97" i="30"/>
  <c r="P97" i="30" s="1"/>
  <c r="U97" i="30"/>
  <c r="AD111" i="6"/>
  <c r="AK111" i="6"/>
  <c r="P28" i="8"/>
  <c r="P43" i="8" s="1"/>
  <c r="P36" i="8"/>
  <c r="P37" i="8" s="1"/>
  <c r="N170" i="6"/>
  <c r="P170" i="6" s="1"/>
  <c r="U170" i="6"/>
  <c r="L171" i="6"/>
  <c r="CC57" i="11"/>
  <c r="CC15" i="11"/>
  <c r="Q30" i="8"/>
  <c r="CB14" i="11"/>
  <c r="CG9" i="11"/>
  <c r="Z65" i="30"/>
  <c r="Z330" i="30"/>
  <c r="AB329" i="30"/>
  <c r="AD329" i="30"/>
  <c r="AF329" i="30" s="1"/>
  <c r="W146" i="6"/>
  <c r="DK33" i="11"/>
  <c r="DK53" i="11"/>
  <c r="DL28" i="11"/>
  <c r="AM62" i="30"/>
  <c r="AA127" i="8"/>
  <c r="N174" i="6"/>
  <c r="P174" i="6" s="1"/>
  <c r="U174" i="6"/>
  <c r="Q22" i="8"/>
  <c r="Q48" i="8" s="1"/>
  <c r="Q24" i="8"/>
  <c r="Q25" i="8" s="1"/>
  <c r="R16" i="8"/>
  <c r="DH67" i="3"/>
  <c r="Q33" i="8"/>
  <c r="Q34" i="8" s="1"/>
  <c r="AJ83" i="3"/>
  <c r="V175" i="16" l="1"/>
  <c r="X175" i="16" s="1"/>
  <c r="Z175" i="16" s="1"/>
  <c r="AR56" i="13"/>
  <c r="U172" i="48"/>
  <c r="U23" i="48" s="1"/>
  <c r="U12" i="48" s="1"/>
  <c r="U13" i="48" s="1"/>
  <c r="V155" i="48"/>
  <c r="N30" i="48"/>
  <c r="P21" i="48"/>
  <c r="P24" i="48" s="1"/>
  <c r="AU81" i="12"/>
  <c r="AU14" i="12"/>
  <c r="AU28" i="12" s="1"/>
  <c r="AU64" i="12" s="1"/>
  <c r="AW9" i="12"/>
  <c r="W174" i="6"/>
  <c r="AD65" i="30"/>
  <c r="AF65" i="30" s="1"/>
  <c r="AD66" i="30"/>
  <c r="AF66" i="30" s="1"/>
  <c r="AB69" i="30"/>
  <c r="AB65" i="30"/>
  <c r="DY33" i="11"/>
  <c r="W93" i="30"/>
  <c r="U94" i="30"/>
  <c r="W94" i="30" s="1"/>
  <c r="AB114" i="6"/>
  <c r="AB118" i="6"/>
  <c r="AT82" i="3"/>
  <c r="N153" i="6"/>
  <c r="P153" i="6" s="1"/>
  <c r="U153" i="6"/>
  <c r="L100" i="30"/>
  <c r="J156" i="6"/>
  <c r="V154" i="16" s="1"/>
  <c r="X154" i="16" s="1"/>
  <c r="K100" i="30"/>
  <c r="L104" i="30"/>
  <c r="DO28" i="11"/>
  <c r="J351" i="30"/>
  <c r="DK57" i="11"/>
  <c r="DL33" i="11"/>
  <c r="CG53" i="11"/>
  <c r="CF53" i="11" s="1"/>
  <c r="CG14" i="11"/>
  <c r="CF9" i="11"/>
  <c r="CC58" i="11"/>
  <c r="CB57" i="11"/>
  <c r="Q228" i="8"/>
  <c r="AM58" i="30"/>
  <c r="AK59" i="30"/>
  <c r="AM59" i="30" s="1"/>
  <c r="U348" i="30"/>
  <c r="N348" i="30"/>
  <c r="AB130" i="8"/>
  <c r="AB132" i="8"/>
  <c r="AB133" i="8" s="1"/>
  <c r="AB126" i="8"/>
  <c r="P226" i="8"/>
  <c r="P243" i="8" s="1"/>
  <c r="P237" i="8"/>
  <c r="P238" i="8" s="1"/>
  <c r="DG75" i="3"/>
  <c r="U149" i="6"/>
  <c r="N149" i="6"/>
  <c r="P149" i="6" s="1"/>
  <c r="L150" i="6"/>
  <c r="N150" i="6" s="1"/>
  <c r="P150" i="6" s="1"/>
  <c r="AK329" i="30"/>
  <c r="W97" i="30"/>
  <c r="N344" i="30"/>
  <c r="L345" i="30"/>
  <c r="N345" i="30" s="1"/>
  <c r="P232" i="8"/>
  <c r="DG73" i="3"/>
  <c r="AM107" i="6"/>
  <c r="AK108" i="6"/>
  <c r="AM108" i="6" s="1"/>
  <c r="AD331" i="30"/>
  <c r="AF331" i="30" s="1"/>
  <c r="AD330" i="30"/>
  <c r="AF330" i="30" s="1"/>
  <c r="Z334" i="30"/>
  <c r="AB330" i="30"/>
  <c r="AK330" i="30" s="1"/>
  <c r="AM330" i="30" s="1"/>
  <c r="Q27" i="8"/>
  <c r="Q31" i="8"/>
  <c r="W170" i="6"/>
  <c r="U171" i="6"/>
  <c r="AM111" i="6"/>
  <c r="L181" i="6"/>
  <c r="L177" i="6"/>
  <c r="DG81" i="3"/>
  <c r="DG72" i="3"/>
  <c r="R20" i="8"/>
  <c r="R21" i="8" s="1"/>
  <c r="DA75" i="3"/>
  <c r="DA84" i="3"/>
  <c r="DA74" i="3"/>
  <c r="Z154" i="16" l="1"/>
  <c r="Z161" i="16"/>
  <c r="AT56" i="13"/>
  <c r="N15" i="48"/>
  <c r="N33" i="48"/>
  <c r="V172" i="48"/>
  <c r="V23" i="48" s="1"/>
  <c r="V12" i="48" s="1"/>
  <c r="V13" i="48" s="1"/>
  <c r="W155" i="48"/>
  <c r="Q21" i="48"/>
  <c r="Q24" i="48" s="1"/>
  <c r="AW81" i="12"/>
  <c r="AW14" i="12"/>
  <c r="AW28" i="12" s="1"/>
  <c r="AW64" i="12" s="1"/>
  <c r="N177" i="6"/>
  <c r="L178" i="6"/>
  <c r="N178" i="6" s="1"/>
  <c r="AB331" i="30"/>
  <c r="W149" i="6"/>
  <c r="U150" i="6"/>
  <c r="W150" i="6" s="1"/>
  <c r="AB127" i="8"/>
  <c r="W153" i="6"/>
  <c r="AD118" i="6"/>
  <c r="AK118" i="6"/>
  <c r="N181" i="6"/>
  <c r="P181" i="6" s="1"/>
  <c r="U181" i="6"/>
  <c r="AD334" i="30"/>
  <c r="AF334" i="30" s="1"/>
  <c r="AB334" i="30"/>
  <c r="Z335" i="30"/>
  <c r="AM329" i="30"/>
  <c r="AK331" i="30"/>
  <c r="AM331" i="30" s="1"/>
  <c r="Z121" i="6"/>
  <c r="AB119" i="16" s="1"/>
  <c r="AD119" i="16" s="1"/>
  <c r="AF119" i="16" s="1"/>
  <c r="DH71" i="3"/>
  <c r="Q225" i="8"/>
  <c r="Q229" i="8"/>
  <c r="Q231" i="8"/>
  <c r="CG57" i="11"/>
  <c r="CK9" i="11"/>
  <c r="CG15" i="11"/>
  <c r="CF14" i="11"/>
  <c r="Z72" i="30"/>
  <c r="R30" i="8"/>
  <c r="K351" i="30"/>
  <c r="L351" i="30"/>
  <c r="J184" i="6"/>
  <c r="L156" i="6"/>
  <c r="L160" i="6"/>
  <c r="AD114" i="6"/>
  <c r="AK114" i="6"/>
  <c r="AB115" i="6"/>
  <c r="AD115" i="6" s="1"/>
  <c r="EC28" i="11"/>
  <c r="DY34" i="11"/>
  <c r="AC129" i="8"/>
  <c r="W348" i="30"/>
  <c r="DO33" i="11"/>
  <c r="DO53" i="11"/>
  <c r="DP28" i="11"/>
  <c r="N107" i="30"/>
  <c r="P107" i="30" s="1"/>
  <c r="N100" i="30"/>
  <c r="P100" i="30" s="1"/>
  <c r="U100" i="30"/>
  <c r="L101" i="30"/>
  <c r="N101" i="30" s="1"/>
  <c r="AB66" i="30"/>
  <c r="AK65" i="30"/>
  <c r="Q36" i="8"/>
  <c r="Q37" i="8" s="1"/>
  <c r="Q28" i="8"/>
  <c r="Q43" i="8" s="1"/>
  <c r="U104" i="30"/>
  <c r="N111" i="30"/>
  <c r="P111" i="30" s="1"/>
  <c r="L108" i="30"/>
  <c r="N104" i="30"/>
  <c r="P104" i="30" s="1"/>
  <c r="AK69" i="30"/>
  <c r="R22" i="8"/>
  <c r="R48" i="8" s="1"/>
  <c r="R24" i="8"/>
  <c r="R25" i="8" s="1"/>
  <c r="S16" i="8"/>
  <c r="DI67" i="3"/>
  <c r="R33" i="8"/>
  <c r="R34" i="8" s="1"/>
  <c r="AO83" i="3"/>
  <c r="L184" i="6" l="1"/>
  <c r="L185" i="6" s="1"/>
  <c r="N185" i="6" s="1"/>
  <c r="V182" i="16"/>
  <c r="R21" i="48"/>
  <c r="R24" i="48" s="1"/>
  <c r="N38" i="48"/>
  <c r="N16" i="48"/>
  <c r="O29" i="48"/>
  <c r="N35" i="48"/>
  <c r="N37" i="48"/>
  <c r="N39" i="48" s="1"/>
  <c r="W172" i="48"/>
  <c r="W23" i="48" s="1"/>
  <c r="W12" i="48" s="1"/>
  <c r="W13" i="48" s="1"/>
  <c r="X155" i="48"/>
  <c r="N44" i="48"/>
  <c r="N108" i="30"/>
  <c r="N115" i="30"/>
  <c r="N351" i="30"/>
  <c r="P351" i="30" s="1"/>
  <c r="L352" i="30"/>
  <c r="N352" i="30" s="1"/>
  <c r="Q232" i="8"/>
  <c r="DH73" i="3"/>
  <c r="AB121" i="6"/>
  <c r="AY82" i="3"/>
  <c r="AB125" i="6"/>
  <c r="AB335" i="30"/>
  <c r="AK335" i="30" s="1"/>
  <c r="AM335" i="30" s="1"/>
  <c r="Z336" i="30"/>
  <c r="AD335" i="30"/>
  <c r="AF335" i="30" s="1"/>
  <c r="AM69" i="30"/>
  <c r="EC33" i="11"/>
  <c r="N160" i="6"/>
  <c r="P160" i="6" s="1"/>
  <c r="L164" i="6"/>
  <c r="U160" i="6"/>
  <c r="N167" i="6"/>
  <c r="P167" i="6" s="1"/>
  <c r="AK334" i="30"/>
  <c r="U108" i="30"/>
  <c r="W111" i="30"/>
  <c r="W104" i="30"/>
  <c r="W100" i="30"/>
  <c r="W107" i="30"/>
  <c r="U101" i="30"/>
  <c r="W101" i="30" s="1"/>
  <c r="AC130" i="8"/>
  <c r="AC132" i="8"/>
  <c r="AC133" i="8" s="1"/>
  <c r="AC126" i="8"/>
  <c r="U156" i="6"/>
  <c r="N156" i="6"/>
  <c r="P156" i="6" s="1"/>
  <c r="N163" i="6"/>
  <c r="P163" i="6" s="1"/>
  <c r="L157" i="6"/>
  <c r="N157" i="6" s="1"/>
  <c r="P157" i="6" s="1"/>
  <c r="R27" i="8"/>
  <c r="R31" i="8"/>
  <c r="CK53" i="11"/>
  <c r="CJ53" i="11" s="1"/>
  <c r="CJ9" i="11"/>
  <c r="CK14" i="11"/>
  <c r="Q226" i="8"/>
  <c r="Q243" i="8" s="1"/>
  <c r="Q237" i="8"/>
  <c r="Q238" i="8" s="1"/>
  <c r="DH75" i="3"/>
  <c r="AM118" i="6"/>
  <c r="AM65" i="30"/>
  <c r="AK66" i="30"/>
  <c r="AM66" i="30" s="1"/>
  <c r="DS28" i="11"/>
  <c r="DO57" i="11"/>
  <c r="DP33" i="11"/>
  <c r="AM114" i="6"/>
  <c r="AK115" i="6"/>
  <c r="AM115" i="6" s="1"/>
  <c r="AD73" i="30"/>
  <c r="AF73" i="30" s="1"/>
  <c r="Z128" i="6"/>
  <c r="AB126" i="16" s="1"/>
  <c r="AD126" i="16" s="1"/>
  <c r="AB76" i="30"/>
  <c r="AB72" i="30"/>
  <c r="AD72" i="30"/>
  <c r="AF72" i="30" s="1"/>
  <c r="CG58" i="11"/>
  <c r="CF57" i="11"/>
  <c r="R228" i="8"/>
  <c r="DH72" i="3"/>
  <c r="DH81" i="3"/>
  <c r="W181" i="6"/>
  <c r="S20" i="8"/>
  <c r="DB75" i="3"/>
  <c r="DB74" i="3"/>
  <c r="L358" i="30" l="1"/>
  <c r="N365" i="30" s="1"/>
  <c r="N184" i="6"/>
  <c r="AF126" i="16"/>
  <c r="X172" i="48"/>
  <c r="X23" i="48" s="1"/>
  <c r="X12" i="48" s="1"/>
  <c r="X13" i="48" s="1"/>
  <c r="Y155" i="48"/>
  <c r="O30" i="48"/>
  <c r="O15" i="48" s="1"/>
  <c r="S21" i="48"/>
  <c r="S24" i="48" s="1"/>
  <c r="N164" i="6"/>
  <c r="P164" i="6" s="1"/>
  <c r="N171" i="6"/>
  <c r="P171" i="6" s="1"/>
  <c r="AD121" i="6"/>
  <c r="AF121" i="6" s="1"/>
  <c r="AK121" i="6"/>
  <c r="AB122" i="6"/>
  <c r="AD122" i="6" s="1"/>
  <c r="AF122" i="6" s="1"/>
  <c r="DI71" i="3"/>
  <c r="R225" i="8"/>
  <c r="R229" i="8"/>
  <c r="R231" i="8"/>
  <c r="AK72" i="30"/>
  <c r="AB73" i="30"/>
  <c r="CK57" i="11"/>
  <c r="CO9" i="11"/>
  <c r="CK15" i="11"/>
  <c r="CJ14" i="11"/>
  <c r="S30" i="8"/>
  <c r="Z79" i="30"/>
  <c r="R28" i="8"/>
  <c r="R43" i="8" s="1"/>
  <c r="R36" i="8"/>
  <c r="R37" i="8" s="1"/>
  <c r="W156" i="6"/>
  <c r="W163" i="6"/>
  <c r="U157" i="6"/>
  <c r="W157" i="6" s="1"/>
  <c r="AM334" i="30"/>
  <c r="AK76" i="30"/>
  <c r="AC127" i="8"/>
  <c r="AD125" i="6"/>
  <c r="AF125" i="6" s="1"/>
  <c r="AK125" i="6"/>
  <c r="AB128" i="6"/>
  <c r="AB129" i="6" s="1"/>
  <c r="AB132" i="6"/>
  <c r="DS33" i="11"/>
  <c r="DS53" i="11"/>
  <c r="DT28" i="11"/>
  <c r="W115" i="30"/>
  <c r="W108" i="30"/>
  <c r="U164" i="6"/>
  <c r="W160" i="6"/>
  <c r="W167" i="6"/>
  <c r="EC34" i="11"/>
  <c r="AD129" i="8"/>
  <c r="AD336" i="30"/>
  <c r="AF336" i="30" s="1"/>
  <c r="AB336" i="30"/>
  <c r="Z337" i="30"/>
  <c r="T16" i="8"/>
  <c r="DJ67" i="3"/>
  <c r="S33" i="8"/>
  <c r="S34" i="8" s="1"/>
  <c r="S21" i="8"/>
  <c r="AT83" i="3"/>
  <c r="AD129" i="6" l="1"/>
  <c r="AF129" i="6" s="1"/>
  <c r="O38" i="48"/>
  <c r="O16" i="48"/>
  <c r="Y172" i="48"/>
  <c r="Y23" i="48" s="1"/>
  <c r="Y12" i="48" s="1"/>
  <c r="Y13" i="48" s="1"/>
  <c r="Z155" i="48"/>
  <c r="T21" i="48"/>
  <c r="T24" i="48" s="1"/>
  <c r="O33" i="48"/>
  <c r="O44" i="48"/>
  <c r="AK336" i="30"/>
  <c r="AB338" i="30"/>
  <c r="DW28" i="11"/>
  <c r="DS57" i="11"/>
  <c r="DT33" i="11"/>
  <c r="AM76" i="30"/>
  <c r="AM72" i="30"/>
  <c r="AK73" i="30"/>
  <c r="AM73" i="30" s="1"/>
  <c r="DI82" i="3"/>
  <c r="DI72" i="3"/>
  <c r="AM121" i="6"/>
  <c r="AK122" i="6"/>
  <c r="AM122" i="6" s="1"/>
  <c r="AD132" i="6"/>
  <c r="AF132" i="6" s="1"/>
  <c r="AK132" i="6"/>
  <c r="AB83" i="30"/>
  <c r="AD80" i="30"/>
  <c r="AF80" i="30" s="1"/>
  <c r="AD79" i="30"/>
  <c r="AF79" i="30" s="1"/>
  <c r="AB79" i="30"/>
  <c r="AD87" i="30"/>
  <c r="AF87" i="30" s="1"/>
  <c r="AD86" i="30"/>
  <c r="AF86" i="30" s="1"/>
  <c r="CO53" i="11"/>
  <c r="CN53" i="11" s="1"/>
  <c r="CO14" i="11"/>
  <c r="CN9" i="11"/>
  <c r="R232" i="8"/>
  <c r="DI73" i="3"/>
  <c r="AD130" i="8"/>
  <c r="AG129" i="8"/>
  <c r="AD132" i="8"/>
  <c r="AD133" i="8" s="1"/>
  <c r="AD126" i="8"/>
  <c r="AD128" i="6"/>
  <c r="AF128" i="6" s="1"/>
  <c r="AK128" i="6"/>
  <c r="AM128" i="6" s="1"/>
  <c r="S27" i="8"/>
  <c r="S31" i="8"/>
  <c r="CK58" i="11"/>
  <c r="CJ57" i="11"/>
  <c r="S228" i="8"/>
  <c r="Z341" i="30"/>
  <c r="AD338" i="30"/>
  <c r="AF338" i="30" s="1"/>
  <c r="AB337" i="30"/>
  <c r="AK337" i="30" s="1"/>
  <c r="AM337" i="30" s="1"/>
  <c r="AD337" i="30"/>
  <c r="AF337" i="30" s="1"/>
  <c r="W164" i="6"/>
  <c r="W171" i="6"/>
  <c r="AM125" i="6"/>
  <c r="R226" i="8"/>
  <c r="R243" i="8" s="1"/>
  <c r="R237" i="8"/>
  <c r="R238" i="8" s="1"/>
  <c r="DI75" i="3"/>
  <c r="T20" i="8"/>
  <c r="S22" i="8"/>
  <c r="S48" i="8" s="1"/>
  <c r="S24" i="8"/>
  <c r="S25" i="8" s="1"/>
  <c r="DC75" i="3"/>
  <c r="DC74" i="3"/>
  <c r="AE82" i="3"/>
  <c r="AK129" i="6" l="1"/>
  <c r="AM129" i="6" s="1"/>
  <c r="AA155" i="48"/>
  <c r="Z172" i="48"/>
  <c r="Z23" i="48" s="1"/>
  <c r="Z12" i="48" s="1"/>
  <c r="Z13" i="48" s="1"/>
  <c r="U21" i="48"/>
  <c r="U24" i="48" s="1"/>
  <c r="P29" i="48"/>
  <c r="O37" i="48"/>
  <c r="O39" i="48" s="1"/>
  <c r="O35" i="48"/>
  <c r="CO57" i="11"/>
  <c r="CN14" i="11"/>
  <c r="CS9" i="11"/>
  <c r="T30" i="8"/>
  <c r="CO15" i="11"/>
  <c r="AK79" i="30"/>
  <c r="AB80" i="30"/>
  <c r="AM132" i="6"/>
  <c r="T225" i="8"/>
  <c r="Z135" i="6"/>
  <c r="AB133" i="16" s="1"/>
  <c r="AD133" i="16" s="1"/>
  <c r="DJ71" i="3"/>
  <c r="S225" i="8"/>
  <c r="T229" i="8"/>
  <c r="S229" i="8"/>
  <c r="S231" i="8"/>
  <c r="AD341" i="30"/>
  <c r="AF341" i="30" s="1"/>
  <c r="AB341" i="30"/>
  <c r="Z342" i="30"/>
  <c r="AG126" i="8"/>
  <c r="AD127" i="8"/>
  <c r="DW33" i="11"/>
  <c r="DW53" i="11"/>
  <c r="DX28" i="11"/>
  <c r="S28" i="8"/>
  <c r="S43" i="8" s="1"/>
  <c r="S36" i="8"/>
  <c r="S37" i="8" s="1"/>
  <c r="AK83" i="30"/>
  <c r="AB87" i="30"/>
  <c r="AM336" i="30"/>
  <c r="AK338" i="30"/>
  <c r="AM338" i="30" s="1"/>
  <c r="U16" i="8"/>
  <c r="DK67" i="3"/>
  <c r="T33" i="8"/>
  <c r="T34" i="8" s="1"/>
  <c r="AE20" i="8"/>
  <c r="T21" i="8"/>
  <c r="AY83" i="3"/>
  <c r="AF140" i="16" l="1"/>
  <c r="AF133" i="16"/>
  <c r="P30" i="48"/>
  <c r="P15" i="48" s="1"/>
  <c r="P33" i="48"/>
  <c r="P44" i="48" s="1"/>
  <c r="V21" i="48"/>
  <c r="V24" i="48" s="1"/>
  <c r="AB155" i="48"/>
  <c r="AA172" i="48"/>
  <c r="AA23" i="48" s="1"/>
  <c r="AA12" i="48" s="1"/>
  <c r="AA13" i="48" s="1"/>
  <c r="AM83" i="30"/>
  <c r="AK87" i="30"/>
  <c r="S232" i="8"/>
  <c r="DJ73" i="3"/>
  <c r="T232" i="8"/>
  <c r="DJ72" i="3"/>
  <c r="DK72" i="3"/>
  <c r="DJ82" i="3"/>
  <c r="T27" i="8"/>
  <c r="T31" i="8"/>
  <c r="EA28" i="11"/>
  <c r="DW57" i="11"/>
  <c r="DX33" i="11"/>
  <c r="AB342" i="30"/>
  <c r="AK342" i="30" s="1"/>
  <c r="AM342" i="30" s="1"/>
  <c r="Z343" i="30"/>
  <c r="AD342" i="30"/>
  <c r="AF342" i="30" s="1"/>
  <c r="AB139" i="6"/>
  <c r="AB135" i="6"/>
  <c r="CS53" i="11"/>
  <c r="CR53" i="11" s="1"/>
  <c r="CS14" i="11"/>
  <c r="Z90" i="30"/>
  <c r="CR9" i="11"/>
  <c r="AK341" i="30"/>
  <c r="T237" i="8"/>
  <c r="U226" i="8"/>
  <c r="U243" i="8" s="1"/>
  <c r="T226" i="8"/>
  <c r="T243" i="8" s="1"/>
  <c r="DK75" i="3"/>
  <c r="AM79" i="30"/>
  <c r="AM86" i="30"/>
  <c r="AK80" i="30"/>
  <c r="AM80" i="30" s="1"/>
  <c r="S226" i="8"/>
  <c r="S243" i="8" s="1"/>
  <c r="S237" i="8"/>
  <c r="S238" i="8" s="1"/>
  <c r="DJ75" i="3"/>
  <c r="CO58" i="11"/>
  <c r="CN57" i="11"/>
  <c r="T22" i="8"/>
  <c r="T48" i="8" s="1"/>
  <c r="T24" i="8"/>
  <c r="T25" i="8" s="1"/>
  <c r="U20" i="8"/>
  <c r="U21" i="8" s="1"/>
  <c r="DD74" i="3"/>
  <c r="AC155" i="48" l="1"/>
  <c r="AC172" i="48" s="1"/>
  <c r="AC23" i="48" s="1"/>
  <c r="AC12" i="48" s="1"/>
  <c r="AC13" i="48" s="1"/>
  <c r="AB172" i="48"/>
  <c r="AB23" i="48" s="1"/>
  <c r="AB12" i="48" s="1"/>
  <c r="AB13" i="48" s="1"/>
  <c r="W21" i="48"/>
  <c r="W24" i="48" s="1"/>
  <c r="Q29" i="48"/>
  <c r="P37" i="48"/>
  <c r="P39" i="48" s="1"/>
  <c r="P35" i="48"/>
  <c r="P38" i="48"/>
  <c r="P16" i="48"/>
  <c r="T238" i="8"/>
  <c r="U238" i="8"/>
  <c r="AB343" i="30"/>
  <c r="Z344" i="30"/>
  <c r="AD343" i="30"/>
  <c r="AF343" i="30" s="1"/>
  <c r="EA33" i="11"/>
  <c r="EA53" i="11"/>
  <c r="EB28" i="11"/>
  <c r="AM341" i="30"/>
  <c r="Z91" i="30"/>
  <c r="AD90" i="30"/>
  <c r="AF90" i="30" s="1"/>
  <c r="AB90" i="30"/>
  <c r="AD135" i="6"/>
  <c r="AF135" i="6" s="1"/>
  <c r="AD142" i="6"/>
  <c r="AF142" i="6" s="1"/>
  <c r="AK135" i="6"/>
  <c r="AB136" i="6"/>
  <c r="AD136" i="6" s="1"/>
  <c r="AF136" i="6" s="1"/>
  <c r="AM87" i="30"/>
  <c r="CS57" i="11"/>
  <c r="CS15" i="11"/>
  <c r="U30" i="8"/>
  <c r="CR14" i="11"/>
  <c r="CW9" i="11"/>
  <c r="AK139" i="6"/>
  <c r="AB143" i="6"/>
  <c r="AD146" i="6"/>
  <c r="AF146" i="6" s="1"/>
  <c r="AD139" i="6"/>
  <c r="AF139" i="6" s="1"/>
  <c r="T28" i="8"/>
  <c r="T43" i="8" s="1"/>
  <c r="T36" i="8"/>
  <c r="T37" i="8" s="1"/>
  <c r="V16" i="8"/>
  <c r="DL67" i="3"/>
  <c r="U33" i="8"/>
  <c r="U34" i="8" s="1"/>
  <c r="U22" i="8"/>
  <c r="U48" i="8" s="1"/>
  <c r="U24" i="8"/>
  <c r="U25" i="8" s="1"/>
  <c r="BD83" i="3"/>
  <c r="Q30" i="48" l="1"/>
  <c r="Q15" i="48" s="1"/>
  <c r="X21" i="48"/>
  <c r="X24" i="48" s="1"/>
  <c r="AM146" i="6"/>
  <c r="AK143" i="6"/>
  <c r="AM139" i="6"/>
  <c r="AM135" i="6"/>
  <c r="AM142" i="6"/>
  <c r="AK136" i="6"/>
  <c r="AM136" i="6" s="1"/>
  <c r="Z348" i="30"/>
  <c r="AD345" i="30"/>
  <c r="AD344" i="30"/>
  <c r="AB344" i="30"/>
  <c r="AB345" i="30" s="1"/>
  <c r="CW53" i="11"/>
  <c r="CV53" i="11" s="1"/>
  <c r="CW14" i="11"/>
  <c r="CV9" i="11"/>
  <c r="CS58" i="11"/>
  <c r="CR57" i="11"/>
  <c r="Z92" i="30"/>
  <c r="AD91" i="30"/>
  <c r="AF91" i="30" s="1"/>
  <c r="AB91" i="30"/>
  <c r="AK91" i="30" s="1"/>
  <c r="AM91" i="30" s="1"/>
  <c r="AK343" i="30"/>
  <c r="EA57" i="11"/>
  <c r="EB33" i="11"/>
  <c r="AD150" i="6"/>
  <c r="AF150" i="6" s="1"/>
  <c r="AD143" i="6"/>
  <c r="AF143" i="6" s="1"/>
  <c r="U27" i="8"/>
  <c r="U31" i="8"/>
  <c r="AK90" i="30"/>
  <c r="V20" i="8"/>
  <c r="DE74" i="3"/>
  <c r="Y21" i="48" l="1"/>
  <c r="Y24" i="48" s="1"/>
  <c r="Q44" i="48"/>
  <c r="Q33" i="48"/>
  <c r="Q38" i="48"/>
  <c r="Q16" i="48"/>
  <c r="AM90" i="30"/>
  <c r="Z93" i="30"/>
  <c r="AD92" i="30"/>
  <c r="AF92" i="30" s="1"/>
  <c r="AB92" i="30"/>
  <c r="CW57" i="11"/>
  <c r="DA9" i="11"/>
  <c r="CW15" i="11"/>
  <c r="CV14" i="11"/>
  <c r="V30" i="8"/>
  <c r="AM343" i="30"/>
  <c r="Z349" i="30"/>
  <c r="AD348" i="30"/>
  <c r="AF348" i="30" s="1"/>
  <c r="AB348" i="30"/>
  <c r="AM150" i="6"/>
  <c r="AM143" i="6"/>
  <c r="U36" i="8"/>
  <c r="U37" i="8" s="1"/>
  <c r="U28" i="8"/>
  <c r="U43" i="8" s="1"/>
  <c r="DM67" i="3"/>
  <c r="V33" i="8"/>
  <c r="V21" i="8"/>
  <c r="Z21" i="48" l="1"/>
  <c r="Z24" i="48" s="1"/>
  <c r="R29" i="48"/>
  <c r="Q37" i="48"/>
  <c r="Q39" i="48" s="1"/>
  <c r="Q35" i="48"/>
  <c r="AK348" i="30"/>
  <c r="DA53" i="11"/>
  <c r="CZ53" i="11" s="1"/>
  <c r="CZ9" i="11"/>
  <c r="DA14" i="11"/>
  <c r="Z97" i="30"/>
  <c r="AD94" i="30"/>
  <c r="AF94" i="30" s="1"/>
  <c r="AB93" i="30"/>
  <c r="AK93" i="30" s="1"/>
  <c r="AM93" i="30" s="1"/>
  <c r="AD93" i="30"/>
  <c r="AF93" i="30" s="1"/>
  <c r="V27" i="8"/>
  <c r="V31" i="8"/>
  <c r="CW58" i="11"/>
  <c r="CV57" i="11"/>
  <c r="AD349" i="30"/>
  <c r="AF349" i="30" s="1"/>
  <c r="Z350" i="30"/>
  <c r="AB349" i="30"/>
  <c r="AK349" i="30" s="1"/>
  <c r="AM349" i="30" s="1"/>
  <c r="AK92" i="30"/>
  <c r="V22" i="8"/>
  <c r="V48" i="8" s="1"/>
  <c r="V24" i="8"/>
  <c r="W22" i="8"/>
  <c r="W48" i="8" s="1"/>
  <c r="V34" i="8"/>
  <c r="DF74" i="3"/>
  <c r="AA21" i="48" l="1"/>
  <c r="AA24" i="48" s="1"/>
  <c r="R33" i="48"/>
  <c r="R30" i="48"/>
  <c r="R15" i="48" s="1"/>
  <c r="Z351" i="30"/>
  <c r="AB350" i="30"/>
  <c r="AK350" i="30" s="1"/>
  <c r="AM350" i="30" s="1"/>
  <c r="AD350" i="30"/>
  <c r="AF350" i="30" s="1"/>
  <c r="AB94" i="30"/>
  <c r="V28" i="8"/>
  <c r="V43" i="8" s="1"/>
  <c r="V36" i="8"/>
  <c r="V37" i="8" s="1"/>
  <c r="AB97" i="30"/>
  <c r="AK97" i="30" s="1"/>
  <c r="Z98" i="30"/>
  <c r="AD97" i="30"/>
  <c r="AF97" i="30" s="1"/>
  <c r="AM92" i="30"/>
  <c r="AK94" i="30"/>
  <c r="AM94" i="30" s="1"/>
  <c r="DA57" i="11"/>
  <c r="DE9" i="11"/>
  <c r="DA15" i="11"/>
  <c r="CZ14" i="11"/>
  <c r="W30" i="8"/>
  <c r="AM348" i="30"/>
  <c r="V25" i="8"/>
  <c r="W25" i="8"/>
  <c r="BL278" i="30"/>
  <c r="BL280" i="30"/>
  <c r="BM281" i="30" s="1"/>
  <c r="AB21" i="48" l="1"/>
  <c r="AB24" i="48" s="1"/>
  <c r="S29" i="48"/>
  <c r="R37" i="48"/>
  <c r="R39" i="48" s="1"/>
  <c r="R35" i="48"/>
  <c r="R44" i="48"/>
  <c r="R38" i="48"/>
  <c r="R16" i="48"/>
  <c r="AD98" i="30"/>
  <c r="AF98" i="30" s="1"/>
  <c r="AB98" i="30"/>
  <c r="AK98" i="30" s="1"/>
  <c r="AM98" i="30" s="1"/>
  <c r="Z99" i="30"/>
  <c r="AM97" i="30"/>
  <c r="DE53" i="11"/>
  <c r="DD53" i="11" s="1"/>
  <c r="DE14" i="11"/>
  <c r="DD9" i="11"/>
  <c r="W33" i="8"/>
  <c r="W34" i="8" s="1"/>
  <c r="W31" i="8"/>
  <c r="W27" i="8"/>
  <c r="DA58" i="11"/>
  <c r="CZ57" i="11"/>
  <c r="AD351" i="30"/>
  <c r="AF351" i="30" s="1"/>
  <c r="AB351" i="30"/>
  <c r="AD352" i="30"/>
  <c r="BM279" i="30"/>
  <c r="BN279" i="30"/>
  <c r="DG74" i="3"/>
  <c r="S33" i="48" l="1"/>
  <c r="S30" i="48"/>
  <c r="S15" i="48" s="1"/>
  <c r="S44" i="48"/>
  <c r="AC21" i="48"/>
  <c r="AC24" i="48" s="1"/>
  <c r="AB352" i="30"/>
  <c r="AB358" i="30" s="1"/>
  <c r="W28" i="8"/>
  <c r="W43" i="8" s="1"/>
  <c r="W36" i="8"/>
  <c r="W37" i="8" s="1"/>
  <c r="DE57" i="11"/>
  <c r="DD14" i="11"/>
  <c r="DI9" i="11"/>
  <c r="X30" i="8"/>
  <c r="DE15" i="11"/>
  <c r="AB99" i="30"/>
  <c r="AK99" i="30" s="1"/>
  <c r="Z100" i="30"/>
  <c r="AD99" i="30"/>
  <c r="AF99" i="30" s="1"/>
  <c r="S38" i="48" l="1"/>
  <c r="S16" i="48"/>
  <c r="T29" i="48"/>
  <c r="S35" i="48"/>
  <c r="S37" i="48"/>
  <c r="S39" i="48" s="1"/>
  <c r="X31" i="8"/>
  <c r="X27" i="8"/>
  <c r="X33" i="8"/>
  <c r="X34" i="8" s="1"/>
  <c r="Z104" i="30"/>
  <c r="AD101" i="30"/>
  <c r="AF101" i="30" s="1"/>
  <c r="AD100" i="30"/>
  <c r="AF100" i="30" s="1"/>
  <c r="AB100" i="30"/>
  <c r="DI53" i="11"/>
  <c r="DH53" i="11" s="1"/>
  <c r="DI14" i="11"/>
  <c r="DH9" i="11"/>
  <c r="AM99" i="30"/>
  <c r="DE58" i="11"/>
  <c r="DD57" i="11"/>
  <c r="DH74" i="3"/>
  <c r="BD82" i="3"/>
  <c r="T30" i="48" l="1"/>
  <c r="T15" i="48" s="1"/>
  <c r="T33" i="48"/>
  <c r="T44" i="48"/>
  <c r="AD104" i="30"/>
  <c r="AF104" i="30" s="1"/>
  <c r="AB104" i="30"/>
  <c r="Z105" i="30"/>
  <c r="AB101" i="30"/>
  <c r="AK100" i="30"/>
  <c r="X28" i="8"/>
  <c r="X43" i="8" s="1"/>
  <c r="X36" i="8"/>
  <c r="X37" i="8" s="1"/>
  <c r="DI57" i="11"/>
  <c r="DI15" i="11"/>
  <c r="Y30" i="8"/>
  <c r="DH14" i="11"/>
  <c r="DM9" i="11"/>
  <c r="U29" i="48" l="1"/>
  <c r="T37" i="48"/>
  <c r="T39" i="48" s="1"/>
  <c r="T35" i="48"/>
  <c r="T38" i="48"/>
  <c r="T16" i="48"/>
  <c r="DM53" i="11"/>
  <c r="DL53" i="11" s="1"/>
  <c r="DM14" i="11"/>
  <c r="DL9" i="11"/>
  <c r="DI58" i="11"/>
  <c r="DH57" i="11"/>
  <c r="AD105" i="30"/>
  <c r="AF105" i="30" s="1"/>
  <c r="AB105" i="30"/>
  <c r="AK105" i="30" s="1"/>
  <c r="AM105" i="30" s="1"/>
  <c r="Z106" i="30"/>
  <c r="AE30" i="8"/>
  <c r="Y27" i="8"/>
  <c r="Y31" i="8"/>
  <c r="Y33" i="8"/>
  <c r="Y34" i="8" s="1"/>
  <c r="AK104" i="30"/>
  <c r="AM100" i="30"/>
  <c r="AK101" i="30"/>
  <c r="AM101" i="30" s="1"/>
  <c r="DI74" i="3"/>
  <c r="U30" i="48" l="1"/>
  <c r="U15" i="48" s="1"/>
  <c r="U33" i="48"/>
  <c r="U44" i="48"/>
  <c r="AD106" i="30"/>
  <c r="AF106" i="30" s="1"/>
  <c r="AB106" i="30"/>
  <c r="Z107" i="30"/>
  <c r="AE27" i="8"/>
  <c r="Y28" i="8"/>
  <c r="DM57" i="11"/>
  <c r="DQ9" i="11"/>
  <c r="DM15" i="11"/>
  <c r="DL14" i="11"/>
  <c r="Z30" i="8"/>
  <c r="AM104" i="30"/>
  <c r="DK74" i="3"/>
  <c r="V29" i="48" l="1"/>
  <c r="U37" i="48"/>
  <c r="U39" i="48" s="1"/>
  <c r="U35" i="48"/>
  <c r="U38" i="48"/>
  <c r="U16" i="48"/>
  <c r="DQ53" i="11"/>
  <c r="DP53" i="11" s="1"/>
  <c r="DP9" i="11"/>
  <c r="DQ14" i="11"/>
  <c r="Z27" i="8"/>
  <c r="Z31" i="8"/>
  <c r="Z33" i="8"/>
  <c r="Z34" i="8" s="1"/>
  <c r="DM58" i="11"/>
  <c r="DL57" i="11"/>
  <c r="AD108" i="30"/>
  <c r="AF108" i="30" s="1"/>
  <c r="AD107" i="30"/>
  <c r="AF107" i="30" s="1"/>
  <c r="AB107" i="30"/>
  <c r="AK107" i="30" s="1"/>
  <c r="AM107" i="30" s="1"/>
  <c r="Z111" i="30"/>
  <c r="AK106" i="30"/>
  <c r="AB108" i="30"/>
  <c r="DJ74" i="3"/>
  <c r="V30" i="48" l="1"/>
  <c r="V15" i="48" s="1"/>
  <c r="AM106" i="30"/>
  <c r="AK108" i="30"/>
  <c r="AM108" i="30" s="1"/>
  <c r="DQ57" i="11"/>
  <c r="DU9" i="11"/>
  <c r="DQ15" i="11"/>
  <c r="DP14" i="11"/>
  <c r="AA30" i="8"/>
  <c r="AD111" i="30"/>
  <c r="AF111" i="30" s="1"/>
  <c r="AB111" i="30"/>
  <c r="Z112" i="30"/>
  <c r="Z28" i="8"/>
  <c r="V38" i="48" l="1"/>
  <c r="V16" i="48"/>
  <c r="V33" i="48"/>
  <c r="DU53" i="11"/>
  <c r="DT53" i="11" s="1"/>
  <c r="DU14" i="11"/>
  <c r="DT9" i="11"/>
  <c r="AA31" i="8"/>
  <c r="AA27" i="8"/>
  <c r="AA33" i="8"/>
  <c r="AA34" i="8" s="1"/>
  <c r="DQ58" i="11"/>
  <c r="DP57" i="11"/>
  <c r="AA228" i="8"/>
  <c r="AD112" i="30"/>
  <c r="AF112" i="30" s="1"/>
  <c r="Z113" i="30"/>
  <c r="AB112" i="30"/>
  <c r="AK112" i="30" s="1"/>
  <c r="AM112" i="30" s="1"/>
  <c r="AK111" i="30"/>
  <c r="W29" i="48" l="1"/>
  <c r="V35" i="48"/>
  <c r="V37" i="48"/>
  <c r="V39" i="48" s="1"/>
  <c r="V44" i="48"/>
  <c r="AB113" i="30"/>
  <c r="AD113" i="30"/>
  <c r="AF113" i="30" s="1"/>
  <c r="Z114" i="30"/>
  <c r="AM111" i="30"/>
  <c r="DR71" i="3"/>
  <c r="DR82" i="3" s="1"/>
  <c r="AA231" i="8"/>
  <c r="AA28" i="8"/>
  <c r="DU57" i="11"/>
  <c r="DT14" i="11"/>
  <c r="DY9" i="11"/>
  <c r="AB30" i="8"/>
  <c r="DU15" i="11"/>
  <c r="W30" i="48" l="1"/>
  <c r="W15" i="48" s="1"/>
  <c r="DU58" i="11"/>
  <c r="DT57" i="11"/>
  <c r="AB228" i="8"/>
  <c r="AB27" i="8"/>
  <c r="AB33" i="8"/>
  <c r="AB34" i="8" s="1"/>
  <c r="AB31" i="8"/>
  <c r="Z118" i="30"/>
  <c r="AD115" i="30"/>
  <c r="AF115" i="30" s="1"/>
  <c r="AD114" i="30"/>
  <c r="AF114" i="30" s="1"/>
  <c r="AB114" i="30"/>
  <c r="AK114" i="30" s="1"/>
  <c r="AM114" i="30" s="1"/>
  <c r="DY53" i="11"/>
  <c r="DX53" i="11" s="1"/>
  <c r="DY14" i="11"/>
  <c r="DX9" i="11"/>
  <c r="DR73" i="3"/>
  <c r="AK113" i="30"/>
  <c r="AB115" i="30" l="1"/>
  <c r="W38" i="48"/>
  <c r="W16" i="48"/>
  <c r="W33" i="48"/>
  <c r="W44" i="48" s="1"/>
  <c r="AM113" i="30"/>
  <c r="AK115" i="30"/>
  <c r="AM115" i="30" s="1"/>
  <c r="DY57" i="11"/>
  <c r="DY15" i="11"/>
  <c r="AC30" i="8"/>
  <c r="DX14" i="11"/>
  <c r="EC9" i="11"/>
  <c r="AB28" i="8"/>
  <c r="AB118" i="30"/>
  <c r="AD118" i="30"/>
  <c r="AF118" i="30" s="1"/>
  <c r="Z119" i="30"/>
  <c r="AB229" i="8"/>
  <c r="DS71" i="3"/>
  <c r="DS72" i="3" s="1"/>
  <c r="AB225" i="8"/>
  <c r="AB231" i="8"/>
  <c r="X29" i="48" l="1"/>
  <c r="W37" i="48"/>
  <c r="W39" i="48" s="1"/>
  <c r="W35" i="48"/>
  <c r="AB232" i="8"/>
  <c r="DS73" i="3"/>
  <c r="AB119" i="30"/>
  <c r="AK119" i="30" s="1"/>
  <c r="AM119" i="30" s="1"/>
  <c r="Z120" i="30"/>
  <c r="AD119" i="30"/>
  <c r="AF119" i="30" s="1"/>
  <c r="EC53" i="11"/>
  <c r="EB53" i="11" s="1"/>
  <c r="EC14" i="11"/>
  <c r="EB9" i="11"/>
  <c r="DY58" i="11"/>
  <c r="DX57" i="11"/>
  <c r="AC228" i="8"/>
  <c r="AK118" i="30"/>
  <c r="AC27" i="8"/>
  <c r="AC31" i="8"/>
  <c r="AC33" i="8"/>
  <c r="AC34" i="8" s="1"/>
  <c r="X30" i="48" l="1"/>
  <c r="X15" i="48" s="1"/>
  <c r="X33" i="48"/>
  <c r="X44" i="48"/>
  <c r="AM118" i="30"/>
  <c r="AC225" i="8"/>
  <c r="AC229" i="8"/>
  <c r="AC231" i="8"/>
  <c r="AC232" i="8" s="1"/>
  <c r="EC57" i="11"/>
  <c r="EC15" i="11"/>
  <c r="EB14" i="11"/>
  <c r="AD30" i="8"/>
  <c r="Z121" i="30"/>
  <c r="AD120" i="30"/>
  <c r="AF120" i="30" s="1"/>
  <c r="AB120" i="30"/>
  <c r="AC28" i="8"/>
  <c r="Y29" i="48" l="1"/>
  <c r="X37" i="48"/>
  <c r="X39" i="48" s="1"/>
  <c r="X35" i="48"/>
  <c r="X38" i="48"/>
  <c r="X16" i="48"/>
  <c r="AC226" i="8"/>
  <c r="Z177" i="6"/>
  <c r="AB175" i="16" s="1"/>
  <c r="AD175" i="16" s="1"/>
  <c r="AF175" i="16" s="1"/>
  <c r="Z125" i="30"/>
  <c r="AD121" i="30"/>
  <c r="AD122" i="30"/>
  <c r="AB121" i="30"/>
  <c r="AB122" i="30" s="1"/>
  <c r="EC58" i="11"/>
  <c r="EB57" i="11"/>
  <c r="AD228" i="8"/>
  <c r="AD27" i="8"/>
  <c r="AD31" i="8"/>
  <c r="AG30" i="8"/>
  <c r="AD33" i="8"/>
  <c r="AD34" i="8" s="1"/>
  <c r="AK120" i="30"/>
  <c r="Y30" i="48" l="1"/>
  <c r="Y15" i="48" s="1"/>
  <c r="Y33" i="48"/>
  <c r="Y44" i="48"/>
  <c r="Z181" i="6"/>
  <c r="AB125" i="30"/>
  <c r="AD125" i="30"/>
  <c r="AF125" i="30" s="1"/>
  <c r="Z126" i="30"/>
  <c r="AM120" i="30"/>
  <c r="AD28" i="8"/>
  <c r="AG27" i="8"/>
  <c r="Y228" i="8"/>
  <c r="AB177" i="6"/>
  <c r="AD225" i="8"/>
  <c r="AD229" i="8"/>
  <c r="AG228" i="8"/>
  <c r="AD231" i="8"/>
  <c r="AD232" i="8" s="1"/>
  <c r="AB181" i="6" l="1"/>
  <c r="AD181" i="6" s="1"/>
  <c r="AF181" i="6" s="1"/>
  <c r="AB179" i="16"/>
  <c r="H179" i="16" s="1"/>
  <c r="Z29" i="48"/>
  <c r="Y37" i="48"/>
  <c r="Y39" i="48" s="1"/>
  <c r="Y35" i="48"/>
  <c r="Y38" i="48"/>
  <c r="Y16" i="48"/>
  <c r="AD177" i="6"/>
  <c r="AB178" i="6"/>
  <c r="AD178" i="6" s="1"/>
  <c r="Z182" i="6"/>
  <c r="AD126" i="30"/>
  <c r="AF126" i="30" s="1"/>
  <c r="Z127" i="30"/>
  <c r="AB126" i="30"/>
  <c r="AK126" i="30" s="1"/>
  <c r="AM126" i="30" s="1"/>
  <c r="Y225" i="8"/>
  <c r="AG225" i="8" s="1"/>
  <c r="AE228" i="8"/>
  <c r="Y229" i="8"/>
  <c r="Y231" i="8"/>
  <c r="Y232" i="8" s="1"/>
  <c r="AK125" i="30"/>
  <c r="AD226" i="8"/>
  <c r="AK181" i="6" l="1"/>
  <c r="AM181" i="6" s="1"/>
  <c r="AB182" i="6"/>
  <c r="AD182" i="6" s="1"/>
  <c r="AF182" i="6" s="1"/>
  <c r="AB180" i="16"/>
  <c r="H180" i="16" s="1"/>
  <c r="J180" i="16" s="1"/>
  <c r="N179" i="16"/>
  <c r="AO179" i="16" s="1"/>
  <c r="AM179" i="16"/>
  <c r="X179" i="16"/>
  <c r="Z179" i="16" s="1"/>
  <c r="J179" i="16"/>
  <c r="P179" i="16"/>
  <c r="Z30" i="48"/>
  <c r="Z15" i="48" s="1"/>
  <c r="AM125" i="30"/>
  <c r="Y226" i="8"/>
  <c r="AE225" i="8"/>
  <c r="Y237" i="8"/>
  <c r="Z183" i="6"/>
  <c r="AB181" i="16" s="1"/>
  <c r="H181" i="16" s="1"/>
  <c r="AD127" i="30"/>
  <c r="AF127" i="30" s="1"/>
  <c r="AB127" i="30"/>
  <c r="Z128" i="30"/>
  <c r="AK182" i="6" l="1"/>
  <c r="AM182" i="6" s="1"/>
  <c r="AK179" i="16"/>
  <c r="AH179" i="16"/>
  <c r="R179" i="16"/>
  <c r="N181" i="16"/>
  <c r="P181" i="16"/>
  <c r="X181" i="16"/>
  <c r="Z181" i="16" s="1"/>
  <c r="AK180" i="16"/>
  <c r="R180" i="16"/>
  <c r="AH180" i="16"/>
  <c r="T180" i="16"/>
  <c r="AM180" i="16"/>
  <c r="X180" i="16"/>
  <c r="Z180" i="16" s="1"/>
  <c r="J181" i="16"/>
  <c r="N180" i="16"/>
  <c r="AO180" i="16" s="1"/>
  <c r="P180" i="16"/>
  <c r="Z38" i="48"/>
  <c r="Z16" i="48"/>
  <c r="Z33" i="48"/>
  <c r="AB183" i="6"/>
  <c r="Y238" i="8"/>
  <c r="AE237" i="8"/>
  <c r="Z184" i="6"/>
  <c r="AB128" i="30"/>
  <c r="AB129" i="30" s="1"/>
  <c r="AD129" i="30"/>
  <c r="AD128" i="30"/>
  <c r="AF128" i="30" s="1"/>
  <c r="AK127" i="30"/>
  <c r="Z228" i="8" l="1"/>
  <c r="Z225" i="8" s="1"/>
  <c r="AB182" i="16"/>
  <c r="AB184" i="6"/>
  <c r="AD184" i="6" s="1"/>
  <c r="AK181" i="16"/>
  <c r="R181" i="16"/>
  <c r="AH181" i="16"/>
  <c r="AA29" i="48"/>
  <c r="Z37" i="48"/>
  <c r="Z39" i="48" s="1"/>
  <c r="Z35" i="48"/>
  <c r="Z44" i="48"/>
  <c r="AM127" i="30"/>
  <c r="AD183" i="6"/>
  <c r="AF183" i="6" s="1"/>
  <c r="AK183" i="6"/>
  <c r="AA225" i="8" l="1"/>
  <c r="AA226" i="8" s="1"/>
  <c r="AB185" i="6"/>
  <c r="AD185" i="6" s="1"/>
  <c r="Z229" i="8"/>
  <c r="Z231" i="8"/>
  <c r="Z232" i="8" s="1"/>
  <c r="AA229" i="8"/>
  <c r="AA30" i="48"/>
  <c r="AA15" i="48" s="1"/>
  <c r="Z226" i="8"/>
  <c r="AM183" i="6"/>
  <c r="AB226" i="8" l="1"/>
  <c r="AA232" i="8"/>
  <c r="AA33" i="48"/>
  <c r="AA38" i="48"/>
  <c r="AA16" i="48"/>
  <c r="AA44" i="48"/>
  <c r="AB29" i="48" l="1"/>
  <c r="AA37" i="48"/>
  <c r="AA39" i="48" s="1"/>
  <c r="AA35" i="48"/>
  <c r="AB30" i="48" l="1"/>
  <c r="AB15" i="48" s="1"/>
  <c r="AB33" i="48"/>
  <c r="AB44" i="48" s="1"/>
  <c r="AC29" i="48" l="1"/>
  <c r="AB35" i="48"/>
  <c r="AB37" i="48"/>
  <c r="AB39" i="48" s="1"/>
  <c r="AB38" i="48"/>
  <c r="AB16" i="48"/>
  <c r="AC30" i="48" l="1"/>
  <c r="AC15" i="48" s="1"/>
  <c r="AC33" i="48"/>
  <c r="AC44" i="48" s="1"/>
  <c r="AC37" i="48" l="1"/>
  <c r="AC35" i="48"/>
  <c r="AC38" i="48"/>
  <c r="AC16" i="48"/>
  <c r="DP71" i="3"/>
  <c r="AC39" i="48" l="1"/>
  <c r="AD39" i="48"/>
  <c r="DP82" i="3"/>
  <c r="DP72" i="3"/>
  <c r="DP75" i="3"/>
  <c r="DP73" i="3" l="1"/>
  <c r="DP74" i="3"/>
  <c r="DQ71" i="3" l="1"/>
  <c r="DQ72" i="3" l="1"/>
  <c r="AC21" i="10" s="1"/>
  <c r="DQ82" i="3"/>
  <c r="DR72" i="3"/>
  <c r="DQ73" i="3"/>
  <c r="AD21" i="10" l="1"/>
  <c r="AE21" i="10" l="1"/>
  <c r="AF21" i="10" l="1"/>
  <c r="AG21" i="10" l="1"/>
  <c r="H112" i="6" l="1"/>
  <c r="H113" i="6"/>
  <c r="H114" i="6"/>
  <c r="N9" i="10" l="1"/>
  <c r="M9" i="10"/>
  <c r="D38" i="62"/>
  <c r="DD57" i="3"/>
  <c r="M243" i="8"/>
  <c r="P9" i="10"/>
  <c r="DE57" i="3"/>
  <c r="O9" i="10"/>
  <c r="E38" i="62"/>
  <c r="N243" i="8"/>
  <c r="P114" i="6"/>
  <c r="AF114" i="6"/>
  <c r="H111" i="6"/>
  <c r="F115" i="6"/>
  <c r="H115" i="6" s="1"/>
  <c r="AF113" i="6"/>
  <c r="P113" i="6"/>
  <c r="P112" i="6"/>
  <c r="AF112" i="6"/>
  <c r="H118" i="6"/>
  <c r="P111" i="6" l="1"/>
  <c r="AF111" i="6"/>
  <c r="P118" i="6"/>
  <c r="AF118" i="6"/>
  <c r="D120" i="62"/>
  <c r="D174" i="62"/>
  <c r="D78" i="62"/>
  <c r="D125" i="62"/>
  <c r="D126" i="62" s="1"/>
  <c r="D83" i="62"/>
  <c r="D84" i="62" s="1"/>
  <c r="D182" i="62"/>
  <c r="D183" i="62" s="1"/>
  <c r="P115" i="6"/>
  <c r="AF115" i="6"/>
  <c r="E120" i="62"/>
  <c r="E78" i="62"/>
  <c r="E174" i="62"/>
  <c r="E125" i="62"/>
  <c r="E126" i="62" s="1"/>
  <c r="E182" i="62"/>
  <c r="E183" i="62" s="1"/>
  <c r="E83" i="62"/>
  <c r="E84" i="62" s="1"/>
  <c r="CR57" i="3" l="1"/>
  <c r="AX184" i="6"/>
  <c r="CJ14" i="3" l="1" a="1"/>
  <c r="CM14" i="3" l="1"/>
  <c r="CL14" i="3"/>
  <c r="CJ14" i="3"/>
  <c r="CK14" i="3"/>
  <c r="CJ13" i="3" a="1"/>
  <c r="DP14" i="3"/>
  <c r="CM13" i="3" l="1"/>
  <c r="CK13" i="3"/>
  <c r="CJ13" i="3"/>
  <c r="CL13" i="3"/>
  <c r="CL59" i="3"/>
  <c r="CL47" i="3"/>
  <c r="DP59" i="3"/>
  <c r="DP47" i="3"/>
  <c r="CM59" i="3"/>
  <c r="CM47" i="3"/>
  <c r="CJ59" i="3"/>
  <c r="CJ47" i="3"/>
  <c r="CK59" i="3"/>
  <c r="CK47" i="3"/>
  <c r="CM58" i="3" l="1"/>
  <c r="CM46" i="3"/>
  <c r="CM20" i="3"/>
  <c r="CL58" i="3"/>
  <c r="CL46" i="3"/>
  <c r="CL20" i="3"/>
  <c r="CJ46" i="3"/>
  <c r="CJ58" i="3"/>
  <c r="CJ20" i="3"/>
  <c r="DP13" i="3"/>
  <c r="P11" i="62"/>
  <c r="CK46" i="3"/>
  <c r="CK58" i="3"/>
  <c r="CK20" i="3"/>
  <c r="CK49" i="3" l="1"/>
  <c r="CK41" i="3"/>
  <c r="CK24" i="3"/>
  <c r="CK61" i="3"/>
  <c r="DP58" i="3"/>
  <c r="DP46" i="3"/>
  <c r="DP20" i="3"/>
  <c r="CL24" i="3"/>
  <c r="CL61" i="3"/>
  <c r="CL49" i="3"/>
  <c r="CL41" i="3"/>
  <c r="CJ24" i="3"/>
  <c r="CJ49" i="3"/>
  <c r="CJ61" i="3"/>
  <c r="CJ41" i="3"/>
  <c r="CM41" i="3"/>
  <c r="CM24" i="3"/>
  <c r="CM61" i="3"/>
  <c r="CM49" i="3"/>
  <c r="P32" i="62"/>
  <c r="P39" i="62"/>
  <c r="P13" i="62"/>
  <c r="DP41" i="3" l="1"/>
  <c r="DP24" i="3"/>
  <c r="DP49" i="3"/>
  <c r="CK50" i="3"/>
  <c r="P33" i="62"/>
  <c r="P28" i="62"/>
  <c r="P42" i="62" s="1"/>
  <c r="P40" i="62"/>
  <c r="P17" i="62"/>
  <c r="CM50" i="3"/>
  <c r="CK63" i="3"/>
  <c r="CK53" i="3"/>
  <c r="CM53" i="3"/>
  <c r="CM63" i="3"/>
  <c r="CJ50" i="3"/>
  <c r="CL50" i="3"/>
  <c r="CJ26" i="3" a="1"/>
  <c r="P164" i="62"/>
  <c r="P162" i="62" s="1"/>
  <c r="CJ63" i="3"/>
  <c r="CJ53" i="3"/>
  <c r="CL53" i="3"/>
  <c r="CL63" i="3"/>
  <c r="DP26" i="3" l="1"/>
  <c r="DP51" i="3" s="1"/>
  <c r="P19" i="62"/>
  <c r="P34" i="62" s="1"/>
  <c r="DP50" i="3"/>
  <c r="P165" i="62"/>
  <c r="DP63" i="3"/>
  <c r="DP53" i="3"/>
  <c r="CM26" i="3"/>
  <c r="CK26" i="3"/>
  <c r="CL26" i="3"/>
  <c r="CJ26" i="3"/>
  <c r="P163" i="62"/>
  <c r="P23" i="62" l="1"/>
  <c r="P25" i="62" s="1"/>
  <c r="P41" i="62" s="1"/>
  <c r="CM51" i="3"/>
  <c r="CM28" i="3"/>
  <c r="CJ51" i="3"/>
  <c r="CJ28" i="3"/>
  <c r="CL51" i="3"/>
  <c r="CL28" i="3"/>
  <c r="DP28" i="3"/>
  <c r="P168" i="62"/>
  <c r="P169" i="62"/>
  <c r="P167" i="62" s="1"/>
  <c r="P170" i="62"/>
  <c r="CK51" i="3"/>
  <c r="CK28" i="3"/>
  <c r="CK52" i="3" l="1"/>
  <c r="CK32" i="3"/>
  <c r="CL52" i="3"/>
  <c r="CL32" i="3"/>
  <c r="CL62" i="3" s="1"/>
  <c r="CH68" i="3"/>
  <c r="CH69" i="3"/>
  <c r="CJ52" i="3"/>
  <c r="CJ32" i="3"/>
  <c r="CJ62" i="3" s="1"/>
  <c r="DP52" i="3"/>
  <c r="DP36" i="3"/>
  <c r="DP32" i="3"/>
  <c r="DP78" i="3"/>
  <c r="AY80" i="12"/>
  <c r="CM32" i="3"/>
  <c r="CM62" i="3" s="1"/>
  <c r="CM52" i="3"/>
  <c r="CK62" i="3" l="1"/>
  <c r="AY9" i="12" l="1"/>
  <c r="AV56" i="13" s="1"/>
  <c r="AY81" i="12" l="1"/>
  <c r="AY14" i="12"/>
  <c r="AY28" i="12" s="1"/>
  <c r="AY64" i="12" s="1"/>
  <c r="U232" i="30" l="1"/>
  <c r="BC128" i="30"/>
  <c r="AI121" i="30"/>
  <c r="AI122" i="30" s="1"/>
  <c r="U121" i="30"/>
  <c r="W121" i="30" s="1"/>
  <c r="S122" i="30"/>
  <c r="D121" i="30"/>
  <c r="H121" i="30" s="1"/>
  <c r="S128" i="30"/>
  <c r="U122" i="30" l="1"/>
  <c r="W122" i="30" s="1"/>
  <c r="D122" i="30"/>
  <c r="F122" i="30"/>
  <c r="Y39" i="8" s="1"/>
  <c r="Y7" i="8"/>
  <c r="U128" i="30"/>
  <c r="AI128" i="30"/>
  <c r="S129" i="30"/>
  <c r="AF121" i="30"/>
  <c r="P121" i="30"/>
  <c r="AK121" i="30"/>
  <c r="D129" i="30" l="1"/>
  <c r="Z7" i="8"/>
  <c r="F129" i="30"/>
  <c r="Z39" i="8" s="1"/>
  <c r="H122" i="30"/>
  <c r="AF122" i="30" s="1"/>
  <c r="AK122" i="30"/>
  <c r="AM122" i="30" s="1"/>
  <c r="AM121" i="30"/>
  <c r="AK128" i="30"/>
  <c r="AI129" i="30"/>
  <c r="AY128" i="30"/>
  <c r="W128" i="30"/>
  <c r="U129" i="30"/>
  <c r="W129" i="30" s="1"/>
  <c r="Y8" i="8"/>
  <c r="Y43" i="8" s="1"/>
  <c r="Y11" i="8"/>
  <c r="AM128" i="30" l="1"/>
  <c r="AK129" i="30"/>
  <c r="AM129" i="30" s="1"/>
  <c r="Z8" i="8"/>
  <c r="Z43" i="8" s="1"/>
  <c r="Z11" i="8"/>
  <c r="AE11" i="8"/>
  <c r="Y46" i="8"/>
  <c r="Y13" i="8"/>
  <c r="Y36" i="8"/>
  <c r="Y12" i="8"/>
  <c r="Y48" i="8" s="1"/>
  <c r="Y24" i="8"/>
  <c r="Y25" i="8" s="1"/>
  <c r="AZ128" i="30"/>
  <c r="AY129" i="30"/>
  <c r="AZ129" i="30" s="1"/>
  <c r="H129" i="30"/>
  <c r="AF129" i="30" s="1"/>
  <c r="Z46" i="8" l="1"/>
  <c r="Z36" i="8"/>
  <c r="Z37" i="8" s="1"/>
  <c r="Z12" i="8"/>
  <c r="Z48" i="8" s="1"/>
  <c r="Z24" i="8"/>
  <c r="AE36" i="8"/>
  <c r="Y37" i="8"/>
  <c r="Z25" i="8" l="1"/>
  <c r="AA7" i="8"/>
  <c r="AA8" i="8" l="1"/>
  <c r="AA43" i="8" s="1"/>
  <c r="AA11" i="8"/>
  <c r="AA36" i="8" l="1"/>
  <c r="AA37" i="8" s="1"/>
  <c r="AA46" i="8"/>
  <c r="AA24" i="8"/>
  <c r="AA12" i="8"/>
  <c r="AA48" i="8" s="1"/>
  <c r="AA25" i="8" l="1"/>
  <c r="AB7" i="8"/>
  <c r="AB8" i="8" l="1"/>
  <c r="AB43" i="8" s="1"/>
  <c r="AB11" i="8"/>
  <c r="AB46" i="8" l="1"/>
  <c r="AB24" i="8"/>
  <c r="AB36" i="8"/>
  <c r="AB37" i="8" s="1"/>
  <c r="AB12" i="8"/>
  <c r="AB48" i="8" s="1"/>
  <c r="AB25" i="8" l="1"/>
  <c r="AC7" i="8"/>
  <c r="AC8" i="8" l="1"/>
  <c r="AC43" i="8" s="1"/>
  <c r="AC11" i="8"/>
  <c r="AC46" i="8" l="1"/>
  <c r="AC36" i="8"/>
  <c r="AC37" i="8" s="1"/>
  <c r="AC12" i="8"/>
  <c r="AC48" i="8" s="1"/>
  <c r="AC24" i="8"/>
  <c r="AC25" i="8" l="1"/>
  <c r="AD7" i="8"/>
  <c r="AD8" i="8" l="1"/>
  <c r="AD43" i="8" s="1"/>
  <c r="AD11" i="8"/>
  <c r="AD36" i="8" l="1"/>
  <c r="AG11" i="8"/>
  <c r="AD46" i="8"/>
  <c r="AD24" i="8"/>
  <c r="AD25" i="8" s="1"/>
  <c r="AD12" i="8"/>
  <c r="AD48" i="8" s="1"/>
  <c r="AG36" i="8" l="1"/>
  <c r="AD37" i="8"/>
  <c r="S345" i="30"/>
  <c r="F345" i="30" s="1"/>
  <c r="Y138" i="8" s="1"/>
  <c r="U344" i="30"/>
  <c r="W344" i="30" s="1"/>
  <c r="AI344" i="30"/>
  <c r="AI345" i="30" s="1"/>
  <c r="S177" i="6"/>
  <c r="D344" i="30"/>
  <c r="H344" i="30" s="1"/>
  <c r="S351" i="30"/>
  <c r="S184" i="6" s="1"/>
  <c r="P344" i="30" l="1"/>
  <c r="AF344" i="30"/>
  <c r="BA184" i="6"/>
  <c r="S185" i="6"/>
  <c r="D184" i="6"/>
  <c r="H184" i="6" s="1"/>
  <c r="CV13" i="7"/>
  <c r="CO8" i="3" s="1" a="1"/>
  <c r="U184" i="6"/>
  <c r="AI184" i="6"/>
  <c r="AK344" i="30"/>
  <c r="BA177" i="6"/>
  <c r="U177" i="6"/>
  <c r="AI177" i="6"/>
  <c r="AI351" i="30"/>
  <c r="S178" i="6"/>
  <c r="D345" i="30"/>
  <c r="H345" i="30" s="1"/>
  <c r="U345" i="30"/>
  <c r="W345" i="30" s="1"/>
  <c r="U351" i="30"/>
  <c r="Y106" i="8"/>
  <c r="S352" i="30"/>
  <c r="D177" i="6"/>
  <c r="H177" i="6" s="1"/>
  <c r="CQ8" i="3" l="1"/>
  <c r="CP8" i="3"/>
  <c r="CO8" i="3"/>
  <c r="D352" i="30"/>
  <c r="Z106" i="8"/>
  <c r="F352" i="30"/>
  <c r="Z138" i="8" s="1"/>
  <c r="W184" i="6"/>
  <c r="U185" i="6"/>
  <c r="AF177" i="6"/>
  <c r="P177" i="6"/>
  <c r="Y110" i="8"/>
  <c r="Y107" i="8"/>
  <c r="CW13" i="7"/>
  <c r="CW93" i="7"/>
  <c r="CW63" i="7"/>
  <c r="BB184" i="6"/>
  <c r="AV184" i="6"/>
  <c r="CW73" i="7"/>
  <c r="AU184" i="6"/>
  <c r="CR8" i="3"/>
  <c r="CW103" i="7"/>
  <c r="AG9" i="42"/>
  <c r="D182" i="16"/>
  <c r="L182" i="16" s="1"/>
  <c r="AO181" i="16" s="1"/>
  <c r="CV43" i="7"/>
  <c r="CO15" i="3" s="1" a="1"/>
  <c r="CV14" i="7"/>
  <c r="CV23" i="7"/>
  <c r="CO10" i="3" s="1" a="1"/>
  <c r="U352" i="30"/>
  <c r="W352" i="30" s="1"/>
  <c r="W351" i="30"/>
  <c r="AK351" i="30"/>
  <c r="AY351" i="30"/>
  <c r="AI352" i="30"/>
  <c r="AI358" i="30" s="1"/>
  <c r="L155" i="8" s="1"/>
  <c r="AM344" i="30"/>
  <c r="AK345" i="30"/>
  <c r="AM345" i="30" s="1"/>
  <c r="AF184" i="6"/>
  <c r="P184" i="6"/>
  <c r="AF345" i="30"/>
  <c r="P345" i="30"/>
  <c r="W177" i="6"/>
  <c r="U178" i="6"/>
  <c r="W178" i="6" s="1"/>
  <c r="S123" i="30"/>
  <c r="D178" i="6"/>
  <c r="AI178" i="6"/>
  <c r="AK177" i="6"/>
  <c r="AI185" i="6"/>
  <c r="AK184" i="6"/>
  <c r="F185" i="6"/>
  <c r="D185" i="6"/>
  <c r="H178" i="6" l="1"/>
  <c r="P178" i="6" s="1"/>
  <c r="CO10" i="3"/>
  <c r="CO12" i="3" s="1"/>
  <c r="CQ10" i="3"/>
  <c r="CQ12" i="3" s="1"/>
  <c r="CP10" i="3"/>
  <c r="CP12" i="3" s="1"/>
  <c r="CO56" i="3"/>
  <c r="CP56" i="3"/>
  <c r="CQ15" i="3"/>
  <c r="CP15" i="3"/>
  <c r="CO15" i="3"/>
  <c r="H352" i="30"/>
  <c r="P352" i="30" s="1"/>
  <c r="CQ56" i="3"/>
  <c r="Z241" i="8"/>
  <c r="DQ57" i="3" s="1"/>
  <c r="CX14" i="7"/>
  <c r="AY352" i="30"/>
  <c r="AZ352" i="30" s="1"/>
  <c r="AZ351" i="30"/>
  <c r="CR10" i="3"/>
  <c r="CR12" i="3" s="1"/>
  <c r="F182" i="16"/>
  <c r="CV24" i="7"/>
  <c r="CW24" i="7" s="1"/>
  <c r="CX24" i="7" s="1"/>
  <c r="Y112" i="8"/>
  <c r="Y111" i="8"/>
  <c r="Y135" i="8"/>
  <c r="AE110" i="8"/>
  <c r="Y123" i="8"/>
  <c r="Y124" i="8" s="1"/>
  <c r="M156" i="8"/>
  <c r="L159" i="8"/>
  <c r="CX43" i="7"/>
  <c r="CV44" i="7"/>
  <c r="CR15" i="3"/>
  <c r="AB159" i="65"/>
  <c r="AF159" i="65" s="1"/>
  <c r="W185" i="6"/>
  <c r="AM184" i="6"/>
  <c r="AK185" i="6"/>
  <c r="AM351" i="30"/>
  <c r="AK352" i="30"/>
  <c r="AM352" i="30" s="1"/>
  <c r="CW74" i="7"/>
  <c r="CW94" i="7"/>
  <c r="AV185" i="6"/>
  <c r="CW104" i="7"/>
  <c r="CW64" i="7"/>
  <c r="AU185" i="6"/>
  <c r="CW14" i="7"/>
  <c r="D183" i="16"/>
  <c r="L183" i="16" s="1"/>
  <c r="AC7" i="10"/>
  <c r="Z206" i="8"/>
  <c r="AI9" i="42"/>
  <c r="AH23" i="42"/>
  <c r="AH16" i="42"/>
  <c r="CR56" i="3"/>
  <c r="H185" i="6"/>
  <c r="AM177" i="6"/>
  <c r="AK178" i="6"/>
  <c r="AM178" i="6" s="1"/>
  <c r="Y241" i="8"/>
  <c r="Z107" i="8"/>
  <c r="Z110" i="8"/>
  <c r="Z202" i="8"/>
  <c r="AF178" i="6" l="1"/>
  <c r="CO45" i="3"/>
  <c r="CP45" i="3"/>
  <c r="CO48" i="3"/>
  <c r="CO60" i="3"/>
  <c r="AF352" i="30"/>
  <c r="CQ45" i="3"/>
  <c r="CP60" i="3"/>
  <c r="CP48" i="3"/>
  <c r="CQ48" i="3"/>
  <c r="CQ60" i="3"/>
  <c r="CR45" i="3"/>
  <c r="AC8" i="10"/>
  <c r="AC34" i="10"/>
  <c r="DQ8" i="3"/>
  <c r="AC37" i="10"/>
  <c r="D4" i="72"/>
  <c r="AC28" i="10"/>
  <c r="Q6" i="62"/>
  <c r="BA69" i="12"/>
  <c r="AB160" i="65"/>
  <c r="CW44" i="7"/>
  <c r="CX44" i="7"/>
  <c r="AC19" i="10"/>
  <c r="CR48" i="3"/>
  <c r="CR60" i="3"/>
  <c r="Z264" i="8"/>
  <c r="AC22" i="10"/>
  <c r="DQ75" i="3"/>
  <c r="Z203" i="8"/>
  <c r="Z243" i="8" s="1"/>
  <c r="AX178" i="6"/>
  <c r="Y240" i="8"/>
  <c r="AC11" i="10"/>
  <c r="F183" i="16"/>
  <c r="AI23" i="42"/>
  <c r="AH24" i="42"/>
  <c r="AH31" i="42"/>
  <c r="AM185" i="6"/>
  <c r="Y142" i="8"/>
  <c r="Y144" i="8"/>
  <c r="P185" i="6"/>
  <c r="AF185" i="6"/>
  <c r="Z123" i="8"/>
  <c r="Z112" i="8"/>
  <c r="Z111" i="8"/>
  <c r="Z135" i="8"/>
  <c r="Z136" i="8" s="1"/>
  <c r="Y243" i="8"/>
  <c r="DP57" i="3"/>
  <c r="AI16" i="42"/>
  <c r="AH17" i="42"/>
  <c r="Z207" i="8"/>
  <c r="Z13" i="8"/>
  <c r="Z64" i="8"/>
  <c r="Z237" i="8"/>
  <c r="Z222" i="8"/>
  <c r="Z223" i="8" s="1"/>
  <c r="AA208" i="8"/>
  <c r="AA240" i="8" s="1"/>
  <c r="M160" i="8"/>
  <c r="L161" i="8"/>
  <c r="L171" i="8"/>
  <c r="M172" i="8" s="1"/>
  <c r="L183" i="8"/>
  <c r="M184" i="8" s="1"/>
  <c r="Y136" i="8"/>
  <c r="AE135" i="8"/>
  <c r="T181" i="16"/>
  <c r="AM181" i="16"/>
  <c r="AX185" i="6"/>
  <c r="Z240" i="8"/>
  <c r="Z142" i="8" l="1"/>
  <c r="Z144" i="8"/>
  <c r="AC9" i="10"/>
  <c r="Q38" i="62"/>
  <c r="Q176" i="62" s="1"/>
  <c r="Q174" i="62" s="1"/>
  <c r="R38" i="62"/>
  <c r="AD9" i="10"/>
  <c r="AG24" i="42"/>
  <c r="AI24" i="42"/>
  <c r="AH25" i="42"/>
  <c r="AI25" i="42" s="1"/>
  <c r="AB9" i="10"/>
  <c r="P38" i="62"/>
  <c r="DQ15" i="3"/>
  <c r="AC20" i="10"/>
  <c r="BA12" i="12"/>
  <c r="BA11" i="12"/>
  <c r="AX28" i="13" s="1"/>
  <c r="D14" i="72"/>
  <c r="D5" i="72"/>
  <c r="Z124" i="8"/>
  <c r="AA106" i="8"/>
  <c r="DQ74" i="3"/>
  <c r="Z238" i="8"/>
  <c r="AI17" i="42"/>
  <c r="AG17" i="42"/>
  <c r="T179" i="16"/>
  <c r="Q37" i="62"/>
  <c r="DQ56" i="3"/>
  <c r="AI31" i="42"/>
  <c r="CV33" i="7"/>
  <c r="CO14" i="3" s="1" a="1"/>
  <c r="BA70" i="12"/>
  <c r="AC25" i="10"/>
  <c r="Q8" i="62"/>
  <c r="Q10" i="62" s="1"/>
  <c r="DQ10" i="3"/>
  <c r="DQ12" i="3" s="1"/>
  <c r="AC12" i="10"/>
  <c r="CP14" i="3" l="1"/>
  <c r="CO14" i="3"/>
  <c r="CQ14" i="3"/>
  <c r="DQ45" i="3"/>
  <c r="Q31" i="62"/>
  <c r="DQ60" i="3"/>
  <c r="DQ48" i="3"/>
  <c r="AA107" i="8"/>
  <c r="AA110" i="8"/>
  <c r="AA202" i="8"/>
  <c r="P182" i="62"/>
  <c r="P125" i="62"/>
  <c r="P83" i="62"/>
  <c r="P84" i="62" s="1"/>
  <c r="P120" i="62"/>
  <c r="P176" i="62"/>
  <c r="P174" i="62" s="1"/>
  <c r="H182" i="16"/>
  <c r="BA33" i="12"/>
  <c r="AX24" i="13"/>
  <c r="Q182" i="62"/>
  <c r="Q83" i="62"/>
  <c r="Q84" i="62" s="1"/>
  <c r="Q125" i="62"/>
  <c r="R176" i="62"/>
  <c r="R174" i="62" s="1"/>
  <c r="R120" i="62"/>
  <c r="CX33" i="7"/>
  <c r="CV34" i="7"/>
  <c r="CW33" i="7"/>
  <c r="CV53" i="7"/>
  <c r="CO13" i="3" s="1" a="1"/>
  <c r="CR14" i="3"/>
  <c r="CP47" i="3" l="1"/>
  <c r="CP59" i="3"/>
  <c r="CQ47" i="3"/>
  <c r="CQ59" i="3"/>
  <c r="CO13" i="3"/>
  <c r="CP13" i="3"/>
  <c r="CQ13" i="3"/>
  <c r="CO47" i="3"/>
  <c r="CO59" i="3"/>
  <c r="CR47" i="3"/>
  <c r="CR59" i="3"/>
  <c r="Q184" i="62"/>
  <c r="Q77" i="62"/>
  <c r="P184" i="62"/>
  <c r="P77" i="62"/>
  <c r="AA264" i="8"/>
  <c r="AD22" i="10"/>
  <c r="DR75" i="3"/>
  <c r="AA206" i="8"/>
  <c r="AA112" i="8" s="1"/>
  <c r="AA203" i="8"/>
  <c r="AA243" i="8" s="1"/>
  <c r="CW53" i="7"/>
  <c r="CX53" i="7"/>
  <c r="CR13" i="3"/>
  <c r="CV54" i="7"/>
  <c r="CV83" i="7"/>
  <c r="R177" i="62"/>
  <c r="P126" i="62"/>
  <c r="P186" i="62" s="1"/>
  <c r="P185" i="62"/>
  <c r="P183" i="62" s="1"/>
  <c r="P173" i="62" s="1"/>
  <c r="P131" i="62" s="1"/>
  <c r="AA135" i="8"/>
  <c r="AA136" i="8" s="1"/>
  <c r="AA111" i="8"/>
  <c r="AA123" i="8"/>
  <c r="Q160" i="62"/>
  <c r="Q158" i="62" s="1"/>
  <c r="Q71" i="62"/>
  <c r="Q159" i="62" s="1"/>
  <c r="Q113" i="62"/>
  <c r="Q161" i="62" s="1"/>
  <c r="N182" i="16"/>
  <c r="AO182" i="16" s="1"/>
  <c r="J182" i="16"/>
  <c r="P182" i="16"/>
  <c r="AD182" i="16"/>
  <c r="AF182" i="16" s="1"/>
  <c r="X182" i="16"/>
  <c r="Z182" i="16" s="1"/>
  <c r="CX34" i="7"/>
  <c r="CW34" i="7"/>
  <c r="AC17" i="10"/>
  <c r="Q126" i="62"/>
  <c r="Q185" i="62"/>
  <c r="Q183" i="62" s="1"/>
  <c r="Q173" i="62" s="1"/>
  <c r="P177" i="62"/>
  <c r="P119" i="62" l="1"/>
  <c r="CQ58" i="3"/>
  <c r="CQ46" i="3"/>
  <c r="CQ20" i="3"/>
  <c r="CP58" i="3"/>
  <c r="CP46" i="3"/>
  <c r="CP20" i="3"/>
  <c r="CO58" i="3"/>
  <c r="CO46" i="3"/>
  <c r="CO20" i="3"/>
  <c r="J183" i="16"/>
  <c r="AK182" i="16"/>
  <c r="AH182" i="16"/>
  <c r="R182" i="16"/>
  <c r="AA124" i="8"/>
  <c r="AB106" i="8"/>
  <c r="CW83" i="7"/>
  <c r="CX83" i="7"/>
  <c r="CV84" i="7"/>
  <c r="CV113" i="7"/>
  <c r="P136" i="62"/>
  <c r="P178" i="62" s="1"/>
  <c r="P135" i="62"/>
  <c r="Q131" i="62"/>
  <c r="Q119" i="62"/>
  <c r="Q89" i="62" s="1"/>
  <c r="Q186" i="62"/>
  <c r="AA142" i="8"/>
  <c r="AA144" i="8"/>
  <c r="CX54" i="7"/>
  <c r="CW54" i="7"/>
  <c r="CW57" i="7" s="1"/>
  <c r="AC14" i="10"/>
  <c r="DQ14" i="3"/>
  <c r="AC18" i="10"/>
  <c r="AC16" i="10" s="1"/>
  <c r="CR58" i="3"/>
  <c r="CR46" i="3"/>
  <c r="CR20" i="3"/>
  <c r="AA207" i="8"/>
  <c r="AA13" i="8"/>
  <c r="AA64" i="8"/>
  <c r="AA237" i="8"/>
  <c r="AB208" i="8"/>
  <c r="AB240" i="8" s="1"/>
  <c r="AA222" i="8"/>
  <c r="AA223" i="8" s="1"/>
  <c r="AD7" i="10"/>
  <c r="Q47" i="62"/>
  <c r="P138" i="62" l="1"/>
  <c r="P155" i="62" s="1"/>
  <c r="P181" i="62" s="1"/>
  <c r="P82" i="62"/>
  <c r="CQ49" i="3"/>
  <c r="CQ24" i="3"/>
  <c r="CQ41" i="3"/>
  <c r="CQ61" i="3"/>
  <c r="CO24" i="3"/>
  <c r="CO41" i="3"/>
  <c r="CO49" i="3"/>
  <c r="CO61" i="3"/>
  <c r="CP41" i="3"/>
  <c r="CP24" i="3"/>
  <c r="CP61" i="3"/>
  <c r="CP49" i="3"/>
  <c r="Q93" i="62"/>
  <c r="Q91" i="62" s="1"/>
  <c r="AH183" i="16"/>
  <c r="R183" i="16"/>
  <c r="CH66" i="3" s="1"/>
  <c r="Q51" i="62"/>
  <c r="Q49" i="62" s="1"/>
  <c r="P117" i="62"/>
  <c r="P121" i="62"/>
  <c r="S38" i="62"/>
  <c r="AE9" i="10"/>
  <c r="P133" i="62"/>
  <c r="AD34" i="10"/>
  <c r="AD11" i="10"/>
  <c r="AD8" i="10"/>
  <c r="AD37" i="10"/>
  <c r="AD17" i="10"/>
  <c r="DR14" i="3" s="1"/>
  <c r="AD27" i="10"/>
  <c r="DR8" i="3"/>
  <c r="AD14" i="10"/>
  <c r="E4" i="72"/>
  <c r="E5" i="72" s="1"/>
  <c r="R6" i="62"/>
  <c r="AD19" i="10"/>
  <c r="DR15" i="3" s="1"/>
  <c r="BC69" i="12"/>
  <c r="AC15" i="10"/>
  <c r="AC23" i="10"/>
  <c r="Q11" i="62"/>
  <c r="DQ13" i="3"/>
  <c r="BA71" i="12"/>
  <c r="BA34" i="12" s="1"/>
  <c r="AC30" i="10"/>
  <c r="P80" i="62"/>
  <c r="P79" i="62"/>
  <c r="P75" i="62"/>
  <c r="DR74" i="3"/>
  <c r="AA238" i="8"/>
  <c r="CR61" i="3"/>
  <c r="CR41" i="3"/>
  <c r="CR49" i="3"/>
  <c r="CR24" i="3"/>
  <c r="DQ47" i="3"/>
  <c r="DQ59" i="3"/>
  <c r="Q135" i="62"/>
  <c r="Q133" i="62" s="1"/>
  <c r="CW113" i="7"/>
  <c r="CX113" i="7"/>
  <c r="CV123" i="7"/>
  <c r="CV114" i="7"/>
  <c r="AB107" i="8"/>
  <c r="AB110" i="8"/>
  <c r="AB202" i="8"/>
  <c r="CX84" i="7"/>
  <c r="CW84" i="7"/>
  <c r="P142" i="62" l="1"/>
  <c r="P144" i="62" s="1"/>
  <c r="P147" i="62" s="1"/>
  <c r="P149" i="62" s="1"/>
  <c r="P180" i="62" s="1"/>
  <c r="P166" i="62"/>
  <c r="P179" i="62"/>
  <c r="AD30" i="10"/>
  <c r="AD73" i="10" s="1"/>
  <c r="CQ53" i="3"/>
  <c r="CQ63" i="3"/>
  <c r="CV133" i="7"/>
  <c r="CV143" i="7" s="1"/>
  <c r="CO26" i="3" a="1"/>
  <c r="CR26" i="3" s="1"/>
  <c r="CR51" i="3" s="1"/>
  <c r="CP50" i="3"/>
  <c r="CO63" i="3"/>
  <c r="CO53" i="3"/>
  <c r="CQ50" i="3"/>
  <c r="CP53" i="3"/>
  <c r="CP63" i="3"/>
  <c r="CO50" i="3"/>
  <c r="CR50" i="3"/>
  <c r="Q39" i="62"/>
  <c r="Q32" i="62"/>
  <c r="Q13" i="62"/>
  <c r="BC12" i="12"/>
  <c r="BC11" i="12"/>
  <c r="AZ28" i="13" s="1"/>
  <c r="AD23" i="10"/>
  <c r="AD15" i="10"/>
  <c r="BC71" i="12"/>
  <c r="BC34" i="12" s="1"/>
  <c r="DR13" i="3"/>
  <c r="R11" i="62"/>
  <c r="P122" i="62"/>
  <c r="P124" i="62"/>
  <c r="DR47" i="3"/>
  <c r="DR59" i="3"/>
  <c r="AB264" i="8"/>
  <c r="AE22" i="10"/>
  <c r="DS75" i="3"/>
  <c r="AB203" i="8"/>
  <c r="AB243" i="8" s="1"/>
  <c r="AB206" i="8"/>
  <c r="AB112" i="8" s="1"/>
  <c r="AC73" i="10"/>
  <c r="AC31" i="10"/>
  <c r="D6" i="72"/>
  <c r="AC39" i="10"/>
  <c r="Z245" i="8"/>
  <c r="Z246" i="8" s="1"/>
  <c r="DR60" i="3"/>
  <c r="DR48" i="3"/>
  <c r="DR56" i="3"/>
  <c r="CV124" i="7"/>
  <c r="CV134" i="7" s="1"/>
  <c r="AB135" i="8"/>
  <c r="AB136" i="8" s="1"/>
  <c r="AB111" i="8"/>
  <c r="AB123" i="8"/>
  <c r="CX114" i="7"/>
  <c r="CW114" i="7"/>
  <c r="CR53" i="3"/>
  <c r="CR63" i="3"/>
  <c r="P81" i="62"/>
  <c r="AX26" i="13"/>
  <c r="R37" i="62"/>
  <c r="DR17" i="3"/>
  <c r="E13" i="72"/>
  <c r="E14" i="72" s="1"/>
  <c r="R12" i="62"/>
  <c r="AZ11" i="13"/>
  <c r="R8" i="62"/>
  <c r="R10" i="62" s="1"/>
  <c r="DR10" i="3"/>
  <c r="DR12" i="3" s="1"/>
  <c r="BC70" i="12"/>
  <c r="AD25" i="10"/>
  <c r="DQ58" i="3"/>
  <c r="DQ46" i="3"/>
  <c r="DQ20" i="3"/>
  <c r="S176" i="62"/>
  <c r="S174" i="62" s="1"/>
  <c r="S120" i="62"/>
  <c r="CW133" i="7" l="1"/>
  <c r="E6" i="72"/>
  <c r="E9" i="72" s="1"/>
  <c r="E10" i="72" s="1"/>
  <c r="AD39" i="10"/>
  <c r="AD42" i="10" s="1"/>
  <c r="AD45" i="10" s="1"/>
  <c r="AD31" i="10"/>
  <c r="AA245" i="8"/>
  <c r="AA246" i="8" s="1"/>
  <c r="CV186" i="7"/>
  <c r="CW186" i="7" s="1"/>
  <c r="CV174" i="7"/>
  <c r="CW174" i="7" s="1"/>
  <c r="CV153" i="7"/>
  <c r="CW153" i="7" s="1"/>
  <c r="CO26" i="3"/>
  <c r="CQ26" i="3"/>
  <c r="CP26" i="3"/>
  <c r="R137" i="62"/>
  <c r="R53" i="62"/>
  <c r="R95" i="62" s="1"/>
  <c r="R182" i="62"/>
  <c r="R125" i="62"/>
  <c r="R83" i="62"/>
  <c r="R84" i="62" s="1"/>
  <c r="CW134" i="7"/>
  <c r="CV187" i="7"/>
  <c r="CW187" i="7" s="1"/>
  <c r="CV144" i="7"/>
  <c r="CV154" i="7"/>
  <c r="CW154" i="7" s="1"/>
  <c r="AB142" i="8"/>
  <c r="AB144" i="8"/>
  <c r="CW124" i="7"/>
  <c r="CV175" i="7" s="1"/>
  <c r="CW175" i="7" s="1"/>
  <c r="AC42" i="10"/>
  <c r="AC45" i="10" s="1"/>
  <c r="D9" i="72"/>
  <c r="D10" i="72" s="1"/>
  <c r="D7" i="72"/>
  <c r="P123" i="62"/>
  <c r="DR46" i="3"/>
  <c r="DR58" i="3"/>
  <c r="S177" i="62"/>
  <c r="BC33" i="12"/>
  <c r="AZ24" i="13"/>
  <c r="CR28" i="3"/>
  <c r="DQ61" i="3"/>
  <c r="DQ49" i="3"/>
  <c r="DQ41" i="3"/>
  <c r="G4" i="67" s="1"/>
  <c r="G6" i="67" s="1"/>
  <c r="DQ24" i="3"/>
  <c r="R13" i="62"/>
  <c r="R31" i="62"/>
  <c r="Q40" i="62"/>
  <c r="Q33" i="62"/>
  <c r="Q17" i="62"/>
  <c r="Q28" i="62"/>
  <c r="Q42" i="62" s="1"/>
  <c r="BC24" i="12"/>
  <c r="AZ70" i="13"/>
  <c r="AB124" i="8"/>
  <c r="AC106" i="8"/>
  <c r="DR45" i="3"/>
  <c r="DR20" i="3"/>
  <c r="F4" i="67" s="1"/>
  <c r="F6" i="67" s="1"/>
  <c r="AC40" i="10"/>
  <c r="AB64" i="8"/>
  <c r="AB13" i="8"/>
  <c r="AB207" i="8"/>
  <c r="AB237" i="8"/>
  <c r="AC208" i="8"/>
  <c r="AC240" i="8" s="1"/>
  <c r="AE7" i="10"/>
  <c r="AB222" i="8"/>
  <c r="AB223" i="8" s="1"/>
  <c r="R39" i="62"/>
  <c r="R32" i="62"/>
  <c r="Q164" i="62"/>
  <c r="Q162" i="62" s="1"/>
  <c r="Q136" i="62" s="1"/>
  <c r="Q114" i="62"/>
  <c r="Q72" i="62"/>
  <c r="AD40" i="10" l="1"/>
  <c r="E7" i="72"/>
  <c r="CP51" i="3"/>
  <c r="CP28" i="3"/>
  <c r="CQ51" i="3"/>
  <c r="CQ28" i="3"/>
  <c r="CO51" i="3"/>
  <c r="CO28" i="3"/>
  <c r="AD46" i="10"/>
  <c r="AD58" i="10"/>
  <c r="BC72" i="12"/>
  <c r="AD55" i="10"/>
  <c r="AD50" i="10"/>
  <c r="E11" i="72"/>
  <c r="AC107" i="8"/>
  <c r="AC202" i="8"/>
  <c r="AC110" i="8"/>
  <c r="DQ50" i="3"/>
  <c r="CR32" i="3"/>
  <c r="CR62" i="3" s="1"/>
  <c r="CR52" i="3"/>
  <c r="R184" i="62"/>
  <c r="R77" i="62"/>
  <c r="R47" i="62" s="1"/>
  <c r="Q165" i="62"/>
  <c r="Q94" i="62"/>
  <c r="R160" i="62"/>
  <c r="R158" i="62" s="1"/>
  <c r="R113" i="62"/>
  <c r="R161" i="62" s="1"/>
  <c r="R71" i="62"/>
  <c r="R159" i="62" s="1"/>
  <c r="DQ63" i="3"/>
  <c r="DQ53" i="3"/>
  <c r="D11" i="72"/>
  <c r="R126" i="62"/>
  <c r="R185" i="62"/>
  <c r="R183" i="62" s="1"/>
  <c r="R173" i="62" s="1"/>
  <c r="R131" i="62" s="1"/>
  <c r="Q178" i="62"/>
  <c r="Q138" i="62"/>
  <c r="AE37" i="10"/>
  <c r="AE11" i="10"/>
  <c r="AE8" i="10"/>
  <c r="AE34" i="10"/>
  <c r="BE69" i="12"/>
  <c r="AE27" i="10"/>
  <c r="AE17" i="10"/>
  <c r="DS14" i="3" s="1"/>
  <c r="DS8" i="3"/>
  <c r="AE14" i="10"/>
  <c r="S6" i="62"/>
  <c r="F4" i="72"/>
  <c r="F5" i="72" s="1"/>
  <c r="AE19" i="10"/>
  <c r="DS15" i="3" s="1"/>
  <c r="DR49" i="3"/>
  <c r="DR61" i="3"/>
  <c r="DR41" i="3"/>
  <c r="DR24" i="3"/>
  <c r="AZ68" i="13"/>
  <c r="BC85" i="12" s="1"/>
  <c r="R33" i="62"/>
  <c r="R40" i="62"/>
  <c r="R17" i="62"/>
  <c r="R28" i="62"/>
  <c r="R42" i="62" s="1"/>
  <c r="AZ26" i="13"/>
  <c r="Q163" i="62"/>
  <c r="Q52" i="62"/>
  <c r="AC55" i="10"/>
  <c r="AC46" i="10"/>
  <c r="AC50" i="10"/>
  <c r="AC51" i="10" s="1"/>
  <c r="BA72" i="12"/>
  <c r="AC43" i="10"/>
  <c r="AC58" i="10" s="1"/>
  <c r="AC59" i="10" s="1"/>
  <c r="Q19" i="62"/>
  <c r="Q34" i="62" s="1"/>
  <c r="DQ26" i="3"/>
  <c r="DQ51" i="3" s="1"/>
  <c r="R114" i="62"/>
  <c r="R165" i="62" s="1"/>
  <c r="R72" i="62"/>
  <c r="R163" i="62" s="1"/>
  <c r="R164" i="62"/>
  <c r="R162" i="62" s="1"/>
  <c r="AF9" i="10"/>
  <c r="T38" i="62"/>
  <c r="DR26" i="3"/>
  <c r="R19" i="62"/>
  <c r="AB238" i="8"/>
  <c r="DS74" i="3"/>
  <c r="R34" i="62" l="1"/>
  <c r="R169" i="62" s="1"/>
  <c r="R167" i="62" s="1"/>
  <c r="CQ52" i="3"/>
  <c r="CQ32" i="3"/>
  <c r="CQ62" i="3" s="1"/>
  <c r="DR51" i="3"/>
  <c r="AZ69" i="13"/>
  <c r="CO52" i="3"/>
  <c r="CO32" i="3"/>
  <c r="CO62" i="3" s="1"/>
  <c r="CP52" i="3"/>
  <c r="CP32" i="3"/>
  <c r="CP62" i="3" s="1"/>
  <c r="DS59" i="3"/>
  <c r="DS47" i="3"/>
  <c r="Q179" i="62"/>
  <c r="Q166" i="62"/>
  <c r="Q155" i="62"/>
  <c r="Q181" i="62" s="1"/>
  <c r="Q142" i="62"/>
  <c r="R52" i="62"/>
  <c r="R51" i="62"/>
  <c r="Q74" i="62"/>
  <c r="Q168" i="62" s="1"/>
  <c r="Q169" i="62"/>
  <c r="Q167" i="62" s="1"/>
  <c r="Q116" i="62"/>
  <c r="Q170" i="62" s="1"/>
  <c r="BC86" i="12"/>
  <c r="S37" i="62"/>
  <c r="S12" i="62"/>
  <c r="DS17" i="3"/>
  <c r="F13" i="72"/>
  <c r="F14" i="72" s="1"/>
  <c r="BB11" i="13"/>
  <c r="Q23" i="62"/>
  <c r="Q25" i="62" s="1"/>
  <c r="Q41" i="62" s="1"/>
  <c r="AD56" i="10"/>
  <c r="Q79" i="62"/>
  <c r="Q75" i="62"/>
  <c r="Q54" i="62"/>
  <c r="DR53" i="3"/>
  <c r="DR63" i="3"/>
  <c r="R23" i="62"/>
  <c r="R25" i="62" s="1"/>
  <c r="AE23" i="10"/>
  <c r="AE15" i="10"/>
  <c r="DS13" i="3"/>
  <c r="BE71" i="12"/>
  <c r="BE34" i="12" s="1"/>
  <c r="S11" i="62"/>
  <c r="AE30" i="10"/>
  <c r="S8" i="62"/>
  <c r="S10" i="62" s="1"/>
  <c r="DS10" i="3"/>
  <c r="DS12" i="3" s="1"/>
  <c r="AE25" i="10"/>
  <c r="BE70" i="12"/>
  <c r="R136" i="62"/>
  <c r="R178" i="62" s="1"/>
  <c r="R135" i="62"/>
  <c r="R133" i="62" s="1"/>
  <c r="Q121" i="62"/>
  <c r="Q117" i="62"/>
  <c r="Q96" i="62"/>
  <c r="AC123" i="8"/>
  <c r="AC111" i="8"/>
  <c r="AC135" i="8"/>
  <c r="AC136" i="8" s="1"/>
  <c r="BC38" i="12"/>
  <c r="AZ10" i="13"/>
  <c r="AZ16" i="13" s="1"/>
  <c r="T176" i="62"/>
  <c r="T174" i="62" s="1"/>
  <c r="T120" i="62"/>
  <c r="BA38" i="12"/>
  <c r="BA53" i="12"/>
  <c r="AX10" i="13"/>
  <c r="AX16" i="13" s="1"/>
  <c r="DR50" i="3"/>
  <c r="DR28" i="3"/>
  <c r="DS48" i="3"/>
  <c r="DS60" i="3"/>
  <c r="DS56" i="3"/>
  <c r="BE11" i="12"/>
  <c r="BB28" i="13" s="1"/>
  <c r="BE12" i="12"/>
  <c r="R186" i="62"/>
  <c r="R119" i="62"/>
  <c r="R89" i="62" s="1"/>
  <c r="AC264" i="8"/>
  <c r="AF22" i="10"/>
  <c r="AC203" i="8"/>
  <c r="AC243" i="8" s="1"/>
  <c r="AC206" i="8"/>
  <c r="AD59" i="10"/>
  <c r="DQ28" i="3"/>
  <c r="AD51" i="10"/>
  <c r="R74" i="62" l="1"/>
  <c r="R168" i="62" s="1"/>
  <c r="R116" i="62"/>
  <c r="R170" i="62" s="1"/>
  <c r="R41" i="62"/>
  <c r="R54" i="62"/>
  <c r="I4" i="67" s="1"/>
  <c r="R138" i="62"/>
  <c r="R155" i="62" s="1"/>
  <c r="R181" i="62" s="1"/>
  <c r="R49" i="62"/>
  <c r="S31" i="62"/>
  <c r="S13" i="62"/>
  <c r="DS45" i="3"/>
  <c r="DS20" i="3"/>
  <c r="AC144" i="8"/>
  <c r="AC142" i="8"/>
  <c r="BB70" i="13"/>
  <c r="BE24" i="12"/>
  <c r="BC53" i="12"/>
  <c r="BA56" i="12"/>
  <c r="AC124" i="8"/>
  <c r="AD106" i="8"/>
  <c r="DS46" i="3"/>
  <c r="DS58" i="3"/>
  <c r="R75" i="62"/>
  <c r="R79" i="62"/>
  <c r="AC13" i="8"/>
  <c r="AC64" i="8"/>
  <c r="AC207" i="8"/>
  <c r="AF7" i="10"/>
  <c r="AD208" i="8"/>
  <c r="AD240" i="8" s="1"/>
  <c r="AG9" i="10" s="1"/>
  <c r="AC237" i="8"/>
  <c r="AC238" i="8" s="1"/>
  <c r="AC222" i="8"/>
  <c r="AC223" i="8" s="1"/>
  <c r="R94" i="62"/>
  <c r="R93" i="62"/>
  <c r="DR32" i="3"/>
  <c r="DR78" i="3"/>
  <c r="DR52" i="3"/>
  <c r="DR36" i="3"/>
  <c r="AZ27" i="13"/>
  <c r="AZ30" i="13" s="1"/>
  <c r="AX27" i="13"/>
  <c r="AX30" i="13" s="1"/>
  <c r="AX73" i="13" s="1"/>
  <c r="BA39" i="12"/>
  <c r="BA48" i="12" s="1"/>
  <c r="BC39" i="12"/>
  <c r="BC48" i="12" s="1"/>
  <c r="AC112" i="8"/>
  <c r="R166" i="62"/>
  <c r="AE31" i="10"/>
  <c r="AE73" i="10"/>
  <c r="F6" i="72"/>
  <c r="AE39" i="10"/>
  <c r="AB245" i="8"/>
  <c r="AB246" i="8" s="1"/>
  <c r="DQ78" i="3"/>
  <c r="DQ52" i="3"/>
  <c r="DQ32" i="3"/>
  <c r="DQ36" i="3"/>
  <c r="DQ62" i="3" s="1"/>
  <c r="T177" i="62"/>
  <c r="Q122" i="62"/>
  <c r="Q115" i="62"/>
  <c r="Q100" i="62"/>
  <c r="Q110" i="62"/>
  <c r="Q124" i="62" s="1"/>
  <c r="S39" i="62"/>
  <c r="S32" i="62"/>
  <c r="Q73" i="62"/>
  <c r="Q80" i="62"/>
  <c r="Q58" i="62"/>
  <c r="Q68" i="62"/>
  <c r="Q82" i="62" s="1"/>
  <c r="S53" i="62"/>
  <c r="S95" i="62" s="1"/>
  <c r="S137" i="62"/>
  <c r="Q144" i="62"/>
  <c r="Q147" i="62" s="1"/>
  <c r="Q149" i="62" s="1"/>
  <c r="Q180" i="62" s="1"/>
  <c r="BB24" i="13"/>
  <c r="BE33" i="12"/>
  <c r="S182" i="62"/>
  <c r="S83" i="62"/>
  <c r="S84" i="62" s="1"/>
  <c r="S125" i="62"/>
  <c r="I6" i="67" l="1"/>
  <c r="R58" i="62"/>
  <c r="R60" i="62" s="1"/>
  <c r="R62" i="62" s="1"/>
  <c r="R65" i="62" s="1"/>
  <c r="R80" i="62"/>
  <c r="R96" i="62"/>
  <c r="J4" i="67" s="1"/>
  <c r="R68" i="62"/>
  <c r="R82" i="62" s="1"/>
  <c r="R73" i="62"/>
  <c r="R142" i="62"/>
  <c r="R144" i="62" s="1"/>
  <c r="R147" i="62" s="1"/>
  <c r="R149" i="62" s="1"/>
  <c r="R180" i="62" s="1"/>
  <c r="R179" i="62"/>
  <c r="R91" i="62"/>
  <c r="BB68" i="13"/>
  <c r="BE85" i="12" s="1"/>
  <c r="S72" i="62"/>
  <c r="S163" i="62" s="1"/>
  <c r="S114" i="62"/>
  <c r="S165" i="62" s="1"/>
  <c r="S164" i="62"/>
  <c r="S162" i="62" s="1"/>
  <c r="Q102" i="62"/>
  <c r="Q104" i="62" s="1"/>
  <c r="Q107" i="62" s="1"/>
  <c r="Q123" i="62" s="1"/>
  <c r="DR62" i="3"/>
  <c r="AD107" i="8"/>
  <c r="AD202" i="8"/>
  <c r="AD110" i="8"/>
  <c r="BA58" i="12"/>
  <c r="DS49" i="3"/>
  <c r="DS41" i="3"/>
  <c r="DS61" i="3"/>
  <c r="DS24" i="3"/>
  <c r="F7" i="72"/>
  <c r="F9" i="72"/>
  <c r="F10" i="72" s="1"/>
  <c r="AF19" i="10"/>
  <c r="AF17" i="10"/>
  <c r="G4" i="72"/>
  <c r="AF37" i="10"/>
  <c r="AF8" i="10"/>
  <c r="AF27" i="10"/>
  <c r="AF11" i="10"/>
  <c r="BG69" i="12"/>
  <c r="AF34" i="10"/>
  <c r="T6" i="62"/>
  <c r="AF14" i="10"/>
  <c r="Q60" i="62"/>
  <c r="Q62" i="62" s="1"/>
  <c r="Q65" i="62" s="1"/>
  <c r="Q81" i="62" s="1"/>
  <c r="BC56" i="12"/>
  <c r="BC58" i="12" s="1"/>
  <c r="S184" i="62"/>
  <c r="S77" i="62"/>
  <c r="S47" i="62" s="1"/>
  <c r="AZ32" i="13"/>
  <c r="AZ34" i="13" s="1"/>
  <c r="AZ54" i="13" s="1"/>
  <c r="BC80" i="12"/>
  <c r="E17" i="72"/>
  <c r="E18" i="72" s="1"/>
  <c r="E21" i="72" s="1"/>
  <c r="E25" i="72" s="1"/>
  <c r="BB26" i="13"/>
  <c r="S185" i="62"/>
  <c r="S183" i="62" s="1"/>
  <c r="S173" i="62" s="1"/>
  <c r="S131" i="62" s="1"/>
  <c r="S126" i="62"/>
  <c r="AE40" i="10"/>
  <c r="AE42" i="10"/>
  <c r="AE45" i="10" s="1"/>
  <c r="BA80" i="12"/>
  <c r="AX32" i="13"/>
  <c r="AX34" i="13" s="1"/>
  <c r="AX54" i="13" s="1"/>
  <c r="D17" i="72"/>
  <c r="D18" i="72" s="1"/>
  <c r="D21" i="72" s="1"/>
  <c r="D25" i="72" s="1"/>
  <c r="R117" i="62"/>
  <c r="R121" i="62"/>
  <c r="AZ73" i="13"/>
  <c r="S33" i="62"/>
  <c r="S40" i="62"/>
  <c r="S17" i="62"/>
  <c r="S28" i="62"/>
  <c r="S42" i="62" s="1"/>
  <c r="S160" i="62"/>
  <c r="S158" i="62" s="1"/>
  <c r="S71" i="62"/>
  <c r="S159" i="62" s="1"/>
  <c r="S113" i="62"/>
  <c r="S161" i="62" s="1"/>
  <c r="J6" i="67" l="1"/>
  <c r="R122" i="62"/>
  <c r="R100" i="62"/>
  <c r="R102" i="62" s="1"/>
  <c r="R104" i="62" s="1"/>
  <c r="R107" i="62" s="1"/>
  <c r="R123" i="62" s="1"/>
  <c r="R115" i="62"/>
  <c r="R110" i="62"/>
  <c r="R124" i="62" s="1"/>
  <c r="AF30" i="10"/>
  <c r="AF31" i="10" s="1"/>
  <c r="AE46" i="10"/>
  <c r="BE72" i="12"/>
  <c r="AE55" i="10"/>
  <c r="AE56" i="10" s="1"/>
  <c r="AE58" i="10"/>
  <c r="AE59" i="10" s="1"/>
  <c r="AE50" i="10"/>
  <c r="AE51" i="10" s="1"/>
  <c r="AF15" i="10"/>
  <c r="AF23" i="10"/>
  <c r="T11" i="62"/>
  <c r="BG71" i="12"/>
  <c r="BG34" i="12" s="1"/>
  <c r="T37" i="62"/>
  <c r="H4" i="72"/>
  <c r="G5" i="72"/>
  <c r="DS50" i="3"/>
  <c r="DS26" i="3"/>
  <c r="DS51" i="3" s="1"/>
  <c r="S19" i="62"/>
  <c r="S34" i="62" s="1"/>
  <c r="S186" i="62"/>
  <c r="S119" i="62"/>
  <c r="S89" i="62" s="1"/>
  <c r="AZ57" i="13"/>
  <c r="AZ65" i="13"/>
  <c r="R81" i="62"/>
  <c r="G13" i="72"/>
  <c r="G14" i="72" s="1"/>
  <c r="BD11" i="13"/>
  <c r="T12" i="62"/>
  <c r="F11" i="72"/>
  <c r="AD135" i="8"/>
  <c r="AG110" i="8"/>
  <c r="AD123" i="8"/>
  <c r="AD124" i="8" s="1"/>
  <c r="AD111" i="8"/>
  <c r="S52" i="62"/>
  <c r="S51" i="62"/>
  <c r="S49" i="62" s="1"/>
  <c r="AX57" i="13"/>
  <c r="AX65" i="13"/>
  <c r="AX55" i="13"/>
  <c r="S136" i="62"/>
  <c r="S178" i="62" s="1"/>
  <c r="S135" i="62"/>
  <c r="S133" i="62" s="1"/>
  <c r="BG11" i="12"/>
  <c r="BD28" i="13" s="1"/>
  <c r="BG12" i="12"/>
  <c r="DS63" i="3"/>
  <c r="DS53" i="3"/>
  <c r="AD264" i="8"/>
  <c r="AD206" i="8"/>
  <c r="AG22" i="10"/>
  <c r="AD203" i="8"/>
  <c r="AD243" i="8" s="1"/>
  <c r="BB69" i="13"/>
  <c r="BG70" i="12"/>
  <c r="T8" i="62"/>
  <c r="T10" i="62" s="1"/>
  <c r="AF25" i="10"/>
  <c r="BE86" i="12"/>
  <c r="AF39" i="10" l="1"/>
  <c r="AF40" i="10" s="1"/>
  <c r="S23" i="62"/>
  <c r="S25" i="62" s="1"/>
  <c r="S41" i="62" s="1"/>
  <c r="G6" i="72"/>
  <c r="G9" i="72" s="1"/>
  <c r="G10" i="72" s="1"/>
  <c r="AF73" i="10"/>
  <c r="AC245" i="8"/>
  <c r="AC246" i="8" s="1"/>
  <c r="T13" i="62"/>
  <c r="T31" i="62"/>
  <c r="AD64" i="8"/>
  <c r="AD13" i="8"/>
  <c r="AD237" i="8"/>
  <c r="AD207" i="8"/>
  <c r="AG206" i="8"/>
  <c r="AD222" i="8"/>
  <c r="AD223" i="8" s="1"/>
  <c r="AG7" i="10"/>
  <c r="BG33" i="12"/>
  <c r="BD24" i="13"/>
  <c r="S94" i="62"/>
  <c r="S93" i="62"/>
  <c r="S91" i="62" s="1"/>
  <c r="DS28" i="3"/>
  <c r="T182" i="62"/>
  <c r="T125" i="62"/>
  <c r="T83" i="62"/>
  <c r="T84" i="62" s="1"/>
  <c r="H6" i="72"/>
  <c r="I4" i="72"/>
  <c r="H13" i="72"/>
  <c r="S79" i="62"/>
  <c r="S75" i="62"/>
  <c r="AD112" i="8"/>
  <c r="T137" i="62"/>
  <c r="T53" i="62"/>
  <c r="T95" i="62" s="1"/>
  <c r="BE38" i="12"/>
  <c r="BB10" i="13"/>
  <c r="BB16" i="13" s="1"/>
  <c r="BE53" i="12"/>
  <c r="T39" i="62"/>
  <c r="T32" i="62"/>
  <c r="S138" i="62"/>
  <c r="BA9" i="12"/>
  <c r="G8" i="67" s="1"/>
  <c r="G10" i="67" s="1"/>
  <c r="G12" i="67" s="1"/>
  <c r="G14" i="67" s="1"/>
  <c r="G18" i="67" s="1"/>
  <c r="AZ52" i="13"/>
  <c r="AZ55" i="13" s="1"/>
  <c r="S54" i="62"/>
  <c r="AD144" i="8"/>
  <c r="AD142" i="8"/>
  <c r="AD136" i="8"/>
  <c r="AG135" i="8"/>
  <c r="BD70" i="13"/>
  <c r="BG24" i="12"/>
  <c r="S169" i="62"/>
  <c r="S167" i="62" s="1"/>
  <c r="S74" i="62"/>
  <c r="S168" i="62" s="1"/>
  <c r="S116" i="62"/>
  <c r="S170" i="62" s="1"/>
  <c r="G7" i="72" l="1"/>
  <c r="AF42" i="10"/>
  <c r="T19" i="62" s="1"/>
  <c r="G11" i="72"/>
  <c r="AG37" i="10"/>
  <c r="AG11" i="10"/>
  <c r="AG14" i="10"/>
  <c r="AK7" i="10"/>
  <c r="AG17" i="10"/>
  <c r="AK17" i="10" s="1"/>
  <c r="AG34" i="10"/>
  <c r="AG27" i="10"/>
  <c r="BF11" i="13" s="1"/>
  <c r="BF70" i="13" s="1"/>
  <c r="AG8" i="10"/>
  <c r="BI69" i="12"/>
  <c r="AG19" i="10"/>
  <c r="AK19" i="10" s="1"/>
  <c r="BI24" i="12"/>
  <c r="BA81" i="12"/>
  <c r="AX56" i="13"/>
  <c r="BA14" i="12"/>
  <c r="BA28" i="12" s="1"/>
  <c r="BA64" i="12" s="1"/>
  <c r="C31" i="72"/>
  <c r="I13" i="72"/>
  <c r="I6" i="72"/>
  <c r="J4" i="72"/>
  <c r="DS78" i="3"/>
  <c r="DS32" i="3"/>
  <c r="DS52" i="3"/>
  <c r="DS36" i="3"/>
  <c r="DS62" i="3" s="1"/>
  <c r="BE56" i="12"/>
  <c r="S121" i="62"/>
  <c r="S117" i="62"/>
  <c r="AG237" i="8"/>
  <c r="AD238" i="8"/>
  <c r="BD68" i="13"/>
  <c r="BG85" i="12" s="1"/>
  <c r="S179" i="62"/>
  <c r="S166" i="62"/>
  <c r="S142" i="62"/>
  <c r="S155" i="62"/>
  <c r="S181" i="62" s="1"/>
  <c r="BB27" i="13"/>
  <c r="BB30" i="13" s="1"/>
  <c r="BE39" i="12"/>
  <c r="BE48" i="12" s="1"/>
  <c r="H9" i="72"/>
  <c r="H10" i="72" s="1"/>
  <c r="T184" i="62"/>
  <c r="T77" i="62"/>
  <c r="T47" i="62" s="1"/>
  <c r="BB52" i="13"/>
  <c r="BC9" i="12"/>
  <c r="F8" i="67" s="1"/>
  <c r="T40" i="62"/>
  <c r="T33" i="62"/>
  <c r="T28" i="62"/>
  <c r="T42" i="62" s="1"/>
  <c r="T17" i="62"/>
  <c r="S73" i="62"/>
  <c r="S68" i="62"/>
  <c r="S82" i="62" s="1"/>
  <c r="S80" i="62"/>
  <c r="S58" i="62"/>
  <c r="T164" i="62"/>
  <c r="T162" i="62" s="1"/>
  <c r="T114" i="62"/>
  <c r="T165" i="62" s="1"/>
  <c r="T72" i="62"/>
  <c r="T163" i="62" s="1"/>
  <c r="T126" i="62"/>
  <c r="T185" i="62"/>
  <c r="T183" i="62" s="1"/>
  <c r="T173" i="62" s="1"/>
  <c r="T131" i="62" s="1"/>
  <c r="S96" i="62"/>
  <c r="BD26" i="13"/>
  <c r="T160" i="62"/>
  <c r="T158" i="62" s="1"/>
  <c r="T71" i="62"/>
  <c r="T159" i="62" s="1"/>
  <c r="T113" i="62"/>
  <c r="T161" i="62" s="1"/>
  <c r="F10" i="67" l="1"/>
  <c r="F12" i="67" s="1"/>
  <c r="F14" i="67" s="1"/>
  <c r="F18" i="67" s="1"/>
  <c r="I8" i="67"/>
  <c r="I10" i="67" s="1"/>
  <c r="I12" i="67" s="1"/>
  <c r="I14" i="67" s="1"/>
  <c r="I18" i="67" s="1"/>
  <c r="J8" i="67"/>
  <c r="J10" i="67" s="1"/>
  <c r="J12" i="67" s="1"/>
  <c r="J14" i="67" s="1"/>
  <c r="J18" i="67" s="1"/>
  <c r="AF45" i="10"/>
  <c r="BG72" i="12" s="1"/>
  <c r="T23" i="62"/>
  <c r="T25" i="62" s="1"/>
  <c r="T41" i="62" s="1"/>
  <c r="BD69" i="13"/>
  <c r="T34" i="62"/>
  <c r="T74" i="62" s="1"/>
  <c r="T168" i="62" s="1"/>
  <c r="AG30" i="10"/>
  <c r="AG31" i="10" s="1"/>
  <c r="H11" i="72"/>
  <c r="S144" i="62"/>
  <c r="S147" i="62" s="1"/>
  <c r="S149" i="62" s="1"/>
  <c r="S180" i="62" s="1"/>
  <c r="S122" i="62"/>
  <c r="S110" i="62"/>
  <c r="S124" i="62" s="1"/>
  <c r="S115" i="62"/>
  <c r="S100" i="62"/>
  <c r="BC81" i="12"/>
  <c r="AZ56" i="13"/>
  <c r="BC14" i="12"/>
  <c r="BC28" i="12" s="1"/>
  <c r="BC64" i="12" s="1"/>
  <c r="BB32" i="13"/>
  <c r="BB34" i="13" s="1"/>
  <c r="BB54" i="13" s="1"/>
  <c r="BB55" i="13" s="1"/>
  <c r="BE80" i="12"/>
  <c r="F17" i="72"/>
  <c r="F18" i="72" s="1"/>
  <c r="F21" i="72" s="1"/>
  <c r="F25" i="72" s="1"/>
  <c r="I9" i="72"/>
  <c r="I10" i="72" s="1"/>
  <c r="T135" i="62"/>
  <c r="T136" i="62"/>
  <c r="T178" i="62" s="1"/>
  <c r="BE58" i="12"/>
  <c r="C45" i="72"/>
  <c r="C32" i="72"/>
  <c r="C39" i="72" s="1"/>
  <c r="BF68" i="13"/>
  <c r="BF69" i="13" s="1"/>
  <c r="S60" i="62"/>
  <c r="S62" i="62" s="1"/>
  <c r="S65" i="62" s="1"/>
  <c r="S81" i="62" s="1"/>
  <c r="T52" i="62"/>
  <c r="T51" i="62"/>
  <c r="T186" i="62"/>
  <c r="T119" i="62"/>
  <c r="T89" i="62" s="1"/>
  <c r="BG86" i="12"/>
  <c r="J6" i="72"/>
  <c r="J13" i="72"/>
  <c r="BB73" i="13"/>
  <c r="AK14" i="10"/>
  <c r="AG15" i="10"/>
  <c r="BI71" i="12"/>
  <c r="BI34" i="12" s="1"/>
  <c r="AG23" i="10"/>
  <c r="BI12" i="12"/>
  <c r="BI11" i="12"/>
  <c r="BF28" i="13" s="1"/>
  <c r="AG25" i="10"/>
  <c r="AK11" i="10"/>
  <c r="BI70" i="12"/>
  <c r="AF55" i="10" l="1"/>
  <c r="AF56" i="10" s="1"/>
  <c r="AF46" i="10"/>
  <c r="AF58" i="10"/>
  <c r="AF59" i="10" s="1"/>
  <c r="AF50" i="10"/>
  <c r="AF51" i="10" s="1"/>
  <c r="T116" i="62"/>
  <c r="T170" i="62" s="1"/>
  <c r="T169" i="62"/>
  <c r="T167" i="62" s="1"/>
  <c r="AK30" i="10"/>
  <c r="BI85" i="12"/>
  <c r="BI86" i="12" s="1"/>
  <c r="AG39" i="10"/>
  <c r="AK39" i="10" s="1"/>
  <c r="AG73" i="10"/>
  <c r="AD245" i="8"/>
  <c r="AD246" i="8" s="1"/>
  <c r="T54" i="62"/>
  <c r="T73" i="62" s="1"/>
  <c r="BD10" i="13"/>
  <c r="BD16" i="13" s="1"/>
  <c r="BG38" i="12"/>
  <c r="BG53" i="12"/>
  <c r="T79" i="62"/>
  <c r="T75" i="62"/>
  <c r="T138" i="62"/>
  <c r="BI33" i="12"/>
  <c r="BF24" i="13"/>
  <c r="T94" i="62"/>
  <c r="T93" i="62"/>
  <c r="T49" i="62"/>
  <c r="BE9" i="12"/>
  <c r="BD52" i="13"/>
  <c r="I11" i="72"/>
  <c r="J9" i="72"/>
  <c r="J10" i="72" s="1"/>
  <c r="T133" i="62"/>
  <c r="BB57" i="13"/>
  <c r="BB65" i="13"/>
  <c r="S102" i="62"/>
  <c r="S104" i="62" s="1"/>
  <c r="S107" i="62" s="1"/>
  <c r="S123" i="62" s="1"/>
  <c r="AG245" i="8" l="1"/>
  <c r="AG40" i="10"/>
  <c r="AG42" i="10"/>
  <c r="AK42" i="10" s="1"/>
  <c r="T58" i="62"/>
  <c r="T60" i="62" s="1"/>
  <c r="T62" i="62" s="1"/>
  <c r="T65" i="62" s="1"/>
  <c r="T81" i="62" s="1"/>
  <c r="T68" i="62"/>
  <c r="T82" i="62" s="1"/>
  <c r="T96" i="62"/>
  <c r="T110" i="62" s="1"/>
  <c r="T124" i="62" s="1"/>
  <c r="T80" i="62"/>
  <c r="BF26" i="13"/>
  <c r="T91" i="62"/>
  <c r="BE81" i="12"/>
  <c r="BE14" i="12"/>
  <c r="BE28" i="12" s="1"/>
  <c r="BE64" i="12" s="1"/>
  <c r="BB56" i="13"/>
  <c r="T117" i="62"/>
  <c r="T121" i="62"/>
  <c r="T179" i="62"/>
  <c r="T166" i="62"/>
  <c r="T142" i="62"/>
  <c r="T155" i="62"/>
  <c r="T181" i="62" s="1"/>
  <c r="BG56" i="12"/>
  <c r="J11" i="72"/>
  <c r="BG39" i="12"/>
  <c r="BG48" i="12" s="1"/>
  <c r="BD27" i="13"/>
  <c r="BD30" i="13" s="1"/>
  <c r="BD73" i="13" s="1"/>
  <c r="AG45" i="10" l="1"/>
  <c r="AG46" i="10" s="1"/>
  <c r="T115" i="62"/>
  <c r="T100" i="62"/>
  <c r="T102" i="62" s="1"/>
  <c r="T104" i="62" s="1"/>
  <c r="T107" i="62" s="1"/>
  <c r="T123" i="62" s="1"/>
  <c r="T122" i="62"/>
  <c r="T144" i="62"/>
  <c r="T147" i="62" s="1"/>
  <c r="T149" i="62" s="1"/>
  <c r="T180" i="62" s="1"/>
  <c r="BG80" i="12"/>
  <c r="G17" i="72"/>
  <c r="BD32" i="13"/>
  <c r="BD34" i="13" s="1"/>
  <c r="BD54" i="13" s="1"/>
  <c r="BG58" i="12"/>
  <c r="BI72" i="12" l="1"/>
  <c r="BI53" i="12" s="1"/>
  <c r="BI56" i="12" s="1"/>
  <c r="AK45" i="10"/>
  <c r="AZ72" i="12" s="1"/>
  <c r="AG58" i="10"/>
  <c r="AG59" i="10" s="1"/>
  <c r="AG55" i="10"/>
  <c r="AK55" i="10" s="1"/>
  <c r="AG50" i="10"/>
  <c r="AG51" i="10" s="1"/>
  <c r="BD65" i="13"/>
  <c r="BD57" i="13"/>
  <c r="BD55" i="13"/>
  <c r="H17" i="72"/>
  <c r="G18" i="72"/>
  <c r="G21" i="72" s="1"/>
  <c r="G25" i="72" s="1"/>
  <c r="BF10" i="13" l="1"/>
  <c r="BF16" i="13" s="1"/>
  <c r="BI38" i="12"/>
  <c r="BI39" i="12" s="1"/>
  <c r="BI48" i="12" s="1"/>
  <c r="BI58" i="12" s="1"/>
  <c r="AG56" i="10"/>
  <c r="AK50" i="10"/>
  <c r="I17" i="72"/>
  <c r="H18" i="72"/>
  <c r="H21" i="72" s="1"/>
  <c r="H25" i="72" s="1"/>
  <c r="BF52" i="13"/>
  <c r="BG9" i="12"/>
  <c r="BF27" i="13" l="1"/>
  <c r="BF30" i="13" s="1"/>
  <c r="BF32" i="13" s="1"/>
  <c r="BF34" i="13" s="1"/>
  <c r="BF54" i="13" s="1"/>
  <c r="BF57" i="13" s="1"/>
  <c r="BG14" i="12"/>
  <c r="BG28" i="12" s="1"/>
  <c r="BG64" i="12" s="1"/>
  <c r="BD56" i="13"/>
  <c r="BG81" i="12"/>
  <c r="J17" i="72"/>
  <c r="J18" i="72" s="1"/>
  <c r="J21" i="72" s="1"/>
  <c r="I18" i="72"/>
  <c r="I21" i="72" s="1"/>
  <c r="I25" i="72" s="1"/>
  <c r="BF73" i="13" l="1"/>
  <c r="BF65" i="13"/>
  <c r="BF55" i="13"/>
  <c r="BI9" i="12" s="1"/>
  <c r="BF56" i="13" s="1"/>
  <c r="J25" i="72"/>
  <c r="C41" i="72" s="1"/>
  <c r="J26" i="72"/>
  <c r="J27" i="72" s="1"/>
  <c r="C42" i="72" s="1"/>
  <c r="BI81" i="12" l="1"/>
  <c r="BI14" i="12"/>
  <c r="BI28" i="12" s="1"/>
  <c r="BI64" i="12" s="1"/>
  <c r="C43" i="72"/>
  <c r="C48" i="72" s="1"/>
  <c r="C49" i="72" s="1"/>
</calcChain>
</file>

<file path=xl/comments1.xml><?xml version="1.0" encoding="utf-8"?>
<comments xmlns="http://schemas.openxmlformats.org/spreadsheetml/2006/main">
  <authors>
    <author>casselau</author>
    <author>Corinna Freedman</author>
    <author>MB33100</author>
    <author>oc48540</author>
    <author>OC48540</author>
    <author>mm98285</author>
    <author>kimberlg</author>
    <author>ns66486</author>
    <author>nicholjs</author>
    <author>solejay</author>
    <author>kahng</author>
    <author>Cassel, Lauren (Research)</author>
    <author>Roberts, Cynthia (Research)</author>
  </authors>
  <commentList>
    <comment ref="F8" authorId="0">
      <text>
        <r>
          <rPr>
            <b/>
            <sz val="9"/>
            <color indexed="81"/>
            <rFont val="Tahoma"/>
            <family val="2"/>
          </rPr>
          <t>casselau:</t>
        </r>
        <r>
          <rPr>
            <sz val="9"/>
            <color indexed="81"/>
            <rFont val="Tahoma"/>
            <family val="2"/>
          </rPr>
          <t xml:space="preserve">
estimates are store only; actual numbers are blended comp</t>
        </r>
      </text>
    </comment>
    <comment ref="S17" authorId="1">
      <text>
        <r>
          <rPr>
            <b/>
            <sz val="8"/>
            <color indexed="81"/>
            <rFont val="Tahoma"/>
            <family val="2"/>
          </rPr>
          <t>Corinna Freedman:</t>
        </r>
        <r>
          <rPr>
            <sz val="8"/>
            <color indexed="81"/>
            <rFont val="Tahoma"/>
            <family val="2"/>
          </rPr>
          <t xml:space="preserve">
EXCLUDES DIRECT</t>
        </r>
      </text>
    </comment>
    <comment ref="AK17" authorId="1">
      <text>
        <r>
          <rPr>
            <b/>
            <sz val="8"/>
            <color indexed="81"/>
            <rFont val="Tahoma"/>
            <family val="2"/>
          </rPr>
          <t>Corinna Freedman:</t>
        </r>
        <r>
          <rPr>
            <sz val="8"/>
            <color indexed="81"/>
            <rFont val="Tahoma"/>
            <family val="2"/>
          </rPr>
          <t xml:space="preserve">
10K = 407</t>
        </r>
      </text>
    </comment>
    <comment ref="S24" authorId="1">
      <text>
        <r>
          <rPr>
            <b/>
            <sz val="8"/>
            <color indexed="81"/>
            <rFont val="Tahoma"/>
            <family val="2"/>
          </rPr>
          <t>Corinna Freedman:</t>
        </r>
        <r>
          <rPr>
            <sz val="8"/>
            <color indexed="81"/>
            <rFont val="Tahoma"/>
            <family val="2"/>
          </rPr>
          <t xml:space="preserve">
EXCLUDES DIRECT</t>
        </r>
      </text>
    </comment>
    <comment ref="AK24" authorId="1">
      <text>
        <r>
          <rPr>
            <b/>
            <sz val="8"/>
            <color indexed="81"/>
            <rFont val="Tahoma"/>
            <family val="2"/>
          </rPr>
          <t>Corinna Freedman:</t>
        </r>
        <r>
          <rPr>
            <sz val="8"/>
            <color indexed="81"/>
            <rFont val="Tahoma"/>
            <family val="2"/>
          </rPr>
          <t xml:space="preserve">
10K = $358</t>
        </r>
      </text>
    </comment>
    <comment ref="AK27" authorId="1">
      <text>
        <r>
          <rPr>
            <b/>
            <sz val="8"/>
            <color indexed="81"/>
            <rFont val="Tahoma"/>
            <family val="2"/>
          </rPr>
          <t>Corinna Freedman:</t>
        </r>
        <r>
          <rPr>
            <sz val="8"/>
            <color indexed="81"/>
            <rFont val="Tahoma"/>
            <family val="2"/>
          </rPr>
          <t xml:space="preserve">
10Q = 76.21</t>
        </r>
      </text>
    </comment>
    <comment ref="AK28" authorId="1">
      <text>
        <r>
          <rPr>
            <b/>
            <sz val="8"/>
            <color indexed="81"/>
            <rFont val="Tahoma"/>
            <family val="2"/>
          </rPr>
          <t>Corinna Freedman:</t>
        </r>
        <r>
          <rPr>
            <sz val="8"/>
            <color indexed="81"/>
            <rFont val="Tahoma"/>
            <family val="2"/>
          </rPr>
          <t xml:space="preserve">
10Q = 73</t>
        </r>
      </text>
    </comment>
    <comment ref="S31" authorId="1">
      <text>
        <r>
          <rPr>
            <b/>
            <sz val="8"/>
            <color indexed="81"/>
            <rFont val="Tahoma"/>
            <family val="2"/>
          </rPr>
          <t>Corinna Freedman:</t>
        </r>
        <r>
          <rPr>
            <sz val="8"/>
            <color indexed="81"/>
            <rFont val="Tahoma"/>
            <family val="2"/>
          </rPr>
          <t xml:space="preserve">
EXCLUDES DIRECT</t>
        </r>
      </text>
    </comment>
    <comment ref="AK31" authorId="1">
      <text>
        <r>
          <rPr>
            <b/>
            <sz val="8"/>
            <color indexed="81"/>
            <rFont val="Tahoma"/>
            <family val="2"/>
          </rPr>
          <t>Corinna Freedman:</t>
        </r>
        <r>
          <rPr>
            <sz val="8"/>
            <color indexed="81"/>
            <rFont val="Tahoma"/>
            <family val="2"/>
          </rPr>
          <t xml:space="preserve">
10K = $352</t>
        </r>
      </text>
    </comment>
    <comment ref="AK34" authorId="1">
      <text>
        <r>
          <rPr>
            <b/>
            <sz val="8"/>
            <color indexed="81"/>
            <rFont val="Tahoma"/>
            <family val="2"/>
          </rPr>
          <t>Corinna Freedman:</t>
        </r>
        <r>
          <rPr>
            <sz val="8"/>
            <color indexed="81"/>
            <rFont val="Tahoma"/>
            <family val="2"/>
          </rPr>
          <t xml:space="preserve">
10Q = 89.71</t>
        </r>
      </text>
    </comment>
    <comment ref="AK35" authorId="1">
      <text>
        <r>
          <rPr>
            <b/>
            <sz val="8"/>
            <color indexed="81"/>
            <rFont val="Tahoma"/>
            <family val="2"/>
          </rPr>
          <t>Corinna Freedman:</t>
        </r>
        <r>
          <rPr>
            <sz val="8"/>
            <color indexed="81"/>
            <rFont val="Tahoma"/>
            <family val="2"/>
          </rPr>
          <t xml:space="preserve">
10Q = 95</t>
        </r>
      </text>
    </comment>
    <comment ref="S38" authorId="1">
      <text>
        <r>
          <rPr>
            <b/>
            <sz val="8"/>
            <color indexed="81"/>
            <rFont val="Tahoma"/>
            <family val="2"/>
          </rPr>
          <t>Corinna Freedman:</t>
        </r>
        <r>
          <rPr>
            <sz val="8"/>
            <color indexed="81"/>
            <rFont val="Tahoma"/>
            <family val="2"/>
          </rPr>
          <t xml:space="preserve">
EXCLUDES DIRECT</t>
        </r>
      </text>
    </comment>
    <comment ref="J41" authorId="2">
      <text>
        <r>
          <rPr>
            <b/>
            <sz val="8"/>
            <color indexed="81"/>
            <rFont val="Tahoma"/>
            <family val="2"/>
          </rPr>
          <t>MB33100:</t>
        </r>
        <r>
          <rPr>
            <sz val="8"/>
            <color indexed="81"/>
            <rFont val="Tahoma"/>
            <family val="2"/>
          </rPr>
          <t xml:space="preserve">
5/06: 10 A&amp;F stores in 2006
2/06: 12 A&amp;F stores in 2006</t>
        </r>
      </text>
    </comment>
    <comment ref="J42" authorId="2">
      <text>
        <r>
          <rPr>
            <b/>
            <sz val="8"/>
            <color indexed="81"/>
            <rFont val="Tahoma"/>
            <family val="2"/>
          </rPr>
          <t>MB33100:</t>
        </r>
        <r>
          <rPr>
            <sz val="8"/>
            <color indexed="81"/>
            <rFont val="Tahoma"/>
            <family val="2"/>
          </rPr>
          <t xml:space="preserve">
5/06: 10 A&amp;F stores in 2006
2/06: 12 A&amp;F stores in 2006</t>
        </r>
      </text>
    </comment>
    <comment ref="Z42" authorId="1">
      <text>
        <r>
          <rPr>
            <b/>
            <sz val="8"/>
            <color indexed="81"/>
            <rFont val="Tahoma"/>
            <family val="2"/>
          </rPr>
          <t>Corinna Freedman:</t>
        </r>
        <r>
          <rPr>
            <sz val="8"/>
            <color indexed="81"/>
            <rFont val="Tahoma"/>
            <family val="2"/>
          </rPr>
          <t xml:space="preserve">
assume flagship opening</t>
        </r>
      </text>
    </comment>
    <comment ref="J43" authorId="2">
      <text>
        <r>
          <rPr>
            <b/>
            <sz val="8"/>
            <color indexed="81"/>
            <rFont val="Tahoma"/>
            <family val="2"/>
          </rPr>
          <t>MB33100:</t>
        </r>
        <r>
          <rPr>
            <sz val="8"/>
            <color indexed="81"/>
            <rFont val="Tahoma"/>
            <family val="2"/>
          </rPr>
          <t xml:space="preserve">
5/06: 10 A&amp;F stores in 2006
2/06: 12 A&amp;F stores in 2006</t>
        </r>
      </text>
    </comment>
    <comment ref="Z43" authorId="1">
      <text>
        <r>
          <rPr>
            <b/>
            <sz val="8"/>
            <color indexed="81"/>
            <rFont val="Tahoma"/>
            <family val="2"/>
          </rPr>
          <t>Corinna Freedman:</t>
        </r>
        <r>
          <rPr>
            <sz val="8"/>
            <color indexed="81"/>
            <rFont val="Tahoma"/>
            <family val="2"/>
          </rPr>
          <t xml:space="preserve">
assume new flagship</t>
        </r>
      </text>
    </comment>
    <comment ref="J44" authorId="2">
      <text>
        <r>
          <rPr>
            <b/>
            <sz val="8"/>
            <color indexed="81"/>
            <rFont val="Tahoma"/>
            <family val="2"/>
          </rPr>
          <t>MB33100:</t>
        </r>
        <r>
          <rPr>
            <sz val="8"/>
            <color indexed="81"/>
            <rFont val="Tahoma"/>
            <family val="2"/>
          </rPr>
          <t xml:space="preserve">
5/06: 10 A&amp;F stores in 2006
2/06: 12 A&amp;F stores in 2006</t>
        </r>
      </text>
    </comment>
    <comment ref="S45" authorId="1">
      <text>
        <r>
          <rPr>
            <b/>
            <sz val="8"/>
            <color indexed="81"/>
            <rFont val="Tahoma"/>
            <family val="2"/>
          </rPr>
          <t>Corinna Freedman:</t>
        </r>
        <r>
          <rPr>
            <sz val="8"/>
            <color indexed="81"/>
            <rFont val="Tahoma"/>
            <family val="2"/>
          </rPr>
          <t xml:space="preserve">
EXCLUDES DIRECT</t>
        </r>
      </text>
    </comment>
    <comment ref="AV47" authorId="3">
      <text>
        <r>
          <rPr>
            <b/>
            <sz val="8"/>
            <color indexed="81"/>
            <rFont val="Tahoma"/>
            <family val="2"/>
          </rPr>
          <t>oc48540:</t>
        </r>
        <r>
          <rPr>
            <sz val="8"/>
            <color indexed="81"/>
            <rFont val="Tahoma"/>
            <family val="2"/>
          </rPr>
          <t xml:space="preserve">
Est. % Direct of Total Direct, i.e. A&amp;F, Hollister, Aberc</t>
        </r>
      </text>
    </comment>
    <comment ref="J48" authorId="3">
      <text>
        <r>
          <rPr>
            <b/>
            <sz val="8"/>
            <color indexed="81"/>
            <rFont val="Tahoma"/>
            <family val="2"/>
          </rPr>
          <t>oc48540:</t>
        </r>
        <r>
          <rPr>
            <sz val="8"/>
            <color indexed="81"/>
            <rFont val="Tahoma"/>
            <family val="2"/>
          </rPr>
          <t xml:space="preserve">
355 NA A&amp;F, 3 A&amp;F in Canada, 1 A&amp;F in London</t>
        </r>
      </text>
    </comment>
    <comment ref="F49" authorId="3">
      <text>
        <r>
          <rPr>
            <b/>
            <sz val="8"/>
            <color indexed="81"/>
            <rFont val="Tahoma"/>
            <family val="2"/>
          </rPr>
          <t>oc48540:</t>
        </r>
        <r>
          <rPr>
            <sz val="8"/>
            <color indexed="81"/>
            <rFont val="Tahoma"/>
            <family val="2"/>
          </rPr>
          <t xml:space="preserve">
est -4%</t>
        </r>
      </text>
    </comment>
    <comment ref="P49" authorId="4">
      <text>
        <r>
          <rPr>
            <b/>
            <sz val="8"/>
            <color indexed="81"/>
            <rFont val="Tahoma"/>
            <family val="2"/>
          </rPr>
          <t>OC48540:</t>
        </r>
        <r>
          <rPr>
            <sz val="8"/>
            <color indexed="81"/>
            <rFont val="Tahoma"/>
            <family val="2"/>
          </rPr>
          <t xml:space="preserve">
ANF London Store</t>
        </r>
      </text>
    </comment>
    <comment ref="AV54" authorId="3">
      <text>
        <r>
          <rPr>
            <b/>
            <sz val="8"/>
            <color indexed="81"/>
            <rFont val="Tahoma"/>
            <family val="2"/>
          </rPr>
          <t>oc48540:</t>
        </r>
        <r>
          <rPr>
            <sz val="8"/>
            <color indexed="81"/>
            <rFont val="Tahoma"/>
            <family val="2"/>
          </rPr>
          <t xml:space="preserve">
Est. % Direct of Total Direct, i.e. A&amp;F, Hollister, Aberc</t>
        </r>
      </text>
    </comment>
    <comment ref="J55" authorId="5">
      <text>
        <r>
          <rPr>
            <b/>
            <sz val="8"/>
            <color indexed="81"/>
            <rFont val="Tahoma"/>
            <family val="2"/>
          </rPr>
          <t>mm98285:</t>
        </r>
        <r>
          <rPr>
            <sz val="8"/>
            <color indexed="81"/>
            <rFont val="Tahoma"/>
            <family val="2"/>
          </rPr>
          <t xml:space="preserve">
3 canada, 1 london</t>
        </r>
      </text>
    </comment>
    <comment ref="AV61" authorId="3">
      <text>
        <r>
          <rPr>
            <b/>
            <sz val="8"/>
            <color indexed="81"/>
            <rFont val="Tahoma"/>
            <family val="2"/>
          </rPr>
          <t>oc48540:</t>
        </r>
        <r>
          <rPr>
            <sz val="8"/>
            <color indexed="81"/>
            <rFont val="Tahoma"/>
            <family val="2"/>
          </rPr>
          <t xml:space="preserve">
Est. % Direct of Total Direct, i.e. A&amp;F, Hollister, Aberc</t>
        </r>
      </text>
    </comment>
    <comment ref="S65" authorId="5">
      <text>
        <r>
          <rPr>
            <b/>
            <sz val="8"/>
            <color indexed="81"/>
            <rFont val="Tahoma"/>
            <family val="2"/>
          </rPr>
          <t>mm98285:</t>
        </r>
        <r>
          <rPr>
            <sz val="8"/>
            <color indexed="81"/>
            <rFont val="Tahoma"/>
            <family val="2"/>
          </rPr>
          <t xml:space="preserve">
incremental flagship revenue on right margin (cell BB65)</t>
        </r>
      </text>
    </comment>
    <comment ref="BB65" authorId="5">
      <text>
        <r>
          <rPr>
            <b/>
            <sz val="8"/>
            <color indexed="81"/>
            <rFont val="Tahoma"/>
            <family val="2"/>
          </rPr>
          <t>mm98285:</t>
        </r>
        <r>
          <rPr>
            <sz val="8"/>
            <color indexed="81"/>
            <rFont val="Tahoma"/>
            <family val="2"/>
          </rPr>
          <t xml:space="preserve">
1) Dec. 15 opening of Tokyo (estimate $115mm/year or $15mm in 4Q or 13% of annual sales) 
2) Nov. opening of Milan (estimate $54mm/year or $13.5mm in 4Q)
3) Opening of Copenhagan (estimate $38mm/year) - moved to FY10 from Oct '09</t>
        </r>
      </text>
    </comment>
    <comment ref="AV68" authorId="3">
      <text>
        <r>
          <rPr>
            <b/>
            <sz val="8"/>
            <color indexed="81"/>
            <rFont val="Tahoma"/>
            <family val="2"/>
          </rPr>
          <t>oc48540:</t>
        </r>
        <r>
          <rPr>
            <sz val="8"/>
            <color indexed="81"/>
            <rFont val="Tahoma"/>
            <family val="2"/>
          </rPr>
          <t xml:space="preserve">
Est. % Direct of Total Direct, i.e. A&amp;F, Hollister, Aberc</t>
        </r>
      </text>
    </comment>
    <comment ref="H69" authorId="6">
      <text>
        <r>
          <rPr>
            <b/>
            <sz val="8"/>
            <color indexed="81"/>
            <rFont val="Tahoma"/>
            <family val="2"/>
          </rPr>
          <t>kimberlg:</t>
        </r>
        <r>
          <rPr>
            <sz val="8"/>
            <color indexed="81"/>
            <rFont val="Tahoma"/>
            <family val="2"/>
          </rPr>
          <t xml:space="preserve">
spread would have been ~-3% excluding int'l new store sales</t>
        </r>
      </text>
    </comment>
    <comment ref="J69" authorId="7">
      <text>
        <r>
          <rPr>
            <b/>
            <sz val="8"/>
            <color indexed="81"/>
            <rFont val="Tahoma"/>
            <family val="2"/>
          </rPr>
          <t>ns66486:</t>
        </r>
        <r>
          <rPr>
            <sz val="8"/>
            <color indexed="81"/>
            <rFont val="Tahoma"/>
            <family val="2"/>
          </rPr>
          <t xml:space="preserve">
six international</t>
        </r>
      </text>
    </comment>
    <comment ref="H70" authorId="6">
      <text>
        <r>
          <rPr>
            <b/>
            <sz val="8"/>
            <color indexed="81"/>
            <rFont val="Tahoma"/>
            <family val="2"/>
          </rPr>
          <t>kimberlg:</t>
        </r>
        <r>
          <rPr>
            <sz val="8"/>
            <color indexed="81"/>
            <rFont val="Tahoma"/>
            <family val="2"/>
          </rPr>
          <t xml:space="preserve">
spread would have been ~-3% excluding int'l new store sales</t>
        </r>
      </text>
    </comment>
    <comment ref="J70" authorId="8">
      <text>
        <r>
          <rPr>
            <b/>
            <sz val="8"/>
            <color indexed="81"/>
            <rFont val="Tahoma"/>
            <family val="2"/>
          </rPr>
          <t>nicholjs:</t>
        </r>
        <r>
          <rPr>
            <sz val="8"/>
            <color indexed="81"/>
            <rFont val="Tahoma"/>
            <family val="2"/>
          </rPr>
          <t xml:space="preserve">
345 stores, including 3 in Canada, 2 in Europe and 1 in Asia (6 international)</t>
        </r>
      </text>
    </comment>
    <comment ref="J71" authorId="8">
      <text>
        <r>
          <rPr>
            <b/>
            <sz val="8"/>
            <color indexed="81"/>
            <rFont val="Tahoma"/>
            <family val="2"/>
          </rPr>
          <t>nicholjs:</t>
        </r>
        <r>
          <rPr>
            <sz val="8"/>
            <color indexed="81"/>
            <rFont val="Tahoma"/>
            <family val="2"/>
          </rPr>
          <t xml:space="preserve">
+1 US, +1 Canada</t>
        </r>
      </text>
    </comment>
    <comment ref="F73" authorId="9">
      <text>
        <r>
          <rPr>
            <b/>
            <sz val="8"/>
            <color indexed="81"/>
            <rFont val="Tahoma"/>
            <family val="2"/>
          </rPr>
          <t>9% per 10K</t>
        </r>
        <r>
          <rPr>
            <sz val="8"/>
            <color indexed="81"/>
            <rFont val="Tahoma"/>
            <family val="2"/>
          </rPr>
          <t xml:space="preserve">
</t>
        </r>
      </text>
    </comment>
    <comment ref="BF73" authorId="3">
      <text>
        <r>
          <rPr>
            <b/>
            <sz val="8"/>
            <color indexed="81"/>
            <rFont val="Tahoma"/>
            <family val="2"/>
          </rPr>
          <t>2/16:</t>
        </r>
        <r>
          <rPr>
            <sz val="8"/>
            <color indexed="81"/>
            <rFont val="Tahoma"/>
            <family val="2"/>
          </rPr>
          <t xml:space="preserve"> 3 international flagship locations currently
have annualized volumes of around 200 million in aggregate</t>
        </r>
      </text>
    </comment>
    <comment ref="BG73" authorId="3">
      <text>
        <r>
          <rPr>
            <b/>
            <sz val="8"/>
            <color indexed="81"/>
            <rFont val="Tahoma"/>
            <family val="2"/>
          </rPr>
          <t>2/16:</t>
        </r>
        <r>
          <rPr>
            <sz val="8"/>
            <color indexed="81"/>
            <rFont val="Tahoma"/>
            <family val="2"/>
          </rPr>
          <t xml:space="preserve"> 3 international flagship locations currently
have annualized volumes of around 200 million in aggregate</t>
        </r>
      </text>
    </comment>
    <comment ref="BH73" authorId="3">
      <text>
        <r>
          <rPr>
            <b/>
            <sz val="8"/>
            <color indexed="81"/>
            <rFont val="Tahoma"/>
            <family val="2"/>
          </rPr>
          <t>2/16:</t>
        </r>
        <r>
          <rPr>
            <sz val="8"/>
            <color indexed="81"/>
            <rFont val="Tahoma"/>
            <family val="2"/>
          </rPr>
          <t xml:space="preserve"> 3 international flagship locations currently
have annualized volumes of around 200 million in aggregate</t>
        </r>
      </text>
    </comment>
    <comment ref="F76" authorId="8">
      <text>
        <r>
          <rPr>
            <b/>
            <sz val="8"/>
            <color indexed="81"/>
            <rFont val="Tahoma"/>
            <family val="2"/>
          </rPr>
          <t>nicholjs:</t>
        </r>
        <r>
          <rPr>
            <sz val="8"/>
            <color indexed="81"/>
            <rFont val="Tahoma"/>
            <family val="2"/>
          </rPr>
          <t xml:space="preserve">
women's and men's +HSD</t>
        </r>
      </text>
    </comment>
    <comment ref="J76" authorId="8">
      <text>
        <r>
          <rPr>
            <b/>
            <sz val="8"/>
            <color indexed="81"/>
            <rFont val="Tahoma"/>
            <family val="2"/>
          </rPr>
          <t>nicholjs:</t>
        </r>
        <r>
          <rPr>
            <sz val="8"/>
            <color indexed="81"/>
            <rFont val="Tahoma"/>
            <family val="2"/>
          </rPr>
          <t xml:space="preserve">
316 in the US, 9 international</t>
        </r>
      </text>
    </comment>
    <comment ref="F77" authorId="8">
      <text>
        <r>
          <rPr>
            <b/>
            <sz val="8"/>
            <color indexed="81"/>
            <rFont val="Tahoma"/>
            <family val="2"/>
          </rPr>
          <t>nicholjs:</t>
        </r>
        <r>
          <rPr>
            <sz val="8"/>
            <color indexed="81"/>
            <rFont val="Tahoma"/>
            <family val="2"/>
          </rPr>
          <t xml:space="preserve">
we est +4%</t>
        </r>
      </text>
    </comment>
    <comment ref="J77" authorId="8">
      <text>
        <r>
          <rPr>
            <b/>
            <sz val="8"/>
            <color indexed="81"/>
            <rFont val="Tahoma"/>
            <family val="2"/>
          </rPr>
          <t>nicholjs:</t>
        </r>
        <r>
          <rPr>
            <sz val="8"/>
            <color indexed="81"/>
            <rFont val="Tahoma"/>
            <family val="2"/>
          </rPr>
          <t xml:space="preserve">
316 in the US, 10 International</t>
        </r>
      </text>
    </comment>
    <comment ref="J78" authorId="8">
      <text>
        <r>
          <rPr>
            <sz val="8"/>
            <color indexed="81"/>
            <rFont val="Tahoma"/>
            <family val="2"/>
          </rPr>
          <t>316 in the US, 10 International</t>
        </r>
      </text>
    </comment>
    <comment ref="J79" authorId="8">
      <text>
        <r>
          <rPr>
            <b/>
            <sz val="8"/>
            <color indexed="81"/>
            <rFont val="Tahoma"/>
            <family val="2"/>
          </rPr>
          <t>nicholjs:</t>
        </r>
        <r>
          <rPr>
            <sz val="8"/>
            <color indexed="81"/>
            <rFont val="Tahoma"/>
            <family val="2"/>
          </rPr>
          <t xml:space="preserve">
Madrid, Dusseldorf, Brussels, and Singapore all open Q4 2011</t>
        </r>
      </text>
    </comment>
    <comment ref="F80" authorId="9">
      <text>
        <r>
          <rPr>
            <b/>
            <sz val="8"/>
            <color indexed="81"/>
            <rFont val="Tahoma"/>
            <family val="2"/>
          </rPr>
          <t>3% per 10K</t>
        </r>
        <r>
          <rPr>
            <sz val="8"/>
            <color indexed="81"/>
            <rFont val="Tahoma"/>
            <family val="2"/>
          </rPr>
          <t xml:space="preserve">
</t>
        </r>
      </text>
    </comment>
    <comment ref="BO82" authorId="9">
      <text>
        <r>
          <rPr>
            <b/>
            <sz val="8"/>
            <color indexed="81"/>
            <rFont val="Tahoma"/>
            <family val="2"/>
          </rPr>
          <t>solejay:</t>
        </r>
        <r>
          <rPr>
            <sz val="8"/>
            <color indexed="81"/>
            <rFont val="Tahoma"/>
            <family val="2"/>
          </rPr>
          <t xml:space="preserve">
opened</t>
        </r>
      </text>
    </comment>
    <comment ref="BP82" authorId="9">
      <text>
        <r>
          <rPr>
            <b/>
            <sz val="8"/>
            <color indexed="81"/>
            <rFont val="Tahoma"/>
            <family val="2"/>
          </rPr>
          <t>solejay:</t>
        </r>
        <r>
          <rPr>
            <sz val="8"/>
            <color indexed="81"/>
            <rFont val="Tahoma"/>
            <family val="2"/>
          </rPr>
          <t xml:space="preserve">
opened 3Q</t>
        </r>
      </text>
    </comment>
    <comment ref="BQ82" authorId="9">
      <text>
        <r>
          <rPr>
            <b/>
            <sz val="8"/>
            <color indexed="81"/>
            <rFont val="Tahoma"/>
            <family val="2"/>
          </rPr>
          <t>solejay:</t>
        </r>
        <r>
          <rPr>
            <sz val="8"/>
            <color indexed="81"/>
            <rFont val="Tahoma"/>
            <family val="2"/>
          </rPr>
          <t xml:space="preserve">
opened 3Q</t>
        </r>
      </text>
    </comment>
    <comment ref="BR82" authorId="9">
      <text>
        <r>
          <rPr>
            <b/>
            <sz val="8"/>
            <color indexed="81"/>
            <rFont val="Tahoma"/>
            <family val="2"/>
          </rPr>
          <t>solejay:</t>
        </r>
        <r>
          <rPr>
            <sz val="8"/>
            <color indexed="81"/>
            <rFont val="Tahoma"/>
            <family val="2"/>
          </rPr>
          <t xml:space="preserve">
opened 4Q</t>
        </r>
      </text>
    </comment>
    <comment ref="BS82" authorId="9">
      <text>
        <r>
          <rPr>
            <b/>
            <sz val="8"/>
            <color indexed="81"/>
            <rFont val="Tahoma"/>
            <family val="2"/>
          </rPr>
          <t>solejay:</t>
        </r>
        <r>
          <rPr>
            <sz val="8"/>
            <color indexed="81"/>
            <rFont val="Tahoma"/>
            <family val="2"/>
          </rPr>
          <t xml:space="preserve">
opened 4Q</t>
        </r>
      </text>
    </comment>
    <comment ref="J83" authorId="8">
      <text>
        <r>
          <rPr>
            <sz val="8"/>
            <color indexed="81"/>
            <rFont val="Tahoma"/>
            <family val="2"/>
          </rPr>
          <t>279 in the US, 15 international</t>
        </r>
      </text>
    </comment>
    <comment ref="J84" authorId="8">
      <text>
        <r>
          <rPr>
            <sz val="8"/>
            <color indexed="81"/>
            <rFont val="Tahoma"/>
            <family val="2"/>
          </rPr>
          <t>278 in the US, 15 international</t>
        </r>
      </text>
    </comment>
    <comment ref="J85" authorId="0">
      <text>
        <r>
          <rPr>
            <b/>
            <sz val="8"/>
            <color indexed="81"/>
            <rFont val="Tahoma"/>
            <family val="2"/>
          </rPr>
          <t>casselau:</t>
        </r>
        <r>
          <rPr>
            <sz val="8"/>
            <color indexed="81"/>
            <rFont val="Tahoma"/>
            <family val="2"/>
          </rPr>
          <t xml:space="preserve">
11/14: opened flagship stores in HK and Munich</t>
        </r>
      </text>
    </comment>
    <comment ref="F86" authorId="0">
      <text>
        <r>
          <rPr>
            <b/>
            <sz val="8"/>
            <color indexed="81"/>
            <rFont val="Tahoma"/>
            <family val="2"/>
          </rPr>
          <t>casselau:</t>
        </r>
        <r>
          <rPr>
            <sz val="8"/>
            <color indexed="81"/>
            <rFont val="Tahoma"/>
            <family val="2"/>
          </rPr>
          <t xml:space="preserve">
includes DTC</t>
        </r>
      </text>
    </comment>
    <comment ref="H86" authorId="10">
      <text>
        <r>
          <rPr>
            <sz val="8"/>
            <color indexed="81"/>
            <rFont val="Tahoma"/>
            <family val="2"/>
          </rPr>
          <t>raised 5% for 53rd week</t>
        </r>
      </text>
    </comment>
    <comment ref="J86" authorId="9">
      <text>
        <r>
          <rPr>
            <b/>
            <sz val="8"/>
            <color indexed="81"/>
            <rFont val="Tahoma"/>
            <family val="2"/>
          </rPr>
          <t>from the 3Q 2012 conference call:</t>
        </r>
        <r>
          <rPr>
            <sz val="8"/>
            <color indexed="81"/>
            <rFont val="Tahoma"/>
            <family val="2"/>
          </rPr>
          <t xml:space="preserve">
In addition, we expect to close approximately 55 to 60 domestic stores through natural lease expirations, 11 of which were closed earlier in the year</t>
        </r>
      </text>
    </comment>
    <comment ref="S86" authorId="10">
      <text>
        <r>
          <rPr>
            <b/>
            <sz val="8"/>
            <color indexed="81"/>
            <rFont val="Tahoma"/>
            <family val="2"/>
          </rPr>
          <t>kahng:</t>
        </r>
        <r>
          <rPr>
            <sz val="8"/>
            <color indexed="81"/>
            <rFont val="Tahoma"/>
            <family val="2"/>
          </rPr>
          <t xml:space="preserve">
$440.6M adjusted for 53rd week in Jan</t>
        </r>
      </text>
    </comment>
    <comment ref="F87" authorId="0">
      <text>
        <r>
          <rPr>
            <b/>
            <sz val="8"/>
            <color indexed="81"/>
            <rFont val="Tahoma"/>
            <family val="2"/>
          </rPr>
          <t>casselau:</t>
        </r>
        <r>
          <rPr>
            <sz val="8"/>
            <color indexed="81"/>
            <rFont val="Tahoma"/>
            <family val="2"/>
          </rPr>
          <t xml:space="preserve">
includes DTC
</t>
        </r>
      </text>
    </comment>
    <comment ref="F90" authorId="0">
      <text>
        <r>
          <rPr>
            <b/>
            <sz val="8"/>
            <color indexed="81"/>
            <rFont val="Tahoma"/>
            <family val="2"/>
          </rPr>
          <t>casselau:</t>
        </r>
        <r>
          <rPr>
            <sz val="8"/>
            <color indexed="81"/>
            <rFont val="Tahoma"/>
            <family val="2"/>
          </rPr>
          <t xml:space="preserve">
2/22/13: -HSD comp including DTC due to much lower levels of carryover inventory compared to LY on top of a difficult macroeconomic environment</t>
        </r>
      </text>
    </comment>
    <comment ref="H93" authorId="10">
      <text>
        <r>
          <rPr>
            <sz val="8"/>
            <color indexed="81"/>
            <rFont val="Tahoma"/>
            <family val="2"/>
          </rPr>
          <t>lowered 5% for 53rd week</t>
        </r>
      </text>
    </comment>
    <comment ref="S93" authorId="10">
      <text>
        <r>
          <rPr>
            <b/>
            <sz val="8"/>
            <color indexed="81"/>
            <rFont val="Tahoma"/>
            <family val="2"/>
          </rPr>
          <t>assume extra week reversal is $40M</t>
        </r>
      </text>
    </comment>
    <comment ref="F94" authorId="0">
      <text>
        <r>
          <rPr>
            <b/>
            <sz val="8"/>
            <color indexed="81"/>
            <rFont val="Tahoma"/>
            <family val="2"/>
          </rPr>
          <t>casselau:</t>
        </r>
        <r>
          <rPr>
            <sz val="8"/>
            <color indexed="81"/>
            <rFont val="Tahoma"/>
            <family val="2"/>
          </rPr>
          <t xml:space="preserve">
2/22/13: guidance: ~flat comp (including DTC), with slightly negative comparable store sales</t>
        </r>
      </text>
    </comment>
    <comment ref="H94" authorId="9">
      <text>
        <r>
          <rPr>
            <b/>
            <sz val="8"/>
            <color indexed="81"/>
            <rFont val="Tahoma"/>
            <family val="2"/>
          </rPr>
          <t>solejay:</t>
        </r>
        <r>
          <rPr>
            <sz val="8"/>
            <color indexed="81"/>
            <rFont val="Tahoma"/>
            <family val="2"/>
          </rPr>
          <t xml:space="preserve">
estimate incremtal flagship sales of $65M more than offset by $80M in lost sales from store closures (net loss about 1% of total sales from LY).  Also accounting for 53rd week.</t>
        </r>
      </text>
    </comment>
    <comment ref="J99" authorId="0">
      <text>
        <r>
          <rPr>
            <b/>
            <sz val="9"/>
            <color indexed="81"/>
            <rFont val="Tahoma"/>
            <family val="2"/>
          </rPr>
          <t>casselau:</t>
        </r>
        <r>
          <rPr>
            <sz val="9"/>
            <color indexed="81"/>
            <rFont val="Tahoma"/>
            <family val="2"/>
          </rPr>
          <t xml:space="preserve">
27 international</t>
        </r>
      </text>
    </comment>
    <comment ref="J104" authorId="0">
      <text>
        <r>
          <rPr>
            <b/>
            <sz val="9"/>
            <color indexed="81"/>
            <rFont val="Tahoma"/>
            <family val="2"/>
          </rPr>
          <t>casselau:</t>
        </r>
        <r>
          <rPr>
            <sz val="9"/>
            <color indexed="81"/>
            <rFont val="Tahoma"/>
            <family val="2"/>
          </rPr>
          <t xml:space="preserve">
16 A&amp;F Europe, 4 kids Europe, 4 A&amp;F Canada, 2 kids canada; 10 A&amp;F rest of world</t>
        </r>
      </text>
    </comment>
    <comment ref="AY104" authorId="0">
      <text>
        <r>
          <rPr>
            <b/>
            <sz val="9"/>
            <color indexed="81"/>
            <rFont val="Tahoma"/>
            <family val="2"/>
          </rPr>
          <t>casselau:</t>
        </r>
        <r>
          <rPr>
            <sz val="9"/>
            <color indexed="81"/>
            <rFont val="Tahoma"/>
            <family val="2"/>
          </rPr>
          <t xml:space="preserve">
estimate Abercrombie kids $45-50M</t>
        </r>
      </text>
    </comment>
    <comment ref="F105" authorId="0">
      <text>
        <r>
          <rPr>
            <b/>
            <sz val="9"/>
            <color indexed="81"/>
            <rFont val="Tahoma"/>
            <family val="2"/>
          </rPr>
          <t>casselau:</t>
        </r>
        <r>
          <rPr>
            <sz val="9"/>
            <color indexed="81"/>
            <rFont val="Tahoma"/>
            <family val="2"/>
          </rPr>
          <t xml:space="preserve">
8/26/15: strong performance in kids, modest improvement in the women's business, but no notable progress in the men's business as yet. While we expected more improvement, we did have some wins in the quarter, primarily in jeans and dresses and while still down year-over-year,
we are encouraged by some of the improvements we are seeing in the women's tops business.</t>
        </r>
      </text>
    </comment>
    <comment ref="J105" authorId="0">
      <text>
        <r>
          <rPr>
            <b/>
            <sz val="9"/>
            <color indexed="81"/>
            <rFont val="Tahoma"/>
            <family val="2"/>
          </rPr>
          <t>casselau:</t>
        </r>
        <r>
          <rPr>
            <sz val="9"/>
            <color indexed="81"/>
            <rFont val="Tahoma"/>
            <family val="2"/>
          </rPr>
          <t xml:space="preserve">
354 US, 34 Intl</t>
        </r>
      </text>
    </comment>
    <comment ref="J106" authorId="0">
      <text>
        <r>
          <rPr>
            <b/>
            <sz val="9"/>
            <color indexed="81"/>
            <rFont val="Tahoma"/>
            <family val="2"/>
          </rPr>
          <t>casselau:</t>
        </r>
        <r>
          <rPr>
            <sz val="9"/>
            <color indexed="81"/>
            <rFont val="Tahoma"/>
            <family val="2"/>
          </rPr>
          <t xml:space="preserve">
359 US, 36 intl</t>
        </r>
      </text>
    </comment>
    <comment ref="F107" authorId="0">
      <text>
        <r>
          <rPr>
            <b/>
            <sz val="9"/>
            <color indexed="81"/>
            <rFont val="Tahoma"/>
            <family val="2"/>
          </rPr>
          <t>casselau:</t>
        </r>
        <r>
          <rPr>
            <sz val="9"/>
            <color indexed="81"/>
            <rFont val="Tahoma"/>
            <family val="2"/>
          </rPr>
          <t xml:space="preserve">
By category, we saw strength in our A&amp;F women's business which turned positive for
the quarter and was driven by the tops business.</t>
        </r>
      </text>
    </comment>
    <comment ref="J111" authorId="11">
      <text>
        <r>
          <rPr>
            <b/>
            <sz val="9"/>
            <color indexed="81"/>
            <rFont val="Tahoma"/>
            <family val="2"/>
          </rPr>
          <t>Cassel, Lauren (Research):</t>
        </r>
        <r>
          <rPr>
            <sz val="9"/>
            <color indexed="81"/>
            <rFont val="Tahoma"/>
            <family val="2"/>
          </rPr>
          <t xml:space="preserve">
334 US, 39 Intl</t>
        </r>
      </text>
    </comment>
    <comment ref="J112" authorId="11">
      <text>
        <r>
          <rPr>
            <b/>
            <sz val="9"/>
            <color indexed="81"/>
            <rFont val="Tahoma"/>
            <family val="2"/>
          </rPr>
          <t>Cassel, Lauren (Research):</t>
        </r>
        <r>
          <rPr>
            <sz val="9"/>
            <color indexed="81"/>
            <rFont val="Tahoma"/>
            <family val="2"/>
          </rPr>
          <t xml:space="preserve">
333 US, 39 Intl</t>
        </r>
      </text>
    </comment>
    <comment ref="F113" authorId="11">
      <text>
        <r>
          <rPr>
            <b/>
            <sz val="9"/>
            <color indexed="81"/>
            <rFont val="Tahoma"/>
            <family val="2"/>
          </rPr>
          <t>Cassel, Lauren (Research):</t>
        </r>
        <r>
          <rPr>
            <sz val="9"/>
            <color indexed="81"/>
            <rFont val="Tahoma"/>
            <family val="2"/>
          </rPr>
          <t xml:space="preserve">
11/18/16: For A&amp;F, flagship and tourist locations continued to be a major headwind. In addition, chain store traffic patterns remained negative. Weakness in A&amp;F was compounded by underperformance of seasonal categories, which ultimately led to pressure on gross margin. While we anticipate the A&amp;F business will remain challenging through the balance of the fiscal year, we continue to move aggressively to evolve the brand across all channels through significant changes in product, customer experience and marketing. A comprehensive set of strategic and operational actions is being taken by an experienced team under new leadership, and we expect to see benefits as our efforts gain traction."</t>
        </r>
      </text>
    </comment>
    <comment ref="J113" authorId="11">
      <text>
        <r>
          <rPr>
            <b/>
            <sz val="9"/>
            <color indexed="81"/>
            <rFont val="Tahoma"/>
            <family val="2"/>
          </rPr>
          <t>Cassel, Lauren (Research):</t>
        </r>
        <r>
          <rPr>
            <sz val="9"/>
            <color indexed="81"/>
            <rFont val="Tahoma"/>
            <family val="2"/>
          </rPr>
          <t xml:space="preserve">
333 US, 41  Intl</t>
        </r>
      </text>
    </comment>
    <comment ref="F114" authorId="11">
      <text>
        <r>
          <rPr>
            <b/>
            <sz val="9"/>
            <color indexed="81"/>
            <rFont val="Tahoma"/>
            <family val="2"/>
          </rPr>
          <t>Cassel, Lauren (Research):</t>
        </r>
        <r>
          <rPr>
            <sz val="9"/>
            <color indexed="81"/>
            <rFont val="Tahoma"/>
            <family val="2"/>
          </rPr>
          <t xml:space="preserve">
3/2/17: Our flagship and tourist stores continue to weigh particularly heavily on results as traffic remains a headwind, despite the improvement from last quarter</t>
        </r>
      </text>
    </comment>
    <comment ref="J118" authorId="11">
      <text>
        <r>
          <rPr>
            <b/>
            <sz val="9"/>
            <color indexed="81"/>
            <rFont val="Tahoma"/>
            <family val="2"/>
          </rPr>
          <t>Cassel, Lauren (Research):</t>
        </r>
        <r>
          <rPr>
            <sz val="9"/>
            <color indexed="81"/>
            <rFont val="Tahoma"/>
            <family val="2"/>
          </rPr>
          <t xml:space="preserve">
308 US, 43 intl (7 canada 17 Europe, 19 ROW)</t>
        </r>
      </text>
    </comment>
    <comment ref="J119" authorId="11">
      <text>
        <r>
          <rPr>
            <b/>
            <sz val="9"/>
            <color indexed="81"/>
            <rFont val="Tahoma"/>
            <family val="2"/>
          </rPr>
          <t>Cassel, Lauren (Research):</t>
        </r>
        <r>
          <rPr>
            <sz val="9"/>
            <color indexed="81"/>
            <rFont val="Tahoma"/>
            <family val="2"/>
          </rPr>
          <t xml:space="preserve">
8/24/17: 306 US, 43 International (7 Canada, 17 Europe, 10 ROW)</t>
        </r>
      </text>
    </comment>
    <comment ref="J120" authorId="12">
      <text>
        <r>
          <rPr>
            <b/>
            <sz val="9"/>
            <color indexed="81"/>
            <rFont val="Tahoma"/>
            <family val="2"/>
          </rPr>
          <t>Roberts, Cynthia (Research):</t>
        </r>
        <r>
          <rPr>
            <sz val="9"/>
            <color indexed="81"/>
            <rFont val="Tahoma"/>
            <family val="2"/>
          </rPr>
          <t xml:space="preserve">
304 US; 44 Intl</t>
        </r>
      </text>
    </comment>
    <comment ref="F121" authorId="12">
      <text>
        <r>
          <rPr>
            <b/>
            <sz val="9"/>
            <color indexed="81"/>
            <rFont val="Tahoma"/>
            <family val="2"/>
          </rPr>
          <t>Roberts, Cynthia (Research):</t>
        </r>
        <r>
          <rPr>
            <sz val="9"/>
            <color indexed="81"/>
            <rFont val="Tahoma"/>
            <family val="2"/>
          </rPr>
          <t xml:space="preserve">
3/7/18: In Men's graphic tees, fleece and outwear were a standout. In Women's  knit was strong; N. America store traffic positive
1/22/187: Holiday update, Abercrombie brand on track deliver positive comps for the quarter
prior: -2%</t>
        </r>
      </text>
    </comment>
    <comment ref="H125" authorId="12">
      <text>
        <r>
          <rPr>
            <b/>
            <sz val="9"/>
            <color indexed="81"/>
            <rFont val="Tahoma"/>
            <family val="2"/>
          </rPr>
          <t>Roberts, Cynthia (Research):</t>
        </r>
        <r>
          <rPr>
            <sz val="9"/>
            <color indexed="81"/>
            <rFont val="Tahoma"/>
            <family val="2"/>
          </rPr>
          <t xml:space="preserve">
Assumes 1 pt benefit from shift in calendar related to the reversal of the 53rd week</t>
        </r>
      </text>
    </comment>
    <comment ref="H126" authorId="12">
      <text>
        <r>
          <rPr>
            <b/>
            <sz val="9"/>
            <color indexed="81"/>
            <rFont val="Tahoma"/>
            <family val="2"/>
          </rPr>
          <t>Roberts, Cynthia (Research):</t>
        </r>
        <r>
          <rPr>
            <sz val="9"/>
            <color indexed="81"/>
            <rFont val="Tahoma"/>
            <family val="2"/>
          </rPr>
          <t xml:space="preserve">
3/7/18: Assumes -2% spread, +2.5% benefit from calendar shift (gains BTS week), +0.2% benefit from gift card breakage revenue, +3% from  FX</t>
        </r>
      </text>
    </comment>
    <comment ref="H127" authorId="12">
      <text>
        <r>
          <rPr>
            <b/>
            <sz val="9"/>
            <color indexed="81"/>
            <rFont val="Tahoma"/>
            <family val="2"/>
          </rPr>
          <t>Roberts, Cynthia (Research):</t>
        </r>
        <r>
          <rPr>
            <sz val="9"/>
            <color indexed="81"/>
            <rFont val="Tahoma"/>
            <family val="2"/>
          </rPr>
          <t xml:space="preserve">
Assumes revenue loss  related to calendar shift, where the quarter loses calendar days equivalent to 2017 August Week 1 and gains calendar days equivalent to 2017 November Week 1. Underlying spread -2%, +3% FX benefit, +0.2% benefit from gift card breakage
</t>
        </r>
      </text>
    </comment>
    <comment ref="H128" authorId="12">
      <text>
        <r>
          <rPr>
            <b/>
            <sz val="9"/>
            <color indexed="81"/>
            <rFont val="Tahoma"/>
            <family val="2"/>
          </rPr>
          <t>Roberts, Cynthia (Research):</t>
        </r>
        <r>
          <rPr>
            <sz val="9"/>
            <color indexed="81"/>
            <rFont val="Tahoma"/>
            <family val="2"/>
          </rPr>
          <t xml:space="preserve">
Reversal of 53rd week, quarter loses calendar days equivalent to 2017 November Week 1. underlying spread -2%
</t>
        </r>
      </text>
    </comment>
    <comment ref="S240" authorId="1">
      <text>
        <r>
          <rPr>
            <b/>
            <sz val="8"/>
            <color indexed="81"/>
            <rFont val="Tahoma"/>
            <family val="2"/>
          </rPr>
          <t>Corinna Freedman:</t>
        </r>
        <r>
          <rPr>
            <sz val="8"/>
            <color indexed="81"/>
            <rFont val="Tahoma"/>
            <family val="2"/>
          </rPr>
          <t xml:space="preserve">
no direct</t>
        </r>
      </text>
    </comment>
    <comment ref="AK240" authorId="1">
      <text>
        <r>
          <rPr>
            <b/>
            <sz val="8"/>
            <color indexed="81"/>
            <rFont val="Tahoma"/>
            <family val="2"/>
          </rPr>
          <t>Corinna Freedman:</t>
        </r>
        <r>
          <rPr>
            <sz val="8"/>
            <color indexed="81"/>
            <rFont val="Tahoma"/>
            <family val="2"/>
          </rPr>
          <t xml:space="preserve">
10K = 385</t>
        </r>
      </text>
    </comment>
    <comment ref="S247" authorId="1">
      <text>
        <r>
          <rPr>
            <b/>
            <sz val="8"/>
            <color indexed="81"/>
            <rFont val="Tahoma"/>
            <family val="2"/>
          </rPr>
          <t>Corinna Freedman:</t>
        </r>
        <r>
          <rPr>
            <sz val="8"/>
            <color indexed="81"/>
            <rFont val="Tahoma"/>
            <family val="2"/>
          </rPr>
          <t xml:space="preserve">
EXCLUDES Direct</t>
        </r>
      </text>
    </comment>
    <comment ref="AK247" authorId="1">
      <text>
        <r>
          <rPr>
            <b/>
            <sz val="8"/>
            <color indexed="81"/>
            <rFont val="Tahoma"/>
            <family val="2"/>
          </rPr>
          <t>Corinna Freedman:</t>
        </r>
        <r>
          <rPr>
            <sz val="8"/>
            <color indexed="81"/>
            <rFont val="Tahoma"/>
            <family val="2"/>
          </rPr>
          <t xml:space="preserve">
10K = 404</t>
        </r>
      </text>
    </comment>
    <comment ref="AK250" authorId="1">
      <text>
        <r>
          <rPr>
            <b/>
            <sz val="8"/>
            <color indexed="81"/>
            <rFont val="Tahoma"/>
            <family val="2"/>
          </rPr>
          <t>Corinna Freedman:</t>
        </r>
        <r>
          <rPr>
            <sz val="8"/>
            <color indexed="81"/>
            <rFont val="Tahoma"/>
            <family val="2"/>
          </rPr>
          <t xml:space="preserve">
10Q = 89</t>
        </r>
      </text>
    </comment>
    <comment ref="AK251" authorId="1">
      <text>
        <r>
          <rPr>
            <b/>
            <sz val="8"/>
            <color indexed="81"/>
            <rFont val="Tahoma"/>
            <family val="2"/>
          </rPr>
          <t>Corinna Freedman:</t>
        </r>
        <r>
          <rPr>
            <sz val="8"/>
            <color indexed="81"/>
            <rFont val="Tahoma"/>
            <family val="2"/>
          </rPr>
          <t xml:space="preserve">
10Q = 87</t>
        </r>
      </text>
    </comment>
    <comment ref="S254" authorId="1">
      <text>
        <r>
          <rPr>
            <b/>
            <sz val="8"/>
            <color indexed="81"/>
            <rFont val="Tahoma"/>
            <family val="2"/>
          </rPr>
          <t>Corinna Freedman:</t>
        </r>
        <r>
          <rPr>
            <sz val="8"/>
            <color indexed="81"/>
            <rFont val="Tahoma"/>
            <family val="2"/>
          </rPr>
          <t xml:space="preserve">
EXCLUDES Direct</t>
        </r>
      </text>
    </comment>
    <comment ref="AK254" authorId="1">
      <text>
        <r>
          <rPr>
            <b/>
            <sz val="8"/>
            <color indexed="81"/>
            <rFont val="Tahoma"/>
            <family val="2"/>
          </rPr>
          <t>Corinna Freedman:</t>
        </r>
        <r>
          <rPr>
            <sz val="8"/>
            <color indexed="81"/>
            <rFont val="Tahoma"/>
            <family val="2"/>
          </rPr>
          <t xml:space="preserve">
10K = 423</t>
        </r>
      </text>
    </comment>
    <comment ref="AK257" authorId="1">
      <text>
        <r>
          <rPr>
            <b/>
            <sz val="8"/>
            <color indexed="81"/>
            <rFont val="Tahoma"/>
            <family val="2"/>
          </rPr>
          <t>Corinna Freedman:</t>
        </r>
        <r>
          <rPr>
            <sz val="8"/>
            <color indexed="81"/>
            <rFont val="Tahoma"/>
            <family val="2"/>
          </rPr>
          <t xml:space="preserve">
10Q - 103.21</t>
        </r>
      </text>
    </comment>
    <comment ref="AK258" authorId="1">
      <text>
        <r>
          <rPr>
            <b/>
            <sz val="8"/>
            <color indexed="81"/>
            <rFont val="Tahoma"/>
            <family val="2"/>
          </rPr>
          <t>Corinna Freedman:</t>
        </r>
        <r>
          <rPr>
            <sz val="8"/>
            <color indexed="81"/>
            <rFont val="Tahoma"/>
            <family val="2"/>
          </rPr>
          <t xml:space="preserve">
10Q = 110</t>
        </r>
      </text>
    </comment>
    <comment ref="S261" authorId="1">
      <text>
        <r>
          <rPr>
            <b/>
            <sz val="8"/>
            <color indexed="81"/>
            <rFont val="Tahoma"/>
            <family val="2"/>
          </rPr>
          <t>Corinna Freedman:</t>
        </r>
        <r>
          <rPr>
            <sz val="8"/>
            <color indexed="81"/>
            <rFont val="Tahoma"/>
            <family val="2"/>
          </rPr>
          <t xml:space="preserve">
EXCLUDES Direct</t>
        </r>
      </text>
    </comment>
    <comment ref="J264" authorId="2">
      <text>
        <r>
          <rPr>
            <b/>
            <sz val="8"/>
            <color indexed="81"/>
            <rFont val="Tahoma"/>
            <family val="2"/>
          </rPr>
          <t>MB33100:</t>
        </r>
        <r>
          <rPr>
            <sz val="8"/>
            <color indexed="81"/>
            <rFont val="Tahoma"/>
            <family val="2"/>
          </rPr>
          <t xml:space="preserve">
5/06 70 Hollister stores in 2006
2/06: 64 Hollister stores in 2006</t>
        </r>
      </text>
    </comment>
    <comment ref="J265" authorId="2">
      <text>
        <r>
          <rPr>
            <b/>
            <sz val="8"/>
            <color indexed="81"/>
            <rFont val="Tahoma"/>
            <family val="2"/>
          </rPr>
          <t>MB33100:</t>
        </r>
        <r>
          <rPr>
            <sz val="8"/>
            <color indexed="81"/>
            <rFont val="Tahoma"/>
            <family val="2"/>
          </rPr>
          <t xml:space="preserve">
5/06 70 Hollister stores in 2006
2/06: 64 Hollister stores in 2006</t>
        </r>
      </text>
    </comment>
    <comment ref="J266" authorId="2">
      <text>
        <r>
          <rPr>
            <b/>
            <sz val="8"/>
            <color indexed="81"/>
            <rFont val="Tahoma"/>
            <family val="2"/>
          </rPr>
          <t>MB33100:</t>
        </r>
        <r>
          <rPr>
            <sz val="8"/>
            <color indexed="81"/>
            <rFont val="Tahoma"/>
            <family val="2"/>
          </rPr>
          <t xml:space="preserve">
5/06 70 Hollister stores in 2006
2/06: 64 Hollister stores in 2006</t>
        </r>
      </text>
    </comment>
    <comment ref="J267" authorId="2">
      <text>
        <r>
          <rPr>
            <b/>
            <sz val="8"/>
            <color indexed="81"/>
            <rFont val="Tahoma"/>
            <family val="2"/>
          </rPr>
          <t>MB33100:</t>
        </r>
        <r>
          <rPr>
            <sz val="8"/>
            <color indexed="81"/>
            <rFont val="Tahoma"/>
            <family val="2"/>
          </rPr>
          <t xml:space="preserve">
5/06 70 Hollister stores in 2006
2/06: 64 Hollister stores in 2006</t>
        </r>
      </text>
    </comment>
    <comment ref="F272" authorId="3">
      <text>
        <r>
          <rPr>
            <b/>
            <sz val="8"/>
            <color indexed="81"/>
            <rFont val="Tahoma"/>
            <family val="2"/>
          </rPr>
          <t>oc48540:</t>
        </r>
        <r>
          <rPr>
            <sz val="8"/>
            <color indexed="81"/>
            <rFont val="Tahoma"/>
            <family val="2"/>
          </rPr>
          <t xml:space="preserve">
est -2.3%</t>
        </r>
      </text>
    </comment>
    <comment ref="J278" authorId="5">
      <text>
        <r>
          <rPr>
            <b/>
            <sz val="8"/>
            <color indexed="81"/>
            <rFont val="Tahoma"/>
            <family val="2"/>
          </rPr>
          <t>mm98285:</t>
        </r>
        <r>
          <rPr>
            <sz val="8"/>
            <color indexed="81"/>
            <rFont val="Tahoma"/>
            <family val="2"/>
          </rPr>
          <t xml:space="preserve">
3 canada</t>
        </r>
      </text>
    </comment>
    <comment ref="BU281" authorId="8">
      <text>
        <r>
          <rPr>
            <b/>
            <sz val="8"/>
            <color indexed="81"/>
            <rFont val="Tahoma"/>
            <family val="2"/>
          </rPr>
          <t>nicholjs:</t>
        </r>
        <r>
          <rPr>
            <sz val="8"/>
            <color indexed="81"/>
            <rFont val="Tahoma"/>
            <family val="2"/>
          </rPr>
          <t xml:space="preserve">
4/5/2011: analyst day</t>
        </r>
      </text>
    </comment>
    <comment ref="BU282" authorId="8">
      <text>
        <r>
          <rPr>
            <b/>
            <sz val="8"/>
            <color indexed="81"/>
            <rFont val="Tahoma"/>
            <family val="2"/>
          </rPr>
          <t>nicholjs:</t>
        </r>
        <r>
          <rPr>
            <sz val="8"/>
            <color indexed="81"/>
            <rFont val="Tahoma"/>
            <family val="2"/>
          </rPr>
          <t xml:space="preserve">
2/2011, EPS call</t>
        </r>
      </text>
    </comment>
    <comment ref="BN284" authorId="8">
      <text>
        <r>
          <rPr>
            <b/>
            <sz val="8"/>
            <color indexed="81"/>
            <rFont val="Tahoma"/>
            <family val="2"/>
          </rPr>
          <t>nicholjs:</t>
        </r>
        <r>
          <rPr>
            <sz val="8"/>
            <color indexed="81"/>
            <rFont val="Tahoma"/>
            <family val="2"/>
          </rPr>
          <t xml:space="preserve">
opened 4Q09, Dec 15</t>
        </r>
      </text>
    </comment>
    <comment ref="BO284" authorId="8">
      <text>
        <r>
          <rPr>
            <b/>
            <sz val="8"/>
            <color indexed="81"/>
            <rFont val="Tahoma"/>
            <family val="2"/>
          </rPr>
          <t>nicholjs:</t>
        </r>
        <r>
          <rPr>
            <sz val="8"/>
            <color indexed="81"/>
            <rFont val="Tahoma"/>
            <family val="2"/>
          </rPr>
          <t xml:space="preserve">
8/2010: expected date November 2010</t>
        </r>
      </text>
    </comment>
    <comment ref="BP284" authorId="8">
      <text>
        <r>
          <rPr>
            <b/>
            <sz val="8"/>
            <color indexed="81"/>
            <rFont val="Tahoma"/>
            <family val="2"/>
          </rPr>
          <t>nicholjs:</t>
        </r>
        <r>
          <rPr>
            <sz val="8"/>
            <color indexed="81"/>
            <rFont val="Tahoma"/>
            <family val="2"/>
          </rPr>
          <t xml:space="preserve">
Milan opened 3Q09, October</t>
        </r>
      </text>
    </comment>
    <comment ref="BQ284" authorId="8">
      <text>
        <r>
          <rPr>
            <b/>
            <sz val="8"/>
            <color indexed="81"/>
            <rFont val="Tahoma"/>
            <family val="2"/>
          </rPr>
          <t>nicholjs:</t>
        </r>
        <r>
          <rPr>
            <sz val="8"/>
            <color indexed="81"/>
            <rFont val="Tahoma"/>
            <family val="2"/>
          </rPr>
          <t xml:space="preserve">
opened 3Q09, October</t>
        </r>
      </text>
    </comment>
    <comment ref="BR284" authorId="6">
      <text>
        <r>
          <rPr>
            <b/>
            <sz val="8"/>
            <color indexed="81"/>
            <rFont val="Tahoma"/>
            <family val="2"/>
          </rPr>
          <t>kimberlg:</t>
        </r>
        <r>
          <rPr>
            <sz val="8"/>
            <color indexed="81"/>
            <rFont val="Tahoma"/>
            <family val="2"/>
          </rPr>
          <t xml:space="preserve">
opened July 2009</t>
        </r>
      </text>
    </comment>
    <comment ref="BS284" authorId="8">
      <text>
        <r>
          <rPr>
            <b/>
            <sz val="8"/>
            <color indexed="81"/>
            <rFont val="Tahoma"/>
            <family val="2"/>
          </rPr>
          <t>nicholjs:</t>
        </r>
        <r>
          <rPr>
            <sz val="8"/>
            <color indexed="81"/>
            <rFont val="Tahoma"/>
            <family val="2"/>
          </rPr>
          <t xml:space="preserve">
8/2010: expected date November 2010</t>
        </r>
      </text>
    </comment>
    <comment ref="BT284" authorId="8">
      <text>
        <r>
          <rPr>
            <b/>
            <sz val="8"/>
            <color indexed="81"/>
            <rFont val="Tahoma"/>
            <family val="2"/>
          </rPr>
          <t>nicholjs:</t>
        </r>
        <r>
          <rPr>
            <sz val="8"/>
            <color indexed="81"/>
            <rFont val="Tahoma"/>
            <family val="2"/>
          </rPr>
          <t xml:space="preserve">
8/2010: expected date November 2010</t>
        </r>
      </text>
    </comment>
    <comment ref="BU284" authorId="8">
      <text>
        <r>
          <rPr>
            <b/>
            <sz val="8"/>
            <color indexed="81"/>
            <rFont val="Tahoma"/>
            <family val="2"/>
          </rPr>
          <t>nicholjs:</t>
        </r>
        <r>
          <rPr>
            <sz val="8"/>
            <color indexed="81"/>
            <rFont val="Tahoma"/>
            <family val="2"/>
          </rPr>
          <t xml:space="preserve">
8/2010: expected date May 2011</t>
        </r>
      </text>
    </comment>
    <comment ref="BV284" authorId="8">
      <text>
        <r>
          <rPr>
            <b/>
            <sz val="8"/>
            <color indexed="81"/>
            <rFont val="Tahoma"/>
            <family val="2"/>
          </rPr>
          <t>nicholjs:</t>
        </r>
        <r>
          <rPr>
            <sz val="8"/>
            <color indexed="81"/>
            <rFont val="Tahoma"/>
            <family val="2"/>
          </rPr>
          <t xml:space="preserve">
3/2011: now open beg of 4Q vs. end of 3Q11
8/2010: expected date July/August 2011</t>
        </r>
      </text>
    </comment>
    <comment ref="BW284" authorId="8">
      <text>
        <r>
          <rPr>
            <b/>
            <sz val="8"/>
            <color indexed="81"/>
            <rFont val="Tahoma"/>
            <family val="2"/>
          </rPr>
          <t>nicholjs:</t>
        </r>
        <r>
          <rPr>
            <sz val="8"/>
            <color indexed="81"/>
            <rFont val="Tahoma"/>
            <family val="2"/>
          </rPr>
          <t xml:space="preserve">
2/2011: expect 4Q2011.  this store will include A&amp;F and kids.</t>
        </r>
      </text>
    </comment>
    <comment ref="BX284" authorId="8">
      <text>
        <r>
          <rPr>
            <b/>
            <sz val="8"/>
            <color indexed="81"/>
            <rFont val="Tahoma"/>
            <family val="2"/>
          </rPr>
          <t>nicholjs:</t>
        </r>
        <r>
          <rPr>
            <sz val="8"/>
            <color indexed="81"/>
            <rFont val="Tahoma"/>
            <family val="2"/>
          </rPr>
          <t xml:space="preserve">
2/2011: expect 4Q2011</t>
        </r>
      </text>
    </comment>
    <comment ref="BY284" authorId="8">
      <text>
        <r>
          <rPr>
            <b/>
            <sz val="8"/>
            <color indexed="81"/>
            <rFont val="Tahoma"/>
            <family val="2"/>
          </rPr>
          <t>nicholjs:</t>
        </r>
        <r>
          <rPr>
            <sz val="8"/>
            <color indexed="81"/>
            <rFont val="Tahoma"/>
            <family val="2"/>
          </rPr>
          <t xml:space="preserve">
2/2011: expect 4Q2011</t>
        </r>
      </text>
    </comment>
    <comment ref="BZ284" authorId="8">
      <text>
        <r>
          <rPr>
            <sz val="8"/>
            <color indexed="81"/>
            <rFont val="Tahoma"/>
            <family val="2"/>
          </rPr>
          <t>11/2011: expect 2Q2012</t>
        </r>
      </text>
    </comment>
    <comment ref="CA284" authorId="8">
      <text>
        <r>
          <rPr>
            <sz val="8"/>
            <color indexed="81"/>
            <rFont val="Tahoma"/>
            <family val="2"/>
          </rPr>
          <t>2/2011: expect start of 3Q2012</t>
        </r>
      </text>
    </comment>
    <comment ref="CB284" authorId="8">
      <text>
        <r>
          <rPr>
            <sz val="8"/>
            <color indexed="81"/>
            <rFont val="Tahoma"/>
            <family val="2"/>
          </rPr>
          <t>11/2011: expect 3Q2012</t>
        </r>
      </text>
    </comment>
    <comment ref="CC284" authorId="8">
      <text>
        <r>
          <rPr>
            <sz val="8"/>
            <color indexed="81"/>
            <rFont val="Tahoma"/>
            <family val="2"/>
          </rPr>
          <t>11/2011: expect 3Q2011</t>
        </r>
      </text>
    </comment>
    <comment ref="CD284" authorId="8">
      <text>
        <r>
          <rPr>
            <sz val="8"/>
            <color indexed="81"/>
            <rFont val="Tahoma"/>
            <family val="2"/>
          </rPr>
          <t>11/16: Timing now unclear</t>
        </r>
        <r>
          <rPr>
            <b/>
            <sz val="8"/>
            <color indexed="81"/>
            <rFont val="Tahoma"/>
            <family val="2"/>
          </rPr>
          <t xml:space="preserve">
nicholjs:</t>
        </r>
        <r>
          <rPr>
            <sz val="8"/>
            <color indexed="81"/>
            <rFont val="Tahoma"/>
            <family val="2"/>
          </rPr>
          <t xml:space="preserve">
10K: now expect to open in 2012
2/2011: expect 4Q2011</t>
        </r>
      </text>
    </comment>
    <comment ref="CF284" authorId="8">
      <text>
        <r>
          <rPr>
            <b/>
            <sz val="8"/>
            <color indexed="81"/>
            <rFont val="Tahoma"/>
            <family val="2"/>
          </rPr>
          <t>nicholjs:</t>
        </r>
        <r>
          <rPr>
            <sz val="8"/>
            <color indexed="81"/>
            <rFont val="Tahoma"/>
            <family val="2"/>
          </rPr>
          <t xml:space="preserve">
4/5/2011: announced Hamburg in 1H12</t>
        </r>
      </text>
    </comment>
    <comment ref="J285" authorId="5">
      <text>
        <r>
          <rPr>
            <b/>
            <sz val="8"/>
            <color indexed="81"/>
            <rFont val="Tahoma"/>
            <family val="2"/>
          </rPr>
          <t>mm98285:</t>
        </r>
        <r>
          <rPr>
            <sz val="8"/>
            <color indexed="81"/>
            <rFont val="Tahoma"/>
            <family val="2"/>
          </rPr>
          <t xml:space="preserve">
3 canada</t>
        </r>
      </text>
    </comment>
    <comment ref="S286" authorId="5">
      <text>
        <r>
          <rPr>
            <b/>
            <sz val="8"/>
            <color indexed="81"/>
            <rFont val="Tahoma"/>
            <family val="2"/>
          </rPr>
          <t>mm98285:</t>
        </r>
        <r>
          <rPr>
            <sz val="8"/>
            <color indexed="81"/>
            <rFont val="Tahoma"/>
            <family val="2"/>
          </rPr>
          <t xml:space="preserve">
incremental flagship revenue on right margin (cell BB181)</t>
        </r>
      </text>
    </comment>
    <comment ref="BB286" authorId="5">
      <text>
        <r>
          <rPr>
            <b/>
            <sz val="8"/>
            <color indexed="81"/>
            <rFont val="Tahoma"/>
            <family val="2"/>
          </rPr>
          <t>mm98285:</t>
        </r>
        <r>
          <rPr>
            <sz val="8"/>
            <color indexed="81"/>
            <rFont val="Tahoma"/>
            <family val="2"/>
          </rPr>
          <t xml:space="preserve">
1) July opening of Soho flagship (estimate $59mm/year or $2-3mm in 2Q)</t>
        </r>
      </text>
    </comment>
    <comment ref="BL286" authorId="8">
      <text>
        <r>
          <rPr>
            <b/>
            <sz val="8"/>
            <color indexed="81"/>
            <rFont val="Tahoma"/>
            <family val="2"/>
          </rPr>
          <t>nicholjs:</t>
        </r>
        <r>
          <rPr>
            <sz val="8"/>
            <color indexed="81"/>
            <rFont val="Tahoma"/>
            <family val="2"/>
          </rPr>
          <t xml:space="preserve">
2/2010: mgt. indicated 5th avenue flagship is most productive with annualized volume above $100mm
Tea heard $75M??</t>
        </r>
      </text>
    </comment>
    <comment ref="S287" authorId="5">
      <text>
        <r>
          <rPr>
            <b/>
            <sz val="8"/>
            <color indexed="81"/>
            <rFont val="Tahoma"/>
            <family val="2"/>
          </rPr>
          <t>mm98285:</t>
        </r>
        <r>
          <rPr>
            <sz val="8"/>
            <color indexed="81"/>
            <rFont val="Tahoma"/>
            <family val="2"/>
          </rPr>
          <t xml:space="preserve">
incremental flagship revenue on right margin (cell BB182)</t>
        </r>
      </text>
    </comment>
    <comment ref="BB287" authorId="5">
      <text>
        <r>
          <rPr>
            <b/>
            <sz val="8"/>
            <color indexed="81"/>
            <rFont val="Tahoma"/>
            <family val="2"/>
          </rPr>
          <t>mm98285:</t>
        </r>
        <r>
          <rPr>
            <sz val="8"/>
            <color indexed="81"/>
            <rFont val="Tahoma"/>
            <family val="2"/>
          </rPr>
          <t xml:space="preserve">
1) July opening of Soho flagship (estimate $59mm/year or $15mm in 3Q)</t>
        </r>
      </text>
    </comment>
    <comment ref="BP287" authorId="3">
      <text>
        <r>
          <rPr>
            <b/>
            <sz val="8"/>
            <color indexed="81"/>
            <rFont val="Tahoma"/>
            <family val="2"/>
          </rPr>
          <t>oc48540:</t>
        </r>
        <r>
          <rPr>
            <sz val="8"/>
            <color indexed="81"/>
            <rFont val="Tahoma"/>
            <family val="2"/>
          </rPr>
          <t xml:space="preserve">
wwd article dated 10/23/09</t>
        </r>
      </text>
    </comment>
    <comment ref="BQ287" authorId="3">
      <text>
        <r>
          <rPr>
            <b/>
            <sz val="8"/>
            <color indexed="81"/>
            <rFont val="Tahoma"/>
            <family val="2"/>
          </rPr>
          <t>oc48540:</t>
        </r>
        <r>
          <rPr>
            <sz val="8"/>
            <color indexed="81"/>
            <rFont val="Tahoma"/>
            <family val="2"/>
          </rPr>
          <t xml:space="preserve">
wwd article dated 10/23/09</t>
        </r>
      </text>
    </comment>
    <comment ref="BU287" authorId="8">
      <text>
        <r>
          <rPr>
            <b/>
            <sz val="8"/>
            <color indexed="81"/>
            <rFont val="Tahoma"/>
            <family val="2"/>
          </rPr>
          <t>nicholjs:</t>
        </r>
        <r>
          <rPr>
            <sz val="8"/>
            <color indexed="81"/>
            <rFont val="Tahoma"/>
            <family val="2"/>
          </rPr>
          <t xml:space="preserve">
2/2011: Paris, Singapore, and Dusseldorf all larger stores</t>
        </r>
      </text>
    </comment>
    <comment ref="S288" authorId="5">
      <text>
        <r>
          <rPr>
            <b/>
            <sz val="8"/>
            <color indexed="81"/>
            <rFont val="Tahoma"/>
            <family val="2"/>
          </rPr>
          <t>mm98285:</t>
        </r>
        <r>
          <rPr>
            <sz val="8"/>
            <color indexed="81"/>
            <rFont val="Tahoma"/>
            <family val="2"/>
          </rPr>
          <t xml:space="preserve">
incremental flagship revenue on right margin (cell BB183)</t>
        </r>
      </text>
    </comment>
    <comment ref="BB288" authorId="5">
      <text>
        <r>
          <rPr>
            <b/>
            <sz val="8"/>
            <color indexed="81"/>
            <rFont val="Tahoma"/>
            <family val="2"/>
          </rPr>
          <t>mm98285:</t>
        </r>
        <r>
          <rPr>
            <sz val="8"/>
            <color indexed="81"/>
            <rFont val="Tahoma"/>
            <family val="2"/>
          </rPr>
          <t xml:space="preserve">
1) July opening of Soho flagship (estimate $59mm/year or $16.5mm in 4Q)</t>
        </r>
      </text>
    </comment>
    <comment ref="BM288" authorId="3">
      <text>
        <r>
          <rPr>
            <b/>
            <sz val="8"/>
            <color indexed="81"/>
            <rFont val="Tahoma"/>
            <family val="2"/>
          </rPr>
          <t>oc48540:</t>
        </r>
        <r>
          <rPr>
            <sz val="8"/>
            <color indexed="81"/>
            <rFont val="Tahoma"/>
            <family val="2"/>
          </rPr>
          <t xml:space="preserve">
could be ~6000 per. Sq. ft?</t>
        </r>
      </text>
    </comment>
    <comment ref="BM291" authorId="3">
      <text>
        <r>
          <rPr>
            <b/>
            <sz val="8"/>
            <color indexed="81"/>
            <rFont val="Tahoma"/>
            <family val="2"/>
          </rPr>
          <t xml:space="preserve">2/2011: </t>
        </r>
        <r>
          <rPr>
            <sz val="8"/>
            <color indexed="81"/>
            <rFont val="Tahoma"/>
            <family val="2"/>
          </rPr>
          <t>London, Milan, and Tokyo annualizing well above $200mm</t>
        </r>
        <r>
          <rPr>
            <b/>
            <sz val="8"/>
            <color indexed="81"/>
            <rFont val="Tahoma"/>
            <family val="2"/>
          </rPr>
          <t xml:space="preserve">
2/16/10:</t>
        </r>
        <r>
          <rPr>
            <sz val="8"/>
            <color indexed="81"/>
            <rFont val="Tahoma"/>
            <family val="2"/>
          </rPr>
          <t xml:space="preserve">
The three international flagship locations currently have annualized volumes of around 200 million in aggregate,</t>
        </r>
      </text>
    </comment>
    <comment ref="H292" authorId="6">
      <text>
        <r>
          <rPr>
            <b/>
            <sz val="8"/>
            <color indexed="81"/>
            <rFont val="Tahoma"/>
            <family val="2"/>
          </rPr>
          <t>kimberlg:</t>
        </r>
        <r>
          <rPr>
            <sz val="8"/>
            <color indexed="81"/>
            <rFont val="Tahoma"/>
            <family val="2"/>
          </rPr>
          <t xml:space="preserve">
spread would have been ~9% excluding int'l new store sales b/c int'l mall stores inflating spread</t>
        </r>
      </text>
    </comment>
    <comment ref="J292" authorId="7">
      <text>
        <r>
          <rPr>
            <b/>
            <sz val="8"/>
            <color indexed="81"/>
            <rFont val="Tahoma"/>
            <family val="2"/>
          </rPr>
          <t>ns66486:</t>
        </r>
        <r>
          <rPr>
            <sz val="8"/>
            <color indexed="81"/>
            <rFont val="Tahoma"/>
            <family val="2"/>
          </rPr>
          <t xml:space="preserve">
21 international</t>
        </r>
      </text>
    </comment>
    <comment ref="H293" authorId="6">
      <text>
        <r>
          <rPr>
            <b/>
            <sz val="8"/>
            <color indexed="81"/>
            <rFont val="Tahoma"/>
            <family val="2"/>
          </rPr>
          <t>kimberlg:</t>
        </r>
        <r>
          <rPr>
            <sz val="8"/>
            <color indexed="81"/>
            <rFont val="Tahoma"/>
            <family val="2"/>
          </rPr>
          <t xml:space="preserve">
spread would have been ~9% excluding int'l new store sales b/c int'l mall stores inflating spread</t>
        </r>
      </text>
    </comment>
    <comment ref="J293" authorId="8">
      <text>
        <r>
          <rPr>
            <b/>
            <sz val="8"/>
            <color indexed="81"/>
            <rFont val="Tahoma"/>
            <family val="2"/>
          </rPr>
          <t>nicholjs:</t>
        </r>
        <r>
          <rPr>
            <sz val="8"/>
            <color indexed="81"/>
            <rFont val="Tahoma"/>
            <family val="2"/>
          </rPr>
          <t xml:space="preserve">
530 stores, including 6 in Canada and 15 in Europe (21 international)</t>
        </r>
      </text>
    </comment>
    <comment ref="J294" authorId="8">
      <text>
        <r>
          <rPr>
            <b/>
            <sz val="8"/>
            <color indexed="81"/>
            <rFont val="Tahoma"/>
            <family val="2"/>
          </rPr>
          <t>nicholjs:</t>
        </r>
        <r>
          <rPr>
            <sz val="8"/>
            <color indexed="81"/>
            <rFont val="Tahoma"/>
            <family val="2"/>
          </rPr>
          <t xml:space="preserve">
+1 US, +2 Canada, +4 Europe</t>
        </r>
      </text>
    </comment>
    <comment ref="F296" authorId="9">
      <text>
        <r>
          <rPr>
            <b/>
            <sz val="8"/>
            <color indexed="81"/>
            <rFont val="Tahoma"/>
            <family val="2"/>
          </rPr>
          <t>6% per 10K</t>
        </r>
        <r>
          <rPr>
            <sz val="8"/>
            <color indexed="81"/>
            <rFont val="Tahoma"/>
            <family val="2"/>
          </rPr>
          <t xml:space="preserve">
</t>
        </r>
      </text>
    </comment>
    <comment ref="F299" authorId="8">
      <text>
        <r>
          <rPr>
            <b/>
            <sz val="8"/>
            <color indexed="81"/>
            <rFont val="Tahoma"/>
            <family val="2"/>
          </rPr>
          <t>nicholjs:</t>
        </r>
        <r>
          <rPr>
            <sz val="8"/>
            <color indexed="81"/>
            <rFont val="Tahoma"/>
            <family val="2"/>
          </rPr>
          <t xml:space="preserve">
bettys +HSD
dudes +LDD</t>
        </r>
      </text>
    </comment>
    <comment ref="J299" authorId="8">
      <text>
        <r>
          <rPr>
            <b/>
            <sz val="8"/>
            <color indexed="81"/>
            <rFont val="Tahoma"/>
            <family val="2"/>
          </rPr>
          <t>nicholjs:</t>
        </r>
        <r>
          <rPr>
            <sz val="8"/>
            <color indexed="81"/>
            <rFont val="Tahoma"/>
            <family val="2"/>
          </rPr>
          <t xml:space="preserve">
502 US, 40 international</t>
        </r>
      </text>
    </comment>
    <comment ref="P299" authorId="8">
      <text>
        <r>
          <rPr>
            <b/>
            <sz val="8"/>
            <color indexed="81"/>
            <rFont val="Tahoma"/>
            <family val="2"/>
          </rPr>
          <t>nicholjs:</t>
        </r>
        <r>
          <rPr>
            <sz val="8"/>
            <color indexed="81"/>
            <rFont val="Tahoma"/>
            <family val="2"/>
          </rPr>
          <t xml:space="preserve">
4/5/2011: potential is in the high 100's store count (~185) and expect $1.5bn sales on this base (Europe/Asia).  Assumes new stores in the ~$8mm annual volume level.
2/2011: int'l Hollister business annualizing at &gt;$300mm w/ 29 stores.  So ~$10mm per store sales rev.</t>
        </r>
      </text>
    </comment>
    <comment ref="F300" authorId="8">
      <text>
        <r>
          <rPr>
            <b/>
            <sz val="8"/>
            <color indexed="81"/>
            <rFont val="Tahoma"/>
            <family val="2"/>
          </rPr>
          <t>nicholjs:</t>
        </r>
        <r>
          <rPr>
            <sz val="8"/>
            <color indexed="81"/>
            <rFont val="Tahoma"/>
            <family val="2"/>
          </rPr>
          <t xml:space="preserve">
we est +7%</t>
        </r>
      </text>
    </comment>
    <comment ref="J300" authorId="8">
      <text>
        <r>
          <rPr>
            <b/>
            <sz val="8"/>
            <color indexed="81"/>
            <rFont val="Tahoma"/>
            <family val="2"/>
          </rPr>
          <t>nicholjs:</t>
        </r>
        <r>
          <rPr>
            <sz val="8"/>
            <color indexed="81"/>
            <rFont val="Tahoma"/>
            <family val="2"/>
          </rPr>
          <t xml:space="preserve">
501 US, 44 International</t>
        </r>
      </text>
    </comment>
    <comment ref="J301" authorId="8">
      <text>
        <r>
          <rPr>
            <sz val="8"/>
            <color indexed="81"/>
            <rFont val="Tahoma"/>
            <family val="2"/>
          </rPr>
          <t>501 US, 63 International</t>
        </r>
      </text>
    </comment>
    <comment ref="F303" authorId="9">
      <text>
        <r>
          <rPr>
            <b/>
            <sz val="8"/>
            <color indexed="81"/>
            <rFont val="Tahoma"/>
            <family val="2"/>
          </rPr>
          <t>8% per 10K</t>
        </r>
        <r>
          <rPr>
            <sz val="8"/>
            <color indexed="81"/>
            <rFont val="Tahoma"/>
            <family val="2"/>
          </rPr>
          <t xml:space="preserve">
</t>
        </r>
      </text>
    </comment>
    <comment ref="S304" authorId="8">
      <text>
        <r>
          <rPr>
            <b/>
            <sz val="8"/>
            <color indexed="81"/>
            <rFont val="Tahoma"/>
            <family val="2"/>
          </rPr>
          <t>nicholjs:</t>
        </r>
        <r>
          <rPr>
            <sz val="8"/>
            <color indexed="81"/>
            <rFont val="Tahoma"/>
            <family val="2"/>
          </rPr>
          <t xml:space="preserve">
2/2011: 29 int'l Hollister stores annualizing ~$300mm or about $10mm per store.</t>
        </r>
      </text>
    </comment>
    <comment ref="F306" authorId="9">
      <text>
        <r>
          <rPr>
            <sz val="8"/>
            <color indexed="81"/>
            <rFont val="Tahoma"/>
            <family val="2"/>
          </rPr>
          <t xml:space="preserve">5/16/12 - "Hollister did move from having comped positively to comping negatively. Having said that, we were up against strong comps in the first couple of quarters in the last year. I think 20% plus for Hollister and few stores in the comp base and we were cycling against that."
</t>
        </r>
      </text>
    </comment>
    <comment ref="J306" authorId="8">
      <text>
        <r>
          <rPr>
            <sz val="8"/>
            <color indexed="81"/>
            <rFont val="Tahoma"/>
            <family val="2"/>
          </rPr>
          <t>491 in the US, 84 international</t>
        </r>
      </text>
    </comment>
    <comment ref="P306" authorId="8">
      <text>
        <r>
          <rPr>
            <b/>
            <sz val="8"/>
            <color indexed="81"/>
            <rFont val="Tahoma"/>
            <family val="2"/>
          </rPr>
          <t>nicholjs:</t>
        </r>
        <r>
          <rPr>
            <sz val="8"/>
            <color indexed="81"/>
            <rFont val="Tahoma"/>
            <family val="2"/>
          </rPr>
          <t xml:space="preserve">
4/5/2011: potential is in the high 100's store count (~185) and expect $1.5bn sales on this base (Europe/Asia).  Assumes new stores in the ~$8mm annual volume level.
2/2011: int'l Hollister business annualizing at &gt;$300mm w/ 29 stores.  So ~$10mm per store sales rev.</t>
        </r>
      </text>
    </comment>
    <comment ref="J307" authorId="8">
      <text>
        <r>
          <rPr>
            <sz val="8"/>
            <color indexed="81"/>
            <rFont val="Tahoma"/>
            <family val="2"/>
          </rPr>
          <t>486 in the US, 92 international</t>
        </r>
      </text>
    </comment>
    <comment ref="F309" authorId="0">
      <text>
        <r>
          <rPr>
            <b/>
            <sz val="8"/>
            <color indexed="81"/>
            <rFont val="Tahoma"/>
            <family val="2"/>
          </rPr>
          <t>casselau:</t>
        </r>
        <r>
          <rPr>
            <sz val="8"/>
            <color indexed="81"/>
            <rFont val="Tahoma"/>
            <family val="2"/>
          </rPr>
          <t xml:space="preserve">
includes DTC
</t>
        </r>
      </text>
    </comment>
    <comment ref="P309" authorId="10">
      <text>
        <r>
          <rPr>
            <b/>
            <sz val="8"/>
            <color indexed="81"/>
            <rFont val="Tahoma"/>
            <family val="2"/>
          </rPr>
          <t>kahng:</t>
        </r>
        <r>
          <rPr>
            <sz val="8"/>
            <color indexed="81"/>
            <rFont val="Tahoma"/>
            <family val="2"/>
          </rPr>
          <t xml:space="preserve">
260% adjustd for 53rd week in Jan</t>
        </r>
      </text>
    </comment>
    <comment ref="S309" authorId="10">
      <text>
        <r>
          <rPr>
            <b/>
            <sz val="8"/>
            <color indexed="81"/>
            <rFont val="Tahoma"/>
            <family val="2"/>
          </rPr>
          <t>kahng:</t>
        </r>
        <r>
          <rPr>
            <sz val="8"/>
            <color indexed="81"/>
            <rFont val="Tahoma"/>
            <family val="2"/>
          </rPr>
          <t xml:space="preserve">
$727.6 adjusted for 53rd week in Jan</t>
        </r>
      </text>
    </comment>
    <comment ref="F310" authorId="0">
      <text>
        <r>
          <rPr>
            <b/>
            <sz val="8"/>
            <color indexed="81"/>
            <rFont val="Tahoma"/>
            <family val="2"/>
          </rPr>
          <t>casselau:</t>
        </r>
        <r>
          <rPr>
            <sz val="8"/>
            <color indexed="81"/>
            <rFont val="Tahoma"/>
            <family val="2"/>
          </rPr>
          <t xml:space="preserve">
includes DTC</t>
        </r>
      </text>
    </comment>
    <comment ref="F313" authorId="0">
      <text>
        <r>
          <rPr>
            <b/>
            <sz val="8"/>
            <color indexed="81"/>
            <rFont val="Tahoma"/>
            <family val="2"/>
          </rPr>
          <t>casselau:</t>
        </r>
        <r>
          <rPr>
            <sz val="8"/>
            <color indexed="81"/>
            <rFont val="Tahoma"/>
            <family val="2"/>
          </rPr>
          <t xml:space="preserve">
2/22/13: -HSD comp including DTC due to much lower levels of carryover inventory compared to LY on top of a difficult macroeconomic environment</t>
        </r>
      </text>
    </comment>
    <comment ref="P313" authorId="8">
      <text>
        <r>
          <rPr>
            <b/>
            <sz val="8"/>
            <color indexed="81"/>
            <rFont val="Tahoma"/>
            <family val="2"/>
          </rPr>
          <t>nicholjs:</t>
        </r>
        <r>
          <rPr>
            <sz val="8"/>
            <color indexed="81"/>
            <rFont val="Tahoma"/>
            <family val="2"/>
          </rPr>
          <t xml:space="preserve">
4/5/2011: potential is in the high 100's store count (~185) and expect $1.5bn sales on this base (Europe/Asia).  Assumes new stores in the ~$8mm annual volume level.
2/2011: int'l Hollister business annualizing at &gt;$300mm w/ 29 stores.  So ~$10mm per store sales rev.</t>
        </r>
      </text>
    </comment>
    <comment ref="S316" authorId="9">
      <text>
        <r>
          <rPr>
            <b/>
            <sz val="8"/>
            <color indexed="81"/>
            <rFont val="Tahoma"/>
            <family val="2"/>
          </rPr>
          <t>solejay:</t>
        </r>
        <r>
          <rPr>
            <sz val="8"/>
            <color indexed="81"/>
            <rFont val="Tahoma"/>
            <family val="2"/>
          </rPr>
          <t xml:space="preserve">
assume extra week is about a $34 million dollar hit</t>
        </r>
      </text>
    </comment>
    <comment ref="F317" authorId="0">
      <text>
        <r>
          <rPr>
            <b/>
            <sz val="8"/>
            <color indexed="81"/>
            <rFont val="Tahoma"/>
            <family val="2"/>
          </rPr>
          <t>casselau:</t>
        </r>
        <r>
          <rPr>
            <sz val="8"/>
            <color indexed="81"/>
            <rFont val="Tahoma"/>
            <family val="2"/>
          </rPr>
          <t xml:space="preserve">
2/22/13: guidance: ~flat comp (including DTC), with slightly negative comparable store sales</t>
        </r>
      </text>
    </comment>
    <comment ref="P319" authorId="8">
      <text>
        <r>
          <rPr>
            <b/>
            <sz val="8"/>
            <color indexed="81"/>
            <rFont val="Tahoma"/>
            <family val="2"/>
          </rPr>
          <t>nicholjs:</t>
        </r>
        <r>
          <rPr>
            <sz val="8"/>
            <color indexed="81"/>
            <rFont val="Tahoma"/>
            <family val="2"/>
          </rPr>
          <t xml:space="preserve">
4/5/2011: potential is in the high 100's store count (~185) and expect $1.5bn sales on this base (Europe/Asia).  Assumes new stores in the ~$8mm annual volume level.
2/2011: int'l Hollister business annualizing at &gt;$300mm w/ 29 stores.  So ~$10mm per store sales rev.</t>
        </r>
      </text>
    </comment>
    <comment ref="F321" authorId="0">
      <text>
        <r>
          <rPr>
            <b/>
            <sz val="9"/>
            <color indexed="81"/>
            <rFont val="Tahoma"/>
            <family val="2"/>
          </rPr>
          <t>casselau:</t>
        </r>
        <r>
          <rPr>
            <sz val="9"/>
            <color indexed="81"/>
            <rFont val="Tahoma"/>
            <family val="2"/>
          </rPr>
          <t xml:space="preserve">
The NA Hollister and A&amp;F comps were closer together than the total comp  (4% difference) 
Europe remains really challenged and this contributes to a big percentage of Hollister's total comp lag to A&amp;F because of the size of the Hollister business
in Europe relative to A&amp;F; The logo business is larger in Hollister and that becomes a little more difficult
to overcome than it has in A&amp;F, although we are overcoming that in both brands</t>
        </r>
      </text>
    </comment>
    <comment ref="J322" authorId="0">
      <text>
        <r>
          <rPr>
            <b/>
            <sz val="9"/>
            <color indexed="81"/>
            <rFont val="Tahoma"/>
            <family val="2"/>
          </rPr>
          <t>casselau:</t>
        </r>
        <r>
          <rPr>
            <sz val="9"/>
            <color indexed="81"/>
            <rFont val="Tahoma"/>
            <family val="2"/>
          </rPr>
          <t xml:space="preserve">
133 international</t>
        </r>
      </text>
    </comment>
    <comment ref="J327" authorId="0">
      <text>
        <r>
          <rPr>
            <b/>
            <sz val="9"/>
            <color indexed="81"/>
            <rFont val="Tahoma"/>
            <family val="2"/>
          </rPr>
          <t>casselau:</t>
        </r>
        <r>
          <rPr>
            <sz val="9"/>
            <color indexed="81"/>
            <rFont val="Tahoma"/>
            <family val="2"/>
          </rPr>
          <t xml:space="preserve">
432 US 127 Intl</t>
        </r>
      </text>
    </comment>
    <comment ref="F328" authorId="0">
      <text>
        <r>
          <rPr>
            <b/>
            <sz val="9"/>
            <color indexed="81"/>
            <rFont val="Tahoma"/>
            <family val="2"/>
          </rPr>
          <t>casselau:</t>
        </r>
        <r>
          <rPr>
            <sz val="9"/>
            <color indexed="81"/>
            <rFont val="Tahoma"/>
            <family val="2"/>
          </rPr>
          <t xml:space="preserve">
8/26/15: In the US, we comped roughly flat driven by improvement in both the girls and guys businesses with tops leading the way for each gender. In Europe,
we saw sequential comp improvement in each country.~ 100 Hollister stores have now been converted to the new storefront and are generating a mid to high single digit lift in sales.</t>
        </r>
      </text>
    </comment>
    <comment ref="J328" authorId="0">
      <text>
        <r>
          <rPr>
            <b/>
            <sz val="9"/>
            <color indexed="81"/>
            <rFont val="Tahoma"/>
            <family val="2"/>
          </rPr>
          <t>casselau:</t>
        </r>
        <r>
          <rPr>
            <sz val="9"/>
            <color indexed="81"/>
            <rFont val="Tahoma"/>
            <family val="2"/>
          </rPr>
          <t xml:space="preserve">
429 US, 137 Intl</t>
        </r>
      </text>
    </comment>
    <comment ref="J329" authorId="0">
      <text>
        <r>
          <rPr>
            <b/>
            <sz val="9"/>
            <color indexed="81"/>
            <rFont val="Tahoma"/>
            <family val="2"/>
          </rPr>
          <t>casselau:</t>
        </r>
        <r>
          <rPr>
            <sz val="9"/>
            <color indexed="81"/>
            <rFont val="Tahoma"/>
            <family val="2"/>
          </rPr>
          <t xml:space="preserve">
431 US, 129 intl</t>
        </r>
      </text>
    </comment>
    <comment ref="J334" authorId="11">
      <text>
        <r>
          <rPr>
            <b/>
            <sz val="9"/>
            <color indexed="81"/>
            <rFont val="Tahoma"/>
            <family val="2"/>
          </rPr>
          <t>Cassel, Lauren (Research):</t>
        </r>
        <r>
          <rPr>
            <sz val="9"/>
            <color indexed="81"/>
            <rFont val="Tahoma"/>
            <family val="2"/>
          </rPr>
          <t xml:space="preserve">
411 US, 141 Intl; remodeled 12 stores; expect remaining 48 to be completed in 4Q</t>
        </r>
      </text>
    </comment>
    <comment ref="J335" authorId="11">
      <text>
        <r>
          <rPr>
            <b/>
            <sz val="9"/>
            <color indexed="81"/>
            <rFont val="Tahoma"/>
            <family val="2"/>
          </rPr>
          <t>Cassel, Lauren (Research):</t>
        </r>
        <r>
          <rPr>
            <sz val="9"/>
            <color indexed="81"/>
            <rFont val="Tahoma"/>
            <family val="2"/>
          </rPr>
          <t xml:space="preserve">
411  US, 143 Intl</t>
        </r>
      </text>
    </comment>
    <comment ref="F336" authorId="11">
      <text>
        <r>
          <rPr>
            <b/>
            <sz val="9"/>
            <color indexed="81"/>
            <rFont val="Tahoma"/>
            <family val="2"/>
          </rPr>
          <t>Cassel, Lauren (Research):</t>
        </r>
        <r>
          <rPr>
            <sz val="9"/>
            <color indexed="81"/>
            <rFont val="Tahoma"/>
            <family val="2"/>
          </rPr>
          <t xml:space="preserve">
11/18/16: We were pleased with the progress in Hollister where the comparable sales trend improved throughout the quarter. *Positive comp sales in the US</t>
        </r>
      </text>
    </comment>
    <comment ref="J336" authorId="11">
      <text>
        <r>
          <rPr>
            <b/>
            <sz val="9"/>
            <color indexed="81"/>
            <rFont val="Tahoma"/>
            <family val="2"/>
          </rPr>
          <t>Cassel, Lauren (Research):</t>
        </r>
        <r>
          <rPr>
            <sz val="9"/>
            <color indexed="81"/>
            <rFont val="Tahoma"/>
            <family val="2"/>
          </rPr>
          <t xml:space="preserve">
412 US, 144 Intl</t>
        </r>
      </text>
    </comment>
    <comment ref="F337" authorId="11">
      <text>
        <r>
          <rPr>
            <b/>
            <sz val="9"/>
            <color indexed="81"/>
            <rFont val="Tahoma"/>
            <family val="2"/>
          </rPr>
          <t>Cassel, Lauren (Research):</t>
        </r>
        <r>
          <rPr>
            <sz val="9"/>
            <color indexed="81"/>
            <rFont val="Tahoma"/>
            <family val="2"/>
          </rPr>
          <t xml:space="preserve">
11/18/16: we expect the comparable sales trend to further improve in the fourth quarter.</t>
        </r>
      </text>
    </comment>
    <comment ref="J341" authorId="11">
      <text>
        <r>
          <rPr>
            <b/>
            <sz val="9"/>
            <color indexed="81"/>
            <rFont val="Tahoma"/>
            <family val="2"/>
          </rPr>
          <t>Cassel, Lauren (Research):</t>
        </r>
        <r>
          <rPr>
            <sz val="9"/>
            <color indexed="81"/>
            <rFont val="Tahoma"/>
            <family val="2"/>
          </rPr>
          <t xml:space="preserve">
397 US, 145 Intl (11 Canada, 100 Europe, 34 ROW)</t>
        </r>
      </text>
    </comment>
    <comment ref="F342" authorId="11">
      <text>
        <r>
          <rPr>
            <b/>
            <sz val="9"/>
            <color indexed="81"/>
            <rFont val="Tahoma"/>
            <family val="2"/>
          </rPr>
          <t>Cassel, Lauren (Research):</t>
        </r>
        <r>
          <rPr>
            <sz val="9"/>
            <color indexed="81"/>
            <rFont val="Tahoma"/>
            <family val="2"/>
          </rPr>
          <t xml:space="preserve">
positive comps in US/intl and both channels (stores and eComm); positive traffic in US stores</t>
        </r>
      </text>
    </comment>
    <comment ref="J342" authorId="11">
      <text>
        <r>
          <rPr>
            <b/>
            <sz val="9"/>
            <color indexed="81"/>
            <rFont val="Tahoma"/>
            <family val="2"/>
          </rPr>
          <t>Cassel, Lauren (Research):</t>
        </r>
        <r>
          <rPr>
            <sz val="9"/>
            <color indexed="81"/>
            <rFont val="Tahoma"/>
            <family val="2"/>
          </rPr>
          <t xml:space="preserve">
8/24/17: 397 US, 145 Intl (11 Canada, 100 Europe, 34 ROW)</t>
        </r>
      </text>
    </comment>
    <comment ref="J343" authorId="12">
      <text>
        <r>
          <rPr>
            <b/>
            <sz val="9"/>
            <color indexed="81"/>
            <rFont val="Tahoma"/>
            <family val="2"/>
          </rPr>
          <t>Roberts, Cynthia (Research):</t>
        </r>
        <r>
          <rPr>
            <sz val="9"/>
            <color indexed="81"/>
            <rFont val="Tahoma"/>
            <family val="2"/>
          </rPr>
          <t xml:space="preserve">
396 US, 145 Intl</t>
        </r>
      </text>
    </comment>
    <comment ref="F344" authorId="12">
      <text>
        <r>
          <rPr>
            <b/>
            <sz val="9"/>
            <color indexed="81"/>
            <rFont val="Tahoma"/>
            <family val="2"/>
          </rPr>
          <t>Roberts, Cynthia (Research):</t>
        </r>
        <r>
          <rPr>
            <sz val="9"/>
            <color indexed="81"/>
            <rFont val="Tahoma"/>
            <family val="2"/>
          </rPr>
          <t xml:space="preserve">
3/7/18: Fleece and graphic tees extremely strong across genders 
1/22/18: Holiday update, continued strength at Hollister, prior +2%</t>
        </r>
      </text>
    </comment>
    <comment ref="H348" authorId="12">
      <text>
        <r>
          <rPr>
            <b/>
            <sz val="9"/>
            <color indexed="81"/>
            <rFont val="Tahoma"/>
            <family val="2"/>
          </rPr>
          <t>Roberts, Cynthia (Research):</t>
        </r>
        <r>
          <rPr>
            <sz val="9"/>
            <color indexed="81"/>
            <rFont val="Tahoma"/>
            <family val="2"/>
          </rPr>
          <t xml:space="preserve">
3/7/18: Assumes +1% spread, +1% benefit from calendar shift, +0.2% benefit from gift card breakage revenue, +3% from  FX</t>
        </r>
      </text>
    </comment>
    <comment ref="H349" authorId="12">
      <text>
        <r>
          <rPr>
            <b/>
            <sz val="9"/>
            <color indexed="81"/>
            <rFont val="Tahoma"/>
            <family val="2"/>
          </rPr>
          <t>Roberts, Cynthia (Research):</t>
        </r>
        <r>
          <rPr>
            <sz val="9"/>
            <color indexed="81"/>
            <rFont val="Tahoma"/>
            <family val="2"/>
          </rPr>
          <t xml:space="preserve">
3/7/18: Assumes +1% spread, +2.5% benefit from calendar shift (gains BTS week), +0.2% benefit from gift card breakage revenue, +3% from  FX</t>
        </r>
      </text>
    </comment>
    <comment ref="H350" authorId="12">
      <text>
        <r>
          <rPr>
            <b/>
            <sz val="9"/>
            <color indexed="81"/>
            <rFont val="Tahoma"/>
            <family val="2"/>
          </rPr>
          <t>Roberts, Cynthia (Research):</t>
        </r>
        <r>
          <rPr>
            <sz val="9"/>
            <color indexed="81"/>
            <rFont val="Tahoma"/>
            <family val="2"/>
          </rPr>
          <t xml:space="preserve">
+0.5% spread, -1% negative impact from calendar shfit, +3% FX benefit, +0.2% benefit from gift card breakage revenue
Assumes revenue loss  related to calendar shift, where the quarter loses calendar days equivalent to 2017 August Week 1 and gains calendar days equivalent to 2017 November Week 1. Underlying spread 0.5%
</t>
        </r>
      </text>
    </comment>
    <comment ref="H351" authorId="12">
      <text>
        <r>
          <rPr>
            <b/>
            <sz val="9"/>
            <color indexed="81"/>
            <rFont val="Tahoma"/>
            <family val="2"/>
          </rPr>
          <t>Roberts, Cynthia (Research):</t>
        </r>
        <r>
          <rPr>
            <sz val="9"/>
            <color indexed="81"/>
            <rFont val="Tahoma"/>
            <family val="2"/>
          </rPr>
          <t xml:space="preserve">
Reversal of 53rd week, quarter loses calendar days equivalent to 2017 November Week 1. underlying spread 0.5%, +0.2% benefit from the 53rd week
</t>
        </r>
      </text>
    </comment>
    <comment ref="AK358" authorId="1">
      <text>
        <r>
          <rPr>
            <b/>
            <sz val="8"/>
            <color indexed="81"/>
            <rFont val="Tahoma"/>
            <family val="2"/>
          </rPr>
          <t>Corinna Freedman:</t>
        </r>
        <r>
          <rPr>
            <sz val="8"/>
            <color indexed="81"/>
            <rFont val="Tahoma"/>
            <family val="2"/>
          </rPr>
          <t xml:space="preserve">
10K = 136</t>
        </r>
      </text>
    </comment>
    <comment ref="AK361" authorId="1">
      <text>
        <r>
          <rPr>
            <b/>
            <sz val="8"/>
            <color indexed="81"/>
            <rFont val="Tahoma"/>
            <family val="2"/>
          </rPr>
          <t>Corinna Freedman:</t>
        </r>
        <r>
          <rPr>
            <sz val="8"/>
            <color indexed="81"/>
            <rFont val="Tahoma"/>
            <family val="2"/>
          </rPr>
          <t xml:space="preserve">
10Q = 61.08</t>
        </r>
      </text>
    </comment>
    <comment ref="AK362" authorId="1">
      <text>
        <r>
          <rPr>
            <b/>
            <sz val="8"/>
            <color indexed="81"/>
            <rFont val="Tahoma"/>
            <family val="2"/>
          </rPr>
          <t>Corinna Freedman:</t>
        </r>
        <r>
          <rPr>
            <sz val="8"/>
            <color indexed="81"/>
            <rFont val="Tahoma"/>
            <family val="2"/>
          </rPr>
          <t xml:space="preserve">
10Q = 61</t>
        </r>
      </text>
    </comment>
    <comment ref="J368" authorId="2">
      <text>
        <r>
          <rPr>
            <b/>
            <sz val="8"/>
            <color indexed="81"/>
            <rFont val="Tahoma"/>
            <family val="2"/>
          </rPr>
          <t>MB33100:</t>
        </r>
        <r>
          <rPr>
            <sz val="8"/>
            <color indexed="81"/>
            <rFont val="Tahoma"/>
            <family val="2"/>
          </rPr>
          <t xml:space="preserve">
5/06: 7 Ruehl stores in 2006
2/06: 8 Ruehl stores in 2006</t>
        </r>
      </text>
    </comment>
    <comment ref="J369" authorId="2">
      <text>
        <r>
          <rPr>
            <b/>
            <sz val="8"/>
            <color indexed="81"/>
            <rFont val="Tahoma"/>
            <family val="2"/>
          </rPr>
          <t>MB33100:</t>
        </r>
        <r>
          <rPr>
            <sz val="8"/>
            <color indexed="81"/>
            <rFont val="Tahoma"/>
            <family val="2"/>
          </rPr>
          <t xml:space="preserve">
5/06: 7 Ruehl stores in 2006
2/06: 8 Ruehl stores in 2006</t>
        </r>
      </text>
    </comment>
    <comment ref="J370" authorId="2">
      <text>
        <r>
          <rPr>
            <b/>
            <sz val="8"/>
            <color indexed="81"/>
            <rFont val="Tahoma"/>
            <family val="2"/>
          </rPr>
          <t>MB33100:</t>
        </r>
        <r>
          <rPr>
            <sz val="8"/>
            <color indexed="81"/>
            <rFont val="Tahoma"/>
            <family val="2"/>
          </rPr>
          <t xml:space="preserve">
5/06: 7 Ruehl stores in 2006
2/06: 8 Ruehl stores in 2006</t>
        </r>
      </text>
    </comment>
    <comment ref="J371" authorId="2">
      <text>
        <r>
          <rPr>
            <b/>
            <sz val="8"/>
            <color indexed="81"/>
            <rFont val="Tahoma"/>
            <family val="2"/>
          </rPr>
          <t>MB33100:</t>
        </r>
        <r>
          <rPr>
            <sz val="8"/>
            <color indexed="81"/>
            <rFont val="Tahoma"/>
            <family val="2"/>
          </rPr>
          <t xml:space="preserve">
5/06: 7 Ruehl stores in 2006
2/06: 8 Ruehl stores in 2006</t>
        </r>
      </text>
    </comment>
    <comment ref="F376" authorId="3">
      <text>
        <r>
          <rPr>
            <b/>
            <sz val="8"/>
            <color indexed="81"/>
            <rFont val="Tahoma"/>
            <family val="2"/>
          </rPr>
          <t>oc48540:</t>
        </r>
        <r>
          <rPr>
            <sz val="8"/>
            <color indexed="81"/>
            <rFont val="Tahoma"/>
            <family val="2"/>
          </rPr>
          <t xml:space="preserve">
est -1%</t>
        </r>
      </text>
    </comment>
    <comment ref="F431" authorId="8">
      <text>
        <r>
          <rPr>
            <b/>
            <sz val="8"/>
            <color indexed="81"/>
            <rFont val="Tahoma"/>
            <family val="2"/>
          </rPr>
          <t>nicholjs:</t>
        </r>
        <r>
          <rPr>
            <sz val="8"/>
            <color indexed="81"/>
            <rFont val="Tahoma"/>
            <family val="2"/>
          </rPr>
          <t xml:space="preserve">
a little bit below 30</t>
        </r>
      </text>
    </comment>
    <comment ref="J431" authorId="8">
      <text>
        <r>
          <rPr>
            <b/>
            <sz val="8"/>
            <color indexed="81"/>
            <rFont val="Tahoma"/>
            <family val="2"/>
          </rPr>
          <t>nicholjs:</t>
        </r>
        <r>
          <rPr>
            <sz val="8"/>
            <color indexed="81"/>
            <rFont val="Tahoma"/>
            <family val="2"/>
          </rPr>
          <t xml:space="preserve">
18 US, 1 international</t>
        </r>
      </text>
    </comment>
    <comment ref="S433" authorId="9">
      <text>
        <r>
          <rPr>
            <b/>
            <sz val="8"/>
            <color indexed="81"/>
            <rFont val="Tahoma"/>
            <family val="2"/>
          </rPr>
          <t>solejay:</t>
        </r>
        <r>
          <rPr>
            <sz val="8"/>
            <color indexed="81"/>
            <rFont val="Tahoma"/>
            <family val="2"/>
          </rPr>
          <t xml:space="preserve">
estimate
</t>
        </r>
      </text>
    </comment>
    <comment ref="J438" authorId="8">
      <text>
        <r>
          <rPr>
            <sz val="8"/>
            <color indexed="81"/>
            <rFont val="Tahoma"/>
            <family val="2"/>
          </rPr>
          <t>18 US, 3 international</t>
        </r>
      </text>
    </comment>
    <comment ref="J439" authorId="8">
      <text>
        <r>
          <rPr>
            <sz val="8"/>
            <color indexed="81"/>
            <rFont val="Tahoma"/>
            <family val="2"/>
          </rPr>
          <t>18 US, 3 international</t>
        </r>
      </text>
    </comment>
    <comment ref="H441" authorId="10">
      <text>
        <r>
          <rPr>
            <b/>
            <sz val="8"/>
            <color indexed="81"/>
            <rFont val="Tahoma"/>
            <family val="2"/>
          </rPr>
          <t>kahng:</t>
        </r>
        <r>
          <rPr>
            <sz val="8"/>
            <color indexed="81"/>
            <rFont val="Tahoma"/>
            <family val="2"/>
          </rPr>
          <t xml:space="preserve">
0% adjusted for 53rd week in Jan. </t>
        </r>
      </text>
    </comment>
    <comment ref="S441" authorId="10">
      <text>
        <r>
          <rPr>
            <b/>
            <sz val="8"/>
            <color indexed="81"/>
            <rFont val="Tahoma"/>
            <family val="2"/>
          </rPr>
          <t>kahng:</t>
        </r>
        <r>
          <rPr>
            <sz val="8"/>
            <color indexed="81"/>
            <rFont val="Tahoma"/>
            <family val="2"/>
          </rPr>
          <t xml:space="preserve">
22.9% adjusted for 53rd week in Jan</t>
        </r>
      </text>
    </comment>
    <comment ref="J447" authorId="0">
      <text>
        <r>
          <rPr>
            <b/>
            <sz val="8"/>
            <color indexed="81"/>
            <rFont val="Tahoma"/>
            <family val="2"/>
          </rPr>
          <t>casselau:</t>
        </r>
        <r>
          <rPr>
            <sz val="8"/>
            <color indexed="81"/>
            <rFont val="Tahoma"/>
            <family val="2"/>
          </rPr>
          <t xml:space="preserve">
11/5/13: announced that it plans to close all of its stand-alone Gilly Hicks stores. The Company expects to substantially complete the closures by the end of the first quarter of Fiscal 2014. Store closures in Europe are subject to applicable notice and consultation provisions. The Company will continue to offer Gilly Hicks branded intimate apparel through its Hollister stores and direct-to-consumer business</t>
        </r>
      </text>
    </comment>
  </commentList>
</comments>
</file>

<file path=xl/comments2.xml><?xml version="1.0" encoding="utf-8"?>
<comments xmlns="http://schemas.openxmlformats.org/spreadsheetml/2006/main">
  <authors>
    <author>dliu</author>
    <author>Corinna Freedman</author>
    <author>oc48540</author>
    <author>OC48540</author>
    <author>sw50536</author>
    <author>mm98285</author>
    <author>nicholjs</author>
    <author>TI23070</author>
    <author>NS66486</author>
    <author>sancfa</author>
    <author>solejay</author>
    <author>casselau</author>
    <author>kahng</author>
  </authors>
  <commentList>
    <comment ref="S20" authorId="0">
      <text>
        <r>
          <rPr>
            <b/>
            <sz val="8"/>
            <color indexed="81"/>
            <rFont val="Tahoma"/>
            <family val="2"/>
          </rPr>
          <t>dliu:</t>
        </r>
        <r>
          <rPr>
            <sz val="8"/>
            <color indexed="81"/>
            <rFont val="Tahoma"/>
            <family val="2"/>
          </rPr>
          <t xml:space="preserve">
1Q thru 3Q are not restated for EITF chg in shipping and handling… restated YEAR number is $47 mm as shown on yrSales tab</t>
        </r>
      </text>
    </comment>
    <comment ref="S27" authorId="0">
      <text>
        <r>
          <rPr>
            <b/>
            <sz val="8"/>
            <color indexed="81"/>
            <rFont val="Tahoma"/>
            <family val="2"/>
          </rPr>
          <t>dliu:</t>
        </r>
        <r>
          <rPr>
            <sz val="8"/>
            <color indexed="81"/>
            <rFont val="Tahoma"/>
            <family val="2"/>
          </rPr>
          <t xml:space="preserve">
1Q thru 3Q are not restated for EITF chg in shipping and handling… restated YEAR number is $47 mm as shown on yrSales tab</t>
        </r>
      </text>
    </comment>
    <comment ref="S37" authorId="0">
      <text>
        <r>
          <rPr>
            <b/>
            <sz val="8"/>
            <color indexed="81"/>
            <rFont val="Tahoma"/>
            <family val="2"/>
          </rPr>
          <t>dliu:</t>
        </r>
        <r>
          <rPr>
            <sz val="8"/>
            <color indexed="81"/>
            <rFont val="Tahoma"/>
            <family val="2"/>
          </rPr>
          <t xml:space="preserve">
decrease as a result of not producing A&amp;F qrtrly in 4Q01 due to 9.11</t>
        </r>
      </text>
    </comment>
    <comment ref="S49" authorId="0">
      <text>
        <r>
          <rPr>
            <b/>
            <sz val="8"/>
            <color indexed="81"/>
            <rFont val="Tahoma"/>
            <family val="2"/>
          </rPr>
          <t>dliu:</t>
        </r>
        <r>
          <rPr>
            <sz val="8"/>
            <color indexed="81"/>
            <rFont val="Tahoma"/>
            <family val="2"/>
          </rPr>
          <t xml:space="preserve">
from 10-Q</t>
        </r>
      </text>
    </comment>
    <comment ref="S50" authorId="0">
      <text>
        <r>
          <rPr>
            <b/>
            <sz val="8"/>
            <color indexed="81"/>
            <rFont val="Tahoma"/>
            <family val="2"/>
          </rPr>
          <t>dliu:</t>
        </r>
        <r>
          <rPr>
            <sz val="8"/>
            <color indexed="81"/>
            <rFont val="Tahoma"/>
            <family val="2"/>
          </rPr>
          <t xml:space="preserve">
from 10-Q</t>
        </r>
      </text>
    </comment>
    <comment ref="S52" authorId="1">
      <text>
        <r>
          <rPr>
            <b/>
            <sz val="8"/>
            <color indexed="81"/>
            <rFont val="Tahoma"/>
            <family val="2"/>
          </rPr>
          <t>Corinna Freedman:</t>
        </r>
        <r>
          <rPr>
            <sz val="8"/>
            <color indexed="81"/>
            <rFont val="Tahoma"/>
            <family val="2"/>
          </rPr>
          <t xml:space="preserve">
includes S&amp;H</t>
        </r>
      </text>
    </comment>
    <comment ref="V76" authorId="2">
      <text>
        <r>
          <rPr>
            <b/>
            <sz val="8"/>
            <color indexed="81"/>
            <rFont val="Tahoma"/>
            <family val="2"/>
          </rPr>
          <t>oc48540:</t>
        </r>
        <r>
          <rPr>
            <sz val="8"/>
            <color indexed="81"/>
            <rFont val="Tahoma"/>
            <family val="2"/>
          </rPr>
          <t xml:space="preserve">
kg51925:
1Q07 conf call indicated direct sales +43% to $43.5mm</t>
        </r>
      </text>
    </comment>
    <comment ref="V77" authorId="3">
      <text>
        <r>
          <rPr>
            <b/>
            <sz val="8"/>
            <color indexed="81"/>
            <rFont val="Tahoma"/>
            <family val="2"/>
          </rPr>
          <t>OC48540:</t>
        </r>
        <r>
          <rPr>
            <sz val="8"/>
            <color indexed="81"/>
            <rFont val="Tahoma"/>
            <family val="2"/>
          </rPr>
          <t xml:space="preserve">
66%, increase driven by UK direct to consumer sales assoc. with London store opening, enhancements made to website, and improved in-stock inventory as a result of targeted email strategy</t>
        </r>
      </text>
    </comment>
    <comment ref="V78" authorId="4">
      <text>
        <r>
          <rPr>
            <b/>
            <sz val="8"/>
            <color indexed="81"/>
            <rFont val="Tahoma"/>
            <family val="2"/>
          </rPr>
          <t>sw50536:</t>
        </r>
        <r>
          <rPr>
            <sz val="8"/>
            <color indexed="81"/>
            <rFont val="Tahoma"/>
            <family val="2"/>
          </rPr>
          <t xml:space="preserve">
kg: Tom Lennox indicated $63.1mm excludes S&amp;H rev</t>
        </r>
      </text>
    </comment>
    <comment ref="W78" authorId="5">
      <text>
        <r>
          <rPr>
            <b/>
            <sz val="8"/>
            <color indexed="81"/>
            <rFont val="Tahoma"/>
            <family val="2"/>
          </rPr>
          <t>mm98285:</t>
        </r>
        <r>
          <rPr>
            <sz val="8"/>
            <color indexed="81"/>
            <rFont val="Tahoma"/>
            <family val="2"/>
          </rPr>
          <t xml:space="preserve">
Aug. +54%
Sept +42%
Oct +50%</t>
        </r>
      </text>
    </comment>
    <comment ref="W79" authorId="3">
      <text>
        <r>
          <rPr>
            <b/>
            <sz val="8"/>
            <color indexed="81"/>
            <rFont val="Tahoma"/>
            <family val="2"/>
          </rPr>
          <t xml:space="preserve">OC48540:
</t>
        </r>
        <r>
          <rPr>
            <sz val="8"/>
            <color indexed="81"/>
            <rFont val="Tahoma"/>
            <family val="2"/>
          </rPr>
          <t xml:space="preserve">4Q dtc +45%
Nov  +78%
Dec  +35%
</t>
        </r>
      </text>
    </comment>
    <comment ref="W83" authorId="5">
      <text>
        <r>
          <rPr>
            <b/>
            <sz val="8"/>
            <color indexed="81"/>
            <rFont val="Tahoma"/>
            <family val="2"/>
          </rPr>
          <t>mm98285:</t>
        </r>
        <r>
          <rPr>
            <sz val="8"/>
            <color indexed="81"/>
            <rFont val="Tahoma"/>
            <family val="2"/>
          </rPr>
          <t xml:space="preserve">
feb +39%
Mar +45%
April +47% to $20.0mm</t>
        </r>
      </text>
    </comment>
    <comment ref="W84" authorId="5">
      <text>
        <r>
          <rPr>
            <b/>
            <sz val="8"/>
            <color indexed="81"/>
            <rFont val="Tahoma"/>
            <family val="2"/>
          </rPr>
          <t>mm98285:</t>
        </r>
        <r>
          <rPr>
            <sz val="8"/>
            <color indexed="81"/>
            <rFont val="Tahoma"/>
            <family val="2"/>
          </rPr>
          <t xml:space="preserve">
May: +35%, June +21%, July +14%</t>
        </r>
      </text>
    </comment>
    <comment ref="W85" authorId="5">
      <text>
        <r>
          <rPr>
            <b/>
            <sz val="8"/>
            <color indexed="81"/>
            <rFont val="Tahoma"/>
            <family val="2"/>
          </rPr>
          <t>mm98285:</t>
        </r>
        <r>
          <rPr>
            <sz val="8"/>
            <color indexed="81"/>
            <rFont val="Tahoma"/>
            <family val="2"/>
          </rPr>
          <t xml:space="preserve">
Aug. -8% to $18.9
Sept -5% to $20.9
Oct -4% to $17.7mm</t>
        </r>
      </text>
    </comment>
    <comment ref="W86" authorId="5">
      <text>
        <r>
          <rPr>
            <b/>
            <sz val="8"/>
            <color indexed="81"/>
            <rFont val="Tahoma"/>
            <family val="2"/>
          </rPr>
          <t>mm98285:</t>
        </r>
        <r>
          <rPr>
            <sz val="8"/>
            <color indexed="81"/>
            <rFont val="Tahoma"/>
            <family val="2"/>
          </rPr>
          <t xml:space="preserve">
Nov. -28% (hurt by Cyber Monday moving to Dec) to $23.7mm; Dec. -11% to $45.6mm; Jan +7% to 26</t>
        </r>
      </text>
    </comment>
    <comment ref="W90" authorId="5">
      <text>
        <r>
          <rPr>
            <b/>
            <sz val="8"/>
            <color indexed="81"/>
            <rFont val="Tahoma"/>
            <family val="2"/>
          </rPr>
          <t>mm98285:</t>
        </r>
        <r>
          <rPr>
            <sz val="8"/>
            <color indexed="81"/>
            <rFont val="Tahoma"/>
            <family val="2"/>
          </rPr>
          <t xml:space="preserve">
April -24% to $15.2
March -23% to $19.8
Feb -17% to $14.1mm</t>
        </r>
      </text>
    </comment>
    <comment ref="W91" authorId="5">
      <text>
        <r>
          <rPr>
            <b/>
            <sz val="8"/>
            <color indexed="81"/>
            <rFont val="Tahoma"/>
            <family val="2"/>
          </rPr>
          <t>mm98285:</t>
        </r>
        <r>
          <rPr>
            <sz val="8"/>
            <color indexed="81"/>
            <rFont val="Tahoma"/>
            <family val="2"/>
          </rPr>
          <t xml:space="preserve">
May -10% to $15.6M - inflated due to restate should have been a little worse and April should have been a little better
June -17% to $16.9mm
July -11% to $16.2mm</t>
        </r>
      </text>
    </comment>
    <comment ref="S92" authorId="6">
      <text>
        <r>
          <rPr>
            <b/>
            <sz val="8"/>
            <color indexed="81"/>
            <rFont val="Tahoma"/>
            <family val="2"/>
          </rPr>
          <t>nicholjs:</t>
        </r>
        <r>
          <rPr>
            <sz val="8"/>
            <color indexed="81"/>
            <rFont val="Tahoma"/>
            <family val="2"/>
          </rPr>
          <t xml:space="preserve">
restating from $63.9mm per 3Q press release.  Historical # included RUEHL</t>
        </r>
      </text>
    </comment>
    <comment ref="W92" authorId="2">
      <text>
        <r>
          <rPr>
            <b/>
            <sz val="8"/>
            <color indexed="81"/>
            <rFont val="Tahoma"/>
            <family val="2"/>
          </rPr>
          <t>oc48540:</t>
        </r>
        <r>
          <rPr>
            <sz val="8"/>
            <color indexed="81"/>
            <rFont val="Tahoma"/>
            <family val="2"/>
          </rPr>
          <t xml:space="preserve">
Oct +24%
Sept +9%
Aug +1%
</t>
        </r>
      </text>
    </comment>
    <comment ref="S93" authorId="2">
      <text>
        <r>
          <rPr>
            <b/>
            <sz val="8"/>
            <color indexed="81"/>
            <rFont val="Tahoma"/>
            <family val="2"/>
          </rPr>
          <t>oc48540:</t>
        </r>
        <r>
          <rPr>
            <sz val="8"/>
            <color indexed="81"/>
            <rFont val="Tahoma"/>
            <family val="2"/>
          </rPr>
          <t xml:space="preserve">
will need restatement once qtr is reported
Nov = 24.5mm</t>
        </r>
      </text>
    </comment>
    <comment ref="W93" authorId="2">
      <text>
        <r>
          <rPr>
            <b/>
            <sz val="8"/>
            <color indexed="81"/>
            <rFont val="Tahoma"/>
            <family val="2"/>
          </rPr>
          <t>oc48540:</t>
        </r>
        <r>
          <rPr>
            <sz val="8"/>
            <color indexed="81"/>
            <rFont val="Tahoma"/>
            <family val="2"/>
          </rPr>
          <t xml:space="preserve">
Nov +3% to $24.5mm
Dec -4% to $44.0mm
Jan. +8% to $28.0mm</t>
        </r>
      </text>
    </comment>
    <comment ref="D94" authorId="6">
      <text>
        <r>
          <rPr>
            <b/>
            <sz val="8"/>
            <color indexed="81"/>
            <rFont val="Tahoma"/>
            <family val="2"/>
          </rPr>
          <t>nicholjs:</t>
        </r>
        <r>
          <rPr>
            <sz val="8"/>
            <color indexed="81"/>
            <rFont val="Tahoma"/>
            <family val="2"/>
          </rPr>
          <t xml:space="preserve">
Europe $229,446
Other $132,039</t>
        </r>
      </text>
    </comment>
    <comment ref="D97" authorId="6">
      <text>
        <r>
          <rPr>
            <b/>
            <sz val="8"/>
            <color indexed="81"/>
            <rFont val="Tahoma"/>
            <family val="2"/>
          </rPr>
          <t>nicholjs:</t>
        </r>
        <r>
          <rPr>
            <sz val="8"/>
            <color indexed="81"/>
            <rFont val="Tahoma"/>
            <family val="2"/>
          </rPr>
          <t xml:space="preserve">
Europe 79,648
Other 39,366</t>
        </r>
      </text>
    </comment>
    <comment ref="W97" authorId="7">
      <text>
        <r>
          <rPr>
            <b/>
            <sz val="8"/>
            <color indexed="81"/>
            <rFont val="Tahoma"/>
            <family val="2"/>
          </rPr>
          <t>TI23070:</t>
        </r>
        <r>
          <rPr>
            <sz val="8"/>
            <color indexed="81"/>
            <rFont val="Tahoma"/>
            <family val="2"/>
          </rPr>
          <t xml:space="preserve">
Feb.: +28% to $17.7mm
Mar.: +45% to $27.9mm
Apr: +50% to $23.1mm</t>
        </r>
      </text>
    </comment>
    <comment ref="W98" authorId="8">
      <text>
        <r>
          <rPr>
            <b/>
            <sz val="8"/>
            <color indexed="81"/>
            <rFont val="Tahoma"/>
            <family val="2"/>
          </rPr>
          <t>NS66486:</t>
        </r>
        <r>
          <rPr>
            <sz val="8"/>
            <color indexed="81"/>
            <rFont val="Tahoma"/>
            <family val="2"/>
          </rPr>
          <t xml:space="preserve">
May +34% to $19.2mm
June +62% to $26.1mm
July +51% to $23.6mm</t>
        </r>
      </text>
    </comment>
    <comment ref="W99" authorId="6">
      <text>
        <r>
          <rPr>
            <b/>
            <sz val="8"/>
            <color indexed="81"/>
            <rFont val="Tahoma"/>
            <family val="2"/>
          </rPr>
          <t>nicholjs:</t>
        </r>
        <r>
          <rPr>
            <sz val="8"/>
            <color indexed="81"/>
            <rFont val="Tahoma"/>
            <family val="2"/>
          </rPr>
          <t xml:space="preserve">
August +43% to $26.5
September +42% to $41.3
October +11% to $23.6</t>
        </r>
      </text>
    </comment>
    <comment ref="W100" authorId="6">
      <text>
        <r>
          <rPr>
            <b/>
            <sz val="8"/>
            <color indexed="81"/>
            <rFont val="Tahoma"/>
            <family val="2"/>
          </rPr>
          <t>nicholjs:</t>
        </r>
        <r>
          <rPr>
            <sz val="8"/>
            <color indexed="81"/>
            <rFont val="Tahoma"/>
            <family val="2"/>
          </rPr>
          <t xml:space="preserve">
November +40% to 32.6mm
December +59% to $66.9mm
January +23% to $33.9mm</t>
        </r>
      </text>
    </comment>
    <comment ref="D101" authorId="6">
      <text>
        <r>
          <rPr>
            <b/>
            <sz val="8"/>
            <color indexed="81"/>
            <rFont val="Tahoma"/>
            <family val="2"/>
          </rPr>
          <t>nicholjs:</t>
        </r>
        <r>
          <rPr>
            <sz val="8"/>
            <color indexed="81"/>
            <rFont val="Tahoma"/>
            <family val="2"/>
          </rPr>
          <t xml:space="preserve">
Europe $443,836
Other $202,948</t>
        </r>
      </text>
    </comment>
    <comment ref="D105" authorId="6">
      <text>
        <r>
          <rPr>
            <b/>
            <sz val="8"/>
            <color indexed="81"/>
            <rFont val="Tahoma"/>
            <family val="2"/>
          </rPr>
          <t>nicholjs:</t>
        </r>
        <r>
          <rPr>
            <sz val="8"/>
            <color indexed="81"/>
            <rFont val="Tahoma"/>
            <family val="2"/>
          </rPr>
          <t xml:space="preserve">
Europe 152,431
Other 43,293</t>
        </r>
      </text>
    </comment>
    <comment ref="W105" authorId="9">
      <text>
        <r>
          <rPr>
            <b/>
            <sz val="8"/>
            <color indexed="81"/>
            <rFont val="Tahoma"/>
            <family val="2"/>
          </rPr>
          <t>sancfa:</t>
        </r>
        <r>
          <rPr>
            <sz val="8"/>
            <color indexed="81"/>
            <rFont val="Tahoma"/>
            <family val="2"/>
          </rPr>
          <t xml:space="preserve">
1Q: +32% to $105.8mm</t>
        </r>
      </text>
    </comment>
    <comment ref="D106" authorId="6">
      <text>
        <r>
          <rPr>
            <b/>
            <sz val="8"/>
            <color indexed="81"/>
            <rFont val="Tahoma"/>
            <family val="2"/>
          </rPr>
          <t>nicholjs:</t>
        </r>
        <r>
          <rPr>
            <sz val="8"/>
            <color indexed="81"/>
            <rFont val="Tahoma"/>
            <family val="2"/>
          </rPr>
          <t xml:space="preserve">
Europe 182,432
Other 49,439</t>
        </r>
      </text>
    </comment>
    <comment ref="W106" authorId="6">
      <text>
        <r>
          <rPr>
            <b/>
            <sz val="8"/>
            <color indexed="81"/>
            <rFont val="Tahoma"/>
            <family val="2"/>
          </rPr>
          <t>nicholjs:</t>
        </r>
        <r>
          <rPr>
            <sz val="8"/>
            <color indexed="81"/>
            <rFont val="Tahoma"/>
            <family val="2"/>
          </rPr>
          <t xml:space="preserve">
we est +29%</t>
        </r>
      </text>
    </comment>
    <comment ref="D107" authorId="9">
      <text>
        <r>
          <rPr>
            <b/>
            <sz val="8"/>
            <color indexed="81"/>
            <rFont val="Tahoma"/>
            <family val="2"/>
          </rPr>
          <t>sancfa:</t>
        </r>
        <r>
          <rPr>
            <sz val="8"/>
            <color indexed="81"/>
            <rFont val="Tahoma"/>
            <family val="2"/>
          </rPr>
          <t xml:space="preserve">
Europe 193,566
Other 62,102</t>
        </r>
      </text>
    </comment>
    <comment ref="W107" authorId="10">
      <text>
        <r>
          <rPr>
            <b/>
            <sz val="8"/>
            <color indexed="81"/>
            <rFont val="Tahoma"/>
            <family val="2"/>
          </rPr>
          <t>solejay:</t>
        </r>
        <r>
          <rPr>
            <sz val="8"/>
            <color indexed="81"/>
            <rFont val="Tahoma"/>
            <family val="2"/>
          </rPr>
          <t xml:space="preserve">
41% per 11/3 press release</t>
        </r>
      </text>
    </comment>
    <comment ref="S108" authorId="10">
      <text>
        <r>
          <rPr>
            <sz val="8"/>
            <color indexed="81"/>
            <rFont val="Tahoma"/>
            <family val="2"/>
          </rPr>
          <t>per Eric Cerny - "beginning with Q1 2011, we started reporting DTC sales inclusive of S&amp;H revenue.    in prior years we reported as 'net merchandise sales' and listed S&amp;H revenue separately."</t>
        </r>
      </text>
    </comment>
    <comment ref="W108" authorId="10">
      <text>
        <r>
          <rPr>
            <b/>
            <sz val="8"/>
            <color indexed="81"/>
            <rFont val="Tahoma"/>
            <family val="2"/>
          </rPr>
          <t>solejay:</t>
        </r>
        <r>
          <rPr>
            <sz val="8"/>
            <color indexed="81"/>
            <rFont val="Tahoma"/>
            <family val="2"/>
          </rPr>
          <t xml:space="preserve">
41% per 11/3 press release</t>
        </r>
      </text>
    </comment>
    <comment ref="D109" authorId="6">
      <text>
        <r>
          <rPr>
            <sz val="8"/>
            <color indexed="81"/>
            <rFont val="Tahoma"/>
            <family val="2"/>
          </rPr>
          <t>Europe $822.473
Other $227.205</t>
        </r>
      </text>
    </comment>
    <comment ref="W109" authorId="6">
      <text>
        <r>
          <rPr>
            <b/>
            <sz val="8"/>
            <color indexed="81"/>
            <rFont val="Tahoma"/>
            <family val="2"/>
          </rPr>
          <t>nicholjs:</t>
        </r>
        <r>
          <rPr>
            <sz val="8"/>
            <color indexed="81"/>
            <rFont val="Tahoma"/>
            <family val="2"/>
          </rPr>
          <t xml:space="preserve">
4/5/2011: $1bn in DTC sales in next few years (goal)</t>
        </r>
      </text>
    </comment>
    <comment ref="D113" authorId="11">
      <text>
        <r>
          <rPr>
            <b/>
            <sz val="8"/>
            <color indexed="81"/>
            <rFont val="Tahoma"/>
            <family val="2"/>
          </rPr>
          <t>casselau:</t>
        </r>
        <r>
          <rPr>
            <sz val="8"/>
            <color indexed="81"/>
            <rFont val="Tahoma"/>
            <family val="2"/>
          </rPr>
          <t xml:space="preserve">
$277.0 including DTC</t>
        </r>
      </text>
    </comment>
    <comment ref="J113" authorId="11">
      <text>
        <r>
          <rPr>
            <b/>
            <sz val="8"/>
            <color indexed="81"/>
            <rFont val="Tahoma"/>
            <family val="2"/>
          </rPr>
          <t>casselau:</t>
        </r>
        <r>
          <rPr>
            <sz val="8"/>
            <color indexed="81"/>
            <rFont val="Tahoma"/>
            <family val="2"/>
          </rPr>
          <t xml:space="preserve">
$644.3 including DTC</t>
        </r>
      </text>
    </comment>
    <comment ref="D114" authorId="11">
      <text>
        <r>
          <rPr>
            <b/>
            <sz val="8"/>
            <color indexed="81"/>
            <rFont val="Tahoma"/>
            <family val="2"/>
          </rPr>
          <t>casselau:</t>
        </r>
        <r>
          <rPr>
            <sz val="8"/>
            <color indexed="81"/>
            <rFont val="Tahoma"/>
            <family val="2"/>
          </rPr>
          <t xml:space="preserve">
$303.4M including DTC</t>
        </r>
      </text>
    </comment>
    <comment ref="J114" authorId="11">
      <text>
        <r>
          <rPr>
            <b/>
            <sz val="8"/>
            <color indexed="81"/>
            <rFont val="Tahoma"/>
            <family val="2"/>
          </rPr>
          <t>casselau:</t>
        </r>
        <r>
          <rPr>
            <sz val="8"/>
            <color indexed="81"/>
            <rFont val="Tahoma"/>
            <family val="2"/>
          </rPr>
          <t xml:space="preserve">
$648M including DTC</t>
        </r>
      </text>
    </comment>
    <comment ref="D115" authorId="11">
      <text>
        <r>
          <rPr>
            <b/>
            <sz val="8"/>
            <color indexed="81"/>
            <rFont val="Tahoma"/>
            <family val="2"/>
          </rPr>
          <t>casselau:</t>
        </r>
        <r>
          <rPr>
            <sz val="8"/>
            <color indexed="81"/>
            <rFont val="Tahoma"/>
            <family val="2"/>
          </rPr>
          <t xml:space="preserve">
including DTC $351.1M</t>
        </r>
      </text>
    </comment>
    <comment ref="J115" authorId="11">
      <text>
        <r>
          <rPr>
            <b/>
            <sz val="8"/>
            <color indexed="81"/>
            <rFont val="Tahoma"/>
            <family val="2"/>
          </rPr>
          <t>casselau:</t>
        </r>
        <r>
          <rPr>
            <sz val="8"/>
            <color indexed="81"/>
            <rFont val="Tahoma"/>
            <family val="2"/>
          </rPr>
          <t xml:space="preserve">
including DTC $818.6M</t>
        </r>
      </text>
    </comment>
    <comment ref="V115" authorId="11">
      <text>
        <r>
          <rPr>
            <b/>
            <sz val="8"/>
            <color indexed="81"/>
            <rFont val="Tahoma"/>
            <family val="2"/>
          </rPr>
          <t>casselau:</t>
        </r>
        <r>
          <rPr>
            <sz val="8"/>
            <color indexed="81"/>
            <rFont val="Tahoma"/>
            <family val="2"/>
          </rPr>
          <t xml:space="preserve">
total DTC sales including S&amp;H were +20%; intl DTC +31%</t>
        </r>
      </text>
    </comment>
    <comment ref="J116" authorId="11">
      <text>
        <r>
          <rPr>
            <b/>
            <sz val="8"/>
            <color indexed="81"/>
            <rFont val="Tahoma"/>
            <family val="2"/>
          </rPr>
          <t>casselau:</t>
        </r>
        <r>
          <rPr>
            <sz val="8"/>
            <color indexed="81"/>
            <rFont val="Tahoma"/>
            <family val="2"/>
          </rPr>
          <t xml:space="preserve">
including DTC 976.4M</t>
        </r>
      </text>
    </comment>
    <comment ref="V116" authorId="12">
      <text>
        <r>
          <rPr>
            <b/>
            <sz val="8"/>
            <color indexed="81"/>
            <rFont val="Tahoma"/>
            <family val="2"/>
          </rPr>
          <t>US +5%, intl +52%
kahng:</t>
        </r>
        <r>
          <rPr>
            <sz val="8"/>
            <color indexed="81"/>
            <rFont val="Tahoma"/>
            <family val="2"/>
          </rPr>
          <t xml:space="preserve">
$227.9M adj by 4.5% for 53rd week in Jan</t>
        </r>
      </text>
    </comment>
    <comment ref="W116" authorId="12">
      <text>
        <r>
          <rPr>
            <b/>
            <sz val="8"/>
            <color indexed="81"/>
            <rFont val="Tahoma"/>
            <family val="2"/>
          </rPr>
          <t>kahng:</t>
        </r>
        <r>
          <rPr>
            <sz val="8"/>
            <color indexed="81"/>
            <rFont val="Tahoma"/>
            <family val="2"/>
          </rPr>
          <t xml:space="preserve">
20% growth adjusted for 53rd week in Jan to 25.4%</t>
        </r>
      </text>
    </comment>
    <comment ref="D117" authorId="11">
      <text>
        <r>
          <rPr>
            <b/>
            <sz val="8"/>
            <color indexed="81"/>
            <rFont val="Tahoma"/>
            <family val="2"/>
          </rPr>
          <t>casselau:</t>
        </r>
        <r>
          <rPr>
            <sz val="8"/>
            <color indexed="81"/>
            <rFont val="Tahoma"/>
            <family val="2"/>
          </rPr>
          <t xml:space="preserve">
includes DTC</t>
        </r>
      </text>
    </comment>
    <comment ref="J117" authorId="11">
      <text>
        <r>
          <rPr>
            <b/>
            <sz val="8"/>
            <color indexed="81"/>
            <rFont val="Tahoma"/>
            <family val="2"/>
          </rPr>
          <t>casselau:</t>
        </r>
        <r>
          <rPr>
            <sz val="8"/>
            <color indexed="81"/>
            <rFont val="Tahoma"/>
            <family val="2"/>
          </rPr>
          <t xml:space="preserve">
includes DTC</t>
        </r>
      </text>
    </comment>
    <comment ref="D118" authorId="11">
      <text>
        <r>
          <rPr>
            <b/>
            <sz val="8"/>
            <color indexed="81"/>
            <rFont val="Tahoma"/>
            <family val="2"/>
          </rPr>
          <t>casselau:</t>
        </r>
        <r>
          <rPr>
            <sz val="8"/>
            <color indexed="81"/>
            <rFont val="Tahoma"/>
            <family val="2"/>
          </rPr>
          <t xml:space="preserve">
including DTC $1,424M</t>
        </r>
      </text>
    </comment>
    <comment ref="J118" authorId="11">
      <text>
        <r>
          <rPr>
            <b/>
            <sz val="8"/>
            <color indexed="81"/>
            <rFont val="Tahoma"/>
            <family val="2"/>
          </rPr>
          <t>casselau:</t>
        </r>
        <r>
          <rPr>
            <sz val="8"/>
            <color indexed="81"/>
            <rFont val="Tahoma"/>
            <family val="2"/>
          </rPr>
          <t xml:space="preserve">
including DTC $3,087M</t>
        </r>
      </text>
    </comment>
    <comment ref="D121" authorId="11">
      <text>
        <r>
          <rPr>
            <b/>
            <sz val="8"/>
            <color indexed="81"/>
            <rFont val="Tahoma"/>
            <family val="2"/>
          </rPr>
          <t>casselau:</t>
        </r>
        <r>
          <rPr>
            <sz val="8"/>
            <color indexed="81"/>
            <rFont val="Tahoma"/>
            <family val="2"/>
          </rPr>
          <t xml:space="preserve">
$303.9 including DTC</t>
        </r>
      </text>
    </comment>
    <comment ref="J121" authorId="11">
      <text>
        <r>
          <rPr>
            <b/>
            <sz val="8"/>
            <color indexed="81"/>
            <rFont val="Tahoma"/>
            <family val="2"/>
          </rPr>
          <t>casselau:</t>
        </r>
        <r>
          <rPr>
            <sz val="8"/>
            <color indexed="81"/>
            <rFont val="Tahoma"/>
            <family val="2"/>
          </rPr>
          <t xml:space="preserve">
$534.9 including DTC</t>
        </r>
      </text>
    </comment>
    <comment ref="V121" authorId="11">
      <text>
        <r>
          <rPr>
            <b/>
            <sz val="8"/>
            <color indexed="81"/>
            <rFont val="Tahoma"/>
            <family val="2"/>
          </rPr>
          <t xml:space="preserve">casselau:
</t>
        </r>
        <r>
          <rPr>
            <sz val="8"/>
            <color indexed="81"/>
            <rFont val="Tahoma"/>
            <family val="2"/>
          </rPr>
          <t>international $46.5M (-3% y/y growth); domestic $86.3M (-14% y/y growth)</t>
        </r>
        <r>
          <rPr>
            <sz val="8"/>
            <color indexed="81"/>
            <rFont val="Tahoma"/>
            <family val="2"/>
          </rPr>
          <t xml:space="preserve">
5/24/13: total DTC (including S&amp;H) decreaed -10%; comparable DTC -6%</t>
        </r>
      </text>
    </comment>
    <comment ref="D122" authorId="11">
      <text>
        <r>
          <rPr>
            <b/>
            <sz val="8"/>
            <color indexed="81"/>
            <rFont val="Tahoma"/>
            <family val="2"/>
          </rPr>
          <t>casselau:</t>
        </r>
        <r>
          <rPr>
            <sz val="8"/>
            <color indexed="81"/>
            <rFont val="Tahoma"/>
            <family val="2"/>
          </rPr>
          <t xml:space="preserve">
8/22/13: $348.4M including DTC</t>
        </r>
      </text>
    </comment>
    <comment ref="J122" authorId="11">
      <text>
        <r>
          <rPr>
            <b/>
            <sz val="8"/>
            <color indexed="81"/>
            <rFont val="Tahoma"/>
            <family val="2"/>
          </rPr>
          <t>casselau:</t>
        </r>
        <r>
          <rPr>
            <sz val="8"/>
            <color indexed="81"/>
            <rFont val="Tahoma"/>
            <family val="2"/>
          </rPr>
          <t xml:space="preserve">
8/22/13: $597.3M including DTC</t>
        </r>
      </text>
    </comment>
    <comment ref="V122" authorId="11">
      <text>
        <r>
          <rPr>
            <b/>
            <sz val="8"/>
            <color indexed="81"/>
            <rFont val="Tahoma"/>
            <family val="2"/>
          </rPr>
          <t>casselau:</t>
        </r>
        <r>
          <rPr>
            <sz val="8"/>
            <color indexed="81"/>
            <rFont val="Tahoma"/>
            <family val="2"/>
          </rPr>
          <t xml:space="preserve">
international $61.7M (+47.6% y/y); domestic $92.6M (+7.8% y/y)</t>
        </r>
      </text>
    </comment>
    <comment ref="D123" authorId="11">
      <text>
        <r>
          <rPr>
            <b/>
            <sz val="8"/>
            <color indexed="81"/>
            <rFont val="Tahoma"/>
            <family val="2"/>
          </rPr>
          <t>casselau:</t>
        </r>
        <r>
          <rPr>
            <sz val="8"/>
            <color indexed="81"/>
            <rFont val="Tahoma"/>
            <family val="2"/>
          </rPr>
          <t xml:space="preserve">
including DTC $358.4M</t>
        </r>
      </text>
    </comment>
    <comment ref="J123" authorId="11">
      <text>
        <r>
          <rPr>
            <b/>
            <sz val="8"/>
            <color indexed="81"/>
            <rFont val="Tahoma"/>
            <family val="2"/>
          </rPr>
          <t>casselau:</t>
        </r>
        <r>
          <rPr>
            <sz val="8"/>
            <color indexed="81"/>
            <rFont val="Tahoma"/>
            <family val="2"/>
          </rPr>
          <t xml:space="preserve">
including DTC $674.9M</t>
        </r>
      </text>
    </comment>
    <comment ref="V123" authorId="11">
      <text>
        <r>
          <rPr>
            <b/>
            <sz val="8"/>
            <color indexed="81"/>
            <rFont val="Tahoma"/>
            <family val="2"/>
          </rPr>
          <t>casselau:</t>
        </r>
        <r>
          <rPr>
            <sz val="8"/>
            <color indexed="81"/>
            <rFont val="Tahoma"/>
            <family val="2"/>
          </rPr>
          <t xml:space="preserve">
international 61.5M (+25% y/y); domestic 113M (+3.6% y/y)</t>
        </r>
      </text>
    </comment>
    <comment ref="D124" authorId="11">
      <text>
        <r>
          <rPr>
            <b/>
            <sz val="8"/>
            <color indexed="81"/>
            <rFont val="Tahoma"/>
            <family val="2"/>
          </rPr>
          <t>casselau:</t>
        </r>
        <r>
          <rPr>
            <sz val="8"/>
            <color indexed="81"/>
            <rFont val="Tahoma"/>
            <family val="2"/>
          </rPr>
          <t xml:space="preserve">
$447M including DTC</t>
        </r>
      </text>
    </comment>
    <comment ref="J124" authorId="11">
      <text>
        <r>
          <rPr>
            <b/>
            <sz val="8"/>
            <color indexed="81"/>
            <rFont val="Tahoma"/>
            <family val="2"/>
          </rPr>
          <t>casselau:</t>
        </r>
        <r>
          <rPr>
            <sz val="8"/>
            <color indexed="81"/>
            <rFont val="Tahoma"/>
            <family val="2"/>
          </rPr>
          <t xml:space="preserve">
$852M including DTC</t>
        </r>
      </text>
    </comment>
    <comment ref="D125" authorId="11">
      <text>
        <r>
          <rPr>
            <b/>
            <sz val="8"/>
            <color indexed="81"/>
            <rFont val="Tahoma"/>
            <family val="2"/>
          </rPr>
          <t>casselau:</t>
        </r>
        <r>
          <rPr>
            <sz val="8"/>
            <color indexed="81"/>
            <rFont val="Tahoma"/>
            <family val="2"/>
          </rPr>
          <t xml:space="preserve">
2/26/14: $1,458M including DTC</t>
        </r>
      </text>
    </comment>
    <comment ref="H125" authorId="11">
      <text>
        <r>
          <rPr>
            <b/>
            <sz val="9"/>
            <color indexed="81"/>
            <rFont val="Tahoma"/>
            <family val="2"/>
          </rPr>
          <t>casselau:</t>
        </r>
        <r>
          <rPr>
            <sz val="9"/>
            <color indexed="81"/>
            <rFont val="Tahoma"/>
            <family val="2"/>
          </rPr>
          <t xml:space="preserve">
2/26/14: y/y decline predominantly the leverage effect of the negative comp, although merch margins were down a little bit; they took down AURs slightly in 4Q</t>
        </r>
      </text>
    </comment>
    <comment ref="J125" authorId="11">
      <text>
        <r>
          <rPr>
            <b/>
            <sz val="8"/>
            <color indexed="81"/>
            <rFont val="Tahoma"/>
            <family val="2"/>
          </rPr>
          <t>casselau:</t>
        </r>
        <r>
          <rPr>
            <sz val="8"/>
            <color indexed="81"/>
            <rFont val="Tahoma"/>
            <family val="2"/>
          </rPr>
          <t xml:space="preserve">
2/26/14: $2,659M including DTC</t>
        </r>
      </text>
    </comment>
    <comment ref="V125" authorId="11">
      <text>
        <r>
          <rPr>
            <b/>
            <sz val="8"/>
            <color indexed="81"/>
            <rFont val="Tahoma"/>
            <family val="2"/>
          </rPr>
          <t>casselau:</t>
        </r>
        <r>
          <rPr>
            <sz val="8"/>
            <color indexed="81"/>
            <rFont val="Tahoma"/>
            <family val="2"/>
          </rPr>
          <t xml:space="preserve">
2/26/14: US DTC +7%, intl +25%</t>
        </r>
      </text>
    </comment>
    <comment ref="D128" authorId="11">
      <text>
        <r>
          <rPr>
            <b/>
            <sz val="9"/>
            <color indexed="81"/>
            <rFont val="Tahoma"/>
            <family val="2"/>
          </rPr>
          <t>casselau:</t>
        </r>
        <r>
          <rPr>
            <sz val="9"/>
            <color indexed="81"/>
            <rFont val="Tahoma"/>
            <family val="2"/>
          </rPr>
          <t xml:space="preserve">
5/29/14: $318M including DTC; store comp -14%
Europe $235.614M
Asia $82.418</t>
        </r>
      </text>
    </comment>
    <comment ref="J128" authorId="11">
      <text>
        <r>
          <rPr>
            <b/>
            <sz val="9"/>
            <color indexed="81"/>
            <rFont val="Tahoma"/>
            <family val="2"/>
          </rPr>
          <t xml:space="preserve">casselau:
</t>
        </r>
        <r>
          <rPr>
            <sz val="9"/>
            <color indexed="81"/>
            <rFont val="Tahoma"/>
            <family val="2"/>
          </rPr>
          <t>5/29/14: $504M including DTC; store comp -9%</t>
        </r>
      </text>
    </comment>
    <comment ref="V128" authorId="11">
      <text>
        <r>
          <rPr>
            <b/>
            <sz val="9"/>
            <color indexed="81"/>
            <rFont val="Tahoma"/>
            <family val="2"/>
          </rPr>
          <t>casselau:</t>
        </r>
        <r>
          <rPr>
            <sz val="9"/>
            <color indexed="81"/>
            <rFont val="Tahoma"/>
            <family val="2"/>
          </rPr>
          <t xml:space="preserve">
US DTC +22%, Int'l DTC +37%; total +27%</t>
        </r>
      </text>
    </comment>
    <comment ref="Z128" authorId="11">
      <text>
        <r>
          <rPr>
            <b/>
            <sz val="9"/>
            <color indexed="81"/>
            <rFont val="Tahoma"/>
            <family val="2"/>
          </rPr>
          <t>casselau:</t>
        </r>
        <r>
          <rPr>
            <sz val="9"/>
            <color indexed="81"/>
            <rFont val="Tahoma"/>
            <family val="2"/>
          </rPr>
          <t xml:space="preserve">
three drivers 1) merch margin lower y/y, 2) invested more in S&amp;H promos, 3) marketing investments (expanded digital marketing into Europe/Asia)</t>
        </r>
      </text>
    </comment>
    <comment ref="D129" authorId="11">
      <text>
        <r>
          <rPr>
            <b/>
            <sz val="9"/>
            <color indexed="81"/>
            <rFont val="Tahoma"/>
            <family val="2"/>
          </rPr>
          <t>casselau:</t>
        </r>
        <r>
          <rPr>
            <sz val="9"/>
            <color indexed="81"/>
            <rFont val="Tahoma"/>
            <family val="2"/>
          </rPr>
          <t xml:space="preserve">
8/28/14: $345M including eComm; stores -16%</t>
        </r>
      </text>
    </comment>
    <comment ref="J129" authorId="11">
      <text>
        <r>
          <rPr>
            <b/>
            <sz val="9"/>
            <color indexed="81"/>
            <rFont val="Tahoma"/>
            <family val="2"/>
          </rPr>
          <t>casselau:</t>
        </r>
        <r>
          <rPr>
            <sz val="9"/>
            <color indexed="81"/>
            <rFont val="Tahoma"/>
            <family val="2"/>
          </rPr>
          <t xml:space="preserve">
8/28/14: $546M including DTC; stores -8%; US tourist stores
performed somewhat below the US chain stores, but better than the international stores for the quarter. And that was relatively consistent with
the first quarter</t>
        </r>
      </text>
    </comment>
    <comment ref="T129" authorId="11">
      <text>
        <r>
          <rPr>
            <b/>
            <sz val="9"/>
            <color indexed="81"/>
            <rFont val="Tahoma"/>
            <family val="2"/>
          </rPr>
          <t>casselau:</t>
        </r>
        <r>
          <rPr>
            <sz val="9"/>
            <color indexed="81"/>
            <rFont val="Tahoma"/>
            <family val="2"/>
          </rPr>
          <t xml:space="preserve">
8/28/14: S&amp;H is biggest driver of the lack of flow-through to the bottom line in terms of the
sales improvement that you are seeing in the segment.</t>
        </r>
      </text>
    </comment>
    <comment ref="V129" authorId="11">
      <text>
        <r>
          <rPr>
            <b/>
            <sz val="9"/>
            <color indexed="81"/>
            <rFont val="Tahoma"/>
            <family val="2"/>
          </rPr>
          <t>casselau:</t>
        </r>
        <r>
          <rPr>
            <sz val="9"/>
            <color indexed="81"/>
            <rFont val="Tahoma"/>
            <family val="2"/>
          </rPr>
          <t xml:space="preserve">
8/28/14: US DTC +5%, Int'l DTC +21%; total +11%</t>
        </r>
      </text>
    </comment>
    <comment ref="D130" authorId="11">
      <text>
        <r>
          <rPr>
            <b/>
            <sz val="9"/>
            <color indexed="81"/>
            <rFont val="Tahoma"/>
            <family val="2"/>
          </rPr>
          <t>casselau:</t>
        </r>
        <r>
          <rPr>
            <sz val="9"/>
            <color indexed="81"/>
            <rFont val="Tahoma"/>
            <family val="2"/>
          </rPr>
          <t xml:space="preserve">
12/3/14: $317 including DTC; store only comp -22%</t>
        </r>
      </text>
    </comment>
    <comment ref="J130" authorId="11">
      <text>
        <r>
          <rPr>
            <b/>
            <sz val="9"/>
            <color indexed="81"/>
            <rFont val="Tahoma"/>
            <family val="2"/>
          </rPr>
          <t>casselau:</t>
        </r>
        <r>
          <rPr>
            <sz val="9"/>
            <color indexed="81"/>
            <rFont val="Tahoma"/>
            <family val="2"/>
          </rPr>
          <t xml:space="preserve">
12/3/14: $594M including DTC; store only comp -10%</t>
        </r>
      </text>
    </comment>
    <comment ref="V130" authorId="11">
      <text>
        <r>
          <rPr>
            <b/>
            <sz val="9"/>
            <color indexed="81"/>
            <rFont val="Tahoma"/>
            <family val="2"/>
          </rPr>
          <t>casselau:</t>
        </r>
        <r>
          <rPr>
            <sz val="9"/>
            <color indexed="81"/>
            <rFont val="Tahoma"/>
            <family val="2"/>
          </rPr>
          <t xml:space="preserve">
12/3/14: US DTC +5%, intl +15%, total +8%</t>
        </r>
      </text>
    </comment>
    <comment ref="Z130" authorId="11">
      <text>
        <r>
          <rPr>
            <b/>
            <sz val="9"/>
            <color indexed="81"/>
            <rFont val="Tahoma"/>
            <family val="2"/>
          </rPr>
          <t>casselau:</t>
        </r>
        <r>
          <rPr>
            <sz val="9"/>
            <color indexed="81"/>
            <rFont val="Tahoma"/>
            <family val="2"/>
          </rPr>
          <t xml:space="preserve">
12/3/14: dealing with impact of logo, S&amp;H costs, and discrete investments including startup costs in Asia</t>
        </r>
      </text>
    </comment>
    <comment ref="D131" authorId="11">
      <text>
        <r>
          <rPr>
            <b/>
            <sz val="9"/>
            <color indexed="81"/>
            <rFont val="Tahoma"/>
            <family val="2"/>
          </rPr>
          <t>casselau:</t>
        </r>
        <r>
          <rPr>
            <sz val="9"/>
            <color indexed="81"/>
            <rFont val="Tahoma"/>
            <family val="2"/>
          </rPr>
          <t xml:space="preserve">
$357M including DTC (stores -20%, DTC -5%)</t>
        </r>
      </text>
    </comment>
    <comment ref="J131" authorId="11">
      <text>
        <r>
          <rPr>
            <b/>
            <sz val="9"/>
            <color indexed="81"/>
            <rFont val="Tahoma"/>
            <family val="2"/>
          </rPr>
          <t>casselau:</t>
        </r>
        <r>
          <rPr>
            <sz val="9"/>
            <color indexed="81"/>
            <rFont val="Tahoma"/>
            <family val="2"/>
          </rPr>
          <t xml:space="preserve">
$763M including DTC (stores -10%, DTC +4%)</t>
        </r>
      </text>
    </comment>
    <comment ref="D132" authorId="11">
      <text>
        <r>
          <rPr>
            <b/>
            <sz val="9"/>
            <color indexed="81"/>
            <rFont val="Tahoma"/>
            <family val="2"/>
          </rPr>
          <t>casselau:</t>
        </r>
        <r>
          <rPr>
            <sz val="9"/>
            <color indexed="81"/>
            <rFont val="Tahoma"/>
            <family val="2"/>
          </rPr>
          <t xml:space="preserve">
$1.336B including DTC (stores -18%, DTC +13%)</t>
        </r>
      </text>
    </comment>
    <comment ref="J132" authorId="11">
      <text>
        <r>
          <rPr>
            <b/>
            <sz val="9"/>
            <color indexed="81"/>
            <rFont val="Tahoma"/>
            <family val="2"/>
          </rPr>
          <t>casselau:</t>
        </r>
        <r>
          <rPr>
            <sz val="9"/>
            <color indexed="81"/>
            <rFont val="Tahoma"/>
            <family val="2"/>
          </rPr>
          <t xml:space="preserve">
$2.408B including DTC (stores -9%, DTC +8%)</t>
        </r>
      </text>
    </comment>
    <comment ref="N132" authorId="11">
      <text>
        <r>
          <rPr>
            <b/>
            <sz val="9"/>
            <color indexed="81"/>
            <rFont val="Tahoma"/>
            <family val="2"/>
          </rPr>
          <t>casselau:</t>
        </r>
        <r>
          <rPr>
            <sz val="9"/>
            <color indexed="81"/>
            <rFont val="Tahoma"/>
            <family val="2"/>
          </rPr>
          <t xml:space="preserve">
3/3/15: driven by profit improvement initiatives; stabalized AUR, AUC improved</t>
        </r>
      </text>
    </comment>
    <comment ref="Y132" authorId="11">
      <text>
        <r>
          <rPr>
            <b/>
            <sz val="9"/>
            <color indexed="81"/>
            <rFont val="Tahoma"/>
            <family val="2"/>
          </rPr>
          <t>casselau:</t>
        </r>
        <r>
          <rPr>
            <sz val="9"/>
            <color indexed="81"/>
            <rFont val="Tahoma"/>
            <family val="2"/>
          </rPr>
          <t xml:space="preserve">
8/28/14: we do expect on a full-year basis that we will see incremental operating profit from DTC</t>
        </r>
      </text>
    </comment>
    <comment ref="Z132" authorId="11">
      <text>
        <r>
          <rPr>
            <b/>
            <sz val="9"/>
            <color indexed="81"/>
            <rFont val="Tahoma"/>
            <family val="2"/>
          </rPr>
          <t>casselau:
12/3/14: expect low to mid-30s</t>
        </r>
        <r>
          <rPr>
            <sz val="9"/>
            <color indexed="81"/>
            <rFont val="Tahoma"/>
            <family val="2"/>
          </rPr>
          <t xml:space="preserve">
5/29/14: expect margin in mid-30's</t>
        </r>
      </text>
    </comment>
    <comment ref="D135" authorId="11">
      <text>
        <r>
          <rPr>
            <b/>
            <sz val="9"/>
            <color indexed="81"/>
            <rFont val="Tahoma"/>
            <family val="2"/>
          </rPr>
          <t>casselau:
Intl -9% comp</t>
        </r>
        <r>
          <rPr>
            <sz val="9"/>
            <color indexed="81"/>
            <rFont val="Tahoma"/>
            <family val="2"/>
          </rPr>
          <t xml:space="preserve">
estimate store only ~$192.3M
$166.084 Europe
$94.449 Asia</t>
        </r>
      </text>
    </comment>
    <comment ref="H135" authorId="11">
      <text>
        <r>
          <rPr>
            <b/>
            <sz val="9"/>
            <color indexed="81"/>
            <rFont val="Tahoma"/>
            <family val="2"/>
          </rPr>
          <t>casselau:</t>
        </r>
        <r>
          <rPr>
            <sz val="9"/>
            <color indexed="81"/>
            <rFont val="Tahoma"/>
            <family val="2"/>
          </rPr>
          <t xml:space="preserve">
5/28/15: The selling margin rates internationally declined related to the price decreases as well as the
impact of the foreign currency fluctuations we saw in the quarter</t>
        </r>
      </text>
    </comment>
    <comment ref="J135" authorId="11">
      <text>
        <r>
          <rPr>
            <b/>
            <sz val="9"/>
            <color indexed="81"/>
            <rFont val="Tahoma"/>
            <family val="2"/>
          </rPr>
          <t>casselau:
US -7% comp</t>
        </r>
        <r>
          <rPr>
            <sz val="9"/>
            <color indexed="81"/>
            <rFont val="Tahoma"/>
            <family val="2"/>
          </rPr>
          <t xml:space="preserve">
estimate store only ~$353.9m</t>
        </r>
      </text>
    </comment>
    <comment ref="N135" authorId="11">
      <text>
        <r>
          <rPr>
            <b/>
            <sz val="9"/>
            <color indexed="81"/>
            <rFont val="Tahoma"/>
            <family val="2"/>
          </rPr>
          <t>casselau:</t>
        </r>
        <r>
          <rPr>
            <sz val="9"/>
            <color indexed="81"/>
            <rFont val="Tahoma"/>
            <family val="2"/>
          </rPr>
          <t xml:space="preserve">
5/28/15: With the stability in the AUR and the US business, the selling margin rates -- and with the averaging of costs coming down across all markets, we are seeing those selling margin rates come closer together, so improvement in
the US market</t>
        </r>
      </text>
    </comment>
    <comment ref="W135" authorId="11">
      <text>
        <r>
          <rPr>
            <b/>
            <sz val="9"/>
            <color indexed="81"/>
            <rFont val="Tahoma"/>
            <family val="2"/>
          </rPr>
          <t>casselau:</t>
        </r>
        <r>
          <rPr>
            <sz val="9"/>
            <color indexed="81"/>
            <rFont val="Tahoma"/>
            <family val="2"/>
          </rPr>
          <t xml:space="preserve">
5/28/15: international DTC business return to healthy growth while the US business was slightly negative as we were less promotional during the quarter versus last year. </t>
        </r>
      </text>
    </comment>
    <comment ref="D136" authorId="11">
      <text>
        <r>
          <rPr>
            <b/>
            <sz val="9"/>
            <color indexed="81"/>
            <rFont val="Tahoma"/>
            <family val="2"/>
          </rPr>
          <t>casselau:</t>
        </r>
        <r>
          <rPr>
            <sz val="9"/>
            <color indexed="81"/>
            <rFont val="Tahoma"/>
            <family val="2"/>
          </rPr>
          <t xml:space="preserve">
Intl -4% comp</t>
        </r>
      </text>
    </comment>
    <comment ref="H136" authorId="11">
      <text>
        <r>
          <rPr>
            <b/>
            <sz val="9"/>
            <color indexed="81"/>
            <rFont val="Tahoma"/>
            <family val="2"/>
          </rPr>
          <t>casselau:</t>
        </r>
        <r>
          <rPr>
            <sz val="9"/>
            <color indexed="81"/>
            <rFont val="Tahoma"/>
            <family val="2"/>
          </rPr>
          <t xml:space="preserve">
int'l AUR's declined due to pricing adjustments and lower FX rates  </t>
        </r>
      </text>
    </comment>
    <comment ref="J136" authorId="11">
      <text>
        <r>
          <rPr>
            <b/>
            <sz val="9"/>
            <color indexed="81"/>
            <rFont val="Tahoma"/>
            <family val="2"/>
          </rPr>
          <t>casselau:</t>
        </r>
        <r>
          <rPr>
            <sz val="9"/>
            <color indexed="81"/>
            <rFont val="Tahoma"/>
            <family val="2"/>
          </rPr>
          <t xml:space="preserve">
US -4% comp</t>
        </r>
      </text>
    </comment>
    <comment ref="N136" authorId="11">
      <text>
        <r>
          <rPr>
            <b/>
            <sz val="9"/>
            <color indexed="81"/>
            <rFont val="Tahoma"/>
            <family val="2"/>
          </rPr>
          <t>casselau:</t>
        </r>
        <r>
          <rPr>
            <sz val="9"/>
            <color indexed="81"/>
            <rFont val="Tahoma"/>
            <family val="2"/>
          </rPr>
          <t xml:space="preserve">
AUR in the US stabilized </t>
        </r>
      </text>
    </comment>
    <comment ref="T136" authorId="11">
      <text>
        <r>
          <rPr>
            <b/>
            <sz val="9"/>
            <color indexed="81"/>
            <rFont val="Tahoma"/>
            <family val="2"/>
          </rPr>
          <t>casselau:</t>
        </r>
        <r>
          <rPr>
            <sz val="9"/>
            <color indexed="81"/>
            <rFont val="Tahoma"/>
            <family val="2"/>
          </rPr>
          <t xml:space="preserve">
8/28/14: S&amp;H is biggest driver of the lack of flow-through to the bottom line in terms of the
sales improvement that you are seeing in the segment.</t>
        </r>
      </text>
    </comment>
    <comment ref="D137" authorId="11">
      <text>
        <r>
          <rPr>
            <b/>
            <sz val="9"/>
            <color indexed="81"/>
            <rFont val="Tahoma"/>
            <family val="2"/>
          </rPr>
          <t>casselau:</t>
        </r>
        <r>
          <rPr>
            <sz val="9"/>
            <color indexed="81"/>
            <rFont val="Tahoma"/>
            <family val="2"/>
          </rPr>
          <t xml:space="preserve">
Intl +1% comp</t>
        </r>
      </text>
    </comment>
    <comment ref="H137" authorId="11">
      <text>
        <r>
          <rPr>
            <b/>
            <sz val="9"/>
            <color indexed="81"/>
            <rFont val="Tahoma"/>
            <family val="2"/>
          </rPr>
          <t>casselau:</t>
        </r>
        <r>
          <rPr>
            <sz val="9"/>
            <color indexed="81"/>
            <rFont val="Tahoma"/>
            <family val="2"/>
          </rPr>
          <t xml:space="preserve">
11/20/15: We also mentioned that AUR, on a constant currency basis, is essentially flat in our international markets
in the third quarter, which -- with higher full-price selling and mix of business offsetting those price declines. So we are happy with the four-wall margin. Obviously with a flat AUR we were pleased with the margin performance in the international markets overall.</t>
        </r>
      </text>
    </comment>
    <comment ref="J137" authorId="11">
      <text>
        <r>
          <rPr>
            <b/>
            <sz val="9"/>
            <color indexed="81"/>
            <rFont val="Tahoma"/>
            <family val="2"/>
          </rPr>
          <t>casselau:</t>
        </r>
        <r>
          <rPr>
            <sz val="9"/>
            <color indexed="81"/>
            <rFont val="Tahoma"/>
            <family val="2"/>
          </rPr>
          <t xml:space="preserve">
US -3% comp</t>
        </r>
      </text>
    </comment>
    <comment ref="N137" authorId="11">
      <text>
        <r>
          <rPr>
            <b/>
            <sz val="9"/>
            <color indexed="81"/>
            <rFont val="Tahoma"/>
            <family val="2"/>
          </rPr>
          <t>casselau:</t>
        </r>
        <r>
          <rPr>
            <sz val="9"/>
            <color indexed="81"/>
            <rFont val="Tahoma"/>
            <family val="2"/>
          </rPr>
          <t xml:space="preserve">
Hollister margins higher</t>
        </r>
      </text>
    </comment>
    <comment ref="D138" authorId="11">
      <text>
        <r>
          <rPr>
            <b/>
            <sz val="9"/>
            <color indexed="81"/>
            <rFont val="Tahoma"/>
            <family val="2"/>
          </rPr>
          <t>casselau:</t>
        </r>
        <r>
          <rPr>
            <sz val="9"/>
            <color indexed="81"/>
            <rFont val="Tahoma"/>
            <family val="2"/>
          </rPr>
          <t xml:space="preserve">
Intl +6% comp; In Europe, we saw an acceleration in comp growth driven by the UK and
Germany where business was very strong throughout the quarter. In Asia, comps were positive driven by strong performance in China.</t>
        </r>
      </text>
    </comment>
    <comment ref="J138" authorId="11">
      <text>
        <r>
          <rPr>
            <b/>
            <sz val="9"/>
            <color indexed="81"/>
            <rFont val="Tahoma"/>
            <family val="2"/>
          </rPr>
          <t>casselau:</t>
        </r>
        <r>
          <rPr>
            <sz val="9"/>
            <color indexed="81"/>
            <rFont val="Tahoma"/>
            <family val="2"/>
          </rPr>
          <t xml:space="preserve">
US -1% comp</t>
        </r>
      </text>
    </comment>
    <comment ref="D139" authorId="11">
      <text>
        <r>
          <rPr>
            <b/>
            <sz val="9"/>
            <color indexed="81"/>
            <rFont val="Tahoma"/>
            <family val="2"/>
          </rPr>
          <t>casselau:</t>
        </r>
        <r>
          <rPr>
            <sz val="9"/>
            <color indexed="81"/>
            <rFont val="Tahoma"/>
            <family val="2"/>
          </rPr>
          <t xml:space="preserve">
Intl -1% comp</t>
        </r>
      </text>
    </comment>
    <comment ref="J139" authorId="11">
      <text>
        <r>
          <rPr>
            <b/>
            <sz val="9"/>
            <color indexed="81"/>
            <rFont val="Tahoma"/>
            <family val="2"/>
          </rPr>
          <t>casselau:</t>
        </r>
        <r>
          <rPr>
            <sz val="9"/>
            <color indexed="81"/>
            <rFont val="Tahoma"/>
            <family val="2"/>
          </rPr>
          <t xml:space="preserve">
US -3% comp</t>
        </r>
      </text>
    </comment>
    <comment ref="N139" authorId="11">
      <text>
        <r>
          <rPr>
            <b/>
            <sz val="9"/>
            <color indexed="81"/>
            <rFont val="Tahoma"/>
            <family val="2"/>
          </rPr>
          <t>casselau:</t>
        </r>
        <r>
          <rPr>
            <sz val="9"/>
            <color indexed="81"/>
            <rFont val="Tahoma"/>
            <family val="2"/>
          </rPr>
          <t xml:space="preserve">
3/3/15: driven by profit improvement initiatives; stabalized AUR, AUC improved</t>
        </r>
      </text>
    </comment>
    <comment ref="Y139" authorId="11">
      <text>
        <r>
          <rPr>
            <b/>
            <sz val="9"/>
            <color indexed="81"/>
            <rFont val="Tahoma"/>
            <family val="2"/>
          </rPr>
          <t>casselau:</t>
        </r>
        <r>
          <rPr>
            <sz val="9"/>
            <color indexed="81"/>
            <rFont val="Tahoma"/>
            <family val="2"/>
          </rPr>
          <t xml:space="preserve">
8/28/14: we do expect on a full-year basis that we will see incremental operating profit from DTC</t>
        </r>
      </text>
    </comment>
    <comment ref="Z139" authorId="11">
      <text>
        <r>
          <rPr>
            <b/>
            <sz val="9"/>
            <color indexed="81"/>
            <rFont val="Tahoma"/>
            <family val="2"/>
          </rPr>
          <t>casselau:
12/3/14: expect low to mid-30s</t>
        </r>
        <r>
          <rPr>
            <sz val="9"/>
            <color indexed="81"/>
            <rFont val="Tahoma"/>
            <family val="2"/>
          </rPr>
          <t xml:space="preserve">
5/29/14: expect margin in mid-30's</t>
        </r>
      </text>
    </comment>
    <comment ref="W142" authorId="11">
      <text>
        <r>
          <rPr>
            <b/>
            <sz val="9"/>
            <color indexed="81"/>
            <rFont val="Tahoma"/>
            <family val="2"/>
          </rPr>
          <t>casselau:</t>
        </r>
        <r>
          <rPr>
            <sz val="9"/>
            <color indexed="81"/>
            <rFont val="Tahoma"/>
            <family val="2"/>
          </rPr>
          <t xml:space="preserve">
5/28/15: international DTC business return to healthy growth while the US business was slightly negative as we were less promotional during the quarter versus last year. </t>
        </r>
      </text>
    </comment>
  </commentList>
</comments>
</file>

<file path=xl/comments3.xml><?xml version="1.0" encoding="utf-8"?>
<comments xmlns="http://schemas.openxmlformats.org/spreadsheetml/2006/main">
  <authors>
    <author>dliu</author>
    <author>Brian Lloyd</author>
    <author>plejuez</author>
    <author>Lehman Brothers</author>
    <author>Corinna Freedman</author>
    <author>Kimberly Greenberger</author>
    <author>MB33100</author>
    <author>oc48540</author>
    <author>OC48540</author>
    <author>sw50536</author>
    <author>mm98285</author>
    <author>TI23070</author>
    <author>ns66486</author>
    <author>nicholjs</author>
    <author>NS66486</author>
    <author>sancfa</author>
    <author>solejay</author>
    <author>casselau</author>
    <author>kahng</author>
    <author>Cassel, Lauren (Research)</author>
    <author>Roberts, Cynthia (Research)</author>
  </authors>
  <commentList>
    <comment ref="AP48" authorId="0">
      <text>
        <r>
          <rPr>
            <b/>
            <sz val="8"/>
            <color indexed="81"/>
            <rFont val="Tahoma"/>
            <family val="2"/>
          </rPr>
          <t>dliu:</t>
        </r>
        <r>
          <rPr>
            <sz val="8"/>
            <color indexed="81"/>
            <rFont val="Tahoma"/>
            <family val="2"/>
          </rPr>
          <t xml:space="preserve">
1Q thru 3Q are not restated for EITF chg in shipping and handling… restated YEAR number is $47 mm as shown on yrSales tab</t>
        </r>
      </text>
    </comment>
    <comment ref="AP55" authorId="0">
      <text>
        <r>
          <rPr>
            <b/>
            <sz val="8"/>
            <color indexed="81"/>
            <rFont val="Tahoma"/>
            <family val="2"/>
          </rPr>
          <t>dliu:</t>
        </r>
        <r>
          <rPr>
            <sz val="8"/>
            <color indexed="81"/>
            <rFont val="Tahoma"/>
            <family val="2"/>
          </rPr>
          <t xml:space="preserve">
1Q thru 3Q are not restated for EITF chg in shipping and handling… restated YEAR number is $47 mm as shown on yrSales tab</t>
        </r>
      </text>
    </comment>
    <comment ref="J56" authorId="1">
      <text>
        <r>
          <rPr>
            <b/>
            <sz val="8"/>
            <color indexed="81"/>
            <rFont val="Tahoma"/>
            <family val="2"/>
          </rPr>
          <t>Brian Lloyd:</t>
        </r>
        <r>
          <rPr>
            <sz val="8"/>
            <color indexed="81"/>
            <rFont val="Tahoma"/>
            <family val="2"/>
          </rPr>
          <t xml:space="preserve">
238 AF, 55 a, 1 h</t>
        </r>
      </text>
    </comment>
    <comment ref="J62" authorId="1">
      <text>
        <r>
          <rPr>
            <b/>
            <sz val="8"/>
            <color indexed="81"/>
            <rFont val="Tahoma"/>
            <family val="2"/>
          </rPr>
          <t>Brian Lloyd:</t>
        </r>
        <r>
          <rPr>
            <sz val="8"/>
            <color indexed="81"/>
            <rFont val="Tahoma"/>
            <family val="2"/>
          </rPr>
          <t xml:space="preserve">
includes 85 aber and 5 Hol</t>
        </r>
      </text>
    </comment>
    <comment ref="J63" authorId="2">
      <text>
        <r>
          <rPr>
            <b/>
            <sz val="8"/>
            <color indexed="81"/>
            <rFont val="Tahoma"/>
            <family val="2"/>
          </rPr>
          <t>plejuez:</t>
        </r>
        <r>
          <rPr>
            <sz val="8"/>
            <color indexed="81"/>
            <rFont val="Tahoma"/>
            <family val="2"/>
          </rPr>
          <t xml:space="preserve">
112 abercrombie
12 Hollister</t>
        </r>
      </text>
    </comment>
    <comment ref="J64" authorId="2">
      <text>
        <r>
          <rPr>
            <b/>
            <sz val="8"/>
            <color indexed="81"/>
            <rFont val="Tahoma"/>
            <family val="2"/>
          </rPr>
          <t>plejuez:</t>
        </r>
        <r>
          <rPr>
            <sz val="8"/>
            <color indexed="81"/>
            <rFont val="Tahoma"/>
            <family val="2"/>
          </rPr>
          <t xml:space="preserve">
133 aber
22 hol</t>
        </r>
      </text>
    </comment>
    <comment ref="J65" authorId="3">
      <text>
        <r>
          <rPr>
            <sz val="8"/>
            <color indexed="81"/>
            <rFont val="Tahoma"/>
            <family val="2"/>
          </rPr>
          <t xml:space="preserve">
opened 13 adult stores, 8 kids, and 12 H stores in Nov.</t>
        </r>
      </text>
    </comment>
    <comment ref="AP65" authorId="0">
      <text>
        <r>
          <rPr>
            <b/>
            <sz val="8"/>
            <color indexed="81"/>
            <rFont val="Tahoma"/>
            <family val="2"/>
          </rPr>
          <t>dliu:</t>
        </r>
        <r>
          <rPr>
            <sz val="8"/>
            <color indexed="81"/>
            <rFont val="Tahoma"/>
            <family val="2"/>
          </rPr>
          <t xml:space="preserve">
decrease as a result of not producing A&amp;F qrtrly in 4Q01 due to 9.11</t>
        </r>
      </text>
    </comment>
    <comment ref="J69" authorId="2">
      <text>
        <r>
          <rPr>
            <b/>
            <sz val="8"/>
            <color indexed="81"/>
            <rFont val="Tahoma"/>
            <family val="2"/>
          </rPr>
          <t>plejuez:</t>
        </r>
        <r>
          <rPr>
            <sz val="8"/>
            <color indexed="81"/>
            <rFont val="Tahoma"/>
            <family val="2"/>
          </rPr>
          <t xml:space="preserve">
4 A&amp;F
5 a
10 Hol</t>
        </r>
      </text>
    </comment>
    <comment ref="J70" authorId="2">
      <text>
        <r>
          <rPr>
            <b/>
            <sz val="8"/>
            <color indexed="81"/>
            <rFont val="Tahoma"/>
            <family val="2"/>
          </rPr>
          <t>plejuez:</t>
        </r>
        <r>
          <rPr>
            <sz val="8"/>
            <color indexed="81"/>
            <rFont val="Tahoma"/>
            <family val="2"/>
          </rPr>
          <t xml:space="preserve">
8 A&amp;F 
4 a
18 Hol</t>
        </r>
      </text>
    </comment>
    <comment ref="F71" authorId="3">
      <text>
        <r>
          <rPr>
            <b/>
            <sz val="8"/>
            <color indexed="81"/>
            <rFont val="Tahoma"/>
            <family val="2"/>
          </rPr>
          <t>Lehman Brothers:</t>
        </r>
        <r>
          <rPr>
            <sz val="8"/>
            <color indexed="81"/>
            <rFont val="Tahoma"/>
            <family val="2"/>
          </rPr>
          <t xml:space="preserve">
flat, (2.0), (5.7)</t>
        </r>
      </text>
    </comment>
    <comment ref="J71" authorId="2">
      <text>
        <r>
          <rPr>
            <b/>
            <sz val="8"/>
            <color indexed="81"/>
            <rFont val="Tahoma"/>
            <family val="2"/>
          </rPr>
          <t>plejuez:</t>
        </r>
        <r>
          <rPr>
            <sz val="8"/>
            <color indexed="81"/>
            <rFont val="Tahoma"/>
            <family val="2"/>
          </rPr>
          <t xml:space="preserve">
13 A&amp;F, 6 a, 20 Hol.
11/7/92: had 572. Co. opened 5 hollister stores on the last day of fiscal october </t>
        </r>
      </text>
    </comment>
    <comment ref="P71" authorId="3">
      <text>
        <r>
          <rPr>
            <b/>
            <sz val="8"/>
            <color indexed="81"/>
            <rFont val="Tahoma"/>
            <family val="2"/>
          </rPr>
          <t>Lehman Brothers:</t>
        </r>
        <r>
          <rPr>
            <sz val="8"/>
            <color indexed="81"/>
            <rFont val="Tahoma"/>
            <family val="2"/>
          </rPr>
          <t xml:space="preserve">
60</t>
        </r>
      </text>
    </comment>
    <comment ref="S71" authorId="3">
      <text>
        <r>
          <rPr>
            <b/>
            <sz val="8"/>
            <color indexed="81"/>
            <rFont val="Tahoma"/>
            <family val="2"/>
          </rPr>
          <t>Lehman Brothers:</t>
        </r>
        <r>
          <rPr>
            <sz val="8"/>
            <color indexed="81"/>
            <rFont val="Tahoma"/>
            <family val="2"/>
          </rPr>
          <t xml:space="preserve">
395.2</t>
        </r>
      </text>
    </comment>
    <comment ref="F72" authorId="3">
      <text>
        <r>
          <rPr>
            <sz val="8"/>
            <color indexed="81"/>
            <rFont val="Tahoma"/>
            <family val="2"/>
          </rPr>
          <t xml:space="preserve">
(5.0), -6.0, (4.5)</t>
        </r>
      </text>
    </comment>
    <comment ref="P72" authorId="3">
      <text>
        <r>
          <rPr>
            <sz val="8"/>
            <color indexed="81"/>
            <rFont val="Tahoma"/>
            <family val="2"/>
          </rPr>
          <t xml:space="preserve">
had 75</t>
        </r>
      </text>
    </comment>
    <comment ref="Z72" authorId="3">
      <text>
        <r>
          <rPr>
            <b/>
            <sz val="8"/>
            <color indexed="81"/>
            <rFont val="Tahoma"/>
            <family val="2"/>
          </rPr>
          <t>Lehman Brothers:</t>
        </r>
        <r>
          <rPr>
            <sz val="8"/>
            <color indexed="81"/>
            <rFont val="Tahoma"/>
            <family val="2"/>
          </rPr>
          <t xml:space="preserve">
need to fix in squft. This is actual per co!!</t>
        </r>
      </text>
    </comment>
    <comment ref="F76" authorId="0">
      <text>
        <r>
          <rPr>
            <b/>
            <sz val="8"/>
            <color indexed="81"/>
            <rFont val="Tahoma"/>
            <family val="2"/>
          </rPr>
          <t>dliu:</t>
        </r>
        <r>
          <rPr>
            <sz val="8"/>
            <color indexed="81"/>
            <rFont val="Tahoma"/>
            <family val="2"/>
          </rPr>
          <t xml:space="preserve">
(2), (3)</t>
        </r>
      </text>
    </comment>
    <comment ref="P76" authorId="0">
      <text>
        <r>
          <rPr>
            <b/>
            <sz val="8"/>
            <color indexed="81"/>
            <rFont val="Tahoma"/>
            <family val="2"/>
          </rPr>
          <t>dliu:</t>
        </r>
        <r>
          <rPr>
            <sz val="8"/>
            <color indexed="81"/>
            <rFont val="Tahoma"/>
            <family val="2"/>
          </rPr>
          <t xml:space="preserve">
75, 75</t>
        </r>
      </text>
    </comment>
    <comment ref="S76" authorId="0">
      <text>
        <r>
          <rPr>
            <b/>
            <sz val="8"/>
            <color indexed="81"/>
            <rFont val="Tahoma"/>
            <family val="2"/>
          </rPr>
          <t>dliu:</t>
        </r>
        <r>
          <rPr>
            <sz val="8"/>
            <color indexed="81"/>
            <rFont val="Tahoma"/>
            <family val="2"/>
          </rPr>
          <t xml:space="preserve">
350.9</t>
        </r>
      </text>
    </comment>
    <comment ref="F77" authorId="0">
      <text>
        <r>
          <rPr>
            <b/>
            <sz val="8"/>
            <color indexed="81"/>
            <rFont val="Tahoma"/>
            <family val="2"/>
          </rPr>
          <t>dliu:</t>
        </r>
        <r>
          <rPr>
            <sz val="8"/>
            <color indexed="81"/>
            <rFont val="Tahoma"/>
            <family val="2"/>
          </rPr>
          <t xml:space="preserve">
(4), (5)</t>
        </r>
      </text>
    </comment>
    <comment ref="S77" authorId="0">
      <text>
        <r>
          <rPr>
            <b/>
            <sz val="8"/>
            <color indexed="81"/>
            <rFont val="Tahoma"/>
            <family val="2"/>
          </rPr>
          <t>dliu:</t>
        </r>
        <r>
          <rPr>
            <sz val="8"/>
            <color indexed="81"/>
            <rFont val="Tahoma"/>
            <family val="2"/>
          </rPr>
          <t xml:space="preserve">
351.2</t>
        </r>
      </text>
    </comment>
    <comment ref="AP77" authorId="0">
      <text>
        <r>
          <rPr>
            <b/>
            <sz val="8"/>
            <color indexed="81"/>
            <rFont val="Tahoma"/>
            <family val="2"/>
          </rPr>
          <t>dliu:</t>
        </r>
        <r>
          <rPr>
            <sz val="8"/>
            <color indexed="81"/>
            <rFont val="Tahoma"/>
            <family val="2"/>
          </rPr>
          <t xml:space="preserve">
from 10-Q</t>
        </r>
      </text>
    </comment>
    <comment ref="F78" authorId="0">
      <text>
        <r>
          <rPr>
            <b/>
            <sz val="8"/>
            <color indexed="81"/>
            <rFont val="Tahoma"/>
            <family val="2"/>
          </rPr>
          <t>dliu:</t>
        </r>
        <r>
          <rPr>
            <sz val="8"/>
            <color indexed="81"/>
            <rFont val="Tahoma"/>
            <family val="2"/>
          </rPr>
          <t xml:space="preserve">
(7). This could either be (8) or (9). Unclear. Did  not say in press release what qtrly comp was</t>
        </r>
      </text>
    </comment>
    <comment ref="AP78" authorId="0">
      <text>
        <r>
          <rPr>
            <b/>
            <sz val="8"/>
            <color indexed="81"/>
            <rFont val="Tahoma"/>
            <family val="2"/>
          </rPr>
          <t>dliu:</t>
        </r>
        <r>
          <rPr>
            <sz val="8"/>
            <color indexed="81"/>
            <rFont val="Tahoma"/>
            <family val="2"/>
          </rPr>
          <t xml:space="preserve">
from 10-Q</t>
        </r>
      </text>
    </comment>
    <comment ref="F79" authorId="0">
      <text>
        <r>
          <rPr>
            <b/>
            <sz val="8"/>
            <color indexed="81"/>
            <rFont val="Tahoma"/>
            <family val="2"/>
          </rPr>
          <t>dliu:</t>
        </r>
        <r>
          <rPr>
            <sz val="8"/>
            <color indexed="81"/>
            <rFont val="Tahoma"/>
            <family val="2"/>
          </rPr>
          <t xml:space="preserve">
-9, -13</t>
        </r>
      </text>
    </comment>
    <comment ref="AP80" authorId="4">
      <text>
        <r>
          <rPr>
            <b/>
            <sz val="8"/>
            <color indexed="81"/>
            <rFont val="Tahoma"/>
            <family val="2"/>
          </rPr>
          <t>Corinna Freedman:</t>
        </r>
        <r>
          <rPr>
            <sz val="8"/>
            <color indexed="81"/>
            <rFont val="Tahoma"/>
            <family val="2"/>
          </rPr>
          <t xml:space="preserve">
includes S&amp;H</t>
        </r>
      </text>
    </comment>
    <comment ref="F83" authorId="0">
      <text>
        <r>
          <rPr>
            <b/>
            <sz val="8"/>
            <color indexed="81"/>
            <rFont val="Tahoma"/>
            <family val="2"/>
          </rPr>
          <t>dliu:</t>
        </r>
        <r>
          <rPr>
            <sz val="8"/>
            <color indexed="81"/>
            <rFont val="Tahoma"/>
            <family val="2"/>
          </rPr>
          <t xml:space="preserve">
(3),0,(1)</t>
        </r>
      </text>
    </comment>
    <comment ref="J83" authorId="5">
      <text>
        <r>
          <rPr>
            <b/>
            <sz val="8"/>
            <color indexed="81"/>
            <rFont val="Tahoma"/>
            <family val="2"/>
          </rPr>
          <t>Kimberly Greenberger:</t>
        </r>
        <r>
          <rPr>
            <sz val="8"/>
            <color indexed="81"/>
            <rFont val="Tahoma"/>
            <family val="2"/>
          </rPr>
          <t xml:space="preserve">
359 A&amp;F, 170 kids, 177 Hollister = 706
opened 4, closed 2 A&amp;F + opened 5 H + opened 1 kids, closed 2 kids</t>
        </r>
      </text>
    </comment>
    <comment ref="P83" authorId="0">
      <text>
        <r>
          <rPr>
            <b/>
            <sz val="8"/>
            <color indexed="81"/>
            <rFont val="Tahoma"/>
            <family val="2"/>
          </rPr>
          <t>dliu:</t>
        </r>
        <r>
          <rPr>
            <sz val="8"/>
            <color indexed="81"/>
            <rFont val="Tahoma"/>
            <family val="2"/>
          </rPr>
          <t xml:space="preserve">
90</t>
        </r>
      </text>
    </comment>
    <comment ref="S83" authorId="0">
      <text>
        <r>
          <rPr>
            <b/>
            <sz val="8"/>
            <color indexed="81"/>
            <rFont val="Tahoma"/>
            <family val="2"/>
          </rPr>
          <t xml:space="preserve">dliu: </t>
        </r>
        <r>
          <rPr>
            <sz val="8"/>
            <color indexed="81"/>
            <rFont val="Tahoma"/>
            <family val="2"/>
          </rPr>
          <t>379.5</t>
        </r>
      </text>
    </comment>
    <comment ref="J84" authorId="5">
      <text>
        <r>
          <rPr>
            <b/>
            <sz val="8"/>
            <color indexed="81"/>
            <rFont val="Tahoma"/>
            <family val="2"/>
          </rPr>
          <t>Kimberly Greenberger:</t>
        </r>
        <r>
          <rPr>
            <sz val="8"/>
            <color indexed="81"/>
            <rFont val="Tahoma"/>
            <family val="2"/>
          </rPr>
          <t xml:space="preserve">
359 A&amp;F
171 kids
197 H</t>
        </r>
      </text>
    </comment>
    <comment ref="P84" authorId="0">
      <text>
        <r>
          <rPr>
            <b/>
            <sz val="8"/>
            <color indexed="81"/>
            <rFont val="Tahoma"/>
            <family val="2"/>
          </rPr>
          <t>dliu:</t>
        </r>
        <r>
          <rPr>
            <sz val="8"/>
            <color indexed="81"/>
            <rFont val="Tahoma"/>
            <family val="2"/>
          </rPr>
          <t xml:space="preserve">
105
</t>
        </r>
      </text>
    </comment>
    <comment ref="J85" authorId="5">
      <text>
        <r>
          <rPr>
            <b/>
            <sz val="8"/>
            <color indexed="81"/>
            <rFont val="Tahoma"/>
            <family val="2"/>
          </rPr>
          <t>Kimberly Greenberger:</t>
        </r>
        <r>
          <rPr>
            <sz val="8"/>
            <color indexed="81"/>
            <rFont val="Tahoma"/>
            <family val="2"/>
          </rPr>
          <t xml:space="preserve">
363 A&amp;F
174 kids
224 H
3 R
total 764
</t>
        </r>
        <r>
          <rPr>
            <b/>
            <sz val="8"/>
            <color indexed="81"/>
            <rFont val="Tahoma"/>
            <family val="2"/>
          </rPr>
          <t>prev est 767</t>
        </r>
      </text>
    </comment>
    <comment ref="J86" authorId="5">
      <text>
        <r>
          <rPr>
            <b/>
            <sz val="8"/>
            <color indexed="81"/>
            <rFont val="Tahoma"/>
            <family val="2"/>
          </rPr>
          <t>Kimberly Greenberger:</t>
        </r>
        <r>
          <rPr>
            <sz val="8"/>
            <color indexed="81"/>
            <rFont val="Tahoma"/>
            <family val="2"/>
          </rPr>
          <t xml:space="preserve">
356 A&amp;F
171 kids
256 H
4 R
= 787</t>
        </r>
      </text>
    </comment>
    <comment ref="J90" authorId="4">
      <text>
        <r>
          <rPr>
            <b/>
            <sz val="8"/>
            <color indexed="81"/>
            <rFont val="Tahoma"/>
            <family val="2"/>
          </rPr>
          <t>Corinna Freedman:</t>
        </r>
        <r>
          <rPr>
            <sz val="8"/>
            <color indexed="81"/>
            <rFont val="Tahoma"/>
            <family val="2"/>
          </rPr>
          <t xml:space="preserve">
351 A&amp;F, 167 kids, 260 Holl, &amp; 5 Ruehl</t>
        </r>
      </text>
    </comment>
    <comment ref="J91" authorId="4">
      <text>
        <r>
          <rPr>
            <b/>
            <sz val="8"/>
            <color indexed="81"/>
            <rFont val="Tahoma"/>
            <family val="2"/>
          </rPr>
          <t>Corinna Freedman:</t>
        </r>
        <r>
          <rPr>
            <sz val="8"/>
            <color indexed="81"/>
            <rFont val="Tahoma"/>
            <family val="2"/>
          </rPr>
          <t xml:space="preserve">
355 core,163 kids, 281H and 5 Ruehl</t>
        </r>
      </text>
    </comment>
    <comment ref="J93" authorId="6">
      <text>
        <r>
          <rPr>
            <b/>
            <sz val="8"/>
            <color indexed="81"/>
            <rFont val="Tahoma"/>
            <family val="2"/>
          </rPr>
          <t>MB33100:</t>
        </r>
        <r>
          <rPr>
            <sz val="8"/>
            <color indexed="81"/>
            <rFont val="Tahoma"/>
            <family val="2"/>
          </rPr>
          <t xml:space="preserve">
361 A&amp;F, 164 kids, 318 Hollister, 8 Ruehl</t>
        </r>
      </text>
    </comment>
    <comment ref="AS104" authorId="7">
      <text>
        <r>
          <rPr>
            <b/>
            <sz val="8"/>
            <color indexed="81"/>
            <rFont val="Tahoma"/>
            <family val="2"/>
          </rPr>
          <t>oc48540:</t>
        </r>
        <r>
          <rPr>
            <sz val="8"/>
            <color indexed="81"/>
            <rFont val="Tahoma"/>
            <family val="2"/>
          </rPr>
          <t xml:space="preserve">
kg51925:
1Q07 conf call indicated direct sales +43% to $43.5mm</t>
        </r>
      </text>
    </comment>
    <comment ref="F105" authorId="7">
      <text>
        <r>
          <rPr>
            <b/>
            <sz val="8"/>
            <color indexed="81"/>
            <rFont val="Tahoma"/>
            <family val="2"/>
          </rPr>
          <t>oc48540:</t>
        </r>
        <r>
          <rPr>
            <sz val="8"/>
            <color indexed="81"/>
            <rFont val="Tahoma"/>
            <family val="2"/>
          </rPr>
          <t xml:space="preserve">
est -2.1%</t>
        </r>
      </text>
    </comment>
    <comment ref="AS105" authorId="8">
      <text>
        <r>
          <rPr>
            <b/>
            <sz val="8"/>
            <color indexed="81"/>
            <rFont val="Tahoma"/>
            <family val="2"/>
          </rPr>
          <t>OC48540:</t>
        </r>
        <r>
          <rPr>
            <sz val="8"/>
            <color indexed="81"/>
            <rFont val="Tahoma"/>
            <family val="2"/>
          </rPr>
          <t xml:space="preserve">
66%, increase driven by UK direct to consumer sales assoc. with London store opening, enhancements made to website, and improved in-stock inventory as a result of targeted email strategy</t>
        </r>
      </text>
    </comment>
    <comment ref="AS106" authorId="9">
      <text>
        <r>
          <rPr>
            <b/>
            <sz val="8"/>
            <color indexed="81"/>
            <rFont val="Tahoma"/>
            <family val="2"/>
          </rPr>
          <t>sw50536:</t>
        </r>
        <r>
          <rPr>
            <sz val="8"/>
            <color indexed="81"/>
            <rFont val="Tahoma"/>
            <family val="2"/>
          </rPr>
          <t xml:space="preserve">
kg: Tom Lennox indicated $63.1mm excludes S&amp;H rev</t>
        </r>
      </text>
    </comment>
    <comment ref="AT106" authorId="10">
      <text>
        <r>
          <rPr>
            <b/>
            <sz val="8"/>
            <color indexed="81"/>
            <rFont val="Tahoma"/>
            <family val="2"/>
          </rPr>
          <t>mm98285:</t>
        </r>
        <r>
          <rPr>
            <sz val="8"/>
            <color indexed="81"/>
            <rFont val="Tahoma"/>
            <family val="2"/>
          </rPr>
          <t xml:space="preserve">
Aug. +54%
Sept +42%
Oct +50%</t>
        </r>
      </text>
    </comment>
    <comment ref="AT107" authorId="8">
      <text>
        <r>
          <rPr>
            <b/>
            <sz val="8"/>
            <color indexed="81"/>
            <rFont val="Tahoma"/>
            <family val="2"/>
          </rPr>
          <t xml:space="preserve">OC48540:
</t>
        </r>
        <r>
          <rPr>
            <sz val="8"/>
            <color indexed="81"/>
            <rFont val="Tahoma"/>
            <family val="2"/>
          </rPr>
          <t xml:space="preserve">4Q dtc +45%
Nov  +78%
Dec  +35%
</t>
        </r>
      </text>
    </comment>
    <comment ref="AT111" authorId="10">
      <text>
        <r>
          <rPr>
            <b/>
            <sz val="8"/>
            <color indexed="81"/>
            <rFont val="Tahoma"/>
            <family val="2"/>
          </rPr>
          <t>mm98285:</t>
        </r>
        <r>
          <rPr>
            <sz val="8"/>
            <color indexed="81"/>
            <rFont val="Tahoma"/>
            <family val="2"/>
          </rPr>
          <t xml:space="preserve">
feb +39%
Mar +45%
April +47% to $20.0mm</t>
        </r>
      </text>
    </comment>
    <comment ref="AT112" authorId="10">
      <text>
        <r>
          <rPr>
            <b/>
            <sz val="8"/>
            <color indexed="81"/>
            <rFont val="Tahoma"/>
            <family val="2"/>
          </rPr>
          <t>mm98285:</t>
        </r>
        <r>
          <rPr>
            <sz val="8"/>
            <color indexed="81"/>
            <rFont val="Tahoma"/>
            <family val="2"/>
          </rPr>
          <t xml:space="preserve">
May: +35%, June +21%, July +14%</t>
        </r>
      </text>
    </comment>
    <comment ref="AT113" authorId="10">
      <text>
        <r>
          <rPr>
            <b/>
            <sz val="8"/>
            <color indexed="81"/>
            <rFont val="Tahoma"/>
            <family val="2"/>
          </rPr>
          <t>mm98285:</t>
        </r>
        <r>
          <rPr>
            <sz val="8"/>
            <color indexed="81"/>
            <rFont val="Tahoma"/>
            <family val="2"/>
          </rPr>
          <t xml:space="preserve">
Aug. -8% to $18.9
Sept -5% to $20.9
Oct -4% to $17.7mm</t>
        </r>
      </text>
    </comment>
    <comment ref="J114" authorId="11">
      <text>
        <r>
          <rPr>
            <b/>
            <sz val="8"/>
            <color indexed="81"/>
            <rFont val="Tahoma"/>
            <family val="2"/>
          </rPr>
          <t>TI23070:</t>
        </r>
        <r>
          <rPr>
            <sz val="8"/>
            <color indexed="81"/>
            <rFont val="Tahoma"/>
            <family val="2"/>
          </rPr>
          <t xml:space="preserve">
8/09: Expect 23 new store openings including 4 flagship stores (including Hollister in Soho, A&amp;F and abercrombie in Milan and A&amp;F in Tokyo), 10 international mall-based stores (including 1 abercrombie in Canada, 7 Hollister stores in U.K., 1 Hollister store in Germany and 1 Hollister store in Italy), and 9 domestic mall-based stores (including 2 abercrombie stores, 4 Hollister stores, 1 Gilly Hicks store and 2 outlet stores).  </t>
        </r>
      </text>
    </comment>
    <comment ref="AT114" authorId="10">
      <text>
        <r>
          <rPr>
            <b/>
            <sz val="8"/>
            <color indexed="81"/>
            <rFont val="Tahoma"/>
            <family val="2"/>
          </rPr>
          <t>mm98285:</t>
        </r>
        <r>
          <rPr>
            <sz val="8"/>
            <color indexed="81"/>
            <rFont val="Tahoma"/>
            <family val="2"/>
          </rPr>
          <t xml:space="preserve">
Nov. -28% (hurt by Cyber Monday moving to Dec) to $23.7mm; Dec. -11% to $45.6mm; Jan +7% to 26</t>
        </r>
      </text>
    </comment>
    <comment ref="Z118" authorId="12">
      <text>
        <r>
          <rPr>
            <b/>
            <sz val="8"/>
            <color indexed="81"/>
            <rFont val="Tahoma"/>
            <family val="2"/>
          </rPr>
          <t>ns66486:</t>
        </r>
        <r>
          <rPr>
            <sz val="8"/>
            <color indexed="81"/>
            <rFont val="Tahoma"/>
            <family val="2"/>
          </rPr>
          <t xml:space="preserve">
prior 8.028</t>
        </r>
      </text>
    </comment>
    <comment ref="AT118" authorId="10">
      <text>
        <r>
          <rPr>
            <b/>
            <sz val="8"/>
            <color indexed="81"/>
            <rFont val="Tahoma"/>
            <family val="2"/>
          </rPr>
          <t>mm98285:</t>
        </r>
        <r>
          <rPr>
            <sz val="8"/>
            <color indexed="81"/>
            <rFont val="Tahoma"/>
            <family val="2"/>
          </rPr>
          <t xml:space="preserve">
April -24% to $15.2
March -23% to $19.8
Feb -17% to $14.1mm</t>
        </r>
      </text>
    </comment>
    <comment ref="Z119" authorId="12">
      <text>
        <r>
          <rPr>
            <b/>
            <sz val="8"/>
            <color indexed="81"/>
            <rFont val="Tahoma"/>
            <family val="2"/>
          </rPr>
          <t>ns66486:</t>
        </r>
        <r>
          <rPr>
            <sz val="8"/>
            <color indexed="81"/>
            <rFont val="Tahoma"/>
            <family val="2"/>
          </rPr>
          <t xml:space="preserve">
prior 8.110
</t>
        </r>
      </text>
    </comment>
    <comment ref="AT119" authorId="10">
      <text>
        <r>
          <rPr>
            <b/>
            <sz val="8"/>
            <color indexed="81"/>
            <rFont val="Tahoma"/>
            <family val="2"/>
          </rPr>
          <t>mm98285:</t>
        </r>
        <r>
          <rPr>
            <sz val="8"/>
            <color indexed="81"/>
            <rFont val="Tahoma"/>
            <family val="2"/>
          </rPr>
          <t xml:space="preserve">
May -10% to $15.6M - inflated due to restate should have been a little worse and April should have been a little better
June -17% to $16.9mm
July -11% to $16.2mm</t>
        </r>
      </text>
    </comment>
    <comment ref="Z120" authorId="12">
      <text>
        <r>
          <rPr>
            <b/>
            <sz val="8"/>
            <color indexed="81"/>
            <rFont val="Tahoma"/>
            <family val="2"/>
          </rPr>
          <t>ns66486:</t>
        </r>
        <r>
          <rPr>
            <sz val="8"/>
            <color indexed="81"/>
            <rFont val="Tahoma"/>
            <family val="2"/>
          </rPr>
          <t xml:space="preserve">
prior 8.120</t>
        </r>
      </text>
    </comment>
    <comment ref="AP120" authorId="13">
      <text>
        <r>
          <rPr>
            <b/>
            <sz val="8"/>
            <color indexed="81"/>
            <rFont val="Tahoma"/>
            <family val="2"/>
          </rPr>
          <t>nicholjs:</t>
        </r>
        <r>
          <rPr>
            <sz val="8"/>
            <color indexed="81"/>
            <rFont val="Tahoma"/>
            <family val="2"/>
          </rPr>
          <t xml:space="preserve">
restating from $63.9mm per 3Q press release.  Historical # included RUEHL</t>
        </r>
      </text>
    </comment>
    <comment ref="AT120" authorId="7">
      <text>
        <r>
          <rPr>
            <b/>
            <sz val="8"/>
            <color indexed="81"/>
            <rFont val="Tahoma"/>
            <family val="2"/>
          </rPr>
          <t>oc48540:</t>
        </r>
        <r>
          <rPr>
            <sz val="8"/>
            <color indexed="81"/>
            <rFont val="Tahoma"/>
            <family val="2"/>
          </rPr>
          <t xml:space="preserve">
Oct +24%
Sept +9%
Aug +1%
</t>
        </r>
      </text>
    </comment>
    <comment ref="AP121" authorId="7">
      <text>
        <r>
          <rPr>
            <b/>
            <sz val="8"/>
            <color indexed="81"/>
            <rFont val="Tahoma"/>
            <family val="2"/>
          </rPr>
          <t>oc48540:</t>
        </r>
        <r>
          <rPr>
            <sz val="8"/>
            <color indexed="81"/>
            <rFont val="Tahoma"/>
            <family val="2"/>
          </rPr>
          <t xml:space="preserve">
will need restatement once qtr is reported
Nov = 24.5mm</t>
        </r>
      </text>
    </comment>
    <comment ref="AT121" authorId="7">
      <text>
        <r>
          <rPr>
            <b/>
            <sz val="8"/>
            <color indexed="81"/>
            <rFont val="Tahoma"/>
            <family val="2"/>
          </rPr>
          <t>oc48540:</t>
        </r>
        <r>
          <rPr>
            <sz val="8"/>
            <color indexed="81"/>
            <rFont val="Tahoma"/>
            <family val="2"/>
          </rPr>
          <t xml:space="preserve">
Nov +3% to $24.5mm
Dec -4% to $44.0mm
Jan. +8% to $28.0mm</t>
        </r>
      </text>
    </comment>
    <comment ref="BD122" authorId="13">
      <text>
        <r>
          <rPr>
            <b/>
            <sz val="8"/>
            <color indexed="81"/>
            <rFont val="Tahoma"/>
            <family val="2"/>
          </rPr>
          <t>nicholjs:</t>
        </r>
        <r>
          <rPr>
            <sz val="8"/>
            <color indexed="81"/>
            <rFont val="Tahoma"/>
            <family val="2"/>
          </rPr>
          <t xml:space="preserve">
Europe $229,446
Other $132,039</t>
        </r>
      </text>
    </comment>
    <comment ref="AT125" authorId="11">
      <text>
        <r>
          <rPr>
            <b/>
            <sz val="8"/>
            <color indexed="81"/>
            <rFont val="Tahoma"/>
            <family val="2"/>
          </rPr>
          <t>TI23070:</t>
        </r>
        <r>
          <rPr>
            <sz val="8"/>
            <color indexed="81"/>
            <rFont val="Tahoma"/>
            <family val="2"/>
          </rPr>
          <t xml:space="preserve">
Feb.: +28% to $17.7mm
Mar.: +45% to $27.9mm
Apr: +50% to $23.1mm</t>
        </r>
      </text>
    </comment>
    <comment ref="BD125" authorId="13">
      <text>
        <r>
          <rPr>
            <b/>
            <sz val="8"/>
            <color indexed="81"/>
            <rFont val="Tahoma"/>
            <family val="2"/>
          </rPr>
          <t>nicholjs:</t>
        </r>
        <r>
          <rPr>
            <sz val="8"/>
            <color indexed="81"/>
            <rFont val="Tahoma"/>
            <family val="2"/>
          </rPr>
          <t xml:space="preserve">
Europe 79,648
Other 39,366</t>
        </r>
      </text>
    </comment>
    <comment ref="AT126" authorId="14">
      <text>
        <r>
          <rPr>
            <b/>
            <sz val="8"/>
            <color indexed="81"/>
            <rFont val="Tahoma"/>
            <family val="2"/>
          </rPr>
          <t>NS66486:</t>
        </r>
        <r>
          <rPr>
            <sz val="8"/>
            <color indexed="81"/>
            <rFont val="Tahoma"/>
            <family val="2"/>
          </rPr>
          <t xml:space="preserve">
May +34% to $19.2mm
June +62% to $26.1mm
July +51% to $23.6mm</t>
        </r>
      </text>
    </comment>
    <comment ref="AT127" authorId="13">
      <text>
        <r>
          <rPr>
            <b/>
            <sz val="8"/>
            <color indexed="81"/>
            <rFont val="Tahoma"/>
            <family val="2"/>
          </rPr>
          <t>nicholjs:</t>
        </r>
        <r>
          <rPr>
            <sz val="8"/>
            <color indexed="81"/>
            <rFont val="Tahoma"/>
            <family val="2"/>
          </rPr>
          <t xml:space="preserve">
August +43% to $26.5
September +42% to $41.3
October +11% to $23.6</t>
        </r>
      </text>
    </comment>
    <comment ref="AT128" authorId="13">
      <text>
        <r>
          <rPr>
            <b/>
            <sz val="8"/>
            <color indexed="81"/>
            <rFont val="Tahoma"/>
            <family val="2"/>
          </rPr>
          <t>nicholjs:</t>
        </r>
        <r>
          <rPr>
            <sz val="8"/>
            <color indexed="81"/>
            <rFont val="Tahoma"/>
            <family val="2"/>
          </rPr>
          <t xml:space="preserve">
November +40% to 32.6mm
December +59% to $66.9mm
January +23% to $33.9mm</t>
        </r>
      </text>
    </comment>
    <comment ref="BD129" authorId="13">
      <text>
        <r>
          <rPr>
            <b/>
            <sz val="8"/>
            <color indexed="81"/>
            <rFont val="Tahoma"/>
            <family val="2"/>
          </rPr>
          <t>nicholjs:</t>
        </r>
        <r>
          <rPr>
            <sz val="8"/>
            <color indexed="81"/>
            <rFont val="Tahoma"/>
            <family val="2"/>
          </rPr>
          <t xml:space="preserve">
Europe $443,836
Other $202,948</t>
        </r>
      </text>
    </comment>
    <comment ref="AT132" authorId="15">
      <text>
        <r>
          <rPr>
            <b/>
            <sz val="8"/>
            <color indexed="81"/>
            <rFont val="Tahoma"/>
            <family val="2"/>
          </rPr>
          <t>sancfa:</t>
        </r>
        <r>
          <rPr>
            <sz val="8"/>
            <color indexed="81"/>
            <rFont val="Tahoma"/>
            <family val="2"/>
          </rPr>
          <t xml:space="preserve">
1Q: +32% to $105.8mm</t>
        </r>
      </text>
    </comment>
    <comment ref="BD132" authorId="13">
      <text>
        <r>
          <rPr>
            <b/>
            <sz val="8"/>
            <color indexed="81"/>
            <rFont val="Tahoma"/>
            <family val="2"/>
          </rPr>
          <t>nicholjs:</t>
        </r>
        <r>
          <rPr>
            <sz val="8"/>
            <color indexed="81"/>
            <rFont val="Tahoma"/>
            <family val="2"/>
          </rPr>
          <t xml:space="preserve">
Europe 152,431
Other 43,293</t>
        </r>
      </text>
    </comment>
    <comment ref="AT133" authorId="13">
      <text>
        <r>
          <rPr>
            <b/>
            <sz val="8"/>
            <color indexed="81"/>
            <rFont val="Tahoma"/>
            <family val="2"/>
          </rPr>
          <t>nicholjs:</t>
        </r>
        <r>
          <rPr>
            <sz val="8"/>
            <color indexed="81"/>
            <rFont val="Tahoma"/>
            <family val="2"/>
          </rPr>
          <t xml:space="preserve">
we est +29%</t>
        </r>
      </text>
    </comment>
    <comment ref="BD133" authorId="13">
      <text>
        <r>
          <rPr>
            <b/>
            <sz val="8"/>
            <color indexed="81"/>
            <rFont val="Tahoma"/>
            <family val="2"/>
          </rPr>
          <t>nicholjs:</t>
        </r>
        <r>
          <rPr>
            <sz val="8"/>
            <color indexed="81"/>
            <rFont val="Tahoma"/>
            <family val="2"/>
          </rPr>
          <t xml:space="preserve">
Europe 182,432
Other 49,439</t>
        </r>
      </text>
    </comment>
    <comment ref="AT134" authorId="16">
      <text>
        <r>
          <rPr>
            <b/>
            <sz val="8"/>
            <color indexed="81"/>
            <rFont val="Tahoma"/>
            <family val="2"/>
          </rPr>
          <t>solejay:</t>
        </r>
        <r>
          <rPr>
            <sz val="8"/>
            <color indexed="81"/>
            <rFont val="Tahoma"/>
            <family val="2"/>
          </rPr>
          <t xml:space="preserve">
41% per 11/3 press release</t>
        </r>
      </text>
    </comment>
    <comment ref="BD134" authorId="15">
      <text>
        <r>
          <rPr>
            <b/>
            <sz val="8"/>
            <color indexed="81"/>
            <rFont val="Tahoma"/>
            <family val="2"/>
          </rPr>
          <t>sancfa:</t>
        </r>
        <r>
          <rPr>
            <sz val="8"/>
            <color indexed="81"/>
            <rFont val="Tahoma"/>
            <family val="2"/>
          </rPr>
          <t xml:space="preserve">
Europe 193,566
Other 62,102</t>
        </r>
      </text>
    </comment>
    <comment ref="AP135" authorId="16">
      <text>
        <r>
          <rPr>
            <sz val="8"/>
            <color indexed="81"/>
            <rFont val="Tahoma"/>
            <family val="2"/>
          </rPr>
          <t>per Eric Cerny - "beginning with Q1 2011, we started reporting DTC sales inclusive of S&amp;H revenue.    in prior years we reported as 'net merchandise sales' and listed S&amp;H revenue separately."</t>
        </r>
      </text>
    </comment>
    <comment ref="AT135" authorId="16">
      <text>
        <r>
          <rPr>
            <b/>
            <sz val="8"/>
            <color indexed="81"/>
            <rFont val="Tahoma"/>
            <family val="2"/>
          </rPr>
          <t>solejay:</t>
        </r>
        <r>
          <rPr>
            <sz val="8"/>
            <color indexed="81"/>
            <rFont val="Tahoma"/>
            <family val="2"/>
          </rPr>
          <t xml:space="preserve">
41% per 11/3 press release</t>
        </r>
      </text>
    </comment>
    <comment ref="AT136" authorId="13">
      <text>
        <r>
          <rPr>
            <b/>
            <sz val="8"/>
            <color indexed="81"/>
            <rFont val="Tahoma"/>
            <family val="2"/>
          </rPr>
          <t>nicholjs:</t>
        </r>
        <r>
          <rPr>
            <sz val="8"/>
            <color indexed="81"/>
            <rFont val="Tahoma"/>
            <family val="2"/>
          </rPr>
          <t xml:space="preserve">
4/5/2011: $1bn in DTC sales in next few years (goal)</t>
        </r>
      </text>
    </comment>
    <comment ref="BD136" authorId="13">
      <text>
        <r>
          <rPr>
            <sz val="8"/>
            <color indexed="81"/>
            <rFont val="Tahoma"/>
            <family val="2"/>
          </rPr>
          <t>Europe $822.473
Other $227.205</t>
        </r>
      </text>
    </comment>
    <comment ref="AS141" authorId="17">
      <text>
        <r>
          <rPr>
            <b/>
            <sz val="8"/>
            <color indexed="81"/>
            <rFont val="Tahoma"/>
            <family val="2"/>
          </rPr>
          <t>casselau:</t>
        </r>
        <r>
          <rPr>
            <sz val="8"/>
            <color indexed="81"/>
            <rFont val="Tahoma"/>
            <family val="2"/>
          </rPr>
          <t xml:space="preserve">
total DTC sales including S&amp;H were +20%; intl DTC +31%</t>
        </r>
      </text>
    </comment>
    <comment ref="AS142" authorId="18">
      <text>
        <r>
          <rPr>
            <b/>
            <sz val="8"/>
            <color indexed="81"/>
            <rFont val="Tahoma"/>
            <family val="2"/>
          </rPr>
          <t>US +5%, intl +52%
kahng:</t>
        </r>
        <r>
          <rPr>
            <sz val="8"/>
            <color indexed="81"/>
            <rFont val="Tahoma"/>
            <family val="2"/>
          </rPr>
          <t xml:space="preserve">
$227.9M adj by 4.5% for 53rd week in Jan</t>
        </r>
      </text>
    </comment>
    <comment ref="AT142" authorId="18">
      <text>
        <r>
          <rPr>
            <b/>
            <sz val="8"/>
            <color indexed="81"/>
            <rFont val="Tahoma"/>
            <family val="2"/>
          </rPr>
          <t>kahng:</t>
        </r>
        <r>
          <rPr>
            <sz val="8"/>
            <color indexed="81"/>
            <rFont val="Tahoma"/>
            <family val="2"/>
          </rPr>
          <t xml:space="preserve">
20% growth adjusted for 53rd week in Jan to 25.4%</t>
        </r>
      </text>
    </comment>
    <comment ref="BD143" authorId="17">
      <text>
        <r>
          <rPr>
            <b/>
            <sz val="8"/>
            <color indexed="81"/>
            <rFont val="Tahoma"/>
            <family val="2"/>
          </rPr>
          <t>casselau:</t>
        </r>
        <r>
          <rPr>
            <sz val="8"/>
            <color indexed="81"/>
            <rFont val="Tahoma"/>
            <family val="2"/>
          </rPr>
          <t xml:space="preserve">
includes DTC</t>
        </r>
      </text>
    </comment>
    <comment ref="BF143" authorId="17">
      <text>
        <r>
          <rPr>
            <b/>
            <sz val="8"/>
            <color indexed="81"/>
            <rFont val="Tahoma"/>
            <family val="2"/>
          </rPr>
          <t>casselau:</t>
        </r>
        <r>
          <rPr>
            <sz val="8"/>
            <color indexed="81"/>
            <rFont val="Tahoma"/>
            <family val="2"/>
          </rPr>
          <t xml:space="preserve">
includes DTC</t>
        </r>
      </text>
    </comment>
    <comment ref="F146" authorId="17">
      <text>
        <r>
          <rPr>
            <b/>
            <sz val="8"/>
            <color indexed="81"/>
            <rFont val="Tahoma"/>
            <family val="2"/>
          </rPr>
          <t>casselau:</t>
        </r>
        <r>
          <rPr>
            <sz val="8"/>
            <color indexed="81"/>
            <rFont val="Tahoma"/>
            <family val="2"/>
          </rPr>
          <t xml:space="preserve">
2/22/13: -HSD comp including DTC due to much lower levels of carryover inventory compared to LY on top of a difficult macroeconomic environment</t>
        </r>
      </text>
    </comment>
    <comment ref="AS146" authorId="17">
      <text>
        <r>
          <rPr>
            <b/>
            <sz val="8"/>
            <color indexed="81"/>
            <rFont val="Tahoma"/>
            <family val="2"/>
          </rPr>
          <t>casselau:</t>
        </r>
        <r>
          <rPr>
            <sz val="8"/>
            <color indexed="81"/>
            <rFont val="Tahoma"/>
            <family val="2"/>
          </rPr>
          <t xml:space="preserve">
5/24/13: total DTC (including S&amp;H) decreaed -10%; comparable DTC -6%</t>
        </r>
      </text>
    </comment>
    <comment ref="BD147" authorId="17">
      <text>
        <r>
          <rPr>
            <b/>
            <sz val="8"/>
            <color indexed="81"/>
            <rFont val="Tahoma"/>
            <family val="2"/>
          </rPr>
          <t>casselau:</t>
        </r>
        <r>
          <rPr>
            <sz val="8"/>
            <color indexed="81"/>
            <rFont val="Tahoma"/>
            <family val="2"/>
          </rPr>
          <t xml:space="preserve">
8/22/13: $286.727M excludung DTC</t>
        </r>
      </text>
    </comment>
    <comment ref="BF147" authorId="17">
      <text>
        <r>
          <rPr>
            <b/>
            <sz val="8"/>
            <color indexed="81"/>
            <rFont val="Tahoma"/>
            <family val="2"/>
          </rPr>
          <t>casselau:</t>
        </r>
        <r>
          <rPr>
            <sz val="8"/>
            <color indexed="81"/>
            <rFont val="Tahoma"/>
            <family val="2"/>
          </rPr>
          <t xml:space="preserve">
8/22/13: $504.674M excludung DTC</t>
        </r>
      </text>
    </comment>
    <comment ref="AT149" authorId="17">
      <text>
        <r>
          <rPr>
            <b/>
            <sz val="8"/>
            <color indexed="81"/>
            <rFont val="Tahoma"/>
            <family val="2"/>
          </rPr>
          <t>casselau:</t>
        </r>
        <r>
          <rPr>
            <sz val="8"/>
            <color indexed="81"/>
            <rFont val="Tahoma"/>
            <family val="2"/>
          </rPr>
          <t xml:space="preserve">
1/9/14: Holiday eComm +25%</t>
        </r>
      </text>
    </comment>
    <comment ref="F150" authorId="17">
      <text>
        <r>
          <rPr>
            <b/>
            <sz val="8"/>
            <color indexed="81"/>
            <rFont val="Tahoma"/>
            <family val="2"/>
          </rPr>
          <t>casselau:</t>
        </r>
        <r>
          <rPr>
            <sz val="8"/>
            <color indexed="81"/>
            <rFont val="Tahoma"/>
            <family val="2"/>
          </rPr>
          <t xml:space="preserve">
2/22/13: guidance: ~flat comp (including DTC), with slightly negative comparable store sales</t>
        </r>
      </text>
    </comment>
    <comment ref="AS153" authorId="17">
      <text>
        <r>
          <rPr>
            <b/>
            <sz val="9"/>
            <color indexed="81"/>
            <rFont val="Tahoma"/>
            <family val="2"/>
          </rPr>
          <t>casselau:</t>
        </r>
        <r>
          <rPr>
            <sz val="9"/>
            <color indexed="81"/>
            <rFont val="Tahoma"/>
            <family val="2"/>
          </rPr>
          <t xml:space="preserve">
5/29/14: total company DTC grew 27% (US +22%, Int'l +37%)</t>
        </r>
      </text>
    </comment>
    <comment ref="AT157" authorId="17">
      <text>
        <r>
          <rPr>
            <b/>
            <sz val="8"/>
            <color indexed="81"/>
            <rFont val="Tahoma"/>
            <family val="2"/>
          </rPr>
          <t>casselau:</t>
        </r>
        <r>
          <rPr>
            <sz val="8"/>
            <color indexed="81"/>
            <rFont val="Tahoma"/>
            <family val="2"/>
          </rPr>
          <t xml:space="preserve">
2/26/14: sales guidance assumes DTC +20%</t>
        </r>
      </text>
    </comment>
    <comment ref="AU160" authorId="17">
      <text>
        <r>
          <rPr>
            <b/>
            <sz val="9"/>
            <color indexed="81"/>
            <rFont val="Tahoma"/>
            <family val="2"/>
          </rPr>
          <t>casselau:</t>
        </r>
        <r>
          <rPr>
            <sz val="9"/>
            <color indexed="81"/>
            <rFont val="Tahoma"/>
            <family val="2"/>
          </rPr>
          <t xml:space="preserve">
5/28/15: international DTC business return to healthy growth while the US business was slightly negative as we were less promotional during the quarter versus last year. </t>
        </r>
      </text>
    </comment>
    <comment ref="AU161" authorId="17">
      <text>
        <r>
          <rPr>
            <b/>
            <sz val="9"/>
            <color indexed="81"/>
            <rFont val="Tahoma"/>
            <family val="2"/>
          </rPr>
          <t>casselau:</t>
        </r>
        <r>
          <rPr>
            <sz val="9"/>
            <color indexed="81"/>
            <rFont val="Tahoma"/>
            <family val="2"/>
          </rPr>
          <t xml:space="preserve">
8/26/15: Net sales from direct-to-consumer and omnichannel grew to approximately 21% of the total Company net sales in the second quarter, compared to approximately 19% of total Company net sales last year; Mobile remains
a major area of focus for us, now accounting for over 50% of our online traffic</t>
        </r>
      </text>
    </comment>
    <comment ref="J162" authorId="17">
      <text>
        <r>
          <rPr>
            <b/>
            <sz val="9"/>
            <color indexed="81"/>
            <rFont val="Tahoma"/>
            <family val="2"/>
          </rPr>
          <t>casselau:</t>
        </r>
        <r>
          <rPr>
            <sz val="9"/>
            <color indexed="81"/>
            <rFont val="Tahoma"/>
            <family val="2"/>
          </rPr>
          <t xml:space="preserve">
790 US, 175 intl</t>
        </r>
      </text>
    </comment>
    <comment ref="AU162" authorId="17">
      <text>
        <r>
          <rPr>
            <b/>
            <sz val="9"/>
            <color indexed="81"/>
            <rFont val="Tahoma"/>
            <family val="2"/>
          </rPr>
          <t>casselau:</t>
        </r>
        <r>
          <rPr>
            <sz val="9"/>
            <color indexed="81"/>
            <rFont val="Tahoma"/>
            <family val="2"/>
          </rPr>
          <t xml:space="preserve">
11/20/15: grew in the US and intl on a constant currency basis</t>
        </r>
      </text>
    </comment>
    <comment ref="J163" authorId="17">
      <text>
        <r>
          <rPr>
            <b/>
            <sz val="9"/>
            <color indexed="81"/>
            <rFont val="Tahoma"/>
            <family val="2"/>
          </rPr>
          <t>casselau:</t>
        </r>
        <r>
          <rPr>
            <sz val="9"/>
            <color indexed="81"/>
            <rFont val="Tahoma"/>
            <family val="2"/>
          </rPr>
          <t xml:space="preserve">
11/20/15: the company expects to open eight new stores in the fourth quarter, including six international stores and two North American stores.  In addition, the company anticipates closing approximately 60 stores in the U.S. during the fiscal year through natural lease expirations.</t>
        </r>
      </text>
    </comment>
    <comment ref="AU164" authorId="17">
      <text>
        <r>
          <rPr>
            <b/>
            <sz val="9"/>
            <color indexed="81"/>
            <rFont val="Tahoma"/>
            <family val="2"/>
          </rPr>
          <t>casselau:</t>
        </r>
        <r>
          <rPr>
            <sz val="9"/>
            <color indexed="81"/>
            <rFont val="Tahoma"/>
            <family val="2"/>
          </rPr>
          <t xml:space="preserve">
3/2/16: Direct-to-consumer and omnichannel sales grew to approximately 24% of total company net sales for
the full year, compared to approximately 22% of total company net sales last year</t>
        </r>
      </text>
    </comment>
    <comment ref="J167" authorId="19">
      <text>
        <r>
          <rPr>
            <b/>
            <sz val="9"/>
            <color indexed="81"/>
            <rFont val="Tahoma"/>
            <family val="2"/>
          </rPr>
          <t>Cassel, Lauren (Research):</t>
        </r>
        <r>
          <rPr>
            <sz val="9"/>
            <color indexed="81"/>
            <rFont val="Tahoma"/>
            <family val="2"/>
          </rPr>
          <t xml:space="preserve">
745 US, 180 intl</t>
        </r>
      </text>
    </comment>
    <comment ref="J168" authorId="19">
      <text>
        <r>
          <rPr>
            <b/>
            <sz val="9"/>
            <color indexed="81"/>
            <rFont val="Tahoma"/>
            <family val="2"/>
          </rPr>
          <t>Cassel, Lauren (Research):</t>
        </r>
        <r>
          <rPr>
            <sz val="9"/>
            <color indexed="81"/>
            <rFont val="Tahoma"/>
            <family val="2"/>
          </rPr>
          <t xml:space="preserve">
744 US, 182 Intl</t>
        </r>
      </text>
    </comment>
    <comment ref="AT168" authorId="19">
      <text>
        <r>
          <rPr>
            <b/>
            <sz val="9"/>
            <color indexed="81"/>
            <rFont val="Tahoma"/>
            <family val="2"/>
          </rPr>
          <t>Cassel, Lauren (Research):</t>
        </r>
        <r>
          <rPr>
            <sz val="9"/>
            <color indexed="81"/>
            <rFont val="Tahoma"/>
            <family val="2"/>
          </rPr>
          <t xml:space="preserve">
+HSD growth constant currency</t>
        </r>
      </text>
    </comment>
    <comment ref="J169" authorId="19">
      <text>
        <r>
          <rPr>
            <b/>
            <sz val="9"/>
            <color indexed="81"/>
            <rFont val="Tahoma"/>
            <family val="2"/>
          </rPr>
          <t>Cassel, Lauren (Research):</t>
        </r>
        <r>
          <rPr>
            <sz val="9"/>
            <color indexed="81"/>
            <rFont val="Tahoma"/>
            <family val="2"/>
          </rPr>
          <t xml:space="preserve">
745 US, 185 Intl</t>
        </r>
      </text>
    </comment>
    <comment ref="AU170" authorId="19">
      <text>
        <r>
          <rPr>
            <b/>
            <sz val="9"/>
            <color indexed="81"/>
            <rFont val="Tahoma"/>
            <family val="2"/>
          </rPr>
          <t>Cassel, Lauren (Research):</t>
        </r>
        <r>
          <rPr>
            <sz val="9"/>
            <color indexed="81"/>
            <rFont val="Tahoma"/>
            <family val="2"/>
          </rPr>
          <t xml:space="preserve">
3/2/17: Direct-to-consumer and omnichannel sales grew to approximately 31% of total company net sales for the fourth quarter, compared to approximately 28% of total company net sales last year.</t>
        </r>
      </text>
    </comment>
    <comment ref="J174" authorId="19">
      <text>
        <r>
          <rPr>
            <b/>
            <sz val="9"/>
            <color indexed="81"/>
            <rFont val="Tahoma"/>
            <family val="2"/>
          </rPr>
          <t>Cassel, Lauren (Research):</t>
        </r>
        <r>
          <rPr>
            <sz val="9"/>
            <color indexed="81"/>
            <rFont val="Tahoma"/>
            <family val="2"/>
          </rPr>
          <t xml:space="preserve">
705 US, 188 intl (18 Canada, 117 Europe, 53 Rest of World)</t>
        </r>
      </text>
    </comment>
    <comment ref="AU174" authorId="19">
      <text>
        <r>
          <rPr>
            <b/>
            <sz val="9"/>
            <color indexed="81"/>
            <rFont val="Tahoma"/>
            <family val="2"/>
          </rPr>
          <t>Cassel, Lauren (Research):</t>
        </r>
        <r>
          <rPr>
            <sz val="9"/>
            <color indexed="81"/>
            <rFont val="Tahoma"/>
            <family val="2"/>
          </rPr>
          <t xml:space="preserve">
Direct-to-consumer sales grew to approximately 27% of total company net sales for the first quarter, compared to approximately 24% LY; growth in US and intl</t>
        </r>
      </text>
    </comment>
    <comment ref="AU175" authorId="19">
      <text>
        <r>
          <rPr>
            <b/>
            <sz val="9"/>
            <color indexed="81"/>
            <rFont val="Tahoma"/>
            <family val="2"/>
          </rPr>
          <t>Cassel, Lauren (Research):</t>
        </r>
        <r>
          <rPr>
            <sz val="9"/>
            <color indexed="81"/>
            <rFont val="Tahoma"/>
            <family val="2"/>
          </rPr>
          <t xml:space="preserve">
8/24/17: growth in both the US and intl</t>
        </r>
      </text>
    </comment>
    <comment ref="H183" authorId="20">
      <text>
        <r>
          <rPr>
            <b/>
            <sz val="9"/>
            <color indexed="81"/>
            <rFont val="Tahoma"/>
            <family val="2"/>
          </rPr>
          <t>Roberts, Cynthia (Research):</t>
        </r>
        <r>
          <rPr>
            <sz val="9"/>
            <color indexed="81"/>
            <rFont val="Tahoma"/>
            <family val="2"/>
          </rPr>
          <t xml:space="preserve">
Assumes revenue loss of ~$15M related to calendar shift, where the quarter loses calendar days equivalent to 2017 August Week 1 and gains calendar days equivalent to 2017 November Week 1.
Sales proportioned share of loss = $11.3M, underlying spread -0.3%
We estimate August week 1 is 10.5% of 3Q ($87.8M) and November week 1 is 6.9% of of 4Q ($72.8M) , the 1/4 avg from 1999-2010</t>
        </r>
      </text>
    </comment>
    <comment ref="H184" authorId="20">
      <text>
        <r>
          <rPr>
            <b/>
            <sz val="9"/>
            <color indexed="81"/>
            <rFont val="Tahoma"/>
            <family val="2"/>
          </rPr>
          <t>Roberts, Cynthia (Research):</t>
        </r>
        <r>
          <rPr>
            <sz val="9"/>
            <color indexed="81"/>
            <rFont val="Tahoma"/>
            <family val="2"/>
          </rPr>
          <t xml:space="preserve">
Reversal of 53rd week, quarter loses calendar days equivalent to 2017 November Week 1.
Sales proportioned share of loss = $49.4M, underlying spread -0.1%
Avg of 1/4 of November sales from 1999-2010 is 6.9% of 4Q sales. (6.9% of 4Q17 ex 53rd week= $72.8M or 6.7% of 4Q17 inc 53rd week)</t>
        </r>
      </text>
    </comment>
  </commentList>
</comments>
</file>

<file path=xl/comments4.xml><?xml version="1.0" encoding="utf-8"?>
<comments xmlns="http://schemas.openxmlformats.org/spreadsheetml/2006/main">
  <authors>
    <author>Brian Lloyd</author>
    <author>dliu</author>
    <author>Corinna Freedman</author>
    <author>MB33100</author>
    <author>mm98285</author>
    <author>nicholjs</author>
    <author>solejay</author>
    <author>casselau</author>
    <author>Cassel, Lauren (Research)</author>
    <author>Lehman Brothers</author>
    <author>oc48540</author>
    <author>P Kahng</author>
    <author>Roberts, Cynthia (Research)</author>
    <author>kg51925</author>
    <author>kahng</author>
    <author>TI23070</author>
    <author>kimberlg</author>
    <author>ns66486</author>
    <author>OC48540</author>
    <author>Kimberly Greenberger</author>
    <author>kgreenbe</author>
    <author>Authorized User</author>
    <author>plejuez</author>
    <author>KG51925</author>
  </authors>
  <commentList>
    <comment ref="AB10" authorId="0">
      <text>
        <r>
          <rPr>
            <b/>
            <sz val="8"/>
            <color indexed="81"/>
            <rFont val="Tahoma"/>
            <family val="2"/>
          </rPr>
          <t>Brian Lloyd:</t>
        </r>
        <r>
          <rPr>
            <sz val="8"/>
            <color indexed="81"/>
            <rFont val="Tahoma"/>
            <family val="2"/>
          </rPr>
          <t xml:space="preserve">
restated for change in ship and handling</t>
        </r>
      </text>
    </comment>
    <comment ref="AN10" authorId="1">
      <text>
        <r>
          <rPr>
            <b/>
            <sz val="8"/>
            <color indexed="81"/>
            <rFont val="Tahoma"/>
            <family val="2"/>
          </rPr>
          <t>dliu:</t>
        </r>
        <r>
          <rPr>
            <sz val="8"/>
            <color indexed="81"/>
            <rFont val="Tahoma"/>
            <family val="2"/>
          </rPr>
          <t xml:space="preserve">
354.0, 350.9</t>
        </r>
      </text>
    </comment>
    <comment ref="AR10" authorId="1">
      <text>
        <r>
          <rPr>
            <b/>
            <sz val="8"/>
            <color indexed="81"/>
            <rFont val="Tahoma"/>
            <family val="2"/>
          </rPr>
          <t>dliu:</t>
        </r>
        <r>
          <rPr>
            <sz val="8"/>
            <color indexed="81"/>
            <rFont val="Tahoma"/>
            <family val="2"/>
          </rPr>
          <t xml:space="preserve">
399.0, 397.5</t>
        </r>
      </text>
    </comment>
    <comment ref="AV10" authorId="2">
      <text>
        <r>
          <rPr>
            <b/>
            <sz val="8"/>
            <color indexed="81"/>
            <rFont val="Tahoma"/>
            <family val="2"/>
          </rPr>
          <t>Corinna Freedman:</t>
        </r>
        <r>
          <rPr>
            <sz val="8"/>
            <color indexed="81"/>
            <rFont val="Tahoma"/>
            <family val="2"/>
          </rPr>
          <t xml:space="preserve">
529.6</t>
        </r>
      </text>
    </comment>
    <comment ref="AZ10" authorId="3">
      <text>
        <r>
          <rPr>
            <b/>
            <sz val="8"/>
            <color indexed="81"/>
            <rFont val="Tahoma"/>
            <family val="2"/>
          </rPr>
          <t>MB33100:</t>
        </r>
        <r>
          <rPr>
            <sz val="8"/>
            <color indexed="81"/>
            <rFont val="Tahoma"/>
            <family val="2"/>
          </rPr>
          <t xml:space="preserve">
651.5</t>
        </r>
      </text>
    </comment>
    <comment ref="BF10" authorId="4">
      <text>
        <r>
          <rPr>
            <b/>
            <sz val="8"/>
            <color indexed="81"/>
            <rFont val="Tahoma"/>
            <family val="2"/>
          </rPr>
          <t>mm98285:</t>
        </r>
        <r>
          <rPr>
            <sz val="8"/>
            <color indexed="81"/>
            <rFont val="Tahoma"/>
            <family val="2"/>
          </rPr>
          <t xml:space="preserve">
2/07: low-end of guid. assumes flat comp sales</t>
        </r>
      </text>
    </comment>
    <comment ref="BJ10" authorId="4">
      <text>
        <r>
          <rPr>
            <b/>
            <sz val="8"/>
            <color indexed="81"/>
            <rFont val="Tahoma"/>
            <family val="2"/>
          </rPr>
          <t>mm98285:</t>
        </r>
        <r>
          <rPr>
            <sz val="8"/>
            <color indexed="81"/>
            <rFont val="Tahoma"/>
            <family val="2"/>
          </rPr>
          <t xml:space="preserve">
2/08: The low-end of guidance reflects a -1% comp in 1H</t>
        </r>
      </text>
    </comment>
    <comment ref="BQ10" authorId="5">
      <text>
        <r>
          <rPr>
            <b/>
            <sz val="8"/>
            <color indexed="81"/>
            <rFont val="Tahoma"/>
            <family val="2"/>
          </rPr>
          <t>nicholjs:</t>
        </r>
        <r>
          <rPr>
            <sz val="8"/>
            <color indexed="81"/>
            <rFont val="Tahoma"/>
            <family val="2"/>
          </rPr>
          <t xml:space="preserve">
1% F/X benefit</t>
        </r>
      </text>
    </comment>
    <comment ref="BU10" authorId="5">
      <text>
        <r>
          <rPr>
            <b/>
            <sz val="8"/>
            <color indexed="81"/>
            <rFont val="Tahoma"/>
            <family val="2"/>
          </rPr>
          <t>nicholjs:</t>
        </r>
        <r>
          <rPr>
            <sz val="8"/>
            <color indexed="81"/>
            <rFont val="Tahoma"/>
            <family val="2"/>
          </rPr>
          <t xml:space="preserve">
1% F/X benefit</t>
        </r>
      </text>
    </comment>
    <comment ref="BV10" authorId="5">
      <text>
        <r>
          <rPr>
            <b/>
            <sz val="8"/>
            <color indexed="81"/>
            <rFont val="Tahoma"/>
            <family val="2"/>
          </rPr>
          <t>nicholjs:</t>
        </r>
        <r>
          <rPr>
            <sz val="8"/>
            <color indexed="81"/>
            <rFont val="Tahoma"/>
            <family val="2"/>
          </rPr>
          <t xml:space="preserve">
On comp basis, Europe was the strongest performing region while Canada, and more significantly Japan, had negative comparative store sales. U.S. comparable store sales were approximately in-line with overall Company.
Across all brands, both the feminine and masculine categories’ comp sales were approximately in line with the total Company trend. From a merchandise classification standpoint, for the male business, knit tops, woven shirts and fleece were stronger performing categories; while polos, jeans and graphics were the weaker performing categories. In the female business, shirts, knit tops, and sweaters were stronger performing categories; while graphics and jeans were  weaker performing categories.
5/5/11: we est Feb comps +6%ish, March +LSD, April +20%
4/5/2011: continue to target MSD for 1Q, unchanged from prior
3/9/2011: continue to target a MSD comp increase for 2011 as a whole and were in line w/ that objective for February</t>
        </r>
      </text>
    </comment>
    <comment ref="BY10" authorId="6">
      <text>
        <r>
          <rPr>
            <sz val="8"/>
            <color indexed="81"/>
            <rFont val="Tahoma"/>
            <family val="2"/>
          </rPr>
          <t>5/16/12: Mike Jeffries - "When we look at the current trends in Europe, the questions we ask ourselves are, first, are our stores continuing to stand out from the mall in terms of excitement and energy and in terms of traffic and productivity? Second, are the new store volumes consistent with the volumes at which we approved the deals? Third, are we achieving our annualized target 30%, four-wall margins at the current trend and after cannibalization? Last, is our international direct-to-consumer business continuing to grow at a healthy rate? Despite the downtrend we've experienced at this point, the answer to all of those questions is yes in aggregate and yes individually for the majority of our European stores."</t>
        </r>
      </text>
    </comment>
    <comment ref="BZ10" authorId="6">
      <text>
        <r>
          <rPr>
            <b/>
            <sz val="8"/>
            <color indexed="81"/>
            <rFont val="Tahoma"/>
            <family val="2"/>
          </rPr>
          <t>-5% store only
international -22%; US +1%
solejay:</t>
        </r>
        <r>
          <rPr>
            <sz val="8"/>
            <color indexed="81"/>
            <rFont val="Tahoma"/>
            <family val="2"/>
          </rPr>
          <t xml:space="preserve">
5/16/12 - “While we are disappointed that European sales trends remain challenging in a very difficult macroeconomic environment, we are largely satisfied with our overall performance for the quarter in that context. Our U.S. business, including direct-to-consumer, increased 4% on a comparable basis, on top of a strong performance last year. Our international business comped negatively, but the economics remain strong and we delivered overall international sales growth of 42% including a strong performance in direct-to consumer."
"U.S. Stores comps were up 1%" (we think Int'l comps declined M-H teens? check)
"As I mentioned a moment ago, our overall U.S. retail segment comps were up 4% on top of strong growth last year. We were able to do this while getting our AUR up slightly. Continuing to make progress on AUR is an important goal for us going forward."
"AUR was up a little bit more internationally than domestically."
"...men's and women's performing comparably. Comp sales were up slightly in U.S. chain stores but significantly down across international and U.S. tourist stores in a tough macroeconomic environment in Europe and as we lack strong sales a year ago. </t>
        </r>
        <r>
          <rPr>
            <b/>
            <sz val="8"/>
            <color indexed="81"/>
            <rFont val="Tahoma"/>
            <family val="2"/>
          </rPr>
          <t>Cannibalization had a meaningful impact on international comp store sales</t>
        </r>
        <r>
          <rPr>
            <sz val="8"/>
            <color indexed="81"/>
            <rFont val="Tahoma"/>
            <family val="2"/>
          </rPr>
          <t>."
From the 10Q -
"From a merchandise classification standpoint, for the male business, active wear, fleece and sweaters were stronger performing categories; while woven shirts and graphics were weaker performing categories. In the female business, pants, fleece and shorts were stronger performing categories; while graphics and woven shirts were weaker performing categories."</t>
        </r>
      </text>
    </comment>
    <comment ref="CC10" authorId="7">
      <text>
        <r>
          <rPr>
            <b/>
            <sz val="8"/>
            <color indexed="81"/>
            <rFont val="Tahoma"/>
            <family val="2"/>
          </rPr>
          <t>casselau:</t>
        </r>
        <r>
          <rPr>
            <sz val="8"/>
            <color indexed="81"/>
            <rFont val="Tahoma"/>
            <family val="2"/>
          </rPr>
          <t xml:space="preserve">
5/24/13: Total U.S. sales, including DTC, -17%; total intl sales, including DTC, +10% </t>
        </r>
      </text>
    </comment>
    <comment ref="CD10" authorId="7">
      <text>
        <r>
          <rPr>
            <b/>
            <sz val="8"/>
            <color indexed="81"/>
            <rFont val="Tahoma"/>
            <family val="2"/>
          </rPr>
          <t xml:space="preserve">casselau:
</t>
        </r>
        <r>
          <rPr>
            <sz val="8"/>
            <color indexed="81"/>
            <rFont val="Tahoma"/>
            <family val="2"/>
          </rPr>
          <t>5/24/13: -15% INCLUDES DTC; comparable stores -17%, comparable DTC -6%; US stores -15%, intl stores -20%; US comp -14% (stores &amp; DTC); intl comp -16% (stores &amp; DTC); total DTC (incl S&amp;H) -10%</t>
        </r>
        <r>
          <rPr>
            <sz val="8"/>
            <color indexed="81"/>
            <rFont val="Tahoma"/>
            <family val="2"/>
          </rPr>
          <t xml:space="preserve">
2/22/13: -HSD comp including DTC due to much lower levels of carryover inventory compared to LY on top of a difficult macroeconomic environment</t>
        </r>
      </text>
    </comment>
    <comment ref="CF10" authorId="7">
      <text>
        <r>
          <rPr>
            <b/>
            <sz val="9"/>
            <color indexed="81"/>
            <rFont val="Tahoma"/>
            <family val="2"/>
          </rPr>
          <t>casselau:</t>
        </r>
        <r>
          <rPr>
            <sz val="9"/>
            <color indexed="81"/>
            <rFont val="Tahoma"/>
            <family val="2"/>
          </rPr>
          <t xml:space="preserve">
US $504 (-6%), int'l $318 (+5%); FX benefitted sales $12M</t>
        </r>
      </text>
    </comment>
    <comment ref="CH10" authorId="7">
      <text>
        <r>
          <rPr>
            <b/>
            <sz val="9"/>
            <color indexed="81"/>
            <rFont val="Tahoma"/>
            <family val="2"/>
          </rPr>
          <t>casselau:</t>
        </r>
        <r>
          <rPr>
            <sz val="9"/>
            <color indexed="81"/>
            <rFont val="Tahoma"/>
            <family val="2"/>
          </rPr>
          <t xml:space="preserve">
5/19/14: US -4% (stores -9%); int'l -5% (stores -14%); total stores -11%, DTC +27%</t>
        </r>
      </text>
    </comment>
    <comment ref="CJ10" authorId="7">
      <text>
        <r>
          <rPr>
            <b/>
            <sz val="9"/>
            <color indexed="81"/>
            <rFont val="Tahoma"/>
            <family val="2"/>
          </rPr>
          <t>casselau:</t>
        </r>
        <r>
          <rPr>
            <sz val="9"/>
            <color indexed="81"/>
            <rFont val="Tahoma"/>
            <family val="2"/>
          </rPr>
          <t xml:space="preserve">
5/28/15: Changes in FX accounted for approximately 560bps, or $46 million of the sales decline.</t>
        </r>
      </text>
    </comment>
    <comment ref="CL10" authorId="7">
      <text>
        <r>
          <rPr>
            <b/>
            <sz val="9"/>
            <color indexed="81"/>
            <rFont val="Tahoma"/>
            <family val="2"/>
          </rPr>
          <t xml:space="preserve">casselau:
5/28/15: US -7% comp; intl -9% comp; logo contributed -~7% </t>
        </r>
        <r>
          <rPr>
            <sz val="9"/>
            <color indexed="81"/>
            <rFont val="Tahoma"/>
            <family val="2"/>
          </rPr>
          <t xml:space="preserve">
3/3/15: expect logo headwinds in 1H</t>
        </r>
      </text>
    </comment>
    <comment ref="CN10" authorId="8">
      <text>
        <r>
          <rPr>
            <b/>
            <sz val="9"/>
            <color indexed="81"/>
            <rFont val="Tahoma"/>
            <family val="2"/>
          </rPr>
          <t>Cassel, Lauren (Research):</t>
        </r>
        <r>
          <rPr>
            <sz val="9"/>
            <color indexed="81"/>
            <rFont val="Tahoma"/>
            <family val="2"/>
          </rPr>
          <t xml:space="preserve">
FX -$2M</t>
        </r>
      </text>
    </comment>
    <comment ref="CO10" authorId="7">
      <text>
        <r>
          <rPr>
            <b/>
            <sz val="9"/>
            <color indexed="81"/>
            <rFont val="Tahoma"/>
            <family val="2"/>
          </rPr>
          <t>casselau:</t>
        </r>
        <r>
          <rPr>
            <sz val="9"/>
            <color indexed="81"/>
            <rFont val="Tahoma"/>
            <family val="2"/>
          </rPr>
          <t xml:space="preserve">
3/2/16: FX a slight headwind</t>
        </r>
      </text>
    </comment>
    <comment ref="CP10" authorId="8">
      <text>
        <r>
          <rPr>
            <b/>
            <sz val="9"/>
            <color indexed="81"/>
            <rFont val="Tahoma"/>
            <family val="2"/>
          </rPr>
          <t>Cassel, Lauren (Research):</t>
        </r>
        <r>
          <rPr>
            <sz val="9"/>
            <color indexed="81"/>
            <rFont val="Tahoma"/>
            <family val="2"/>
          </rPr>
          <t xml:space="preserve">
5/26/16: US -2%; intl -7%; traffic the biggest headwind in intl and tourist/flagship US stores; US Hollister comps improved; positive conversion globally</t>
        </r>
      </text>
    </comment>
    <comment ref="CR10" authorId="8">
      <text>
        <r>
          <rPr>
            <b/>
            <sz val="9"/>
            <color indexed="81"/>
            <rFont val="Tahoma"/>
            <family val="2"/>
          </rPr>
          <t>Cassel, Lauren (Research):</t>
        </r>
        <r>
          <rPr>
            <sz val="9"/>
            <color indexed="81"/>
            <rFont val="Tahoma"/>
            <family val="2"/>
          </rPr>
          <t xml:space="preserve">
5/25/17: FX negatively impacted sales by $12M or 170 bps</t>
        </r>
      </text>
    </comment>
    <comment ref="CT10" authorId="8">
      <text>
        <r>
          <rPr>
            <b/>
            <sz val="9"/>
            <color indexed="81"/>
            <rFont val="Tahoma"/>
            <family val="2"/>
          </rPr>
          <t>Cassel, Lauren (Research):
5/25/17: US -3%; intl -2%; traffic trend improved vs. 4Q</t>
        </r>
        <r>
          <rPr>
            <sz val="9"/>
            <color indexed="81"/>
            <rFont val="Tahoma"/>
            <family val="2"/>
          </rPr>
          <t xml:space="preserve">
3/2/17: expect 1H comps to remain challenging</t>
        </r>
      </text>
    </comment>
    <comment ref="AJ11" authorId="9">
      <text>
        <r>
          <rPr>
            <b/>
            <sz val="8"/>
            <color indexed="81"/>
            <rFont val="Tahoma"/>
            <family val="2"/>
          </rPr>
          <t>Lehman Brothers:</t>
        </r>
        <r>
          <rPr>
            <sz val="8"/>
            <color indexed="81"/>
            <rFont val="Tahoma"/>
            <family val="2"/>
          </rPr>
          <t xml:space="preserve">
338, 335.2</t>
        </r>
      </text>
    </comment>
    <comment ref="AN11" authorId="1">
      <text>
        <r>
          <rPr>
            <b/>
            <sz val="8"/>
            <color indexed="81"/>
            <rFont val="Tahoma"/>
            <family val="2"/>
          </rPr>
          <t>dliu:</t>
        </r>
        <r>
          <rPr>
            <sz val="8"/>
            <color indexed="81"/>
            <rFont val="Tahoma"/>
            <family val="2"/>
          </rPr>
          <t xml:space="preserve">
366.2</t>
        </r>
      </text>
    </comment>
    <comment ref="AV11" authorId="2">
      <text>
        <r>
          <rPr>
            <b/>
            <sz val="8"/>
            <color indexed="81"/>
            <rFont val="Tahoma"/>
            <family val="2"/>
          </rPr>
          <t>Corinna Freedman:</t>
        </r>
        <r>
          <rPr>
            <sz val="8"/>
            <color indexed="81"/>
            <rFont val="Tahoma"/>
            <family val="2"/>
          </rPr>
          <t xml:space="preserve">
563.4</t>
        </r>
      </text>
    </comment>
    <comment ref="AZ11" authorId="3">
      <text>
        <r>
          <rPr>
            <b/>
            <sz val="8"/>
            <color indexed="81"/>
            <rFont val="Tahoma"/>
            <family val="2"/>
          </rPr>
          <t>MB33100:</t>
        </r>
        <r>
          <rPr>
            <sz val="8"/>
            <color indexed="81"/>
            <rFont val="Tahoma"/>
            <family val="2"/>
          </rPr>
          <t xml:space="preserve">
653.6</t>
        </r>
      </text>
    </comment>
    <comment ref="BD11" authorId="10">
      <text>
        <r>
          <rPr>
            <b/>
            <sz val="8"/>
            <color indexed="81"/>
            <rFont val="Tahoma"/>
            <family val="2"/>
          </rPr>
          <t>oc48540:</t>
        </r>
        <r>
          <rPr>
            <sz val="8"/>
            <color indexed="81"/>
            <rFont val="Tahoma"/>
            <family val="2"/>
          </rPr>
          <t xml:space="preserve">
est $764.8mm</t>
        </r>
      </text>
    </comment>
    <comment ref="BF11" authorId="4">
      <text>
        <r>
          <rPr>
            <b/>
            <sz val="8"/>
            <color indexed="81"/>
            <rFont val="Tahoma"/>
            <family val="2"/>
          </rPr>
          <t>mm98285:</t>
        </r>
        <r>
          <rPr>
            <sz val="8"/>
            <color indexed="81"/>
            <rFont val="Tahoma"/>
            <family val="2"/>
          </rPr>
          <t xml:space="preserve">
2/07: low-end of guid. assumes flat comp sales</t>
        </r>
      </text>
    </comment>
    <comment ref="BJ11" authorId="4">
      <text>
        <r>
          <rPr>
            <b/>
            <sz val="8"/>
            <color indexed="81"/>
            <rFont val="Tahoma"/>
            <family val="2"/>
          </rPr>
          <t xml:space="preserve">mm98285:
</t>
        </r>
        <r>
          <rPr>
            <sz val="8"/>
            <color indexed="81"/>
            <rFont val="Tahoma"/>
            <family val="2"/>
          </rPr>
          <t>5/16/08: Low-end guid. reflects a (2)% comp.</t>
        </r>
        <r>
          <rPr>
            <sz val="8"/>
            <color indexed="81"/>
            <rFont val="Tahoma"/>
            <family val="2"/>
          </rPr>
          <t xml:space="preserve">
2/08: The low-end of guidance reflects a -1% comp in 1H</t>
        </r>
      </text>
    </comment>
    <comment ref="BL11" authorId="10">
      <text>
        <r>
          <rPr>
            <b/>
            <sz val="8"/>
            <color indexed="81"/>
            <rFont val="Tahoma"/>
            <family val="2"/>
          </rPr>
          <t>oc48540:</t>
        </r>
        <r>
          <rPr>
            <sz val="8"/>
            <color indexed="81"/>
            <rFont val="Tahoma"/>
            <family val="2"/>
          </rPr>
          <t xml:space="preserve">
direct + Gilly Hicks</t>
        </r>
      </text>
    </comment>
    <comment ref="BP11" authorId="5">
      <text>
        <r>
          <rPr>
            <b/>
            <sz val="8"/>
            <color indexed="81"/>
            <rFont val="Tahoma"/>
            <family val="2"/>
          </rPr>
          <t>nicholjs:</t>
        </r>
        <r>
          <rPr>
            <sz val="8"/>
            <color indexed="81"/>
            <rFont val="Tahoma"/>
            <family val="2"/>
          </rPr>
          <t xml:space="preserve">
we est $728.3mm</t>
        </r>
      </text>
    </comment>
    <comment ref="BT11" authorId="5">
      <text>
        <r>
          <rPr>
            <b/>
            <sz val="8"/>
            <color indexed="81"/>
            <rFont val="Tahoma"/>
            <family val="2"/>
          </rPr>
          <t>nicholjs:</t>
        </r>
        <r>
          <rPr>
            <sz val="8"/>
            <color indexed="81"/>
            <rFont val="Tahoma"/>
            <family val="2"/>
          </rPr>
          <t xml:space="preserve">
of the $170 sales increase:
$11.717mm (2%) F/X
$55.498mm (7.4%) comp
$21.011mm (2.8%) DTC
$82.738mm (11.1%) non-comparable stores, net</t>
        </r>
      </text>
    </comment>
    <comment ref="BV11" authorId="5">
      <text>
        <r>
          <rPr>
            <b/>
            <sz val="8"/>
            <color indexed="81"/>
            <rFont val="Tahoma"/>
            <family val="2"/>
          </rPr>
          <t>nicholjs:</t>
        </r>
        <r>
          <rPr>
            <sz val="8"/>
            <color indexed="81"/>
            <rFont val="Tahoma"/>
            <family val="2"/>
          </rPr>
          <t xml:space="preserve">
M/W's comps both +high single digit.  On a comparable store sales basis, Europe was the strongest performing region while Canada, and more significantly Japan, had negative comparative store sales. U.S. comparable store sales were approximately in-line with overall Company same store sales.
6/8/2011: comp unlikely to exceed MSD given inventory constraints (Piper conference)
5/18: targeting MSD increase</t>
        </r>
      </text>
    </comment>
    <comment ref="BX11" authorId="11">
      <text>
        <r>
          <rPr>
            <b/>
            <sz val="8"/>
            <color indexed="81"/>
            <rFont val="Tahoma"/>
            <family val="2"/>
          </rPr>
          <t xml:space="preserve">8/1/12: </t>
        </r>
        <r>
          <rPr>
            <sz val="8"/>
            <color indexed="81"/>
            <rFont val="Tahoma"/>
            <family val="2"/>
          </rPr>
          <t>$951.4M. US sales $648, int'l sales $303.4. Total DTC 127.7M</t>
        </r>
        <r>
          <rPr>
            <sz val="8"/>
            <color indexed="81"/>
            <rFont val="Tahoma"/>
            <family val="2"/>
          </rPr>
          <t xml:space="preserve">
</t>
        </r>
      </text>
    </comment>
    <comment ref="BY11" authorId="6">
      <text>
        <r>
          <rPr>
            <sz val="8"/>
            <color indexed="81"/>
            <rFont val="Tahoma"/>
            <family val="2"/>
          </rPr>
          <t>8/15 - "Our direct to consumer business remained a bright spot, posting its tenth successive quarter with growth of 25% or better."
"Total U.S. sales, including direct-to-consumer sales, decreased 5% to $648.0 million. Total international sales, including direct-to-consumer sales, increased 31% to $303.4 million. Total Company direct-to-consumer sales, including shipping and handling, increased 25% to $127.7 million."</t>
        </r>
      </text>
    </comment>
    <comment ref="BZ11" authorId="11">
      <text>
        <r>
          <rPr>
            <b/>
            <sz val="8"/>
            <color indexed="81"/>
            <rFont val="Tahoma"/>
            <family val="2"/>
          </rPr>
          <t>-10% store only
international -26%; US -5%
P Kahng:</t>
        </r>
        <r>
          <rPr>
            <sz val="8"/>
            <color indexed="81"/>
            <rFont val="Tahoma"/>
            <family val="2"/>
          </rPr>
          <t xml:space="preserve">
comps were down 10% for the qtr. Down 5% in US and 26% int'l. comp sales weakest in June.</t>
        </r>
      </text>
    </comment>
    <comment ref="CD11" authorId="7">
      <text>
        <r>
          <rPr>
            <sz val="8"/>
            <color indexed="81"/>
            <rFont val="Tahoma"/>
            <family val="2"/>
          </rPr>
          <t>8/22/13: -10% includes DTC; US comp -11%, intl comp -7%; DTC +21%; stores -14%</t>
        </r>
        <r>
          <rPr>
            <b/>
            <sz val="8"/>
            <color indexed="81"/>
            <rFont val="Tahoma"/>
            <family val="2"/>
          </rPr>
          <t xml:space="preserve">
casselau:
5/24/13: </t>
        </r>
        <r>
          <rPr>
            <sz val="8"/>
            <color indexed="81"/>
            <rFont val="Tahoma"/>
            <family val="2"/>
          </rPr>
          <t>guidance assumes slightly negative comp for the balance of the year (including DTC)</t>
        </r>
        <r>
          <rPr>
            <sz val="8"/>
            <color indexed="81"/>
            <rFont val="Tahoma"/>
            <family val="2"/>
          </rPr>
          <t xml:space="preserve">
2/22/13: "we expect SSS to improve significantly in 2Q as 1Q headwinds diminish and we pick up tailwinds as we anniversary inventory flow issues that adversely affected us LY"</t>
        </r>
      </text>
    </comment>
    <comment ref="CF11" authorId="7">
      <text>
        <r>
          <rPr>
            <b/>
            <sz val="9"/>
            <color indexed="81"/>
            <rFont val="Tahoma"/>
            <family val="2"/>
          </rPr>
          <t>casselau:</t>
        </r>
        <r>
          <rPr>
            <sz val="9"/>
            <color indexed="81"/>
            <rFont val="Tahoma"/>
            <family val="2"/>
          </rPr>
          <t xml:space="preserve">
8/28/14: FX benefitted sales +$13M</t>
        </r>
      </text>
    </comment>
    <comment ref="CH11" authorId="7">
      <text>
        <r>
          <rPr>
            <b/>
            <sz val="9"/>
            <color indexed="81"/>
            <rFont val="Tahoma"/>
            <family val="2"/>
          </rPr>
          <t>casselau:</t>
        </r>
        <r>
          <rPr>
            <sz val="9"/>
            <color indexed="81"/>
            <rFont val="Tahoma"/>
            <family val="2"/>
          </rPr>
          <t xml:space="preserve">
8/28/14: US -5%, intl -9%; US: stores -8%, DTC +5; Intl: stores -16%, DTC +21%; June worst month; total stores  -11%, DTC +11%</t>
        </r>
      </text>
    </comment>
    <comment ref="CK11" authorId="7">
      <text>
        <r>
          <rPr>
            <b/>
            <sz val="9"/>
            <color indexed="81"/>
            <rFont val="Tahoma"/>
            <family val="2"/>
          </rPr>
          <t>casselau:</t>
        </r>
        <r>
          <rPr>
            <sz val="9"/>
            <color indexed="81"/>
            <rFont val="Tahoma"/>
            <family val="2"/>
          </rPr>
          <t xml:space="preserve">
8/26/15: FX negatively impacted by -5%</t>
        </r>
      </text>
    </comment>
    <comment ref="CL11" authorId="7">
      <text>
        <r>
          <rPr>
            <b/>
            <sz val="9"/>
            <color indexed="81"/>
            <rFont val="Tahoma"/>
            <family val="2"/>
          </rPr>
          <t xml:space="preserve">8/26/15: US -4%, intl -4% (positive comp in Asia/canada, sequential improvement in Europe, driven by converesion); logo headwinds less than expected
</t>
        </r>
        <r>
          <rPr>
            <sz val="9"/>
            <color indexed="81"/>
            <rFont val="Tahoma"/>
            <family val="2"/>
          </rPr>
          <t>5/28/15: expect continued sequential comparable sales improvement into 2Q</t>
        </r>
        <r>
          <rPr>
            <sz val="9"/>
            <color indexed="81"/>
            <rFont val="Tahoma"/>
            <family val="2"/>
          </rPr>
          <t xml:space="preserve">
3/3/15: expect logo headwinds in 1H</t>
        </r>
      </text>
    </comment>
    <comment ref="CN11" authorId="8">
      <text>
        <r>
          <rPr>
            <b/>
            <sz val="9"/>
            <color indexed="81"/>
            <rFont val="Tahoma"/>
            <family val="2"/>
          </rPr>
          <t>Cassel, Lauren (Research):</t>
        </r>
        <r>
          <rPr>
            <sz val="9"/>
            <color indexed="81"/>
            <rFont val="Tahoma"/>
            <family val="2"/>
          </rPr>
          <t xml:space="preserve">
$4M sales impact from Hollister remodels 
That + $2M  FX headwind = 70 bps impact to spread</t>
        </r>
      </text>
    </comment>
    <comment ref="CO11" authorId="7">
      <text>
        <r>
          <rPr>
            <b/>
            <sz val="9"/>
            <color indexed="81"/>
            <rFont val="Tahoma"/>
            <family val="2"/>
          </rPr>
          <t>casselau:</t>
        </r>
        <r>
          <rPr>
            <sz val="9"/>
            <color indexed="81"/>
            <rFont val="Tahoma"/>
            <family val="2"/>
          </rPr>
          <t xml:space="preserve">
3/2/16: expect disproportionate effect from FX and Hollister store closures in 2Q</t>
        </r>
      </text>
    </comment>
    <comment ref="CP11" authorId="7">
      <text>
        <r>
          <rPr>
            <b/>
            <sz val="9"/>
            <color indexed="81"/>
            <rFont val="Tahoma"/>
            <family val="2"/>
          </rPr>
          <t xml:space="preserve">casselau:
8/30/16: US -4%; Intl -4%
</t>
        </r>
        <r>
          <rPr>
            <sz val="9"/>
            <color indexed="81"/>
            <rFont val="Tahoma"/>
            <family val="2"/>
          </rPr>
          <t>Flagship and tourist locations continued to account for the vast majority of the comparable sales decline as traffic remained a significant headwind. We were encouraged, however, by strong growth in the direct-to-consumer business, both domestically and internationally, and by a comparable sales recovery in the Hollister European business, including in the U.K. In addition, conversion trends were positive in both channels, across brand and geography</t>
        </r>
        <r>
          <rPr>
            <b/>
            <sz val="9"/>
            <color indexed="81"/>
            <rFont val="Tahoma"/>
            <family val="2"/>
          </rPr>
          <t xml:space="preserve">
5/26/16: expect 2Q to remain challenged</t>
        </r>
        <r>
          <rPr>
            <sz val="9"/>
            <color indexed="81"/>
            <rFont val="Tahoma"/>
            <family val="2"/>
          </rPr>
          <t xml:space="preserve">
3/2/16: expect disproportionate effect from FX and Hollister store closures in 2Q</t>
        </r>
      </text>
    </comment>
    <comment ref="CS11" authorId="8">
      <text>
        <r>
          <rPr>
            <b/>
            <sz val="9"/>
            <color indexed="81"/>
            <rFont val="Tahoma"/>
            <family val="2"/>
          </rPr>
          <t>Cassel, Lauren (Research):</t>
        </r>
        <r>
          <rPr>
            <sz val="9"/>
            <color indexed="81"/>
            <rFont val="Tahoma"/>
            <family val="2"/>
          </rPr>
          <t xml:space="preserve">
8/24/17: up slightly on constant FX ($5M headwind)</t>
        </r>
      </text>
    </comment>
    <comment ref="CT11" authorId="8">
      <text>
        <r>
          <rPr>
            <b/>
            <sz val="9"/>
            <color indexed="81"/>
            <rFont val="Tahoma"/>
            <family val="2"/>
          </rPr>
          <t xml:space="preserve">Cassel, Lauren (Research):
8/24/17: </t>
        </r>
        <r>
          <rPr>
            <sz val="9"/>
            <color indexed="81"/>
            <rFont val="Tahoma"/>
            <family val="2"/>
          </rPr>
          <t xml:space="preserve">US flat, Intl -1%; Global traffic trends continue to improve from last quarter, particularly in our physical stores, which included solid year-over-year growth in U.S. Hollister stores; A&amp;F saw sequential improvement through the quarter </t>
        </r>
        <r>
          <rPr>
            <b/>
            <sz val="9"/>
            <color indexed="81"/>
            <rFont val="Tahoma"/>
            <family val="2"/>
          </rPr>
          <t xml:space="preserve">
5/25/17: guidance: expect comps to remain challenged in 2Q</t>
        </r>
        <r>
          <rPr>
            <sz val="9"/>
            <color indexed="81"/>
            <rFont val="Tahoma"/>
            <family val="2"/>
          </rPr>
          <t xml:space="preserve">
3/2/17: expect 1H comps to remain challenging</t>
        </r>
      </text>
    </comment>
    <comment ref="CW11" authorId="12">
      <text>
        <r>
          <rPr>
            <b/>
            <sz val="9"/>
            <color indexed="81"/>
            <rFont val="Tahoma"/>
            <family val="2"/>
          </rPr>
          <t>Roberts, Cynthia (Research):</t>
        </r>
        <r>
          <rPr>
            <sz val="9"/>
            <color indexed="81"/>
            <rFont val="Tahoma"/>
            <family val="2"/>
          </rPr>
          <t xml:space="preserve">
3/7/18 total sales boost related to shift in calendar where 2Q will gain a BTS week</t>
        </r>
      </text>
    </comment>
    <comment ref="AJ12" authorId="9">
      <text>
        <r>
          <rPr>
            <b/>
            <sz val="8"/>
            <color indexed="81"/>
            <rFont val="Tahoma"/>
            <family val="2"/>
          </rPr>
          <t>Lehman Brothers:</t>
        </r>
        <r>
          <rPr>
            <sz val="8"/>
            <color indexed="81"/>
            <rFont val="Tahoma"/>
            <family val="2"/>
          </rPr>
          <t xml:space="preserve">
425.5, 395.2</t>
        </r>
      </text>
    </comment>
    <comment ref="AN12" authorId="1">
      <text>
        <r>
          <rPr>
            <b/>
            <sz val="8"/>
            <color indexed="81"/>
            <rFont val="Tahoma"/>
            <family val="2"/>
          </rPr>
          <t>dliu:</t>
        </r>
        <r>
          <rPr>
            <sz val="8"/>
            <color indexed="81"/>
            <rFont val="Tahoma"/>
            <family val="2"/>
          </rPr>
          <t xml:space="preserve">
461.8</t>
        </r>
      </text>
    </comment>
    <comment ref="AV12" authorId="2">
      <text>
        <r>
          <rPr>
            <b/>
            <sz val="8"/>
            <color indexed="81"/>
            <rFont val="Tahoma"/>
            <family val="2"/>
          </rPr>
          <t>Corinna Freedman:</t>
        </r>
        <r>
          <rPr>
            <sz val="8"/>
            <color indexed="81"/>
            <rFont val="Tahoma"/>
            <family val="2"/>
          </rPr>
          <t xml:space="preserve">
696.2</t>
        </r>
      </text>
    </comment>
    <comment ref="AZ12" authorId="3">
      <text>
        <r>
          <rPr>
            <b/>
            <sz val="8"/>
            <color indexed="81"/>
            <rFont val="Tahoma"/>
            <family val="2"/>
          </rPr>
          <t>MB33100:</t>
        </r>
        <r>
          <rPr>
            <sz val="8"/>
            <color indexed="81"/>
            <rFont val="Tahoma"/>
            <family val="2"/>
          </rPr>
          <t xml:space="preserve">
2,179 is YTD sales given in press release</t>
        </r>
      </text>
    </comment>
    <comment ref="BD12" authorId="13">
      <text>
        <r>
          <rPr>
            <b/>
            <sz val="8"/>
            <color indexed="81"/>
            <rFont val="Tahoma"/>
            <family val="2"/>
          </rPr>
          <t>kg51925:</t>
        </r>
        <r>
          <rPr>
            <sz val="8"/>
            <color indexed="81"/>
            <rFont val="Tahoma"/>
            <family val="2"/>
          </rPr>
          <t xml:space="preserve">
8/22/07 3Q rev est $978.0mm</t>
        </r>
      </text>
    </comment>
    <comment ref="BF12" authorId="10">
      <text>
        <r>
          <rPr>
            <sz val="8"/>
            <color indexed="81"/>
            <rFont val="Tahoma"/>
            <family val="2"/>
          </rPr>
          <t>@2Q07: The low end of ANF’s guidance reflects a
flat comparable store sale scenario for the 2H07.</t>
        </r>
      </text>
    </comment>
    <comment ref="BJ12" authorId="10">
      <text>
        <r>
          <rPr>
            <b/>
            <sz val="8"/>
            <color indexed="81"/>
            <rFont val="Tahoma"/>
            <family val="2"/>
          </rPr>
          <t xml:space="preserve">oc48540:
</t>
        </r>
        <r>
          <rPr>
            <sz val="8"/>
            <color indexed="81"/>
            <rFont val="Tahoma"/>
            <family val="2"/>
          </rPr>
          <t>8/15:</t>
        </r>
        <r>
          <rPr>
            <sz val="8"/>
            <color indexed="81"/>
            <rFont val="Tahoma"/>
            <family val="2"/>
          </rPr>
          <t xml:space="preserve">
Guidance at the low-end reflects a negative 7%
comparable store sales scenario for 2H08, which is consistent with the trend in
July.</t>
        </r>
      </text>
    </comment>
    <comment ref="BR12" authorId="5">
      <text>
        <r>
          <rPr>
            <b/>
            <sz val="8"/>
            <color indexed="81"/>
            <rFont val="Tahoma"/>
            <family val="2"/>
          </rPr>
          <t>nicholjs:</t>
        </r>
        <r>
          <rPr>
            <sz val="8"/>
            <color indexed="81"/>
            <rFont val="Tahoma"/>
            <family val="2"/>
          </rPr>
          <t xml:space="preserve">
9/2010: bought Fall to MSD comp
8/2010: bought Fall to MSD comp</t>
        </r>
      </text>
    </comment>
    <comment ref="BZ12" authorId="6">
      <text>
        <r>
          <rPr>
            <b/>
            <sz val="8"/>
            <color indexed="81"/>
            <rFont val="Tahoma"/>
            <family val="2"/>
          </rPr>
          <t xml:space="preserve">store only -3%
international -18%, US +2%
11/14: </t>
        </r>
        <r>
          <rPr>
            <sz val="8"/>
            <color indexed="81"/>
            <rFont val="Tahoma"/>
            <family val="2"/>
          </rPr>
          <t xml:space="preserve">comps in US dollars +2%, -18% international; US SSS +2%, chain stores +6%, flagship and tourist stores -12%; UK comps down high 20s; 
8/15/12: ANF projects comparable store sales will decline 10% for the second half of the year; </t>
        </r>
      </text>
    </comment>
    <comment ref="CD12" authorId="7">
      <text>
        <r>
          <rPr>
            <b/>
            <sz val="8"/>
            <color indexed="81"/>
            <rFont val="Tahoma"/>
            <family val="2"/>
          </rPr>
          <t xml:space="preserve">11/20: </t>
        </r>
        <r>
          <rPr>
            <sz val="8"/>
            <color indexed="81"/>
            <rFont val="Tahoma"/>
            <family val="2"/>
          </rPr>
          <t>sales weakest in August and September</t>
        </r>
        <r>
          <rPr>
            <b/>
            <sz val="8"/>
            <color indexed="81"/>
            <rFont val="Tahoma"/>
            <family val="2"/>
          </rPr>
          <t xml:space="preserve">
11/5/13: </t>
        </r>
        <r>
          <rPr>
            <sz val="8"/>
            <color indexed="81"/>
            <rFont val="Tahoma"/>
            <family val="2"/>
          </rPr>
          <t>-14% including DTC; US -14%, intl -15%, DTC +11%; stores -18%</t>
        </r>
        <r>
          <rPr>
            <b/>
            <sz val="8"/>
            <color indexed="81"/>
            <rFont val="Tahoma"/>
            <family val="2"/>
          </rPr>
          <t xml:space="preserve">
8/22/13: </t>
        </r>
        <r>
          <rPr>
            <sz val="8"/>
            <color indexed="81"/>
            <rFont val="Tahoma"/>
            <family val="2"/>
          </rPr>
          <t>guidance assumes comp will be slightly lower than 2Q</t>
        </r>
        <r>
          <rPr>
            <b/>
            <sz val="8"/>
            <color indexed="81"/>
            <rFont val="Tahoma"/>
            <family val="2"/>
          </rPr>
          <t xml:space="preserve">
casselau:</t>
        </r>
        <r>
          <rPr>
            <sz val="8"/>
            <color indexed="81"/>
            <rFont val="Tahoma"/>
            <family val="2"/>
          </rPr>
          <t xml:space="preserve">
</t>
        </r>
        <r>
          <rPr>
            <sz val="8"/>
            <color indexed="81"/>
            <rFont val="Tahoma"/>
            <family val="2"/>
          </rPr>
          <t>5/24/13: guidance assumes slightly negative comp for the balance of the year (incl DTC)</t>
        </r>
      </text>
    </comment>
    <comment ref="CF12" authorId="7">
      <text>
        <r>
          <rPr>
            <b/>
            <sz val="9"/>
            <color indexed="81"/>
            <rFont val="Tahoma"/>
            <family val="2"/>
          </rPr>
          <t>casselau:</t>
        </r>
        <r>
          <rPr>
            <sz val="9"/>
            <color indexed="81"/>
            <rFont val="Tahoma"/>
            <family val="2"/>
          </rPr>
          <t xml:space="preserve">
12/3/14: FX adversely affected sales by $8M</t>
        </r>
      </text>
    </comment>
    <comment ref="CH12" authorId="7">
      <text>
        <r>
          <rPr>
            <b/>
            <sz val="9"/>
            <color indexed="81"/>
            <rFont val="Tahoma"/>
            <family val="2"/>
          </rPr>
          <t xml:space="preserve">casselau:
11/7/14: </t>
        </r>
        <r>
          <rPr>
            <sz val="9"/>
            <color indexed="81"/>
            <rFont val="Tahoma"/>
            <family val="2"/>
          </rPr>
          <t>preannounce -10% incl DTC (US -7%, int'l -15%, DTC +8%); total stores -14%; September and October significantly weaker than August (which saw improvement from 2Q -7%); outlet comps +10%; stores only -14%, DTC +8%
logo -12% comp, fashion comp slightly positive; tops very negative, bottoms comped positively, dresses strong
traffic the primary driver, but average transaction vlue was also down driven by lower AUR
8/28/14: seen modest improvement since BTS floorset, but below plan QTD</t>
        </r>
      </text>
    </comment>
    <comment ref="CJ12" authorId="7">
      <text>
        <r>
          <rPr>
            <b/>
            <sz val="9"/>
            <color indexed="81"/>
            <rFont val="Tahoma"/>
            <family val="2"/>
          </rPr>
          <t>casselau:</t>
        </r>
        <r>
          <rPr>
            <sz val="9"/>
            <color indexed="81"/>
            <rFont val="Tahoma"/>
            <family val="2"/>
          </rPr>
          <t xml:space="preserve">
$36M negative FX impact</t>
        </r>
      </text>
    </comment>
    <comment ref="CK12" authorId="7">
      <text>
        <r>
          <rPr>
            <b/>
            <sz val="9"/>
            <color indexed="81"/>
            <rFont val="Tahoma"/>
            <family val="2"/>
          </rPr>
          <t>casselau:</t>
        </r>
        <r>
          <rPr>
            <sz val="9"/>
            <color indexed="81"/>
            <rFont val="Tahoma"/>
            <family val="2"/>
          </rPr>
          <t xml:space="preserve">
11/20/15: flat in CC</t>
        </r>
      </text>
    </comment>
    <comment ref="CL12" authorId="7">
      <text>
        <r>
          <rPr>
            <b/>
            <sz val="9"/>
            <color indexed="81"/>
            <rFont val="Tahoma"/>
            <family val="2"/>
          </rPr>
          <t xml:space="preserve">casselau:
11/20/15: US -3%, intl +1% (Europe positive for first time since 2011); </t>
        </r>
        <r>
          <rPr>
            <sz val="9"/>
            <color indexed="81"/>
            <rFont val="Tahoma"/>
            <family val="2"/>
          </rPr>
          <t>on a sequential basis, comparables sales trends improved across all brands and geographies; conversion strong; traffic challenging
8/26/15: expect further comparabale sales trend improvement; skewed towards 4Q; no logo headwinds in 3Q/4Q</t>
        </r>
      </text>
    </comment>
    <comment ref="CN12" authorId="8">
      <text>
        <r>
          <rPr>
            <b/>
            <sz val="9"/>
            <color indexed="81"/>
            <rFont val="Tahoma"/>
            <family val="2"/>
          </rPr>
          <t>Cassel, Lauren (Research):</t>
        </r>
        <r>
          <rPr>
            <sz val="9"/>
            <color indexed="81"/>
            <rFont val="Tahoma"/>
            <family val="2"/>
          </rPr>
          <t xml:space="preserve">
11/18/16: FX negatively impacted by -$8M</t>
        </r>
      </text>
    </comment>
    <comment ref="CO12" authorId="8">
      <text>
        <r>
          <rPr>
            <b/>
            <sz val="9"/>
            <color indexed="81"/>
            <rFont val="Tahoma"/>
            <family val="2"/>
          </rPr>
          <t>Cassel, Lauren (Research):</t>
        </r>
        <r>
          <rPr>
            <sz val="9"/>
            <color indexed="81"/>
            <rFont val="Tahoma"/>
            <family val="2"/>
          </rPr>
          <t xml:space="preserve">
8/30/16: FX disproportionate impact in 3Q</t>
        </r>
      </text>
    </comment>
    <comment ref="CP12" authorId="8">
      <text>
        <r>
          <rPr>
            <b/>
            <sz val="9"/>
            <color indexed="81"/>
            <rFont val="Tahoma"/>
            <family val="2"/>
          </rPr>
          <t>Cassel, Lauren (Research):</t>
        </r>
        <r>
          <rPr>
            <sz val="9"/>
            <color indexed="81"/>
            <rFont val="Tahoma"/>
            <family val="2"/>
          </rPr>
          <t xml:space="preserve">
11/18/16: US -5%, Intl -10%</t>
        </r>
      </text>
    </comment>
    <comment ref="CT12" authorId="8">
      <text>
        <r>
          <rPr>
            <b/>
            <sz val="9"/>
            <color indexed="81"/>
            <rFont val="Tahoma"/>
            <family val="2"/>
          </rPr>
          <t xml:space="preserve">Cassel, Lauren (Research):
</t>
        </r>
        <r>
          <rPr>
            <sz val="9"/>
            <color indexed="81"/>
            <rFont val="Tahoma"/>
            <family val="2"/>
          </rPr>
          <t>11/17/17: US +6%, Intl flat; Hollister saw growth across all channels and geographies; Abercrombie seeing "some signs of stabilization"
8/24/17: guidance: flat to up slightly comps; outlook incorporates QTD run rate</t>
        </r>
        <r>
          <rPr>
            <b/>
            <sz val="9"/>
            <color indexed="81"/>
            <rFont val="Tahoma"/>
            <family val="2"/>
          </rPr>
          <t xml:space="preserve">
</t>
        </r>
        <r>
          <rPr>
            <sz val="9"/>
            <color indexed="81"/>
            <rFont val="Tahoma"/>
            <family val="2"/>
          </rPr>
          <t xml:space="preserve">
5/25/17: expect results to improve in 2H</t>
        </r>
      </text>
    </comment>
    <comment ref="AJ13" authorId="9">
      <text>
        <r>
          <rPr>
            <b/>
            <sz val="8"/>
            <color indexed="81"/>
            <rFont val="Tahoma"/>
            <family val="2"/>
          </rPr>
          <t>Lehman Brothers:</t>
        </r>
        <r>
          <rPr>
            <sz val="8"/>
            <color indexed="81"/>
            <rFont val="Tahoma"/>
            <family val="2"/>
          </rPr>
          <t xml:space="preserve">
525.2</t>
        </r>
      </text>
    </comment>
    <comment ref="AN13" authorId="1">
      <text>
        <r>
          <rPr>
            <b/>
            <sz val="8"/>
            <color indexed="81"/>
            <rFont val="Tahoma"/>
            <family val="2"/>
          </rPr>
          <t>dliu:</t>
        </r>
        <r>
          <rPr>
            <sz val="8"/>
            <color indexed="81"/>
            <rFont val="Tahoma"/>
            <family val="2"/>
          </rPr>
          <t xml:space="preserve">
566.2, 545.9</t>
        </r>
      </text>
    </comment>
    <comment ref="AR13" authorId="2">
      <text>
        <r>
          <rPr>
            <b/>
            <sz val="8"/>
            <color indexed="81"/>
            <rFont val="Tahoma"/>
            <family val="2"/>
          </rPr>
          <t>Corinna Freedman:</t>
        </r>
        <r>
          <rPr>
            <sz val="8"/>
            <color indexed="81"/>
            <rFont val="Tahoma"/>
            <family val="2"/>
          </rPr>
          <t xml:space="preserve">
693.7</t>
        </r>
      </text>
    </comment>
    <comment ref="BE13" authorId="13">
      <text>
        <r>
          <rPr>
            <b/>
            <sz val="8"/>
            <color indexed="81"/>
            <rFont val="Tahoma"/>
            <family val="2"/>
          </rPr>
          <t>kg51925:</t>
        </r>
        <r>
          <rPr>
            <sz val="8"/>
            <color indexed="81"/>
            <rFont val="Tahoma"/>
            <family val="2"/>
          </rPr>
          <t xml:space="preserve">
8/22/07 sales growth would be 17.7% excluding an estimated $50mm of Nov '06 week 1 sales, yielding a comp/sales spread of ~16% as we est 4Q comp +1.3%</t>
        </r>
      </text>
    </comment>
    <comment ref="BF13" authorId="10">
      <text>
        <r>
          <rPr>
            <sz val="8"/>
            <color indexed="81"/>
            <rFont val="Tahoma"/>
            <family val="2"/>
          </rPr>
          <t>@2Q07: The low end of ANF’s guidance reflects a
flat comparable store sale scenario for the 2H07.</t>
        </r>
      </text>
    </comment>
    <comment ref="BJ13" authorId="10">
      <text>
        <r>
          <rPr>
            <b/>
            <sz val="8"/>
            <color indexed="81"/>
            <rFont val="Tahoma"/>
            <family val="2"/>
          </rPr>
          <t>oc48540:</t>
        </r>
        <r>
          <rPr>
            <sz val="8"/>
            <color indexed="81"/>
            <rFont val="Tahoma"/>
            <family val="2"/>
          </rPr>
          <t xml:space="preserve">
11/14/08: 4Q EPS guid of $1.00-$1.05 assumes comp of -26% inline with early Nov trend
8/15: Low end of guidance reflects -7% comp for 2H08, inline with July trend </t>
        </r>
      </text>
    </comment>
    <comment ref="BL13" authorId="4">
      <text>
        <r>
          <rPr>
            <b/>
            <sz val="8"/>
            <color indexed="81"/>
            <rFont val="Tahoma"/>
            <family val="2"/>
          </rPr>
          <t>mm98285:</t>
        </r>
        <r>
          <rPr>
            <sz val="8"/>
            <color indexed="81"/>
            <rFont val="Tahoma"/>
            <family val="2"/>
          </rPr>
          <t xml:space="preserve">
new flagship openings could provide
incremental revenues of ~$60-$70M in 4Q09 and more in 2010: Hollister Soho (July '09), abercrombie in NYC and Milan (both Nov. '09),
and A&amp;F flagships Copenhagen (Oct. '09), Milan (Nov. '09) &amp; Tokyo (Dec. 15, '09).</t>
        </r>
      </text>
    </comment>
    <comment ref="BQ13" authorId="10">
      <text>
        <r>
          <rPr>
            <b/>
            <sz val="8"/>
            <color indexed="81"/>
            <rFont val="Tahoma"/>
            <family val="2"/>
          </rPr>
          <t xml:space="preserve">11/15: </t>
        </r>
        <r>
          <rPr>
            <sz val="8"/>
            <color indexed="81"/>
            <rFont val="Tahoma"/>
            <family val="2"/>
          </rPr>
          <t>ANF confirmed that it will proceed with the opening of an A&amp;F
flagship store in Coppenhagen in late 2010. The company announced a new
A&amp;F flagship planned for Fukuoka, Japan in late 2010.
Company will open a Hollister
Epic on Fifth Avenue in New York
where it had previously been
planning to open an abercrombie
kids flagship.</t>
        </r>
      </text>
    </comment>
    <comment ref="BV13" authorId="6">
      <text>
        <r>
          <rPr>
            <sz val="8"/>
            <color indexed="81"/>
            <rFont val="Tahoma"/>
            <family val="2"/>
          </rPr>
          <t>2/2/2012: comps were below expectations primarily due to lower than expected sales in U.S. stores.</t>
        </r>
      </text>
    </comment>
    <comment ref="BX13" authorId="7">
      <text>
        <r>
          <rPr>
            <b/>
            <sz val="8"/>
            <color indexed="81"/>
            <rFont val="Tahoma"/>
            <family val="2"/>
          </rPr>
          <t>casselau:</t>
        </r>
        <r>
          <rPr>
            <sz val="8"/>
            <color indexed="81"/>
            <rFont val="Tahoma"/>
            <family val="2"/>
          </rPr>
          <t xml:space="preserve">
2.22.13: the extra week added ~62.8M sales to the comparable base</t>
        </r>
      </text>
    </comment>
    <comment ref="BZ13" authorId="6">
      <text>
        <r>
          <rPr>
            <b/>
            <sz val="8"/>
            <color indexed="81"/>
            <rFont val="Tahoma"/>
            <family val="2"/>
          </rPr>
          <t xml:space="preserve">store only -4%
international -14%; US -1%
</t>
        </r>
        <r>
          <rPr>
            <sz val="8"/>
            <color indexed="81"/>
            <rFont val="Tahoma"/>
            <family val="2"/>
          </rPr>
          <t xml:space="preserve">
2/22/13: </t>
        </r>
        <r>
          <rPr>
            <b/>
            <sz val="8"/>
            <color indexed="81"/>
            <rFont val="Tahoma"/>
            <family val="2"/>
          </rPr>
          <t>stores -4%; including DTC, -1%; DTC +17%; US stores -1%, including DTC flat (DTC +5%); international stores -14%, including DTC -3% (DTC +52%)</t>
        </r>
        <r>
          <rPr>
            <sz val="8"/>
            <color indexed="81"/>
            <rFont val="Tahoma"/>
            <family val="2"/>
          </rPr>
          <t xml:space="preserve">
11/14/12: -MSD
8/15/12: ANF projects comparable store sales will decline 10% for the second half of the year.</t>
        </r>
      </text>
    </comment>
    <comment ref="CC13" authorId="7">
      <text>
        <r>
          <rPr>
            <b/>
            <sz val="8"/>
            <color indexed="81"/>
            <rFont val="Tahoma"/>
            <family val="2"/>
          </rPr>
          <t>casselau:</t>
        </r>
        <r>
          <rPr>
            <sz val="8"/>
            <color indexed="81"/>
            <rFont val="Tahoma"/>
            <family val="2"/>
          </rPr>
          <t xml:space="preserve">
11/20/13: extra week $82M (5.6% of 4Q12)</t>
        </r>
      </text>
    </comment>
    <comment ref="CD13" authorId="7">
      <text>
        <r>
          <rPr>
            <b/>
            <sz val="8"/>
            <color indexed="81"/>
            <rFont val="Tahoma"/>
            <family val="2"/>
          </rPr>
          <t xml:space="preserve">2/26/14: US -8%, intl -9%, DTC +18% </t>
        </r>
        <r>
          <rPr>
            <sz val="8"/>
            <color indexed="81"/>
            <rFont val="Tahoma"/>
            <family val="2"/>
          </rPr>
          <t>(stores only: US -1%, intl -18%, total -16%)</t>
        </r>
        <r>
          <rPr>
            <b/>
            <sz val="8"/>
            <color indexed="81"/>
            <rFont val="Tahoma"/>
            <family val="2"/>
          </rPr>
          <t xml:space="preserve">
1/9/14:  </t>
        </r>
        <r>
          <rPr>
            <sz val="8"/>
            <color indexed="81"/>
            <rFont val="Tahoma"/>
            <family val="2"/>
          </rPr>
          <t>Holiday comp -6% (incl. ecomm); US -4%, intl -10%; DTC +25%; updated EPS guidance assumes Jan comp below QTD trend due to tougher compare</t>
        </r>
        <r>
          <rPr>
            <b/>
            <sz val="8"/>
            <color indexed="81"/>
            <rFont val="Tahoma"/>
            <family val="2"/>
          </rPr>
          <t xml:space="preserve">
11/5/13: </t>
        </r>
        <r>
          <rPr>
            <sz val="8"/>
            <color indexed="81"/>
            <rFont val="Tahoma"/>
            <family val="2"/>
          </rPr>
          <t>expect -LDD comp</t>
        </r>
        <r>
          <rPr>
            <b/>
            <sz val="8"/>
            <color indexed="81"/>
            <rFont val="Tahoma"/>
            <family val="2"/>
          </rPr>
          <t xml:space="preserve">
casselau:</t>
        </r>
        <r>
          <rPr>
            <sz val="8"/>
            <color indexed="81"/>
            <rFont val="Tahoma"/>
            <family val="2"/>
          </rPr>
          <t xml:space="preserve">
5/24/13: guidance assumes slightly negative comp for the balance of the year (including DTC)</t>
        </r>
      </text>
    </comment>
    <comment ref="CG13" authorId="7">
      <text>
        <r>
          <rPr>
            <b/>
            <sz val="9"/>
            <color indexed="81"/>
            <rFont val="Tahoma"/>
            <family val="2"/>
          </rPr>
          <t>casselau:</t>
        </r>
        <r>
          <rPr>
            <sz val="9"/>
            <color indexed="81"/>
            <rFont val="Tahoma"/>
            <family val="2"/>
          </rPr>
          <t xml:space="preserve">
3/3/15: FX contributed 270 bps of the sales decline</t>
        </r>
      </text>
    </comment>
    <comment ref="CH13" authorId="7">
      <text>
        <r>
          <rPr>
            <b/>
            <sz val="9"/>
            <color indexed="81"/>
            <rFont val="Tahoma"/>
            <family val="2"/>
          </rPr>
          <t xml:space="preserve">casselau:
</t>
        </r>
        <r>
          <rPr>
            <b/>
            <sz val="9"/>
            <color indexed="81"/>
            <rFont val="Calibri"/>
            <family val="2"/>
          </rPr>
          <t>3/3/15: US -6% (stores -10%, DTC +4%), international -17% (stores -20%, DTC -5%); (stores -13%; DTC +1%; logo -12%, non-logo up slightly (logo was 25-30%, now is 12-15%)</t>
        </r>
        <r>
          <rPr>
            <b/>
            <sz val="9"/>
            <color indexed="81"/>
            <rFont val="Tahoma"/>
            <family val="2"/>
          </rPr>
          <t xml:space="preserve">
</t>
        </r>
        <r>
          <rPr>
            <sz val="9"/>
            <color indexed="81"/>
            <rFont val="Tahoma"/>
            <family val="2"/>
          </rPr>
          <t xml:space="preserve">
12/3/14: guidance: -M-HSD</t>
        </r>
      </text>
    </comment>
    <comment ref="CK13" authorId="7">
      <text>
        <r>
          <rPr>
            <b/>
            <sz val="9"/>
            <color indexed="81"/>
            <rFont val="Tahoma"/>
            <family val="2"/>
          </rPr>
          <t>casselau:</t>
        </r>
        <r>
          <rPr>
            <sz val="9"/>
            <color indexed="81"/>
            <rFont val="Tahoma"/>
            <family val="2"/>
          </rPr>
          <t xml:space="preserve">
+2% CC</t>
        </r>
      </text>
    </comment>
    <comment ref="CL13" authorId="7">
      <text>
        <r>
          <rPr>
            <b/>
            <sz val="9"/>
            <color indexed="81"/>
            <rFont val="Tahoma"/>
            <family val="2"/>
          </rPr>
          <t>casselau:
3/2/16: US -1%; Int'l +6%
11/20/15: guidance: flat comp</t>
        </r>
        <r>
          <rPr>
            <sz val="9"/>
            <color indexed="81"/>
            <rFont val="Tahoma"/>
            <family val="2"/>
          </rPr>
          <t xml:space="preserve">
8/26/15: expect further comparabale sales trend improvement; skewed towards 4Q</t>
        </r>
      </text>
    </comment>
    <comment ref="CN13" authorId="8">
      <text>
        <r>
          <rPr>
            <b/>
            <sz val="9"/>
            <color indexed="81"/>
            <rFont val="Tahoma"/>
            <family val="2"/>
          </rPr>
          <t>Cassel, Lauren (Research):</t>
        </r>
        <r>
          <rPr>
            <sz val="9"/>
            <color indexed="81"/>
            <rFont val="Tahoma"/>
            <family val="2"/>
          </rPr>
          <t xml:space="preserve">
3/2/17: FX negatively impacted sales by $15M</t>
        </r>
      </text>
    </comment>
    <comment ref="CO13" authorId="7">
      <text>
        <r>
          <rPr>
            <b/>
            <sz val="9"/>
            <color indexed="81"/>
            <rFont val="Tahoma"/>
            <family val="2"/>
          </rPr>
          <t>casselau:</t>
        </r>
        <r>
          <rPr>
            <sz val="9"/>
            <color indexed="81"/>
            <rFont val="Tahoma"/>
            <family val="2"/>
          </rPr>
          <t xml:space="preserve">
3/2/16: FX less of a headwind</t>
        </r>
      </text>
    </comment>
    <comment ref="CP13" authorId="8">
      <text>
        <r>
          <rPr>
            <b/>
            <sz val="9"/>
            <color indexed="81"/>
            <rFont val="Tahoma"/>
            <family val="2"/>
          </rPr>
          <t xml:space="preserve">Cassel, Lauren (Research):
3/1/17: US -6%; Intl -4% (strongest improvement in Europe); traffic negative but conversion positive
</t>
        </r>
        <r>
          <rPr>
            <sz val="9"/>
            <color indexed="81"/>
            <rFont val="Tahoma"/>
            <family val="2"/>
          </rPr>
          <t xml:space="preserve">
11/18/16: EXPECT COMPARABLE SALES TO BE CHALLENGING, BUT MODESTLY IMPROVED FROM THE THIRD QUARTER</t>
        </r>
      </text>
    </comment>
    <comment ref="CS13" authorId="8">
      <text>
        <r>
          <rPr>
            <b/>
            <sz val="9"/>
            <color indexed="81"/>
            <rFont val="Tahoma"/>
            <family val="2"/>
          </rPr>
          <t xml:space="preserve">Cassel, Lauren (Research):
</t>
        </r>
        <r>
          <rPr>
            <sz val="9"/>
            <color indexed="81"/>
            <rFont val="Tahoma"/>
            <family val="2"/>
          </rPr>
          <t xml:space="preserve">3/8/18: extra week  +4% benefit ($41M), FX +3% benefit ($27M)
1/22/18: Holiday update, net sales up low teens including 53rd week and changes in FX </t>
        </r>
        <r>
          <rPr>
            <b/>
            <sz val="9"/>
            <color indexed="81"/>
            <rFont val="Tahoma"/>
            <family val="2"/>
          </rPr>
          <t xml:space="preserve">
</t>
        </r>
        <r>
          <rPr>
            <sz val="9"/>
            <color indexed="81"/>
            <rFont val="Tahoma"/>
            <family val="2"/>
          </rPr>
          <t xml:space="preserve">11/17/17: +M-HSD including $38M from 53rd week (3.7% benefit), $20M from favorable FX (1.9% benefit)
</t>
        </r>
        <r>
          <rPr>
            <b/>
            <sz val="9"/>
            <color indexed="81"/>
            <rFont val="Tahoma"/>
            <family val="2"/>
          </rPr>
          <t xml:space="preserve">
</t>
        </r>
        <r>
          <rPr>
            <sz val="9"/>
            <color indexed="81"/>
            <rFont val="Tahoma"/>
            <family val="2"/>
          </rPr>
          <t>3/2/16: 53rd week $40M in sales = 3.9% benefit
12/22/16: the 2012 53rd week added added ~62.8M sales to the comparable base, but revenue base has declined 25% since then, so assume ~$47M in incremental sales or  +4.5%</t>
        </r>
      </text>
    </comment>
    <comment ref="CT13" authorId="8">
      <text>
        <r>
          <rPr>
            <b/>
            <sz val="9"/>
            <color indexed="81"/>
            <rFont val="Tahoma"/>
            <family val="2"/>
          </rPr>
          <t>Cassel, Lauren (Research):</t>
        </r>
        <r>
          <rPr>
            <sz val="9"/>
            <color indexed="81"/>
            <rFont val="Tahoma"/>
            <family val="2"/>
          </rPr>
          <t xml:space="preserve">
3/7/18: US +11%, Intl +5%
1/22/18: Holiday update comps +HSD
11/17/17: Guidance +LSD
8/24/17: guidance: flat to up slightly comps</t>
        </r>
      </text>
    </comment>
    <comment ref="AR14" authorId="1">
      <text>
        <r>
          <rPr>
            <b/>
            <sz val="8"/>
            <color indexed="81"/>
            <rFont val="Tahoma"/>
            <family val="2"/>
          </rPr>
          <t>dliu:</t>
        </r>
        <r>
          <rPr>
            <sz val="8"/>
            <color indexed="81"/>
            <rFont val="Tahoma"/>
            <family val="2"/>
          </rPr>
          <t xml:space="preserve">
3/31/04: biz in FY03 was 65% Apparel (hanging) and 35% non-hanging (inc. innerwear, sleepwear, swim and u/wr). Approx 1/2 of that 35% was the access biz. Now b/c of success of fun zones, co. expects components to change to 60% Apparel/40% non-apparel. And in 2003, the largest avg store sales increases were in access.</t>
        </r>
      </text>
    </comment>
    <comment ref="BN14" authorId="5">
      <text>
        <r>
          <rPr>
            <b/>
            <sz val="8"/>
            <color indexed="81"/>
            <rFont val="Tahoma"/>
            <family val="2"/>
          </rPr>
          <t>nicholjs:</t>
        </r>
        <r>
          <rPr>
            <sz val="8"/>
            <color indexed="81"/>
            <rFont val="Tahoma"/>
            <family val="2"/>
          </rPr>
          <t xml:space="preserve">
comparable store sales were down in all U.S. regions and Canada. Comparable store sales were positive in the United Kingdom.
from a comparable store sales perspective across all brands, the masculine categories out-paced the feminine categories. From a merchandise classification standpoint, across all brands, for the male business, fragrance and sweaters were stronger performing categories, while knit tops and graphic tees were the weaker performing categories. For the female business, woven shirts and dresses were stronger performing categories, while sweaters and knit tops were weaker categories.</t>
        </r>
      </text>
    </comment>
    <comment ref="BR14" authorId="5">
      <text>
        <r>
          <rPr>
            <b/>
            <sz val="8"/>
            <color indexed="81"/>
            <rFont val="Tahoma"/>
            <family val="2"/>
          </rPr>
          <t>nicholjs:</t>
        </r>
        <r>
          <rPr>
            <sz val="8"/>
            <color indexed="81"/>
            <rFont val="Tahoma"/>
            <family val="2"/>
          </rPr>
          <t xml:space="preserve">
Europe was the strongest performing region, while Canada and Japan were the weakest. Within the U.S., flagship and tourist stores outperformed non-tourist stores, though all store categories experienced positive comparable store sales.
from a comparable store sales perspective across all brands, the masculine categories out-paced the feminine categories. From a merchandise classification standpoint, woven shirts, fleece, and outerwear were stronger performing categories for the male business while jeans and graphics were the weaker performing categories. In the female business, woven shirts, dresses, and fleece were stronger performing categories, while knit tops and jeans were weaker performing categories.</t>
        </r>
      </text>
    </comment>
    <comment ref="BV14" authorId="5">
      <text>
        <r>
          <rPr>
            <b/>
            <sz val="8"/>
            <color indexed="81"/>
            <rFont val="Tahoma"/>
            <family val="2"/>
          </rPr>
          <t>nicholjs:</t>
        </r>
        <r>
          <rPr>
            <sz val="8"/>
            <color indexed="81"/>
            <rFont val="Tahoma"/>
            <family val="2"/>
          </rPr>
          <t xml:space="preserve">
10K: During 2010, achieved same store sales growth of 7%, and the Company is targeting same store sales increases at this level or greater in each of 2011 and 2012.
3/9/2011: continue to target a MSD comp increase for 2011 as a whole and were in line w/ that objective for February
2/2011: targeting comp growth in line w/ 2010 on a full year basis</t>
        </r>
      </text>
    </comment>
    <comment ref="BY14" authorId="14">
      <text>
        <r>
          <rPr>
            <sz val="8"/>
            <color indexed="81"/>
            <rFont val="Tahoma"/>
            <family val="2"/>
          </rPr>
          <t>5/16/2012:   "Assuming FX rates in-line with current spot prices.  Now anticipate the sales growth contribution from the new stores to be around 500 million."
2/15/2012 guide: expect strong DTC growth and greater than $300 mil contribution from new stores.  Also expect -$50 hit from FX and -$70 hit from store closures.  Assuming FX rates in-line with current spot prices.</t>
        </r>
      </text>
    </comment>
    <comment ref="BZ14" authorId="14">
      <text>
        <r>
          <rPr>
            <sz val="8"/>
            <color indexed="81"/>
            <rFont val="Tahoma"/>
            <family val="2"/>
          </rPr>
          <t>2/22/13: including DTC -1%; total DTC +24%; US: stores -1%, +1% DTC (+15% total); international stores -19%, -8% including DTC (DTC +46%)
11/14/12: guidance -MSD
5/16/2012 guide:  down MSD
"... comprising modestly positive sales for U.S. chain stores and mid-teen negative likes for international and U.S. tourist stores. This projection is based on the trend over the last quarter and does not include any further slowing from that trend. However, it also does not include any benefit from lapping of more favorable compares later in the year. We have revised our noncomp store sales projections consistent with the lower trend for comp stores and now anticipate the sales growth contribution from the new stores to be around 500 million."
"Will attempt to raise AUR for the balance of the year.  In Europe, AUR will be up slightly in spring and down slightly in fall and a little more down in A&amp;F and Hollister for the fall season."
2/15/2012 guide: flat
2/2/2012 guide: flat</t>
        </r>
      </text>
    </comment>
    <comment ref="CB14" authorId="7">
      <text>
        <r>
          <rPr>
            <b/>
            <sz val="9"/>
            <color indexed="81"/>
            <rFont val="Tahoma"/>
            <family val="2"/>
          </rPr>
          <t>casselau:</t>
        </r>
        <r>
          <rPr>
            <sz val="9"/>
            <color indexed="81"/>
            <rFont val="Tahoma"/>
            <family val="2"/>
          </rPr>
          <t xml:space="preserve">
2/26/14: changes in FX exchange rates vs. LY benefitted sales by $9M</t>
        </r>
      </text>
    </comment>
    <comment ref="CD14" authorId="7">
      <text>
        <r>
          <rPr>
            <b/>
            <sz val="8"/>
            <color indexed="81"/>
            <rFont val="Tahoma"/>
            <family val="2"/>
          </rPr>
          <t xml:space="preserve">casselau:
2/26/13: US -11%, intl -11%; </t>
        </r>
        <r>
          <rPr>
            <sz val="8"/>
            <color indexed="81"/>
            <rFont val="Tahoma"/>
            <family val="2"/>
          </rPr>
          <t>store only: US -15%, intl -19%, -16% total</t>
        </r>
        <r>
          <rPr>
            <b/>
            <sz val="8"/>
            <color indexed="81"/>
            <rFont val="Tahoma"/>
            <family val="2"/>
          </rPr>
          <t xml:space="preserve">
5/24/13: </t>
        </r>
        <r>
          <rPr>
            <sz val="8"/>
            <color indexed="81"/>
            <rFont val="Tahoma"/>
            <family val="2"/>
          </rPr>
          <t>guidance assumes slightly negative comp for the balance of the year (including DTC)</t>
        </r>
        <r>
          <rPr>
            <sz val="8"/>
            <color indexed="81"/>
            <rFont val="Tahoma"/>
            <family val="2"/>
          </rPr>
          <t xml:space="preserve">
2/22/13: guidance: ~flat comp (including DTC), with slightly negative comparable store sales</t>
        </r>
      </text>
    </comment>
    <comment ref="CH14" authorId="7">
      <text>
        <r>
          <rPr>
            <b/>
            <sz val="8"/>
            <color indexed="81"/>
            <rFont val="Tahoma"/>
            <family val="2"/>
          </rPr>
          <t xml:space="preserve">casselau:
3/3/15: US -6%, international -12%
</t>
        </r>
        <r>
          <rPr>
            <sz val="8"/>
            <color indexed="81"/>
            <rFont val="Tahoma"/>
            <family val="2"/>
          </rPr>
          <t xml:space="preserve">
8/28/14: guidance assumes -MSD comp</t>
        </r>
        <r>
          <rPr>
            <b/>
            <sz val="8"/>
            <color indexed="81"/>
            <rFont val="Tahoma"/>
            <family val="2"/>
          </rPr>
          <t xml:space="preserve">
</t>
        </r>
        <r>
          <rPr>
            <sz val="8"/>
            <color indexed="81"/>
            <rFont val="Tahoma"/>
            <family val="2"/>
          </rPr>
          <t>5/29/14: blended comp -3 to -4% (stores -HSD, ecomm +20%) 
2/26/14: guidance: store comp -HSD comp; does not include any benefit it may realize from long-range plan initiatives, but also does not reflect further potential deterioration in underlying trends</t>
        </r>
      </text>
    </comment>
    <comment ref="CK14" authorId="7">
      <text>
        <r>
          <rPr>
            <b/>
            <sz val="9"/>
            <color indexed="81"/>
            <rFont val="Tahoma"/>
            <family val="2"/>
          </rPr>
          <t>casselau:
3/2/16: -2% CC: FX had $153M impact on sales</t>
        </r>
        <r>
          <rPr>
            <sz val="9"/>
            <color indexed="81"/>
            <rFont val="Tahoma"/>
            <family val="2"/>
          </rPr>
          <t xml:space="preserve">
5/28/15: guidance: expect continued headwinds from FX currency exchange rates</t>
        </r>
      </text>
    </comment>
    <comment ref="CL14" authorId="7">
      <text>
        <r>
          <rPr>
            <b/>
            <sz val="9"/>
            <color indexed="81"/>
            <rFont val="Tahoma"/>
            <family val="2"/>
          </rPr>
          <t>casselau:
3/2/16: US -3%, intl -1%</t>
        </r>
        <r>
          <rPr>
            <sz val="9"/>
            <color indexed="81"/>
            <rFont val="Tahoma"/>
            <family val="2"/>
          </rPr>
          <t xml:space="preserve">
5/28/15: guidance: expect sequential comparable sales improvement into 2Q and 2H15</t>
        </r>
      </text>
    </comment>
    <comment ref="CN14" authorId="8">
      <text>
        <r>
          <rPr>
            <b/>
            <sz val="9"/>
            <color indexed="81"/>
            <rFont val="Tahoma"/>
            <family val="2"/>
          </rPr>
          <t>Cassel, Lauren (Research):</t>
        </r>
        <r>
          <rPr>
            <sz val="9"/>
            <color indexed="81"/>
            <rFont val="Tahoma"/>
            <family val="2"/>
          </rPr>
          <t xml:space="preserve">
3/2/17: FX negatively impacted by $32M</t>
        </r>
      </text>
    </comment>
    <comment ref="CO14" authorId="7">
      <text>
        <r>
          <rPr>
            <b/>
            <sz val="9"/>
            <color indexed="81"/>
            <rFont val="Tahoma"/>
            <family val="2"/>
          </rPr>
          <t xml:space="preserve">casselau:
8/30/16: expect adverse effects from FX on sales of approximately $25M and on operating income of approximately $20 million, with the greatest impact in the third quarter
5/26/16: </t>
        </r>
        <r>
          <rPr>
            <sz val="9"/>
            <color indexed="81"/>
            <rFont val="Tahoma"/>
            <family val="2"/>
          </rPr>
          <t>expect adverse effects from foreign currency on sales of ~$10M (0.3%) including the y/y impact from hedging</t>
        </r>
        <r>
          <rPr>
            <b/>
            <sz val="9"/>
            <color indexed="81"/>
            <rFont val="Tahoma"/>
            <family val="2"/>
          </rPr>
          <t xml:space="preserve">
3/2/16: </t>
        </r>
        <r>
          <rPr>
            <sz val="9"/>
            <color indexed="81"/>
            <rFont val="Tahoma"/>
            <family val="2"/>
          </rPr>
          <t>adverse effects from FX on sales of ~$50M (~1.4%)</t>
        </r>
      </text>
    </comment>
    <comment ref="CP14" authorId="7">
      <text>
        <r>
          <rPr>
            <b/>
            <sz val="9"/>
            <color indexed="81"/>
            <rFont val="Tahoma"/>
            <family val="2"/>
          </rPr>
          <t>casselau:
3/2/17: US -5%, Intl -6%
8/30/16: guidance: expect comparable sales to remain challenging through 2H, with a disproportionate effect from flagship and tourist locations
5/26/16:</t>
        </r>
        <r>
          <rPr>
            <sz val="9"/>
            <color indexed="81"/>
            <rFont val="Tahoma"/>
            <family val="2"/>
          </rPr>
          <t>guidance: expect comparable sales to remain challenging in 2Q, but to improve in 2H</t>
        </r>
        <r>
          <rPr>
            <b/>
            <sz val="9"/>
            <color indexed="81"/>
            <rFont val="Tahoma"/>
            <family val="2"/>
          </rPr>
          <t xml:space="preserve">
</t>
        </r>
        <r>
          <rPr>
            <sz val="9"/>
            <color indexed="81"/>
            <rFont val="Tahoma"/>
            <family val="2"/>
          </rPr>
          <t xml:space="preserve">
</t>
        </r>
        <r>
          <rPr>
            <b/>
            <sz val="9"/>
            <color indexed="81"/>
            <rFont val="Tahoma"/>
            <family val="2"/>
          </rPr>
          <t xml:space="preserve">3/2/16: guidance: </t>
        </r>
        <r>
          <rPr>
            <sz val="9"/>
            <color indexed="81"/>
            <rFont val="Tahoma"/>
            <family val="2"/>
          </rPr>
          <t>flat to slightly positive comps</t>
        </r>
      </text>
    </comment>
    <comment ref="CR14" authorId="8">
      <text>
        <r>
          <rPr>
            <b/>
            <sz val="9"/>
            <color indexed="81"/>
            <rFont val="Tahoma"/>
            <family val="2"/>
          </rPr>
          <t>Cassel, Lauren (Research):</t>
        </r>
        <r>
          <rPr>
            <sz val="9"/>
            <color indexed="81"/>
            <rFont val="Tahoma"/>
            <family val="2"/>
          </rPr>
          <t xml:space="preserve">
3/2/17: FX will negatively impact sales by ~$55M</t>
        </r>
      </text>
    </comment>
    <comment ref="CS14" authorId="8">
      <text>
        <r>
          <rPr>
            <b/>
            <sz val="9"/>
            <color indexed="81"/>
            <rFont val="Tahoma"/>
            <family val="2"/>
          </rPr>
          <t xml:space="preserve">Cassel, Lauren (Research):
</t>
        </r>
        <r>
          <rPr>
            <sz val="9"/>
            <color indexed="81"/>
            <rFont val="Tahoma"/>
            <family val="2"/>
          </rPr>
          <t>3/7/18:53rd week +1%, FX +1%
8/24/17: FX will be a slight benefit to sales and operating income
3/2/17: FX will negatively impact sales by ~$55M = 1.7%</t>
        </r>
      </text>
    </comment>
    <comment ref="CT14" authorId="8">
      <text>
        <r>
          <rPr>
            <b/>
            <sz val="9"/>
            <color indexed="81"/>
            <rFont val="Tahoma"/>
            <family val="2"/>
          </rPr>
          <t>Cassel, Lauren (Research):
8/24/17: expects comps to be ~flat and flat to up slightly in 2H
5/25/17: expect comps to remain challenging in 2Q with trend improvement in 2H</t>
        </r>
        <r>
          <rPr>
            <sz val="9"/>
            <color indexed="81"/>
            <rFont val="Tahoma"/>
            <family val="2"/>
          </rPr>
          <t xml:space="preserve">
3/2/17: guidance: expect comparable store sales to improve for the full year, but to remain challening for 1H with Hollister to maintain or improve its comps and A&amp;F to improve throughout the year; conversion is main driver of assumed improvement</t>
        </r>
      </text>
    </comment>
    <comment ref="CW14" authorId="12">
      <text>
        <r>
          <rPr>
            <b/>
            <sz val="9"/>
            <color indexed="81"/>
            <rFont val="Tahoma"/>
            <family val="2"/>
          </rPr>
          <t>Roberts, Cynthia (Research):</t>
        </r>
        <r>
          <rPr>
            <sz val="9"/>
            <color indexed="81"/>
            <rFont val="Tahoma"/>
            <family val="2"/>
          </rPr>
          <t xml:space="preserve">
3/7/18: Guidance +LSD, with FX benefits largely offset by the adverse impact of losing the 53rd week; FX $50M to benefit to net sales ($15M benefit to EBIT)</t>
        </r>
      </text>
    </comment>
    <comment ref="CX14" authorId="12">
      <text>
        <r>
          <rPr>
            <b/>
            <sz val="9"/>
            <color indexed="81"/>
            <rFont val="Tahoma"/>
            <family val="2"/>
          </rPr>
          <t>Roberts, Cynthia (Research):</t>
        </r>
        <r>
          <rPr>
            <sz val="9"/>
            <color indexed="81"/>
            <rFont val="Tahoma"/>
            <family val="2"/>
          </rPr>
          <t xml:space="preserve">
3/7/18: Guidance +LSD </t>
        </r>
      </text>
    </comment>
    <comment ref="AJ20" authorId="2">
      <text>
        <r>
          <rPr>
            <b/>
            <sz val="8"/>
            <color indexed="81"/>
            <rFont val="Tahoma"/>
            <family val="2"/>
          </rPr>
          <t>Corinna Freedman:</t>
        </r>
        <r>
          <rPr>
            <sz val="8"/>
            <color indexed="81"/>
            <rFont val="Tahoma"/>
            <family val="2"/>
          </rPr>
          <t xml:space="preserve">
prior to restatement = 198.363</t>
        </r>
      </text>
    </comment>
    <comment ref="AN20" authorId="2">
      <text>
        <r>
          <rPr>
            <sz val="8"/>
            <color indexed="81"/>
            <rFont val="Tahoma"/>
            <family val="2"/>
          </rPr>
          <t>prior to restatement for B&amp;O = 218.144
prior to restatement for leases = 218.534</t>
        </r>
      </text>
    </comment>
    <comment ref="AO20" authorId="1">
      <text>
        <r>
          <rPr>
            <b/>
            <sz val="8"/>
            <color indexed="81"/>
            <rFont val="Tahoma"/>
            <family val="2"/>
          </rPr>
          <t>dliu:</t>
        </r>
        <r>
          <rPr>
            <sz val="8"/>
            <color indexed="81"/>
            <rFont val="Tahoma"/>
            <family val="2"/>
          </rPr>
          <t xml:space="preserve">
36.6</t>
        </r>
      </text>
    </comment>
    <comment ref="AR20" authorId="2">
      <text>
        <r>
          <rPr>
            <b/>
            <sz val="8"/>
            <color indexed="81"/>
            <rFont val="Tahoma"/>
            <family val="2"/>
          </rPr>
          <t>Corinna Freedman:</t>
        </r>
        <r>
          <rPr>
            <sz val="8"/>
            <color indexed="81"/>
            <rFont val="Tahoma"/>
            <family val="2"/>
          </rPr>
          <t xml:space="preserve">
prior to restatement = 246.34</t>
        </r>
      </text>
    </comment>
    <comment ref="AV20" authorId="2">
      <text>
        <r>
          <rPr>
            <sz val="8"/>
            <color indexed="81"/>
            <rFont val="Tahoma"/>
            <family val="2"/>
          </rPr>
          <t>prior to restatement for B&amp;O = 317.1</t>
        </r>
      </text>
    </comment>
    <comment ref="AW20" authorId="2">
      <text>
        <r>
          <rPr>
            <b/>
            <sz val="8"/>
            <color indexed="81"/>
            <rFont val="Tahoma"/>
            <family val="2"/>
          </rPr>
          <t>Corinna Freedman:</t>
        </r>
        <r>
          <rPr>
            <sz val="8"/>
            <color indexed="81"/>
            <rFont val="Tahoma"/>
            <family val="2"/>
          </rPr>
          <t xml:space="preserve">
prior to restatement for B&amp;O = 42%</t>
        </r>
      </text>
    </comment>
    <comment ref="BA20" authorId="2">
      <text>
        <r>
          <rPr>
            <sz val="8"/>
            <color indexed="81"/>
            <rFont val="Tahoma"/>
            <family val="2"/>
          </rPr>
          <t>+10bps: Increase in GM from slighly lower markdown rate versus LY</t>
        </r>
        <r>
          <rPr>
            <b/>
            <sz val="8"/>
            <color indexed="81"/>
            <rFont val="Tahoma"/>
            <family val="2"/>
          </rPr>
          <t xml:space="preserve">
Corinna Freedman:</t>
        </r>
        <r>
          <rPr>
            <sz val="8"/>
            <color indexed="81"/>
            <rFont val="Tahoma"/>
            <family val="2"/>
          </rPr>
          <t xml:space="preserve">
prior to restatement for B&amp;O = 42%</t>
        </r>
      </text>
    </comment>
    <comment ref="BE20" authorId="10">
      <text>
        <r>
          <rPr>
            <sz val="8"/>
            <color indexed="81"/>
            <rFont val="Tahoma"/>
            <family val="2"/>
          </rPr>
          <t xml:space="preserve">GM increased 20 bps: due to higher IMU partially offset by higher markdowns. </t>
        </r>
      </text>
    </comment>
    <comment ref="BI20" authorId="4">
      <text>
        <r>
          <rPr>
            <b/>
            <sz val="8"/>
            <color indexed="81"/>
            <rFont val="Tahoma"/>
            <family val="2"/>
          </rPr>
          <t>mm98285:</t>
        </r>
        <r>
          <rPr>
            <sz val="8"/>
            <color indexed="81"/>
            <rFont val="Tahoma"/>
            <family val="2"/>
          </rPr>
          <t xml:space="preserve">
1) higher IMU (London premium pricing, sourcing &amp; logistics benefits and select pricing increases) and 2) lower shrink rate, partially offset by 3) slightly higher MD rate</t>
        </r>
      </text>
    </comment>
    <comment ref="BM20" authorId="15">
      <text>
        <r>
          <rPr>
            <b/>
            <sz val="8"/>
            <color indexed="81"/>
            <rFont val="Tahoma"/>
            <family val="2"/>
          </rPr>
          <t>TI23070:</t>
        </r>
        <r>
          <rPr>
            <sz val="8"/>
            <color indexed="81"/>
            <rFont val="Tahoma"/>
            <family val="2"/>
          </rPr>
          <t xml:space="preserve">
5/09: GM pressure on increased markdowns vs. LY.  
Merch margins: we estimate flattish in Feb, down in March, down in April </t>
        </r>
      </text>
    </comment>
    <comment ref="BQ20" authorId="15">
      <text>
        <r>
          <rPr>
            <sz val="8"/>
            <color indexed="81"/>
            <rFont val="Tahoma"/>
            <family val="2"/>
          </rPr>
          <t>decrease in gross profit rate was primarily driven by a 10% decrease in average unit retail</t>
        </r>
        <r>
          <rPr>
            <b/>
            <sz val="8"/>
            <color indexed="81"/>
            <rFont val="Tahoma"/>
            <family val="2"/>
          </rPr>
          <t xml:space="preserve">
TI23070:</t>
        </r>
        <r>
          <rPr>
            <sz val="8"/>
            <color indexed="81"/>
            <rFont val="Tahoma"/>
            <family val="2"/>
          </rPr>
          <t xml:space="preserve">
Merch margin:
Feb: we est down
March: we est down
April: we est down</t>
        </r>
      </text>
    </comment>
    <comment ref="BR20" authorId="4">
      <text>
        <r>
          <rPr>
            <sz val="8"/>
            <color indexed="81"/>
            <rFont val="Tahoma"/>
            <family val="2"/>
          </rPr>
          <t>2/16: Expect to make progress on returnign GM to historic levels for  2010 as a whole.  For the spring, we have year-over-year like for like reductions and unit costs of close to 10%; however, from a GM standpoint expect that AURs will con't down in the spring in addition which other gross margin items such as air freight are running more than a year ago.  On that basis, we may have slight erosion in the spring.
2/10: assume continued pressure on lower pricing at Hollister &amp; higher clearance</t>
        </r>
      </text>
    </comment>
    <comment ref="BT20" authorId="5">
      <text>
        <r>
          <rPr>
            <b/>
            <sz val="8"/>
            <color indexed="81"/>
            <rFont val="Tahoma"/>
            <family val="2"/>
          </rPr>
          <t>nicholjs:</t>
        </r>
        <r>
          <rPr>
            <sz val="8"/>
            <color indexed="81"/>
            <rFont val="Tahoma"/>
            <family val="2"/>
          </rPr>
          <t xml:space="preserve">
increase driven primarily by a lower AUC, favorable international mix, including foreign currency impact, and other gross margin items such as freight benefit (largely due to mix of air vs. ocean transportation)</t>
        </r>
      </text>
    </comment>
    <comment ref="BV20" authorId="16">
      <text>
        <r>
          <rPr>
            <b/>
            <sz val="8"/>
            <color indexed="81"/>
            <rFont val="Tahoma"/>
            <family val="2"/>
          </rPr>
          <t>kimberlg:</t>
        </r>
        <r>
          <rPr>
            <sz val="8"/>
            <color indexed="81"/>
            <rFont val="Tahoma"/>
            <family val="2"/>
          </rPr>
          <t xml:space="preserve">
2/2011: expect approximately flat for spring season vs. LY, but up for Q1
11/2010: expect to make progress on GM in 1H11 overall, however receipts later in the season are escalating significantly and visibility beyond that is limited (2H11 margin unclear)
we est +70 bps int'l mix shift, +30 bps store closures (high MD rate stores closing)
offset by -60 bps cotton inflation and -40 bps higher labor costs (assume ~half of the 87 bps)</t>
        </r>
      </text>
    </comment>
    <comment ref="BY20" authorId="14">
      <text>
        <r>
          <rPr>
            <b/>
            <sz val="8"/>
            <color indexed="81"/>
            <rFont val="Tahoma"/>
            <family val="2"/>
          </rPr>
          <t>kahng:</t>
        </r>
        <r>
          <rPr>
            <sz val="8"/>
            <color indexed="81"/>
            <rFont val="Tahoma"/>
            <family val="2"/>
          </rPr>
          <t xml:space="preserve">
1/20: 64% adj down to 60.1% based on Q1 looking similar to Q3 cost inflation</t>
        </r>
      </text>
    </comment>
    <comment ref="BZ20" authorId="14">
      <text>
        <r>
          <rPr>
            <sz val="8"/>
            <color indexed="81"/>
            <rFont val="Tahoma"/>
            <family val="2"/>
          </rPr>
          <t>5/16/12: "The decrease in the gross profit rate was driven by a significant increase in average unit cost."
"gross margin erosion of 240 basis points was less than expected at the beginning of the quarter due to modest growth in AUR and a somewhat less promotional environment and a lower quarter-end markdown reserve than anticipated."
2/15/2012 guide: 400-500 bps erosion</t>
        </r>
      </text>
    </comment>
    <comment ref="CC20" authorId="14">
      <text>
        <r>
          <rPr>
            <b/>
            <sz val="8"/>
            <color indexed="81"/>
            <rFont val="Tahoma"/>
            <family val="2"/>
          </rPr>
          <t>kahng:</t>
        </r>
        <r>
          <rPr>
            <sz val="8"/>
            <color indexed="81"/>
            <rFont val="Tahoma"/>
            <family val="2"/>
          </rPr>
          <t xml:space="preserve">
1/20: 64% adj down to 60.1% based on Q1 looking similar to Q3 cost inflation</t>
        </r>
      </text>
    </comment>
    <comment ref="CD20" authorId="7">
      <text>
        <r>
          <rPr>
            <b/>
            <sz val="8"/>
            <color indexed="81"/>
            <rFont val="Tahoma"/>
            <family val="2"/>
          </rPr>
          <t>casselau:</t>
        </r>
        <r>
          <rPr>
            <sz val="8"/>
            <color indexed="81"/>
            <rFont val="Tahoma"/>
            <family val="2"/>
          </rPr>
          <t xml:space="preserve">
5/24/13: the increase was primarily driven by a benefit from a higher mix of spring merchanidse selling and a decrease in product costs </t>
        </r>
      </text>
    </comment>
    <comment ref="CH20" authorId="7">
      <text>
        <r>
          <rPr>
            <b/>
            <sz val="9"/>
            <color indexed="81"/>
            <rFont val="Tahoma"/>
            <family val="2"/>
          </rPr>
          <t>casselau:</t>
        </r>
        <r>
          <rPr>
            <sz val="9"/>
            <color indexed="81"/>
            <rFont val="Tahoma"/>
            <family val="2"/>
          </rPr>
          <t xml:space="preserve">
5/29/14: reflects a higher mix of fall merchandise clearance selling vs. LY and an increase in promotional activity </t>
        </r>
      </text>
    </comment>
    <comment ref="CK20" authorId="7">
      <text>
        <r>
          <rPr>
            <b/>
            <sz val="9"/>
            <color indexed="81"/>
            <rFont val="Tahoma"/>
            <family val="2"/>
          </rPr>
          <t>casselau:</t>
        </r>
        <r>
          <rPr>
            <sz val="9"/>
            <color indexed="81"/>
            <rFont val="Tahoma"/>
            <family val="2"/>
          </rPr>
          <t xml:space="preserve">
5/28/15:</t>
        </r>
        <r>
          <rPr>
            <b/>
            <sz val="9"/>
            <color indexed="81"/>
            <rFont val="Tahoma"/>
            <family val="2"/>
          </rPr>
          <t xml:space="preserve"> 70 bps higher on a constant currency basis, primarily due to lower AUC</t>
        </r>
        <r>
          <rPr>
            <sz val="9"/>
            <color indexed="81"/>
            <rFont val="Tahoma"/>
            <family val="2"/>
          </rPr>
          <t xml:space="preserve"> (excludes $26.9M of inventory write-down, would have beeen -420 bps); US AUR stabalized with a slight increase in the quarter while  international AUR declined.</t>
        </r>
      </text>
    </comment>
    <comment ref="CO20" authorId="7">
      <text>
        <r>
          <rPr>
            <b/>
            <sz val="9"/>
            <color indexed="81"/>
            <rFont val="Tahoma"/>
            <family val="2"/>
          </rPr>
          <t>casselau:</t>
        </r>
        <r>
          <rPr>
            <sz val="9"/>
            <color indexed="81"/>
            <rFont val="Tahoma"/>
            <family val="2"/>
          </rPr>
          <t xml:space="preserve">
3/2/16: AUC up slightly in 1H (reinvesting in the product)</t>
        </r>
      </text>
    </comment>
    <comment ref="CP20" authorId="8">
      <text>
        <r>
          <rPr>
            <b/>
            <sz val="9"/>
            <color indexed="81"/>
            <rFont val="Tahoma"/>
            <family val="2"/>
          </rPr>
          <t>Cassel, Lauren (Research):</t>
        </r>
        <r>
          <rPr>
            <sz val="9"/>
            <color indexed="81"/>
            <rFont val="Tahoma"/>
            <family val="2"/>
          </rPr>
          <t xml:space="preserve">
5/26/16: +100 bps constant currency, primarily due to higher AUR in the US (higher full price selling and reduced promotions) partially offset by higher AUC</t>
        </r>
      </text>
    </comment>
    <comment ref="CT20" authorId="8">
      <text>
        <r>
          <rPr>
            <b/>
            <sz val="9"/>
            <color indexed="81"/>
            <rFont val="Tahoma"/>
            <family val="2"/>
          </rPr>
          <t>Cassel, Lauren (Research):
5/25/17:-130 bps y/y on CC basis, primarily due to lower AUR partially offset by lower AUC; more promotion than planned</t>
        </r>
        <r>
          <rPr>
            <sz val="9"/>
            <color indexed="81"/>
            <rFont val="Tahoma"/>
            <family val="2"/>
          </rPr>
          <t xml:space="preserve">
3/2/17: expect continuing promotional pressure in 1Q offset by lower AUC</t>
        </r>
      </text>
    </comment>
    <comment ref="CW20" authorId="12">
      <text>
        <r>
          <rPr>
            <b/>
            <sz val="9"/>
            <color indexed="81"/>
            <rFont val="Tahoma"/>
            <family val="2"/>
          </rPr>
          <t>Roberts, Cynthia (Research):</t>
        </r>
        <r>
          <rPr>
            <sz val="9"/>
            <color indexed="81"/>
            <rFont val="Tahoma"/>
            <family val="2"/>
          </rPr>
          <t xml:space="preserve">
3/8/18: Guidance continuing gross margin pressure in 1Q</t>
        </r>
      </text>
    </comment>
    <comment ref="AJ21" authorId="2">
      <text>
        <r>
          <rPr>
            <b/>
            <sz val="8"/>
            <color indexed="81"/>
            <rFont val="Tahoma"/>
            <family val="2"/>
          </rPr>
          <t>Corinna Freedman:</t>
        </r>
        <r>
          <rPr>
            <sz val="8"/>
            <color indexed="81"/>
            <rFont val="Tahoma"/>
            <family val="2"/>
          </rPr>
          <t xml:space="preserve">
prior to restatement = 197.28</t>
        </r>
      </text>
    </comment>
    <comment ref="AK21" authorId="9">
      <text>
        <r>
          <rPr>
            <b/>
            <sz val="8"/>
            <color indexed="81"/>
            <rFont val="Tahoma"/>
            <family val="2"/>
          </rPr>
          <t>Lehman Brothers:</t>
        </r>
        <r>
          <rPr>
            <sz val="8"/>
            <color indexed="81"/>
            <rFont val="Tahoma"/>
            <family val="2"/>
          </rPr>
          <t xml:space="preserve">
7/16 lowered from 37.5</t>
        </r>
      </text>
    </comment>
    <comment ref="AN21" authorId="2">
      <text>
        <r>
          <rPr>
            <sz val="8"/>
            <color indexed="81"/>
            <rFont val="Tahoma"/>
            <family val="2"/>
          </rPr>
          <t>prior to restatement for B&amp;O = 211.869
prior to restatement for leases = 211.386</t>
        </r>
      </text>
    </comment>
    <comment ref="AO21" authorId="1">
      <text>
        <r>
          <rPr>
            <b/>
            <sz val="8"/>
            <color indexed="81"/>
            <rFont val="Tahoma"/>
            <family val="2"/>
          </rPr>
          <t>dliu:</t>
        </r>
        <r>
          <rPr>
            <sz val="8"/>
            <color indexed="81"/>
            <rFont val="Tahoma"/>
            <family val="2"/>
          </rPr>
          <t xml:space="preserve">
40.2</t>
        </r>
      </text>
    </comment>
    <comment ref="AR21" authorId="2">
      <text>
        <r>
          <rPr>
            <sz val="8"/>
            <color indexed="81"/>
            <rFont val="Tahoma"/>
            <family val="2"/>
          </rPr>
          <t xml:space="preserve">prior to restatement for B&amp;O = 219.703
prior to restatement for leases = </t>
        </r>
        <r>
          <rPr>
            <sz val="8"/>
            <color indexed="81"/>
            <rFont val="Tahoma"/>
            <family val="2"/>
          </rPr>
          <t xml:space="preserve"> 219.758</t>
        </r>
      </text>
    </comment>
    <comment ref="AW21" authorId="2">
      <text>
        <r>
          <rPr>
            <b/>
            <sz val="8"/>
            <color indexed="81"/>
            <rFont val="Tahoma"/>
            <family val="2"/>
          </rPr>
          <t>Corinna Freedman:</t>
        </r>
        <r>
          <rPr>
            <sz val="8"/>
            <color indexed="81"/>
            <rFont val="Tahoma"/>
            <family val="2"/>
          </rPr>
          <t xml:space="preserve">
prior to restatement = 46.5%</t>
        </r>
      </text>
    </comment>
    <comment ref="AZ21" authorId="3">
      <text>
        <r>
          <rPr>
            <b/>
            <sz val="8"/>
            <color indexed="81"/>
            <rFont val="Tahoma"/>
            <family val="2"/>
          </rPr>
          <t>MB33100:</t>
        </r>
        <r>
          <rPr>
            <sz val="8"/>
            <color indexed="81"/>
            <rFont val="Tahoma"/>
            <family val="2"/>
          </rPr>
          <t xml:space="preserve">
lower MDs and slightly higher IMU</t>
        </r>
      </text>
    </comment>
    <comment ref="BA21" authorId="10">
      <text>
        <r>
          <rPr>
            <sz val="8"/>
            <color indexed="81"/>
            <rFont val="Tahoma"/>
            <family val="2"/>
          </rPr>
          <t>+90bps: Increase due to lower markdown rate combined with slightly higher IMU vs LY</t>
        </r>
      </text>
    </comment>
    <comment ref="BE21" authorId="10">
      <text>
        <r>
          <rPr>
            <sz val="8"/>
            <color indexed="81"/>
            <rFont val="Tahoma"/>
            <family val="2"/>
          </rPr>
          <t xml:space="preserve">A decrease in gross profit was primarily
due to a higher markdown rate partially offset by higher initial markup.
</t>
        </r>
        <r>
          <rPr>
            <b/>
            <sz val="8"/>
            <color indexed="81"/>
            <rFont val="Tahoma"/>
            <family val="2"/>
          </rPr>
          <t xml:space="preserve">
oc48540:</t>
        </r>
        <r>
          <rPr>
            <sz val="8"/>
            <color indexed="81"/>
            <rFont val="Tahoma"/>
            <family val="2"/>
          </rPr>
          <t xml:space="preserve">
May: N/A
June: We est. flattish
July: No comment</t>
        </r>
      </text>
    </comment>
    <comment ref="BI21" authorId="4">
      <text>
        <r>
          <rPr>
            <b/>
            <sz val="8"/>
            <color indexed="81"/>
            <rFont val="Tahoma"/>
            <family val="2"/>
          </rPr>
          <t>mm98285:</t>
        </r>
        <r>
          <rPr>
            <sz val="8"/>
            <color indexed="81"/>
            <rFont val="Tahoma"/>
            <family val="2"/>
          </rPr>
          <t xml:space="preserve">
+130 bps higher initial markup rate given London premium pricing (+10-20 bps) and strategic price increases (+110-120 bps) in select cat's (denim, polos, graphic Ts and shorts) 
flat markdown rate vs. LY</t>
        </r>
      </text>
    </comment>
    <comment ref="BM21" authorId="15">
      <text>
        <r>
          <rPr>
            <sz val="8"/>
            <color indexed="81"/>
            <rFont val="Tahoma"/>
            <family val="2"/>
          </rPr>
          <t>8/09: GM down on higher MDs vs. LY.</t>
        </r>
        <r>
          <rPr>
            <sz val="8"/>
            <color indexed="81"/>
            <rFont val="Tahoma"/>
            <family val="2"/>
          </rPr>
          <t xml:space="preserve">
May MM: we est down
June MM: we est down (deeper MDs Ty vs ly
July MM: we est down
</t>
        </r>
      </text>
    </comment>
    <comment ref="BQ21" authorId="15">
      <text>
        <r>
          <rPr>
            <b/>
            <sz val="8"/>
            <color indexed="81"/>
            <rFont val="Tahoma"/>
            <family val="2"/>
          </rPr>
          <t>TI23070:</t>
        </r>
        <r>
          <rPr>
            <sz val="8"/>
            <color indexed="81"/>
            <rFont val="Tahoma"/>
            <family val="2"/>
          </rPr>
          <t xml:space="preserve">
Merch marg:
May we est up helped by moving the Sale to June from May</t>
        </r>
      </text>
    </comment>
    <comment ref="BR21" authorId="17">
      <text>
        <r>
          <rPr>
            <b/>
            <sz val="8"/>
            <color indexed="81"/>
            <rFont val="Tahoma"/>
            <family val="2"/>
          </rPr>
          <t>ns66486:</t>
        </r>
        <r>
          <rPr>
            <sz val="8"/>
            <color indexed="81"/>
            <rFont val="Tahoma"/>
            <family val="2"/>
          </rPr>
          <t xml:space="preserve">
5/2010: we expect further gross margin erosion in 2Q</t>
        </r>
      </text>
    </comment>
    <comment ref="BV21" authorId="5">
      <text>
        <r>
          <rPr>
            <b/>
            <sz val="8"/>
            <color indexed="81"/>
            <rFont val="Tahoma"/>
            <family val="2"/>
          </rPr>
          <t>nicholjs:</t>
        </r>
        <r>
          <rPr>
            <sz val="8"/>
            <color indexed="81"/>
            <rFont val="Tahoma"/>
            <family val="2"/>
          </rPr>
          <t xml:space="preserve">
primarily driven by an increase in AUC partially offset by a higher AUR and an international mix benefit
5/18/2011: continues to expect margin pressure in 2Q as a result of yoy erosion in the GM rate, and significantly less expense leverage than in 1Q.  Still expect spring season flat to up slightly.
2/2011: could be some erosion to 2Q gross margin</t>
        </r>
      </text>
    </comment>
    <comment ref="BY21" authorId="6">
      <text>
        <r>
          <rPr>
            <sz val="8"/>
            <color indexed="81"/>
            <rFont val="Tahoma"/>
            <family val="2"/>
          </rPr>
          <t>8/1/12: expect GM erosion of 100bps in 2Q
5/16/12: down slightly vs. LY</t>
        </r>
      </text>
    </comment>
    <comment ref="BZ21" authorId="6">
      <text>
        <r>
          <rPr>
            <sz val="8"/>
            <color indexed="81"/>
            <rFont val="Tahoma"/>
            <family val="2"/>
          </rPr>
          <t xml:space="preserve">8/14/12: "The decrease in the gross profit rate was driven by an increase in average unit cost and the adverse effect of exchange rates, partially offset by an international mix benefit."  
</t>
        </r>
      </text>
    </comment>
    <comment ref="CC21" authorId="7">
      <text>
        <r>
          <rPr>
            <b/>
            <sz val="8"/>
            <color indexed="81"/>
            <rFont val="Tahoma"/>
            <family val="2"/>
          </rPr>
          <t>casselau:</t>
        </r>
        <r>
          <rPr>
            <sz val="8"/>
            <color indexed="81"/>
            <rFont val="Tahoma"/>
            <family val="2"/>
          </rPr>
          <t xml:space="preserve">
5/23/13: 2Q should probably be lowest GM of the year</t>
        </r>
        <r>
          <rPr>
            <sz val="8"/>
            <color indexed="81"/>
            <rFont val="Tahoma"/>
            <family val="2"/>
          </rPr>
          <t xml:space="preserve">
2/22/13: AUC should still  be down but not as much as 1Q (mid-teens)</t>
        </r>
      </text>
    </comment>
    <comment ref="CG21" authorId="7">
      <text>
        <r>
          <rPr>
            <b/>
            <sz val="9"/>
            <color indexed="81"/>
            <rFont val="Tahoma"/>
            <family val="2"/>
          </rPr>
          <t>casselau:</t>
        </r>
        <r>
          <rPr>
            <sz val="9"/>
            <color indexed="81"/>
            <rFont val="Tahoma"/>
            <family val="2"/>
          </rPr>
          <t xml:space="preserve">
8/28/14: reflects increase in promotional activity, including S&amp;H,  but lower than planned</t>
        </r>
      </text>
    </comment>
    <comment ref="CK21" authorId="7">
      <text>
        <r>
          <rPr>
            <b/>
            <sz val="9"/>
            <color indexed="81"/>
            <rFont val="Tahoma"/>
            <family val="2"/>
          </rPr>
          <t>casselau:</t>
        </r>
        <r>
          <rPr>
            <sz val="9"/>
            <color indexed="81"/>
            <rFont val="Tahoma"/>
            <family val="2"/>
          </rPr>
          <t xml:space="preserve">
8/26/15: Excluding certain items, the adjusted gross profit rate for the second quarter was 62.0%,</t>
        </r>
        <r>
          <rPr>
            <b/>
            <sz val="9"/>
            <color indexed="81"/>
            <rFont val="Tahoma"/>
            <family val="2"/>
          </rPr>
          <t xml:space="preserve"> reflecting a 110 basis point improvement over last year on a constant currency basis, primarily driven by lower AUC. AUR in the US stabilized while int'l AUR's declined due to pricing adjustments and lower FX rates. </t>
        </r>
        <r>
          <rPr>
            <sz val="9"/>
            <color indexed="81"/>
            <rFont val="Tahoma"/>
            <family val="2"/>
          </rPr>
          <t xml:space="preserve"> Adjusted gross profit for the quarter excluded a benefit of $2.6 million related to higher than expected recoveries on the inventory write-down associated with the Company's first quarter decision to accelerate the disposition of certain aged inventory.</t>
        </r>
      </text>
    </comment>
    <comment ref="CO21" authorId="7">
      <text>
        <r>
          <rPr>
            <b/>
            <sz val="9"/>
            <color indexed="81"/>
            <rFont val="Tahoma"/>
            <family val="2"/>
          </rPr>
          <t>casselau:
5/26/16: expect GM down modestly in 2Q as they lap $5M in hedging benefits LY</t>
        </r>
        <r>
          <rPr>
            <sz val="9"/>
            <color indexed="81"/>
            <rFont val="Tahoma"/>
            <family val="2"/>
          </rPr>
          <t xml:space="preserve">
3/2/16: AUC up slightly in 1H (reinvesting in the product)</t>
        </r>
      </text>
    </comment>
    <comment ref="CP21" authorId="8">
      <text>
        <r>
          <rPr>
            <b/>
            <sz val="9"/>
            <color indexed="81"/>
            <rFont val="Tahoma"/>
            <family val="2"/>
          </rPr>
          <t>Cassel, Lauren (Research):</t>
        </r>
        <r>
          <rPr>
            <sz val="9"/>
            <color indexed="81"/>
            <rFont val="Tahoma"/>
            <family val="2"/>
          </rPr>
          <t xml:space="preserve">
8/30/16: Excluding certain items last year, the gross profit rate decreased 20 bps on a constant currency basis, primarily due to higher average unit costs, partially offset by higher average unit retails</t>
        </r>
      </text>
    </comment>
    <comment ref="CT21" authorId="8">
      <text>
        <r>
          <rPr>
            <b/>
            <sz val="9"/>
            <color indexed="81"/>
            <rFont val="Tahoma"/>
            <family val="2"/>
          </rPr>
          <t xml:space="preserve">Cassel, Lauren (Research):
8/24/17: -160 bps constant currency; lower y/y primarily due to lower AUR; cleared through remaining "architecture issues" and a higher promotional environment; 
</t>
        </r>
        <r>
          <rPr>
            <sz val="9"/>
            <color indexed="81"/>
            <rFont val="Tahoma"/>
            <family val="2"/>
          </rPr>
          <t>5/25/17: expect 2Q to remain promotional; expect continued gross margin pressure; also some residual A&amp;F inventory ("assortment issues") which will weigh on gross margin
3/2/17: expect 1H comps to remain challenging</t>
        </r>
      </text>
    </comment>
    <comment ref="AJ22" authorId="2">
      <text>
        <r>
          <rPr>
            <b/>
            <sz val="8"/>
            <color indexed="81"/>
            <rFont val="Tahoma"/>
            <family val="2"/>
          </rPr>
          <t>Corinna Freedman:</t>
        </r>
        <r>
          <rPr>
            <sz val="8"/>
            <color indexed="81"/>
            <rFont val="Tahoma"/>
            <family val="2"/>
          </rPr>
          <t xml:space="preserve">
prior to restatement = 252.593</t>
        </r>
      </text>
    </comment>
    <comment ref="AN22" authorId="2">
      <text>
        <r>
          <rPr>
            <sz val="8"/>
            <color indexed="81"/>
            <rFont val="Tahoma"/>
            <family val="2"/>
          </rPr>
          <t>prior to restatement for B&amp;O = 261.986
prior to restatement for leases =</t>
        </r>
        <r>
          <rPr>
            <b/>
            <sz val="8"/>
            <color indexed="81"/>
            <rFont val="Tahoma"/>
            <family val="2"/>
          </rPr>
          <t xml:space="preserve"> </t>
        </r>
        <r>
          <rPr>
            <sz val="8"/>
            <color indexed="81"/>
            <rFont val="Tahoma"/>
            <family val="2"/>
          </rPr>
          <t xml:space="preserve"> 261.114
</t>
        </r>
      </text>
    </comment>
    <comment ref="AR22" authorId="2">
      <text>
        <r>
          <rPr>
            <sz val="8"/>
            <color indexed="81"/>
            <rFont val="Tahoma"/>
            <family val="2"/>
          </rPr>
          <t xml:space="preserve">prior to restatement for B&amp;O = 294.187
prior to restatement for leases = </t>
        </r>
        <r>
          <rPr>
            <sz val="8"/>
            <color indexed="81"/>
            <rFont val="Tahoma"/>
            <family val="2"/>
          </rPr>
          <t>293.888</t>
        </r>
      </text>
    </comment>
    <comment ref="AW22" authorId="2">
      <text>
        <r>
          <rPr>
            <b/>
            <sz val="8"/>
            <color indexed="81"/>
            <rFont val="Tahoma"/>
            <family val="2"/>
          </rPr>
          <t>Corinna Freedman:</t>
        </r>
        <r>
          <rPr>
            <sz val="8"/>
            <color indexed="81"/>
            <rFont val="Tahoma"/>
            <family val="2"/>
          </rPr>
          <t xml:space="preserve">
prior to restatement for B&amp;O = 45%</t>
        </r>
      </text>
    </comment>
    <comment ref="BA22" authorId="10">
      <text>
        <r>
          <rPr>
            <sz val="8"/>
            <color indexed="81"/>
            <rFont val="Tahoma"/>
            <family val="2"/>
          </rPr>
          <t>-20bps:Dec</t>
        </r>
        <r>
          <rPr>
            <sz val="8"/>
            <color indexed="81"/>
            <rFont val="Tahoma"/>
            <family val="2"/>
          </rPr>
          <t>rease primarily due to a higher markdown rate vs. LY</t>
        </r>
      </text>
    </comment>
    <comment ref="BE22" authorId="10">
      <text>
        <r>
          <rPr>
            <sz val="8"/>
            <color indexed="81"/>
            <rFont val="Tahoma"/>
            <family val="2"/>
          </rPr>
          <t>Increase in gross profit was primarily due to a higher initial markup rate (driven by strong fashion tops business) and lower merchandise shrink rate, partially offset by a higher markdown rate vs. LY.</t>
        </r>
        <r>
          <rPr>
            <b/>
            <sz val="8"/>
            <color indexed="81"/>
            <rFont val="Tahoma"/>
            <family val="2"/>
          </rPr>
          <t xml:space="preserve">
oc48540:</t>
        </r>
        <r>
          <rPr>
            <sz val="8"/>
            <color indexed="81"/>
            <rFont val="Tahoma"/>
            <family val="2"/>
          </rPr>
          <t xml:space="preserve">
Aug: No comment
Sep: No comment
Oct: Similar promos to LY</t>
        </r>
      </text>
    </comment>
    <comment ref="BI22" authorId="15">
      <text>
        <r>
          <rPr>
            <b/>
            <sz val="8"/>
            <color indexed="81"/>
            <rFont val="Tahoma"/>
            <family val="2"/>
          </rPr>
          <t>TI23070:</t>
        </r>
        <r>
          <rPr>
            <sz val="8"/>
            <color indexed="81"/>
            <rFont val="Tahoma"/>
            <family val="2"/>
          </rPr>
          <t xml:space="preserve">
11/08: higher IMU more than offset by higher MDs vs. LY given lower than expected 3Q sales
Merch marg: We est. flattish in sept.</t>
        </r>
      </text>
    </comment>
    <comment ref="BM22" authorId="10">
      <text>
        <r>
          <rPr>
            <sz val="8"/>
            <color indexed="81"/>
            <rFont val="Tahoma"/>
            <family val="2"/>
          </rPr>
          <t>Decrease in gross profit rate was primarily driven by lower average unit retail, partially offset by a reduction in average unit cost and a benefit from other gross margin items (shrink and
shrink reserve).
August: we est down
October: we est down
8/14: Mgmt does expect further gross margin erosion vs. LY but expects the rate of erosion to moderate compared to the
1H09 (down -340bps to -360bps).</t>
        </r>
      </text>
    </comment>
    <comment ref="BQ22" authorId="5">
      <text>
        <r>
          <rPr>
            <b/>
            <sz val="8"/>
            <color indexed="81"/>
            <rFont val="Tahoma"/>
            <family val="2"/>
          </rPr>
          <t>nicholjs:</t>
        </r>
        <r>
          <rPr>
            <sz val="8"/>
            <color indexed="81"/>
            <rFont val="Tahoma"/>
            <family val="2"/>
          </rPr>
          <t xml:space="preserve">
9/2010 (GS conf): fall season GM flat to slightly down, 3Q down, with some improvement in 4Q, getting us back to flat to slightly negative for the season as a whole
8/2010: mgt. willing to tolerate some margin erosion in the near term; fall AUC = will continue to get a cost benefit you although it will be less than the spring; AUR comparison also becomes more favorable in 4Q
therefore, GM pressure is a little greater in 3Q than in 4Q</t>
        </r>
      </text>
    </comment>
    <comment ref="BV22" authorId="5">
      <text>
        <r>
          <rPr>
            <sz val="8"/>
            <color indexed="81"/>
            <rFont val="Tahoma"/>
            <family val="2"/>
          </rPr>
          <t>11/2011:  The decrease was driven promarily by an increase in average unit cost combined with an approximately flat AUR.
8/2011: continue to expect GM erosion
1Q 10Q: From a margin standpoint, the greatest challenge the Company faces remains the impact of increases in raw material costs, particularly cotton, and other input costs. Beyond 2Q, the Company expects that these increases will result in erosion of the gross margin rate for the second half of the year. 
could be -100bps pure sourcing cost impact, but also have int'l mix shift and domestic store closures that could offset</t>
        </r>
      </text>
    </comment>
    <comment ref="BY22" authorId="7">
      <text>
        <r>
          <rPr>
            <b/>
            <sz val="8"/>
            <color indexed="81"/>
            <rFont val="Tahoma"/>
            <family val="2"/>
          </rPr>
          <t>casselau:</t>
        </r>
        <r>
          <rPr>
            <sz val="8"/>
            <color indexed="81"/>
            <rFont val="Tahoma"/>
            <family val="2"/>
          </rPr>
          <t xml:space="preserve">
11/14: increase driven by a decrease in AUC and an intl mix benefit, partially offset by a LSD decrease in AUR and an adverse effect of exchange rates; merchandise margin saw improvement across all segments; significant tailwind from lower product cost as well as an ongoing intl mix benefit; AUR was down slightly in US chain stores, up slightly in intl Hollister chain stores and down DD in both US and intl flagship and tourist stores
- US store margins 22.9%, international slightly down but still sllightly north of 30%; dtc 44%</t>
        </r>
      </text>
    </comment>
    <comment ref="BZ22" authorId="6">
      <text>
        <r>
          <rPr>
            <sz val="8"/>
            <color indexed="81"/>
            <rFont val="Tahoma"/>
            <family val="2"/>
          </rPr>
          <t>8/15/12: "3Q gross margin improvement more than offset by expense deleveraging on negative comp store sales.  The Company continues to expect substantial recovery of the gross margin rate erosion seen in 2011 on a 2012 full year basis." 
"In addition to lower sales, the reduction in projected earnings per share also reflects the impact of a stronger US dollar"</t>
        </r>
      </text>
    </comment>
    <comment ref="CC22" authorId="7">
      <text>
        <r>
          <rPr>
            <b/>
            <sz val="8"/>
            <color indexed="81"/>
            <rFont val="Tahoma"/>
            <family val="2"/>
          </rPr>
          <t>casselau:</t>
        </r>
        <r>
          <rPr>
            <sz val="8"/>
            <color indexed="81"/>
            <rFont val="Tahoma"/>
            <family val="2"/>
          </rPr>
          <t xml:space="preserve">
11/20/13: includes $5.3M of inventory write-downs associated with Gilly Hicks, primarily related to store closures; negatively impacted by calendar shift</t>
        </r>
      </text>
    </comment>
    <comment ref="CG22" authorId="7">
      <text>
        <r>
          <rPr>
            <b/>
            <sz val="9"/>
            <color indexed="81"/>
            <rFont val="Tahoma"/>
            <family val="2"/>
          </rPr>
          <t xml:space="preserve">casselau:
</t>
        </r>
        <r>
          <rPr>
            <sz val="9"/>
            <color indexed="81"/>
            <rFont val="Tahoma"/>
            <family val="2"/>
          </rPr>
          <t>12/3/14: lower international AUR and increased shipping promotions were partially offset by lower AUC</t>
        </r>
        <r>
          <rPr>
            <b/>
            <sz val="9"/>
            <color indexed="81"/>
            <rFont val="Tahoma"/>
            <family val="2"/>
          </rPr>
          <t xml:space="preserve"> 
</t>
        </r>
        <r>
          <rPr>
            <sz val="9"/>
            <color indexed="81"/>
            <rFont val="Tahoma"/>
            <family val="2"/>
          </rPr>
          <t>11/7/14: now expect modest gross margin erosion given the highly promotional environment</t>
        </r>
        <r>
          <rPr>
            <b/>
            <sz val="9"/>
            <color indexed="81"/>
            <rFont val="Tahoma"/>
            <family val="2"/>
          </rPr>
          <t xml:space="preserve">
8/28/14: </t>
        </r>
        <r>
          <rPr>
            <sz val="9"/>
            <color indexed="81"/>
            <rFont val="Tahoma"/>
            <family val="2"/>
          </rPr>
          <t>expect gross margin improvement as they</t>
        </r>
        <r>
          <rPr>
            <b/>
            <sz val="9"/>
            <color indexed="81"/>
            <rFont val="Tahoma"/>
            <family val="2"/>
          </rPr>
          <t xml:space="preserve"> </t>
        </r>
        <r>
          <rPr>
            <sz val="9"/>
            <color indexed="81"/>
            <rFont val="Tahoma"/>
            <family val="2"/>
          </rPr>
          <t>begin to benefit from lower AUCs and go up against more favorable AUR comparisons
2/26/14: AUC will be down on a FY basis, weighted toward 2H</t>
        </r>
      </text>
    </comment>
    <comment ref="CK22" authorId="7">
      <text>
        <r>
          <rPr>
            <b/>
            <sz val="9"/>
            <color indexed="81"/>
            <rFont val="Tahoma"/>
            <family val="2"/>
          </rPr>
          <t>casselau:</t>
        </r>
        <r>
          <rPr>
            <sz val="9"/>
            <color indexed="81"/>
            <rFont val="Tahoma"/>
            <family val="2"/>
          </rPr>
          <t xml:space="preserve">
11/20/15: The gross profit rate for the third quarter was 63.7%.  Excluding certain items, the adjusted gross profit rate for the third quarter was 63.4%, r</t>
        </r>
        <r>
          <rPr>
            <b/>
            <sz val="9"/>
            <color indexed="81"/>
            <rFont val="Tahoma"/>
            <family val="2"/>
          </rPr>
          <t xml:space="preserve">eflecting an improvement of 120 basis points on a reported basis and 210 basis points on a constant currency basis over last year, primarily due to higher average unit retails coupled with lower average unit cost.  </t>
        </r>
        <r>
          <rPr>
            <sz val="9"/>
            <color indexed="81"/>
            <rFont val="Tahoma"/>
            <family val="2"/>
          </rPr>
          <t>Adjusted gross profit for the quarter excluded a benefit of $2.6 million related to higher than expected recoveries on the first quarter inventory write-down.</t>
        </r>
      </text>
    </comment>
    <comment ref="CL22" authorId="7">
      <text>
        <r>
          <rPr>
            <b/>
            <sz val="9"/>
            <color indexed="81"/>
            <rFont val="Tahoma"/>
            <family val="2"/>
          </rPr>
          <t>casselau:
11/20/15: CC +210 bps; primarily due to higher AUR and lower AUC due to broader and shallower promotions; Int'l AUR flat</t>
        </r>
        <r>
          <rPr>
            <sz val="9"/>
            <color indexed="81"/>
            <rFont val="Tahoma"/>
            <family val="2"/>
          </rPr>
          <t xml:space="preserve">
8/26/15: assume 120 bps constant currency improvement offset by ~110 bps FX headwinds</t>
        </r>
      </text>
    </comment>
    <comment ref="CO22" authorId="7">
      <text>
        <r>
          <rPr>
            <b/>
            <sz val="9"/>
            <color indexed="81"/>
            <rFont val="Tahoma"/>
            <family val="2"/>
          </rPr>
          <t>casselau:
8/30/16: expect GM to be down y/y due to adverse effects from FX</t>
        </r>
        <r>
          <rPr>
            <sz val="9"/>
            <color indexed="81"/>
            <rFont val="Tahoma"/>
            <family val="2"/>
          </rPr>
          <t xml:space="preserve">
3/2/16: AUC down in 2H (cotton and FX devaluation); expect slight AUR improvement</t>
        </r>
      </text>
    </comment>
    <comment ref="CP22" authorId="8">
      <text>
        <r>
          <rPr>
            <b/>
            <sz val="9"/>
            <color indexed="81"/>
            <rFont val="Tahoma"/>
            <family val="2"/>
          </rPr>
          <t>Cassel, Lauren (Research):
11/18/16: Excluding certain items last year, the gross profit rate decreased 60 bps on a constant currency basis, primarily due to lower average unit retail, partially offset by lower average unit cost.</t>
        </r>
        <r>
          <rPr>
            <sz val="9"/>
            <color indexed="81"/>
            <rFont val="Tahoma"/>
            <family val="2"/>
          </rPr>
          <t xml:space="preserve">
8/30/16: expect GM to be down y/y due to adverse effects from FX</t>
        </r>
      </text>
    </comment>
    <comment ref="CT22" authorId="8">
      <text>
        <r>
          <rPr>
            <b/>
            <sz val="9"/>
            <color indexed="81"/>
            <rFont val="Tahoma"/>
            <family val="2"/>
          </rPr>
          <t xml:space="preserve">Cassel, Lauren (Research):
</t>
        </r>
        <r>
          <rPr>
            <sz val="9"/>
            <color indexed="81"/>
            <rFont val="Tahoma"/>
            <family val="2"/>
          </rPr>
          <t>11/17/17: lower AUC more than offset by lower AUR as promotional pressure continues
8/24/17: guidance ~flat; expect AUR trends to improve through the balance of the year (including FX benefit); also expect to benefit from lower AUC; FX is about half of the improvement expected vs. 1H
5/25/17: expect gross margin expansion driven by lower AUC on flat AUR</t>
        </r>
      </text>
    </comment>
    <comment ref="AJ23" authorId="9">
      <text>
        <r>
          <rPr>
            <sz val="8"/>
            <color indexed="81"/>
            <rFont val="Tahoma"/>
            <family val="2"/>
          </rPr>
          <t xml:space="preserve">prior to restatement = 291.472
incl an est $2-3mm incremental freight costs to air goods in due to port strike. 2/18/03: 4Q cc co indicated it was $3-4 mm
</t>
        </r>
      </text>
    </comment>
    <comment ref="AK23" authorId="9">
      <text>
        <r>
          <rPr>
            <b/>
            <sz val="8"/>
            <color indexed="81"/>
            <rFont val="Tahoma"/>
            <family val="2"/>
          </rPr>
          <t>Lehman Brothers:</t>
        </r>
        <r>
          <rPr>
            <sz val="8"/>
            <color indexed="81"/>
            <rFont val="Tahoma"/>
            <family val="2"/>
          </rPr>
          <t xml:space="preserve">
increase due primarily to increase in IMU partially offset by B+O. continued progress in sourcing allowed IMU impvmt in all 3 biz including Hollister +700 bps impvmt</t>
        </r>
      </text>
    </comment>
    <comment ref="AN23" authorId="2">
      <text>
        <r>
          <rPr>
            <sz val="8"/>
            <color indexed="81"/>
            <rFont val="Tahoma"/>
            <family val="2"/>
          </rPr>
          <t xml:space="preserve">prior to restatement for B&amp;O = 
</t>
        </r>
      </text>
    </comment>
    <comment ref="AR23" authorId="2">
      <text>
        <r>
          <rPr>
            <sz val="8"/>
            <color indexed="81"/>
            <rFont val="Tahoma"/>
            <family val="2"/>
          </rPr>
          <t>prior to restatement for B&amp;O = 350.218</t>
        </r>
      </text>
    </comment>
    <comment ref="AW23" authorId="2">
      <text>
        <r>
          <rPr>
            <sz val="8"/>
            <color indexed="81"/>
            <rFont val="Tahoma"/>
            <family val="2"/>
          </rPr>
          <t>prior to restatement for B&amp;O = 49.5%</t>
        </r>
        <r>
          <rPr>
            <sz val="8"/>
            <color indexed="81"/>
            <rFont val="Tahoma"/>
            <family val="2"/>
          </rPr>
          <t xml:space="preserve">
</t>
        </r>
      </text>
    </comment>
    <comment ref="AZ23" authorId="10">
      <text>
        <r>
          <rPr>
            <b/>
            <sz val="8"/>
            <color indexed="81"/>
            <rFont val="Tahoma"/>
            <family val="2"/>
          </rPr>
          <t>oc48540:</t>
        </r>
        <r>
          <rPr>
            <sz val="8"/>
            <color indexed="81"/>
            <rFont val="Tahoma"/>
            <family val="2"/>
          </rPr>
          <t xml:space="preserve">
Decrease by 10bps fr higher shrink and slightly higher markdown rate</t>
        </r>
      </text>
    </comment>
    <comment ref="BA23" authorId="10">
      <text>
        <r>
          <rPr>
            <sz val="8"/>
            <color indexed="81"/>
            <rFont val="Tahoma"/>
            <family val="2"/>
          </rPr>
          <t>-10bps: D</t>
        </r>
        <r>
          <rPr>
            <sz val="8"/>
            <color indexed="81"/>
            <rFont val="Tahoma"/>
            <family val="2"/>
          </rPr>
          <t>ecrease primarily due to higher shrink and slightly higher markdown rate vs. LY</t>
        </r>
      </text>
    </comment>
    <comment ref="BE23" authorId="18">
      <text>
        <r>
          <rPr>
            <b/>
            <sz val="8"/>
            <color indexed="81"/>
            <rFont val="Tahoma"/>
            <family val="2"/>
          </rPr>
          <t>OC48540:</t>
        </r>
        <r>
          <rPr>
            <sz val="8"/>
            <color indexed="81"/>
            <rFont val="Tahoma"/>
            <family val="2"/>
          </rPr>
          <t xml:space="preserve">
+80 bps given higher IMU and lower shrink rate offset by higher MD rate
Nov: We est MDs = LY
Dec: No comment
Jan: No comment</t>
        </r>
      </text>
    </comment>
    <comment ref="BI23" authorId="4">
      <text>
        <r>
          <rPr>
            <b/>
            <sz val="8"/>
            <color indexed="81"/>
            <rFont val="Tahoma"/>
            <family val="2"/>
          </rPr>
          <t>mm98285:</t>
        </r>
        <r>
          <rPr>
            <sz val="8"/>
            <color indexed="81"/>
            <rFont val="Tahoma"/>
            <family val="2"/>
          </rPr>
          <t xml:space="preserve">
higher IMU more than offset by higher MDs vs. LY to clear seasonal goods and mgmt's limited ability to further reduce 4Q deliveries (Inv &gt; Sales) 
Merch margin: January down; Dec: we est down; Nov: we. est. -slightly
11/08: guide to higher MDs to clear through
seasonal merchandise by end of 4Q08</t>
        </r>
      </text>
    </comment>
    <comment ref="BM23" authorId="10">
      <text>
        <r>
          <rPr>
            <sz val="8"/>
            <color indexed="81"/>
            <rFont val="Tahoma"/>
            <family val="2"/>
          </rPr>
          <t>Gross margin decreased by -110bps (vs. our -200bps estimate) to 63.5% of sales. The decrease in gross profit rate was primarily driven by a lower average unit retail price partially off-set by a reduction in average unit costs. In addition, gross profit for the quarter was affected by unplanned markdowns on Spring product (select product will go straight to clearance or outlet stores).</t>
        </r>
        <r>
          <rPr>
            <b/>
            <sz val="8"/>
            <color indexed="81"/>
            <rFont val="Tahoma"/>
            <family val="2"/>
          </rPr>
          <t xml:space="preserve">
1/10: </t>
        </r>
        <r>
          <rPr>
            <sz val="8"/>
            <color indexed="81"/>
            <rFont val="Tahoma"/>
            <family val="2"/>
          </rPr>
          <t>still expect 4Q GM down</t>
        </r>
        <r>
          <rPr>
            <b/>
            <sz val="8"/>
            <color indexed="81"/>
            <rFont val="Tahoma"/>
            <family val="2"/>
          </rPr>
          <t xml:space="preserve">
11/15: </t>
        </r>
        <r>
          <rPr>
            <sz val="8"/>
            <color indexed="81"/>
            <rFont val="Tahoma"/>
            <family val="2"/>
          </rPr>
          <t>For 4Q, ANF anticipates a lower level of gross
margin erosion versus prior year than in 3Q (3Q’s gross margin was -240bps vs. LY), but surprisingly does expect GM to decline against LY's -280 bps
erosion.
MM:
Nov: we est down
Dec: we est down</t>
        </r>
      </text>
    </comment>
    <comment ref="BQ23" authorId="5">
      <text>
        <r>
          <rPr>
            <b/>
            <sz val="8"/>
            <color indexed="81"/>
            <rFont val="Tahoma"/>
            <family val="2"/>
          </rPr>
          <t>nicholjs:</t>
        </r>
        <r>
          <rPr>
            <sz val="8"/>
            <color indexed="81"/>
            <rFont val="Tahoma"/>
            <family val="2"/>
          </rPr>
          <t xml:space="preserve">
11/2010: expect similar erosion to 3Q
3Q call: Jonathan "continue to get AUC benefit in 4Q yoy.  It's a little less than 3Q which was less than the spring, so yoy it's abating as we go through the year."</t>
        </r>
      </text>
    </comment>
    <comment ref="BU23" authorId="6">
      <text>
        <r>
          <rPr>
            <sz val="8"/>
            <color indexed="81"/>
            <rFont val="Tahoma"/>
            <family val="2"/>
          </rPr>
          <t>2/2/2012:  -750 due to lower than expected sales and higher markdowns driven by a more aggressive promotional environment than anticipated.
11/16: Guidance - "Similar erosion to Q3"</t>
        </r>
        <r>
          <rPr>
            <sz val="8"/>
            <color indexed="81"/>
            <rFont val="Tahoma"/>
            <family val="2"/>
          </rPr>
          <t xml:space="preserve">
1/20: additional -200bps of margin erosion</t>
        </r>
      </text>
    </comment>
    <comment ref="BV23" authorId="5">
      <text>
        <r>
          <rPr>
            <sz val="8"/>
            <color indexed="81"/>
            <rFont val="Tahoma"/>
            <family val="2"/>
          </rPr>
          <t>2/15/2012: The decrease in the gross profit rate was driven primarily by an increase in average unit cost combined with lower than expected sales and higher markdowns driven by a more aggressive promotional environment than anticipated.
2/2/2012:  -750 due to lower than expected sales and higher markdowns driven by a more aggressive promotional environment than anticipated.
8/2011: continue to expect GM erosion
1Q 10Q: From a margin standpoint, the greatest challenge the Company faces remains the impact of increases in raw material costs, particularly cotton, and other input costs. Beyond 2Q, the Company expects that these increases will result in erosion of the gross margin rate for the second half of the year.</t>
        </r>
      </text>
    </comment>
    <comment ref="BY23" authorId="7">
      <text>
        <r>
          <rPr>
            <b/>
            <sz val="8"/>
            <color indexed="81"/>
            <rFont val="Tahoma"/>
            <family val="2"/>
          </rPr>
          <t>casselau:</t>
        </r>
        <r>
          <rPr>
            <sz val="8"/>
            <color indexed="81"/>
            <rFont val="Tahoma"/>
            <family val="2"/>
          </rPr>
          <t xml:space="preserve">
11/14: slightly higher relative to the YTD range</t>
        </r>
      </text>
    </comment>
    <comment ref="BZ23" authorId="6">
      <text>
        <r>
          <rPr>
            <sz val="8"/>
            <color indexed="81"/>
            <rFont val="Tahoma"/>
            <family val="2"/>
          </rPr>
          <t>2/22/13: the increase in GM was primarily driven by a mid-teens decrease in AUC and the effect of higher markdowns on carryover inventory in the prior year; GM also benefitted from a moderated promtional stance during the high-volume holiday shopping periods; the gross profit rate under the cost method was 63.4% (the increase in the gross profit rate was driven by a decrease in AUC)
8/15/12: "The Company continues to expect substantial recovery of the gross margin rate erosion seen in 2011 on a 2012 full year basis." 
"In addition to lower sales, the reduction in projected earnings per share also reflects the impact of a stronger US dollar"</t>
        </r>
      </text>
    </comment>
    <comment ref="CC23" authorId="7">
      <text>
        <r>
          <rPr>
            <b/>
            <sz val="8"/>
            <color indexed="81"/>
            <rFont val="Tahoma"/>
            <family val="2"/>
          </rPr>
          <t xml:space="preserve">casselau:
2/26/14: </t>
        </r>
        <r>
          <rPr>
            <sz val="8"/>
            <color indexed="81"/>
            <rFont val="Tahoma"/>
            <family val="2"/>
          </rPr>
          <t>decrease reflects increase in promotional activity, including S&amp;H promos</t>
        </r>
        <r>
          <rPr>
            <sz val="8"/>
            <color indexed="81"/>
            <rFont val="Tahoma"/>
            <family val="2"/>
          </rPr>
          <t xml:space="preserve">
11/5/13: guidance: assume significant GM rate erosion as it clears through excess inventory</t>
        </r>
      </text>
    </comment>
    <comment ref="CG23" authorId="7">
      <text>
        <r>
          <rPr>
            <b/>
            <sz val="9"/>
            <color indexed="81"/>
            <rFont val="Tahoma"/>
            <family val="2"/>
          </rPr>
          <t xml:space="preserve">casselau:
</t>
        </r>
        <r>
          <rPr>
            <sz val="9"/>
            <color indexed="81"/>
            <rFont val="Tahoma"/>
            <family val="2"/>
          </rPr>
          <t xml:space="preserve">12/3/14: expect 4Q GM to be higher y/y, but lower than YTD rate (~62.2%) (driven by cost decreases, not expecting AUR to be up) 
</t>
        </r>
        <r>
          <rPr>
            <b/>
            <sz val="9"/>
            <color indexed="81"/>
            <rFont val="Tahoma"/>
            <family val="2"/>
          </rPr>
          <t xml:space="preserve">
</t>
        </r>
        <r>
          <rPr>
            <sz val="9"/>
            <color indexed="81"/>
            <rFont val="Tahoma"/>
            <family val="2"/>
          </rPr>
          <t>8/28/14: expect gross margin improvement as they begin to benefit from lower AUCs and go up against more favorable AUR comparisons</t>
        </r>
        <r>
          <rPr>
            <b/>
            <sz val="9"/>
            <color indexed="81"/>
            <rFont val="Tahoma"/>
            <family val="2"/>
          </rPr>
          <t xml:space="preserve">
</t>
        </r>
        <r>
          <rPr>
            <sz val="9"/>
            <color indexed="81"/>
            <rFont val="Tahoma"/>
            <family val="2"/>
          </rPr>
          <t xml:space="preserve">
2/26/14: AUC will be down on a FY basis, weighted toward 2H</t>
        </r>
      </text>
    </comment>
    <comment ref="CH23" authorId="7">
      <text>
        <r>
          <rPr>
            <b/>
            <sz val="9"/>
            <color indexed="81"/>
            <rFont val="Tahoma"/>
            <family val="2"/>
          </rPr>
          <t>casselau:</t>
        </r>
        <r>
          <rPr>
            <sz val="9"/>
            <color indexed="81"/>
            <rFont val="Tahoma"/>
            <family val="2"/>
          </rPr>
          <t xml:space="preserve">
3/3/15: AUC benefits offset by FX (AUR up slightly y/y on constant currency basis)</t>
        </r>
      </text>
    </comment>
    <comment ref="CJ23" authorId="7">
      <text>
        <r>
          <rPr>
            <b/>
            <sz val="9"/>
            <color indexed="81"/>
            <rFont val="Tahoma"/>
            <family val="2"/>
          </rPr>
          <t>casselau:</t>
        </r>
        <r>
          <rPr>
            <sz val="9"/>
            <color indexed="81"/>
            <rFont val="Tahoma"/>
            <family val="2"/>
          </rPr>
          <t xml:space="preserve">
3/2/15: Excluded Items consist of benefits of $1.0 million related to higher than expected recovery in inventory previously written-down.</t>
        </r>
      </text>
    </comment>
    <comment ref="CL23" authorId="7">
      <text>
        <r>
          <rPr>
            <b/>
            <sz val="9"/>
            <color indexed="81"/>
            <rFont val="Tahoma"/>
            <family val="2"/>
          </rPr>
          <t xml:space="preserve">casselau:
3/2/16: +100 bps y/y CC, primarily due to higher AUR (higher full price selling and reduction in promotional activity)
11/20/15: guidance flat y/y as they start to anniversary LY's lower AUCs </t>
        </r>
        <r>
          <rPr>
            <sz val="9"/>
            <color indexed="81"/>
            <rFont val="Tahoma"/>
            <family val="2"/>
          </rPr>
          <t>(FX will be abating somewhat, but they had benefits from hedging LY)
8/26/15: assume 50 bps constant currency improvement (lower AUC, higher AUR) offset by ~40 bps FX headwinds</t>
        </r>
      </text>
    </comment>
    <comment ref="CO23" authorId="7">
      <text>
        <r>
          <rPr>
            <b/>
            <sz val="9"/>
            <color indexed="81"/>
            <rFont val="Tahoma"/>
            <family val="2"/>
          </rPr>
          <t>casselau:
8/30/16: AUC benefit weighted towards 4Q</t>
        </r>
        <r>
          <rPr>
            <sz val="9"/>
            <color indexed="81"/>
            <rFont val="Tahoma"/>
            <family val="2"/>
          </rPr>
          <t xml:space="preserve">
3/2/16: AUC down in 2H  (cotton and FX devaluation); expect slight AUR improvement</t>
        </r>
      </text>
    </comment>
    <comment ref="CP23" authorId="8">
      <text>
        <r>
          <rPr>
            <b/>
            <sz val="9"/>
            <color indexed="81"/>
            <rFont val="Tahoma"/>
            <family val="2"/>
          </rPr>
          <t xml:space="preserve">Cassel, Lauren (Research):
3/1/17: -90 bps on constant currency basis, primarily due to lower AUR, partially offset by lower AUC; </t>
        </r>
        <r>
          <rPr>
            <sz val="9"/>
            <color indexed="81"/>
            <rFont val="Tahoma"/>
            <family val="2"/>
          </rPr>
          <t>the competitive environment resulted in more promotional activity and a lower gross margin rate than planned</t>
        </r>
        <r>
          <rPr>
            <b/>
            <sz val="9"/>
            <color indexed="81"/>
            <rFont val="Tahoma"/>
            <family val="2"/>
          </rPr>
          <t xml:space="preserve">
</t>
        </r>
        <r>
          <rPr>
            <sz val="9"/>
            <color indexed="81"/>
            <rFont val="Tahoma"/>
            <family val="2"/>
          </rPr>
          <t xml:space="preserve">
11/18/16: Guidance: A GROSS MARGIN RATE DOWN SLIGHTLY TO LAST YEAR'S ADJUSTED NON-GAAP RATE OF 60.7%, DRIVEN BY LOWER AVERAGE UNIT RETAIL, PARTIALLY OFFSET BY LOWER AVERAGE UNIT COST (per Joanne, FX will be  -40 bps headwind)</t>
        </r>
      </text>
    </comment>
    <comment ref="CT23" authorId="8">
      <text>
        <r>
          <rPr>
            <b/>
            <sz val="9"/>
            <color indexed="81"/>
            <rFont val="Tahoma"/>
            <family val="2"/>
          </rPr>
          <t xml:space="preserve">Cassel, Lauren (Research):
</t>
        </r>
        <r>
          <rPr>
            <sz val="9"/>
            <color indexed="81"/>
            <rFont val="Tahoma"/>
            <family val="2"/>
          </rPr>
          <t>3/7/18: decline driven by higher AUC and lower AUR; Higher AUC driven by air freight in order to lean into sales trends and chase intra quarter</t>
        </r>
        <r>
          <rPr>
            <b/>
            <sz val="9"/>
            <color indexed="81"/>
            <rFont val="Tahoma"/>
            <family val="2"/>
          </rPr>
          <t xml:space="preserve">
</t>
        </r>
        <r>
          <rPr>
            <sz val="9"/>
            <color indexed="81"/>
            <rFont val="Tahoma"/>
            <family val="2"/>
          </rPr>
          <t>1/22/18: Holiday update maintained  -100 bps guidance</t>
        </r>
        <r>
          <rPr>
            <b/>
            <sz val="9"/>
            <color indexed="81"/>
            <rFont val="Tahoma"/>
            <family val="2"/>
          </rPr>
          <t xml:space="preserve">
</t>
        </r>
        <r>
          <rPr>
            <sz val="9"/>
            <color indexed="81"/>
            <rFont val="Tahoma"/>
            <family val="2"/>
          </rPr>
          <t>11/17/17: guidance -100 bps y/y as lower AUC will be more than offset by consistent AUR pressure (updated based on promotional trends seen in 3Q)
8/24/17: guidance ~flat; expect AUR trends to improve through the balance of the year (including FX benefit); also expect to benefit from lower AUC; FX is about half of the improvement expected vs. 1H</t>
        </r>
        <r>
          <rPr>
            <b/>
            <sz val="9"/>
            <color indexed="81"/>
            <rFont val="Tahoma"/>
            <family val="2"/>
          </rPr>
          <t xml:space="preserve">
</t>
        </r>
        <r>
          <rPr>
            <sz val="9"/>
            <color indexed="81"/>
            <rFont val="Tahoma"/>
            <family val="2"/>
          </rPr>
          <t xml:space="preserve">
8/24/17: guidance ~flat</t>
        </r>
      </text>
    </comment>
    <comment ref="AO24" authorId="1">
      <text>
        <r>
          <rPr>
            <b/>
            <sz val="8"/>
            <color indexed="81"/>
            <rFont val="Tahoma"/>
            <family val="2"/>
          </rPr>
          <t>dliu:</t>
        </r>
        <r>
          <rPr>
            <sz val="8"/>
            <color indexed="81"/>
            <rFont val="Tahoma"/>
            <family val="2"/>
          </rPr>
          <t xml:space="preserve">
for FY03 co does not expect sig OM impvmt. Will continue to focus on impv'g productivity such as in stores, home office, and D.C.</t>
        </r>
      </text>
    </comment>
    <comment ref="BI24" authorId="4">
      <text>
        <r>
          <rPr>
            <b/>
            <sz val="8"/>
            <color indexed="81"/>
            <rFont val="Tahoma"/>
            <family val="2"/>
          </rPr>
          <t>mm98285:</t>
        </r>
        <r>
          <rPr>
            <sz val="8"/>
            <color indexed="81"/>
            <rFont val="Tahoma"/>
            <family val="2"/>
          </rPr>
          <t xml:space="preserve">
3/09: improved IMU offset by higher MDs (primarily 4Q)</t>
        </r>
      </text>
    </comment>
    <comment ref="BL24" authorId="4">
      <text>
        <r>
          <rPr>
            <b/>
            <sz val="8"/>
            <color indexed="81"/>
            <rFont val="Tahoma"/>
            <family val="2"/>
          </rPr>
          <t>mm98285:</t>
        </r>
        <r>
          <rPr>
            <sz val="8"/>
            <color indexed="81"/>
            <rFont val="Tahoma"/>
            <family val="2"/>
          </rPr>
          <t xml:space="preserve">
5/09: Expect preopening rent for 2009 to be ~$35M (primarily made up of flagship and the international growth which is ~$31-32M) vs. LY's preopening rent of ~$30M which was made up of a larger part that was domestic. </t>
        </r>
      </text>
    </comment>
    <comment ref="BQ24" authorId="5">
      <text>
        <r>
          <rPr>
            <b/>
            <sz val="8"/>
            <color indexed="81"/>
            <rFont val="Tahoma"/>
            <family val="2"/>
          </rPr>
          <t>nicholjs:</t>
        </r>
        <r>
          <rPr>
            <sz val="8"/>
            <color indexed="81"/>
            <rFont val="Tahoma"/>
            <family val="2"/>
          </rPr>
          <t xml:space="preserve">
10-K: The decrease in the gross profit rate for Fiscal 2010 was primarily driven by a 9% decrease in average unit retail, which was partially offset by a reduction in average unit cost.</t>
        </r>
      </text>
    </comment>
    <comment ref="BU24" authorId="5">
      <text>
        <r>
          <rPr>
            <b/>
            <sz val="8"/>
            <color indexed="81"/>
            <rFont val="Tahoma"/>
            <family val="2"/>
          </rPr>
          <t>nicholjs:</t>
        </r>
        <r>
          <rPr>
            <sz val="8"/>
            <color indexed="81"/>
            <rFont val="Tahoma"/>
            <family val="2"/>
          </rPr>
          <t xml:space="preserve">
10K: Fluctuations in the cost, availability and quality of the fabrics or other raw materials used to manufacture our merchandise could have a material adverse effect on our cost of goods, or our ability to meet customer demand. The prices for such fabrics depend largely on the market prices for the raw materials used to produce them, particularly cotton. During the past 12 months alone, the price of cotton has nearly tripled based on Index A. The price and availability of such raw materials may fluctuate significantly, depending on many factors, including crop yields and weather patterns. Such factors may be exacerbated by legislation and regulations associated with global climate change.
In addition, the cost of labor at many of our third-party manufacturers has been increasing significantly and, as the middle class in developing countries continues to grow, it is unlikely that such cost pressure will abate. The cost of transportation has been increasing as well, and, if the price of oil continues to increase, and as there continues to be significant unrest in the Middle East, it is unlikely that such cost pressure will abate.
In the future, we may not be able to pass all or a portion of higher raw materials prices or labor or transportation costs on to our customers. These increasing costs of production could also adversely affect our ability to achieve the gross margin objectives we have established for ourselves as one component of our roadmap.</t>
        </r>
      </text>
    </comment>
    <comment ref="BY24" authorId="14">
      <text>
        <r>
          <rPr>
            <sz val="8"/>
            <color indexed="81"/>
            <rFont val="Tahoma"/>
            <family val="2"/>
          </rPr>
          <t>5/16/12: "Our lower sales projection is offset by higher protected gross margin rate and lower expenses. The high gross margin rate reflects continued progress on AUC and the fact that a much higher percentage of our commitments is now lopped in."
2/15/2012 guide: expect to recover approximately half of 2011 GM rate erosion, driven by international mix benefit and AUC improvement in Fall Season.</t>
        </r>
      </text>
    </comment>
    <comment ref="BZ24" authorId="6">
      <text>
        <r>
          <rPr>
            <sz val="8"/>
            <color indexed="81"/>
            <rFont val="Tahoma"/>
            <family val="2"/>
          </rPr>
          <t xml:space="preserve">2/22/13: the increse in the gross profit rate was primarily driven by a decrease in AUC and the effect of higher markdowns on carryover inventory in the prior year; </t>
        </r>
        <r>
          <rPr>
            <b/>
            <sz val="8"/>
            <color indexed="81"/>
            <rFont val="Tahoma"/>
            <family val="2"/>
          </rPr>
          <t>for the cost method would have been 62.4%</t>
        </r>
        <r>
          <rPr>
            <sz val="8"/>
            <color indexed="81"/>
            <rFont val="Tahoma"/>
            <family val="2"/>
          </rPr>
          <t xml:space="preserve">
8/15/12: "The Company continues to expect substantial recovery of the gross margin rate erosion seen in 2011 on a 2012 full year basis." 
"In addition to lower sales, the reduction in projected earnings per share also reflects the impact of a stronger US dollar"</t>
        </r>
      </text>
    </comment>
    <comment ref="CC24" authorId="7">
      <text>
        <r>
          <rPr>
            <b/>
            <sz val="8"/>
            <color indexed="81"/>
            <rFont val="Tahoma"/>
            <family val="2"/>
          </rPr>
          <t xml:space="preserve">casselau.:
</t>
        </r>
        <r>
          <rPr>
            <sz val="8"/>
            <color indexed="81"/>
            <rFont val="Tahoma"/>
            <family val="2"/>
          </rPr>
          <t>11/20/13: expect ~flat y/y</t>
        </r>
        <r>
          <rPr>
            <sz val="8"/>
            <color indexed="81"/>
            <rFont val="Tahoma"/>
            <family val="2"/>
          </rPr>
          <t xml:space="preserve">
2/22/13: raising AUR major strategic initiative introduced on 4Q12 CC; expect gross margin improvement</t>
        </r>
      </text>
    </comment>
    <comment ref="CG24" authorId="7">
      <text>
        <r>
          <rPr>
            <b/>
            <sz val="8"/>
            <color indexed="81"/>
            <rFont val="Tahoma"/>
            <family val="2"/>
          </rPr>
          <t>casselau:
8/28/14: reiterate GM down slightly (AUR lower, lower S&amp;H, AUC down)</t>
        </r>
        <r>
          <rPr>
            <sz val="8"/>
            <color indexed="81"/>
            <rFont val="Tahoma"/>
            <family val="2"/>
          </rPr>
          <t xml:space="preserve">
5/29/14: guidance assumes GM down slightly (AUR pressure and lower S&amp;H revenues partially offest by AUC improvement)
2/26/14: guidance assumes flat to down slightly; continuing AUR pressure and lower S&amp;H revenues relative to sales should offset AUC improvement and a benefit from cost saves ($12M)</t>
        </r>
      </text>
    </comment>
    <comment ref="CH24" authorId="7">
      <text>
        <r>
          <rPr>
            <b/>
            <sz val="9"/>
            <color indexed="81"/>
            <rFont val="Tahoma"/>
            <family val="2"/>
          </rPr>
          <t>casselau:</t>
        </r>
        <r>
          <rPr>
            <sz val="9"/>
            <color indexed="81"/>
            <rFont val="Tahoma"/>
            <family val="2"/>
          </rPr>
          <t xml:space="preserve">
3/3/15: driven by increased promotional activity, including S&amp;H promos, partially offset by lower AUC</t>
        </r>
      </text>
    </comment>
    <comment ref="CK24" authorId="7">
      <text>
        <r>
          <rPr>
            <b/>
            <sz val="9"/>
            <color indexed="81"/>
            <rFont val="Tahoma"/>
            <family val="2"/>
          </rPr>
          <t>casselau:
8/26/15: gross margin rate ~flat in 2H (up on constant currency basis)</t>
        </r>
        <r>
          <rPr>
            <sz val="9"/>
            <color indexed="81"/>
            <rFont val="Tahoma"/>
            <family val="2"/>
          </rPr>
          <t xml:space="preserve">
3/3/15: guidance flat to up slightly; AUC reductions offset by the adverse effect from FX exchange rates</t>
        </r>
      </text>
    </comment>
    <comment ref="CL24" authorId="7">
      <text>
        <r>
          <rPr>
            <b/>
            <sz val="9"/>
            <color indexed="81"/>
            <rFont val="Tahoma"/>
            <family val="2"/>
          </rPr>
          <t>casselau:</t>
        </r>
        <r>
          <rPr>
            <sz val="9"/>
            <color indexed="81"/>
            <rFont val="Tahoma"/>
            <family val="2"/>
          </rPr>
          <t xml:space="preserve">
3/2/16: +120 bps y/y CC  primarily due to higher average unit retails coupled with lower
average unit cost.
</t>
        </r>
      </text>
    </comment>
    <comment ref="CO24" authorId="7">
      <text>
        <r>
          <rPr>
            <b/>
            <sz val="9"/>
            <color indexed="81"/>
            <rFont val="Tahoma"/>
            <family val="2"/>
          </rPr>
          <t xml:space="preserve">casselau:
8/30/16: Expect GM flat to last year's 61.9%
5/26/16: </t>
        </r>
        <r>
          <rPr>
            <sz val="9"/>
            <color indexed="81"/>
            <rFont val="Tahoma"/>
            <family val="2"/>
          </rPr>
          <t>expect GM rate up slightly to last years 61.9%</t>
        </r>
        <r>
          <rPr>
            <b/>
            <sz val="9"/>
            <color indexed="81"/>
            <rFont val="Tahoma"/>
            <family val="2"/>
          </rPr>
          <t xml:space="preserve">
3/2/16: </t>
        </r>
        <r>
          <rPr>
            <sz val="9"/>
            <color indexed="81"/>
            <rFont val="Tahoma"/>
            <family val="2"/>
          </rPr>
          <t xml:space="preserve">guidance: approximately flat to last year's 61.9%, but up on a constant currency basis  (AUC down slightly for th eyear, FX is the headwind on AUR but we expect continued AUR benefit
both from inventory management activity as well as better selling at regular price and our ability to step away from promotional activity during </t>
        </r>
        <r>
          <rPr>
            <sz val="9"/>
            <color indexed="81"/>
            <rFont val="Tahoma"/>
            <family val="2"/>
          </rPr>
          <t>the year)</t>
        </r>
        <r>
          <rPr>
            <b/>
            <sz val="9"/>
            <color indexed="81"/>
            <rFont val="Tahoma"/>
            <family val="2"/>
          </rPr>
          <t xml:space="preserve">
</t>
        </r>
        <r>
          <rPr>
            <sz val="9"/>
            <color indexed="81"/>
            <rFont val="Tahoma"/>
            <family val="2"/>
          </rPr>
          <t xml:space="preserve">
11/20/15: Per Jonathan: There should be some  benefit from cotton as we go through 2016. Beyond that on AUC (as we said in  Aug) we are open to making modest investments if we are confident we can get paid for them.
Q: So as you are still looking to grow merchandise margins, do you think the primary driver in 2016 will be cost saves or is there an opportunity to further bring down the markdown rate?
A: We see further AUR opportunity. This could come through higher full price selling and improved promotional cadence, where we've pulled back this year and think there is more opportunity there. And then also as we get better traction with product we will be able to pull back on that promotional lever. 
</t>
        </r>
      </text>
    </comment>
    <comment ref="CP24" authorId="8">
      <text>
        <r>
          <rPr>
            <b/>
            <sz val="9"/>
            <color indexed="81"/>
            <rFont val="Tahoma"/>
            <family val="2"/>
          </rPr>
          <t>Cassel, Lauren (Research):</t>
        </r>
        <r>
          <rPr>
            <sz val="9"/>
            <color indexed="81"/>
            <rFont val="Tahoma"/>
            <family val="2"/>
          </rPr>
          <t xml:space="preserve">
3/2/17: the gross profit rate decreased 30 basis points on a constant currency basis, primarily due to lower average unit retail.</t>
        </r>
      </text>
    </comment>
    <comment ref="CS24" authorId="8">
      <text>
        <r>
          <rPr>
            <b/>
            <sz val="9"/>
            <color indexed="81"/>
            <rFont val="Tahoma"/>
            <family val="2"/>
          </rPr>
          <t>Cassel, Lauren (Research):</t>
        </r>
        <r>
          <rPr>
            <sz val="9"/>
            <color indexed="81"/>
            <rFont val="Tahoma"/>
            <family val="2"/>
          </rPr>
          <t xml:space="preserve">
8/24/17: guidance: gross margin down compared to last year's rate of 61.0%, and approximately flat in the second half of the year</t>
        </r>
      </text>
    </comment>
    <comment ref="CT24" authorId="8">
      <text>
        <r>
          <rPr>
            <b/>
            <sz val="9"/>
            <color indexed="81"/>
            <rFont val="Tahoma"/>
            <family val="2"/>
          </rPr>
          <t>Cassel, Lauren (Research):
5/25/17: guidance: down slightly to last year's 61%</t>
        </r>
        <r>
          <rPr>
            <sz val="9"/>
            <color indexed="81"/>
            <rFont val="Tahoma"/>
            <family val="2"/>
          </rPr>
          <t xml:space="preserve">
3/2/17: guidance: Flat to 61.0%, but up on a constant currency basis, driven by lower AUC, with continuing promotional pressure in 1Q</t>
        </r>
      </text>
    </comment>
    <comment ref="CW24" authorId="12">
      <text>
        <r>
          <rPr>
            <b/>
            <sz val="9"/>
            <color indexed="81"/>
            <rFont val="Tahoma"/>
            <family val="2"/>
          </rPr>
          <t>Roberts, Cynthia (Research):</t>
        </r>
        <r>
          <rPr>
            <sz val="9"/>
            <color indexed="81"/>
            <rFont val="Tahoma"/>
            <family val="2"/>
          </rPr>
          <t xml:space="preserve">
3/7/18: Guidance  gross margin up slightly  from 2017, with some continuing pressure in 1Q</t>
        </r>
      </text>
    </comment>
    <comment ref="BA30" authorId="13">
      <text>
        <r>
          <rPr>
            <sz val="8"/>
            <color indexed="81"/>
            <rFont val="Tahoma"/>
            <family val="2"/>
          </rPr>
          <t>kg51925:
130 bps of leverage:
lever store fixed exp's
reduce store maintence
offset by incr store P/R</t>
        </r>
      </text>
    </comment>
    <comment ref="BE30" authorId="10">
      <text>
        <r>
          <rPr>
            <sz val="8"/>
            <color indexed="81"/>
            <rFont val="Tahoma"/>
            <family val="2"/>
          </rPr>
          <t>Stores and distribution expense increased 220 bps to 41.5% given deleverage on rent and other fixed costs due to the negative comp, minimum wage increases, and opening costs associated with the London flagship (~$2mm), partially offset by reduction in payroll hours on a per store basis and other variable expenses that were downwardly adjusted in response to negative sales trends during 1Q.</t>
        </r>
      </text>
    </comment>
    <comment ref="BH30" authorId="4">
      <text>
        <r>
          <rPr>
            <b/>
            <sz val="8"/>
            <color indexed="81"/>
            <rFont val="Tahoma"/>
            <family val="2"/>
          </rPr>
          <t>mm98285:</t>
        </r>
        <r>
          <rPr>
            <sz val="8"/>
            <color indexed="81"/>
            <rFont val="Tahoma"/>
            <family val="2"/>
          </rPr>
          <t xml:space="preserve">
2/08: incremental $5m for min. wage increase and $5m for Tokyo flagship pre-opening rent in 1H</t>
        </r>
      </text>
    </comment>
    <comment ref="BI30" authorId="4">
      <text>
        <r>
          <rPr>
            <b/>
            <sz val="8"/>
            <color indexed="81"/>
            <rFont val="Tahoma"/>
            <family val="2"/>
          </rPr>
          <t>mm98285:</t>
        </r>
        <r>
          <rPr>
            <sz val="8"/>
            <color indexed="81"/>
            <rFont val="Tahoma"/>
            <family val="2"/>
          </rPr>
          <t xml:space="preserve">
+delvge on -3% comp 
+min. wage rate increase
+pre-opening exp's for Tokyo flagship ($2.5mm) &amp; SoHo ($2.0mm) leases. 
-partially offset by reduced variable exp's: payroll hrs (per store basis decline)
DC productivity increased: UPH +12.1%</t>
        </r>
      </text>
    </comment>
    <comment ref="BJ30" authorId="13">
      <text>
        <r>
          <rPr>
            <b/>
            <sz val="8"/>
            <color indexed="81"/>
            <rFont val="Tahoma"/>
            <family val="2"/>
          </rPr>
          <t>kg51925:</t>
        </r>
        <r>
          <rPr>
            <sz val="8"/>
            <color indexed="81"/>
            <rFont val="Tahoma"/>
            <family val="2"/>
          </rPr>
          <t xml:space="preserve">
2/08: +12.7% growth rate shrinks to 11.0% growth (in line w/ sq ft growth) excl. $5mm pre-open rent for Tokyo store</t>
        </r>
      </text>
    </comment>
    <comment ref="BM30" authorId="4">
      <text>
        <r>
          <rPr>
            <b/>
            <sz val="8"/>
            <color indexed="81"/>
            <rFont val="Tahoma"/>
            <family val="2"/>
          </rPr>
          <t>mm98285:</t>
        </r>
        <r>
          <rPr>
            <sz val="8"/>
            <color indexed="81"/>
            <rFont val="Tahoma"/>
            <family val="2"/>
          </rPr>
          <t xml:space="preserve">
savings in store payroll, DTC and other variable exp's, offset by rate of the sales decline (1Q sales -23.5% and comps -30%) and increases in rent, depreciation and other occupancy costs primarily attributable to new store openings in '08 and increase in pre-opening rent exp.
5/09: occupancy costs (incl. rent, depreciation, &amp; other related charges) represented ~47% ($160M) of S&amp;D exp's &amp; increased ~15% vs. LY given '08 store opening and incremental preopening rent. 
All other S&amp;D exp's (incl. selling, payrolls, store mgmt &amp; support, distribution, DTC &amp; other costs) or ~$180M were down ~10% vs. LY (30% of sales vs. ~25% of sales LY); On avg. store basis &amp; ex. DTC costs, these exp's were down ~16% YOY
2/09: expect incremental $2.5M from managers salary increases in 1H and $5mm incremental pre-opening rent per quarter in 2009</t>
        </r>
      </text>
    </comment>
    <comment ref="BP30" authorId="17">
      <text>
        <r>
          <rPr>
            <b/>
            <sz val="8"/>
            <color indexed="81"/>
            <rFont val="Tahoma"/>
            <family val="2"/>
          </rPr>
          <t>ns66486:</t>
        </r>
        <r>
          <rPr>
            <sz val="8"/>
            <color indexed="81"/>
            <rFont val="Tahoma"/>
            <family val="2"/>
          </rPr>
          <t xml:space="preserve">
decrease in S&amp;D expense rate was primarily driven by lower store occupancy costs as a percentage of net sales</t>
        </r>
      </text>
    </comment>
    <comment ref="BT30" authorId="5">
      <text>
        <r>
          <rPr>
            <b/>
            <sz val="8"/>
            <color indexed="81"/>
            <rFont val="Tahoma"/>
            <family val="2"/>
          </rPr>
          <t>nicholjs:</t>
        </r>
        <r>
          <rPr>
            <sz val="8"/>
            <color indexed="81"/>
            <rFont val="Tahoma"/>
            <family val="2"/>
          </rPr>
          <t xml:space="preserve">
decrease as % of sales driven by leveraging store occupancy costs and payroll against higher sales.  Total DTC expense included in stores/distribution was $17.6mm vs. $12.8mm LY</t>
        </r>
      </text>
    </comment>
    <comment ref="BX30" authorId="7">
      <text>
        <r>
          <rPr>
            <b/>
            <sz val="8"/>
            <color indexed="81"/>
            <rFont val="Tahoma"/>
            <family val="2"/>
          </rPr>
          <t>casselau:</t>
        </r>
        <r>
          <rPr>
            <sz val="8"/>
            <color indexed="81"/>
            <rFont val="Tahoma"/>
            <family val="2"/>
          </rPr>
          <t xml:space="preserve">
store pre-operating costs 14.404</t>
        </r>
      </text>
    </comment>
    <comment ref="BY30" authorId="14">
      <text>
        <r>
          <rPr>
            <sz val="8"/>
            <color indexed="81"/>
            <rFont val="Tahoma"/>
            <family val="2"/>
          </rPr>
          <t>5/16/12: The increase in the stores and distribution expense rate was primarily driven by higher direct to-
consumer costs, store payroll and store management costs, partially offset by a lower occupancy expense
rate.
2/15/2012 guide: total operating expenses flat as a % of sales</t>
        </r>
      </text>
    </comment>
    <comment ref="CC30" authorId="14">
      <text>
        <r>
          <rPr>
            <sz val="8"/>
            <color indexed="81"/>
            <rFont val="Tahoma"/>
            <family val="2"/>
          </rPr>
          <t>5/16/12: The increase in the stores and distribution expense rate was primarily driven by higher direct to-
consumer costs, store payroll and store management costs, partially offset by a lower occupancy expense
rate.
2/15/2012 guide: total operating expenses flat as a % of sales</t>
        </r>
      </text>
    </comment>
    <comment ref="CG30" authorId="7">
      <text>
        <r>
          <rPr>
            <b/>
            <sz val="9"/>
            <color indexed="81"/>
            <rFont val="Tahoma"/>
            <family val="2"/>
          </rPr>
          <t>casselau:</t>
        </r>
        <r>
          <rPr>
            <sz val="9"/>
            <color indexed="81"/>
            <rFont val="Tahoma"/>
            <family val="2"/>
          </rPr>
          <t xml:space="preserve">
5/29/14: driven primarily by savings in store payroll partially offset by higher DTC expense and $0.8M of charges related to the profit improvement initative</t>
        </r>
      </text>
    </comment>
    <comment ref="CK30" authorId="7">
      <text>
        <r>
          <rPr>
            <b/>
            <sz val="9"/>
            <color indexed="81"/>
            <rFont val="Tahoma"/>
            <family val="2"/>
          </rPr>
          <t>casselau:</t>
        </r>
        <r>
          <rPr>
            <sz val="9"/>
            <color indexed="81"/>
            <rFont val="Tahoma"/>
            <family val="2"/>
          </rPr>
          <t xml:space="preserve">
5/18/15: decline due to favorable FX rates as well as additional </t>
        </r>
      </text>
    </comment>
    <comment ref="CP30" authorId="8">
      <text>
        <r>
          <rPr>
            <b/>
            <sz val="9"/>
            <color indexed="81"/>
            <rFont val="Tahoma"/>
            <family val="2"/>
          </rPr>
          <t>Cassel, Lauren (Research):</t>
        </r>
        <r>
          <rPr>
            <sz val="9"/>
            <color indexed="81"/>
            <rFont val="Tahoma"/>
            <family val="2"/>
          </rPr>
          <t xml:space="preserve">
5/26/16: primarily due to expense reduction efforts and the realization of savings on lower sales, partially offset by higher DTC expense</t>
        </r>
      </text>
    </comment>
    <comment ref="CT30" authorId="8">
      <text>
        <r>
          <rPr>
            <b/>
            <sz val="9"/>
            <color indexed="81"/>
            <rFont val="Tahoma"/>
            <family val="2"/>
          </rPr>
          <t>Cassel, Lauren (Research):</t>
        </r>
        <r>
          <rPr>
            <sz val="9"/>
            <color indexed="81"/>
            <rFont val="Tahoma"/>
            <family val="2"/>
          </rPr>
          <t xml:space="preserve">
8/24/17: primarily due to expense reduction efforts and the realization of savings on lower sales, partially offset by higher direct-to-consumer expense.</t>
        </r>
      </text>
    </comment>
    <comment ref="BE31" authorId="10">
      <text>
        <r>
          <rPr>
            <sz val="8"/>
            <color indexed="81"/>
            <rFont val="Tahoma"/>
            <family val="2"/>
          </rPr>
          <t>S&amp;D’s increase is primarily
attributable to increases in direct-to-consumer fulfillment costs, store related
payroll, and other controllable expenses.</t>
        </r>
      </text>
    </comment>
    <comment ref="BH31" authorId="4">
      <text>
        <r>
          <rPr>
            <b/>
            <sz val="8"/>
            <color indexed="81"/>
            <rFont val="Tahoma"/>
            <family val="2"/>
          </rPr>
          <t>mm98285:</t>
        </r>
        <r>
          <rPr>
            <sz val="8"/>
            <color indexed="81"/>
            <rFont val="Tahoma"/>
            <family val="2"/>
          </rPr>
          <t xml:space="preserve">
2/08: incremental $5m for min. wage increase and $5m for Tokyo flagship pre-opening rent in 1H</t>
        </r>
      </text>
    </comment>
    <comment ref="BI31" authorId="4">
      <text>
        <r>
          <rPr>
            <b/>
            <sz val="8"/>
            <color indexed="81"/>
            <rFont val="Tahoma"/>
            <family val="2"/>
          </rPr>
          <t>mm98285:</t>
        </r>
        <r>
          <rPr>
            <sz val="8"/>
            <color indexed="81"/>
            <rFont val="Tahoma"/>
            <family val="2"/>
          </rPr>
          <t xml:space="preserve">
+minimum wage rate increases 
+higher direct exp. for Tokyo &amp; SoHo flagship pre-opening rent 
+fixed exp. delvg on -4% comp 
-reduction in store payroll exp. as % of sales despite sales decline &amp; min. wage increases given mgmt's new focus on cutting this expense item</t>
        </r>
      </text>
    </comment>
    <comment ref="BJ31" authorId="13">
      <text>
        <r>
          <rPr>
            <b/>
            <sz val="8"/>
            <color indexed="81"/>
            <rFont val="Tahoma"/>
            <family val="2"/>
          </rPr>
          <t>kg51925:</t>
        </r>
        <r>
          <rPr>
            <sz val="8"/>
            <color indexed="81"/>
            <rFont val="Tahoma"/>
            <family val="2"/>
          </rPr>
          <t xml:space="preserve">
5/16/08: Will include $2.5mm in added exp. for store payroll minimum wage increases, ~$2.5mm for pre-opening rent expense associated with A&amp;F Tokyo Flagship, and ~$2mm in pre-opening rent exp Hollister Soho flagship
2/08: +12.3% growth rate shrinks to 10.8% growth (~in line w/ sq ft growth) excl. $5mm pre-open rent for Tokyo store</t>
        </r>
      </text>
    </comment>
    <comment ref="BL31" authorId="13">
      <text>
        <r>
          <rPr>
            <b/>
            <sz val="8"/>
            <color indexed="81"/>
            <rFont val="Tahoma"/>
            <family val="2"/>
          </rPr>
          <t>kg51925:</t>
        </r>
        <r>
          <rPr>
            <sz val="8"/>
            <color indexed="81"/>
            <rFont val="Tahoma"/>
            <family val="2"/>
          </rPr>
          <t xml:space="preserve">
if 2Q S&amp;D ex occup is 30% of sales, in line w/ 1Q and occup is $160mm, in ilne w/ 1Q, 2Q S&amp;D total would be $352.6m (or $346m if 29% of sales)</t>
        </r>
      </text>
    </comment>
    <comment ref="BM31" authorId="4">
      <text>
        <r>
          <rPr>
            <b/>
            <sz val="8"/>
            <color indexed="81"/>
            <rFont val="Tahoma"/>
            <family val="2"/>
          </rPr>
          <t>mm98285:</t>
        </r>
        <r>
          <rPr>
            <sz val="8"/>
            <color indexed="81"/>
            <rFont val="Tahoma"/>
            <family val="2"/>
          </rPr>
          <t xml:space="preserve">
8/09: Adjusted stores and distribution expenses (excluding $23.8M of charges associated with the closing of RUEHL) were $343.4M which was +1,030 bps to 53.0% of sales which was slightly better then our estimate of $348.1M. Although ANF was able to achieve savings in store payroll, direct-to-consumer and other variable expenses, the reduction in those expenses was less than the rate of the sales decline (total sales declined -23.3%) and was not enough to offset increases in rent, depreciation and other occupancy costs (store occupancy costs accounted for 23.9% of sales and contributed to ~730 bps of margin deleverage).
5/09: Occupancy cost in 2Q will be ~inline w/ 1Q in dollar terms ($160M) &amp; somewhat higher in 2H due to '09 store openings &amp; preopening rent associated with expected '10 store openings
Expect other S&amp;D exp's de-leveraging to progressively reduce as go through year (down ~10% in 1Q to 30% of sales)
2/09: expect incremental $2.5M from managers salary increases in 1H and $5mm incremental pre-opening rent per quarter in 2009</t>
        </r>
      </text>
    </comment>
    <comment ref="BP31" authorId="5">
      <text>
        <r>
          <rPr>
            <b/>
            <sz val="8"/>
            <color indexed="81"/>
            <rFont val="Tahoma"/>
            <family val="2"/>
          </rPr>
          <t>nicholjs:</t>
        </r>
        <r>
          <rPr>
            <sz val="8"/>
            <color indexed="81"/>
            <rFont val="Tahoma"/>
            <family val="2"/>
          </rPr>
          <t xml:space="preserve">
excludes $2.2m ($0.02/shr) non-cash pre-tax asset impairment charge associated with expected store closures</t>
        </r>
      </text>
    </comment>
    <comment ref="BT31" authorId="5">
      <text>
        <r>
          <rPr>
            <b/>
            <sz val="8"/>
            <color indexed="81"/>
            <rFont val="Tahoma"/>
            <family val="2"/>
          </rPr>
          <t>nicholjs:</t>
        </r>
        <r>
          <rPr>
            <sz val="8"/>
            <color indexed="81"/>
            <rFont val="Tahoma"/>
            <family val="2"/>
          </rPr>
          <t xml:space="preserve">
* The decrease in the stores and distribution expense % for the second quarter  period was primarily driven by lower store occupancy costs as a percentage of net sales.
* Includes $17.8mm DTC expense vs. $12.9mm LY.</t>
        </r>
      </text>
    </comment>
    <comment ref="BX31" authorId="7">
      <text>
        <r>
          <rPr>
            <b/>
            <sz val="8"/>
            <color indexed="81"/>
            <rFont val="Tahoma"/>
            <family val="2"/>
          </rPr>
          <t>casselau:</t>
        </r>
        <r>
          <rPr>
            <sz val="8"/>
            <color indexed="81"/>
            <rFont val="Tahoma"/>
            <family val="2"/>
          </rPr>
          <t xml:space="preserve">
store pre-operating costs 15.370</t>
        </r>
      </text>
    </comment>
    <comment ref="BY31" authorId="6">
      <text>
        <r>
          <rPr>
            <sz val="8"/>
            <color indexed="81"/>
            <rFont val="Tahoma"/>
            <family val="2"/>
          </rPr>
          <t>8/15/12: "The increase in the stores and distribution rate was primarily the result of deleveraging on negative comparable store sales." 5/16/12: expect modest expense deleverage</t>
        </r>
      </text>
    </comment>
    <comment ref="CC31" authorId="7">
      <text>
        <r>
          <rPr>
            <b/>
            <sz val="8"/>
            <color indexed="81"/>
            <rFont val="Tahoma"/>
            <family val="2"/>
          </rPr>
          <t xml:space="preserve">casselau:
</t>
        </r>
        <r>
          <rPr>
            <sz val="8"/>
            <color indexed="81"/>
            <rFont val="Tahoma"/>
            <family val="2"/>
          </rPr>
          <t xml:space="preserve">8/22/13: </t>
        </r>
        <r>
          <rPr>
            <sz val="8"/>
            <color indexed="81"/>
            <rFont val="Tahoma"/>
            <family val="2"/>
          </rPr>
          <t>expense savings in store payroll, store management, and support and other store and distribution expense were more than offset by the deleverage on a negative comp and higher DTC expense 
8/22/13: store pre-opening costs $5.688M</t>
        </r>
      </text>
    </comment>
    <comment ref="CF31" authorId="7">
      <text>
        <r>
          <rPr>
            <b/>
            <sz val="9"/>
            <color indexed="81"/>
            <rFont val="Tahoma"/>
            <family val="2"/>
          </rPr>
          <t>casselau:</t>
        </r>
        <r>
          <rPr>
            <sz val="9"/>
            <color indexed="81"/>
            <rFont val="Tahoma"/>
            <family val="2"/>
          </rPr>
          <t xml:space="preserve">
8/28/14: excludes $1.2M of charges related to profit improvement initiative</t>
        </r>
      </text>
    </comment>
    <comment ref="CG31" authorId="7">
      <text>
        <r>
          <rPr>
            <b/>
            <sz val="9"/>
            <color indexed="81"/>
            <rFont val="Tahoma"/>
            <family val="2"/>
          </rPr>
          <t>casselau:</t>
        </r>
        <r>
          <rPr>
            <sz val="9"/>
            <color indexed="81"/>
            <rFont val="Tahoma"/>
            <family val="2"/>
          </rPr>
          <t xml:space="preserve">
8/28/14: decline driven primarily by savings in store payroll partially offset by higher DTC expense</t>
        </r>
      </text>
    </comment>
    <comment ref="CJ31" authorId="7">
      <text>
        <r>
          <rPr>
            <b/>
            <sz val="9"/>
            <color indexed="81"/>
            <rFont val="Tahoma"/>
            <family val="2"/>
          </rPr>
          <t>casselau:</t>
        </r>
        <r>
          <rPr>
            <sz val="9"/>
            <color indexed="81"/>
            <rFont val="Tahoma"/>
            <family val="2"/>
          </rPr>
          <t xml:space="preserve">
8/26/15: Excludes $1.4 million of charges primarily related to accelerated depreciation and disposal costs associated with the first quarter decision to discontinue the use of certain store fixtures, partially offset by favorable terms associated with store closures</t>
        </r>
      </text>
    </comment>
    <comment ref="CK31" authorId="7">
      <text>
        <r>
          <rPr>
            <b/>
            <sz val="9"/>
            <color indexed="81"/>
            <rFont val="Tahoma"/>
            <family val="2"/>
          </rPr>
          <t>casselau:</t>
        </r>
        <r>
          <rPr>
            <sz val="9"/>
            <color indexed="81"/>
            <rFont val="Tahoma"/>
            <family val="2"/>
          </rPr>
          <t xml:space="preserve">
8/26/15: benefitted from changes in foreign currency exchange rates, as well as expense reduction efforts and the realization of expense savings on lower sales.  </t>
        </r>
      </text>
    </comment>
    <comment ref="CP31" authorId="8">
      <text>
        <r>
          <rPr>
            <b/>
            <sz val="9"/>
            <color indexed="81"/>
            <rFont val="Tahoma"/>
            <family val="2"/>
          </rPr>
          <t>Cassel, Lauren (Research):</t>
        </r>
        <r>
          <rPr>
            <sz val="9"/>
            <color indexed="81"/>
            <rFont val="Tahoma"/>
            <family val="2"/>
          </rPr>
          <t xml:space="preserve">
8/30/16: Excluding certain items last year, stores and distribution expense decreased $4.9M primarily </t>
        </r>
        <r>
          <rPr>
            <b/>
            <sz val="9"/>
            <color indexed="81"/>
            <rFont val="Tahoma"/>
            <family val="2"/>
          </rPr>
          <t>due to the realization of savings on lower sales and expense reduction efforts, partially offset by higher direct-to-consumer expense.</t>
        </r>
      </text>
    </comment>
    <comment ref="CT31" authorId="8">
      <text>
        <r>
          <rPr>
            <b/>
            <sz val="9"/>
            <color indexed="81"/>
            <rFont val="Tahoma"/>
            <family val="2"/>
          </rPr>
          <t>Cassel, Lauren (Research):</t>
        </r>
        <r>
          <rPr>
            <sz val="9"/>
            <color indexed="81"/>
            <rFont val="Tahoma"/>
            <family val="2"/>
          </rPr>
          <t xml:space="preserve">
8/24/17: primarily due to expense reduction efforts, partially offset by higher direct-to-consumer expense; drove rent leverage on the -1% comp</t>
        </r>
      </text>
    </comment>
    <comment ref="BA32" authorId="3">
      <text>
        <r>
          <rPr>
            <b/>
            <sz val="8"/>
            <color indexed="81"/>
            <rFont val="Tahoma"/>
            <family val="2"/>
          </rPr>
          <t>MB33100:</t>
        </r>
        <r>
          <rPr>
            <sz val="8"/>
            <color indexed="81"/>
            <rFont val="Tahoma"/>
            <family val="2"/>
          </rPr>
          <t xml:space="preserve">
per 2Q 10-Q, expect leverage on Stores &amp; Dist in 2H06 on modest comp increase</t>
        </r>
      </text>
    </comment>
    <comment ref="BE32" authorId="18">
      <text>
        <r>
          <rPr>
            <sz val="8"/>
            <color indexed="81"/>
            <rFont val="Tahoma"/>
            <family val="2"/>
          </rPr>
          <t>S&amp;D’s increase is
primarily attributable to an increase in store payroll expense, driven by minimum wage and management salary level increases as well as higher direct and store packaging expense rate. Direct to consumer order
processing expenses were also higher as a percentage of sales vs. LY given that DTC sales are growing faster than total company sales.</t>
        </r>
      </text>
    </comment>
    <comment ref="BH32" authorId="4">
      <text>
        <r>
          <rPr>
            <b/>
            <sz val="8"/>
            <color indexed="81"/>
            <rFont val="Tahoma"/>
            <family val="2"/>
          </rPr>
          <t>mm98285:</t>
        </r>
        <r>
          <rPr>
            <sz val="8"/>
            <color indexed="81"/>
            <rFont val="Tahoma"/>
            <family val="2"/>
          </rPr>
          <t xml:space="preserve">
8/08: 2H08 includes: $10mm add'l exp. for increases in minimum wage and managers’ salary and pre-opening rent of $5mm for A&amp;F Tokyo Flagship, $4mm for Hollister Soho flagship and $2.5mm for the Compenhagen and 2 Milan flagships</t>
        </r>
      </text>
    </comment>
    <comment ref="BI32" authorId="4">
      <text>
        <r>
          <rPr>
            <b/>
            <sz val="8"/>
            <color indexed="81"/>
            <rFont val="Tahoma"/>
            <family val="2"/>
          </rPr>
          <t>mm98285:</t>
        </r>
        <r>
          <rPr>
            <sz val="8"/>
            <color indexed="81"/>
            <rFont val="Tahoma"/>
            <family val="2"/>
          </rPr>
          <t xml:space="preserve">
11/08: deleverage on -14% comp +incremental exp. ($5M minimum wage &amp; manager salary increases and ~$5.5M from higher direct exp. related to flagship pre-opening rent) 
-partially offset by reduction in store payroll hours given declining sales</t>
        </r>
      </text>
    </comment>
    <comment ref="BL32" authorId="13">
      <text>
        <r>
          <rPr>
            <b/>
            <sz val="8"/>
            <color indexed="81"/>
            <rFont val="Tahoma"/>
            <family val="2"/>
          </rPr>
          <t>kg51925:</t>
        </r>
        <r>
          <rPr>
            <sz val="8"/>
            <color indexed="81"/>
            <rFont val="Tahoma"/>
            <family val="2"/>
          </rPr>
          <t xml:space="preserve">
$375m estimate incl $165m occup plus other S&amp;D at 27% of sales</t>
        </r>
      </text>
    </comment>
    <comment ref="BM32" authorId="4">
      <text>
        <r>
          <rPr>
            <sz val="8"/>
            <color indexed="81"/>
            <rFont val="Tahoma"/>
            <family val="2"/>
          </rPr>
          <t>Adjusted stores and distribution expenses (excluding $10.1mm of charges associated with the closing of RUEHL primarily due to lease buy-out costs) were $360mm which was +390 bps to 47.0% of sales which was better than our estimate of $375mm and was lower than LY’s $386.5mm. The deleverage was attributable to higher store occupancy costs, including rent, depreciation and other occupancy costs (or we calculate ~$165mm TY vs. ~$158mm LY). Occupancy margin was 21.6% TY vs. 17.6% last year while selling, payroll, store management, and direct to consumer expense margin was 25.4% vs. 25.6% LY (or we calculate ~$194mm TY vs. ~$229mm LY).
8/14: ANF expects store occupancy costs to continue to increase modestly in dollar terms over the balance of the year as a result of new stores, implying ongoing negative leverage.</t>
        </r>
        <r>
          <rPr>
            <sz val="8"/>
            <color indexed="81"/>
            <rFont val="Tahoma"/>
            <family val="2"/>
          </rPr>
          <t xml:space="preserve">
2/09: expect incremental $2.5M from minimum wage increases in 2H and $5mm incremental pre-opening rent per quarter in 2009</t>
        </r>
      </text>
    </comment>
    <comment ref="BT32" authorId="6">
      <text>
        <r>
          <rPr>
            <b/>
            <sz val="8"/>
            <color indexed="81"/>
            <rFont val="Tahoma"/>
            <family val="2"/>
          </rPr>
          <t>solejay:</t>
        </r>
        <r>
          <rPr>
            <sz val="8"/>
            <color indexed="81"/>
            <rFont val="Tahoma"/>
            <family val="2"/>
          </rPr>
          <t xml:space="preserve">
11/2011: The decrease in the stores and distribution expense rate was driven by lower store occupancy costs as a percentage of net sales.</t>
        </r>
      </text>
    </comment>
    <comment ref="BX32" authorId="7">
      <text>
        <r>
          <rPr>
            <b/>
            <sz val="8"/>
            <color indexed="81"/>
            <rFont val="Tahoma"/>
            <family val="2"/>
          </rPr>
          <t>casselau:</t>
        </r>
        <r>
          <rPr>
            <sz val="8"/>
            <color indexed="81"/>
            <rFont val="Tahoma"/>
            <family val="2"/>
          </rPr>
          <t xml:space="preserve">
11/14: store occupancy costs were ~$189, benefited from lower store pre-opening costs (10.730); prior year stores and distribution expense included ~$4M of accelerated depreciation associated with DC consolidation</t>
        </r>
      </text>
    </comment>
    <comment ref="BY32" authorId="7">
      <text>
        <r>
          <rPr>
            <b/>
            <sz val="8"/>
            <color indexed="81"/>
            <rFont val="Tahoma"/>
            <family val="2"/>
          </rPr>
          <t>casselau:</t>
        </r>
        <r>
          <rPr>
            <sz val="8"/>
            <color indexed="81"/>
            <rFont val="Tahoma"/>
            <family val="2"/>
          </rPr>
          <t xml:space="preserve">
11/14: the decrease was the result of lower store pre-opening costs; prior years included ~$4M of accelerated depreciation related to the consolidation of the distribution centers </t>
        </r>
      </text>
    </comment>
    <comment ref="CB32" authorId="7">
      <text>
        <r>
          <rPr>
            <b/>
            <sz val="8"/>
            <color indexed="81"/>
            <rFont val="Tahoma"/>
            <family val="2"/>
          </rPr>
          <t>casselau:</t>
        </r>
        <r>
          <rPr>
            <sz val="8"/>
            <color indexed="81"/>
            <rFont val="Tahoma"/>
            <family val="2"/>
          </rPr>
          <t xml:space="preserve">
11/20/13: include $40.1M of charges related to Gilly Hicks restructuring, $43.6M related to other store asset impairment charges</t>
        </r>
      </text>
    </comment>
    <comment ref="CC32" authorId="7">
      <text>
        <r>
          <rPr>
            <b/>
            <sz val="8"/>
            <color indexed="81"/>
            <rFont val="Tahoma"/>
            <family val="2"/>
          </rPr>
          <t>casselau:</t>
        </r>
        <r>
          <rPr>
            <sz val="8"/>
            <color indexed="81"/>
            <rFont val="Tahoma"/>
            <family val="2"/>
          </rPr>
          <t xml:space="preserve">
11/20/13: expense savings in store payroll, store mgmt and support, and other stores and distributioon expense were more than offset by the deleverage of negative SSS and higher DTC expense</t>
        </r>
      </text>
    </comment>
    <comment ref="CF32" authorId="7">
      <text>
        <r>
          <rPr>
            <b/>
            <sz val="9"/>
            <color indexed="81"/>
            <rFont val="Tahoma"/>
            <family val="2"/>
          </rPr>
          <t>casselau:</t>
        </r>
        <r>
          <rPr>
            <sz val="9"/>
            <color indexed="81"/>
            <rFont val="Tahoma"/>
            <family val="2"/>
          </rPr>
          <t xml:space="preserve">
</t>
        </r>
      </text>
    </comment>
    <comment ref="CG32" authorId="7">
      <text>
        <r>
          <rPr>
            <b/>
            <sz val="9"/>
            <color indexed="81"/>
            <rFont val="Tahoma"/>
            <family val="2"/>
          </rPr>
          <t>casselau:</t>
        </r>
        <r>
          <rPr>
            <sz val="9"/>
            <color indexed="81"/>
            <rFont val="Tahoma"/>
            <family val="2"/>
          </rPr>
          <t xml:space="preserve">
12/3/14: decline driven primarily by savings in store payroll
and other controllable store expenses, which was partially offset by higher DTC expense.</t>
        </r>
      </text>
    </comment>
    <comment ref="CJ32" authorId="7">
      <text>
        <r>
          <rPr>
            <b/>
            <sz val="9"/>
            <color indexed="81"/>
            <rFont val="Tahoma"/>
            <family val="2"/>
          </rPr>
          <t>casselau:</t>
        </r>
        <r>
          <rPr>
            <sz val="9"/>
            <color indexed="81"/>
            <rFont val="Tahoma"/>
            <family val="2"/>
          </rPr>
          <t xml:space="preserve">
11/20/15: Excluding certain items, adjusted stores and distribution expense decreased $18.8 million, primarily due to benefits from changes in foreign currency exchange rates, as well as expense reduction efforts, partially offset by higher direct-to-consumer expense.  Adjusted stores and distribution expense for the quarter excluded $0.6 million of charges related to accelerated depreciation and disposal costs from the discontinued use of certain store fixtures, compared to $2.4 million of excluded charges last year related to lease termination, store closure costs and the company's profit improvement initiative.</t>
        </r>
      </text>
    </comment>
    <comment ref="CK32" authorId="7">
      <text>
        <r>
          <rPr>
            <b/>
            <sz val="9"/>
            <color indexed="81"/>
            <rFont val="Tahoma"/>
            <family val="2"/>
          </rPr>
          <t>casselau:</t>
        </r>
        <r>
          <rPr>
            <sz val="9"/>
            <color indexed="81"/>
            <rFont val="Tahoma"/>
            <family val="2"/>
          </rPr>
          <t xml:space="preserve">
11/20/15: benefitted from changes in foreign currency exchange rates, as well as expense reduction efforts, partially offset by higher direct-to-consumer expense.</t>
        </r>
      </text>
    </comment>
    <comment ref="CP32" authorId="8">
      <text>
        <r>
          <rPr>
            <b/>
            <sz val="9"/>
            <color indexed="81"/>
            <rFont val="Tahoma"/>
            <family val="2"/>
          </rPr>
          <t>Cassel, Lauren (Research):</t>
        </r>
        <r>
          <rPr>
            <sz val="9"/>
            <color indexed="81"/>
            <rFont val="Tahoma"/>
            <family val="2"/>
          </rPr>
          <t xml:space="preserve">
11/18/16: Excluding certain items last year, stores and distribution expense decreased $5.8 million, primarily due to the realization of savings on lower sales and expense reduction efforts, partially offset by higher direct-to-consumer expense.</t>
        </r>
      </text>
    </comment>
    <comment ref="CT32" authorId="12">
      <text>
        <r>
          <rPr>
            <b/>
            <sz val="9"/>
            <color indexed="81"/>
            <rFont val="Tahoma"/>
            <family val="2"/>
          </rPr>
          <t>Roberts, Cynthia (Research):</t>
        </r>
        <r>
          <rPr>
            <sz val="9"/>
            <color indexed="81"/>
            <rFont val="Tahoma"/>
            <family val="2"/>
          </rPr>
          <t xml:space="preserve">
11/17/17: expense reductions were partially offset by volume-related expenses from higher sales and changes in FX</t>
        </r>
      </text>
    </comment>
    <comment ref="AZ33" authorId="10">
      <text>
        <r>
          <rPr>
            <b/>
            <sz val="8"/>
            <color indexed="81"/>
            <rFont val="Tahoma"/>
            <family val="2"/>
          </rPr>
          <t>oc48540:</t>
        </r>
        <r>
          <rPr>
            <sz val="8"/>
            <color indexed="81"/>
            <rFont val="Tahoma"/>
            <family val="2"/>
          </rPr>
          <t xml:space="preserve">
Up 20bps due to additional DC expense (new 2nd DC) and direct to consumer expenses partly offset by decreased store exp.</t>
        </r>
      </text>
    </comment>
    <comment ref="BA33" authorId="3">
      <text>
        <r>
          <rPr>
            <sz val="8"/>
            <color indexed="81"/>
            <rFont val="Tahoma"/>
            <family val="2"/>
          </rPr>
          <t>Increased 20bps due to higher DC and direct to cons. expenses partly offset by decreased store exp as a % sales</t>
        </r>
        <r>
          <rPr>
            <b/>
            <sz val="8"/>
            <color indexed="81"/>
            <rFont val="Tahoma"/>
            <family val="2"/>
          </rPr>
          <t xml:space="preserve">
MB33100:</t>
        </r>
        <r>
          <rPr>
            <sz val="8"/>
            <color indexed="81"/>
            <rFont val="Tahoma"/>
            <family val="2"/>
          </rPr>
          <t xml:space="preserve">
per 2Q 10-Q, expect leverage on Stores &amp; Dist in 2H06 on modest comp increase</t>
        </r>
      </text>
    </comment>
    <comment ref="BE33" authorId="4">
      <text>
        <r>
          <rPr>
            <b/>
            <sz val="8"/>
            <color indexed="81"/>
            <rFont val="Tahoma"/>
            <family val="2"/>
          </rPr>
          <t>mm98285:</t>
        </r>
        <r>
          <rPr>
            <sz val="8"/>
            <color indexed="81"/>
            <rFont val="Tahoma"/>
            <family val="2"/>
          </rPr>
          <t xml:space="preserve">
+90 bps given impact of min. wage and mgmt salary increases and higher store fixed cost rates; DC productivity measured in units processed per labor hour was 16.1% higher vs. LY reflecting the realization of increased efficiencies due to the second DC being operational during FY07</t>
        </r>
      </text>
    </comment>
    <comment ref="BH33" authorId="4">
      <text>
        <r>
          <rPr>
            <b/>
            <sz val="8"/>
            <color indexed="81"/>
            <rFont val="Tahoma"/>
            <family val="2"/>
          </rPr>
          <t>mm98285:</t>
        </r>
        <r>
          <rPr>
            <sz val="8"/>
            <color indexed="81"/>
            <rFont val="Tahoma"/>
            <family val="2"/>
          </rPr>
          <t xml:space="preserve">
3/09: excl $30.6M non-cash impairment charge (primarily associated w/9 Ruehl stores)
11/08: includes incremental $5mm for higher minimum wage &amp; manager's salary; $6mm pre-opening rent for flagship offset by expense savings expected from operational efficiencies in both stores and home office and a reduction in store staffing levels given lower sales trend </t>
        </r>
      </text>
    </comment>
    <comment ref="BI33" authorId="4">
      <text>
        <r>
          <rPr>
            <b/>
            <sz val="8"/>
            <color indexed="81"/>
            <rFont val="Tahoma"/>
            <family val="2"/>
          </rPr>
          <t>mm98285:</t>
        </r>
        <r>
          <rPr>
            <sz val="8"/>
            <color indexed="81"/>
            <rFont val="Tahoma"/>
            <family val="2"/>
          </rPr>
          <t xml:space="preserve">
deleverage on -25% comp combined with incremental exp's incl. $5M minimum wage rate &amp; manager salary increases as well as $5M pre-opening rent exp. by our est.
Store payroll declined but less than the sales decline</t>
        </r>
      </text>
    </comment>
    <comment ref="BL33" authorId="13">
      <text>
        <r>
          <rPr>
            <b/>
            <sz val="8"/>
            <color indexed="81"/>
            <rFont val="Tahoma"/>
            <family val="2"/>
          </rPr>
          <t>$383mm based on 21.6% occupancy margin in 3Q growing by 1% 
25.4% selling, payroll, dtc margin of 25.4% in 3Q + $20mm
kg51925:</t>
        </r>
        <r>
          <rPr>
            <sz val="8"/>
            <color indexed="81"/>
            <rFont val="Tahoma"/>
            <family val="2"/>
          </rPr>
          <t xml:space="preserve">
assume $6mm sequential increase in S&amp;D from 3Q $375m)  to 4Q plus $2.5mm incentive comp on profit turn
2004 (last year comps went positive from negative trend) 2003 comps -9%, 2004: 1Q 0%, 2Q -5%, 3Q +1%, 4Q +9% 
4Q04 transcript says:
Incentive Bonus Program
• This quarter's SG&amp;A rate also included a 150 basis point increase relating to our incentive bonus program • This year, we increased our payout of incentive bonus resulting from strong third and fourth quarters’ results, while last year the payout was substantially lower • The remaining increase results from higher home office and marketing expenses • For the year, SG&amp;A expenses were 27.8% of sales, 520BPS higher than last year's rate of 22.6%
150 bps = ~$10M</t>
        </r>
      </text>
    </comment>
    <comment ref="BM33" authorId="4">
      <text>
        <r>
          <rPr>
            <sz val="8"/>
            <color indexed="81"/>
            <rFont val="Tahoma"/>
            <family val="2"/>
          </rPr>
          <t>Adjusted stores and distribution expenses (excluding $33.2mm of pre-tax asset impairment charges related to 99 stores) was $380.8mm (favorably lower than our $387.9mm estimate) which was 40.7% of sales vs. LY’s 39.3%.  The deleverage was attributable to higher store occupancy costs, including rent, depreciation and other occupancy costs. Store occupancy costs excluding Ruehl totaled $159mm in 4Q, slightly higher than $158mm in 3Q.</t>
        </r>
        <r>
          <rPr>
            <b/>
            <sz val="8"/>
            <color indexed="81"/>
            <rFont val="Tahoma"/>
            <family val="2"/>
          </rPr>
          <t xml:space="preserve">
ANF expects store occupancy cost to continue to increase modestly in dollar terms in 4Q (and we estimate 3Q09’s occupancy was $165mm and 4Q08’s occupancy was $159mm). The company also expects selling, payroll, store management and direct to consumer costs to be modestly higher as a percentage of sales (vs. LY’s 23.3% margin or $233mm).
11/13: we expect store occupancy cost to continue to increase modestly in dollar terms in the fourth quarter. 
mm98285:</t>
        </r>
        <r>
          <rPr>
            <sz val="8"/>
            <color indexed="81"/>
            <rFont val="Tahoma"/>
            <family val="2"/>
          </rPr>
          <t xml:space="preserve">
8/09 per Eric - leverage seems optimistic
2/09: expect incremental $2.5M from minimum wage increases in 2H and $5mm incremental pre-opening rent per quarter in 2009</t>
        </r>
      </text>
    </comment>
    <comment ref="BP33" authorId="5">
      <text>
        <r>
          <rPr>
            <b/>
            <sz val="8"/>
            <color indexed="81"/>
            <rFont val="Tahoma"/>
            <family val="2"/>
          </rPr>
          <t>nicholjs:</t>
        </r>
        <r>
          <rPr>
            <sz val="8"/>
            <color indexed="81"/>
            <rFont val="Tahoma"/>
            <family val="2"/>
          </rPr>
          <t xml:space="preserve">
excludes store-related asset impairment charges of $48.4mm and store closure charges of $4.0mm</t>
        </r>
      </text>
    </comment>
    <comment ref="BT33" authorId="6">
      <text>
        <r>
          <rPr>
            <b/>
            <sz val="8"/>
            <color indexed="81"/>
            <rFont val="Tahoma"/>
            <family val="2"/>
          </rPr>
          <t xml:space="preserve">solejay: 
</t>
        </r>
        <r>
          <rPr>
            <sz val="8"/>
            <color indexed="81"/>
            <rFont val="Tahoma"/>
            <family val="2"/>
          </rPr>
          <t xml:space="preserve">The $68.022 store-related asset impairment charges relate to stores whose asset carrying value exceeded the fair value. For the thirteen week period ended January 28, 2012, the charge was associated with 14 Abercrombie &amp; Fitch, 21 abercrombie kids, 42 Hollister and two Gilly Hicks stores. 
The $14.649 charges associated with the asset write-downs was related to the reconfiguration of three flagship stores, Fukuoka, Ginza and SoHo, and a small write-off related to a cancelled flagship project.
The $18.971 charges for store closures and lease exits were associated with lease buyouts and other lease obligations related to stores closing prior to natural lease expirations, other lease terminations, and other incidental costs associated with store closures.
</t>
        </r>
      </text>
    </comment>
    <comment ref="BX33" authorId="14">
      <text>
        <r>
          <rPr>
            <b/>
            <sz val="8"/>
            <color indexed="81"/>
            <rFont val="Tahoma"/>
            <family val="2"/>
          </rPr>
          <t>2/22/13: ex</t>
        </r>
        <r>
          <rPr>
            <sz val="8"/>
            <color indexed="81"/>
            <rFont val="Tahoma"/>
            <family val="2"/>
          </rPr>
          <t>cludes impairment charges of $7.4M; store pre-operating costs 7.925</t>
        </r>
        <r>
          <rPr>
            <b/>
            <sz val="8"/>
            <color indexed="81"/>
            <rFont val="Tahoma"/>
            <family val="2"/>
          </rPr>
          <t xml:space="preserve">
kahng:</t>
        </r>
        <r>
          <rPr>
            <sz val="8"/>
            <color indexed="81"/>
            <rFont val="Tahoma"/>
            <family val="2"/>
          </rPr>
          <t xml:space="preserve">
1/20: add'l $15M from adj for 53rd week in Jan</t>
        </r>
      </text>
    </comment>
    <comment ref="BY33" authorId="14">
      <text>
        <r>
          <rPr>
            <sz val="8"/>
            <color indexed="81"/>
            <rFont val="Tahoma"/>
            <family val="2"/>
          </rPr>
          <t>2/22/13: the increase in the stores and distribution expense rate was primarily the result of deleveraging on negative comp plus higher DTC expense</t>
        </r>
        <r>
          <rPr>
            <b/>
            <sz val="8"/>
            <color indexed="81"/>
            <rFont val="Tahoma"/>
            <family val="2"/>
          </rPr>
          <t xml:space="preserve">
kahng:</t>
        </r>
        <r>
          <rPr>
            <sz val="8"/>
            <color indexed="81"/>
            <rFont val="Tahoma"/>
            <family val="2"/>
          </rPr>
          <t xml:space="preserve">
1/20: 54bps of occupany leverage from 53rd week in jan</t>
        </r>
      </text>
    </comment>
    <comment ref="CB33" authorId="7">
      <text>
        <r>
          <rPr>
            <b/>
            <sz val="8"/>
            <color indexed="81"/>
            <rFont val="Tahoma"/>
            <family val="2"/>
          </rPr>
          <t>casselau:</t>
        </r>
        <r>
          <rPr>
            <sz val="8"/>
            <color indexed="81"/>
            <rFont val="Tahoma"/>
            <family val="2"/>
          </rPr>
          <t xml:space="preserve">
2/26/14: excludes $3.1M asset impairment charge related to stores previously impaired and $0.5M in charges related to the profit improvement initiative; savings were offset by the deleveraging effect of negative SSS and higher DTC expense; includes $36.8M associated with the retrucuring of GH, primarily related to lease exit charges</t>
        </r>
      </text>
    </comment>
    <comment ref="CF33" authorId="7">
      <text>
        <r>
          <rPr>
            <b/>
            <sz val="9"/>
            <color indexed="81"/>
            <rFont val="Tahoma"/>
            <family val="2"/>
          </rPr>
          <t>casselau:</t>
        </r>
        <r>
          <rPr>
            <sz val="9"/>
            <color indexed="81"/>
            <rFont val="Tahoma"/>
            <family val="2"/>
          </rPr>
          <t xml:space="preserve">
3/3/15: excludes $4M of charges related to lease termination and store closure costs</t>
        </r>
      </text>
    </comment>
    <comment ref="CG33" authorId="7">
      <text>
        <r>
          <rPr>
            <b/>
            <sz val="9"/>
            <color indexed="81"/>
            <rFont val="Tahoma"/>
            <family val="2"/>
          </rPr>
          <t xml:space="preserve">casselau:
3/3/15: Savings from the Company's profit improvement initiative, largely in store payroll and other controllable store expense, and benefits from changes in FX rates, were more than offset by the deleveraging effect of negative comparable sales and higher direct-to-consumer expense.
</t>
        </r>
        <r>
          <rPr>
            <sz val="9"/>
            <color indexed="81"/>
            <rFont val="Tahoma"/>
            <family val="2"/>
          </rPr>
          <t xml:space="preserve">
12/3/14: on a sequential basis, expense savings will be lower as they anniversary $25M in savings realized from the profit improvement initiative last year. There were also significant savings realized In 3Q largely retlated to compesation which will not repeat in 4Q</t>
        </r>
      </text>
    </comment>
    <comment ref="CK33" authorId="7">
      <text>
        <r>
          <rPr>
            <b/>
            <sz val="9"/>
            <color indexed="81"/>
            <rFont val="Tahoma"/>
            <family val="2"/>
          </rPr>
          <t>casselau:</t>
        </r>
        <r>
          <rPr>
            <sz val="9"/>
            <color indexed="81"/>
            <rFont val="Tahoma"/>
            <family val="2"/>
          </rPr>
          <t xml:space="preserve">
3/2/15: primarily due to benefits from changes in FX and
expense reduction efforts, partially offset by higher DTC expense.</t>
        </r>
      </text>
    </comment>
    <comment ref="CP33" authorId="8">
      <text>
        <r>
          <rPr>
            <b/>
            <sz val="9"/>
            <color indexed="81"/>
            <rFont val="Tahoma"/>
            <family val="2"/>
          </rPr>
          <t>Cassel, Lauren (Research):</t>
        </r>
        <r>
          <rPr>
            <sz val="9"/>
            <color indexed="81"/>
            <rFont val="Tahoma"/>
            <family val="2"/>
          </rPr>
          <t xml:space="preserve">
3/2/17: primarily due to a lease termination charge of $15.6M related to the A&amp;F flagship store in Hong Kong and higher DTC expense. These were partially offset by benefits from FX rates, the realization of savings on lower sales and expense reduction efforts.</t>
        </r>
      </text>
    </comment>
    <comment ref="CT33" authorId="12">
      <text>
        <r>
          <rPr>
            <b/>
            <sz val="9"/>
            <color indexed="81"/>
            <rFont val="Tahoma"/>
            <family val="2"/>
          </rPr>
          <t>Roberts, Cynthia (Research):</t>
        </r>
        <r>
          <rPr>
            <sz val="9"/>
            <color indexed="81"/>
            <rFont val="Tahoma"/>
            <family val="2"/>
          </rPr>
          <t xml:space="preserve">
3/8/18: expense reductions were offset by by the impact of the extra week, volume related expenses from higher sales, and changes in FX</t>
        </r>
      </text>
    </comment>
    <comment ref="BI34" authorId="4">
      <text>
        <r>
          <rPr>
            <b/>
            <sz val="8"/>
            <color indexed="81"/>
            <rFont val="Tahoma"/>
            <family val="2"/>
          </rPr>
          <t>mm98285:</t>
        </r>
        <r>
          <rPr>
            <sz val="8"/>
            <color indexed="81"/>
            <rFont val="Tahoma"/>
            <family val="2"/>
          </rPr>
          <t xml:space="preserve">
inability to levg fixed exp on -13% comp &amp; flagship pre-opening rent, &amp; manager salary &amp; minimum wage increases</t>
        </r>
      </text>
    </comment>
    <comment ref="BL34" authorId="5">
      <text>
        <r>
          <rPr>
            <b/>
            <sz val="8"/>
            <color indexed="81"/>
            <rFont val="Tahoma"/>
            <family val="2"/>
          </rPr>
          <t>nicholjs:</t>
        </r>
        <r>
          <rPr>
            <sz val="8"/>
            <color indexed="81"/>
            <rFont val="Tahoma"/>
            <family val="2"/>
          </rPr>
          <t xml:space="preserve">
10K: Total direct-to-consumer expense included in stores and distribution expense were $50.1 million in Fiscal 2009.</t>
        </r>
      </text>
    </comment>
    <comment ref="BP34" authorId="5">
      <text>
        <r>
          <rPr>
            <b/>
            <sz val="8"/>
            <color indexed="81"/>
            <rFont val="Tahoma"/>
            <family val="2"/>
          </rPr>
          <t>nicholjs:</t>
        </r>
        <r>
          <rPr>
            <sz val="8"/>
            <color indexed="81"/>
            <rFont val="Tahoma"/>
            <family val="2"/>
          </rPr>
          <t xml:space="preserve">
10K: Total direct-to-consumer expense included in stores and distribution expense were $64.8 million for Fiscal 2010</t>
        </r>
      </text>
    </comment>
    <comment ref="BX34" authorId="7">
      <text>
        <r>
          <rPr>
            <b/>
            <sz val="8"/>
            <color indexed="81"/>
            <rFont val="Tahoma"/>
            <family val="2"/>
          </rPr>
          <t>casselau:</t>
        </r>
        <r>
          <rPr>
            <sz val="8"/>
            <color indexed="81"/>
            <rFont val="Tahoma"/>
            <family val="2"/>
          </rPr>
          <t xml:space="preserve">
store pre-operating costs 48.429</t>
        </r>
      </text>
    </comment>
    <comment ref="BY34" authorId="14">
      <text>
        <r>
          <rPr>
            <sz val="8"/>
            <color indexed="81"/>
            <rFont val="Tahoma"/>
            <family val="2"/>
          </rPr>
          <t>2/22/13: the increase was primarily the result of deleverging on negative comparable stores sales plus higher DTC expense
5/16/12: "Our lower sales projection is offset by higher protected gross margin rate and lower expenses."
"We still expect some deleverage on an FY basis"
2/15/2012 guide: expect 100 to 150 bps total expense leverage, primarily driven by occupancy.</t>
        </r>
      </text>
    </comment>
    <comment ref="CB34" authorId="7">
      <text>
        <r>
          <rPr>
            <b/>
            <sz val="8"/>
            <color indexed="81"/>
            <rFont val="Tahoma"/>
            <family val="2"/>
          </rPr>
          <t>casselau:</t>
        </r>
        <r>
          <rPr>
            <sz val="8"/>
            <color indexed="81"/>
            <rFont val="Tahoma"/>
            <family val="2"/>
          </rPr>
          <t xml:space="preserve">
8/23/13:
expect at least $100M in cost cuts in S&amp;DC, MG&amp;A &amp; GM. We think $25M MG&amp;A, $70M S&amp;DC, $5M GM (freight saves)
2/22/13: expect pre-opening costs of ~$30 for the year</t>
        </r>
      </text>
    </comment>
    <comment ref="CC34" authorId="7">
      <text>
        <r>
          <rPr>
            <b/>
            <sz val="8"/>
            <color indexed="81"/>
            <rFont val="Tahoma"/>
            <family val="2"/>
          </rPr>
          <t>11/20/13:</t>
        </r>
        <r>
          <rPr>
            <sz val="8"/>
            <color indexed="81"/>
            <rFont val="Tahoma"/>
            <family val="2"/>
          </rPr>
          <t xml:space="preserve"> expect GM ~flat y/y</t>
        </r>
        <r>
          <rPr>
            <b/>
            <sz val="8"/>
            <color indexed="81"/>
            <rFont val="Tahoma"/>
            <family val="2"/>
          </rPr>
          <t xml:space="preserve">
casselau: </t>
        </r>
        <r>
          <rPr>
            <sz val="8"/>
            <color indexed="81"/>
            <rFont val="Tahoma"/>
            <family val="2"/>
          </rPr>
          <t xml:space="preserve">introduced on 4Q12 call: </t>
        </r>
        <r>
          <rPr>
            <sz val="8"/>
            <color indexed="81"/>
            <rFont val="Tahoma"/>
            <family val="2"/>
          </rPr>
          <t>major intiative to streamline operations and improve expenses</t>
        </r>
      </text>
    </comment>
    <comment ref="CF34" authorId="7">
      <text>
        <r>
          <rPr>
            <b/>
            <sz val="8"/>
            <color indexed="81"/>
            <rFont val="Tahoma"/>
            <family val="2"/>
          </rPr>
          <t xml:space="preserve">casselau:
8/28/14: </t>
        </r>
        <r>
          <rPr>
            <sz val="8"/>
            <color indexed="81"/>
            <rFont val="Tahoma"/>
            <family val="2"/>
          </rPr>
          <t>now expectat least $200M in cost savings ($30M in 2013) - so including $30M GH savings offset by $30M in marketing... should be $170M total in FY14 ($12M in GM, $158-160M in SG&amp;A)
2/26/14: expects $145M in FY14 cost savings minus $30M in incremental marketing and $12M in gross margin plus $30M+ in GH savings = ~$135-140M in savings</t>
        </r>
      </text>
    </comment>
    <comment ref="CG34" authorId="7">
      <text>
        <r>
          <rPr>
            <b/>
            <sz val="9"/>
            <color indexed="81"/>
            <rFont val="Tahoma"/>
            <family val="2"/>
          </rPr>
          <t>casselau:</t>
        </r>
        <r>
          <rPr>
            <sz val="9"/>
            <color indexed="81"/>
            <rFont val="Tahoma"/>
            <family val="2"/>
          </rPr>
          <t xml:space="preserve">
3/3/15: Savings from the Company's profit improvement initiative, largely in store payroll and other controllable store expense, were partially offset by the deleveraging effect of negative SSS and higher DTC expense.</t>
        </r>
      </text>
    </comment>
    <comment ref="CJ34" authorId="7">
      <text>
        <r>
          <rPr>
            <b/>
            <sz val="9"/>
            <color indexed="81"/>
            <rFont val="Tahoma"/>
            <family val="2"/>
          </rPr>
          <t>casselau:
3/14/15: expect $60M of FX savings, and $30M of cost savings, offset by incremental investments in incentive comp &amp; DTC</t>
        </r>
        <r>
          <rPr>
            <sz val="9"/>
            <color indexed="81"/>
            <rFont val="Tahoma"/>
            <family val="2"/>
          </rPr>
          <t xml:space="preserve">
3/3/15: expect flat; expect benefit from the effects of FX rates, and savings from the profit improvement initiative, to be offset by the restoration of normal incentive compensation accruals, and increased investment in DTC and omni-channel.</t>
        </r>
      </text>
    </comment>
    <comment ref="CK34" authorId="7">
      <text>
        <r>
          <rPr>
            <b/>
            <sz val="9"/>
            <color indexed="81"/>
            <rFont val="Tahoma"/>
            <family val="2"/>
          </rPr>
          <t>casselau:</t>
        </r>
        <r>
          <rPr>
            <sz val="9"/>
            <color indexed="81"/>
            <rFont val="Tahoma"/>
            <family val="2"/>
          </rPr>
          <t xml:space="preserve">
3/2/16: primarily due to benefits from changes in foreign currency exchange rates and expense
reduction efforts, partially offset by higher direct-to-consumer expense</t>
        </r>
      </text>
    </comment>
    <comment ref="CN34" authorId="8">
      <text>
        <r>
          <rPr>
            <b/>
            <sz val="9"/>
            <color indexed="81"/>
            <rFont val="Tahoma"/>
            <family val="2"/>
          </rPr>
          <t>Cassel, Lauren (Research):</t>
        </r>
        <r>
          <rPr>
            <sz val="9"/>
            <color indexed="81"/>
            <rFont val="Tahoma"/>
            <family val="2"/>
          </rPr>
          <t xml:space="preserve">
3/2/17: stores and distribution expense decreased $19.1M, primarily due to benefits from FX rates, the realization of savings on lower sales and expense reduction efforts, partially offset by higher DTC expense and a lease termination charge of $15.6M  related to the A&amp;F flagship store in Hong Kong.</t>
        </r>
      </text>
    </comment>
    <comment ref="AR40" authorId="2">
      <text>
        <r>
          <rPr>
            <b/>
            <sz val="8"/>
            <color indexed="81"/>
            <rFont val="Tahoma"/>
            <family val="2"/>
          </rPr>
          <t>Corinna Freedman:</t>
        </r>
        <r>
          <rPr>
            <sz val="8"/>
            <color indexed="81"/>
            <rFont val="Tahoma"/>
            <family val="2"/>
          </rPr>
          <t xml:space="preserve">
INcludes $4.9m post-tax charge ($8.0 pre-tax) related to legal expenses</t>
        </r>
      </text>
    </comment>
    <comment ref="AX40" authorId="2">
      <text>
        <r>
          <rPr>
            <b/>
            <sz val="8"/>
            <color indexed="81"/>
            <rFont val="Tahoma"/>
            <family val="2"/>
          </rPr>
          <t>Corinna Freedman:</t>
        </r>
        <r>
          <rPr>
            <sz val="8"/>
            <color indexed="81"/>
            <rFont val="Tahoma"/>
            <family val="2"/>
          </rPr>
          <t xml:space="preserve">
excluding 8m LY growth rate = 25%</t>
        </r>
      </text>
    </comment>
    <comment ref="AZ40" authorId="19">
      <text>
        <r>
          <rPr>
            <b/>
            <sz val="8"/>
            <color indexed="81"/>
            <rFont val="Tahoma"/>
            <family val="2"/>
          </rPr>
          <t>Kimberly Greenberger:</t>
        </r>
        <r>
          <rPr>
            <sz val="8"/>
            <color indexed="81"/>
            <rFont val="Tahoma"/>
            <family val="2"/>
          </rPr>
          <t xml:space="preserve">
est at $87-90mm
reduce margin rate to keep in $ range if comp higher than +2%</t>
        </r>
      </text>
    </comment>
    <comment ref="BA40" authorId="13">
      <text>
        <r>
          <rPr>
            <sz val="8"/>
            <color indexed="81"/>
            <rFont val="Tahoma"/>
            <family val="2"/>
          </rPr>
          <t>+130bps: Fell due to levg on fixed costs and a reduction in store repair and maintance exp. offset by increased payroll; BUT MG&amp;A increased 130bps due to increased home office payroll (includes impact of option expensing at 90bps)</t>
        </r>
        <r>
          <rPr>
            <b/>
            <sz val="8"/>
            <color indexed="81"/>
            <rFont val="Tahoma"/>
            <family val="2"/>
          </rPr>
          <t xml:space="preserve">
kg51925:</t>
        </r>
        <r>
          <rPr>
            <sz val="8"/>
            <color indexed="81"/>
            <rFont val="Tahoma"/>
            <family val="2"/>
          </rPr>
          <t xml:space="preserve">
hurt by 90 bps or approx $6mm (our calc) due to options expense</t>
        </r>
      </text>
    </comment>
    <comment ref="BD40" authorId="4">
      <text>
        <r>
          <rPr>
            <b/>
            <sz val="8"/>
            <color indexed="81"/>
            <rFont val="Tahoma"/>
            <family val="2"/>
          </rPr>
          <t>mm98285:</t>
        </r>
        <r>
          <rPr>
            <sz val="8"/>
            <color indexed="81"/>
            <rFont val="Tahoma"/>
            <family val="2"/>
          </rPr>
          <t xml:space="preserve">
saved ~$9mm in response to weaker sales trends</t>
        </r>
      </text>
    </comment>
    <comment ref="BE40" authorId="10">
      <text>
        <r>
          <rPr>
            <sz val="8"/>
            <color indexed="81"/>
            <rFont val="Tahoma"/>
            <family val="2"/>
          </rPr>
          <t xml:space="preserve">Marketing, general and administrative expenses decreased 150 bps to 12.1% due to a decrease in travel and outside services as well as leverage on home office payroll, as the company pulled back on its expenses in response to the weaker than expected sales. </t>
        </r>
      </text>
    </comment>
    <comment ref="BH40" authorId="4">
      <text>
        <r>
          <rPr>
            <b/>
            <sz val="8"/>
            <color indexed="81"/>
            <rFont val="Tahoma"/>
            <family val="2"/>
          </rPr>
          <t>mm98285:</t>
        </r>
        <r>
          <rPr>
            <sz val="8"/>
            <color indexed="81"/>
            <rFont val="Tahoma"/>
            <family val="2"/>
          </rPr>
          <t xml:space="preserve">
2/08: expect $105-$108mm per quarter - Feb conf call</t>
        </r>
      </text>
    </comment>
    <comment ref="BI40" authorId="4">
      <text>
        <r>
          <rPr>
            <b/>
            <sz val="8"/>
            <color indexed="81"/>
            <rFont val="Tahoma"/>
            <family val="2"/>
          </rPr>
          <t>mm98285:</t>
        </r>
        <r>
          <rPr>
            <sz val="8"/>
            <color indexed="81"/>
            <rFont val="Tahoma"/>
            <family val="2"/>
          </rPr>
          <t xml:space="preserve">
+home office payroll &amp; outside services expense rates
-partially offset by decreased travel expense rate</t>
        </r>
      </text>
    </comment>
    <comment ref="BL40" authorId="4">
      <text>
        <r>
          <rPr>
            <b/>
            <sz val="8"/>
            <color indexed="81"/>
            <rFont val="Tahoma"/>
            <family val="2"/>
          </rPr>
          <t>mm98285:</t>
        </r>
        <r>
          <rPr>
            <sz val="8"/>
            <color indexed="81"/>
            <rFont val="Tahoma"/>
            <family val="2"/>
          </rPr>
          <t xml:space="preserve">
5/09: MG&amp;A reduction includes savings related to employee comp &amp; benefits, travel, outside services and marketing
includes $1.1M net effect of legal settlement, severance expense, and certain HQ asset write-offs
5/09: annualized effect of HQ headcount reductions since Jan related to pay salary only was ~$13M &amp; ~$20M relative to Oct. '08</t>
        </r>
      </text>
    </comment>
    <comment ref="BP40" authorId="10">
      <text>
        <r>
          <rPr>
            <sz val="8"/>
            <color indexed="81"/>
            <rFont val="Tahoma"/>
            <family val="2"/>
          </rPr>
          <t>the increase was primarily due to higher net legal expenses, incentive compensation and marketing expenses</t>
        </r>
        <r>
          <rPr>
            <b/>
            <sz val="8"/>
            <color indexed="81"/>
            <rFont val="Tahoma"/>
            <family val="2"/>
          </rPr>
          <t xml:space="preserve">
4/28/2010: </t>
        </r>
        <r>
          <rPr>
            <sz val="8"/>
            <color indexed="81"/>
            <rFont val="Tahoma"/>
            <family val="2"/>
          </rPr>
          <t>now expect MG&amp;A growth slightly more than 10% previously estimated due to unplanned legal</t>
        </r>
        <r>
          <rPr>
            <b/>
            <sz val="8"/>
            <color indexed="81"/>
            <rFont val="Tahoma"/>
            <family val="2"/>
          </rPr>
          <t xml:space="preserve">
2/16:</t>
        </r>
        <r>
          <rPr>
            <sz val="8"/>
            <color indexed="81"/>
            <rFont val="Tahoma"/>
            <family val="2"/>
          </rPr>
          <t xml:space="preserve">For the spring season, we expect MG&amp;A to increase excluding RUEHL. This includes the affect of the incentive accruals, increased I.T.-related depreciation and marketing expenses.
</t>
        </r>
        <r>
          <rPr>
            <b/>
            <sz val="8"/>
            <color indexed="81"/>
            <rFont val="Tahoma"/>
            <family val="2"/>
          </rPr>
          <t>2/18 per Eric</t>
        </r>
        <r>
          <rPr>
            <sz val="8"/>
            <color indexed="81"/>
            <rFont val="Tahoma"/>
            <family val="2"/>
          </rPr>
          <t xml:space="preserve"> sounds like averaging 3Q&amp;4Q09 MG&amp;A at ~$90mm is a reasonable run rate going forward, but could increase slightly as per above comment.  </t>
        </r>
      </text>
    </comment>
    <comment ref="BT40" authorId="5">
      <text>
        <r>
          <rPr>
            <b/>
            <sz val="8"/>
            <color indexed="81"/>
            <rFont val="Tahoma"/>
            <family val="2"/>
          </rPr>
          <t>nicholjs:</t>
        </r>
        <r>
          <rPr>
            <sz val="8"/>
            <color indexed="81"/>
            <rFont val="Tahoma"/>
            <family val="2"/>
          </rPr>
          <t xml:space="preserve">
increase due to increases in compensation and benefits, including incentive and equity compensation and marketing and other expense</t>
        </r>
      </text>
    </comment>
    <comment ref="BY40" authorId="14">
      <text>
        <r>
          <rPr>
            <sz val="8"/>
            <color indexed="81"/>
            <rFont val="Tahoma"/>
            <family val="2"/>
          </rPr>
          <t>5/16/12: The increase in marketing, general and administrative expense was due to increases in marketing expense, equity compensation expense and other expense.
2/15/2012 guide: total operating expenses flat as a % of sales</t>
        </r>
      </text>
    </comment>
    <comment ref="CC40" authorId="14">
      <text>
        <r>
          <rPr>
            <sz val="8"/>
            <color indexed="81"/>
            <rFont val="Tahoma"/>
            <family val="2"/>
          </rPr>
          <t>5/16/12: The increase in marketing, general and administrative expense was due to increases in marketing expense, equity compensation expense and other expense.
2/15/2012 guide: total operating expenses flat as a % of sales</t>
        </r>
      </text>
    </comment>
    <comment ref="CD40" authorId="7">
      <text>
        <r>
          <rPr>
            <b/>
            <sz val="8"/>
            <color indexed="81"/>
            <rFont val="Tahoma"/>
            <family val="2"/>
          </rPr>
          <t>casselau:</t>
        </r>
        <r>
          <rPr>
            <sz val="8"/>
            <color indexed="81"/>
            <rFont val="Tahoma"/>
            <family val="2"/>
          </rPr>
          <t xml:space="preserve">
5/24/13: the increase was due to increases in IT and outside services, partially off-set by decreases in incentive compensation and other comp related expenses</t>
        </r>
      </text>
    </comment>
    <comment ref="CF40" authorId="7">
      <text>
        <r>
          <rPr>
            <b/>
            <sz val="9"/>
            <color indexed="81"/>
            <rFont val="Tahoma"/>
            <family val="2"/>
          </rPr>
          <t>casselau:</t>
        </r>
        <r>
          <rPr>
            <sz val="9"/>
            <color indexed="81"/>
            <rFont val="Tahoma"/>
            <family val="2"/>
          </rPr>
          <t xml:space="preserve">
5/29/14: excludes profit improvement and legal charges</t>
        </r>
      </text>
    </comment>
    <comment ref="CG40" authorId="7">
      <text>
        <r>
          <rPr>
            <b/>
            <sz val="9"/>
            <color indexed="81"/>
            <rFont val="Tahoma"/>
            <family val="2"/>
          </rPr>
          <t>casselau:</t>
        </r>
        <r>
          <rPr>
            <sz val="9"/>
            <color indexed="81"/>
            <rFont val="Tahoma"/>
            <family val="2"/>
          </rPr>
          <t xml:space="preserve">
5/29/14: a decrease in compensation expense was partially offset by an increase in marketing expense</t>
        </r>
      </text>
    </comment>
    <comment ref="CP40" authorId="8">
      <text>
        <r>
          <rPr>
            <b/>
            <sz val="9"/>
            <color indexed="81"/>
            <rFont val="Tahoma"/>
            <family val="2"/>
          </rPr>
          <t>Cassel, Lauren (Research):</t>
        </r>
        <r>
          <rPr>
            <sz val="9"/>
            <color indexed="81"/>
            <rFont val="Tahoma"/>
            <family val="2"/>
          </rPr>
          <t xml:space="preserve">
primarily due to higher legal, marketing, and other expenses </t>
        </r>
      </text>
    </comment>
    <comment ref="CT40" authorId="8">
      <text>
        <r>
          <rPr>
            <b/>
            <sz val="9"/>
            <color indexed="81"/>
            <rFont val="Tahoma"/>
            <family val="2"/>
          </rPr>
          <t>Cassel, Lauren (Research):</t>
        </r>
        <r>
          <rPr>
            <sz val="9"/>
            <color indexed="81"/>
            <rFont val="Tahoma"/>
            <family val="2"/>
          </rPr>
          <t xml:space="preserve">
5/25/17: primarily due to expense reduction efforts, partially offset by higher marketing expense</t>
        </r>
      </text>
    </comment>
    <comment ref="AX41" authorId="2">
      <text>
        <r>
          <rPr>
            <b/>
            <sz val="8"/>
            <color indexed="81"/>
            <rFont val="Tahoma"/>
            <family val="2"/>
          </rPr>
          <t>Corinna Freedman:</t>
        </r>
        <r>
          <rPr>
            <sz val="8"/>
            <color indexed="81"/>
            <rFont val="Tahoma"/>
            <family val="2"/>
          </rPr>
          <t xml:space="preserve">
peg at 25% same rate as 1Q</t>
        </r>
      </text>
    </comment>
    <comment ref="AZ41" authorId="19">
      <text>
        <r>
          <rPr>
            <b/>
            <sz val="8"/>
            <color indexed="81"/>
            <rFont val="Tahoma"/>
            <family val="2"/>
          </rPr>
          <t>Kimberly Greenberger:</t>
        </r>
        <r>
          <rPr>
            <sz val="8"/>
            <color indexed="81"/>
            <rFont val="Tahoma"/>
            <family val="2"/>
          </rPr>
          <t xml:space="preserve">
5/15/06 assume similar to 1Q if I add back $6mm to 2Q expense for options.
est at $87-90mm
reduce margin rate to keep in $ range if comp higher than +2%</t>
        </r>
      </text>
    </comment>
    <comment ref="BD41" authorId="4">
      <text>
        <r>
          <rPr>
            <b/>
            <sz val="8"/>
            <color indexed="81"/>
            <rFont val="Tahoma"/>
            <family val="2"/>
          </rPr>
          <t>mm98285:</t>
        </r>
        <r>
          <rPr>
            <sz val="8"/>
            <color indexed="81"/>
            <rFont val="Tahoma"/>
            <family val="2"/>
          </rPr>
          <t xml:space="preserve">
expect $95-$100</t>
        </r>
      </text>
    </comment>
    <comment ref="BE41" authorId="10">
      <text>
        <r>
          <rPr>
            <sz val="8"/>
            <color indexed="81"/>
            <rFont val="Tahoma"/>
            <family val="2"/>
          </rPr>
          <t>We calculate that MG&amp;A expense decreased ~70bps to 12.2% from 13.0% as a % of sales given a decrease from a reduction in legal, travel and marketing expenses, partially offset by increased home office payroll.
The increase in rate vs. LY is primarily attributed to increase in direct to consumer and store related payroll and other controllable expenses.</t>
        </r>
      </text>
    </comment>
    <comment ref="BH41" authorId="4">
      <text>
        <r>
          <rPr>
            <b/>
            <sz val="8"/>
            <color indexed="81"/>
            <rFont val="Tahoma"/>
            <family val="2"/>
          </rPr>
          <t>mm98285:</t>
        </r>
        <r>
          <rPr>
            <sz val="8"/>
            <color indexed="81"/>
            <rFont val="Tahoma"/>
            <family val="2"/>
          </rPr>
          <t xml:space="preserve">
includes Cfo departure $2mm
5/16/08: Guidance assumes a 2Q08 MG&amp;A exp level of $105-108mm 
2/08: expect $105-$108mm per quarter - Feb conf call</t>
        </r>
      </text>
    </comment>
    <comment ref="BI41" authorId="4">
      <text>
        <r>
          <rPr>
            <b/>
            <sz val="8"/>
            <color indexed="81"/>
            <rFont val="Tahoma"/>
            <family val="2"/>
          </rPr>
          <t>mm98285:</t>
        </r>
        <r>
          <rPr>
            <sz val="8"/>
            <color indexed="81"/>
            <rFont val="Tahoma"/>
            <family val="2"/>
          </rPr>
          <t xml:space="preserve">
+con't investment in home office resources and IT infrastructure for international expansion +$1.6mm (20 bps) charge for departure of CFO Michael Kramer (not incl. in original guid)</t>
        </r>
      </text>
    </comment>
    <comment ref="BL41" authorId="4">
      <text>
        <r>
          <rPr>
            <b/>
            <sz val="8"/>
            <color indexed="81"/>
            <rFont val="Tahoma"/>
            <family val="2"/>
          </rPr>
          <t>mm98285:</t>
        </r>
        <r>
          <rPr>
            <sz val="8"/>
            <color indexed="81"/>
            <rFont val="Tahoma"/>
            <family val="2"/>
          </rPr>
          <t xml:space="preserve">
5/09: expect comparable or slightly higher % reduction in MG&amp;A in 2Q vs. LY. Expect % reduction to moderate in 2H as begin to anniversary '08 savings &amp; potentially restore in same different related accruals if warranted by improved performance.</t>
        </r>
      </text>
    </comment>
    <comment ref="BM41" authorId="15">
      <text>
        <r>
          <rPr>
            <b/>
            <sz val="8"/>
            <color indexed="81"/>
            <rFont val="Tahoma"/>
            <family val="2"/>
          </rPr>
          <t>TI23070:</t>
        </r>
        <r>
          <rPr>
            <sz val="8"/>
            <color indexed="81"/>
            <rFont val="Tahoma"/>
            <family val="2"/>
          </rPr>
          <t xml:space="preserve">
8/09: Marketing, general, and administrative expenses declined 19.2% to $88.1M (excluding $0.6M of severance charges associated with the edit of RUEHL and was below our estimate of -14.3% to $93M) or +70 bps to 13.6% of sales.  The reduction included savings related to employee compensation and benefits, travel, outside services and marketing.</t>
        </r>
      </text>
    </comment>
    <comment ref="BP41" authorId="17">
      <text>
        <r>
          <rPr>
            <b/>
            <sz val="8"/>
            <color indexed="81"/>
            <rFont val="Tahoma"/>
            <family val="2"/>
          </rPr>
          <t>ns66486:</t>
        </r>
        <r>
          <rPr>
            <sz val="8"/>
            <color indexed="81"/>
            <rFont val="Tahoma"/>
            <family val="2"/>
          </rPr>
          <t xml:space="preserve">
5/2010: expect MG&amp;A to be approximately in-line with 1Q in dollar terms w/ roughly half of the increase over 2Q09 being driven by higher incentive comp</t>
        </r>
      </text>
    </comment>
    <comment ref="BT41" authorId="5">
      <text>
        <r>
          <rPr>
            <b/>
            <sz val="8"/>
            <color indexed="81"/>
            <rFont val="Tahoma"/>
            <family val="2"/>
          </rPr>
          <t>nicholjs:</t>
        </r>
        <r>
          <rPr>
            <sz val="8"/>
            <color indexed="81"/>
            <rFont val="Tahoma"/>
            <family val="2"/>
          </rPr>
          <t xml:space="preserve">
increase for 2Q primarily due to increases in
compensation and benefits, including incentive and equity compensation, marketing and other expenses, and the net effect of prior year favorable legal settlements, partially offset by a prior year charge to correct an under accrual of the supplemental executive retirement plan.</t>
        </r>
      </text>
    </comment>
    <comment ref="BV41" authorId="5">
      <text>
        <r>
          <rPr>
            <b/>
            <sz val="8"/>
            <color indexed="81"/>
            <rFont val="Tahoma"/>
            <family val="2"/>
          </rPr>
          <t>nicholjs:</t>
        </r>
        <r>
          <rPr>
            <sz val="8"/>
            <color indexed="81"/>
            <rFont val="Tahoma"/>
            <family val="2"/>
          </rPr>
          <t xml:space="preserve">
increase due to increases in compensation, including incentive and equity compensation, marketing, and other expenses, net of favorable LY legal settlements
5/18/2011: expect</t>
        </r>
        <r>
          <rPr>
            <sz val="8"/>
            <color indexed="81"/>
            <rFont val="Tahoma"/>
            <family val="2"/>
          </rPr>
          <t xml:space="preserve"> mid-teen percentage increase; includes increases in incentive and equity compensation, and marketing costs</t>
        </r>
      </text>
    </comment>
    <comment ref="BY41" authorId="6">
      <text>
        <r>
          <rPr>
            <sz val="8"/>
            <color indexed="81"/>
            <rFont val="Tahoma"/>
            <family val="2"/>
          </rPr>
          <t>8/15/12:  The increase in marketing, general and administrative expense was due to increases in marketing expense, IT expense, travel and other expenses, largely offset by a decrease in incentive compensation expense.
5/16/12: expect modest expense deleverage</t>
        </r>
      </text>
    </comment>
    <comment ref="CB41" authorId="7">
      <text>
        <r>
          <rPr>
            <b/>
            <sz val="9"/>
            <color indexed="81"/>
            <rFont val="Tahoma"/>
            <family val="2"/>
          </rPr>
          <t>casselau:</t>
        </r>
        <r>
          <rPr>
            <sz val="9"/>
            <color indexed="81"/>
            <rFont val="Tahoma"/>
            <family val="2"/>
          </rPr>
          <t xml:space="preserve">
excludes $2.2M in charges related to the profit improvement initiative and GH restructuring</t>
        </r>
      </text>
    </comment>
    <comment ref="CC41" authorId="7">
      <text>
        <r>
          <rPr>
            <b/>
            <sz val="8"/>
            <color indexed="81"/>
            <rFont val="Tahoma"/>
            <family val="2"/>
          </rPr>
          <t>casselau:</t>
        </r>
        <r>
          <rPr>
            <sz val="8"/>
            <color indexed="81"/>
            <rFont val="Tahoma"/>
            <family val="2"/>
          </rPr>
          <t xml:space="preserve">
8/22/13: increase primarily driven by increases in consulting and other services, including $2.6M in charges related to the implementation of the profit improvement initiative</t>
        </r>
      </text>
    </comment>
    <comment ref="CF41" authorId="7">
      <text>
        <r>
          <rPr>
            <b/>
            <sz val="9"/>
            <color indexed="81"/>
            <rFont val="Tahoma"/>
            <family val="2"/>
          </rPr>
          <t>casselau:</t>
        </r>
        <r>
          <rPr>
            <sz val="9"/>
            <color indexed="81"/>
            <rFont val="Tahoma"/>
            <family val="2"/>
          </rPr>
          <t xml:space="preserve">
8/28/14:excludes $0.7M in charges related to the profit improvement initiative</t>
        </r>
      </text>
    </comment>
    <comment ref="CG41" authorId="7">
      <text>
        <r>
          <rPr>
            <b/>
            <sz val="9"/>
            <color indexed="81"/>
            <rFont val="Tahoma"/>
            <family val="2"/>
          </rPr>
          <t>casselau:</t>
        </r>
        <r>
          <rPr>
            <sz val="9"/>
            <color indexed="81"/>
            <rFont val="Tahoma"/>
            <family val="2"/>
          </rPr>
          <t xml:space="preserve">
8/28/14: decline primiarily due to a reduction in compensation expense, partially offset by an increase in marketing expense</t>
        </r>
      </text>
    </comment>
    <comment ref="CJ41" authorId="7">
      <text>
        <r>
          <rPr>
            <b/>
            <sz val="9"/>
            <color indexed="81"/>
            <rFont val="Tahoma"/>
            <family val="2"/>
          </rPr>
          <t>casselau:</t>
        </r>
        <r>
          <rPr>
            <sz val="9"/>
            <color indexed="81"/>
            <rFont val="Tahoma"/>
            <family val="2"/>
          </rPr>
          <t xml:space="preserve">
8/26/15: reduction primarily due to expense reduction efforts during the quarter; excludes $15.8 million in legal settlement charges related to various lawsuits</t>
        </r>
      </text>
    </comment>
    <comment ref="CP41" authorId="8">
      <text>
        <r>
          <rPr>
            <b/>
            <sz val="9"/>
            <color indexed="81"/>
            <rFont val="Tahoma"/>
            <family val="2"/>
          </rPr>
          <t>Cassel, Lauren (Research):</t>
        </r>
        <r>
          <rPr>
            <sz val="9"/>
            <color indexed="81"/>
            <rFont val="Tahoma"/>
            <family val="2"/>
          </rPr>
          <t xml:space="preserve">
8/30/16: Excluding certain items last year, marketing, general and administrative expense increased $7.6M, </t>
        </r>
        <r>
          <rPr>
            <b/>
            <sz val="9"/>
            <color indexed="81"/>
            <rFont val="Tahoma"/>
            <family val="2"/>
          </rPr>
          <t>primarily due to higher marketing and other expenses.</t>
        </r>
      </text>
    </comment>
    <comment ref="CT41" authorId="8">
      <text>
        <r>
          <rPr>
            <b/>
            <sz val="9"/>
            <color indexed="81"/>
            <rFont val="Tahoma"/>
            <family val="2"/>
          </rPr>
          <t>Cassel, Lauren (Research):</t>
        </r>
        <r>
          <rPr>
            <sz val="9"/>
            <color indexed="81"/>
            <rFont val="Tahoma"/>
            <family val="2"/>
          </rPr>
          <t xml:space="preserve">
8/24/17:  primarily due to expense reduction efforts, partially offset by higher marketing expense.</t>
        </r>
      </text>
    </comment>
    <comment ref="AR42" authorId="2">
      <text>
        <r>
          <rPr>
            <b/>
            <sz val="8"/>
            <color indexed="81"/>
            <rFont val="Tahoma"/>
            <family val="2"/>
          </rPr>
          <t>Corinna Freedman:</t>
        </r>
        <r>
          <rPr>
            <sz val="8"/>
            <color indexed="81"/>
            <rFont val="Tahoma"/>
            <family val="2"/>
          </rPr>
          <t xml:space="preserve">
less $32.9m pre-tax charge ($20.7m post-tax) related to settlement of lawsuits</t>
        </r>
      </text>
    </comment>
    <comment ref="AV42" authorId="2">
      <text>
        <r>
          <rPr>
            <b/>
            <sz val="8"/>
            <color indexed="81"/>
            <rFont val="Tahoma"/>
            <family val="2"/>
          </rPr>
          <t>Corinna Freedman:</t>
        </r>
        <r>
          <rPr>
            <sz val="8"/>
            <color indexed="81"/>
            <rFont val="Tahoma"/>
            <family val="2"/>
          </rPr>
          <t xml:space="preserve">
excludes $13.5m severance charge</t>
        </r>
      </text>
    </comment>
    <comment ref="AW42" authorId="19">
      <text>
        <r>
          <rPr>
            <b/>
            <sz val="8"/>
            <color indexed="81"/>
            <rFont val="Tahoma"/>
            <family val="2"/>
          </rPr>
          <t>Kimberly Greenberger:</t>
        </r>
        <r>
          <rPr>
            <sz val="8"/>
            <color indexed="81"/>
            <rFont val="Tahoma"/>
            <family val="2"/>
          </rPr>
          <t xml:space="preserve">
would have been 11.9% excl. $13.5m severance charge</t>
        </r>
      </text>
    </comment>
    <comment ref="AX42" authorId="2">
      <text>
        <r>
          <rPr>
            <b/>
            <sz val="8"/>
            <color indexed="81"/>
            <rFont val="Tahoma"/>
            <family val="2"/>
          </rPr>
          <t>Corinna Freedman:</t>
        </r>
        <r>
          <rPr>
            <sz val="8"/>
            <color indexed="81"/>
            <rFont val="Tahoma"/>
            <family val="2"/>
          </rPr>
          <t xml:space="preserve">
Excl severance charges and excl. LY legal charge, would be +57.7% growth vs LY</t>
        </r>
      </text>
    </comment>
    <comment ref="BD42" authorId="10">
      <text>
        <r>
          <rPr>
            <b/>
            <sz val="8"/>
            <color indexed="81"/>
            <rFont val="Tahoma"/>
            <family val="2"/>
          </rPr>
          <t>oc48540:</t>
        </r>
        <r>
          <rPr>
            <sz val="8"/>
            <color indexed="81"/>
            <rFont val="Tahoma"/>
            <family val="2"/>
          </rPr>
          <t xml:space="preserve">
expect around 105</t>
        </r>
      </text>
    </comment>
    <comment ref="BE42" authorId="18">
      <text>
        <r>
          <rPr>
            <sz val="8"/>
            <color indexed="81"/>
            <rFont val="Tahoma"/>
            <family val="2"/>
          </rPr>
          <t>MG&amp;A decreased primarily as a result of a reduction in travel, marketing, legal and
consulting services.</t>
        </r>
      </text>
    </comment>
    <comment ref="BH42" authorId="4">
      <text>
        <r>
          <rPr>
            <b/>
            <sz val="8"/>
            <color indexed="81"/>
            <rFont val="Tahoma"/>
            <family val="2"/>
          </rPr>
          <t>mm98285:</t>
        </r>
        <r>
          <rPr>
            <sz val="8"/>
            <color indexed="81"/>
            <rFont val="Tahoma"/>
            <family val="2"/>
          </rPr>
          <t xml:space="preserve">
8/08: $114-$116mm</t>
        </r>
      </text>
    </comment>
    <comment ref="BI42" authorId="4">
      <text>
        <r>
          <rPr>
            <b/>
            <sz val="8"/>
            <color indexed="81"/>
            <rFont val="Tahoma"/>
            <family val="2"/>
          </rPr>
          <t>mm98285:</t>
        </r>
        <r>
          <rPr>
            <sz val="8"/>
            <color indexed="81"/>
            <rFont val="Tahoma"/>
            <family val="2"/>
          </rPr>
          <t xml:space="preserve">
11/08: +continued investment in home office resources for international expansion  offset by a reduction in incentive comp. and other home office exp. including travel &amp; outside services</t>
        </r>
      </text>
    </comment>
    <comment ref="BL42" authorId="13">
      <text>
        <r>
          <rPr>
            <b/>
            <sz val="8"/>
            <color indexed="81"/>
            <rFont val="Tahoma"/>
            <family val="2"/>
          </rPr>
          <t>kg51925:</t>
        </r>
        <r>
          <rPr>
            <sz val="8"/>
            <color indexed="81"/>
            <rFont val="Tahoma"/>
            <family val="2"/>
          </rPr>
          <t xml:space="preserve">
did not accrue in 3Q09 for incentive comp, but did accrue in 4Q for both 3Q &amp; 4Q for VP's &amp; below</t>
        </r>
      </text>
    </comment>
    <comment ref="BM42" authorId="10">
      <text>
        <r>
          <rPr>
            <sz val="8"/>
            <color indexed="81"/>
            <rFont val="Tahoma"/>
            <family val="2"/>
          </rPr>
          <t>Reduction was related to lower employee compensation and benefits, outside services, marketing, and travel and the benefit of an insurance settlement ($2.5mm).</t>
        </r>
      </text>
    </comment>
    <comment ref="BN42" authorId="13">
      <text>
        <r>
          <rPr>
            <sz val="8"/>
            <color indexed="81"/>
            <rFont val="Tahoma"/>
            <family val="2"/>
          </rPr>
          <t>8/14: ANF anticipates that the % reduction in MG&amp;A will moderate to a single-digit figure (vs.  14- 19% in 1H09) as ANF anniversaries 2008 savings and potentially restores a portion of incentive and related comp accruals.</t>
        </r>
        <r>
          <rPr>
            <b/>
            <sz val="8"/>
            <color indexed="81"/>
            <rFont val="Tahoma"/>
            <family val="2"/>
          </rPr>
          <t xml:space="preserve">
kg51925:</t>
        </r>
        <r>
          <rPr>
            <sz val="8"/>
            <color indexed="81"/>
            <rFont val="Tahoma"/>
            <family val="2"/>
          </rPr>
          <t xml:space="preserve">
we were at -15% until 2Q call when mgmt said only down single digits in Fall</t>
        </r>
      </text>
    </comment>
    <comment ref="BP42" authorId="5">
      <text>
        <r>
          <rPr>
            <b/>
            <sz val="8"/>
            <color indexed="81"/>
            <rFont val="Tahoma"/>
            <family val="2"/>
          </rPr>
          <t>nicholjs:</t>
        </r>
        <r>
          <rPr>
            <sz val="8"/>
            <color indexed="81"/>
            <rFont val="Tahoma"/>
            <family val="2"/>
          </rPr>
          <t xml:space="preserve">
8/2010: expect mid-teen percentage increase vs. 2009</t>
        </r>
      </text>
    </comment>
    <comment ref="BT42" authorId="6">
      <text>
        <r>
          <rPr>
            <b/>
            <sz val="8"/>
            <color indexed="81"/>
            <rFont val="Tahoma"/>
            <family val="2"/>
          </rPr>
          <t>solejay:</t>
        </r>
        <r>
          <rPr>
            <sz val="8"/>
            <color indexed="81"/>
            <rFont val="Tahoma"/>
            <family val="2"/>
          </rPr>
          <t xml:space="preserve">
11/2011: On a dollar basis, the 5% increase in marketing, general and administrative expense was due to increases in compensation, including equity compensation, and outside services, partially offset by a decrease in incentive compensation expense.
</t>
        </r>
      </text>
    </comment>
    <comment ref="BV42" authorId="5">
      <text>
        <r>
          <rPr>
            <b/>
            <sz val="8"/>
            <color indexed="81"/>
            <rFont val="Tahoma"/>
            <family val="2"/>
          </rPr>
          <t>nicholjs:</t>
        </r>
        <r>
          <rPr>
            <sz val="8"/>
            <color indexed="81"/>
            <rFont val="Tahoma"/>
            <family val="2"/>
          </rPr>
          <t xml:space="preserve">
8/2011: expect low double digit increase, includes increases in equity compensation, marketing costs, and other
5/18: expect growth rate to moderate significantly in 2H of year</t>
        </r>
      </text>
    </comment>
    <comment ref="BY42" authorId="6">
      <text>
        <r>
          <rPr>
            <sz val="8"/>
            <color indexed="81"/>
            <rFont val="Tahoma"/>
            <family val="2"/>
          </rPr>
          <t>11/14: the increase was due to increases in marketing, incentive compensation related expenses, IT and other expenses; includes $5M of marketing costs related to the new CRM and club programs as well as the HK flagship opening 
8/15/12 - 3Q guidance - "Increased MG&amp;A versus second quarter, including CRM and China marketing costs."</t>
        </r>
      </text>
    </comment>
    <comment ref="CB42" authorId="16">
      <text>
        <r>
          <rPr>
            <b/>
            <sz val="8"/>
            <color indexed="81"/>
            <rFont val="Tahoma"/>
            <family val="2"/>
          </rPr>
          <t xml:space="preserve">11/20/13: </t>
        </r>
        <r>
          <rPr>
            <sz val="8"/>
            <color indexed="81"/>
            <rFont val="Tahoma"/>
            <family val="2"/>
          </rPr>
          <t>includes $7M of charges related to the profit improvement initiative and $4.6M of charges related to Gilly Hicks restructuring</t>
        </r>
        <r>
          <rPr>
            <b/>
            <sz val="8"/>
            <color indexed="81"/>
            <rFont val="Tahoma"/>
            <family val="2"/>
          </rPr>
          <t xml:space="preserve">
kimberlg:</t>
        </r>
        <r>
          <rPr>
            <sz val="8"/>
            <color indexed="81"/>
            <rFont val="Tahoma"/>
            <family val="2"/>
          </rPr>
          <t xml:space="preserve">
8/23/13: I assume they will begin to see some SG&amp;A savings in 3Q, and more fully in 4Q13</t>
        </r>
      </text>
    </comment>
    <comment ref="CG42" authorId="7">
      <text>
        <r>
          <rPr>
            <b/>
            <sz val="9"/>
            <color indexed="81"/>
            <rFont val="Tahoma"/>
            <family val="2"/>
          </rPr>
          <t>casselau:</t>
        </r>
        <r>
          <rPr>
            <sz val="9"/>
            <color indexed="81"/>
            <rFont val="Tahoma"/>
            <family val="2"/>
          </rPr>
          <t xml:space="preserve">
12/3/14: decline primarily due to a decrease in compensation-related expense (~$9M), including incentive and equity compensation
expense, partially offset by an increase in marketing expense</t>
        </r>
      </text>
    </comment>
    <comment ref="CJ42" authorId="7">
      <text>
        <r>
          <rPr>
            <b/>
            <sz val="9"/>
            <color indexed="81"/>
            <rFont val="Tahoma"/>
            <family val="2"/>
          </rPr>
          <t>casselau:
11/20/15: primarily due to higher compensation related expense</t>
        </r>
        <r>
          <rPr>
            <sz val="9"/>
            <color indexed="81"/>
            <rFont val="Tahoma"/>
            <family val="2"/>
          </rPr>
          <t xml:space="preserve">
8/26/15: lapping $9M incentive comp reversal LY + ($16M*30%) incremental incentive comp accrual</t>
        </r>
      </text>
    </comment>
    <comment ref="CN42" authorId="8">
      <text>
        <r>
          <rPr>
            <b/>
            <sz val="9"/>
            <color indexed="81"/>
            <rFont val="Tahoma"/>
            <family val="2"/>
          </rPr>
          <t>Cassel, Lauren (Research):</t>
        </r>
        <r>
          <rPr>
            <sz val="9"/>
            <color indexed="81"/>
            <rFont val="Tahoma"/>
            <family val="2"/>
          </rPr>
          <t xml:space="preserve">
11/18/16: excludes $6M related to an indemnification recovery of certain legal settlements recognized in the second quarter of Fiscal 2015.</t>
        </r>
      </text>
    </comment>
    <comment ref="CP42" authorId="8">
      <text>
        <r>
          <rPr>
            <b/>
            <sz val="9"/>
            <color indexed="81"/>
            <rFont val="Tahoma"/>
            <family val="2"/>
          </rPr>
          <t>Cassel, Lauren (Research):</t>
        </r>
        <r>
          <rPr>
            <sz val="9"/>
            <color indexed="81"/>
            <rFont val="Tahoma"/>
            <family val="2"/>
          </rPr>
          <t xml:space="preserve">
11/18/16: Excluding certain items, adjusted non-GAAP marketing, general and administrative expense decreased $6.4 million, primarily due to expense reduction efforts, partially offset by higher marketing expenses.</t>
        </r>
      </text>
    </comment>
    <comment ref="CR42" authorId="12">
      <text>
        <r>
          <rPr>
            <b/>
            <sz val="9"/>
            <color indexed="81"/>
            <rFont val="Tahoma"/>
            <family val="2"/>
          </rPr>
          <t>Roberts, Cynthia (Research):</t>
        </r>
        <r>
          <rPr>
            <sz val="9"/>
            <color indexed="81"/>
            <rFont val="Tahoma"/>
            <family val="2"/>
          </rPr>
          <t xml:space="preserve">
11/17/17: Excludes $11.1M in legal charges. Excluding $6M benefit from LY, dollars grew $2.2M as expense reductions were more than offset by higher performance-based compensation and marketing</t>
        </r>
      </text>
    </comment>
    <comment ref="BA43" authorId="3">
      <text>
        <r>
          <rPr>
            <b/>
            <sz val="8"/>
            <color indexed="81"/>
            <rFont val="Tahoma"/>
            <family val="2"/>
          </rPr>
          <t>MB33100:</t>
        </r>
        <r>
          <rPr>
            <sz val="8"/>
            <color indexed="81"/>
            <rFont val="Tahoma"/>
            <family val="2"/>
          </rPr>
          <t xml:space="preserve">
3Q call: expect to delever in 4Q</t>
        </r>
      </text>
    </comment>
    <comment ref="BD43" authorId="10">
      <text>
        <r>
          <rPr>
            <b/>
            <sz val="8"/>
            <color indexed="81"/>
            <rFont val="Tahoma"/>
            <family val="2"/>
          </rPr>
          <t>oc48540:</t>
        </r>
        <r>
          <rPr>
            <sz val="8"/>
            <color indexed="81"/>
            <rFont val="Tahoma"/>
            <family val="2"/>
          </rPr>
          <t xml:space="preserve">
11/07: expect $105mm
expect around 105</t>
        </r>
      </text>
    </comment>
    <comment ref="BE43" authorId="4">
      <text>
        <r>
          <rPr>
            <b/>
            <sz val="8"/>
            <color indexed="81"/>
            <rFont val="Tahoma"/>
            <family val="2"/>
          </rPr>
          <t>mm98285:</t>
        </r>
        <r>
          <rPr>
            <sz val="8"/>
            <color indexed="81"/>
            <rFont val="Tahoma"/>
            <family val="2"/>
          </rPr>
          <t xml:space="preserve">
decrease given lower travel, samples and outside service exp rates partially offset by an increase in the home office payroll exp rate</t>
        </r>
      </text>
    </comment>
    <comment ref="BH43" authorId="4">
      <text>
        <r>
          <rPr>
            <b/>
            <sz val="8"/>
            <color indexed="81"/>
            <rFont val="Tahoma"/>
            <family val="2"/>
          </rPr>
          <t>mm98285:</t>
        </r>
        <r>
          <rPr>
            <sz val="8"/>
            <color indexed="81"/>
            <rFont val="Tahoma"/>
            <family val="2"/>
          </rPr>
          <t xml:space="preserve">
11/08: expect flat with 3Q's $105mm
8/08: $114-$116mm</t>
        </r>
      </text>
    </comment>
    <comment ref="BI43" authorId="4">
      <text>
        <r>
          <rPr>
            <b/>
            <sz val="8"/>
            <color indexed="81"/>
            <rFont val="Tahoma"/>
            <family val="2"/>
          </rPr>
          <t>mm98285:</t>
        </r>
        <r>
          <rPr>
            <sz val="8"/>
            <color indexed="81"/>
            <rFont val="Tahoma"/>
            <family val="2"/>
          </rPr>
          <t xml:space="preserve">
Declined below mgmt's prior guid. of $105M given savings in incentive comp. &amp; benefits, travel &amp; outside services</t>
        </r>
      </text>
    </comment>
    <comment ref="BL43" authorId="13">
      <text>
        <r>
          <rPr>
            <b/>
            <sz val="8"/>
            <color indexed="81"/>
            <rFont val="Tahoma"/>
            <family val="2"/>
          </rPr>
          <t>kg51925:</t>
        </r>
        <r>
          <rPr>
            <sz val="8"/>
            <color indexed="81"/>
            <rFont val="Tahoma"/>
            <family val="2"/>
          </rPr>
          <t xml:space="preserve">
includes incent comp accrual for VP's &amp; below for 2H09 (incl a 3Q09 catch up accrual)</t>
        </r>
      </text>
    </comment>
    <comment ref="BM43" authorId="10">
      <text>
        <r>
          <rPr>
            <sz val="8"/>
            <color indexed="81"/>
            <rFont val="Tahoma"/>
            <family val="2"/>
          </rPr>
          <t>Marketing, general and administrative expense was $92.4mm (vs. $97.5mm LY). Marketing, general and administrative expense reflects reductions related to employee compensation and benefits, travel, outside services and marketing.</t>
        </r>
      </text>
    </comment>
    <comment ref="BN43" authorId="13">
      <text>
        <r>
          <rPr>
            <b/>
            <sz val="8"/>
            <color indexed="81"/>
            <rFont val="Tahoma"/>
            <family val="2"/>
          </rPr>
          <t>11/13: expect -MSD
kg51925:</t>
        </r>
        <r>
          <rPr>
            <sz val="8"/>
            <color indexed="81"/>
            <rFont val="Tahoma"/>
            <family val="2"/>
          </rPr>
          <t xml:space="preserve">
we were at -11.5% until 2Q call when mgmt said only down single digits in Fall</t>
        </r>
      </text>
    </comment>
    <comment ref="BP43" authorId="5">
      <text>
        <r>
          <rPr>
            <b/>
            <sz val="8"/>
            <color indexed="81"/>
            <rFont val="Tahoma"/>
            <family val="2"/>
          </rPr>
          <t>nicholjs:</t>
        </r>
        <r>
          <rPr>
            <sz val="8"/>
            <color indexed="81"/>
            <rFont val="Tahoma"/>
            <family val="2"/>
          </rPr>
          <t xml:space="preserve">
MG&amp;A included equity and incentive comp of $17.8mm vs. $10.4mm LY.  Also included $5.5mm of charges related to increase in legal reserves, write-off on trade-in of fractional aircraft ownership and some software write-offs.
11/2010: expect slightly above 3Q dollars</t>
        </r>
      </text>
    </comment>
    <comment ref="BT43" authorId="16">
      <text>
        <r>
          <rPr>
            <sz val="8"/>
            <color indexed="81"/>
            <rFont val="Tahoma"/>
            <family val="2"/>
          </rPr>
          <t>2/15/2012: On a dollar basis, the decrease in marketing, general and administrative expense was due to a decrease in incentive compensation expense and other expenses.  
2/15/2012: 10.000 charge was related to legal settlements during the fourth quarter.
11/16/11: "flat in dollar terms to LY"</t>
        </r>
      </text>
    </comment>
    <comment ref="BV43" authorId="5">
      <text>
        <r>
          <rPr>
            <b/>
            <sz val="8"/>
            <color indexed="81"/>
            <rFont val="Tahoma"/>
            <family val="2"/>
          </rPr>
          <t>nicholjs:</t>
        </r>
        <r>
          <rPr>
            <sz val="8"/>
            <color indexed="81"/>
            <rFont val="Tahoma"/>
            <family val="2"/>
          </rPr>
          <t xml:space="preserve">
5/18: expect growth rate to moderate significantly in 2H of year</t>
        </r>
      </text>
    </comment>
    <comment ref="BX43" authorId="7">
      <text>
        <r>
          <rPr>
            <sz val="8"/>
            <color indexed="81"/>
            <rFont val="Tahoma"/>
            <family val="2"/>
          </rPr>
          <t>other operating income was 13.7M, including 4.8M related to business interruption insurance recoveries associated with Sandy; other expense included 13.4M related to a change in intent regarding auction rate securities</t>
        </r>
        <r>
          <rPr>
            <b/>
            <sz val="8"/>
            <color indexed="81"/>
            <rFont val="Tahoma"/>
            <family val="2"/>
          </rPr>
          <t xml:space="preserve">
casselau:</t>
        </r>
        <r>
          <rPr>
            <sz val="8"/>
            <color indexed="81"/>
            <rFont val="Tahoma"/>
            <family val="2"/>
          </rPr>
          <t xml:space="preserve">
2/22/13: the increase was due to incentive and other compensation related expenses, IT, marketing and other expenses </t>
        </r>
      </text>
    </comment>
    <comment ref="BY43" authorId="14">
      <text>
        <r>
          <rPr>
            <sz val="8"/>
            <color indexed="81"/>
            <rFont val="Tahoma"/>
            <family val="2"/>
          </rPr>
          <t>5/16/12: "Our lower sales projection is offset by higher protected gross margin rate and lower expenses."
"We still expect some deleverage on an FY basis"
2/15/2012 guide: expect 100 to 150 bps total expense leverage, primarily driven by occupancy.</t>
        </r>
      </text>
    </comment>
    <comment ref="CB43" authorId="16">
      <text>
        <r>
          <rPr>
            <b/>
            <sz val="8"/>
            <color indexed="81"/>
            <rFont val="Tahoma"/>
            <family val="2"/>
          </rPr>
          <t xml:space="preserve">kimberlg:
2/26/14: </t>
        </r>
        <r>
          <rPr>
            <sz val="8"/>
            <color indexed="81"/>
            <rFont val="Tahoma"/>
            <family val="2"/>
          </rPr>
          <t>a decrease in compensation expense including incentive and equity-based compensation, was partially offset by an increase in marketing expense ($5M); includes $3.2M of charges related to the profit improvement initiative</t>
        </r>
        <r>
          <rPr>
            <sz val="8"/>
            <color indexed="81"/>
            <rFont val="Tahoma"/>
            <family val="2"/>
          </rPr>
          <t xml:space="preserve">
8/23/13: I assume they will begin to see some SG&amp;A savings in 3Q, and more fully in 4Q13</t>
        </r>
      </text>
    </comment>
    <comment ref="CF43" authorId="7">
      <text>
        <r>
          <rPr>
            <b/>
            <sz val="9"/>
            <color indexed="81"/>
            <rFont val="Tahoma"/>
            <family val="2"/>
          </rPr>
          <t>casselau:</t>
        </r>
        <r>
          <rPr>
            <sz val="9"/>
            <color indexed="81"/>
            <rFont val="Tahoma"/>
            <family val="2"/>
          </rPr>
          <t xml:space="preserve">
3/3/15: excludes $5.3M of charges primarily related to CEO transition costs</t>
        </r>
      </text>
    </comment>
    <comment ref="CG43" authorId="7">
      <text>
        <r>
          <rPr>
            <b/>
            <sz val="9"/>
            <color indexed="81"/>
            <rFont val="Tahoma"/>
            <family val="2"/>
          </rPr>
          <t>casselau:
3/3/15: $ decline primarily due to a decrease in compensation expense, partially offset by an increase in marketing expense.</t>
        </r>
        <r>
          <rPr>
            <sz val="9"/>
            <color indexed="81"/>
            <rFont val="Tahoma"/>
            <family val="2"/>
          </rPr>
          <t xml:space="preserve">
12/3/14: on a sequential basis, expense savings will be lower as they anniversary $25M in savings realized from the profit improvement initiative last year. There were also significant savings realized In 3Q largely retlated to compesation which will not repeat in 4Q</t>
        </r>
      </text>
    </comment>
    <comment ref="CJ43" authorId="7">
      <text>
        <r>
          <rPr>
            <b/>
            <sz val="9"/>
            <color indexed="81"/>
            <rFont val="Tahoma"/>
            <family val="2"/>
          </rPr>
          <t>casselau:</t>
        </r>
        <r>
          <rPr>
            <sz val="9"/>
            <color indexed="81"/>
            <rFont val="Tahoma"/>
            <family val="2"/>
          </rPr>
          <t xml:space="preserve">
8/26/15: assume 70% of incremental $16M incentive comp</t>
        </r>
      </text>
    </comment>
    <comment ref="CK43" authorId="7">
      <text>
        <r>
          <rPr>
            <b/>
            <sz val="9"/>
            <color indexed="81"/>
            <rFont val="Tahoma"/>
            <family val="2"/>
          </rPr>
          <t>casselau:</t>
        </r>
        <r>
          <rPr>
            <sz val="9"/>
            <color indexed="81"/>
            <rFont val="Tahoma"/>
            <family val="2"/>
          </rPr>
          <t xml:space="preserve">
3/2/15: primarily due to higher compensation related expense, including a severance charge of $5.3 million</t>
        </r>
      </text>
    </comment>
    <comment ref="CP43" authorId="8">
      <text>
        <r>
          <rPr>
            <b/>
            <sz val="9"/>
            <color indexed="81"/>
            <rFont val="Tahoma"/>
            <family val="2"/>
          </rPr>
          <t>Cassel, Lauren (Research):</t>
        </r>
        <r>
          <rPr>
            <sz val="9"/>
            <color indexed="81"/>
            <rFont val="Tahoma"/>
            <family val="2"/>
          </rPr>
          <t xml:space="preserve">
3/2/17:  including $3.9M in severance charges; primarily due to lower compensation expense and expense reduction efforts, partially offset by higher marketing expense</t>
        </r>
      </text>
    </comment>
    <comment ref="CR43" authorId="8">
      <text>
        <r>
          <rPr>
            <b/>
            <sz val="9"/>
            <color indexed="81"/>
            <rFont val="Tahoma"/>
            <family val="2"/>
          </rPr>
          <t>Cassel, Lauren (Research):</t>
        </r>
        <r>
          <rPr>
            <sz val="9"/>
            <color indexed="81"/>
            <rFont val="Tahoma"/>
            <family val="2"/>
          </rPr>
          <t xml:space="preserve">
3/2/17: need to exclude $3.9M in severence charges LY</t>
        </r>
      </text>
    </comment>
    <comment ref="CT43" authorId="12">
      <text>
        <r>
          <rPr>
            <b/>
            <sz val="9"/>
            <color indexed="81"/>
            <rFont val="Tahoma"/>
            <family val="2"/>
          </rPr>
          <t>Roberts, Cynthia (Research):</t>
        </r>
        <r>
          <rPr>
            <sz val="9"/>
            <color indexed="81"/>
            <rFont val="Tahoma"/>
            <family val="2"/>
          </rPr>
          <t xml:space="preserve">
3/7/18:expense  reductions more than offset by higher performance based compensation expense</t>
        </r>
      </text>
    </comment>
    <comment ref="BI44" authorId="4">
      <text>
        <r>
          <rPr>
            <b/>
            <sz val="8"/>
            <color indexed="81"/>
            <rFont val="Tahoma"/>
            <family val="2"/>
          </rPr>
          <t>mm98285:</t>
        </r>
        <r>
          <rPr>
            <sz val="8"/>
            <color indexed="81"/>
            <rFont val="Tahoma"/>
            <family val="2"/>
          </rPr>
          <t xml:space="preserve">
investments in home office related to flagship &amp; international expansion, partially offset by savings in incentive comp &amp; benefits and other home office exp. </t>
        </r>
      </text>
    </comment>
    <comment ref="BL44" authorId="4">
      <text>
        <r>
          <rPr>
            <b/>
            <sz val="8"/>
            <color indexed="81"/>
            <rFont val="Tahoma"/>
            <family val="2"/>
          </rPr>
          <t>mm98285:</t>
        </r>
        <r>
          <rPr>
            <sz val="8"/>
            <color indexed="81"/>
            <rFont val="Tahoma"/>
            <family val="2"/>
          </rPr>
          <t xml:space="preserve">
2/09: below 2008</t>
        </r>
      </text>
    </comment>
    <comment ref="BV44" authorId="5">
      <text>
        <r>
          <rPr>
            <b/>
            <sz val="8"/>
            <color indexed="81"/>
            <rFont val="Tahoma"/>
            <family val="2"/>
          </rPr>
          <t>nicholjs:</t>
        </r>
        <r>
          <rPr>
            <sz val="8"/>
            <color indexed="81"/>
            <rFont val="Tahoma"/>
            <family val="2"/>
          </rPr>
          <t xml:space="preserve">
9/7/2011: expect up around 10% for the year
5/18/2011: should still be "upper" end of +MSD (implying slower rate of growth in 3Q and 4Q)
2/2011: +MSD year over year % increase, excluding potential liability accounting charges if insufficient shares in LTIP</t>
        </r>
      </text>
    </comment>
    <comment ref="BY44" authorId="7">
      <text>
        <r>
          <rPr>
            <b/>
            <sz val="8"/>
            <color indexed="81"/>
            <rFont val="Tahoma"/>
            <family val="2"/>
          </rPr>
          <t>casselau:</t>
        </r>
        <r>
          <rPr>
            <sz val="8"/>
            <color indexed="81"/>
            <rFont val="Tahoma"/>
            <family val="2"/>
          </rPr>
          <t xml:space="preserve">
2/22/13: the increase was due to incentive and other compensation related expenses, IT, marketing and other expenses </t>
        </r>
      </text>
    </comment>
    <comment ref="CB44" authorId="16">
      <text>
        <r>
          <rPr>
            <b/>
            <sz val="8"/>
            <color indexed="81"/>
            <rFont val="Tahoma"/>
            <family val="2"/>
          </rPr>
          <t>kimberlg:</t>
        </r>
        <r>
          <rPr>
            <sz val="8"/>
            <color indexed="81"/>
            <rFont val="Tahoma"/>
            <family val="2"/>
          </rPr>
          <t xml:space="preserve">
8/23/13: ANF guided to expect at least $100M in savings, incl Stores/DC, a "good chunck" in MG&amp;A, and "a little bit in GM b/c of freight savings". We est can save 5% of MG&amp;A annually or $25M</t>
        </r>
      </text>
    </comment>
    <comment ref="CF44" authorId="7">
      <text>
        <r>
          <rPr>
            <b/>
            <sz val="8"/>
            <color indexed="81"/>
            <rFont val="Tahoma"/>
            <family val="2"/>
          </rPr>
          <t>casselau:</t>
        </r>
        <r>
          <rPr>
            <sz val="8"/>
            <color indexed="81"/>
            <rFont val="Tahoma"/>
            <family val="2"/>
          </rPr>
          <t xml:space="preserve">
2/26/14: expects to increase FY14 marketing spend by $30M or greater, skewed towards 1H</t>
        </r>
      </text>
    </comment>
    <comment ref="CG44" authorId="7">
      <text>
        <r>
          <rPr>
            <b/>
            <sz val="9"/>
            <color indexed="81"/>
            <rFont val="Tahoma"/>
            <family val="2"/>
          </rPr>
          <t>casselau:</t>
        </r>
        <r>
          <rPr>
            <sz val="9"/>
            <color indexed="81"/>
            <rFont val="Tahoma"/>
            <family val="2"/>
          </rPr>
          <t xml:space="preserve">
3/3/15: dollar decline primarily due to a decrease in compensation expense, partially offset by an increase in marketing expense.</t>
        </r>
      </text>
    </comment>
    <comment ref="CJ44" authorId="7">
      <text>
        <r>
          <rPr>
            <b/>
            <sz val="9"/>
            <color indexed="81"/>
            <rFont val="Tahoma"/>
            <family val="2"/>
          </rPr>
          <t>casselau:
3/24/15: expect $25M increase in incentive comp and marketing</t>
        </r>
        <r>
          <rPr>
            <sz val="9"/>
            <color indexed="81"/>
            <rFont val="Tahoma"/>
            <family val="2"/>
          </rPr>
          <t xml:space="preserve">
3/3/15: expect $20M in incentive comp + increased marketing</t>
        </r>
      </text>
    </comment>
    <comment ref="CK44" authorId="7">
      <text>
        <r>
          <rPr>
            <b/>
            <sz val="9"/>
            <color indexed="81"/>
            <rFont val="Tahoma"/>
            <family val="2"/>
          </rPr>
          <t>casselau:</t>
        </r>
        <r>
          <rPr>
            <sz val="9"/>
            <color indexed="81"/>
            <rFont val="Tahoma"/>
            <family val="2"/>
          </rPr>
          <t xml:space="preserve">
3/2/16:  primarily due to higher compensation related expense, including a severance
charge of $5.3 million</t>
        </r>
      </text>
    </comment>
    <comment ref="CN44" authorId="8">
      <text>
        <r>
          <rPr>
            <b/>
            <sz val="9"/>
            <color indexed="81"/>
            <rFont val="Tahoma"/>
            <family val="2"/>
          </rPr>
          <t>Cassel, Lauren (Research):</t>
        </r>
        <r>
          <rPr>
            <sz val="9"/>
            <color indexed="81"/>
            <rFont val="Tahoma"/>
            <family val="2"/>
          </rPr>
          <t xml:space="preserve">
3/2/17: adjusted non-GAAP marketing, general and administrative expense increased $6.4M, primarily due to higher marketing expense, partially offset by lower compensation expense and expense reduction efforts</t>
        </r>
      </text>
    </comment>
    <comment ref="AB50" authorId="0">
      <text>
        <r>
          <rPr>
            <b/>
            <sz val="8"/>
            <color indexed="81"/>
            <rFont val="Tahoma"/>
            <family val="2"/>
          </rPr>
          <t>Brian Lloyd:</t>
        </r>
        <r>
          <rPr>
            <sz val="8"/>
            <color indexed="81"/>
            <rFont val="Tahoma"/>
            <family val="2"/>
          </rPr>
          <t xml:space="preserve">
restated for change in ship and handling</t>
        </r>
      </text>
    </comment>
    <comment ref="AJ50" authorId="2">
      <text>
        <r>
          <rPr>
            <sz val="8"/>
            <color indexed="81"/>
            <rFont val="Tahoma"/>
            <family val="2"/>
          </rPr>
          <t>prior to restatement for B&amp;O = 77.442</t>
        </r>
        <r>
          <rPr>
            <b/>
            <sz val="8"/>
            <color indexed="81"/>
            <rFont val="Tahoma"/>
            <family val="2"/>
          </rPr>
          <t xml:space="preserve">
</t>
        </r>
      </text>
    </comment>
    <comment ref="AN50" authorId="1">
      <text>
        <r>
          <rPr>
            <sz val="8"/>
            <color indexed="81"/>
            <rFont val="Tahoma"/>
            <family val="2"/>
          </rPr>
          <t>prior to restatement for B&amp;O = 87.898
89.0, 88.2</t>
        </r>
      </text>
    </comment>
    <comment ref="AR50" authorId="1">
      <text>
        <r>
          <rPr>
            <sz val="8"/>
            <color indexed="81"/>
            <rFont val="Tahoma"/>
            <family val="2"/>
          </rPr>
          <t>prior to restatement for B&amp;O = 110.269
102.5, 105.5, 103.3 - 11/04 moved below the line: company accrued $8mm of legal expense in anticipation of costs associated w/ CA lawsuit. Impact was 190 bps.</t>
        </r>
      </text>
    </comment>
    <comment ref="AS50" authorId="20">
      <text>
        <r>
          <rPr>
            <b/>
            <sz val="10"/>
            <color indexed="81"/>
            <rFont val="Tahoma"/>
            <family val="2"/>
          </rPr>
          <t>kgreenbe:</t>
        </r>
        <r>
          <rPr>
            <sz val="10"/>
            <color indexed="81"/>
            <rFont val="Tahoma"/>
            <family val="2"/>
          </rPr>
          <t xml:space="preserve">
11/4 moved below the line: SG&amp;A rate would have been 26.8% excl. the $8mm anticipated expense for the CA lawsuit.</t>
        </r>
      </text>
    </comment>
    <comment ref="BY50" authorId="14">
      <text>
        <r>
          <rPr>
            <sz val="8"/>
            <color indexed="81"/>
            <rFont val="Tahoma"/>
            <family val="2"/>
          </rPr>
          <t>2/15/2012 guide: total operating expenses flat as a % of sales</t>
        </r>
      </text>
    </comment>
    <comment ref="CC50" authorId="7">
      <text>
        <r>
          <rPr>
            <b/>
            <sz val="8"/>
            <color indexed="81"/>
            <rFont val="Tahoma"/>
            <family val="2"/>
          </rPr>
          <t>casselau:</t>
        </r>
        <r>
          <rPr>
            <sz val="8"/>
            <color indexed="81"/>
            <rFont val="Tahoma"/>
            <family val="2"/>
          </rPr>
          <t xml:space="preserve">
2/22/13: guidance: expense deleverage on negative comp</t>
        </r>
      </text>
    </comment>
    <comment ref="CJ50" authorId="7">
      <text>
        <r>
          <rPr>
            <b/>
            <sz val="9"/>
            <color indexed="81"/>
            <rFont val="Tahoma"/>
            <family val="2"/>
          </rPr>
          <t>casselau:</t>
        </r>
        <r>
          <rPr>
            <sz val="9"/>
            <color indexed="81"/>
            <rFont val="Tahoma"/>
            <family val="2"/>
          </rPr>
          <t xml:space="preserve">
5/28/15: primarily due to expense savings associated with the company's expense reduction efforts</t>
        </r>
      </text>
    </comment>
    <comment ref="AJ51" authorId="9">
      <text>
        <r>
          <rPr>
            <sz val="8"/>
            <color indexed="81"/>
            <rFont val="Tahoma"/>
            <family val="2"/>
          </rPr>
          <t>prior to restatement for B&amp;O = 82.304</t>
        </r>
      </text>
    </comment>
    <comment ref="AN51" authorId="1">
      <text>
        <r>
          <rPr>
            <sz val="8"/>
            <color indexed="81"/>
            <rFont val="Tahoma"/>
            <family val="2"/>
          </rPr>
          <t>prior to restatement for B&amp;O = 88.716
93.3, 92.5</t>
        </r>
      </text>
    </comment>
    <comment ref="AR51" authorId="1">
      <text>
        <r>
          <rPr>
            <sz val="8"/>
            <color indexed="81"/>
            <rFont val="Tahoma"/>
            <family val="2"/>
          </rPr>
          <t xml:space="preserve">prior to restatement for B&amp;O = 112.881
</t>
        </r>
        <r>
          <rPr>
            <sz val="8"/>
            <color indexed="81"/>
            <rFont val="Tahoma"/>
            <family val="2"/>
          </rPr>
          <t xml:space="preserve">
105.1</t>
        </r>
      </text>
    </comment>
    <comment ref="AW51" authorId="2">
      <text>
        <r>
          <rPr>
            <b/>
            <sz val="8"/>
            <color indexed="81"/>
            <rFont val="Tahoma"/>
            <family val="2"/>
          </rPr>
          <t>Corinna Freedman:</t>
        </r>
        <r>
          <rPr>
            <sz val="8"/>
            <color indexed="81"/>
            <rFont val="Tahoma"/>
            <family val="2"/>
          </rPr>
          <t xml:space="preserve">
prior to restatement for B&amp;O = 33.5%</t>
        </r>
      </text>
    </comment>
    <comment ref="AX51" authorId="2">
      <text>
        <r>
          <rPr>
            <b/>
            <sz val="8"/>
            <color indexed="81"/>
            <rFont val="Tahoma"/>
            <family val="2"/>
          </rPr>
          <t>Corinna Freedman:</t>
        </r>
        <r>
          <rPr>
            <sz val="8"/>
            <color indexed="81"/>
            <rFont val="Tahoma"/>
            <family val="2"/>
          </rPr>
          <t xml:space="preserve">
prior to restatement = 43.6%</t>
        </r>
      </text>
    </comment>
    <comment ref="BA51" authorId="10">
      <text>
        <r>
          <rPr>
            <b/>
            <sz val="8"/>
            <color indexed="81"/>
            <rFont val="Tahoma"/>
            <family val="2"/>
          </rPr>
          <t>oc48540:</t>
        </r>
        <r>
          <rPr>
            <sz val="8"/>
            <color indexed="81"/>
            <rFont val="Tahoma"/>
            <family val="2"/>
          </rPr>
          <t xml:space="preserve">
+150bps: Increase vs. LY due to 80bps of options expense ($5.1m pretax), IT expense, store improvements, productivity losses at DC</t>
        </r>
      </text>
    </comment>
    <comment ref="BY51" authorId="6">
      <text>
        <r>
          <rPr>
            <b/>
            <sz val="8"/>
            <color indexed="81"/>
            <rFont val="Tahoma"/>
            <family val="2"/>
          </rPr>
          <t>solejay:</t>
        </r>
        <r>
          <rPr>
            <sz val="8"/>
            <color indexed="81"/>
            <rFont val="Tahoma"/>
            <family val="2"/>
          </rPr>
          <t xml:space="preserve">
5/16/12: expect modest expense deleverage</t>
        </r>
      </text>
    </comment>
    <comment ref="CN51" authorId="8">
      <text>
        <r>
          <rPr>
            <b/>
            <sz val="9"/>
            <color indexed="81"/>
            <rFont val="Tahoma"/>
            <family val="2"/>
          </rPr>
          <t>Cassel, Lauren (Research):</t>
        </r>
        <r>
          <rPr>
            <sz val="9"/>
            <color indexed="81"/>
            <rFont val="Tahoma"/>
            <family val="2"/>
          </rPr>
          <t xml:space="preserve">
8/30/16: Excluded Items consist of charges of $6.4 million related to a store whose asset carrying value exceeded fair value.</t>
        </r>
      </text>
    </comment>
    <comment ref="CO51" authorId="7">
      <text>
        <r>
          <rPr>
            <b/>
            <sz val="9"/>
            <color indexed="81"/>
            <rFont val="Tahoma"/>
            <family val="2"/>
          </rPr>
          <t>casselau:</t>
        </r>
        <r>
          <rPr>
            <sz val="9"/>
            <color indexed="81"/>
            <rFont val="Tahoma"/>
            <family val="2"/>
          </rPr>
          <t xml:space="preserve">
3/2/16: some deleverage in the second quarter related to timing of marketing and other strategic investments</t>
        </r>
      </text>
    </comment>
    <comment ref="CP51" authorId="8">
      <text>
        <r>
          <rPr>
            <b/>
            <sz val="9"/>
            <color indexed="81"/>
            <rFont val="Tahoma"/>
            <family val="2"/>
          </rPr>
          <t>Cassel, Lauren (Research):</t>
        </r>
        <r>
          <rPr>
            <sz val="9"/>
            <color indexed="81"/>
            <rFont val="Tahoma"/>
            <family val="2"/>
          </rPr>
          <t xml:space="preserve">
</t>
        </r>
        <r>
          <rPr>
            <b/>
            <sz val="9"/>
            <color indexed="81"/>
            <rFont val="Tahoma"/>
            <family val="2"/>
          </rPr>
          <t>5/26/16: expect operating expense dollars +2-3% y/y in 2Q</t>
        </r>
      </text>
    </comment>
    <comment ref="AJ52" authorId="9">
      <text>
        <r>
          <rPr>
            <sz val="8"/>
            <color indexed="81"/>
            <rFont val="Tahoma"/>
            <family val="2"/>
          </rPr>
          <t xml:space="preserve">prior to restatement for B&amp;O = 90.304
</t>
        </r>
        <r>
          <rPr>
            <sz val="8"/>
            <color indexed="81"/>
            <rFont val="Tahoma"/>
            <family val="2"/>
          </rPr>
          <t>5/02 est at 90m
9/4/02: est at 91.5 mm. 10/10: 90.6
11/7: 86.9</t>
        </r>
      </text>
    </comment>
    <comment ref="AN52" authorId="1">
      <text>
        <r>
          <rPr>
            <sz val="8"/>
            <color indexed="81"/>
            <rFont val="Tahoma"/>
            <family val="2"/>
          </rPr>
          <t xml:space="preserve">prior to restatement for B&amp;O = 102.415
</t>
        </r>
        <r>
          <rPr>
            <sz val="8"/>
            <color indexed="81"/>
            <rFont val="Tahoma"/>
            <family val="2"/>
          </rPr>
          <t xml:space="preserve">
104.7, 102.5</t>
        </r>
      </text>
    </comment>
    <comment ref="AR52" authorId="1">
      <text>
        <r>
          <rPr>
            <sz val="8"/>
            <color indexed="81"/>
            <rFont val="Tahoma"/>
            <family val="2"/>
          </rPr>
          <t>prior to restatement for B&amp;O = 131.659
11/04 excludes charge
121.5</t>
        </r>
      </text>
    </comment>
    <comment ref="AW52" authorId="2">
      <text>
        <r>
          <rPr>
            <b/>
            <sz val="8"/>
            <color indexed="81"/>
            <rFont val="Tahoma"/>
            <family val="2"/>
          </rPr>
          <t>Corinna Freedman:</t>
        </r>
        <r>
          <rPr>
            <sz val="8"/>
            <color indexed="81"/>
            <rFont val="Tahoma"/>
            <family val="2"/>
          </rPr>
          <t xml:space="preserve">
prior to restatement for B&amp;O = 27.6%</t>
        </r>
      </text>
    </comment>
    <comment ref="AX52" authorId="2">
      <text>
        <r>
          <rPr>
            <b/>
            <sz val="8"/>
            <color indexed="81"/>
            <rFont val="Tahoma"/>
            <family val="2"/>
          </rPr>
          <t>Corinna Freedman:</t>
        </r>
        <r>
          <rPr>
            <sz val="8"/>
            <color indexed="81"/>
            <rFont val="Tahoma"/>
            <family val="2"/>
          </rPr>
          <t xml:space="preserve">
prior to restatement for B&amp;O = 27.3%</t>
        </r>
      </text>
    </comment>
    <comment ref="BA52" authorId="10">
      <text>
        <r>
          <rPr>
            <sz val="8"/>
            <color indexed="81"/>
            <rFont val="Tahoma"/>
            <family val="2"/>
          </rPr>
          <t>-80bps: 20bps leverage on stores and DC expense driven by lower store payroll, partly offset by higher store maintenance exp. 50bps MG&amp;A levg driven by one time items LY including Katrina and systems write off (exclude 13.5M of sv exp from LY)</t>
        </r>
      </text>
    </comment>
    <comment ref="CH52" authorId="7">
      <text>
        <r>
          <rPr>
            <b/>
            <sz val="9"/>
            <color indexed="81"/>
            <rFont val="Tahoma"/>
            <family val="2"/>
          </rPr>
          <t>casselau:</t>
        </r>
        <r>
          <rPr>
            <sz val="9"/>
            <color indexed="81"/>
            <rFont val="Tahoma"/>
            <family val="2"/>
          </rPr>
          <t xml:space="preserve">
</t>
        </r>
        <r>
          <rPr>
            <b/>
            <sz val="9"/>
            <color indexed="81"/>
            <rFont val="Tahoma"/>
            <family val="2"/>
          </rPr>
          <t xml:space="preserve">8/28/14: </t>
        </r>
        <r>
          <rPr>
            <sz val="9"/>
            <color indexed="81"/>
            <rFont val="Tahoma"/>
            <family val="2"/>
          </rPr>
          <t>expect a lower y/y decline in operating expense in 2H as we begin to anniversary savings realized last year</t>
        </r>
      </text>
    </comment>
    <comment ref="CJ52" authorId="7">
      <text>
        <r>
          <rPr>
            <b/>
            <sz val="9"/>
            <color indexed="81"/>
            <rFont val="Tahoma"/>
            <family val="2"/>
          </rPr>
          <t>casselau:</t>
        </r>
        <r>
          <rPr>
            <sz val="9"/>
            <color indexed="81"/>
            <rFont val="Tahoma"/>
            <family val="2"/>
          </rPr>
          <t xml:space="preserve">
8/26/15: Expect ~flat y/y in 2H after absorbing the restoration of incentive comp provisions, the effects of which will skew towards 3Q, excluding the effects of comp</t>
        </r>
      </text>
    </comment>
    <comment ref="CP52" authorId="8">
      <text>
        <r>
          <rPr>
            <b/>
            <sz val="9"/>
            <color indexed="81"/>
            <rFont val="Tahoma"/>
            <family val="2"/>
          </rPr>
          <t>Cassel, Lauren (Research):</t>
        </r>
        <r>
          <rPr>
            <sz val="9"/>
            <color indexed="81"/>
            <rFont val="Tahoma"/>
            <family val="2"/>
          </rPr>
          <t xml:space="preserve">
8/30/16: expect marketing dollars skewed to 3Q</t>
        </r>
      </text>
    </comment>
    <comment ref="AJ53" authorId="9">
      <text>
        <r>
          <rPr>
            <sz val="8"/>
            <color indexed="81"/>
            <rFont val="Tahoma"/>
            <family val="2"/>
          </rPr>
          <t>prior to restatement for B&amp;O = 93.382
5/02 est at 100m
11/7: 97.1. 1/9/03: 96.6</t>
        </r>
      </text>
    </comment>
    <comment ref="AK53" authorId="9">
      <text>
        <r>
          <rPr>
            <b/>
            <sz val="8"/>
            <color indexed="81"/>
            <rFont val="Tahoma"/>
            <family val="2"/>
          </rPr>
          <t>Lehman Brothers:</t>
        </r>
        <r>
          <rPr>
            <sz val="8"/>
            <color indexed="81"/>
            <rFont val="Tahoma"/>
            <family val="2"/>
          </rPr>
          <t xml:space="preserve">
increase due to increase in store expenses (neg comp) and higher legal and incentive comp exp</t>
        </r>
      </text>
    </comment>
    <comment ref="AN53" authorId="1">
      <text>
        <r>
          <rPr>
            <sz val="8"/>
            <color indexed="81"/>
            <rFont val="Tahoma"/>
            <family val="2"/>
          </rPr>
          <t xml:space="preserve">prior to restatement for B&amp;O = 106.734
</t>
        </r>
        <r>
          <rPr>
            <sz val="8"/>
            <color indexed="81"/>
            <rFont val="Tahoma"/>
            <family val="2"/>
          </rPr>
          <t xml:space="preserve">
107.9, 104.2, 103.2</t>
        </r>
      </text>
    </comment>
    <comment ref="AO53" authorId="1">
      <text>
        <r>
          <rPr>
            <b/>
            <sz val="8"/>
            <color indexed="81"/>
            <rFont val="Tahoma"/>
            <family val="2"/>
          </rPr>
          <t>dliu:</t>
        </r>
        <r>
          <rPr>
            <sz val="8"/>
            <color indexed="81"/>
            <rFont val="Tahoma"/>
            <family val="2"/>
          </rPr>
          <t xml:space="preserve">
reduced to 18.4% to keep EPS at $0.96, because we lowered comp from (7) to (9). Remember that!!!</t>
        </r>
      </text>
    </comment>
    <comment ref="AR53" authorId="2">
      <text>
        <r>
          <rPr>
            <sz val="8"/>
            <color indexed="81"/>
            <rFont val="Tahoma"/>
            <family val="2"/>
          </rPr>
          <t>prior to restatement for B&amp;O = 166.449</t>
        </r>
        <r>
          <rPr>
            <b/>
            <sz val="8"/>
            <color indexed="81"/>
            <rFont val="Tahoma"/>
            <family val="2"/>
          </rPr>
          <t xml:space="preserve">
Corinna Freedman:</t>
        </r>
        <r>
          <rPr>
            <sz val="8"/>
            <color indexed="81"/>
            <rFont val="Tahoma"/>
            <family val="2"/>
          </rPr>
          <t xml:space="preserve">
160.8</t>
        </r>
      </text>
    </comment>
    <comment ref="AS53" authorId="2">
      <text>
        <r>
          <rPr>
            <b/>
            <sz val="8"/>
            <color indexed="81"/>
            <rFont val="Tahoma"/>
            <family val="2"/>
          </rPr>
          <t>Corinna Freedman:</t>
        </r>
        <r>
          <rPr>
            <sz val="8"/>
            <color indexed="81"/>
            <rFont val="Tahoma"/>
            <family val="2"/>
          </rPr>
          <t xml:space="preserve">
23.4</t>
        </r>
      </text>
    </comment>
    <comment ref="AW53" authorId="2">
      <text>
        <r>
          <rPr>
            <b/>
            <sz val="8"/>
            <color indexed="81"/>
            <rFont val="Tahoma"/>
            <family val="2"/>
          </rPr>
          <t>Corinna Freedman:</t>
        </r>
        <r>
          <rPr>
            <sz val="8"/>
            <color indexed="81"/>
            <rFont val="Tahoma"/>
            <family val="2"/>
          </rPr>
          <t xml:space="preserve">
prior to restatement for B&amp;O = 24%</t>
        </r>
      </text>
    </comment>
    <comment ref="AX53" authorId="2">
      <text>
        <r>
          <rPr>
            <b/>
            <sz val="8"/>
            <color indexed="81"/>
            <rFont val="Tahoma"/>
            <family val="2"/>
          </rPr>
          <t>Corinna Freedman:</t>
        </r>
        <r>
          <rPr>
            <sz val="8"/>
            <color indexed="81"/>
            <rFont val="Tahoma"/>
            <family val="2"/>
          </rPr>
          <t xml:space="preserve">
prior to restatement for B&amp;O = 11.7%</t>
        </r>
      </text>
    </comment>
    <comment ref="BA53" authorId="10">
      <text>
        <r>
          <rPr>
            <sz val="8"/>
            <color indexed="81"/>
            <rFont val="Tahoma"/>
            <family val="2"/>
          </rPr>
          <t>+70bps: Store/dist +20bps due to increased DC and direct to consumer exp partial offset by decreased store exp as a % sales, MG&amp;A inc 50 bps due to home office + consulting</t>
        </r>
      </text>
    </comment>
    <comment ref="BY53" authorId="14">
      <text>
        <r>
          <rPr>
            <sz val="8"/>
            <color indexed="81"/>
            <rFont val="Tahoma"/>
            <family val="2"/>
          </rPr>
          <t>11/14/12: expense deleverage slightly greater than the YTD deleverage
5/16/12: "Our lower sales projection is offset by higher protected gross margin rate and lower expenses."
"We still expect some deleverage on an FY basis"
2/15/2012 guide: expect 100 to 150 bps total expense leverage, primarily driven by occupancy.</t>
        </r>
      </text>
    </comment>
    <comment ref="CB53" authorId="7">
      <text>
        <r>
          <rPr>
            <b/>
            <sz val="9"/>
            <color indexed="81"/>
            <rFont val="Tahoma"/>
            <family val="2"/>
          </rPr>
          <t>casselau:</t>
        </r>
        <r>
          <rPr>
            <sz val="9"/>
            <color indexed="81"/>
            <rFont val="Tahoma"/>
            <family val="2"/>
          </rPr>
          <t xml:space="preserve">
2/26/14: better than expected SG&amp;A reflects accelerated savings from the profit initiative ($25M), partially offset by addiiontla marketing expense ($5M)</t>
        </r>
      </text>
    </comment>
    <comment ref="CH53" authorId="7">
      <text>
        <r>
          <rPr>
            <b/>
            <sz val="9"/>
            <color indexed="81"/>
            <rFont val="Tahoma"/>
            <family val="2"/>
          </rPr>
          <t>casselau:</t>
        </r>
        <r>
          <rPr>
            <sz val="9"/>
            <color indexed="81"/>
            <rFont val="Tahoma"/>
            <family val="2"/>
          </rPr>
          <t xml:space="preserve">
</t>
        </r>
        <r>
          <rPr>
            <b/>
            <sz val="9"/>
            <color indexed="81"/>
            <rFont val="Tahoma"/>
            <family val="2"/>
          </rPr>
          <t xml:space="preserve">8/28/14: </t>
        </r>
        <r>
          <rPr>
            <sz val="9"/>
            <color indexed="81"/>
            <rFont val="Tahoma"/>
            <family val="2"/>
          </rPr>
          <t>expect a lower y/y decline in operating expense in 2H as we begin to anniversary savings realized last year</t>
        </r>
      </text>
    </comment>
    <comment ref="CJ53" authorId="7">
      <text>
        <r>
          <rPr>
            <b/>
            <sz val="9"/>
            <color indexed="81"/>
            <rFont val="Tahoma"/>
            <family val="2"/>
          </rPr>
          <t>casselau:</t>
        </r>
        <r>
          <rPr>
            <sz val="9"/>
            <color indexed="81"/>
            <rFont val="Tahoma"/>
            <family val="2"/>
          </rPr>
          <t xml:space="preserve">
11/20/15: guidance flat y/y after absorbing a provision for the restoration of incentive compensation</t>
        </r>
      </text>
    </comment>
    <comment ref="CP53" authorId="8">
      <text>
        <r>
          <rPr>
            <b/>
            <sz val="9"/>
            <color indexed="81"/>
            <rFont val="Tahoma"/>
            <family val="2"/>
          </rPr>
          <t>Cassel, Lauren (Research):</t>
        </r>
        <r>
          <rPr>
            <sz val="9"/>
            <color indexed="81"/>
            <rFont val="Tahoma"/>
            <family val="2"/>
          </rPr>
          <t xml:space="preserve">
11/18/16: Guidance: OPERATING EXPENSE, INCLUDING A LEASE TERMINATION CHARGE OF APPROXIMATELY $16 MILLION,
</t>
        </r>
        <r>
          <rPr>
            <b/>
            <sz val="9"/>
            <color indexed="81"/>
            <rFont val="Tahoma"/>
            <family val="2"/>
          </rPr>
          <t>TO BE UP ABOUT 1%</t>
        </r>
        <r>
          <rPr>
            <sz val="9"/>
            <color indexed="81"/>
            <rFont val="Tahoma"/>
            <family val="2"/>
          </rPr>
          <t xml:space="preserve"> FROM LAST YEAR'S ADJUSTED NON-GAAP OPERATING EXPENSE OF $554 MILLION, WITH THE LEASE TERMINATION CHARGE PARTIALLY OFFSET BY SAVINGS FROM LOWER SALES AND EXPENSE REDUCTION EFFORTS</t>
        </r>
      </text>
    </comment>
    <comment ref="CT53" authorId="12">
      <text>
        <r>
          <rPr>
            <b/>
            <sz val="9"/>
            <color indexed="81"/>
            <rFont val="Tahoma"/>
            <family val="2"/>
          </rPr>
          <t>Roberts, Cynthia (Research):</t>
        </r>
        <r>
          <rPr>
            <sz val="9"/>
            <color indexed="81"/>
            <rFont val="Tahoma"/>
            <family val="2"/>
          </rPr>
          <t xml:space="preserve">
1/22/18: Holiday update, operating expense up slightly from 553.7M vs. prior -1%</t>
        </r>
      </text>
    </comment>
    <comment ref="CJ54" authorId="7">
      <text>
        <r>
          <rPr>
            <b/>
            <sz val="9"/>
            <color indexed="81"/>
            <rFont val="Tahoma"/>
            <family val="2"/>
          </rPr>
          <t>casselau:</t>
        </r>
        <r>
          <rPr>
            <sz val="9"/>
            <color indexed="81"/>
            <rFont val="Tahoma"/>
            <family val="2"/>
          </rPr>
          <t xml:space="preserve">
5/28/15: guidance: -$40M y/y excluding the effects from changes in comparable sales</t>
        </r>
      </text>
    </comment>
    <comment ref="CN54" authorId="7">
      <text>
        <r>
          <rPr>
            <b/>
            <sz val="9"/>
            <color indexed="81"/>
            <rFont val="Tahoma"/>
            <family val="2"/>
          </rPr>
          <t xml:space="preserve">casselau:
8/30/16: guidance: expect operating expense dollars to be down slightly to last year, with investments in marketing (skewed to 3Q) offset by savings from expense reduction efforts
5/26/16: </t>
        </r>
        <r>
          <rPr>
            <sz val="9"/>
            <color indexed="81"/>
            <rFont val="Tahoma"/>
            <family val="2"/>
          </rPr>
          <t xml:space="preserve">expect operating expense dollars ~flat to Ly with investments in markeitng, store management, and omnichannel offset by savings from expense reduction efforts
</t>
        </r>
        <r>
          <rPr>
            <b/>
            <sz val="9"/>
            <color indexed="81"/>
            <rFont val="Tahoma"/>
            <family val="2"/>
          </rPr>
          <t>3/2/16:</t>
        </r>
        <r>
          <rPr>
            <sz val="9"/>
            <color indexed="81"/>
            <rFont val="Tahoma"/>
            <family val="2"/>
          </rPr>
          <t xml:space="preserve"> Guidance: Slight leverage in operating expense relative to last year's adjusted non-GAAP rate of 58.3% 
</t>
        </r>
        <r>
          <rPr>
            <b/>
            <sz val="9"/>
            <color indexed="81"/>
            <rFont val="Tahoma"/>
            <family val="2"/>
          </rPr>
          <t xml:space="preserve">3/2/16: </t>
        </r>
        <r>
          <rPr>
            <sz val="9"/>
            <color indexed="81"/>
            <rFont val="Tahoma"/>
            <family val="2"/>
          </rPr>
          <t>2016 puts and takes: FX benefit, also include an expectation for continuous profit improvement and expense efficiencies. But also we are looking at investing back into the business in key areas to drive our growth like DTC and marketing to support the brand positioning
11/20/15: assume 1% annual SG&amp;A inflation, $6.5 incremental labor expense and $5M in additional marketing, offset by $25M in additional cost cuts
= $2054.6M
2016: $6.5M increase
2017: $9.0M increase</t>
        </r>
      </text>
    </comment>
    <comment ref="CR54" authorId="8">
      <text>
        <r>
          <rPr>
            <b/>
            <sz val="9"/>
            <color indexed="81"/>
            <rFont val="Tahoma"/>
            <family val="2"/>
          </rPr>
          <t xml:space="preserve">Cassel, Lauren (Research):
8/24/17: guidance: Operating expense to be down at least 3% compared to last year's adjusted non-GAAP operating expense of $2.025 billion 
5/15/17: guidance: expect operating expense to be down at least 3% from LY's $2.025B with approximately 65% of the full year reduction to occur in 2H = $61M savings total = $40M in 2H
</t>
        </r>
        <r>
          <rPr>
            <sz val="9"/>
            <color indexed="81"/>
            <rFont val="Tahoma"/>
            <family val="2"/>
          </rPr>
          <t xml:space="preserve">
3/2/17: guidance: actions already taken to reduce expense by approximately $100 million, enabling investments in revenue driving activities and resulting in </t>
        </r>
        <r>
          <rPr>
            <b/>
            <sz val="9"/>
            <color indexed="81"/>
            <rFont val="Tahoma"/>
            <family val="2"/>
          </rPr>
          <t xml:space="preserve">net operating expense down approximately 3% from fiscal 2016 adjusted non-GAAP operating expense of $2.025 billion, </t>
        </r>
        <r>
          <rPr>
            <sz val="9"/>
            <color indexed="81"/>
            <rFont val="Tahoma"/>
            <family val="2"/>
          </rPr>
          <t>with a commitment to pursue further expense reductions throughout the year =</t>
        </r>
        <r>
          <rPr>
            <b/>
            <sz val="9"/>
            <color indexed="81"/>
            <rFont val="Tahoma"/>
            <family val="2"/>
          </rPr>
          <t xml:space="preserve"> $1.964B</t>
        </r>
      </text>
    </comment>
    <comment ref="CV54" authorId="12">
      <text>
        <r>
          <rPr>
            <b/>
            <sz val="9"/>
            <color indexed="81"/>
            <rFont val="Tahoma"/>
            <family val="2"/>
          </rPr>
          <t>Roberts, Cynthia (Research):</t>
        </r>
        <r>
          <rPr>
            <sz val="9"/>
            <color indexed="81"/>
            <rFont val="Tahoma"/>
            <family val="2"/>
          </rPr>
          <t xml:space="preserve">
3/7/18: Guidance operating expenses ex other income up approx. +1%, resulting in expense leverage while supporting siginificant incremental investments in strategic initiatives (marketing, DTC)
More than half of the y/y increase is expected to be driven by adverse impacts from FX and increses in volume-related expenses from higher sales, partially offset by the benefit from the loss of the 53rd week </t>
        </r>
      </text>
    </comment>
    <comment ref="CX54" authorId="12">
      <text>
        <r>
          <rPr>
            <b/>
            <sz val="9"/>
            <color indexed="81"/>
            <rFont val="Tahoma"/>
            <family val="2"/>
          </rPr>
          <t>Roberts, Cynthia (Research):</t>
        </r>
        <r>
          <rPr>
            <sz val="9"/>
            <color indexed="81"/>
            <rFont val="Tahoma"/>
            <family val="2"/>
          </rPr>
          <t xml:space="preserve">
3/7/18: Guidance operating expenses ex other income up approx. +1%, resulting in expense leverage while supporting siginificant incremental investments in strategic initiatives (marketing, DTC)
More than half of the y/y increase is expected to be driven by adverse impacts from FX and increses in volume-related expenses from higher sales, partially offset by the benefit from the loss of the 53rd week </t>
        </r>
      </text>
    </comment>
    <comment ref="AZ60" authorId="13">
      <text>
        <r>
          <rPr>
            <b/>
            <sz val="8"/>
            <color indexed="81"/>
            <rFont val="Tahoma"/>
            <family val="2"/>
          </rPr>
          <t>kg51925:</t>
        </r>
        <r>
          <rPr>
            <sz val="8"/>
            <color indexed="81"/>
            <rFont val="Tahoma"/>
            <family val="2"/>
          </rPr>
          <t xml:space="preserve">
1Q07 conf call indicated $1mm exp 1Q07 vs. $5mm exp 1Q06
1Q06: $3,926 = $0.04 impact</t>
        </r>
      </text>
    </comment>
    <comment ref="BD60" authorId="13">
      <text>
        <r>
          <rPr>
            <b/>
            <sz val="8"/>
            <color indexed="81"/>
            <rFont val="Tahoma"/>
            <family val="2"/>
          </rPr>
          <t>kg51925:</t>
        </r>
        <r>
          <rPr>
            <sz val="8"/>
            <color indexed="81"/>
            <rFont val="Tahoma"/>
            <family val="2"/>
          </rPr>
          <t xml:space="preserve">
1Q07 conf call indicated $1mm exp 1Q07 vs. $5mm exp 1Q06</t>
        </r>
      </text>
    </comment>
    <comment ref="BH60" authorId="4">
      <text>
        <r>
          <rPr>
            <b/>
            <sz val="8"/>
            <color indexed="81"/>
            <rFont val="Tahoma"/>
            <family val="2"/>
          </rPr>
          <t>mm98285:</t>
        </r>
        <r>
          <rPr>
            <sz val="8"/>
            <color indexed="81"/>
            <rFont val="Tahoma"/>
            <family val="2"/>
          </rPr>
          <t xml:space="preserve">
10Q: share based comp
$12.667 MGA, $1.088 S&amp;D</t>
        </r>
      </text>
    </comment>
    <comment ref="AZ61" authorId="3">
      <text>
        <r>
          <rPr>
            <sz val="8"/>
            <color indexed="81"/>
            <rFont val="Tahoma"/>
            <family val="2"/>
          </rPr>
          <t xml:space="preserve">2Q06: $3,504 = $0.04 impact
</t>
        </r>
        <r>
          <rPr>
            <b/>
            <sz val="8"/>
            <color indexed="81"/>
            <rFont val="Tahoma"/>
            <family val="2"/>
          </rPr>
          <t xml:space="preserve">
MB33100:</t>
        </r>
        <r>
          <rPr>
            <sz val="8"/>
            <color indexed="81"/>
            <rFont val="Tahoma"/>
            <family val="2"/>
          </rPr>
          <t xml:space="preserve">
assume higher in 2Q relative to 3Q and 4Q due to mgmt's guidance of 8c in 1H and 15c for FY06</t>
        </r>
      </text>
    </comment>
    <comment ref="BD61" authorId="4">
      <text>
        <r>
          <rPr>
            <b/>
            <sz val="8"/>
            <color indexed="81"/>
            <rFont val="Tahoma"/>
            <family val="2"/>
          </rPr>
          <t>mm98285:</t>
        </r>
        <r>
          <rPr>
            <sz val="8"/>
            <color indexed="81"/>
            <rFont val="Tahoma"/>
            <family val="2"/>
          </rPr>
          <t xml:space="preserve">
10Q: share based comp
$7.686 MGA, $0.454 S&amp;D</t>
        </r>
      </text>
    </comment>
    <comment ref="BH61" authorId="4">
      <text>
        <r>
          <rPr>
            <b/>
            <sz val="8"/>
            <color indexed="81"/>
            <rFont val="Tahoma"/>
            <family val="2"/>
          </rPr>
          <t>mm98285:</t>
        </r>
        <r>
          <rPr>
            <sz val="8"/>
            <color indexed="81"/>
            <rFont val="Tahoma"/>
            <family val="2"/>
          </rPr>
          <t xml:space="preserve">
10Q: share based comp
$10.438 MGA, $0.774 S&amp;D</t>
        </r>
      </text>
    </comment>
    <comment ref="AZ62" authorId="10">
      <text>
        <r>
          <rPr>
            <sz val="8"/>
            <color indexed="81"/>
            <rFont val="Tahoma"/>
            <family val="2"/>
          </rPr>
          <t>3Q06: $1,334 = $0.01 diluted share impact</t>
        </r>
      </text>
    </comment>
    <comment ref="AJ74" authorId="9">
      <text>
        <r>
          <rPr>
            <b/>
            <sz val="8"/>
            <color indexed="81"/>
            <rFont val="Tahoma"/>
            <family val="2"/>
          </rPr>
          <t>Lehman Brothers:</t>
        </r>
        <r>
          <rPr>
            <sz val="8"/>
            <color indexed="81"/>
            <rFont val="Tahoma"/>
            <family val="2"/>
          </rPr>
          <t xml:space="preserve">
see cash flow for guidance</t>
        </r>
      </text>
    </comment>
    <comment ref="CC80" authorId="7">
      <text>
        <r>
          <rPr>
            <b/>
            <sz val="8"/>
            <color indexed="81"/>
            <rFont val="Tahoma"/>
            <family val="2"/>
          </rPr>
          <t>casselau:</t>
        </r>
        <r>
          <rPr>
            <sz val="8"/>
            <color indexed="81"/>
            <rFont val="Tahoma"/>
            <family val="2"/>
          </rPr>
          <t xml:space="preserve">
5/14/13: US stores margin +8.9%, intl stores margin +22.1%, DTC margin +42.3%</t>
        </r>
      </text>
    </comment>
    <comment ref="CR80" authorId="8">
      <text>
        <r>
          <rPr>
            <b/>
            <sz val="9"/>
            <color indexed="81"/>
            <rFont val="Tahoma"/>
            <family val="2"/>
          </rPr>
          <t>Cassel, Lauren (Research):</t>
        </r>
        <r>
          <rPr>
            <sz val="9"/>
            <color indexed="81"/>
            <rFont val="Tahoma"/>
            <family val="2"/>
          </rPr>
          <t xml:space="preserve">
5/25/17: includes $5.3M FX impact</t>
        </r>
      </text>
    </comment>
    <comment ref="BU81" authorId="5">
      <text>
        <r>
          <rPr>
            <b/>
            <sz val="8"/>
            <color indexed="81"/>
            <rFont val="Tahoma"/>
            <family val="2"/>
          </rPr>
          <t>nicholjs:</t>
        </r>
        <r>
          <rPr>
            <sz val="8"/>
            <color indexed="81"/>
            <rFont val="Tahoma"/>
            <family val="2"/>
          </rPr>
          <t xml:space="preserve">
1Q 10Q: we continue to expect margin pressure in the second quarter as a result of year over year erosion in the gross margin rate, and significantly less expense leverage than in the first quarter. The decrease in expense leverage includes higher pre-opening store costs, direct-toconsumer investments, increased incentive and equity compensation, additional depreciation due to the distribution center consolidation, and a timing shift in marketing expense.
6/8/2011: no change/news/update to 2Q view (at Piper conference)
5/18/2011: continues to expect margin pressure in 2Q as a result of yoy erosion in the GM rate, and significantly less expense leverage than in 1Q
3/9/2011: We do continue to expect the second quarter to be challenging on a year-over-year basis. And while we fully expect to make progress overall for the year in operating margin, we may potentially have some modest operating margin erosion in Q2.</t>
        </r>
      </text>
    </comment>
    <comment ref="AS83" authorId="2">
      <text>
        <r>
          <rPr>
            <b/>
            <sz val="8"/>
            <color indexed="81"/>
            <rFont val="Tahoma"/>
            <family val="2"/>
          </rPr>
          <t>Corinna Freedman:</t>
        </r>
        <r>
          <rPr>
            <sz val="8"/>
            <color indexed="81"/>
            <rFont val="Tahoma"/>
            <family val="2"/>
          </rPr>
          <t xml:space="preserve">
24.8</t>
        </r>
      </text>
    </comment>
    <comment ref="BY83" authorId="14">
      <text>
        <r>
          <rPr>
            <sz val="8"/>
            <color indexed="81"/>
            <rFont val="Tahoma"/>
            <family val="2"/>
          </rPr>
          <t>5/16/12: "Our lower sales projection is offset by higher protected gross margin rate and lower expenses."
"We still expect some deleverage on an FY basis"
2/15/2012 guide: expect 100 to 150 bps total expense leverage, primarily driven by occupancy.</t>
        </r>
      </text>
    </comment>
    <comment ref="CJ83" authorId="7">
      <text>
        <r>
          <rPr>
            <b/>
            <sz val="9"/>
            <color indexed="81"/>
            <rFont val="Tahoma"/>
            <family val="2"/>
          </rPr>
          <t>casselau:</t>
        </r>
        <r>
          <rPr>
            <sz val="9"/>
            <color indexed="81"/>
            <rFont val="Tahoma"/>
            <family val="2"/>
          </rPr>
          <t xml:space="preserve">
3/2/16: $20M FX impact; +8% CC y/y</t>
        </r>
      </text>
    </comment>
    <comment ref="CR83" authorId="12">
      <text>
        <r>
          <rPr>
            <b/>
            <sz val="9"/>
            <color indexed="81"/>
            <rFont val="Tahoma"/>
            <family val="2"/>
          </rPr>
          <t>Roberts, Cynthia (Research):</t>
        </r>
        <r>
          <rPr>
            <sz val="9"/>
            <color indexed="81"/>
            <rFont val="Tahoma"/>
            <family val="2"/>
          </rPr>
          <t xml:space="preserve">
3/7/18:$3M benefit from 53rd week, $14M benefit from FX 
11/17/17: $2M benefit from 53rd week, $5M  benefit from FX</t>
        </r>
      </text>
    </comment>
    <comment ref="CF84" authorId="7">
      <text>
        <r>
          <rPr>
            <b/>
            <sz val="9"/>
            <color indexed="81"/>
            <rFont val="Tahoma"/>
            <family val="2"/>
          </rPr>
          <t>casselau:</t>
        </r>
        <r>
          <rPr>
            <sz val="9"/>
            <color indexed="81"/>
            <rFont val="Tahoma"/>
            <family val="2"/>
          </rPr>
          <t xml:space="preserve">
3/3/15: Recasting adjusted fiscal 2014 results using current exchange rates would have reduced sales by approximately $135M and operating income, net of hedging, by approximately $60M.</t>
        </r>
      </text>
    </comment>
    <comment ref="CJ84" authorId="7">
      <text>
        <r>
          <rPr>
            <b/>
            <sz val="9"/>
            <color indexed="81"/>
            <rFont val="Tahoma"/>
            <family val="2"/>
          </rPr>
          <t xml:space="preserve">casselau:
3/2/16: $63M FX impact in 2016 : +6% y/y CC
</t>
        </r>
        <r>
          <rPr>
            <sz val="9"/>
            <color indexed="81"/>
            <rFont val="Tahoma"/>
            <family val="2"/>
          </rPr>
          <t xml:space="preserve">
5/28/15: per Joanne: FX $60M impact</t>
        </r>
      </text>
    </comment>
    <comment ref="CN84" authorId="7">
      <text>
        <r>
          <rPr>
            <b/>
            <sz val="9"/>
            <color indexed="81"/>
            <rFont val="Tahoma"/>
            <family val="2"/>
          </rPr>
          <t xml:space="preserve">casselau:
8/30/16: </t>
        </r>
        <r>
          <rPr>
            <sz val="9"/>
            <color indexed="81"/>
            <rFont val="Tahoma"/>
            <family val="2"/>
          </rPr>
          <t xml:space="preserve">expect adverse effects from FX on sales of approximately $25M and on operating income of approximately </t>
        </r>
        <r>
          <rPr>
            <b/>
            <sz val="9"/>
            <color indexed="81"/>
            <rFont val="Tahoma"/>
            <family val="2"/>
          </rPr>
          <t xml:space="preserve">$20 million, with the greatest impact in the third quarter
5/26/16: </t>
        </r>
        <r>
          <rPr>
            <sz val="9"/>
            <color indexed="81"/>
            <rFont val="Tahoma"/>
            <family val="2"/>
          </rPr>
          <t xml:space="preserve">Expect adverse effects from FX of $15M on EBIT including impact from hedging
</t>
        </r>
        <r>
          <rPr>
            <b/>
            <sz val="9"/>
            <color indexed="81"/>
            <rFont val="Tahoma"/>
            <family val="2"/>
          </rPr>
          <t xml:space="preserve">3/2/16: Guidance: </t>
        </r>
        <r>
          <rPr>
            <sz val="9"/>
            <color indexed="81"/>
            <rFont val="Tahoma"/>
            <family val="2"/>
          </rPr>
          <t>An improvement over last year's adjusted non-GAAP operating income, despite an adverse effect from foreign currency of approximately $30 million; the effect from foreign currency, calculated on a constant currency basis, is determined by applying fiscal 2016 forecasted rates to fiscal 2015 results and is net of the year-over-year impact from hedging; We expect operating income growth over last year on adjusted non-GAAP basis more than offsetting the expected $30 million adverse impact from FX.</t>
        </r>
      </text>
    </comment>
    <comment ref="CR84" authorId="8">
      <text>
        <r>
          <rPr>
            <b/>
            <sz val="9"/>
            <color indexed="81"/>
            <rFont val="Tahoma"/>
            <family val="2"/>
          </rPr>
          <t>Cassel, Lauren (Research):
8/24/17: FX will be a slight benefit to sales and operating income ($6M to sales, $3M to EBIT)</t>
        </r>
        <r>
          <rPr>
            <sz val="9"/>
            <color indexed="81"/>
            <rFont val="Tahoma"/>
            <family val="2"/>
          </rPr>
          <t xml:space="preserve">
3/2/17: FX will negatively impact operating income by $25M</t>
        </r>
      </text>
    </comment>
    <comment ref="CV84" authorId="12">
      <text>
        <r>
          <rPr>
            <b/>
            <sz val="9"/>
            <color indexed="81"/>
            <rFont val="Tahoma"/>
            <family val="2"/>
          </rPr>
          <t>Roberts, Cynthia (Research):</t>
        </r>
        <r>
          <rPr>
            <sz val="9"/>
            <color indexed="81"/>
            <rFont val="Tahoma"/>
            <family val="2"/>
          </rPr>
          <t xml:space="preserve">
3/8/18:Guidance  FX benefit to operating income  $15M ($50M benefit to sales)</t>
        </r>
      </text>
    </comment>
    <comment ref="X90" authorId="21">
      <text>
        <r>
          <rPr>
            <b/>
            <sz val="8"/>
            <color indexed="81"/>
            <rFont val="Tahoma"/>
            <family val="2"/>
          </rPr>
          <t xml:space="preserve">hard wire
</t>
        </r>
        <r>
          <rPr>
            <sz val="8"/>
            <color indexed="81"/>
            <rFont val="Tahoma"/>
            <family val="2"/>
          </rPr>
          <t xml:space="preserve">
</t>
        </r>
      </text>
    </comment>
    <comment ref="AZ90" authorId="13">
      <text>
        <r>
          <rPr>
            <b/>
            <sz val="8"/>
            <color indexed="81"/>
            <rFont val="Tahoma"/>
            <family val="2"/>
          </rPr>
          <t>kg51925:</t>
        </r>
        <r>
          <rPr>
            <sz val="8"/>
            <color indexed="81"/>
            <rFont val="Tahoma"/>
            <family val="2"/>
          </rPr>
          <t xml:space="preserve">
Interest income $3.166mm
Other income $2.121mm </t>
        </r>
      </text>
    </comment>
    <comment ref="BD90" authorId="10">
      <text>
        <r>
          <rPr>
            <b/>
            <sz val="8"/>
            <color indexed="81"/>
            <rFont val="Tahoma"/>
            <family val="2"/>
          </rPr>
          <t>oc48540:</t>
        </r>
        <r>
          <rPr>
            <sz val="8"/>
            <color indexed="81"/>
            <rFont val="Tahoma"/>
            <family val="2"/>
          </rPr>
          <t xml:space="preserve">
Interest income: $3.711 Other operating income:  $3.854</t>
        </r>
      </text>
    </comment>
    <comment ref="BH90" authorId="4">
      <text>
        <r>
          <rPr>
            <b/>
            <sz val="8"/>
            <color indexed="81"/>
            <rFont val="Tahoma"/>
            <family val="2"/>
          </rPr>
          <t>mm98285:</t>
        </r>
        <r>
          <rPr>
            <sz val="8"/>
            <color indexed="81"/>
            <rFont val="Tahoma"/>
            <family val="2"/>
          </rPr>
          <t xml:space="preserve">
increase due to higher investment balances and higher avg interest rates</t>
        </r>
      </text>
    </comment>
    <comment ref="AZ91" authorId="13">
      <text>
        <r>
          <rPr>
            <b/>
            <sz val="8"/>
            <color indexed="81"/>
            <rFont val="Tahoma"/>
            <family val="2"/>
          </rPr>
          <t>kg51925:</t>
        </r>
        <r>
          <rPr>
            <sz val="8"/>
            <color indexed="81"/>
            <rFont val="Tahoma"/>
            <family val="2"/>
          </rPr>
          <t xml:space="preserve">
Interest income $2.765mm
Other income $3.005mm includes $2mm insurance proceeds from hurricane</t>
        </r>
      </text>
    </comment>
    <comment ref="BH91" authorId="4">
      <text>
        <r>
          <rPr>
            <b/>
            <sz val="8"/>
            <color indexed="81"/>
            <rFont val="Tahoma"/>
            <family val="2"/>
          </rPr>
          <t xml:space="preserve">Interest income of $2.6mm  offset by interest expense of $0.8mm in the 2Q08
</t>
        </r>
        <r>
          <rPr>
            <sz val="8"/>
            <color indexed="81"/>
            <rFont val="Tahoma"/>
            <family val="2"/>
          </rPr>
          <t xml:space="preserve">
decrease due to a lower average rate of return on investments, primarily due to a reallocation of the investment portfolio and the addition of net interest expense (average 2.9%) from borrowings under the New Credit Agreement</t>
        </r>
      </text>
    </comment>
    <comment ref="BL91" authorId="10">
      <text>
        <r>
          <rPr>
            <sz val="8"/>
            <color indexed="81"/>
            <rFont val="Tahoma"/>
            <family val="2"/>
          </rPr>
          <t xml:space="preserve">2Q interest income was </t>
        </r>
        <r>
          <rPr>
            <sz val="8"/>
            <color indexed="81"/>
            <rFont val="Tahoma"/>
            <family val="2"/>
          </rPr>
          <t>$3.8mm offset by interest expense of $2.0mm</t>
        </r>
      </text>
    </comment>
    <comment ref="BD92" authorId="4">
      <text>
        <r>
          <rPr>
            <b/>
            <sz val="8"/>
            <color indexed="81"/>
            <rFont val="Tahoma"/>
            <family val="2"/>
          </rPr>
          <t>mm98285:</t>
        </r>
        <r>
          <rPr>
            <sz val="8"/>
            <color indexed="81"/>
            <rFont val="Tahoma"/>
            <family val="2"/>
          </rPr>
          <t xml:space="preserve">
10Q interest income of $4.9M, offset by interest expense of $0.3M</t>
        </r>
      </text>
    </comment>
    <comment ref="BH92" authorId="4">
      <text>
        <r>
          <rPr>
            <b/>
            <sz val="8"/>
            <color indexed="81"/>
            <rFont val="Tahoma"/>
            <family val="2"/>
          </rPr>
          <t>mm98285:</t>
        </r>
        <r>
          <rPr>
            <sz val="8"/>
            <color indexed="81"/>
            <rFont val="Tahoma"/>
            <family val="2"/>
          </rPr>
          <t xml:space="preserve">
10Q: interest income of $1.8M, offset by interest expense of $1.2M The decrease in interest income was due to lower average rate of return on investments, primarily due to reallocation of investment portfolio. The increase in interest exp. was due to borrowings made under New Credit Agreement in Fiscal 2008
-The average interest rate for the third quarter of Fiscal 2008 was 3.4%.</t>
        </r>
      </text>
    </comment>
    <comment ref="BD93" authorId="4">
      <text>
        <r>
          <rPr>
            <b/>
            <sz val="8"/>
            <color indexed="81"/>
            <rFont val="Tahoma"/>
            <family val="2"/>
          </rPr>
          <t>mm98285:</t>
        </r>
        <r>
          <rPr>
            <sz val="8"/>
            <color indexed="81"/>
            <rFont val="Tahoma"/>
            <family val="2"/>
          </rPr>
          <t xml:space="preserve">
interest income of $6.6M offset by int exp of $0.2M</t>
        </r>
      </text>
    </comment>
    <comment ref="BH93" authorId="4">
      <text>
        <r>
          <rPr>
            <b/>
            <sz val="8"/>
            <color indexed="81"/>
            <rFont val="Tahoma"/>
            <family val="2"/>
          </rPr>
          <t>mm98285:</t>
        </r>
        <r>
          <rPr>
            <sz val="8"/>
            <color indexed="81"/>
            <rFont val="Tahoma"/>
            <family val="2"/>
          </rPr>
          <t xml:space="preserve">
interest income of $2.5M offset by exp of $1.1 given lower rate of return on investments and higher exp given borrowings under unsecured credit agreement</t>
        </r>
      </text>
    </comment>
    <comment ref="CF94" authorId="7">
      <text>
        <r>
          <rPr>
            <b/>
            <sz val="9"/>
            <color indexed="81"/>
            <rFont val="Tahoma"/>
            <family val="2"/>
          </rPr>
          <t>casselau:</t>
        </r>
        <r>
          <rPr>
            <sz val="9"/>
            <color indexed="81"/>
            <rFont val="Tahoma"/>
            <family val="2"/>
          </rPr>
          <t xml:space="preserve">
8/28/14: guidance assumes increase in interest expense associated with refinancing of the companys credit facilities </t>
        </r>
      </text>
    </comment>
    <comment ref="AZ100" authorId="13">
      <text>
        <r>
          <rPr>
            <b/>
            <sz val="8"/>
            <color indexed="81"/>
            <rFont val="Tahoma"/>
            <family val="2"/>
          </rPr>
          <t>kg51925:</t>
        </r>
        <r>
          <rPr>
            <sz val="8"/>
            <color indexed="81"/>
            <rFont val="Tahoma"/>
            <family val="2"/>
          </rPr>
          <t xml:space="preserve">
Interest income $3.166mm
Other income $2.121mm </t>
        </r>
      </text>
    </comment>
    <comment ref="BD100" authorId="10">
      <text>
        <r>
          <rPr>
            <b/>
            <sz val="8"/>
            <color indexed="81"/>
            <rFont val="Tahoma"/>
            <family val="2"/>
          </rPr>
          <t>oc48540:</t>
        </r>
        <r>
          <rPr>
            <sz val="8"/>
            <color indexed="81"/>
            <rFont val="Tahoma"/>
            <family val="2"/>
          </rPr>
          <t xml:space="preserve">
Interest income: $3.711 Other operating income:  $3.854</t>
        </r>
      </text>
    </comment>
    <comment ref="BH100" authorId="4">
      <text>
        <r>
          <rPr>
            <b/>
            <sz val="8"/>
            <color indexed="81"/>
            <rFont val="Tahoma"/>
            <family val="2"/>
          </rPr>
          <t>mm98285:</t>
        </r>
        <r>
          <rPr>
            <sz val="8"/>
            <color indexed="81"/>
            <rFont val="Tahoma"/>
            <family val="2"/>
          </rPr>
          <t xml:space="preserve">
decrease due to losses on fx tranactions compared to gains LY
2/08: other income "not as favorable as LY"</t>
        </r>
      </text>
    </comment>
    <comment ref="BT100" authorId="5">
      <text>
        <r>
          <rPr>
            <b/>
            <sz val="8"/>
            <color indexed="81"/>
            <rFont val="Tahoma"/>
            <family val="2"/>
          </rPr>
          <t>solejay: added .796 in net income from disc ops.
nicholjs:</t>
        </r>
        <r>
          <rPr>
            <sz val="8"/>
            <color indexed="81"/>
            <rFont val="Tahoma"/>
            <family val="2"/>
          </rPr>
          <t xml:space="preserve">
increase related to foreign currency gains, primarily on intercompany transactions, compared to foreign currency losses LY</t>
        </r>
      </text>
    </comment>
    <comment ref="CF100" authorId="7">
      <text>
        <r>
          <rPr>
            <b/>
            <sz val="9"/>
            <color indexed="81"/>
            <rFont val="Tahoma"/>
            <family val="2"/>
          </rPr>
          <t>casselau:</t>
        </r>
        <r>
          <rPr>
            <sz val="9"/>
            <color indexed="81"/>
            <rFont val="Tahoma"/>
            <family val="2"/>
          </rPr>
          <t xml:space="preserve">
5/29/14: includes insurance recoveries of $3.1M</t>
        </r>
      </text>
    </comment>
    <comment ref="CR100" authorId="8">
      <text>
        <r>
          <rPr>
            <b/>
            <sz val="9"/>
            <color indexed="81"/>
            <rFont val="Tahoma"/>
            <family val="2"/>
          </rPr>
          <t>Cassel, Lauren (Research):</t>
        </r>
        <r>
          <rPr>
            <sz val="9"/>
            <color indexed="81"/>
            <rFont val="Tahoma"/>
            <family val="2"/>
          </rPr>
          <t xml:space="preserve">
includes $730k asset impairment charge</t>
        </r>
      </text>
    </comment>
    <comment ref="AZ101" authorId="13">
      <text>
        <r>
          <rPr>
            <b/>
            <sz val="8"/>
            <color indexed="81"/>
            <rFont val="Tahoma"/>
            <family val="2"/>
          </rPr>
          <t>kg51925:</t>
        </r>
        <r>
          <rPr>
            <sz val="8"/>
            <color indexed="81"/>
            <rFont val="Tahoma"/>
            <family val="2"/>
          </rPr>
          <t xml:space="preserve">
Interest income $2.765mm
Other income $3.005mm includes $2mm insurance proceeds from hurricane</t>
        </r>
      </text>
    </comment>
    <comment ref="BH101" authorId="4">
      <text>
        <r>
          <rPr>
            <b/>
            <sz val="8"/>
            <color indexed="81"/>
            <rFont val="Tahoma"/>
            <family val="2"/>
          </rPr>
          <t>mm98285:</t>
        </r>
        <r>
          <rPr>
            <sz val="8"/>
            <color indexed="81"/>
            <rFont val="Tahoma"/>
            <family val="2"/>
          </rPr>
          <t xml:space="preserve">
2/08: other income "not as favorable as LY"</t>
        </r>
      </text>
    </comment>
    <comment ref="CB101" authorId="7">
      <text>
        <r>
          <rPr>
            <b/>
            <sz val="9"/>
            <color indexed="81"/>
            <rFont val="Tahoma"/>
            <family val="2"/>
          </rPr>
          <t>casselau:</t>
        </r>
        <r>
          <rPr>
            <sz val="9"/>
            <color indexed="81"/>
            <rFont val="Tahoma"/>
            <family val="2"/>
          </rPr>
          <t xml:space="preserve">
includes insurance recoveries</t>
        </r>
      </text>
    </comment>
    <comment ref="CF101" authorId="7">
      <text>
        <r>
          <rPr>
            <b/>
            <sz val="9"/>
            <color indexed="81"/>
            <rFont val="Tahoma"/>
            <family val="2"/>
          </rPr>
          <t>casselau:</t>
        </r>
        <r>
          <rPr>
            <sz val="9"/>
            <color indexed="81"/>
            <rFont val="Tahoma"/>
            <family val="2"/>
          </rPr>
          <t xml:space="preserve">
includes insurance recoveries of $3M</t>
        </r>
      </text>
    </comment>
    <comment ref="CN101" authorId="8">
      <text>
        <r>
          <rPr>
            <b/>
            <sz val="9"/>
            <color indexed="81"/>
            <rFont val="Tahoma"/>
            <family val="2"/>
          </rPr>
          <t>Cassel, Lauren (Research):</t>
        </r>
        <r>
          <rPr>
            <sz val="9"/>
            <color indexed="81"/>
            <rFont val="Tahoma"/>
            <family val="2"/>
          </rPr>
          <t xml:space="preserve">
8/30/16: Excluded Items consist of benefits of $12.3 million related to the settlement of certain economic loss claims.</t>
        </r>
      </text>
    </comment>
    <comment ref="CR101" authorId="8">
      <text>
        <r>
          <rPr>
            <b/>
            <sz val="9"/>
            <color indexed="81"/>
            <rFont val="Tahoma"/>
            <family val="2"/>
          </rPr>
          <t>Cassel, Lauren (Research):</t>
        </r>
        <r>
          <rPr>
            <sz val="9"/>
            <color indexed="81"/>
            <rFont val="Tahoma"/>
            <family val="2"/>
          </rPr>
          <t xml:space="preserve">
8/24/17: net other operating income increased $2.0 million, primarily due to foreign currency related gains.</t>
        </r>
      </text>
    </comment>
    <comment ref="BH102" authorId="4">
      <text>
        <r>
          <rPr>
            <b/>
            <sz val="8"/>
            <color indexed="81"/>
            <rFont val="Tahoma"/>
            <family val="2"/>
          </rPr>
          <t>mm98285:</t>
        </r>
        <r>
          <rPr>
            <sz val="8"/>
            <color indexed="81"/>
            <rFont val="Tahoma"/>
            <family val="2"/>
          </rPr>
          <t xml:space="preserve">
10Q: included losses related to foreign currency transactions compared to gains related to foreign currency transactions LY</t>
        </r>
      </text>
    </comment>
    <comment ref="CB102" authorId="7">
      <text>
        <r>
          <rPr>
            <b/>
            <sz val="8"/>
            <color indexed="81"/>
            <rFont val="Tahoma"/>
            <family val="2"/>
          </rPr>
          <t>casselau:</t>
        </r>
        <r>
          <rPr>
            <sz val="8"/>
            <color indexed="81"/>
            <rFont val="Tahoma"/>
            <family val="2"/>
          </rPr>
          <t xml:space="preserve">
11/20/13: the increase was primarily driven by insurance recoveries of ~$6M</t>
        </r>
      </text>
    </comment>
    <comment ref="CJ102" authorId="7">
      <text>
        <r>
          <rPr>
            <b/>
            <sz val="9"/>
            <color indexed="81"/>
            <rFont val="Tahoma"/>
            <family val="2"/>
          </rPr>
          <t>casselau:</t>
        </r>
        <r>
          <rPr>
            <sz val="9"/>
            <color indexed="81"/>
            <rFont val="Tahoma"/>
            <family val="2"/>
          </rPr>
          <t xml:space="preserve">
11/20/15: included $2.1 million of insurance reimbursements, compared to $1.5 million last year.</t>
        </r>
      </text>
    </comment>
    <comment ref="BH103" authorId="4">
      <text>
        <r>
          <rPr>
            <b/>
            <sz val="8"/>
            <color indexed="81"/>
            <rFont val="Tahoma"/>
            <family val="2"/>
          </rPr>
          <t>mm98285:</t>
        </r>
        <r>
          <rPr>
            <sz val="8"/>
            <color indexed="81"/>
            <rFont val="Tahoma"/>
            <family val="2"/>
          </rPr>
          <t xml:space="preserve">
includes gift cards with remote likelihood of redemption as well as losses on foreign currency transactions for FY07. Also included an other-than-temporary loss of $14M related to the trading ARS offset by a gain on related put option of $12.3M</t>
        </r>
      </text>
    </comment>
    <comment ref="BT103" authorId="6">
      <text>
        <r>
          <rPr>
            <sz val="8"/>
            <color indexed="81"/>
            <rFont val="Tahoma"/>
            <family val="2"/>
          </rPr>
          <t>2/15/2012: The 13.441 charge associated with the auction rate securities (ARS) was related to a change in intent regarding the Company's auction rate securities portfolio, which resulted in an other-than temporary impairment.</t>
        </r>
      </text>
    </comment>
    <comment ref="BX103" authorId="7">
      <text>
        <r>
          <rPr>
            <b/>
            <sz val="8"/>
            <color indexed="81"/>
            <rFont val="Tahoma"/>
            <family val="2"/>
          </rPr>
          <t>casselau:</t>
        </r>
        <r>
          <rPr>
            <sz val="8"/>
            <color indexed="81"/>
            <rFont val="Tahoma"/>
            <family val="2"/>
          </rPr>
          <t xml:space="preserve"> includes insurance recoveries of $4.8M</t>
        </r>
      </text>
    </comment>
    <comment ref="CJ103" authorId="7">
      <text>
        <r>
          <rPr>
            <b/>
            <sz val="9"/>
            <color indexed="81"/>
            <rFont val="Tahoma"/>
            <family val="2"/>
          </rPr>
          <t>casselau:</t>
        </r>
        <r>
          <rPr>
            <sz val="9"/>
            <color indexed="81"/>
            <rFont val="Tahoma"/>
            <family val="2"/>
          </rPr>
          <t xml:space="preserve">
Excluded Items consist of charges of $2.2 million related to a release of a cumulative translation adjustment as the company substantially completed the
liquidation of its Australian operations</t>
        </r>
      </text>
    </comment>
    <comment ref="CN103" authorId="8">
      <text>
        <r>
          <rPr>
            <b/>
            <sz val="9"/>
            <color indexed="81"/>
            <rFont val="Tahoma"/>
            <family val="2"/>
          </rPr>
          <t>Cassel, Lauren (Research):</t>
        </r>
        <r>
          <rPr>
            <sz val="9"/>
            <color indexed="81"/>
            <rFont val="Tahoma"/>
            <family val="2"/>
          </rPr>
          <t xml:space="preserve">
3/1/17: net other operating income increased $7.7 million, primarily due to the initial recognition of international gift card breakage of $4.8 million and foreign currency related gains.</t>
        </r>
      </text>
    </comment>
    <comment ref="CR103" authorId="12">
      <text>
        <r>
          <rPr>
            <b/>
            <sz val="9"/>
            <color indexed="81"/>
            <rFont val="Tahoma"/>
            <family val="2"/>
          </rPr>
          <t>Roberts, Cynthia (Research):</t>
        </r>
        <r>
          <rPr>
            <sz val="9"/>
            <color indexed="81"/>
            <rFont val="Tahoma"/>
            <family val="2"/>
          </rPr>
          <t xml:space="preserve">
3/8/18: $6.8M in  FX gains and $4.4M in gift card breakage</t>
        </r>
      </text>
    </comment>
    <comment ref="CB104" authorId="7">
      <text>
        <r>
          <rPr>
            <b/>
            <sz val="8"/>
            <color indexed="81"/>
            <rFont val="Tahoma"/>
            <family val="2"/>
          </rPr>
          <t>casselau:</t>
        </r>
        <r>
          <rPr>
            <sz val="8"/>
            <color indexed="81"/>
            <rFont val="Tahoma"/>
            <family val="2"/>
          </rPr>
          <t xml:space="preserve">
includes 9M in insurance recoveries</t>
        </r>
      </text>
    </comment>
    <comment ref="CF104" authorId="7">
      <text>
        <r>
          <rPr>
            <b/>
            <sz val="9"/>
            <color indexed="81"/>
            <rFont val="Tahoma"/>
            <family val="2"/>
          </rPr>
          <t>casselau:</t>
        </r>
        <r>
          <rPr>
            <sz val="9"/>
            <color indexed="81"/>
            <rFont val="Tahoma"/>
            <family val="2"/>
          </rPr>
          <t xml:space="preserve">
3/3/15: included insurance recoveries of $10.2 million in fiscal 2014</t>
        </r>
      </text>
    </comment>
    <comment ref="CN104" authorId="8">
      <text>
        <r>
          <rPr>
            <b/>
            <sz val="9"/>
            <color indexed="81"/>
            <rFont val="Tahoma"/>
            <family val="2"/>
          </rPr>
          <t>Cassel, Lauren (Research):</t>
        </r>
        <r>
          <rPr>
            <sz val="9"/>
            <color indexed="81"/>
            <rFont val="Tahoma"/>
            <family val="2"/>
          </rPr>
          <t xml:space="preserve">
3/2/17: adjusted non-GAAP net other operating income for the full year increased $5.3M, primarily due to the initial recognition of international gift card breakage of $4.8M</t>
        </r>
      </text>
    </comment>
    <comment ref="CV104" authorId="12">
      <text>
        <r>
          <rPr>
            <b/>
            <sz val="9"/>
            <color indexed="81"/>
            <rFont val="Tahoma"/>
            <family val="2"/>
          </rPr>
          <t>Roberts, Cynthia (Research):</t>
        </r>
        <r>
          <rPr>
            <sz val="9"/>
            <color indexed="81"/>
            <rFont val="Tahoma"/>
            <family val="2"/>
          </rPr>
          <t xml:space="preserve">
3/7/18: Guidance Other income will not be significant, including as a result of gift card breakage now being recognized within net sales under new FASB rules</t>
        </r>
      </text>
    </comment>
    <comment ref="AN120" authorId="2">
      <text>
        <r>
          <rPr>
            <b/>
            <sz val="8"/>
            <color indexed="81"/>
            <rFont val="Tahoma"/>
            <family val="2"/>
          </rPr>
          <t>Corinna Freedman:</t>
        </r>
        <r>
          <rPr>
            <sz val="8"/>
            <color indexed="81"/>
            <rFont val="Tahoma"/>
            <family val="2"/>
          </rPr>
          <t xml:space="preserve">
prior to restatement = 15.73</t>
        </r>
      </text>
    </comment>
    <comment ref="AO120" authorId="9">
      <text>
        <r>
          <rPr>
            <b/>
            <sz val="8"/>
            <color indexed="81"/>
            <rFont val="Tahoma"/>
            <family val="2"/>
          </rPr>
          <t>Lehman Brothers:</t>
        </r>
        <r>
          <rPr>
            <sz val="8"/>
            <color indexed="81"/>
            <rFont val="Tahoma"/>
            <family val="2"/>
          </rPr>
          <t xml:space="preserve">
2/18/03: 4Q cc guided to tax rate of 38.5%</t>
        </r>
      </text>
    </comment>
    <comment ref="AR120" authorId="2">
      <text>
        <r>
          <rPr>
            <b/>
            <sz val="8"/>
            <color indexed="81"/>
            <rFont val="Tahoma"/>
            <family val="2"/>
          </rPr>
          <t>Corinna Freedman:</t>
        </r>
        <r>
          <rPr>
            <sz val="8"/>
            <color indexed="81"/>
            <rFont val="Tahoma"/>
            <family val="2"/>
          </rPr>
          <t xml:space="preserve">
prior to restatement = 21.718</t>
        </r>
      </text>
    </comment>
    <comment ref="BQ120" authorId="10">
      <text>
        <r>
          <rPr>
            <b/>
            <sz val="8"/>
            <color indexed="81"/>
            <rFont val="Tahoma"/>
            <family val="2"/>
          </rPr>
          <t>oc48540:</t>
        </r>
        <r>
          <rPr>
            <sz val="8"/>
            <color indexed="81"/>
            <rFont val="Tahoma"/>
            <family val="2"/>
          </rPr>
          <t xml:space="preserve">
expects mid 30s</t>
        </r>
      </text>
    </comment>
    <comment ref="CS120" authorId="8">
      <text>
        <r>
          <rPr>
            <b/>
            <sz val="9"/>
            <color indexed="81"/>
            <rFont val="Tahoma"/>
            <family val="2"/>
          </rPr>
          <t>Cassel, Lauren (Research):
5/25/17: share based comp accounting standard change negatively impacted EPS by 14c; reflecting a 31% core tax rate, which remains highly sensitive at lower levels of full year pre-tax earnings, and a discrete non-cash income tax charge of $9.3 million related to a change in share-based compensation accounting standards.</t>
        </r>
        <r>
          <rPr>
            <sz val="9"/>
            <color indexed="81"/>
            <rFont val="Tahoma"/>
            <family val="2"/>
          </rPr>
          <t xml:space="preserve">
3/2/17: THE COMPANY EXPECTS TO INCUR A DISCRETE NON-CASH INCOME TAX CHARGE OF APPROXIMATELY $9 MILLION IN THE FIRST QUARTER OF FISCAL 2017 AS A RESULT OF A CHANGE IN SHARE-BASED COMPENSATION ACCOUNTING STANDARDS</t>
        </r>
      </text>
    </comment>
    <comment ref="CW120" authorId="12">
      <text>
        <r>
          <rPr>
            <b/>
            <sz val="9"/>
            <color indexed="81"/>
            <rFont val="Tahoma"/>
            <family val="2"/>
          </rPr>
          <t>Roberts, Cynthia (Research):</t>
        </r>
        <r>
          <rPr>
            <sz val="9"/>
            <color indexed="81"/>
            <rFont val="Tahoma"/>
            <family val="2"/>
          </rPr>
          <t xml:space="preserve">
3/7/18: core tax rate in mid to upper 20's, 1Q will recognize $10M charge from change in share based comp accounting; 2018 rate will be in the mid to upper 30's
** Charges will reduce 1Q effective tax rate to the +LDD to low-teens on an anticipated pre tax loss </t>
        </r>
      </text>
    </comment>
    <comment ref="AN121" authorId="2">
      <text>
        <r>
          <rPr>
            <b/>
            <sz val="8"/>
            <color indexed="81"/>
            <rFont val="Tahoma"/>
            <family val="2"/>
          </rPr>
          <t>Corinna Freedman:</t>
        </r>
        <r>
          <rPr>
            <sz val="8"/>
            <color indexed="81"/>
            <rFont val="Tahoma"/>
            <family val="2"/>
          </rPr>
          <t xml:space="preserve">
prior to restatement = 21.66</t>
        </r>
      </text>
    </comment>
    <comment ref="AR121" authorId="2">
      <text>
        <r>
          <rPr>
            <b/>
            <sz val="8"/>
            <color indexed="81"/>
            <rFont val="Tahoma"/>
            <family val="2"/>
          </rPr>
          <t>Corinna Freedman:</t>
        </r>
        <r>
          <rPr>
            <sz val="8"/>
            <color indexed="81"/>
            <rFont val="Tahoma"/>
            <family val="2"/>
          </rPr>
          <t xml:space="preserve">
prior to restatement = 27.21</t>
        </r>
      </text>
    </comment>
    <comment ref="BE121" authorId="10">
      <text>
        <r>
          <rPr>
            <sz val="8"/>
            <color indexed="81"/>
            <rFont val="Tahoma"/>
            <family val="2"/>
          </rPr>
          <t>The reduction in rate versus the prior
period primarily reflects the favorable settlement of a state tax audit.</t>
        </r>
      </text>
    </comment>
    <comment ref="BI121" authorId="18">
      <text>
        <r>
          <rPr>
            <b/>
            <sz val="8"/>
            <color indexed="81"/>
            <rFont val="Tahoma"/>
            <family val="2"/>
          </rPr>
          <t>mm98285:</t>
        </r>
        <r>
          <rPr>
            <sz val="8"/>
            <color indexed="81"/>
            <rFont val="Tahoma"/>
            <family val="2"/>
          </rPr>
          <t xml:space="preserve">
10Q: 2Q07 reflects favorable impact from settlement of tax audits
5/16/08: </t>
        </r>
        <r>
          <rPr>
            <sz val="8"/>
            <color indexed="81"/>
            <rFont val="Tahoma"/>
            <family val="2"/>
          </rPr>
          <t>Guide to 37.5% for Spring season</t>
        </r>
      </text>
    </comment>
    <comment ref="BP121" authorId="5">
      <text>
        <r>
          <rPr>
            <b/>
            <sz val="8"/>
            <color indexed="81"/>
            <rFont val="Tahoma"/>
            <family val="2"/>
          </rPr>
          <t>nicholjs:</t>
        </r>
        <r>
          <rPr>
            <sz val="8"/>
            <color indexed="81"/>
            <rFont val="Tahoma"/>
            <family val="2"/>
          </rPr>
          <t xml:space="preserve">
$2.2mm impairment charge = $0.02, readjust tax treatment; reported effective tax rate was 27.2%</t>
        </r>
      </text>
    </comment>
    <comment ref="BY121" authorId="11">
      <text>
        <r>
          <rPr>
            <sz val="8"/>
            <color indexed="81"/>
            <rFont val="Tahoma"/>
            <family val="2"/>
          </rPr>
          <t>8/15/12 - "The increase in the rate was primarily the result of a reduced benefit related to international operations which are taxed at a lower rate."</t>
        </r>
      </text>
    </comment>
    <comment ref="CS121" authorId="8">
      <text>
        <r>
          <rPr>
            <b/>
            <sz val="9"/>
            <color indexed="81"/>
            <rFont val="Tahoma"/>
            <family val="2"/>
          </rPr>
          <t>Cassel, Lauren (Research):</t>
        </r>
        <r>
          <rPr>
            <sz val="9"/>
            <color indexed="81"/>
            <rFont val="Tahoma"/>
            <family val="2"/>
          </rPr>
          <t xml:space="preserve">
8/24/17: reflecting a catch-up adjustment related to a change in the estimated full year core tax rate to the mid 30s, which remains highly sensitive at lower levels of full year pre-tax earnings.</t>
        </r>
      </text>
    </comment>
    <comment ref="AN122" authorId="2">
      <text>
        <r>
          <rPr>
            <b/>
            <sz val="8"/>
            <color indexed="81"/>
            <rFont val="Tahoma"/>
            <family val="2"/>
          </rPr>
          <t>Corinna Freedman:</t>
        </r>
        <r>
          <rPr>
            <sz val="8"/>
            <color indexed="81"/>
            <rFont val="Tahoma"/>
            <family val="2"/>
          </rPr>
          <t xml:space="preserve">
prior to restatement = 31.75</t>
        </r>
      </text>
    </comment>
    <comment ref="AR122" authorId="2">
      <text>
        <r>
          <rPr>
            <b/>
            <sz val="8"/>
            <color indexed="81"/>
            <rFont val="Tahoma"/>
            <family val="2"/>
          </rPr>
          <t>Corinna Freedman:</t>
        </r>
        <r>
          <rPr>
            <sz val="8"/>
            <color indexed="81"/>
            <rFont val="Tahoma"/>
            <family val="2"/>
          </rPr>
          <t xml:space="preserve">
prior to restatement = 23.676
</t>
        </r>
      </text>
    </comment>
    <comment ref="BA122" authorId="4">
      <text>
        <r>
          <rPr>
            <b/>
            <sz val="8"/>
            <color indexed="81"/>
            <rFont val="Tahoma"/>
            <family val="2"/>
          </rPr>
          <t>mm98285:</t>
        </r>
        <r>
          <rPr>
            <sz val="8"/>
            <color indexed="81"/>
            <rFont val="Tahoma"/>
            <family val="2"/>
          </rPr>
          <t xml:space="preserve">
8/06: guided to 39% for 2H</t>
        </r>
      </text>
    </comment>
    <comment ref="BE122" authorId="13">
      <text>
        <r>
          <rPr>
            <b/>
            <sz val="8"/>
            <color indexed="81"/>
            <rFont val="Tahoma"/>
            <family val="2"/>
          </rPr>
          <t>kg51925:</t>
        </r>
        <r>
          <rPr>
            <sz val="8"/>
            <color indexed="81"/>
            <rFont val="Tahoma"/>
            <family val="2"/>
          </rPr>
          <t xml:space="preserve">
mgmt indicated use 39.0%, but they have not had a 39% tax rate since 2005. KG cut to 38.5%.</t>
        </r>
      </text>
    </comment>
    <comment ref="BI122" authorId="4">
      <text>
        <r>
          <rPr>
            <b/>
            <sz val="8"/>
            <color indexed="81"/>
            <rFont val="Tahoma"/>
            <family val="2"/>
          </rPr>
          <t>mm98285:</t>
        </r>
        <r>
          <rPr>
            <sz val="8"/>
            <color indexed="81"/>
            <rFont val="Tahoma"/>
            <family val="2"/>
          </rPr>
          <t xml:space="preserve">
reflects the favorable impact of the settlement of tax audits
8/08: expect 38%</t>
        </r>
      </text>
    </comment>
    <comment ref="BY122" authorId="11">
      <text>
        <r>
          <rPr>
            <sz val="8"/>
            <color indexed="81"/>
            <rFont val="Tahoma"/>
            <family val="2"/>
          </rPr>
          <t>11/14: better than expected due to a great contribution of profits from our international business 
8/15/12 - "The Company now expects the tax rate for the year as a whole to be in the high 30s."</t>
        </r>
      </text>
    </comment>
    <comment ref="CB122" authorId="7">
      <text>
        <r>
          <rPr>
            <b/>
            <sz val="8"/>
            <color indexed="81"/>
            <rFont val="Tahoma"/>
            <family val="2"/>
          </rPr>
          <t>casselau:</t>
        </r>
        <r>
          <rPr>
            <sz val="8"/>
            <color indexed="81"/>
            <rFont val="Tahoma"/>
            <family val="2"/>
          </rPr>
          <t xml:space="preserve">
11/20/13: the effective tax rate included a benefit of $4.9M related to cretain discrete tax matters</t>
        </r>
      </text>
    </comment>
    <comment ref="CK122" authorId="7">
      <text>
        <r>
          <rPr>
            <b/>
            <sz val="9"/>
            <color indexed="81"/>
            <rFont val="Tahoma"/>
            <family val="2"/>
          </rPr>
          <t>casselau:</t>
        </r>
        <r>
          <rPr>
            <sz val="9"/>
            <color indexed="81"/>
            <rFont val="Tahoma"/>
            <family val="2"/>
          </rPr>
          <t xml:space="preserve">
11/20/15: The effective tax rate for the third quarter was a benefit of 16%.  Excluding certain items, the adjusted effective tax rate for the quarter was an expense of 28%.  </t>
        </r>
        <r>
          <rPr>
            <b/>
            <sz val="9"/>
            <color indexed="81"/>
            <rFont val="Tahoma"/>
            <family val="2"/>
          </rPr>
          <t>Both the effective tax rate and the adjusted effective tax rate reflect benefits related to a change in the estimated annual effective tax rate.</t>
        </r>
        <r>
          <rPr>
            <sz val="9"/>
            <color indexed="81"/>
            <rFont val="Tahoma"/>
            <family val="2"/>
          </rPr>
          <t xml:space="preserve">  In addition, the effective tax rate and the adjusted effective tax rate reflect discrete benefits of $9.7 million and $7.7 million, respectively, related to a release of a valuation allowance and other discrete tax items.</t>
        </r>
      </text>
    </comment>
    <comment ref="CO122" authorId="8">
      <text>
        <r>
          <rPr>
            <b/>
            <sz val="9"/>
            <color indexed="81"/>
            <rFont val="Tahoma"/>
            <family val="2"/>
          </rPr>
          <t>Cassel, Lauren (Research):</t>
        </r>
        <r>
          <rPr>
            <sz val="9"/>
            <color indexed="81"/>
            <rFont val="Tahoma"/>
            <family val="2"/>
          </rPr>
          <t xml:space="preserve">
reflecting a catch-up adjustment related to a change in the estimated full year effective tax rate.</t>
        </r>
      </text>
    </comment>
    <comment ref="CS122" authorId="8">
      <text>
        <r>
          <rPr>
            <b/>
            <sz val="9"/>
            <color indexed="81"/>
            <rFont val="Tahoma"/>
            <family val="2"/>
          </rPr>
          <t>Cassel, Lauren (Research):</t>
        </r>
        <r>
          <rPr>
            <sz val="9"/>
            <color indexed="81"/>
            <rFont val="Tahoma"/>
            <family val="2"/>
          </rPr>
          <t xml:space="preserve">
8/24/17: guidance in the mid-30s</t>
        </r>
      </text>
    </comment>
    <comment ref="AS123" authorId="2">
      <text>
        <r>
          <rPr>
            <b/>
            <sz val="8"/>
            <color indexed="81"/>
            <rFont val="Tahoma"/>
            <family val="2"/>
          </rPr>
          <t>Corinna Freedman:</t>
        </r>
        <r>
          <rPr>
            <sz val="8"/>
            <color indexed="81"/>
            <rFont val="Tahoma"/>
            <family val="2"/>
          </rPr>
          <t xml:space="preserve">
11/04 39% anticipated</t>
        </r>
      </text>
    </comment>
    <comment ref="BA123" authorId="4">
      <text>
        <r>
          <rPr>
            <b/>
            <sz val="8"/>
            <color indexed="81"/>
            <rFont val="Tahoma"/>
            <family val="2"/>
          </rPr>
          <t>mm98285:</t>
        </r>
        <r>
          <rPr>
            <sz val="8"/>
            <color indexed="81"/>
            <rFont val="Tahoma"/>
            <family val="2"/>
          </rPr>
          <t xml:space="preserve">
8/06: guided to 39% for 2H
'06-10-K: Decrease due to favorable settlements of tax audits and change in estimates of state tax outcomes</t>
        </r>
      </text>
    </comment>
    <comment ref="BE123" authorId="13">
      <text>
        <r>
          <rPr>
            <b/>
            <sz val="8"/>
            <color indexed="81"/>
            <rFont val="Tahoma"/>
            <family val="2"/>
          </rPr>
          <t>kg51925:</t>
        </r>
        <r>
          <rPr>
            <sz val="8"/>
            <color indexed="81"/>
            <rFont val="Tahoma"/>
            <family val="2"/>
          </rPr>
          <t xml:space="preserve">
mgmt indicated use 39.0%, but they have not had a 39% tax rate since 2005. KG cut to 38.5%.</t>
        </r>
      </text>
    </comment>
    <comment ref="BH123" authorId="4">
      <text>
        <r>
          <rPr>
            <b/>
            <sz val="8"/>
            <color indexed="81"/>
            <rFont val="Tahoma"/>
            <family val="2"/>
          </rPr>
          <t>mm98285:</t>
        </r>
        <r>
          <rPr>
            <sz val="8"/>
            <color indexed="81"/>
            <rFont val="Tahoma"/>
            <family val="2"/>
          </rPr>
          <t xml:space="preserve">
add back tax benefit on $30.6M impairment charge ex. from SG&amp;A
1/09: includes $9.9M charge to tax exp given CEO's new employment agreement which results in the exclusion of previously recognized tax benefits</t>
        </r>
      </text>
    </comment>
    <comment ref="BI123" authorId="4">
      <text>
        <r>
          <rPr>
            <b/>
            <sz val="8"/>
            <color indexed="81"/>
            <rFont val="Tahoma"/>
            <family val="2"/>
          </rPr>
          <t>mm98285:</t>
        </r>
        <r>
          <rPr>
            <sz val="8"/>
            <color indexed="81"/>
            <rFont val="Tahoma"/>
            <family val="2"/>
          </rPr>
          <t xml:space="preserve">
11/08 &amp; 8/08: expect 38%</t>
        </r>
      </text>
    </comment>
    <comment ref="BT123" authorId="6">
      <text>
        <r>
          <rPr>
            <b/>
            <sz val="8"/>
            <color indexed="81"/>
            <rFont val="Tahoma"/>
            <family val="2"/>
          </rPr>
          <t>solejay:</t>
        </r>
        <r>
          <rPr>
            <sz val="8"/>
            <color indexed="81"/>
            <rFont val="Tahoma"/>
            <family val="2"/>
          </rPr>
          <t xml:space="preserve">
adjusted for special charges</t>
        </r>
      </text>
    </comment>
    <comment ref="BY123" authorId="11">
      <text>
        <r>
          <rPr>
            <sz val="8"/>
            <color indexed="81"/>
            <rFont val="Tahoma"/>
            <family val="2"/>
          </rPr>
          <t>8/15/12 - "The Company now expects the tax rate for the year as a whole to be in the high 30s."</t>
        </r>
      </text>
    </comment>
    <comment ref="CB123" authorId="7">
      <text>
        <r>
          <rPr>
            <b/>
            <sz val="8"/>
            <color indexed="81"/>
            <rFont val="Tahoma"/>
            <family val="2"/>
          </rPr>
          <t>casselau:</t>
        </r>
        <r>
          <rPr>
            <sz val="8"/>
            <color indexed="81"/>
            <rFont val="Tahoma"/>
            <family val="2"/>
          </rPr>
          <t xml:space="preserve">
2/26/14: excludes effect of restructuring charges related to GH, other store asset impairment charges, and charges related to the profit improvement initative</t>
        </r>
      </text>
    </comment>
    <comment ref="CC123" authorId="7">
      <text>
        <r>
          <rPr>
            <b/>
            <sz val="8"/>
            <color indexed="81"/>
            <rFont val="Tahoma"/>
            <family val="2"/>
          </rPr>
          <t>casselau:</t>
        </r>
        <r>
          <rPr>
            <sz val="8"/>
            <color indexed="81"/>
            <rFont val="Tahoma"/>
            <family val="2"/>
          </rPr>
          <t xml:space="preserve">
2/16/14: benefitted from lower tax rate, primarily resulting from a higher proportion of earnings being generated from int'l operations</t>
        </r>
      </text>
    </comment>
    <comment ref="CJ123" authorId="7">
      <text>
        <r>
          <rPr>
            <b/>
            <sz val="9"/>
            <color indexed="81"/>
            <rFont val="Tahoma"/>
            <family val="2"/>
          </rPr>
          <t>casselau:</t>
        </r>
        <r>
          <rPr>
            <sz val="9"/>
            <color indexed="81"/>
            <rFont val="Tahoma"/>
            <family val="2"/>
          </rPr>
          <t xml:space="preserve">
3/2/15; The tax effect of excluded items is computed as the difference between tax expense on a GAAP basis and tax expense on an adjusted non-GAAP basis, which
was impacted by a disproportionate effect from jurisdictional earnings mix and changes in the annual effective tax rate relative to the prior quarter estimated
rate.</t>
        </r>
      </text>
    </comment>
    <comment ref="CO123" authorId="8">
      <text>
        <r>
          <rPr>
            <b/>
            <sz val="9"/>
            <color indexed="81"/>
            <rFont val="Tahoma"/>
            <family val="2"/>
          </rPr>
          <t xml:space="preserve">Cassel, Lauren (Research):
3/2/17: </t>
        </r>
        <r>
          <rPr>
            <sz val="9"/>
            <color indexed="81"/>
            <rFont val="Tahoma"/>
            <family val="2"/>
          </rPr>
          <t>The effective tax rate for the fourth quarter was 11%, reflecting an adjustment related to a change in the full year effective tax rate from last quarter's estimated rate, as well as a benefit of $4.5 million related to the realization of foreign currency losses and a discrete benefit of $2.4 million related to a tax regulatory change
11/18/16: guidance mid to upper 20's</t>
        </r>
      </text>
    </comment>
    <comment ref="CR123" authorId="12">
      <text>
        <r>
          <rPr>
            <b/>
            <sz val="9"/>
            <color indexed="81"/>
            <rFont val="Tahoma"/>
            <family val="2"/>
          </rPr>
          <t>Roberts, Cynthia (Research):</t>
        </r>
        <r>
          <rPr>
            <sz val="9"/>
            <color indexed="81"/>
            <rFont val="Tahoma"/>
            <family val="2"/>
          </rPr>
          <t xml:space="preserve">
3/7/18: excludes $19.9M one time charge from corporate tax reform</t>
        </r>
      </text>
    </comment>
    <comment ref="CS123" authorId="8">
      <text>
        <r>
          <rPr>
            <b/>
            <sz val="9"/>
            <color indexed="81"/>
            <rFont val="Tahoma"/>
            <family val="2"/>
          </rPr>
          <t>Cassel, Lauren (Research):</t>
        </r>
        <r>
          <rPr>
            <sz val="9"/>
            <color indexed="81"/>
            <rFont val="Tahoma"/>
            <family val="2"/>
          </rPr>
          <t xml:space="preserve">
8/24/17: guidance in the mid-30s</t>
        </r>
      </text>
    </comment>
    <comment ref="BI124" authorId="4">
      <text>
        <r>
          <rPr>
            <b/>
            <sz val="8"/>
            <color indexed="81"/>
            <rFont val="Tahoma"/>
            <family val="2"/>
          </rPr>
          <t>mm98285:</t>
        </r>
        <r>
          <rPr>
            <sz val="8"/>
            <color indexed="81"/>
            <rFont val="Tahoma"/>
            <family val="2"/>
          </rPr>
          <t xml:space="preserve">
2/08: 38.5%</t>
        </r>
      </text>
    </comment>
    <comment ref="BM124" authorId="4">
      <text>
        <r>
          <rPr>
            <b/>
            <sz val="8"/>
            <color indexed="81"/>
            <rFont val="Tahoma"/>
            <family val="2"/>
          </rPr>
          <t>mm98285:</t>
        </r>
        <r>
          <rPr>
            <sz val="8"/>
            <color indexed="81"/>
            <rFont val="Tahoma"/>
            <family val="2"/>
          </rPr>
          <t xml:space="preserve">
2/09: higher than '08 ex 4Q tax charge or ~37.4%</t>
        </r>
      </text>
    </comment>
    <comment ref="BQ124" authorId="5">
      <text>
        <r>
          <rPr>
            <b/>
            <sz val="8"/>
            <color indexed="81"/>
            <rFont val="Tahoma"/>
            <family val="2"/>
          </rPr>
          <t>nicholjs:</t>
        </r>
        <r>
          <rPr>
            <sz val="8"/>
            <color indexed="81"/>
            <rFont val="Tahoma"/>
            <family val="2"/>
          </rPr>
          <t xml:space="preserve">
11/2010: expect full year effective tax rate to be ~35%
8/2010: expect full year effective tax rate to be ~37%</t>
        </r>
      </text>
    </comment>
    <comment ref="BU124" authorId="5">
      <text>
        <r>
          <rPr>
            <b/>
            <sz val="8"/>
            <color indexed="81"/>
            <rFont val="Tahoma"/>
            <family val="2"/>
          </rPr>
          <t>nicholjs:</t>
        </r>
        <r>
          <rPr>
            <sz val="8"/>
            <color indexed="81"/>
            <rFont val="Tahoma"/>
            <family val="2"/>
          </rPr>
          <t xml:space="preserve">
2Q 10Q: expects effective tax rate to be in the low to mid 30's range, sensitive to domestic and international profit mix, including the effect of F/X
1Q 10Q: expects ~35%, sensitive to domestic/int'l profit mix
2/2011: expect mid-30's, sensitive to domestic and international mix changes
11/2010: expect mid-30's</t>
        </r>
      </text>
    </comment>
    <comment ref="BY124" authorId="14">
      <text>
        <r>
          <rPr>
            <sz val="8"/>
            <color indexed="81"/>
            <rFont val="Tahoma"/>
            <family val="2"/>
          </rPr>
          <t>11/14: ~37%
8/15/2012 guide: high 30s
5/16/2012 guide: slightly below 35%
2/15/2012 guide: slightly below 35%</t>
        </r>
      </text>
    </comment>
    <comment ref="CC124" authorId="7">
      <text>
        <r>
          <rPr>
            <b/>
            <sz val="8"/>
            <color indexed="81"/>
            <rFont val="Tahoma"/>
            <family val="2"/>
          </rPr>
          <t xml:space="preserve">11/20/13: </t>
        </r>
        <r>
          <rPr>
            <sz val="8"/>
            <color indexed="81"/>
            <rFont val="Tahoma"/>
            <family val="2"/>
          </rPr>
          <t>expect mid 30's for the full year</t>
        </r>
        <r>
          <rPr>
            <b/>
            <sz val="8"/>
            <color indexed="81"/>
            <rFont val="Tahoma"/>
            <family val="2"/>
          </rPr>
          <t xml:space="preserve">
casselau:
</t>
        </r>
        <r>
          <rPr>
            <sz val="8"/>
            <color indexed="81"/>
            <rFont val="Tahoma"/>
            <family val="2"/>
          </rPr>
          <t>5/24/13: expect full-year tax rate 33-34%</t>
        </r>
        <r>
          <rPr>
            <sz val="8"/>
            <color indexed="81"/>
            <rFont val="Tahoma"/>
            <family val="2"/>
          </rPr>
          <t xml:space="preserve">
2/22/13: guidance: tax rate ~in-line with prior year</t>
        </r>
      </text>
    </comment>
    <comment ref="CG124" authorId="7">
      <text>
        <r>
          <rPr>
            <b/>
            <sz val="8"/>
            <color indexed="81"/>
            <rFont val="Tahoma"/>
            <family val="2"/>
          </rPr>
          <t xml:space="preserve">casselau:
12/3/14: now expect tax rate in upper 30's%
</t>
        </r>
        <r>
          <rPr>
            <sz val="8"/>
            <color indexed="81"/>
            <rFont val="Tahoma"/>
            <family val="2"/>
          </rPr>
          <t>8/28/14: guidance assumes mid-30's but remains sensitive to mix between US and intl
2/26/14:  guidance 35%</t>
        </r>
      </text>
    </comment>
    <comment ref="CK124" authorId="7">
      <text>
        <r>
          <rPr>
            <b/>
            <sz val="9"/>
            <color indexed="81"/>
            <rFont val="Tahoma"/>
            <family val="2"/>
          </rPr>
          <t xml:space="preserve">casselau:
3/2/16: The effective tax rate and the adjusted effective tax rate for the full year reflect discrete benefits of $7.4M and $5.4M respectively, related to a release of a valuation allowance and
other discrete tax items.
11/20/15: On a full year basis, expect adjusted effective tax rate to be in the mid-to-upper 30s, including the discrete benefits noted in 3Q
</t>
        </r>
        <r>
          <rPr>
            <sz val="9"/>
            <color indexed="81"/>
            <rFont val="Tahoma"/>
            <family val="2"/>
          </rPr>
          <t>5/28/15: tax rate is expected to be elevated in Fiscal 2015 and remains highly sensitive to the earnings mix by jurisdiction, particularly at lower levels of profitability.  
3/3/15: expect mid-40's</t>
        </r>
      </text>
    </comment>
    <comment ref="CO124" authorId="7">
      <text>
        <r>
          <rPr>
            <b/>
            <sz val="9"/>
            <color indexed="81"/>
            <rFont val="Tahoma"/>
            <family val="2"/>
          </rPr>
          <t>casselau:
3/2/17: Excluding certain items, the adjusted non-GAAP effective tax rate for the full year was 98%. The effective tax rate and the adjusted non-GAAP effective tax rate for the full year reflect a benefit of approximately $4.5 million related to the realization of foreign currency losses and a discrete benefit of $2.4 million related to a tax regulatory change.
11/18/16: FULL YEAR EFFECTIVE TAX RATE TO BE IN THE MID TO UPPER 20s, BUT TO REMAIN SENSITIVE AT LOWER
LEVELS OF PRE-TAX EARNINGS
3/2/16: guidance: mid-to-upper 30s</t>
        </r>
        <r>
          <rPr>
            <sz val="9"/>
            <color indexed="81"/>
            <rFont val="Tahoma"/>
            <family val="2"/>
          </rPr>
          <t xml:space="preserve">
11/20/15: On a go-forward basis, the company expects the annual effective tax rate to be in the upper 30s.
5/28/15: tax rate is expected to be elevated in Fiscal 2015 and remains highly sensitive to the earnings mix by jurisdiction, particularly at lower levels of profitability.  
3/3/15: expect mid-40's</t>
        </r>
      </text>
    </comment>
    <comment ref="CR124" authorId="8">
      <text>
        <r>
          <rPr>
            <b/>
            <sz val="9"/>
            <color indexed="81"/>
            <rFont val="Tahoma"/>
            <family val="2"/>
          </rPr>
          <t>Cassel, Lauren (Research):</t>
        </r>
        <r>
          <rPr>
            <sz val="9"/>
            <color indexed="81"/>
            <rFont val="Tahoma"/>
            <family val="2"/>
          </rPr>
          <t xml:space="preserve">
8/24/17: Additionally, the company expects discrete non-cash income tax charges for the full year of approximately $11 million primarily related to a change in share-based compensation accounting standards, of which approximately $10 million has been recognized to date.</t>
        </r>
      </text>
    </comment>
    <comment ref="CS124" authorId="8">
      <text>
        <r>
          <rPr>
            <b/>
            <sz val="9"/>
            <color indexed="81"/>
            <rFont val="Tahoma"/>
            <family val="2"/>
          </rPr>
          <t xml:space="preserve">Cassel, Lauren (Research):
5/25/17:  guidance: effective tax rate to reflect a core tax rate in the low 30s, which remains highly sensitive at lower levels of pre-tax earnings. Additionally, the company expects discrete non-cash income tax charges for the full year of approximately $11 million primarily related to a change in share-based compensation accounting standards
</t>
        </r>
        <r>
          <rPr>
            <sz val="9"/>
            <color indexed="81"/>
            <rFont val="Tahoma"/>
            <family val="2"/>
          </rPr>
          <t xml:space="preserve">
3/2/17: EXCLUDING DISCRETE ITEMS,
THE CORE TAX RATE FOR FULL YEAR IS EXPECTED TO BE IN THE </t>
        </r>
        <r>
          <rPr>
            <b/>
            <sz val="9"/>
            <color indexed="81"/>
            <rFont val="Tahoma"/>
            <family val="2"/>
          </rPr>
          <t>MID 30S</t>
        </r>
        <r>
          <rPr>
            <sz val="9"/>
            <color indexed="81"/>
            <rFont val="Tahoma"/>
            <family val="2"/>
          </rPr>
          <t xml:space="preserve"> AND REMAINS HIGHLY SENSITIVE TO JURISDICTIONAL MIX AND AT LOWER LEVELS OF PRE-TAX EARNINGS.</t>
        </r>
      </text>
    </comment>
    <comment ref="CW124" authorId="12">
      <text>
        <r>
          <rPr>
            <b/>
            <sz val="9"/>
            <color indexed="81"/>
            <rFont val="Tahoma"/>
            <family val="2"/>
          </rPr>
          <t>Roberts, Cynthia (Research):</t>
        </r>
        <r>
          <rPr>
            <sz val="9"/>
            <color indexed="81"/>
            <rFont val="Tahoma"/>
            <family val="2"/>
          </rPr>
          <t xml:space="preserve">
3/7/18: core tax rate in mid to upper 20's, 1Q will recognize $10M charge from change in share based comp accounting; 2018 rate will be in the mid to upper 30's</t>
        </r>
      </text>
    </comment>
    <comment ref="BT130" authorId="6">
      <text>
        <r>
          <rPr>
            <b/>
            <sz val="8"/>
            <color indexed="81"/>
            <rFont val="Tahoma"/>
            <family val="2"/>
          </rPr>
          <t>solejay:</t>
        </r>
        <r>
          <rPr>
            <sz val="8"/>
            <color indexed="81"/>
            <rFont val="Tahoma"/>
            <family val="2"/>
          </rPr>
          <t xml:space="preserve">
added</t>
        </r>
      </text>
    </comment>
    <comment ref="AN150" authorId="9">
      <text>
        <r>
          <rPr>
            <b/>
            <sz val="8"/>
            <color indexed="81"/>
            <rFont val="Tahoma"/>
            <family val="2"/>
          </rPr>
          <t>Lehman Brothers:</t>
        </r>
        <r>
          <rPr>
            <sz val="8"/>
            <color indexed="81"/>
            <rFont val="Tahoma"/>
            <family val="2"/>
          </rPr>
          <t xml:space="preserve">
2/18/03: co gdce $0.25. we had 0.26</t>
        </r>
      </text>
    </comment>
    <comment ref="AR150" authorId="1">
      <text>
        <r>
          <rPr>
            <b/>
            <sz val="8"/>
            <color indexed="81"/>
            <rFont val="Tahoma"/>
            <family val="2"/>
          </rPr>
          <t>dliu:</t>
        </r>
        <r>
          <rPr>
            <sz val="8"/>
            <color indexed="81"/>
            <rFont val="Tahoma"/>
            <family val="2"/>
          </rPr>
          <t xml:space="preserve">
0.26, 0.27, 0.30</t>
        </r>
      </text>
    </comment>
    <comment ref="AZ150" authorId="3">
      <text>
        <r>
          <rPr>
            <b/>
            <sz val="8"/>
            <color indexed="81"/>
            <rFont val="Tahoma"/>
            <family val="2"/>
          </rPr>
          <t>MB33100:</t>
        </r>
        <r>
          <rPr>
            <sz val="8"/>
            <color indexed="81"/>
            <rFont val="Tahoma"/>
            <family val="2"/>
          </rPr>
          <t xml:space="preserve">
1.23-1.28 for 1H including 8c for options</t>
        </r>
      </text>
    </comment>
    <comment ref="BD150" authorId="4">
      <text>
        <r>
          <rPr>
            <sz val="8"/>
            <color indexed="81"/>
            <rFont val="Tahoma"/>
            <family val="2"/>
          </rPr>
          <t>5/07: guided to $0.64-$0.65</t>
        </r>
        <r>
          <rPr>
            <b/>
            <sz val="8"/>
            <color indexed="81"/>
            <rFont val="Tahoma"/>
            <family val="2"/>
          </rPr>
          <t xml:space="preserve">
mm98285:</t>
        </r>
        <r>
          <rPr>
            <sz val="8"/>
            <color indexed="81"/>
            <rFont val="Tahoma"/>
            <family val="2"/>
          </rPr>
          <t xml:space="preserve">
2/07: guided to $1.47-$1.52 for 1H07</t>
        </r>
      </text>
    </comment>
    <comment ref="BH150" authorId="4">
      <text>
        <r>
          <rPr>
            <b/>
            <sz val="8"/>
            <color indexed="81"/>
            <rFont val="Tahoma"/>
            <family val="2"/>
          </rPr>
          <t>mm98285:</t>
        </r>
        <r>
          <rPr>
            <sz val="8"/>
            <color indexed="81"/>
            <rFont val="Tahoma"/>
            <family val="2"/>
          </rPr>
          <t xml:space="preserve">
2/15/08: guid to $1.61-$1.65 for 1H</t>
        </r>
      </text>
    </comment>
    <comment ref="BL150" authorId="10">
      <text>
        <r>
          <rPr>
            <b/>
            <sz val="8"/>
            <color indexed="81"/>
            <rFont val="Tahoma"/>
            <family val="2"/>
          </rPr>
          <t>oc48540:</t>
        </r>
        <r>
          <rPr>
            <sz val="8"/>
            <color indexed="81"/>
            <rFont val="Tahoma"/>
            <family val="2"/>
          </rPr>
          <t xml:space="preserve">
1Q EPS results exclude a non-cash impairment charge that is currently being
determined associated with the strategic review of the Ruehl business.</t>
        </r>
      </text>
    </comment>
    <comment ref="BX150" authorId="14">
      <text>
        <r>
          <rPr>
            <b/>
            <sz val="8"/>
            <color indexed="81"/>
            <rFont val="Tahoma"/>
            <family val="2"/>
          </rPr>
          <t>kahng:</t>
        </r>
        <r>
          <rPr>
            <sz val="8"/>
            <color indexed="81"/>
            <rFont val="Tahoma"/>
            <family val="2"/>
          </rPr>
          <t xml:space="preserve">
1/20: loss of 23c from lowering gm from 64% to 60.5% to reflect continue prod cost infl</t>
        </r>
      </text>
    </comment>
    <comment ref="CB150" authorId="7">
      <text>
        <r>
          <rPr>
            <b/>
            <sz val="8"/>
            <color indexed="81"/>
            <rFont val="Tahoma"/>
            <family val="2"/>
          </rPr>
          <t>casselau:</t>
        </r>
        <r>
          <rPr>
            <sz val="8"/>
            <color indexed="81"/>
            <rFont val="Tahoma"/>
            <family val="2"/>
          </rPr>
          <t xml:space="preserve">
2/22/13: guidance: slight EPS loss compared to a restated loss of ($0.25) under the cost method in 1Q12</t>
        </r>
      </text>
    </comment>
    <comment ref="AJ151" authorId="22">
      <text>
        <r>
          <rPr>
            <b/>
            <sz val="8"/>
            <color indexed="81"/>
            <rFont val="Tahoma"/>
            <family val="2"/>
          </rPr>
          <t xml:space="preserve">deong:
</t>
        </r>
        <r>
          <rPr>
            <sz val="8"/>
            <color indexed="81"/>
            <rFont val="Tahoma"/>
            <family val="2"/>
          </rPr>
          <t>0.26</t>
        </r>
      </text>
    </comment>
    <comment ref="AN151" authorId="9">
      <text>
        <r>
          <rPr>
            <b/>
            <sz val="8"/>
            <color indexed="81"/>
            <rFont val="Tahoma"/>
            <family val="2"/>
          </rPr>
          <t>Lehman Brothers:</t>
        </r>
        <r>
          <rPr>
            <sz val="8"/>
            <color indexed="81"/>
            <rFont val="Tahoma"/>
            <family val="2"/>
          </rPr>
          <t xml:space="preserve">
2/18/03: co gdce $0.34
1Qcc gdce: $0.30-0.34. had $0.35</t>
        </r>
      </text>
    </comment>
    <comment ref="AZ151" authorId="3">
      <text>
        <r>
          <rPr>
            <b/>
            <sz val="8"/>
            <color indexed="81"/>
            <rFont val="Tahoma"/>
            <family val="2"/>
          </rPr>
          <t>MB33100:</t>
        </r>
        <r>
          <rPr>
            <sz val="8"/>
            <color indexed="81"/>
            <rFont val="Tahoma"/>
            <family val="2"/>
          </rPr>
          <t xml:space="preserve">
$1.28-$1.33 for 1H per 1Q call
1.23-1.28 for 1H including 8c for options</t>
        </r>
      </text>
    </comment>
    <comment ref="BD151" authorId="4">
      <text>
        <r>
          <rPr>
            <b/>
            <sz val="8"/>
            <color indexed="81"/>
            <rFont val="Tahoma"/>
            <family val="2"/>
          </rPr>
          <t>mm98285:</t>
        </r>
        <r>
          <rPr>
            <sz val="8"/>
            <color indexed="81"/>
            <rFont val="Tahoma"/>
            <family val="2"/>
          </rPr>
          <t xml:space="preserve">
5/07: reiterated 2H guid, implies 2Q of $0.82-$0.87
2/07: guided to $1.47-$1.52 for 1H07</t>
        </r>
      </text>
    </comment>
    <comment ref="BH151" authorId="4">
      <text>
        <r>
          <rPr>
            <b/>
            <sz val="8"/>
            <color indexed="81"/>
            <rFont val="Tahoma"/>
            <family val="2"/>
          </rPr>
          <t xml:space="preserve">mm98285:
</t>
        </r>
        <r>
          <rPr>
            <sz val="8"/>
            <color indexed="81"/>
            <rFont val="Tahoma"/>
            <family val="2"/>
          </rPr>
          <t>8/7/08: 1H08 guid. now $1.55 (2Q $0.86) incl. 1c charge for departure of Sr. exec</t>
        </r>
        <r>
          <rPr>
            <b/>
            <sz val="8"/>
            <color indexed="81"/>
            <rFont val="Tahoma"/>
            <family val="2"/>
          </rPr>
          <t xml:space="preserve">
</t>
        </r>
        <r>
          <rPr>
            <sz val="8"/>
            <color indexed="81"/>
            <rFont val="Tahoma"/>
            <family val="2"/>
          </rPr>
          <t>5/16/08: reit guid of $1.61-$1.65</t>
        </r>
        <r>
          <rPr>
            <sz val="8"/>
            <color indexed="81"/>
            <rFont val="Tahoma"/>
            <family val="2"/>
          </rPr>
          <t xml:space="preserve">
2/15/08: guid to $1.61-$1.65 for 1H</t>
        </r>
      </text>
    </comment>
    <comment ref="BL151" authorId="10">
      <text>
        <r>
          <rPr>
            <sz val="8"/>
            <color indexed="81"/>
            <rFont val="Tahoma"/>
            <family val="2"/>
          </rPr>
          <t>The adjusted $0.04 EPS est. based on 22.9% tax rate and excludes $24.4M of pre-tax charges associated with closure of RUEHL incl. $23.0M of net lease termination costs.</t>
        </r>
      </text>
    </comment>
    <comment ref="BX151" authorId="11">
      <text>
        <r>
          <rPr>
            <b/>
            <sz val="8"/>
            <color indexed="81"/>
            <rFont val="Tahoma"/>
            <family val="2"/>
          </rPr>
          <t>8/1/12 pk:</t>
        </r>
        <r>
          <rPr>
            <sz val="8"/>
            <color indexed="81"/>
            <rFont val="Tahoma"/>
            <family val="2"/>
          </rPr>
          <t xml:space="preserve">
revised guidance to 15-18c</t>
        </r>
      </text>
    </comment>
    <comment ref="CB151" authorId="7">
      <text>
        <r>
          <rPr>
            <b/>
            <sz val="8"/>
            <color indexed="81"/>
            <rFont val="Tahoma"/>
            <family val="2"/>
          </rPr>
          <t>casselau:</t>
        </r>
        <r>
          <rPr>
            <sz val="8"/>
            <color indexed="81"/>
            <rFont val="Tahoma"/>
            <family val="2"/>
          </rPr>
          <t xml:space="preserve">
5/24/13: guidance $0.28-$0.33</t>
        </r>
      </text>
    </comment>
    <comment ref="AJ152" authorId="9">
      <text>
        <r>
          <rPr>
            <b/>
            <sz val="8"/>
            <color indexed="81"/>
            <rFont val="Tahoma"/>
            <family val="2"/>
          </rPr>
          <t>Lehman Brothers:</t>
        </r>
        <r>
          <rPr>
            <sz val="8"/>
            <color indexed="81"/>
            <rFont val="Tahoma"/>
            <family val="2"/>
          </rPr>
          <t xml:space="preserve">
0.50, 0.49, 0.43</t>
        </r>
      </text>
    </comment>
    <comment ref="AN152" authorId="1">
      <text>
        <r>
          <rPr>
            <b/>
            <sz val="8"/>
            <color indexed="81"/>
            <rFont val="Tahoma"/>
            <family val="2"/>
          </rPr>
          <t>dliu:</t>
        </r>
        <r>
          <rPr>
            <sz val="8"/>
            <color indexed="81"/>
            <rFont val="Tahoma"/>
            <family val="2"/>
          </rPr>
          <t xml:space="preserve">
0.52</t>
        </r>
      </text>
    </comment>
    <comment ref="AV152" authorId="4">
      <text>
        <r>
          <rPr>
            <b/>
            <sz val="8"/>
            <color indexed="81"/>
            <rFont val="Tahoma"/>
            <family val="2"/>
          </rPr>
          <t>mm98285:</t>
        </r>
        <r>
          <rPr>
            <sz val="8"/>
            <color indexed="81"/>
            <rFont val="Tahoma"/>
            <family val="2"/>
          </rPr>
          <t xml:space="preserve">
excludes $13.5mm severance charge or $0.09</t>
        </r>
      </text>
    </comment>
    <comment ref="AZ152" authorId="3">
      <text>
        <r>
          <rPr>
            <b/>
            <sz val="8"/>
            <color indexed="81"/>
            <rFont val="Tahoma"/>
            <family val="2"/>
          </rPr>
          <t>MB33100:</t>
        </r>
        <r>
          <rPr>
            <sz val="8"/>
            <color indexed="81"/>
            <rFont val="Tahoma"/>
            <family val="2"/>
          </rPr>
          <t xml:space="preserve">
10/4: raised guidance to $3.25-$3.30 for 2H
2Q Call: Expect 2H EPS of $3.15-$3.20</t>
        </r>
      </text>
    </comment>
    <comment ref="BD152" authorId="10">
      <text>
        <r>
          <rPr>
            <sz val="8"/>
            <color indexed="81"/>
            <rFont val="Tahoma"/>
            <family val="2"/>
          </rPr>
          <t>2Q07: expects 2H07 EPS of $3.63-$3.67</t>
        </r>
        <r>
          <rPr>
            <sz val="8"/>
            <color indexed="81"/>
            <rFont val="Tahoma"/>
            <family val="2"/>
          </rPr>
          <t xml:space="preserve">
</t>
        </r>
      </text>
    </comment>
    <comment ref="BH152" authorId="4">
      <text>
        <r>
          <rPr>
            <b/>
            <sz val="8"/>
            <color indexed="81"/>
            <rFont val="Tahoma"/>
            <family val="2"/>
          </rPr>
          <t>mm98285:</t>
        </r>
        <r>
          <rPr>
            <sz val="8"/>
            <color indexed="81"/>
            <rFont val="Tahoma"/>
            <family val="2"/>
          </rPr>
          <t xml:space="preserve">
11/08: No update to $0.74-$0.76 for 3Q
2H08 will fall appreciably below prior $3.40-$3.45
10/08: $0.74-$0.76 and 2H appreciably below prior guid
2H: $3.40-$3.45</t>
        </r>
      </text>
    </comment>
    <comment ref="BL152" authorId="10">
      <text>
        <r>
          <rPr>
            <b/>
            <sz val="8"/>
            <color indexed="81"/>
            <rFont val="Tahoma"/>
            <family val="2"/>
          </rPr>
          <t>oc48540:</t>
        </r>
        <r>
          <rPr>
            <sz val="8"/>
            <color indexed="81"/>
            <rFont val="Tahoma"/>
            <family val="2"/>
          </rPr>
          <t xml:space="preserve">
The adjusted $0.30 EPS excludes $10.1mm pre-tax net lease
termination costs related to RUEHL and also adds back a tax benefit of
$18.6mm attributed to benefit associated with true up in the year-to-date tax
rate.</t>
        </r>
      </text>
    </comment>
    <comment ref="CB152" authorId="7">
      <text>
        <r>
          <rPr>
            <b/>
            <sz val="8"/>
            <color indexed="81"/>
            <rFont val="Tahoma"/>
            <family val="2"/>
          </rPr>
          <t xml:space="preserve">11/5/13:  </t>
        </r>
        <r>
          <rPr>
            <sz val="8"/>
            <color indexed="81"/>
            <rFont val="Tahoma"/>
            <family val="2"/>
          </rPr>
          <t>excluding charges, expect to report adjusted EPS at higher end of $0.40-$0.45; including charges = loss of 20c</t>
        </r>
        <r>
          <rPr>
            <b/>
            <sz val="8"/>
            <color indexed="81"/>
            <rFont val="Tahoma"/>
            <family val="2"/>
          </rPr>
          <t xml:space="preserve">
casselau:
</t>
        </r>
        <r>
          <rPr>
            <sz val="8"/>
            <color indexed="81"/>
            <rFont val="Tahoma"/>
            <family val="2"/>
          </rPr>
          <t>8/22/13: guidance $0.40-$0.45</t>
        </r>
      </text>
    </comment>
    <comment ref="CF152" authorId="7">
      <text>
        <r>
          <rPr>
            <b/>
            <sz val="9"/>
            <color indexed="81"/>
            <rFont val="Tahoma"/>
            <family val="2"/>
          </rPr>
          <t>casselau:</t>
        </r>
        <r>
          <rPr>
            <sz val="9"/>
            <color indexed="81"/>
            <rFont val="Tahoma"/>
            <family val="2"/>
          </rPr>
          <t xml:space="preserve">
11/7/14: preannounce: now expect 40-42c </t>
        </r>
      </text>
    </comment>
    <comment ref="AJ153" authorId="9">
      <text>
        <r>
          <rPr>
            <b/>
            <sz val="8"/>
            <color indexed="81"/>
            <rFont val="Tahoma"/>
            <family val="2"/>
          </rPr>
          <t>Lehman Brothers:</t>
        </r>
        <r>
          <rPr>
            <sz val="8"/>
            <color indexed="81"/>
            <rFont val="Tahoma"/>
            <family val="2"/>
          </rPr>
          <t xml:space="preserve">
0.78, 0.79, 0.87</t>
        </r>
      </text>
    </comment>
    <comment ref="AN153" authorId="1">
      <text>
        <r>
          <rPr>
            <b/>
            <sz val="8"/>
            <color indexed="81"/>
            <rFont val="Tahoma"/>
            <family val="2"/>
          </rPr>
          <t>dliu:</t>
        </r>
        <r>
          <rPr>
            <sz val="8"/>
            <color indexed="81"/>
            <rFont val="Tahoma"/>
            <family val="2"/>
          </rPr>
          <t xml:space="preserve">
0.96</t>
        </r>
      </text>
    </comment>
    <comment ref="AZ153" authorId="3">
      <text>
        <r>
          <rPr>
            <b/>
            <sz val="8"/>
            <color indexed="81"/>
            <rFont val="Tahoma"/>
            <family val="2"/>
          </rPr>
          <t>MB33100:</t>
        </r>
        <r>
          <rPr>
            <sz val="8"/>
            <color indexed="81"/>
            <rFont val="Tahoma"/>
            <family val="2"/>
          </rPr>
          <t xml:space="preserve">
11/07: includes $0.06 from the extra week and $0.07 from favorable settlements of tax audits
11/06: affirmed $3.25-$3.30 guidance for 2H
10/06: raised guidance to $3.25-$3.30 for 2H
2Q Call: Expect 2H EPS of $3.15-$3.20</t>
        </r>
      </text>
    </comment>
    <comment ref="BD153" authorId="10">
      <text>
        <r>
          <rPr>
            <sz val="8"/>
            <color indexed="81"/>
            <rFont val="Tahoma"/>
            <family val="2"/>
          </rPr>
          <t>11/07 &amp; 2Q07: expects 2H07 EPS of $3.63-$3.67 (low end reflects flat comp)  implies 4Q $2.34-$2.38 (no update at Nov, Dec, Jan sales)</t>
        </r>
      </text>
    </comment>
    <comment ref="BH153" authorId="4">
      <text>
        <r>
          <rPr>
            <b/>
            <sz val="8"/>
            <color indexed="81"/>
            <rFont val="Tahoma"/>
            <family val="2"/>
          </rPr>
          <t>mm98285:</t>
        </r>
        <r>
          <rPr>
            <sz val="8"/>
            <color indexed="81"/>
            <rFont val="Tahoma"/>
            <family val="2"/>
          </rPr>
          <t xml:space="preserve">
includes $0.11 tax exp (related to execution of CEO's employment agreement) and excludes $0.21 associated with the impairment of store-related assets
2/09: No update to $1.00-$1.05
1/09: Signicantly below prior $1.00-$1.05 given tax expense and non-cash impairment charges
12/08: No update to $1.00-$1.05 
11/08: $1.00-$1.05 (assuming -26% comp)
10/08: 2H appreciably below prior guid. 2H: $3.40-$3.45</t>
        </r>
      </text>
    </comment>
    <comment ref="BT153" authorId="14">
      <text>
        <r>
          <rPr>
            <sz val="8"/>
            <color indexed="81"/>
            <rFont val="Tahoma"/>
            <family val="2"/>
          </rPr>
          <t>2/15/12: GAAP number was $0.22
2/2/12: $1.10-1.15
1/20: prev est of $1.62</t>
        </r>
      </text>
    </comment>
    <comment ref="BX153" authorId="14">
      <text>
        <r>
          <rPr>
            <b/>
            <sz val="8"/>
            <color indexed="81"/>
            <rFont val="Tahoma"/>
            <family val="2"/>
          </rPr>
          <t>kahng:</t>
        </r>
        <r>
          <rPr>
            <sz val="8"/>
            <color indexed="81"/>
            <rFont val="Tahoma"/>
            <family val="2"/>
          </rPr>
          <t xml:space="preserve">
1/20: prev est of $2.23 revised for 53rd week in Jan</t>
        </r>
      </text>
    </comment>
    <comment ref="AN154" authorId="1">
      <text>
        <r>
          <rPr>
            <b/>
            <sz val="8"/>
            <color indexed="81"/>
            <rFont val="Tahoma"/>
            <family val="2"/>
          </rPr>
          <t>dliu:</t>
        </r>
        <r>
          <rPr>
            <sz val="8"/>
            <color indexed="81"/>
            <rFont val="Tahoma"/>
            <family val="2"/>
          </rPr>
          <t xml:space="preserve">
2.25</t>
        </r>
      </text>
    </comment>
    <comment ref="AV154" authorId="2">
      <text>
        <r>
          <rPr>
            <b/>
            <sz val="8"/>
            <color indexed="81"/>
            <rFont val="Tahoma"/>
            <family val="2"/>
          </rPr>
          <t>Corinna Freedman:</t>
        </r>
        <r>
          <rPr>
            <sz val="8"/>
            <color indexed="81"/>
            <rFont val="Tahoma"/>
            <family val="2"/>
          </rPr>
          <t xml:space="preserve">
01/05: $3.67-$3.72 excl 3Q severance charge ($0.09) or $3.58-$3.63 incl 3Q charge
3.35-3.40 incl charge or 3.44-3.49 excl charge</t>
        </r>
      </text>
    </comment>
    <comment ref="BD154" authorId="10">
      <text>
        <r>
          <rPr>
            <b/>
            <sz val="8"/>
            <color indexed="81"/>
            <rFont val="Tahoma"/>
            <family val="2"/>
          </rPr>
          <t xml:space="preserve">2Q07: </t>
        </r>
        <r>
          <rPr>
            <sz val="8"/>
            <color indexed="81"/>
            <rFont val="Tahoma"/>
            <family val="2"/>
          </rPr>
          <t>full year 2007 EPS of $5.16 to $5.20.</t>
        </r>
      </text>
    </comment>
    <comment ref="BH154" authorId="4">
      <text>
        <r>
          <rPr>
            <b/>
            <sz val="8"/>
            <color indexed="81"/>
            <rFont val="Tahoma"/>
            <family val="2"/>
          </rPr>
          <t>mm98285:</t>
        </r>
        <r>
          <rPr>
            <sz val="8"/>
            <color indexed="81"/>
            <rFont val="Tahoma"/>
            <family val="2"/>
          </rPr>
          <t xml:space="preserve">
8/15/08: $4.95-$5.00</t>
        </r>
      </text>
    </comment>
    <comment ref="BX154" authorId="14">
      <text>
        <r>
          <rPr>
            <sz val="8"/>
            <color indexed="81"/>
            <rFont val="Tahoma"/>
            <family val="2"/>
          </rPr>
          <t>11/14/12: raising to $2.85-$3.00
8/15/12: repeat guidance $2.50-$2.75
8/1/12: revised guidance $2.50-$2.75
5/16/12: $3.50-3.75  "Notwithstanding lower sales expectations, the Company continues to expect full year diluted earnings per share in the range of $3.50 to $3.75, with lower sales offset by a higher projected gross margin rate, lower expenses, and a lower share count at the end of the first quarter."
"The greater sensitivity in this projection remains the sales trend."
"No futher buybacks contemplated in guidance"
2/15/2012: $3.50-3.75
2/2/2012: $3.50-3.75
1/20: prev est of $4.01
4/5/2012: 2012 EPS Objective $4.75</t>
        </r>
      </text>
    </comment>
    <comment ref="CB154" authorId="7">
      <text>
        <r>
          <rPr>
            <b/>
            <sz val="8"/>
            <color indexed="81"/>
            <rFont val="Tahoma"/>
            <family val="2"/>
          </rPr>
          <t xml:space="preserve">1/9/14: </t>
        </r>
        <r>
          <rPr>
            <sz val="8"/>
            <color indexed="81"/>
            <rFont val="Tahoma"/>
            <family val="2"/>
          </rPr>
          <t>now expect $1.55-$1.65</t>
        </r>
        <r>
          <rPr>
            <b/>
            <sz val="8"/>
            <color indexed="81"/>
            <rFont val="Tahoma"/>
            <family val="2"/>
          </rPr>
          <t xml:space="preserve">
11/5/13: </t>
        </r>
        <r>
          <rPr>
            <sz val="8"/>
            <color indexed="81"/>
            <rFont val="Tahoma"/>
            <family val="2"/>
          </rPr>
          <t>guidance $1.40-$1.50 (ex charges)</t>
        </r>
        <r>
          <rPr>
            <b/>
            <sz val="8"/>
            <color indexed="81"/>
            <rFont val="Tahoma"/>
            <family val="2"/>
          </rPr>
          <t xml:space="preserve">
casselau:
</t>
        </r>
        <r>
          <rPr>
            <sz val="8"/>
            <color indexed="81"/>
            <rFont val="Tahoma"/>
            <family val="2"/>
          </rPr>
          <t>5/24/13: guidance $3.15-$3.25</t>
        </r>
        <r>
          <rPr>
            <sz val="8"/>
            <color indexed="81"/>
            <rFont val="Tahoma"/>
            <family val="2"/>
          </rPr>
          <t xml:space="preserve">
2/22/13: expects 3.35-3.45 under the COST METHOD (new)</t>
        </r>
      </text>
    </comment>
    <comment ref="BH155" authorId="4">
      <text>
        <r>
          <rPr>
            <b/>
            <sz val="8"/>
            <color indexed="81"/>
            <rFont val="Tahoma"/>
            <family val="2"/>
          </rPr>
          <t>mm98285:</t>
        </r>
        <r>
          <rPr>
            <sz val="8"/>
            <color indexed="81"/>
            <rFont val="Tahoma"/>
            <family val="2"/>
          </rPr>
          <t xml:space="preserve">
8/7/08: 1H $1.55
2/15/08: guid to $1.61-$1.65 for 1H</t>
        </r>
      </text>
    </comment>
    <comment ref="AR160" authorId="2">
      <text>
        <r>
          <rPr>
            <b/>
            <sz val="8"/>
            <color indexed="81"/>
            <rFont val="Tahoma"/>
            <family val="2"/>
          </rPr>
          <t>Corinna Freedman:</t>
        </r>
        <r>
          <rPr>
            <sz val="8"/>
            <color indexed="81"/>
            <rFont val="Tahoma"/>
            <family val="2"/>
          </rPr>
          <t xml:space="preserve">
$8m pre-tax charge related to legal expenses</t>
        </r>
      </text>
    </comment>
    <comment ref="AR162" authorId="2">
      <text>
        <r>
          <rPr>
            <b/>
            <sz val="8"/>
            <color indexed="81"/>
            <rFont val="Tahoma"/>
            <family val="2"/>
          </rPr>
          <t>Corinna Freedman:</t>
        </r>
        <r>
          <rPr>
            <sz val="8"/>
            <color indexed="81"/>
            <rFont val="Tahoma"/>
            <family val="2"/>
          </rPr>
          <t xml:space="preserve">
$39.2m pre-tax charge related to the settlement of several lawsuits</t>
        </r>
      </text>
    </comment>
    <comment ref="CN163" authorId="8">
      <text>
        <r>
          <rPr>
            <b/>
            <sz val="9"/>
            <color indexed="81"/>
            <rFont val="Tahoma"/>
            <family val="2"/>
          </rPr>
          <t>Cassel, Lauren (Research):</t>
        </r>
        <r>
          <rPr>
            <sz val="9"/>
            <color indexed="81"/>
            <rFont val="Tahoma"/>
            <family val="2"/>
          </rPr>
          <t xml:space="preserve">
11/18/16: NET INCOME ATTRIBUTABLE TO NONCONTROLLING INTERESTS OF APPROXIMATELY $1 MILLION</t>
        </r>
      </text>
    </comment>
    <comment ref="CN164" authorId="8">
      <text>
        <r>
          <rPr>
            <b/>
            <sz val="9"/>
            <color indexed="81"/>
            <rFont val="Tahoma"/>
            <family val="2"/>
          </rPr>
          <t>Cassel, Lauren (Research):</t>
        </r>
        <r>
          <rPr>
            <sz val="9"/>
            <color indexed="81"/>
            <rFont val="Tahoma"/>
            <family val="2"/>
          </rPr>
          <t xml:space="preserve">
8/30/16: Guidance: Net income attributable to noncontrolling interests of approximately $5 million </t>
        </r>
      </text>
    </comment>
    <comment ref="CR164" authorId="8">
      <text>
        <r>
          <rPr>
            <b/>
            <sz val="9"/>
            <color indexed="81"/>
            <rFont val="Tahoma"/>
            <family val="2"/>
          </rPr>
          <t>Cassel, Lauren (Research):</t>
        </r>
        <r>
          <rPr>
            <sz val="9"/>
            <color indexed="81"/>
            <rFont val="Tahoma"/>
            <family val="2"/>
          </rPr>
          <t xml:space="preserve">
3/2/17: guidance  •Net income attributable to noncontrolling interests of approximately $4 million</t>
        </r>
      </text>
    </comment>
    <comment ref="BD174" authorId="18">
      <text>
        <r>
          <rPr>
            <b/>
            <sz val="8"/>
            <color indexed="81"/>
            <rFont val="Tahoma"/>
            <family val="2"/>
          </rPr>
          <t xml:space="preserve">@ 3Q07 Nov 21st: </t>
        </r>
        <r>
          <rPr>
            <sz val="8"/>
            <color indexed="81"/>
            <rFont val="Tahoma"/>
            <family val="2"/>
          </rPr>
          <t>ANF reiterated its 2H07 EPS guidance of $3.63-$3.67, which implies 4Q EPS
guidance of $2.34-$2.38 vs. consensus of $2.38. The low end of ANF’s
guidance reflects a flat comparable store sale scenario for 4Q07.</t>
        </r>
      </text>
    </comment>
    <comment ref="CB183" authorId="7">
      <text>
        <r>
          <rPr>
            <b/>
            <sz val="8"/>
            <color indexed="81"/>
            <rFont val="Tahoma"/>
            <family val="2"/>
          </rPr>
          <t>casselau:</t>
        </r>
        <r>
          <rPr>
            <sz val="8"/>
            <color indexed="81"/>
            <rFont val="Tahoma"/>
            <family val="2"/>
          </rPr>
          <t xml:space="preserve">
2/22/13: guidance: slight EPS loss compared to a restated loss of ($0.25) under the cost method in 1Q12</t>
        </r>
      </text>
    </comment>
    <comment ref="CJ183" authorId="7">
      <text>
        <r>
          <rPr>
            <b/>
            <sz val="9"/>
            <color indexed="81"/>
            <rFont val="Tahoma"/>
            <family val="2"/>
          </rPr>
          <t>casselau:</t>
        </r>
        <r>
          <rPr>
            <sz val="9"/>
            <color indexed="81"/>
            <rFont val="Tahoma"/>
            <family val="2"/>
          </rPr>
          <t xml:space="preserve">
5/28/15: FX negatively impacted the Q 13c</t>
        </r>
      </text>
    </comment>
    <comment ref="CN183" authorId="8">
      <text>
        <r>
          <rPr>
            <b/>
            <sz val="9"/>
            <color indexed="81"/>
            <rFont val="Tahoma"/>
            <family val="2"/>
          </rPr>
          <t>Cassel, Lauren (Research):</t>
        </r>
        <r>
          <rPr>
            <sz val="9"/>
            <color indexed="81"/>
            <rFont val="Tahoma"/>
            <family val="2"/>
          </rPr>
          <t xml:space="preserve">
5/29/16: FX -5c impact</t>
        </r>
      </text>
    </comment>
    <comment ref="CR183" authorId="8">
      <text>
        <r>
          <rPr>
            <b/>
            <sz val="9"/>
            <color indexed="81"/>
            <rFont val="Tahoma"/>
            <family val="2"/>
          </rPr>
          <t>Cassel, Lauren (Research):</t>
        </r>
        <r>
          <rPr>
            <sz val="9"/>
            <color indexed="81"/>
            <rFont val="Tahoma"/>
            <family val="2"/>
          </rPr>
          <t xml:space="preserve">
</t>
        </r>
        <r>
          <rPr>
            <b/>
            <sz val="9"/>
            <color indexed="81"/>
            <rFont val="Tahoma"/>
            <family val="2"/>
          </rPr>
          <t xml:space="preserve">5/25/17: Y/Y Change driven by: -8c core operations; -5c FX, -14c change in share based comp standards; -5c tax rate; </t>
        </r>
        <r>
          <rPr>
            <sz val="9"/>
            <color indexed="81"/>
            <rFont val="Tahoma"/>
            <family val="2"/>
          </rPr>
          <t>includes a non-cash income tax charge of 14c due to change in share-based compensation accounting standards and -5c related to a lower than expected core tax rate</t>
        </r>
      </text>
    </comment>
    <comment ref="CB184" authorId="7">
      <text>
        <r>
          <rPr>
            <b/>
            <sz val="8"/>
            <color indexed="81"/>
            <rFont val="Tahoma"/>
            <family val="2"/>
          </rPr>
          <t>casselau:
unadjusted 14c</t>
        </r>
        <r>
          <rPr>
            <sz val="8"/>
            <color indexed="81"/>
            <rFont val="Tahoma"/>
            <family val="2"/>
          </rPr>
          <t xml:space="preserve">
5/24/13: guidance $0.28-$0.33</t>
        </r>
      </text>
    </comment>
    <comment ref="CJ184" authorId="7">
      <text>
        <r>
          <rPr>
            <b/>
            <sz val="9"/>
            <color indexed="81"/>
            <rFont val="Tahoma"/>
            <family val="2"/>
          </rPr>
          <t>casselau:</t>
        </r>
        <r>
          <rPr>
            <sz val="9"/>
            <color indexed="81"/>
            <rFont val="Tahoma"/>
            <family val="2"/>
          </rPr>
          <t xml:space="preserve">
FX negatively impacted by 18c</t>
        </r>
      </text>
    </comment>
    <comment ref="CN184" authorId="8">
      <text>
        <r>
          <rPr>
            <b/>
            <sz val="9"/>
            <color indexed="81"/>
            <rFont val="Tahoma"/>
            <family val="2"/>
          </rPr>
          <t>Cassel, Lauren (Research):</t>
        </r>
        <r>
          <rPr>
            <sz val="9"/>
            <color indexed="81"/>
            <rFont val="Tahoma"/>
            <family val="2"/>
          </rPr>
          <t xml:space="preserve">
8/30/16: includes -8c negative impact from FX</t>
        </r>
      </text>
    </comment>
    <comment ref="CB185" authorId="7">
      <text>
        <r>
          <rPr>
            <b/>
            <sz val="8"/>
            <color indexed="81"/>
            <rFont val="Tahoma"/>
            <family val="2"/>
          </rPr>
          <t xml:space="preserve">11/21/13: </t>
        </r>
        <r>
          <rPr>
            <sz val="8"/>
            <color indexed="81"/>
            <rFont val="Tahoma"/>
            <family val="2"/>
          </rPr>
          <t>excludes charges related to restructuring plans for Gilly Hicks, other store asset impairment charges, and charges related to its profit improvement intiative; include tax benefit of $0.06 related to certain discrete tax matters; unadjusted -$0.20</t>
        </r>
        <r>
          <rPr>
            <b/>
            <sz val="8"/>
            <color indexed="81"/>
            <rFont val="Tahoma"/>
            <family val="2"/>
          </rPr>
          <t xml:space="preserve">
11/5/13:  </t>
        </r>
        <r>
          <rPr>
            <sz val="8"/>
            <color indexed="81"/>
            <rFont val="Tahoma"/>
            <family val="2"/>
          </rPr>
          <t xml:space="preserve">excluding charges, expect to report adjusted EPS at higher end of $0.40-$0.45 
</t>
        </r>
        <r>
          <rPr>
            <b/>
            <sz val="8"/>
            <color indexed="81"/>
            <rFont val="Tahoma"/>
            <family val="2"/>
          </rPr>
          <t>casselau:</t>
        </r>
        <r>
          <rPr>
            <sz val="8"/>
            <color indexed="81"/>
            <rFont val="Tahoma"/>
            <family val="2"/>
          </rPr>
          <t xml:space="preserve">
8/22/13: guidance $0.40-$0.45</t>
        </r>
      </text>
    </comment>
    <comment ref="CF185" authorId="7">
      <text>
        <r>
          <rPr>
            <b/>
            <sz val="9"/>
            <color indexed="81"/>
            <rFont val="Tahoma"/>
            <family val="2"/>
          </rPr>
          <t>casselau:</t>
        </r>
        <r>
          <rPr>
            <sz val="9"/>
            <color indexed="81"/>
            <rFont val="Tahoma"/>
            <family val="2"/>
          </rPr>
          <t xml:space="preserve">
11/7/14: preannounce: now expect 40-42c 
12/3/14: ex.charges 25c
Excluded charges consists of pre-tax charges of $16.7 million for store-related asset impairments for stores whose asset carrying value exceeded
the fair value, primarily associated with 4 Abercrombie &amp; Fitch, including the Ginza Flagship, 12 Hollister and 23 abercrombie stores, $2.3 million
for lease terminations and store closures, $0.7 million related to the Company's profit improvement initiative, and $0.6 million for legal, advisory
and other related to certain corporate governance matters</t>
        </r>
      </text>
    </comment>
    <comment ref="CJ185" authorId="7">
      <text>
        <r>
          <rPr>
            <b/>
            <sz val="9"/>
            <color indexed="81"/>
            <rFont val="Tahoma"/>
            <family val="2"/>
          </rPr>
          <t>casselau:</t>
        </r>
        <r>
          <rPr>
            <sz val="9"/>
            <color indexed="81"/>
            <rFont val="Tahoma"/>
            <family val="2"/>
          </rPr>
          <t xml:space="preserve">
11/20/15: -13c negative FX impact and +11c tax benefit</t>
        </r>
      </text>
    </comment>
    <comment ref="BL186" authorId="10">
      <text>
        <r>
          <rPr>
            <b/>
            <sz val="8"/>
            <color indexed="81"/>
            <rFont val="Tahoma"/>
            <family val="2"/>
          </rPr>
          <t>oc48540:</t>
        </r>
        <r>
          <rPr>
            <sz val="8"/>
            <color indexed="81"/>
            <rFont val="Tahoma"/>
            <family val="2"/>
          </rPr>
          <t xml:space="preserve">
76c is 91c less 15c of discontinued operations, our #s add back 23c from asset impairment</t>
        </r>
      </text>
    </comment>
    <comment ref="CN186" authorId="8">
      <text>
        <r>
          <rPr>
            <b/>
            <sz val="9"/>
            <color indexed="81"/>
            <rFont val="Tahoma"/>
            <family val="2"/>
          </rPr>
          <t>Cassel, Lauren (Research):</t>
        </r>
        <r>
          <rPr>
            <sz val="9"/>
            <color indexed="81"/>
            <rFont val="Tahoma"/>
            <family val="2"/>
          </rPr>
          <t xml:space="preserve">
3/2/17: FX negatively impacted EPS by 5c</t>
        </r>
      </text>
    </comment>
    <comment ref="CR186" authorId="8">
      <text>
        <r>
          <rPr>
            <b/>
            <sz val="9"/>
            <color indexed="81"/>
            <rFont val="Tahoma"/>
            <family val="2"/>
          </rPr>
          <t>Cassel, Lauren (Research):</t>
        </r>
        <r>
          <rPr>
            <sz val="9"/>
            <color indexed="81"/>
            <rFont val="Tahoma"/>
            <family val="2"/>
          </rPr>
          <t xml:space="preserve">
3/7/18: 3c from 53rd week, 14c from FX
3/2/17: 53rd week will add 2c</t>
        </r>
      </text>
    </comment>
    <comment ref="CB187" authorId="7">
      <text>
        <r>
          <rPr>
            <b/>
            <sz val="8"/>
            <color indexed="81"/>
            <rFont val="Tahoma"/>
            <family val="2"/>
          </rPr>
          <t xml:space="preserve">1/9/14: </t>
        </r>
        <r>
          <rPr>
            <sz val="8"/>
            <color indexed="81"/>
            <rFont val="Tahoma"/>
            <family val="2"/>
          </rPr>
          <t>now expect $1.55-$1.65</t>
        </r>
        <r>
          <rPr>
            <b/>
            <sz val="8"/>
            <color indexed="81"/>
            <rFont val="Tahoma"/>
            <family val="2"/>
          </rPr>
          <t xml:space="preserve">
11/5/13: </t>
        </r>
        <r>
          <rPr>
            <sz val="8"/>
            <color indexed="81"/>
            <rFont val="Tahoma"/>
            <family val="2"/>
          </rPr>
          <t>guidance $1.40-$1.50 (ex charges)</t>
        </r>
        <r>
          <rPr>
            <b/>
            <sz val="8"/>
            <color indexed="81"/>
            <rFont val="Tahoma"/>
            <family val="2"/>
          </rPr>
          <t xml:space="preserve">
casselau:
</t>
        </r>
        <r>
          <rPr>
            <sz val="8"/>
            <color indexed="81"/>
            <rFont val="Tahoma"/>
            <family val="2"/>
          </rPr>
          <t>5/24/13: guidance $3.15-$3.25</t>
        </r>
        <r>
          <rPr>
            <sz val="8"/>
            <color indexed="81"/>
            <rFont val="Tahoma"/>
            <family val="2"/>
          </rPr>
          <t xml:space="preserve">
2/22/13: expects 3.35-3.45 under the COST METHOD (new)</t>
        </r>
      </text>
    </comment>
    <comment ref="CF187" authorId="7">
      <text>
        <r>
          <rPr>
            <b/>
            <sz val="8"/>
            <color indexed="81"/>
            <rFont val="Tahoma"/>
            <family val="2"/>
          </rPr>
          <t>casselau:
12/3/14: now expect $1.50-1.65</t>
        </r>
        <r>
          <rPr>
            <sz val="8"/>
            <color indexed="81"/>
            <rFont val="Tahoma"/>
            <family val="2"/>
          </rPr>
          <t xml:space="preserve">
8/28/14: reiterate $2.15-$2.35 guidance</t>
        </r>
        <r>
          <rPr>
            <b/>
            <sz val="8"/>
            <color indexed="81"/>
            <rFont val="Tahoma"/>
            <family val="2"/>
          </rPr>
          <t xml:space="preserve">
</t>
        </r>
        <r>
          <rPr>
            <sz val="8"/>
            <color indexed="81"/>
            <rFont val="Tahoma"/>
            <family val="2"/>
          </rPr>
          <t>5/29/14: maintaining  FY14 EPS guidance of $2.15-2.35
2/26/14: guidance: $2.15-$2.35</t>
        </r>
      </text>
    </comment>
    <comment ref="CN187" authorId="8">
      <text>
        <r>
          <rPr>
            <b/>
            <sz val="9"/>
            <color indexed="81"/>
            <rFont val="Tahoma"/>
            <family val="2"/>
          </rPr>
          <t>Cassel, Lauren (Research):</t>
        </r>
        <r>
          <rPr>
            <sz val="9"/>
            <color indexed="81"/>
            <rFont val="Tahoma"/>
            <family val="2"/>
          </rPr>
          <t xml:space="preserve">
3/2/17: FX negatively impacted EPS by 25c</t>
        </r>
      </text>
    </comment>
    <comment ref="CR187" authorId="8">
      <text>
        <r>
          <rPr>
            <b/>
            <sz val="9"/>
            <color indexed="81"/>
            <rFont val="Tahoma"/>
            <family val="2"/>
          </rPr>
          <t>Cassel, Lauren (Research):</t>
        </r>
        <r>
          <rPr>
            <sz val="9"/>
            <color indexed="81"/>
            <rFont val="Tahoma"/>
            <family val="2"/>
          </rPr>
          <t xml:space="preserve">
3/7/18: 9c benefit from FX, 3c from 53rd week 
3/2/17: EPS will be negatively impacted by -25c from FX</t>
        </r>
      </text>
    </comment>
    <comment ref="AF193" authorId="22">
      <text>
        <r>
          <rPr>
            <b/>
            <sz val="8"/>
            <color indexed="81"/>
            <rFont val="Tahoma"/>
            <family val="2"/>
          </rPr>
          <t>plejuez:</t>
        </r>
        <r>
          <rPr>
            <sz val="8"/>
            <color indexed="81"/>
            <rFont val="Tahoma"/>
            <family val="2"/>
          </rPr>
          <t xml:space="preserve">
stock price was $33</t>
        </r>
      </text>
    </comment>
    <comment ref="AR193" authorId="20">
      <text>
        <r>
          <rPr>
            <b/>
            <sz val="10"/>
            <color indexed="81"/>
            <rFont val="Tahoma"/>
            <family val="2"/>
          </rPr>
          <t>kgreenbe:</t>
        </r>
        <r>
          <rPr>
            <sz val="10"/>
            <color indexed="81"/>
            <rFont val="Tahoma"/>
            <family val="2"/>
          </rPr>
          <t xml:space="preserve">
bought in 600k shares in March 04, assume bought evenly thru month. Completes 5 mm share buyback authorization</t>
        </r>
      </text>
    </comment>
    <comment ref="BD193" authorId="4">
      <text>
        <r>
          <rPr>
            <b/>
            <sz val="8"/>
            <color indexed="81"/>
            <rFont val="Tahoma"/>
            <family val="2"/>
          </rPr>
          <t>mm98285:</t>
        </r>
        <r>
          <rPr>
            <sz val="8"/>
            <color indexed="81"/>
            <rFont val="Tahoma"/>
            <family val="2"/>
          </rPr>
          <t xml:space="preserve">
repo $79mm for ~1m shares</t>
        </r>
      </text>
    </comment>
    <comment ref="BH193" authorId="4">
      <text>
        <r>
          <rPr>
            <b/>
            <sz val="8"/>
            <color indexed="81"/>
            <rFont val="Tahoma"/>
            <family val="2"/>
          </rPr>
          <t>mm98285:</t>
        </r>
        <r>
          <rPr>
            <sz val="8"/>
            <color indexed="81"/>
            <rFont val="Tahoma"/>
            <family val="2"/>
          </rPr>
          <t xml:space="preserve">
4/08: 10K repo'd 0.7mm shares or $50mm in stock from 12mm shares remaining under auth subsequent to 2.2.08 (11.3mm shares remain under auth)</t>
        </r>
      </text>
    </comment>
    <comment ref="BP193" authorId="23">
      <text>
        <r>
          <rPr>
            <b/>
            <sz val="8"/>
            <color indexed="81"/>
            <rFont val="Tahoma"/>
            <family val="2"/>
          </rPr>
          <t>KG51925:</t>
        </r>
        <r>
          <rPr>
            <sz val="8"/>
            <color indexed="81"/>
            <rFont val="Tahoma"/>
            <family val="2"/>
          </rPr>
          <t xml:space="preserve">
need to use basic shares because of the loss in 1Q</t>
        </r>
      </text>
    </comment>
    <comment ref="BT193" authorId="5">
      <text>
        <r>
          <rPr>
            <b/>
            <sz val="8"/>
            <color indexed="81"/>
            <rFont val="Tahoma"/>
            <family val="2"/>
          </rPr>
          <t>nicholjs:</t>
        </r>
        <r>
          <rPr>
            <sz val="8"/>
            <color indexed="81"/>
            <rFont val="Tahoma"/>
            <family val="2"/>
          </rPr>
          <t xml:space="preserve">
during 1Q, repurchased 428,800 shares at aggregate cost of ~$25.5mm, had approx 9.3mm shares remaining under authorization
11/2010: assumes $150mm share repo spread evenly across qtrs</t>
        </r>
      </text>
    </comment>
    <comment ref="BX193" authorId="6">
      <text>
        <r>
          <rPr>
            <b/>
            <sz val="8"/>
            <color indexed="81"/>
            <rFont val="Tahoma"/>
            <family val="2"/>
          </rPr>
          <t>solejay:</t>
        </r>
        <r>
          <rPr>
            <sz val="8"/>
            <color indexed="81"/>
            <rFont val="Tahoma"/>
            <family val="2"/>
          </rPr>
          <t xml:space="preserve">
5/16/12: During the first quarter of Fiscal 2012, the Company repurchased 3.3 million shares of its common stock at an aggregate cost of approximately $161.2 million.</t>
        </r>
      </text>
    </comment>
    <comment ref="CB193" authorId="7">
      <text>
        <r>
          <rPr>
            <b/>
            <sz val="8"/>
            <color indexed="81"/>
            <rFont val="Tahoma"/>
            <family val="2"/>
          </rPr>
          <t>casselau:</t>
        </r>
        <r>
          <rPr>
            <sz val="8"/>
            <color indexed="81"/>
            <rFont val="Tahoma"/>
            <family val="2"/>
          </rPr>
          <t xml:space="preserve">
5/24/13: Company repurchased 349.7K shares at aggregate cost of $16.305M</t>
        </r>
      </text>
    </comment>
    <comment ref="CF193" authorId="7">
      <text>
        <r>
          <rPr>
            <b/>
            <sz val="8"/>
            <color indexed="81"/>
            <rFont val="Tahoma"/>
            <family val="2"/>
          </rPr>
          <t xml:space="preserve">casselau:
5/29/14: </t>
        </r>
        <r>
          <rPr>
            <sz val="8"/>
            <color indexed="81"/>
            <rFont val="Tahoma"/>
            <family val="2"/>
          </rPr>
          <t>repurchased 3.8M shares for $150M; has 12.5M shares remaining under share repurchase 
2/26/14: announced $150M accelerated share repurchase</t>
        </r>
      </text>
    </comment>
    <comment ref="AF194" authorId="22">
      <text>
        <r>
          <rPr>
            <b/>
            <sz val="8"/>
            <color indexed="81"/>
            <rFont val="Tahoma"/>
            <family val="2"/>
          </rPr>
          <t>plejuez:</t>
        </r>
        <r>
          <rPr>
            <sz val="8"/>
            <color indexed="81"/>
            <rFont val="Tahoma"/>
            <family val="2"/>
          </rPr>
          <t xml:space="preserve">
stock price was $39</t>
        </r>
      </text>
    </comment>
    <comment ref="AJ194" authorId="9">
      <text>
        <r>
          <rPr>
            <b/>
            <sz val="8"/>
            <color indexed="81"/>
            <rFont val="Tahoma"/>
            <family val="2"/>
          </rPr>
          <t>Lehman Brothers:</t>
        </r>
        <r>
          <rPr>
            <sz val="8"/>
            <color indexed="81"/>
            <rFont val="Tahoma"/>
            <family val="2"/>
          </rPr>
          <t xml:space="preserve">
bought back 1 mm shares in June (so assume O/S for 2 mos.)</t>
        </r>
      </text>
    </comment>
    <comment ref="AR194" authorId="19">
      <text>
        <r>
          <rPr>
            <b/>
            <sz val="8"/>
            <color indexed="81"/>
            <rFont val="Tahoma"/>
            <family val="2"/>
          </rPr>
          <t>Kimberly Greenberger:</t>
        </r>
        <r>
          <rPr>
            <sz val="8"/>
            <color indexed="81"/>
            <rFont val="Tahoma"/>
            <family val="2"/>
          </rPr>
          <t xml:space="preserve">
6mm share buyback authorization passed 7/29/04 - will likely buy over 18 months</t>
        </r>
      </text>
    </comment>
    <comment ref="BD194" authorId="10">
      <text>
        <r>
          <rPr>
            <sz val="8"/>
            <color indexed="81"/>
            <rFont val="Tahoma"/>
            <family val="2"/>
          </rPr>
          <t>ANF did not repurchase stock in 2Q07 but will likely come back to the market in 2H07 given it had 4.67mm shares remaining under its existing authorization program at the end of 1Q07. We believe management seeks to retain a base level of $300-350mm in cash, but will look to redeploy excess cash to shareholders gradually through both dividends and share repurchase activity.</t>
        </r>
      </text>
    </comment>
    <comment ref="BH194" authorId="18">
      <text>
        <r>
          <rPr>
            <b/>
            <sz val="8"/>
            <color indexed="81"/>
            <rFont val="Tahoma"/>
            <family val="2"/>
          </rPr>
          <t>OC48540:</t>
        </r>
        <r>
          <rPr>
            <sz val="8"/>
            <color indexed="81"/>
            <rFont val="Tahoma"/>
            <family val="2"/>
          </rPr>
          <t xml:space="preserve">
5/16/08:</t>
        </r>
        <r>
          <rPr>
            <sz val="8"/>
            <color indexed="81"/>
            <rFont val="Tahoma"/>
            <family val="2"/>
          </rPr>
          <t xml:space="preserve">
assume only creep no repo given cash balance below $300mm as ARS has been reclassified to non-current assets</t>
        </r>
      </text>
    </comment>
    <comment ref="BT194" authorId="5">
      <text>
        <r>
          <rPr>
            <b/>
            <sz val="8"/>
            <color indexed="81"/>
            <rFont val="Tahoma"/>
            <family val="2"/>
          </rPr>
          <t>nicholjs:</t>
        </r>
        <r>
          <rPr>
            <sz val="8"/>
            <color indexed="81"/>
            <rFont val="Tahoma"/>
            <family val="2"/>
          </rPr>
          <t xml:space="preserve">
repo'ed 950,142 shares for $64.4mm; had 8.4mm shares available for repurchase under stock repurchase authorization</t>
        </r>
      </text>
    </comment>
    <comment ref="BX194" authorId="6">
      <text>
        <r>
          <rPr>
            <sz val="8"/>
            <color indexed="81"/>
            <rFont val="Tahoma"/>
            <family val="2"/>
          </rPr>
          <t>8/15/12 - "The Company did not repurchase shares of its common stock during the quarter."</t>
        </r>
      </text>
    </comment>
    <comment ref="CB194" authorId="7">
      <text>
        <r>
          <rPr>
            <b/>
            <sz val="8"/>
            <color indexed="81"/>
            <rFont val="Tahoma"/>
            <family val="2"/>
          </rPr>
          <t>casselau:</t>
        </r>
        <r>
          <rPr>
            <sz val="8"/>
            <color indexed="81"/>
            <rFont val="Tahoma"/>
            <family val="2"/>
          </rPr>
          <t xml:space="preserve">
8/22/13: during the quarter the company repurchased 2.03M shares for ~$99.5M</t>
        </r>
      </text>
    </comment>
    <comment ref="CF194" authorId="7">
      <text>
        <r>
          <rPr>
            <b/>
            <sz val="9"/>
            <color indexed="81"/>
            <rFont val="Tahoma"/>
            <family val="2"/>
          </rPr>
          <t>casselau:</t>
        </r>
        <r>
          <rPr>
            <sz val="9"/>
            <color indexed="81"/>
            <rFont val="Tahoma"/>
            <family val="2"/>
          </rPr>
          <t xml:space="preserve">
8/28/14: repurchased 1.5M shares for $60M; has 11M shares remaining
2/26/14: we anticipate additional share repurchases over the course of the year (not in guidance)</t>
        </r>
      </text>
    </comment>
    <comment ref="AR195" authorId="19">
      <text>
        <r>
          <rPr>
            <b/>
            <sz val="8"/>
            <color indexed="81"/>
            <rFont val="Tahoma"/>
            <family val="2"/>
          </rPr>
          <t>Kimberly Greenberger:</t>
        </r>
        <r>
          <rPr>
            <sz val="8"/>
            <color indexed="81"/>
            <rFont val="Tahoma"/>
            <family val="2"/>
          </rPr>
          <t xml:space="preserve">
6mm share buyback authorization passed 7/29/04 - will likely buy over 18 months</t>
        </r>
      </text>
    </comment>
    <comment ref="BD195" authorId="13">
      <text>
        <r>
          <rPr>
            <b/>
            <sz val="8"/>
            <color indexed="81"/>
            <rFont val="Tahoma"/>
            <family val="2"/>
          </rPr>
          <t>mm98285</t>
        </r>
        <r>
          <rPr>
            <sz val="8"/>
            <color indexed="81"/>
            <rFont val="Tahoma"/>
            <family val="2"/>
          </rPr>
          <t xml:space="preserve">
11/07: repo'd 2.6mm shares for $208.9mm in 3Q. Nov. 20 BOD authorized add'l 10mm share repo 
</t>
        </r>
        <r>
          <rPr>
            <b/>
            <sz val="8"/>
            <color indexed="81"/>
            <rFont val="Tahoma"/>
            <family val="2"/>
          </rPr>
          <t>2Q-10Q:</t>
        </r>
        <r>
          <rPr>
            <sz val="8"/>
            <color indexed="81"/>
            <rFont val="Tahoma"/>
            <family val="2"/>
          </rPr>
          <t xml:space="preserve"> Subsequent to Aug 4th co. repo 1.8mm @ $140.2mm (implied $77.89 price) as of Sept 11th had approx 2.9mm shares availa. To repo 6.0mm authorized BoD in Aug '05</t>
        </r>
      </text>
    </comment>
    <comment ref="BH195" authorId="4">
      <text>
        <r>
          <rPr>
            <b/>
            <sz val="7"/>
            <color indexed="81"/>
            <rFont val="Tahoma"/>
            <family val="2"/>
          </rPr>
          <t>mm98285:</t>
        </r>
        <r>
          <rPr>
            <sz val="7"/>
            <color indexed="81"/>
            <rFont val="Tahoma"/>
            <family val="2"/>
          </rPr>
          <t xml:space="preserve">
There were no shares purchased pursuant to A&amp;F’s publicly announced stock repurchase authorizations during 3Q</t>
        </r>
      </text>
    </comment>
    <comment ref="BP195" authorId="5">
      <text>
        <r>
          <rPr>
            <b/>
            <sz val="8"/>
            <color indexed="81"/>
            <rFont val="Tahoma"/>
            <family val="2"/>
          </rPr>
          <t>nicholjs:</t>
        </r>
        <r>
          <rPr>
            <sz val="8"/>
            <color indexed="81"/>
            <rFont val="Tahoma"/>
            <family val="2"/>
          </rPr>
          <t xml:space="preserve">
11/2010: repo'ed 669,100 shares for $29.207mm, avg cost $43.65
10.6mm shares remain on authorization</t>
        </r>
      </text>
    </comment>
    <comment ref="BT195" authorId="6">
      <text>
        <r>
          <rPr>
            <b/>
            <sz val="8"/>
            <color indexed="81"/>
            <rFont val="Tahoma"/>
            <family val="2"/>
          </rPr>
          <t xml:space="preserve">solejay: 
</t>
        </r>
        <r>
          <rPr>
            <sz val="8"/>
            <color indexed="81"/>
            <rFont val="Tahoma"/>
            <family val="2"/>
          </rPr>
          <t>11/2011: During the third quarter of Fiscal 2011, the Company repurchased 150,000 shares of its common stock at an aggregate cost of approximately $8.8 million.  As of October 29, 2011, the Company had approximately 8.2 million remaining shares available for purchase under its publicly announced stock repurchase authorizations.</t>
        </r>
      </text>
    </comment>
    <comment ref="BX195" authorId="7">
      <text>
        <r>
          <rPr>
            <b/>
            <sz val="8"/>
            <color indexed="81"/>
            <rFont val="Tahoma"/>
            <family val="2"/>
          </rPr>
          <t>casselau:</t>
        </r>
        <r>
          <rPr>
            <sz val="8"/>
            <color indexed="81"/>
            <rFont val="Tahoma"/>
            <family val="2"/>
          </rPr>
          <t xml:space="preserve">
11/14: during 3Q12 the company repurchased 3.025M shares of its common stock at an aggregate cost of ~$104.3M; has 19.9M remaining shares available for purchase</t>
        </r>
      </text>
    </comment>
    <comment ref="CB195" authorId="7">
      <text>
        <r>
          <rPr>
            <b/>
            <sz val="8"/>
            <color indexed="81"/>
            <rFont val="Tahoma"/>
            <family val="2"/>
          </rPr>
          <t>casselau:</t>
        </r>
        <r>
          <rPr>
            <sz val="8"/>
            <color indexed="81"/>
            <rFont val="Tahoma"/>
            <family val="2"/>
          </rPr>
          <t xml:space="preserve">
no share repurchases</t>
        </r>
      </text>
    </comment>
    <comment ref="CF195" authorId="7">
      <text>
        <r>
          <rPr>
            <b/>
            <sz val="9"/>
            <color indexed="81"/>
            <rFont val="Tahoma"/>
            <family val="2"/>
          </rPr>
          <t>casselau:</t>
        </r>
        <r>
          <rPr>
            <sz val="9"/>
            <color indexed="81"/>
            <rFont val="Tahoma"/>
            <family val="2"/>
          </rPr>
          <t xml:space="preserve">
12/3/14: repurchased 2.039M shares for $75.038M; have approximately 9M shares remaining available for repurchase under
our previously announced stock repurchase authorization</t>
        </r>
      </text>
    </comment>
    <comment ref="CJ195" authorId="7">
      <text>
        <r>
          <rPr>
            <b/>
            <sz val="9"/>
            <color indexed="81"/>
            <rFont val="Tahoma"/>
            <family val="2"/>
          </rPr>
          <t>casselau:</t>
        </r>
        <r>
          <rPr>
            <sz val="9"/>
            <color indexed="81"/>
            <rFont val="Tahoma"/>
            <family val="2"/>
          </rPr>
          <t xml:space="preserve">
11/20/15: Repurchased approximately 2.4605M shares of its common stock for $20.33M.  As of October 31, 2015, the company had approximately 6.5 million shares remaining available for purchase under its publicly announced stock repurchase authorizations.</t>
        </r>
      </text>
    </comment>
    <comment ref="AB196" authorId="22">
      <text>
        <r>
          <rPr>
            <b/>
            <sz val="8"/>
            <color indexed="81"/>
            <rFont val="Tahoma"/>
            <family val="2"/>
          </rPr>
          <t>plejuez:</t>
        </r>
        <r>
          <rPr>
            <sz val="8"/>
            <color indexed="81"/>
            <rFont val="Tahoma"/>
            <family val="2"/>
          </rPr>
          <t xml:space="preserve">
stock price was $30</t>
        </r>
      </text>
    </comment>
    <comment ref="AR196" authorId="19">
      <text>
        <r>
          <rPr>
            <sz val="8"/>
            <color indexed="81"/>
            <rFont val="Tahoma"/>
            <family val="2"/>
          </rPr>
          <t>11/04: per 3Q conf call assuming no buy back - shares would be 93m in 4Q
approved add'l 6mm share repurchase. 5.4 of prior 6mm share auth repurchased in 3Q.
6mm share buyback authorization passed 7/29/04 - will likely buy over 18 months, but restricted for most of 4th quarter, so can buy less.</t>
        </r>
      </text>
    </comment>
    <comment ref="AV196" authorId="3">
      <text>
        <r>
          <rPr>
            <b/>
            <sz val="8"/>
            <color indexed="81"/>
            <rFont val="Tahoma"/>
            <family val="2"/>
          </rPr>
          <t>MB33100:</t>
        </r>
        <r>
          <rPr>
            <sz val="8"/>
            <color indexed="81"/>
            <rFont val="Tahoma"/>
            <family val="2"/>
          </rPr>
          <t xml:space="preserve">
89.5</t>
        </r>
      </text>
    </comment>
    <comment ref="BD196" authorId="13">
      <text>
        <r>
          <rPr>
            <b/>
            <sz val="8"/>
            <color indexed="81"/>
            <rFont val="Tahoma"/>
            <family val="2"/>
          </rPr>
          <t>mm98285:</t>
        </r>
        <r>
          <rPr>
            <sz val="8"/>
            <color indexed="81"/>
            <rFont val="Tahoma"/>
            <family val="2"/>
          </rPr>
          <t xml:space="preserve">
4Q07: no share repo
Assume +350K option creep and ANF did 1.7mm shares of 2.6mm repo in 3QWA so 0.9mm shares repo remaining</t>
        </r>
        <r>
          <rPr>
            <b/>
            <sz val="8"/>
            <color indexed="81"/>
            <rFont val="Tahoma"/>
            <family val="2"/>
          </rPr>
          <t xml:space="preserve">
kg51925:</t>
        </r>
        <r>
          <rPr>
            <sz val="8"/>
            <color indexed="81"/>
            <rFont val="Tahoma"/>
            <family val="2"/>
          </rPr>
          <t xml:space="preserve">
assume 500k options creep and 500k + 300k share repo based on 1.8 total share repo and also repo 50% of $42mm/$72 = 0.3</t>
        </r>
      </text>
    </comment>
    <comment ref="BH196" authorId="4">
      <text>
        <r>
          <rPr>
            <b/>
            <sz val="8"/>
            <color indexed="81"/>
            <rFont val="Tahoma"/>
            <family val="2"/>
          </rPr>
          <t>mm98285:</t>
        </r>
        <r>
          <rPr>
            <sz val="8"/>
            <color indexed="81"/>
            <rFont val="Tahoma"/>
            <family val="2"/>
          </rPr>
          <t xml:space="preserve">
no repurchase</t>
        </r>
      </text>
    </comment>
    <comment ref="BP196" authorId="5">
      <text>
        <r>
          <rPr>
            <b/>
            <sz val="8"/>
            <color indexed="81"/>
            <rFont val="Tahoma"/>
            <family val="2"/>
          </rPr>
          <t>nicholjs:</t>
        </r>
        <r>
          <rPr>
            <sz val="8"/>
            <color indexed="81"/>
            <rFont val="Tahoma"/>
            <family val="2"/>
          </rPr>
          <t xml:space="preserve">
repurchased 912,600 shares  for $46.951mm at avg cost of $51.45
11/2010: assume $35mm share repo</t>
        </r>
      </text>
    </comment>
    <comment ref="BX196" authorId="7">
      <text>
        <r>
          <rPr>
            <b/>
            <sz val="8"/>
            <color indexed="81"/>
            <rFont val="Tahoma"/>
            <family val="2"/>
          </rPr>
          <t>casselau:</t>
        </r>
        <r>
          <rPr>
            <sz val="8"/>
            <color indexed="81"/>
            <rFont val="Tahoma"/>
            <family val="2"/>
          </rPr>
          <t xml:space="preserve">
the company repurchased 1.2M shares for ~56.2M</t>
        </r>
      </text>
    </comment>
    <comment ref="CB196" authorId="7">
      <text>
        <r>
          <rPr>
            <b/>
            <sz val="8"/>
            <color indexed="81"/>
            <rFont val="Tahoma"/>
            <family val="2"/>
          </rPr>
          <t>casselau:</t>
        </r>
        <r>
          <rPr>
            <sz val="8"/>
            <color indexed="81"/>
            <rFont val="Tahoma"/>
            <family val="2"/>
          </rPr>
          <t xml:space="preserve">
no share repurchases</t>
        </r>
      </text>
    </comment>
    <comment ref="CN196" authorId="8">
      <text>
        <r>
          <rPr>
            <b/>
            <sz val="9"/>
            <color indexed="81"/>
            <rFont val="Tahoma"/>
            <family val="2"/>
          </rPr>
          <t>Cassel, Lauren (Research):</t>
        </r>
        <r>
          <rPr>
            <sz val="9"/>
            <color indexed="81"/>
            <rFont val="Tahoma"/>
            <family val="2"/>
          </rPr>
          <t xml:space="preserve">
Guidance 11/18/16: A WEIGHTED AVERAGE DILUTED SHARE COUNT OF APPROXIMATELY 68 MILLION SHARES, EXCLUDING
THE EFFECT OF POTENTIAL SHARE BUYBACKS</t>
        </r>
      </text>
    </comment>
    <comment ref="CR196" authorId="12">
      <text>
        <r>
          <rPr>
            <b/>
            <sz val="9"/>
            <color indexed="81"/>
            <rFont val="Tahoma"/>
            <family val="2"/>
          </rPr>
          <t>Roberts, Cynthia (Research):</t>
        </r>
        <r>
          <rPr>
            <sz val="9"/>
            <color indexed="81"/>
            <rFont val="Tahoma"/>
            <family val="2"/>
          </rPr>
          <t xml:space="preserve">
11/17/17: Guidance 70M shares excluding buybacks</t>
        </r>
      </text>
    </comment>
    <comment ref="BX197" authorId="14">
      <text>
        <r>
          <rPr>
            <sz val="8"/>
            <color indexed="81"/>
            <rFont val="Tahoma"/>
            <family val="2"/>
          </rPr>
          <t>2/22/13: during FY2012 the company repurchased 7.5M shares for ~321.7M; as of Feb 2, 2013, the company had approximately 18.7M shares remaining available for purchase under its stock repurchase authorizations
11/14/12: ~83.1M shares
5/12/2012: Additionally, the Board of Directors increased the existing share repurchase authorization by ten million shares, bringing the shares available for purchase under its publicly announced share repurchase authorization to 12.9 million shares.
2/15/2012 guide: no share repos assumed in guidance</t>
        </r>
      </text>
    </comment>
    <comment ref="CB197" authorId="7">
      <text>
        <r>
          <rPr>
            <b/>
            <sz val="8"/>
            <color indexed="81"/>
            <rFont val="Tahoma"/>
            <family val="2"/>
          </rPr>
          <t xml:space="preserve">casselau:
2/26/14: </t>
        </r>
        <r>
          <rPr>
            <sz val="8"/>
            <color indexed="81"/>
            <rFont val="Tahoma"/>
            <family val="2"/>
          </rPr>
          <t>the company repurchased 2.4M shares for $115.8M; has 16.3M shares remaining available for purchase</t>
        </r>
        <r>
          <rPr>
            <sz val="8"/>
            <color indexed="81"/>
            <rFont val="Tahoma"/>
            <family val="2"/>
          </rPr>
          <t xml:space="preserve">
2/22/13: guidance 81.3M (assumes no additional share buybacks)</t>
        </r>
      </text>
    </comment>
    <comment ref="CF197" authorId="7">
      <text>
        <r>
          <rPr>
            <b/>
            <sz val="8"/>
            <color indexed="81"/>
            <rFont val="Tahoma"/>
            <family val="2"/>
          </rPr>
          <t xml:space="preserve">casselau:
3/3/15: repurchased $7.3M shares for $285M; has 9M shares remaining available for purchase
12/3/14: guidance 73.1M shares
</t>
        </r>
        <r>
          <rPr>
            <sz val="8"/>
            <color indexed="81"/>
            <rFont val="Tahoma"/>
            <family val="2"/>
          </rPr>
          <t>8/28/14:</t>
        </r>
        <r>
          <rPr>
            <b/>
            <sz val="8"/>
            <color indexed="81"/>
            <rFont val="Tahoma"/>
            <family val="2"/>
          </rPr>
          <t xml:space="preserve"> </t>
        </r>
        <r>
          <rPr>
            <sz val="8"/>
            <color indexed="81"/>
            <rFont val="Tahoma"/>
            <family val="2"/>
          </rPr>
          <t>guidance assumed 73.6M</t>
        </r>
        <r>
          <rPr>
            <b/>
            <sz val="8"/>
            <color indexed="81"/>
            <rFont val="Tahoma"/>
            <family val="2"/>
          </rPr>
          <t xml:space="preserve">
</t>
        </r>
        <r>
          <rPr>
            <sz val="8"/>
            <color indexed="81"/>
            <rFont val="Tahoma"/>
            <family val="2"/>
          </rPr>
          <t>5/29/14:  guidance assumes 74.5M shares
2/26/14: guidance assumes 78M</t>
        </r>
      </text>
    </comment>
    <comment ref="CJ197" authorId="7">
      <text>
        <r>
          <rPr>
            <b/>
            <sz val="9"/>
            <color indexed="81"/>
            <rFont val="Tahoma"/>
            <family val="2"/>
          </rPr>
          <t>casselau:
3/2/16: During the year, the company repurchased 2.5 million shares of its common stock at an aggregate
cost of approximately $50.0 million.  As of January 30, 2016, the company had approximately 6.5 million shares remaining available for purchase under its publicly announced stock repurchase authorizations.
11/20/15: guidance 68M shares</t>
        </r>
        <r>
          <rPr>
            <sz val="9"/>
            <color indexed="81"/>
            <rFont val="Tahoma"/>
            <family val="2"/>
          </rPr>
          <t xml:space="preserve">
3/3/15: 70M share guidance</t>
        </r>
      </text>
    </comment>
    <comment ref="CN197" authorId="7">
      <text>
        <r>
          <rPr>
            <b/>
            <sz val="9"/>
            <color indexed="81"/>
            <rFont val="Tahoma"/>
            <family val="2"/>
          </rPr>
          <t>casselau:</t>
        </r>
        <r>
          <rPr>
            <sz val="9"/>
            <color indexed="81"/>
            <rFont val="Tahoma"/>
            <family val="2"/>
          </rPr>
          <t xml:space="preserve">
3/2/16: weighted average diluted share count of approximately 68 million shares, excluding the effect of potential share buybacks 
</t>
        </r>
      </text>
    </comment>
    <comment ref="CR197" authorId="8">
      <text>
        <r>
          <rPr>
            <b/>
            <sz val="9"/>
            <color indexed="81"/>
            <rFont val="Tahoma"/>
            <family val="2"/>
          </rPr>
          <t>Cassel, Lauren (Research):
8/24/17: guidance 69M</t>
        </r>
        <r>
          <rPr>
            <sz val="9"/>
            <color indexed="81"/>
            <rFont val="Tahoma"/>
            <family val="2"/>
          </rPr>
          <t xml:space="preserve">
3/2/17: guidance 68M shares</t>
        </r>
      </text>
    </comment>
    <comment ref="CV197" authorId="8">
      <text>
        <r>
          <rPr>
            <b/>
            <sz val="9"/>
            <color indexed="81"/>
            <rFont val="Tahoma"/>
            <family val="2"/>
          </rPr>
          <t>Cassel, Lauren (Research):</t>
        </r>
        <r>
          <rPr>
            <sz val="9"/>
            <color indexed="81"/>
            <rFont val="Tahoma"/>
            <family val="2"/>
          </rPr>
          <t xml:space="preserve">
3/9/18: 71M shares guidance, excluding the effect of potential share buybacks</t>
        </r>
      </text>
    </comment>
    <comment ref="CB204" authorId="7">
      <text>
        <r>
          <rPr>
            <b/>
            <sz val="8"/>
            <color indexed="81"/>
            <rFont val="Tahoma"/>
            <family val="2"/>
          </rPr>
          <t>casselau:</t>
        </r>
        <r>
          <rPr>
            <sz val="8"/>
            <color indexed="81"/>
            <rFont val="Tahoma"/>
            <family val="2"/>
          </rPr>
          <t xml:space="preserve">
On May 21, 2013, the Board of Directors declared a quarterly cash dividend of $0.20 per share</t>
        </r>
      </text>
    </comment>
    <comment ref="BT205" authorId="5">
      <text>
        <r>
          <rPr>
            <b/>
            <sz val="8"/>
            <color indexed="81"/>
            <rFont val="Tahoma"/>
            <family val="2"/>
          </rPr>
          <t>nicholjs:</t>
        </r>
        <r>
          <rPr>
            <sz val="8"/>
            <color indexed="81"/>
            <rFont val="Tahoma"/>
            <family val="2"/>
          </rPr>
          <t xml:space="preserve">
On May 17, 2011, the Board of Directors declared a quarterly cash dividend of $0.175 per share on the Class A
Common Stock of Abercrombie &amp; Fitch Co. payable on June 14, 2011 to shareholders of record at the close of
business on May 27, 2011.</t>
        </r>
      </text>
    </comment>
    <comment ref="CB205" authorId="7">
      <text>
        <r>
          <rPr>
            <b/>
            <sz val="8"/>
            <color indexed="81"/>
            <rFont val="Tahoma"/>
            <family val="2"/>
          </rPr>
          <t>casselau:</t>
        </r>
        <r>
          <rPr>
            <sz val="8"/>
            <color indexed="81"/>
            <rFont val="Tahoma"/>
            <family val="2"/>
          </rPr>
          <t xml:space="preserve">
On August 20, the BofD declared $0.20 dividend</t>
        </r>
      </text>
    </comment>
    <comment ref="BT206" authorId="5">
      <text>
        <r>
          <rPr>
            <b/>
            <sz val="8"/>
            <color indexed="81"/>
            <rFont val="Tahoma"/>
            <family val="2"/>
          </rPr>
          <t>nicholjs:</t>
        </r>
        <r>
          <rPr>
            <sz val="8"/>
            <color indexed="81"/>
            <rFont val="Tahoma"/>
            <family val="2"/>
          </rPr>
          <t xml:space="preserve">
declared Aug 16, payable on Sept 13 to shareholders of record at close of business Aug 29</t>
        </r>
      </text>
    </comment>
    <comment ref="CB206" authorId="7">
      <text>
        <r>
          <rPr>
            <b/>
            <sz val="8"/>
            <color indexed="81"/>
            <rFont val="Tahoma"/>
            <family val="2"/>
          </rPr>
          <t>casselau:</t>
        </r>
        <r>
          <rPr>
            <sz val="8"/>
            <color indexed="81"/>
            <rFont val="Tahoma"/>
            <family val="2"/>
          </rPr>
          <t xml:space="preserve">
11/20/13: $0.20 div declared</t>
        </r>
      </text>
    </comment>
    <comment ref="BL221" authorId="10">
      <text>
        <r>
          <rPr>
            <b/>
            <sz val="8"/>
            <color indexed="81"/>
            <rFont val="Tahoma"/>
            <family val="2"/>
          </rPr>
          <t>oc48540:</t>
        </r>
        <r>
          <rPr>
            <sz val="8"/>
            <color indexed="81"/>
            <rFont val="Tahoma"/>
            <family val="2"/>
          </rPr>
          <t xml:space="preserve">
Outstanding at June 4, 2009
87,877,103 Shares
</t>
        </r>
      </text>
    </comment>
    <comment ref="BT221" authorId="5">
      <text>
        <r>
          <rPr>
            <b/>
            <sz val="8"/>
            <color indexed="81"/>
            <rFont val="Tahoma"/>
            <family val="2"/>
          </rPr>
          <t>nicholjs:</t>
        </r>
        <r>
          <rPr>
            <sz val="8"/>
            <color indexed="81"/>
            <rFont val="Tahoma"/>
            <family val="2"/>
          </rPr>
          <t xml:space="preserve">
87,667,424 shares out as of June 3</t>
        </r>
      </text>
    </comment>
    <comment ref="BL222" authorId="10">
      <text>
        <r>
          <rPr>
            <b/>
            <sz val="8"/>
            <color indexed="81"/>
            <rFont val="Tahoma"/>
            <family val="2"/>
          </rPr>
          <t>oc48540:</t>
        </r>
        <r>
          <rPr>
            <sz val="8"/>
            <color indexed="81"/>
            <rFont val="Tahoma"/>
            <family val="2"/>
          </rPr>
          <t xml:space="preserve">
Sept 4- 2009: 
87,954,921 Shares</t>
        </r>
      </text>
    </comment>
    <comment ref="BT222" authorId="5">
      <text>
        <r>
          <rPr>
            <b/>
            <sz val="8"/>
            <color indexed="81"/>
            <rFont val="Tahoma"/>
            <family val="2"/>
          </rPr>
          <t>nicholjs:</t>
        </r>
        <r>
          <rPr>
            <sz val="8"/>
            <color indexed="81"/>
            <rFont val="Tahoma"/>
            <family val="2"/>
          </rPr>
          <t xml:space="preserve">
86,940,167 shares out as of Sept 2</t>
        </r>
      </text>
    </comment>
    <comment ref="BL223" authorId="10">
      <text>
        <r>
          <rPr>
            <sz val="8"/>
            <color indexed="81"/>
            <rFont val="Tahoma"/>
            <family val="2"/>
          </rPr>
          <t xml:space="preserve">Outstanding at December 4, 2009 = 87,982,548 Shares
</t>
        </r>
      </text>
    </comment>
    <comment ref="BT223" authorId="6">
      <text>
        <r>
          <rPr>
            <b/>
            <sz val="8"/>
            <color indexed="81"/>
            <rFont val="Tahoma"/>
            <family val="2"/>
          </rPr>
          <t>solejay:</t>
        </r>
        <r>
          <rPr>
            <sz val="8"/>
            <color indexed="81"/>
            <rFont val="Tahoma"/>
            <family val="2"/>
          </rPr>
          <t xml:space="preserve">
from 4Q webcast presentation</t>
        </r>
      </text>
    </comment>
    <comment ref="BD227" authorId="4">
      <text>
        <r>
          <rPr>
            <b/>
            <sz val="8"/>
            <color indexed="81"/>
            <rFont val="Tahoma"/>
            <family val="2"/>
          </rPr>
          <t>mm98285:</t>
        </r>
        <r>
          <rPr>
            <sz val="8"/>
            <color indexed="81"/>
            <rFont val="Tahoma"/>
            <family val="2"/>
          </rPr>
          <t xml:space="preserve">
5/07: said $44 on 1Q conf call</t>
        </r>
      </text>
    </comment>
    <comment ref="BP227" authorId="10">
      <text>
        <r>
          <rPr>
            <b/>
            <sz val="8"/>
            <color indexed="81"/>
            <rFont val="Tahoma"/>
            <family val="2"/>
          </rPr>
          <t>2/16</t>
        </r>
        <r>
          <rPr>
            <sz val="8"/>
            <color indexed="81"/>
            <rFont val="Tahoma"/>
            <family val="2"/>
          </rPr>
          <t xml:space="preserve">
We expect net depreciation and amortization expense for
fiscal 2010 to be approximately in line with that of fiscal 2009.</t>
        </r>
      </text>
    </comment>
    <comment ref="BD230" authorId="18">
      <text>
        <r>
          <rPr>
            <b/>
            <sz val="8"/>
            <color indexed="81"/>
            <rFont val="Tahoma"/>
            <family val="2"/>
          </rPr>
          <t>OC48540:</t>
        </r>
        <r>
          <rPr>
            <sz val="8"/>
            <color indexed="81"/>
            <rFont val="Tahoma"/>
            <family val="2"/>
          </rPr>
          <t xml:space="preserve">
4Q07 earnings 2/08: about $50mm and for full year will be around $190mm</t>
        </r>
      </text>
    </comment>
  </commentList>
</comments>
</file>

<file path=xl/comments5.xml><?xml version="1.0" encoding="utf-8"?>
<comments xmlns="http://schemas.openxmlformats.org/spreadsheetml/2006/main">
  <authors>
    <author>nicholjs</author>
    <author>mm98285</author>
    <author>casselau</author>
    <author>kimberlg</author>
    <author>oc48540</author>
    <author>kahng</author>
    <author>MB33100</author>
    <author>lauraro</author>
    <author>jwyatt</author>
    <author>DL</author>
    <author>Cassel, Lauren (Research)</author>
    <author>Lehman Brothers</author>
    <author>Corinna Freedman</author>
    <author>kg51925</author>
    <author>Kimberly Greenberger</author>
  </authors>
  <commentList>
    <comment ref="Z7" authorId="0">
      <text>
        <r>
          <rPr>
            <b/>
            <sz val="8"/>
            <color indexed="81"/>
            <rFont val="Tahoma"/>
            <family val="2"/>
          </rPr>
          <t>nicholjs:</t>
        </r>
        <r>
          <rPr>
            <sz val="8"/>
            <color indexed="81"/>
            <rFont val="Tahoma"/>
            <family val="2"/>
          </rPr>
          <t xml:space="preserve">
4/5/2011: goal $7.5B by 2015, half international, half domestic</t>
        </r>
      </text>
    </comment>
    <comment ref="U8" authorId="1">
      <text>
        <r>
          <rPr>
            <b/>
            <sz val="8"/>
            <color indexed="81"/>
            <rFont val="Tahoma"/>
            <family val="2"/>
          </rPr>
          <t>mm98285:</t>
        </r>
        <r>
          <rPr>
            <sz val="8"/>
            <color indexed="81"/>
            <rFont val="Tahoma"/>
            <family val="2"/>
          </rPr>
          <t xml:space="preserve">
+$250-$255M from incremental int'l rev's minus $150 from closings or ~3.5% rev growth (plus need to add non flagship sq ft growth and comp) gets to ~1.5-2% total rev growth</t>
        </r>
      </text>
    </comment>
    <comment ref="Z11" authorId="2">
      <text>
        <r>
          <rPr>
            <b/>
            <sz val="9"/>
            <color indexed="81"/>
            <rFont val="Tahoma"/>
            <family val="2"/>
          </rPr>
          <t>casselau:</t>
        </r>
        <r>
          <rPr>
            <sz val="9"/>
            <color indexed="81"/>
            <rFont val="Tahoma"/>
            <family val="2"/>
          </rPr>
          <t xml:space="preserve">
expect AUC down</t>
        </r>
      </text>
    </comment>
    <comment ref="W12" authorId="0">
      <text>
        <r>
          <rPr>
            <b/>
            <sz val="8"/>
            <color indexed="81"/>
            <rFont val="Tahoma"/>
            <family val="2"/>
          </rPr>
          <t>nicholjs:</t>
        </r>
        <r>
          <rPr>
            <sz val="8"/>
            <color indexed="81"/>
            <rFont val="Tahoma"/>
            <family val="2"/>
          </rPr>
          <t xml:space="preserve">
8/17: will still have a relatively tough cotton comparison in 1Q12, but should start to see that turn favorable about part way through 2Q12; although other costs (labor) remain elevated
2010 10K: we had an original objective of returning our gross margin to our peak level of around 67% by 2012. Due to significant sourcing cost pressures, we no longer believe this objective is realistic.</t>
        </r>
      </text>
    </comment>
    <comment ref="S14" authorId="2">
      <text>
        <r>
          <rPr>
            <b/>
            <sz val="8"/>
            <color indexed="81"/>
            <rFont val="Tahoma"/>
            <family val="2"/>
          </rPr>
          <t>casselau:</t>
        </r>
        <r>
          <rPr>
            <sz val="8"/>
            <color indexed="81"/>
            <rFont val="Tahoma"/>
            <family val="2"/>
          </rPr>
          <t xml:space="preserve">
2/22/13: adjusted to arrive at non-GAAP EPS of $2.10</t>
        </r>
      </text>
    </comment>
    <comment ref="U14" authorId="2">
      <text>
        <r>
          <rPr>
            <b/>
            <sz val="8"/>
            <color indexed="81"/>
            <rFont val="Tahoma"/>
            <family val="2"/>
          </rPr>
          <t>2/22/13: adjusted to arrive at non-GAAP EPS of $2.10</t>
        </r>
      </text>
    </comment>
    <comment ref="Y14" authorId="3">
      <text>
        <r>
          <rPr>
            <b/>
            <sz val="8"/>
            <color indexed="81"/>
            <rFont val="Tahoma"/>
            <family val="2"/>
          </rPr>
          <t>kimberlg:</t>
        </r>
        <r>
          <rPr>
            <sz val="8"/>
            <color indexed="81"/>
            <rFont val="Tahoma"/>
            <family val="2"/>
          </rPr>
          <t xml:space="preserve">
8/23/13: this assumes ANFachieved $20M of the $100M in savings in 2013, then $80M in 2014. underlying SG&amp;A grows 2.5% vs. sales +3.1% = $2.446Bn</t>
        </r>
      </text>
    </comment>
    <comment ref="Z14" authorId="2">
      <text>
        <r>
          <rPr>
            <b/>
            <sz val="9"/>
            <color indexed="81"/>
            <rFont val="Tahoma"/>
            <family val="2"/>
          </rPr>
          <t>casselau:</t>
        </r>
        <r>
          <rPr>
            <sz val="9"/>
            <color indexed="81"/>
            <rFont val="Tahoma"/>
            <family val="2"/>
          </rPr>
          <t xml:space="preserve">
expect further cost cuts (not yet quantified)</t>
        </r>
      </text>
    </comment>
    <comment ref="W17" authorId="0">
      <text>
        <r>
          <rPr>
            <b/>
            <sz val="8"/>
            <color indexed="81"/>
            <rFont val="Tahoma"/>
            <family val="2"/>
          </rPr>
          <t>nicholjs:</t>
        </r>
        <r>
          <rPr>
            <sz val="8"/>
            <color indexed="81"/>
            <rFont val="Tahoma"/>
            <family val="2"/>
          </rPr>
          <t xml:space="preserve">
6/8/2011: 2012 guidance/outlook includes $100mm of pre-opening expenses (including country entry investment, etc, not just preopening rent)
check:
2011 occupancy:
grow w/ Hollister int'l openings, 2013 flagship pre-opening rent, minus store closures
</t>
        </r>
      </text>
    </comment>
    <comment ref="U18" authorId="4">
      <text>
        <r>
          <rPr>
            <sz val="8"/>
            <color indexed="81"/>
            <rFont val="Tahoma"/>
            <family val="2"/>
          </rPr>
          <t>Also includes $10mm of incentive comp
+(10/R7)</t>
        </r>
      </text>
    </comment>
    <comment ref="X18" authorId="5">
      <text>
        <r>
          <rPr>
            <b/>
            <sz val="8"/>
            <color indexed="81"/>
            <rFont val="Tahoma"/>
            <family val="2"/>
          </rPr>
          <t>kahng:</t>
        </r>
        <r>
          <rPr>
            <sz val="8"/>
            <color indexed="81"/>
            <rFont val="Tahoma"/>
            <family val="2"/>
          </rPr>
          <t xml:space="preserve">
prev: 38.8% raised to 41.5% to be more inline with historical avgs</t>
        </r>
      </text>
    </comment>
    <comment ref="W20" authorId="0">
      <text>
        <r>
          <rPr>
            <b/>
            <sz val="8"/>
            <color indexed="81"/>
            <rFont val="Tahoma"/>
            <family val="2"/>
          </rPr>
          <t>nicholjs:</t>
        </r>
        <r>
          <rPr>
            <sz val="8"/>
            <color indexed="81"/>
            <rFont val="Tahoma"/>
            <family val="2"/>
          </rPr>
          <t xml:space="preserve">
9/7/2011: expect to get a very healthy leverage benefit from MG&amp;A in general going forward; one caveat to that is equity comp which is a function of where the stock price goes and has the potential to cause greater volatility over the next 18 months</t>
        </r>
      </text>
    </comment>
    <comment ref="J21" authorId="6">
      <text>
        <r>
          <rPr>
            <b/>
            <sz val="8"/>
            <color indexed="81"/>
            <rFont val="Tahoma"/>
            <family val="2"/>
          </rPr>
          <t>MB33100:</t>
        </r>
        <r>
          <rPr>
            <sz val="8"/>
            <color indexed="81"/>
            <rFont val="Tahoma"/>
            <family val="2"/>
          </rPr>
          <t xml:space="preserve">
was 111.77 prior to restate</t>
        </r>
      </text>
    </comment>
    <comment ref="K21" authorId="6">
      <text>
        <r>
          <rPr>
            <b/>
            <sz val="8"/>
            <color indexed="81"/>
            <rFont val="Tahoma"/>
            <family val="2"/>
          </rPr>
          <t>MB33100:</t>
        </r>
        <r>
          <rPr>
            <sz val="8"/>
            <color indexed="81"/>
            <rFont val="Tahoma"/>
            <family val="2"/>
          </rPr>
          <t xml:space="preserve">
was 127.96</t>
        </r>
      </text>
    </comment>
    <comment ref="M21" authorId="1">
      <text>
        <r>
          <rPr>
            <b/>
            <sz val="8"/>
            <color indexed="81"/>
            <rFont val="Tahoma"/>
            <family val="2"/>
          </rPr>
          <t>mm98285:</t>
        </r>
        <r>
          <rPr>
            <sz val="8"/>
            <color indexed="81"/>
            <rFont val="Tahoma"/>
            <family val="2"/>
          </rPr>
          <t xml:space="preserve">
fixed min: $170.009
contingent: $16.178
buildings, eqm't, other: $3.241</t>
        </r>
      </text>
    </comment>
    <comment ref="O21" authorId="1">
      <text>
        <r>
          <rPr>
            <u/>
            <sz val="8"/>
            <color indexed="81"/>
            <rFont val="Tahoma"/>
            <family val="2"/>
          </rPr>
          <t xml:space="preserve">all-in RE = $333.8mm
</t>
        </r>
        <r>
          <rPr>
            <b/>
            <sz val="8"/>
            <color indexed="81"/>
            <rFont val="Tahoma"/>
            <family val="2"/>
          </rPr>
          <t xml:space="preserve">
</t>
        </r>
        <r>
          <rPr>
            <sz val="8"/>
            <color indexed="81"/>
            <rFont val="Tahoma"/>
            <family val="2"/>
          </rPr>
          <t>fixed min: $196.690
contingent: $20.192
buildings, eqm't, other: $5.646</t>
        </r>
      </text>
    </comment>
    <comment ref="P21" authorId="2">
      <text>
        <r>
          <rPr>
            <b/>
            <sz val="8"/>
            <color indexed="81"/>
            <rFont val="Tahoma"/>
            <family val="2"/>
          </rPr>
          <t>from 10-K</t>
        </r>
      </text>
    </comment>
    <comment ref="Q21" authorId="1">
      <text>
        <r>
          <rPr>
            <u/>
            <sz val="8"/>
            <color indexed="81"/>
            <rFont val="Tahoma"/>
            <family val="2"/>
          </rPr>
          <t>4/2010:</t>
        </r>
        <r>
          <rPr>
            <sz val="8"/>
            <color indexed="81"/>
            <rFont val="Tahoma"/>
            <family val="2"/>
          </rPr>
          <t xml:space="preserve"> changed from previous 10-K value of 259.238 to 249.170
</t>
        </r>
        <r>
          <rPr>
            <u/>
            <sz val="8"/>
            <color indexed="81"/>
            <rFont val="Tahoma"/>
            <family val="2"/>
          </rPr>
          <t xml:space="preserve">
all-in RE = $388.8mm</t>
        </r>
        <r>
          <rPr>
            <sz val="8"/>
            <color indexed="81"/>
            <rFont val="Tahoma"/>
            <family val="2"/>
          </rPr>
          <t xml:space="preserve">
fixed min: $231.653
contingent: $21.489
Excludes buildings, eqm't, other: $6.096</t>
        </r>
      </text>
    </comment>
    <comment ref="R21" authorId="2">
      <text>
        <r>
          <rPr>
            <b/>
            <sz val="8"/>
            <color indexed="81"/>
            <rFont val="Tahoma"/>
            <family val="2"/>
          </rPr>
          <t>from 10-K</t>
        </r>
      </text>
    </comment>
    <comment ref="S21" authorId="1">
      <text>
        <r>
          <rPr>
            <b/>
            <sz val="10"/>
            <color indexed="81"/>
            <rFont val="Tahoma"/>
            <family val="2"/>
          </rPr>
          <t>From 10-K</t>
        </r>
        <r>
          <rPr>
            <u/>
            <sz val="10"/>
            <color indexed="81"/>
            <rFont val="Tahoma"/>
            <family val="2"/>
          </rPr>
          <t xml:space="preserve">
4/2010: </t>
        </r>
        <r>
          <rPr>
            <sz val="10"/>
            <color indexed="81"/>
            <rFont val="Tahoma"/>
            <family val="2"/>
          </rPr>
          <t>changed from previous 10-K value of 300.797 to 287.302</t>
        </r>
        <r>
          <rPr>
            <u/>
            <sz val="10"/>
            <color indexed="81"/>
            <rFont val="Tahoma"/>
            <family val="2"/>
          </rPr>
          <t xml:space="preserve">
all-in RE = $446.9mm</t>
        </r>
        <r>
          <rPr>
            <sz val="10"/>
            <color indexed="81"/>
            <rFont val="Tahoma"/>
            <family val="2"/>
          </rPr>
          <t xml:space="preserve">
Fixed minimum: $280.614M, contingent $14.278M, 
Excludes buildings, equip, other $5.905M
CAM, insurance, marketing &amp; taxes was $146.1M in FY08</t>
        </r>
      </text>
    </comment>
    <comment ref="T21" authorId="4">
      <text>
        <r>
          <rPr>
            <b/>
            <sz val="8"/>
            <color indexed="81"/>
            <rFont val="Tahoma"/>
            <family val="2"/>
          </rPr>
          <t>From 10-K</t>
        </r>
        <r>
          <rPr>
            <u/>
            <sz val="8"/>
            <color indexed="81"/>
            <rFont val="Tahoma"/>
            <family val="2"/>
          </rPr>
          <t xml:space="preserve">
all-in RE = $471.2mm</t>
        </r>
        <r>
          <rPr>
            <sz val="8"/>
            <color indexed="81"/>
            <rFont val="Tahoma"/>
            <family val="2"/>
          </rPr>
          <t xml:space="preserve">
Fixed minimum: $301.138M, contingent $6.136M, 
Excludes buildings, equip, other $5.071M
CAM, insurance, marketing &amp; taxes was $158.9M in FY09</t>
        </r>
      </text>
    </comment>
    <comment ref="U21" authorId="7">
      <text>
        <r>
          <rPr>
            <b/>
            <sz val="8"/>
            <color indexed="81"/>
            <rFont val="Tahoma"/>
            <family val="2"/>
          </rPr>
          <t>From 10-K
lauraro:</t>
        </r>
        <r>
          <rPr>
            <sz val="8"/>
            <color indexed="81"/>
            <rFont val="Tahoma"/>
            <family val="2"/>
          </rPr>
          <t xml:space="preserve">
All-in rent expense: $342.8+$166.2M=$508.9
Excludes $4.988M buildings, equipment and other
Total CAM, insurance, marketing and taxes expenses were $166.2M in 2010. </t>
        </r>
      </text>
    </comment>
    <comment ref="V21" authorId="7">
      <text>
        <r>
          <rPr>
            <b/>
            <sz val="8"/>
            <color indexed="81"/>
            <rFont val="Tahoma"/>
            <family val="2"/>
          </rPr>
          <t>From 10-K
lauraro:</t>
        </r>
        <r>
          <rPr>
            <sz val="8"/>
            <color indexed="81"/>
            <rFont val="Tahoma"/>
            <family val="2"/>
          </rPr>
          <t xml:space="preserve">
All-in rent expense: $404.946+$158.8M=$563.746
Excludes $4.719M buildings, equipment and other
Total CAM, insurance, marketing and taxes expenses were $158.8M in 2011. </t>
        </r>
      </text>
    </comment>
    <comment ref="W21" authorId="8">
      <text>
        <r>
          <rPr>
            <b/>
            <sz val="8"/>
            <color indexed="81"/>
            <rFont val="Tahoma"/>
            <family val="2"/>
          </rPr>
          <t>From 10-K
jwyatt:</t>
        </r>
        <r>
          <rPr>
            <sz val="8"/>
            <color indexed="81"/>
            <rFont val="Tahoma"/>
            <family val="2"/>
          </rPr>
          <t xml:space="preserve">
All-in rent expense: $414.061+16.828+$168.6M=$599.5
Excludes $6.259M buildings, equipment and other
Total CAM, insurance, marketing and taxes expenses were $168.6M in 2012. </t>
        </r>
      </text>
    </comment>
    <comment ref="X21" authorId="8">
      <text>
        <r>
          <rPr>
            <b/>
            <sz val="8"/>
            <color indexed="81"/>
            <rFont val="Tahoma"/>
            <family val="2"/>
          </rPr>
          <t xml:space="preserve">From 10-K dli:
</t>
        </r>
        <r>
          <rPr>
            <sz val="8"/>
            <color indexed="81"/>
            <rFont val="Tahoma"/>
            <family val="2"/>
          </rPr>
          <t xml:space="preserve">
All-in rent expense: $464.937+8.624+$177.5M=$651.06
Excludes $4.987M buildings, equipment and other
Total CAM, insurance, marketing and taxes expenses were $177.5M in 2013. </t>
        </r>
      </text>
    </comment>
    <comment ref="Y21" authorId="9">
      <text>
        <r>
          <rPr>
            <sz val="9"/>
            <color indexed="81"/>
            <rFont val="Tahoma"/>
            <family val="2"/>
          </rPr>
          <t>casselau: 
From 10-K 
All-in rent expense: $432.794+8.886+$172.3M=$613.95
Excludes $4.619M buildings, equipment and other
Total CAM, insurance, marketing and taxes expenses were $172.3M in 2014</t>
        </r>
      </text>
    </comment>
    <comment ref="Z21" authorId="2">
      <text>
        <r>
          <rPr>
            <b/>
            <sz val="9"/>
            <color indexed="81"/>
            <rFont val="Tahoma"/>
            <family val="2"/>
          </rPr>
          <t>3/28/16: 404.836 minimum + 10.161 contingent; fixed includes $3.3M of lease termination fees
All-in rent expense: $404.836+10.161 +$171.7M=$586.697
Excludes $3.849M buildings, equipment and other
Total CAM, insurance, marketing and taxes expenses were $171.7M in 2015
casselau:</t>
        </r>
        <r>
          <rPr>
            <sz val="9"/>
            <color indexed="81"/>
            <rFont val="Tahoma"/>
            <family val="2"/>
          </rPr>
          <t xml:space="preserve">
Q: closing roughly the same number of stores vs. FY14 and openings are roughly similar to last year as well in terms of international/NA outlet. If we assume $415M for minimum rent and contingent rent (-$27M y/y), would that be reasonable? A: We didn't provide that specific of detail, but I think you've identified the major puts and takes being store openings and closing.  Other puts and takes that could effect rent expense would be the impact of lease renewals and FX.   
LC: As of January 31, 2015, the Company operated 799 stores in the United States (“U.S.”) and 170 stores outside of the U.S. (17.5% of fleet outside the US but assume ~25% of rent expense is intl at ~$155 per sqft = $110M)
Assume rent expense deflates at ~15% due to FX
So ~$16.5M FX savings 
Plus $25M from store closures
so $41.5M total y/y reduction</t>
        </r>
      </text>
    </comment>
    <comment ref="AA21" authorId="10">
      <text>
        <r>
          <rPr>
            <b/>
            <sz val="9"/>
            <color indexed="81"/>
            <rFont val="Tahoma"/>
            <family val="2"/>
          </rPr>
          <t>Cassel, Lauren (Research):</t>
        </r>
        <r>
          <rPr>
            <sz val="9"/>
            <color indexed="81"/>
            <rFont val="Tahoma"/>
            <family val="2"/>
          </rPr>
          <t xml:space="preserve">
408.575 fixed minimum, 11.690 contingent; fixed minimum contains lease termination fees of $15.5M; 
All-in rent expense: $408.575+11.690+$164.0=$584.3M
Excludes $5.772M buildings, equipment and other</t>
        </r>
      </text>
    </comment>
    <comment ref="AB23" authorId="10">
      <text>
        <r>
          <rPr>
            <b/>
            <sz val="9"/>
            <color indexed="81"/>
            <rFont val="Tahoma"/>
            <family val="2"/>
          </rPr>
          <t>Cassel, Lauren (Research):</t>
        </r>
        <r>
          <rPr>
            <sz val="9"/>
            <color indexed="81"/>
            <rFont val="Tahoma"/>
            <family val="2"/>
          </rPr>
          <t xml:space="preserve">
6/30/16: We estimate $15M in occupancy savings from store closures, some payroll savings, offset by new store openings</t>
        </r>
      </text>
    </comment>
    <comment ref="L24" authorId="4">
      <text>
        <r>
          <rPr>
            <sz val="8"/>
            <color indexed="81"/>
            <rFont val="Tahoma"/>
            <family val="2"/>
          </rPr>
          <t>10-K 2006: APB 25---&gt;SFAS 123R
Using fair value method pre-tax number would have been  (27.720-6.358)/(1-.38) = $34.45m
Old APB number was $10.4m</t>
        </r>
      </text>
    </comment>
    <comment ref="M24" authorId="4">
      <text>
        <r>
          <rPr>
            <sz val="8"/>
            <color indexed="81"/>
            <rFont val="Tahoma"/>
            <family val="2"/>
          </rPr>
          <t>10-K 2006: APB 25---&gt; SFAS 123R
Using fair value method pre-tax number would have been 
(36.689-14.716)/(1-.38) = $35.44m
Old APB 25 number was $24.1m</t>
        </r>
      </text>
    </comment>
    <comment ref="O24" authorId="6">
      <text>
        <r>
          <rPr>
            <sz val="8"/>
            <color indexed="81"/>
            <rFont val="Tahoma"/>
            <family val="2"/>
          </rPr>
          <t xml:space="preserve">10-K 2006: 
Total net income impact of $9.880 or 11c of EPS
10-K 2006: SFAS No 123R
</t>
        </r>
        <r>
          <rPr>
            <b/>
            <sz val="8"/>
            <color indexed="81"/>
            <rFont val="Tahoma"/>
            <family val="2"/>
          </rPr>
          <t>MB33100:</t>
        </r>
        <r>
          <rPr>
            <sz val="8"/>
            <color indexed="81"/>
            <rFont val="Tahoma"/>
            <family val="2"/>
          </rPr>
          <t xml:space="preserve">
8/06: guided to 10c impact for year (8c in 1Q and 2Q and 1c in 3Q and 4Q)
5/06: indicated $6.2mm in options expense in 1Q
guided to 8c impact in 1H and ~15c for year</t>
        </r>
      </text>
    </comment>
    <comment ref="Q24" authorId="1">
      <text>
        <r>
          <rPr>
            <b/>
            <sz val="8"/>
            <color indexed="81"/>
            <rFont val="Tahoma"/>
            <family val="2"/>
          </rPr>
          <t>mm98285:</t>
        </r>
        <r>
          <rPr>
            <sz val="8"/>
            <color indexed="81"/>
            <rFont val="Tahoma"/>
            <family val="2"/>
          </rPr>
          <t xml:space="preserve">
10K: $1.628 in Stores &amp; Dist.; $29.542 in MG&amp;A</t>
        </r>
      </text>
    </comment>
    <comment ref="A27" authorId="11">
      <text>
        <r>
          <rPr>
            <b/>
            <sz val="8"/>
            <color indexed="81"/>
            <rFont val="Tahoma"/>
            <family val="2"/>
          </rPr>
          <t>Lehman Brothers:</t>
        </r>
        <r>
          <rPr>
            <sz val="8"/>
            <color indexed="81"/>
            <rFont val="Tahoma"/>
            <family val="2"/>
          </rPr>
          <t xml:space="preserve">
incl. For informational purposes only, not for calculation</t>
        </r>
      </text>
    </comment>
    <comment ref="J30" authorId="11">
      <text>
        <r>
          <rPr>
            <b/>
            <sz val="8"/>
            <color indexed="81"/>
            <rFont val="Tahoma"/>
            <family val="2"/>
          </rPr>
          <t>Lehman Brothers:</t>
        </r>
        <r>
          <rPr>
            <sz val="8"/>
            <color indexed="81"/>
            <rFont val="Tahoma"/>
            <family val="2"/>
          </rPr>
          <t xml:space="preserve">
different from old model b/c diff total sales</t>
        </r>
      </text>
    </comment>
    <comment ref="W31" authorId="0">
      <text>
        <r>
          <rPr>
            <b/>
            <sz val="8"/>
            <color indexed="81"/>
            <rFont val="Tahoma"/>
            <family val="2"/>
          </rPr>
          <t>nicholjs:</t>
        </r>
        <r>
          <rPr>
            <sz val="8"/>
            <color indexed="81"/>
            <rFont val="Tahoma"/>
            <family val="2"/>
          </rPr>
          <t xml:space="preserve">
15% or better in 2012 is realistic</t>
        </r>
      </text>
    </comment>
    <comment ref="Y31" authorId="2">
      <text>
        <r>
          <rPr>
            <b/>
            <sz val="8"/>
            <color indexed="81"/>
            <rFont val="Tahoma"/>
            <family val="2"/>
          </rPr>
          <t>casselau:</t>
        </r>
        <r>
          <rPr>
            <sz val="8"/>
            <color indexed="81"/>
            <rFont val="Tahoma"/>
            <family val="2"/>
          </rPr>
          <t xml:space="preserve">
2/22/13: Jeffries: "realistic goal to drive our operating margin back to at least the low teens over the next few years"</t>
        </r>
      </text>
    </comment>
    <comment ref="Z31" authorId="2">
      <text>
        <r>
          <rPr>
            <b/>
            <sz val="8"/>
            <color indexed="81"/>
            <rFont val="Tahoma"/>
            <family val="2"/>
          </rPr>
          <t>casselau:</t>
        </r>
        <r>
          <rPr>
            <sz val="8"/>
            <color indexed="81"/>
            <rFont val="Tahoma"/>
            <family val="2"/>
          </rPr>
          <t xml:space="preserve">
2/22/13: Jeffries: "realistic goal to drive our operating margin back to at least the low teens over the next few years"</t>
        </r>
      </text>
    </comment>
    <comment ref="AA31" authorId="2">
      <text>
        <r>
          <rPr>
            <b/>
            <sz val="8"/>
            <color indexed="81"/>
            <rFont val="Tahoma"/>
            <family val="2"/>
          </rPr>
          <t>casselau:</t>
        </r>
        <r>
          <rPr>
            <sz val="8"/>
            <color indexed="81"/>
            <rFont val="Tahoma"/>
            <family val="2"/>
          </rPr>
          <t xml:space="preserve">
2/22/13: Jeffries: "realistic goal to drive our operating margin back to at least the low teens over the next few years"</t>
        </r>
      </text>
    </comment>
    <comment ref="S36" authorId="1">
      <text>
        <r>
          <rPr>
            <b/>
            <sz val="8"/>
            <color indexed="81"/>
            <rFont val="Tahoma"/>
            <family val="2"/>
          </rPr>
          <t>mm98285:</t>
        </r>
        <r>
          <rPr>
            <sz val="8"/>
            <color indexed="81"/>
            <rFont val="Tahoma"/>
            <family val="2"/>
          </rPr>
          <t xml:space="preserve">
2/08: other income "not as favorable as LY"</t>
        </r>
      </text>
    </comment>
    <comment ref="S42" authorId="2">
      <text>
        <r>
          <rPr>
            <b/>
            <sz val="8"/>
            <color indexed="81"/>
            <rFont val="Tahoma"/>
            <family val="2"/>
          </rPr>
          <t>2/22/13: adjusted to arrive at non-GAAP EPS of $2.10</t>
        </r>
      </text>
    </comment>
    <comment ref="U42" authorId="2">
      <text>
        <r>
          <rPr>
            <b/>
            <sz val="8"/>
            <color indexed="81"/>
            <rFont val="Tahoma"/>
            <family val="2"/>
          </rPr>
          <t>2/22/13: adjusted to arrive at non-GAAP EPS of $2.10</t>
        </r>
      </text>
    </comment>
    <comment ref="K43" authorId="11">
      <text>
        <r>
          <rPr>
            <b/>
            <sz val="8"/>
            <color indexed="81"/>
            <rFont val="Tahoma"/>
            <family val="2"/>
          </rPr>
          <t>Lehman Brothers:</t>
        </r>
        <r>
          <rPr>
            <sz val="8"/>
            <color indexed="81"/>
            <rFont val="Tahoma"/>
            <family val="2"/>
          </rPr>
          <t xml:space="preserve">
old model hardcoding 39% </t>
        </r>
      </text>
    </comment>
    <comment ref="AB43" authorId="2">
      <text>
        <r>
          <rPr>
            <b/>
            <sz val="9"/>
            <color indexed="81"/>
            <rFont val="Tahoma"/>
            <family val="2"/>
          </rPr>
          <t>casselau:</t>
        </r>
        <r>
          <rPr>
            <sz val="9"/>
            <color indexed="81"/>
            <rFont val="Tahoma"/>
            <family val="2"/>
          </rPr>
          <t xml:space="preserve">
11/20/15: On a go-forward basis, the company expects the annual effective tax rate to be in the upper 30s.</t>
        </r>
      </text>
    </comment>
    <comment ref="L45" authorId="4">
      <text>
        <r>
          <rPr>
            <b/>
            <sz val="8"/>
            <color indexed="81"/>
            <rFont val="Tahoma"/>
            <family val="2"/>
          </rPr>
          <t>oc48540:</t>
        </r>
        <r>
          <rPr>
            <sz val="8"/>
            <color indexed="81"/>
            <rFont val="Tahoma"/>
            <family val="2"/>
          </rPr>
          <t xml:space="preserve">
GAAP reported net income was $216,376</t>
        </r>
      </text>
    </comment>
    <comment ref="M45" authorId="4">
      <text>
        <r>
          <rPr>
            <b/>
            <sz val="8"/>
            <color indexed="81"/>
            <rFont val="Tahoma"/>
            <family val="2"/>
          </rPr>
          <t>oc48540:</t>
        </r>
        <r>
          <rPr>
            <sz val="8"/>
            <color indexed="81"/>
            <rFont val="Tahoma"/>
            <family val="2"/>
          </rPr>
          <t xml:space="preserve">
GAAP reported net income was $333,986</t>
        </r>
      </text>
    </comment>
    <comment ref="L50" authorId="12">
      <text>
        <r>
          <rPr>
            <b/>
            <sz val="8"/>
            <color indexed="81"/>
            <rFont val="Tahoma"/>
            <family val="2"/>
          </rPr>
          <t>Corinna Freedman:</t>
        </r>
        <r>
          <rPr>
            <sz val="8"/>
            <color indexed="81"/>
            <rFont val="Tahoma"/>
            <family val="2"/>
          </rPr>
          <t xml:space="preserve">
excludes legal charges</t>
        </r>
      </text>
    </comment>
    <comment ref="Q50" authorId="13">
      <text>
        <r>
          <rPr>
            <b/>
            <sz val="8"/>
            <color indexed="81"/>
            <rFont val="Tahoma"/>
            <family val="2"/>
          </rPr>
          <t>kg51925:</t>
        </r>
        <r>
          <rPr>
            <sz val="8"/>
            <color indexed="81"/>
            <rFont val="Tahoma"/>
            <family val="2"/>
          </rPr>
          <t xml:space="preserve">
assume low teens EPS growth vs. 2006 ex 8c benefit from 53rd week</t>
        </r>
      </text>
    </comment>
    <comment ref="Y51" authorId="2">
      <text>
        <r>
          <rPr>
            <b/>
            <sz val="8"/>
            <color indexed="81"/>
            <rFont val="Tahoma"/>
            <family val="2"/>
          </rPr>
          <t>casselau:</t>
        </r>
        <r>
          <rPr>
            <sz val="8"/>
            <color indexed="81"/>
            <rFont val="Tahoma"/>
            <family val="2"/>
          </rPr>
          <t xml:space="preserve">
2/22/13: Jefferies: "long-term goal of annual EPS growth of 15% or slightly better"</t>
        </r>
      </text>
    </comment>
    <comment ref="M53" authorId="6">
      <text>
        <r>
          <rPr>
            <b/>
            <sz val="8"/>
            <color indexed="81"/>
            <rFont val="Tahoma"/>
            <family val="2"/>
          </rPr>
          <t>MB33100:</t>
        </r>
        <r>
          <rPr>
            <sz val="8"/>
            <color indexed="81"/>
            <rFont val="Tahoma"/>
            <family val="2"/>
          </rPr>
          <t xml:space="preserve">
After tax value of severance charge of $13.5mm</t>
        </r>
      </text>
    </comment>
    <comment ref="W55" authorId="0">
      <text>
        <r>
          <rPr>
            <b/>
            <sz val="8"/>
            <color indexed="81"/>
            <rFont val="Tahoma"/>
            <family val="2"/>
          </rPr>
          <t>nicholjs:</t>
        </r>
        <r>
          <rPr>
            <sz val="8"/>
            <color indexed="81"/>
            <rFont val="Tahoma"/>
            <family val="2"/>
          </rPr>
          <t xml:space="preserve">
9/7/2011 (10K): $4.75 EPS target still a realistic objective
8/17: remain comfortable w/ the $4.75, although macro uncertainty and possibility of a weakening Euro are new since they provided this guidance
4/8/2011; $4.75 goal/target</t>
        </r>
      </text>
    </comment>
    <comment ref="M61" authorId="14">
      <text>
        <r>
          <rPr>
            <b/>
            <sz val="8"/>
            <color indexed="81"/>
            <rFont val="Tahoma"/>
            <family val="2"/>
          </rPr>
          <t>Kimberly Greenberger:</t>
        </r>
        <r>
          <rPr>
            <sz val="8"/>
            <color indexed="81"/>
            <rFont val="Tahoma"/>
            <family val="2"/>
          </rPr>
          <t xml:space="preserve">
Assume benefit for 1 mm shares repurchased per quarter, partially offset by 1 mm of options issued. Remember to use weighted avg share count for year and by quarter, so full benefit to eps not realized in quarter of share repurchase.</t>
        </r>
      </text>
    </comment>
    <comment ref="O61" authorId="14">
      <text>
        <r>
          <rPr>
            <b/>
            <sz val="8"/>
            <color indexed="81"/>
            <rFont val="Tahoma"/>
            <family val="2"/>
          </rPr>
          <t>Kimberly Greenberger:</t>
        </r>
        <r>
          <rPr>
            <sz val="8"/>
            <color indexed="81"/>
            <rFont val="Tahoma"/>
            <family val="2"/>
          </rPr>
          <t xml:space="preserve">
11/04 assume generate $200mm per year FCF to use to buy back shares at $40 = 5mm share repurchase annually</t>
        </r>
      </text>
    </comment>
    <comment ref="Q61" authorId="13">
      <text>
        <r>
          <rPr>
            <b/>
            <sz val="8"/>
            <color indexed="81"/>
            <rFont val="Tahoma"/>
            <family val="2"/>
          </rPr>
          <t>kg51925:</t>
        </r>
        <r>
          <rPr>
            <sz val="8"/>
            <color indexed="81"/>
            <rFont val="Tahoma"/>
            <family val="2"/>
          </rPr>
          <t xml:space="preserve">
5/06 assume 2mm share repo in 2007
1Q07: Company has 4.67mm shares remaning under authorization program... after 2007 = 4.67 less 1mm in 2H of 07 so 3.67mm remaining
10-K 2006: 
As of Feb 3, 2007 remaining aggregate number of shares for CS authorized for repurchase was approximately 5.7mm shares under 6.0mm shares authorized by BoD in August 2005</t>
        </r>
      </text>
    </comment>
    <comment ref="T61" authorId="13">
      <text>
        <r>
          <rPr>
            <b/>
            <sz val="9"/>
            <color indexed="81"/>
            <rFont val="Tahoma"/>
            <family val="2"/>
          </rPr>
          <t>mm98285</t>
        </r>
        <r>
          <rPr>
            <sz val="9"/>
            <color indexed="81"/>
            <rFont val="Tahoma"/>
            <family val="2"/>
          </rPr>
          <t xml:space="preserve">
11/07: authorized new 10mm share repurchase, assume repurchase 3mm shares per year (2008-2010)</t>
        </r>
        <r>
          <rPr>
            <sz val="8"/>
            <color indexed="81"/>
            <rFont val="Tahoma"/>
            <family val="2"/>
          </rPr>
          <t xml:space="preserve">
Est repo $150mm / $80 = 1.875mm shares or ~2mm, in line w/ options creep of 2mm</t>
        </r>
        <r>
          <rPr>
            <b/>
            <sz val="8"/>
            <color indexed="81"/>
            <rFont val="Tahoma"/>
            <family val="2"/>
          </rPr>
          <t xml:space="preserve">
kg51925:</t>
        </r>
        <r>
          <rPr>
            <sz val="8"/>
            <color indexed="81"/>
            <rFont val="Tahoma"/>
            <family val="2"/>
          </rPr>
          <t xml:space="preserve">
5/06 assume repo 5mm shares in 2009</t>
        </r>
      </text>
    </comment>
    <comment ref="U61" authorId="13">
      <text>
        <r>
          <rPr>
            <b/>
            <sz val="9"/>
            <color indexed="81"/>
            <rFont val="Tahoma"/>
            <family val="2"/>
          </rPr>
          <t>mm98285</t>
        </r>
        <r>
          <rPr>
            <sz val="9"/>
            <color indexed="81"/>
            <rFont val="Tahoma"/>
            <family val="2"/>
          </rPr>
          <t xml:space="preserve">
10/08: assume $225mm repo for ~5.5mm shares
11/07: authorized new 10mm share repurchase, assume repurchase 3mm shares per year (2008-2010)</t>
        </r>
        <r>
          <rPr>
            <sz val="8"/>
            <color indexed="81"/>
            <rFont val="Tahoma"/>
            <family val="2"/>
          </rPr>
          <t xml:space="preserve">
Repurchase $100mm shares / $80 = 1.25mm shares</t>
        </r>
        <r>
          <rPr>
            <b/>
            <sz val="8"/>
            <color indexed="81"/>
            <rFont val="Tahoma"/>
            <family val="2"/>
          </rPr>
          <t xml:space="preserve">
kg51925:</t>
        </r>
        <r>
          <rPr>
            <sz val="8"/>
            <color indexed="81"/>
            <rFont val="Tahoma"/>
            <family val="2"/>
          </rPr>
          <t xml:space="preserve">
5/06 assume repo 5mm shares in 2010</t>
        </r>
      </text>
    </comment>
  </commentList>
</comments>
</file>

<file path=xl/comments6.xml><?xml version="1.0" encoding="utf-8"?>
<comments xmlns="http://schemas.openxmlformats.org/spreadsheetml/2006/main">
  <authors>
    <author>mm98285</author>
    <author>kg51925</author>
    <author>kahng</author>
    <author>Kimberly Greenberger</author>
    <author>casselau</author>
    <author>Corinna Freedman</author>
    <author>CREDIT SUISSE FIRST BOSTON</author>
    <author>plejuez</author>
    <author>Lehman Brothers</author>
    <author>Brian Lloyd</author>
    <author>dliu</author>
    <author>nicholjs</author>
    <author>OC48540</author>
    <author>ns66486</author>
    <author>oc48540</author>
    <author>lr73192</author>
  </authors>
  <commentList>
    <comment ref="R7" authorId="0">
      <text>
        <r>
          <rPr>
            <b/>
            <sz val="10"/>
            <color indexed="81"/>
            <rFont val="Tahoma"/>
            <family val="2"/>
          </rPr>
          <t>mm98285:</t>
        </r>
        <r>
          <rPr>
            <sz val="10"/>
            <color indexed="81"/>
            <rFont val="Tahoma"/>
            <family val="2"/>
          </rPr>
          <t xml:space="preserve">
expect incremental ~$160M from international store openings assuming Copenhagen opens in 1H
LESS est 20 closings @ $3mm/store or $60m</t>
        </r>
      </text>
    </comment>
    <comment ref="S7" authorId="1">
      <text>
        <r>
          <rPr>
            <sz val="10"/>
            <color indexed="81"/>
            <rFont val="Tahoma"/>
            <family val="2"/>
          </rPr>
          <t>on 2Q call (8/2010): 2010 store closures are averaging $1mm of volume with flat EBITDA on 4wall basis on annualized basis
flagships: Paris/Madrid/3rd assumed -- should get ~60% of annual sales given opening dates; also Copenhagen and Fukuoka will have some lag since they opened Nov 2010 and not in comp base</t>
        </r>
      </text>
    </comment>
    <comment ref="T7" authorId="1">
      <text>
        <r>
          <rPr>
            <sz val="10"/>
            <color indexed="81"/>
            <rFont val="Tahoma"/>
            <family val="2"/>
          </rPr>
          <t>on 2Q call (8/2010): 2010 store closures are averaging $1mm of volume with flat EBITDA on 4wall basis on annualized basis
flagships: Paris/Madrid/3rd assumed -- should get ~60% of annual sales given opening dates; also Copenhagen and Fukuoka will have some lag since they opened Nov 2010 and not in comp base</t>
        </r>
      </text>
    </comment>
    <comment ref="U7" authorId="2">
      <text>
        <r>
          <rPr>
            <b/>
            <sz val="8"/>
            <color indexed="81"/>
            <rFont val="Tahoma"/>
            <family val="2"/>
          </rPr>
          <t>kahng:</t>
        </r>
        <r>
          <rPr>
            <sz val="8"/>
            <color indexed="81"/>
            <rFont val="Tahoma"/>
            <family val="2"/>
          </rPr>
          <t xml:space="preserve">
1/25: backing out $15.6M from 2012 base to exclude 53rd week. 
Prev: 10 flagships at $30M and 5 at $27.5
1/23: revising to 10 flagships at 27.5 and 5 at 25</t>
        </r>
      </text>
    </comment>
    <comment ref="A9" authorId="3">
      <text>
        <r>
          <rPr>
            <b/>
            <sz val="8"/>
            <color indexed="81"/>
            <rFont val="Tahoma"/>
            <family val="2"/>
          </rPr>
          <t>Kimberly Greenberger:</t>
        </r>
        <r>
          <rPr>
            <sz val="8"/>
            <color indexed="81"/>
            <rFont val="Tahoma"/>
            <family val="2"/>
          </rPr>
          <t xml:space="preserve">
includes portion of shipping &amp; handling</t>
        </r>
      </text>
    </comment>
    <comment ref="W16" authorId="4">
      <text>
        <r>
          <rPr>
            <b/>
            <sz val="9"/>
            <color indexed="81"/>
            <rFont val="Tahoma"/>
            <family val="2"/>
          </rPr>
          <t>casselau:</t>
        </r>
        <r>
          <rPr>
            <sz val="9"/>
            <color indexed="81"/>
            <rFont val="Tahoma"/>
            <family val="2"/>
          </rPr>
          <t xml:space="preserve">
now includes Kids</t>
        </r>
      </text>
    </comment>
    <comment ref="O17" authorId="0">
      <text>
        <r>
          <rPr>
            <b/>
            <sz val="8"/>
            <color indexed="81"/>
            <rFont val="Tahoma"/>
            <family val="2"/>
          </rPr>
          <t>mm98285:</t>
        </r>
        <r>
          <rPr>
            <sz val="8"/>
            <color indexed="81"/>
            <rFont val="Tahoma"/>
            <family val="2"/>
          </rPr>
          <t xml:space="preserve">
11/07: expect 6 new</t>
        </r>
      </text>
    </comment>
    <comment ref="U17" authorId="4">
      <text>
        <r>
          <rPr>
            <b/>
            <sz val="8"/>
            <color indexed="81"/>
            <rFont val="Tahoma"/>
            <family val="2"/>
          </rPr>
          <t xml:space="preserve">8/22/13: </t>
        </r>
        <r>
          <rPr>
            <sz val="8"/>
            <color indexed="81"/>
            <rFont val="Tahoma"/>
            <family val="2"/>
          </rPr>
          <t>Shanghai opening will now be Spring 2014</t>
        </r>
        <r>
          <rPr>
            <b/>
            <sz val="8"/>
            <color indexed="81"/>
            <rFont val="Tahoma"/>
            <family val="2"/>
          </rPr>
          <t xml:space="preserve">
casselau:</t>
        </r>
        <r>
          <rPr>
            <sz val="8"/>
            <color indexed="81"/>
            <rFont val="Tahoma"/>
            <family val="2"/>
          </rPr>
          <t xml:space="preserve">
In fiscal 2013, will open flagship locations in Seoul and Shanghai, as well as 20 intl Hollister stores</t>
        </r>
      </text>
    </comment>
    <comment ref="L20" authorId="3">
      <text>
        <r>
          <rPr>
            <b/>
            <sz val="8"/>
            <color indexed="81"/>
            <rFont val="Tahoma"/>
            <family val="2"/>
          </rPr>
          <t>Kimberly Greenberger:</t>
        </r>
        <r>
          <rPr>
            <sz val="8"/>
            <color indexed="81"/>
            <rFont val="Tahoma"/>
            <family val="2"/>
          </rPr>
          <t xml:space="preserve">
7/04 mgmt thinks potential for A&amp;F is 400 stores</t>
        </r>
      </text>
    </comment>
    <comment ref="M20" authorId="5">
      <text>
        <r>
          <rPr>
            <b/>
            <sz val="8"/>
            <color indexed="81"/>
            <rFont val="Tahoma"/>
            <family val="2"/>
          </rPr>
          <t>Corinna Freedman:</t>
        </r>
        <r>
          <rPr>
            <sz val="8"/>
            <color indexed="81"/>
            <rFont val="Tahoma"/>
            <family val="2"/>
          </rPr>
          <t xml:space="preserve">
11/15: 360 by y/e</t>
        </r>
      </text>
    </comment>
    <comment ref="A33" authorId="6">
      <text>
        <r>
          <rPr>
            <b/>
            <sz val="8"/>
            <color indexed="81"/>
            <rFont val="Tahoma"/>
            <family val="2"/>
          </rPr>
          <t>CREDIT SUISSE FIRST BOSTON:</t>
        </r>
        <r>
          <rPr>
            <sz val="8"/>
            <color indexed="81"/>
            <rFont val="Tahoma"/>
            <family val="2"/>
          </rPr>
          <t xml:space="preserve">
s/b ending gross sf divided by ending store count</t>
        </r>
      </text>
    </comment>
    <comment ref="I39" authorId="7">
      <text>
        <r>
          <rPr>
            <b/>
            <sz val="10"/>
            <color indexed="81"/>
            <rFont val="Tahoma"/>
            <family val="2"/>
          </rPr>
          <t>plejuez:</t>
        </r>
        <r>
          <rPr>
            <sz val="10"/>
            <color indexed="81"/>
            <rFont val="Tahoma"/>
            <family val="2"/>
          </rPr>
          <t xml:space="preserve">
est based on kids being worse than adult and overall being down 9</t>
        </r>
      </text>
    </comment>
    <comment ref="L41" authorId="3">
      <text>
        <r>
          <rPr>
            <b/>
            <sz val="8"/>
            <color indexed="81"/>
            <rFont val="Tahoma"/>
            <family val="2"/>
          </rPr>
          <t>Kimberly Greenberger:</t>
        </r>
        <r>
          <rPr>
            <sz val="8"/>
            <color indexed="81"/>
            <rFont val="Tahoma"/>
            <family val="2"/>
          </rPr>
          <t xml:space="preserve">
8500 sq ft conf w/ Tom on 7/04</t>
        </r>
      </text>
    </comment>
    <comment ref="U58" authorId="2">
      <text>
        <r>
          <rPr>
            <b/>
            <sz val="8"/>
            <color indexed="81"/>
            <rFont val="Tahoma"/>
            <family val="2"/>
          </rPr>
          <t>kahng:</t>
        </r>
        <r>
          <rPr>
            <sz val="8"/>
            <color indexed="81"/>
            <rFont val="Tahoma"/>
            <family val="2"/>
          </rPr>
          <t xml:space="preserve">
1/25: backing out $3.5M from 2012 base to account for extra 53rd week in 2012</t>
        </r>
      </text>
    </comment>
    <comment ref="A60" authorId="3">
      <text>
        <r>
          <rPr>
            <b/>
            <sz val="8"/>
            <color indexed="81"/>
            <rFont val="Tahoma"/>
            <family val="2"/>
          </rPr>
          <t>Kimberly Greenberger:</t>
        </r>
        <r>
          <rPr>
            <sz val="8"/>
            <color indexed="81"/>
            <rFont val="Tahoma"/>
            <family val="2"/>
          </rPr>
          <t xml:space="preserve">
includes portion of shipping &amp; handling</t>
        </r>
      </text>
    </comment>
    <comment ref="L62" authorId="3">
      <text>
        <r>
          <rPr>
            <b/>
            <sz val="8"/>
            <color indexed="81"/>
            <rFont val="Tahoma"/>
            <family val="2"/>
          </rPr>
          <t>Kimberly Greenberger:</t>
        </r>
        <r>
          <rPr>
            <sz val="8"/>
            <color indexed="81"/>
            <rFont val="Tahoma"/>
            <family val="2"/>
          </rPr>
          <t xml:space="preserve">
11/04 mgmt indicated kids biz doing approx $250 psf in 2004</t>
        </r>
      </text>
    </comment>
    <comment ref="R62" authorId="0">
      <text>
        <r>
          <rPr>
            <b/>
            <sz val="8"/>
            <color indexed="81"/>
            <rFont val="Tahoma"/>
            <family val="2"/>
          </rPr>
          <t>mm98285:</t>
        </r>
        <r>
          <rPr>
            <sz val="8"/>
            <color indexed="81"/>
            <rFont val="Tahoma"/>
            <family val="2"/>
          </rPr>
          <t xml:space="preserve">
expect incremental $40-$45mm in 2009 for internation and flagship openings LESS $1.2mX20 closures or $24mm</t>
        </r>
      </text>
    </comment>
    <comment ref="S62" authorId="1">
      <text>
        <r>
          <rPr>
            <b/>
            <sz val="8"/>
            <color indexed="81"/>
            <rFont val="Tahoma"/>
            <family val="2"/>
          </rPr>
          <t>kg51925:</t>
        </r>
        <r>
          <rPr>
            <sz val="8"/>
            <color indexed="81"/>
            <rFont val="Tahoma"/>
            <family val="2"/>
          </rPr>
          <t xml:space="preserve">
expect to lose $1.2mm per store for 30 est closings = $36mm</t>
        </r>
      </text>
    </comment>
    <comment ref="T62" authorId="1">
      <text>
        <r>
          <rPr>
            <b/>
            <sz val="8"/>
            <color indexed="81"/>
            <rFont val="Tahoma"/>
            <family val="2"/>
          </rPr>
          <t>kg51925:</t>
        </r>
        <r>
          <rPr>
            <sz val="8"/>
            <color indexed="81"/>
            <rFont val="Tahoma"/>
            <family val="2"/>
          </rPr>
          <t xml:space="preserve">
expect to lose $1.2mm per store for 30 est closings = $36mm</t>
        </r>
      </text>
    </comment>
    <comment ref="U62" authorId="1">
      <text>
        <r>
          <rPr>
            <b/>
            <sz val="8"/>
            <color indexed="81"/>
            <rFont val="Tahoma"/>
            <family val="2"/>
          </rPr>
          <t>kg51925:</t>
        </r>
        <r>
          <rPr>
            <sz val="8"/>
            <color indexed="81"/>
            <rFont val="Tahoma"/>
            <family val="2"/>
          </rPr>
          <t xml:space="preserve">
expect to lose $1.2mm per store for 30 est closings = $36mm</t>
        </r>
      </text>
    </comment>
    <comment ref="J67" authorId="8">
      <text>
        <r>
          <rPr>
            <b/>
            <sz val="8"/>
            <color indexed="81"/>
            <rFont val="Tahoma"/>
            <family val="2"/>
          </rPr>
          <t>Lehman Brothers:</t>
        </r>
        <r>
          <rPr>
            <sz val="8"/>
            <color indexed="81"/>
            <rFont val="Tahoma"/>
            <family val="2"/>
          </rPr>
          <t xml:space="preserve">
KG: 5/02  changed from 30 to 20</t>
        </r>
      </text>
    </comment>
    <comment ref="K67" authorId="8">
      <text>
        <r>
          <rPr>
            <b/>
            <sz val="8"/>
            <color indexed="81"/>
            <rFont val="Tahoma"/>
            <family val="2"/>
          </rPr>
          <t>Lehman Brothers:</t>
        </r>
        <r>
          <rPr>
            <sz val="8"/>
            <color indexed="81"/>
            <rFont val="Tahoma"/>
            <family val="2"/>
          </rPr>
          <t xml:space="preserve">
KG: 5/02  changed from 30 to 20</t>
        </r>
      </text>
    </comment>
    <comment ref="L67" authorId="8">
      <text>
        <r>
          <rPr>
            <b/>
            <sz val="8"/>
            <color indexed="81"/>
            <rFont val="Tahoma"/>
            <family val="2"/>
          </rPr>
          <t>Lehman Brothers:</t>
        </r>
        <r>
          <rPr>
            <sz val="8"/>
            <color indexed="81"/>
            <rFont val="Tahoma"/>
            <family val="2"/>
          </rPr>
          <t xml:space="preserve">
KG: 5/02  changed from 30 to 20</t>
        </r>
      </text>
    </comment>
    <comment ref="M67" authorId="8">
      <text>
        <r>
          <rPr>
            <b/>
            <sz val="8"/>
            <color indexed="81"/>
            <rFont val="Tahoma"/>
            <family val="2"/>
          </rPr>
          <t>Lehman Brothers:</t>
        </r>
        <r>
          <rPr>
            <sz val="8"/>
            <color indexed="81"/>
            <rFont val="Tahoma"/>
            <family val="2"/>
          </rPr>
          <t xml:space="preserve">
KG: 5/02  changed from 30 to 20</t>
        </r>
      </text>
    </comment>
    <comment ref="N67" authorId="8">
      <text>
        <r>
          <rPr>
            <sz val="8"/>
            <color indexed="81"/>
            <rFont val="Tahoma"/>
            <family val="2"/>
          </rPr>
          <t>11/15</t>
        </r>
        <r>
          <rPr>
            <b/>
            <sz val="8"/>
            <color indexed="81"/>
            <rFont val="Tahoma"/>
            <family val="2"/>
          </rPr>
          <t>:</t>
        </r>
        <r>
          <rPr>
            <sz val="8"/>
            <color indexed="81"/>
            <rFont val="Tahoma"/>
            <family val="2"/>
          </rPr>
          <t xml:space="preserve"> 15-20 new stores in 06</t>
        </r>
        <r>
          <rPr>
            <b/>
            <sz val="8"/>
            <color indexed="81"/>
            <rFont val="Tahoma"/>
            <family val="2"/>
          </rPr>
          <t xml:space="preserve">
</t>
        </r>
        <r>
          <rPr>
            <sz val="8"/>
            <color indexed="81"/>
            <rFont val="Tahoma"/>
            <family val="2"/>
          </rPr>
          <t xml:space="preserve">
KG: 5/02  changed from 30 to 20</t>
        </r>
      </text>
    </comment>
    <comment ref="H68" authorId="6">
      <text>
        <r>
          <rPr>
            <b/>
            <sz val="8"/>
            <color indexed="81"/>
            <rFont val="Tahoma"/>
            <family val="2"/>
          </rPr>
          <t>CREDIT SUISSE FIRST BOSTON:</t>
        </r>
        <r>
          <rPr>
            <sz val="8"/>
            <color indexed="81"/>
            <rFont val="Tahoma"/>
            <family val="2"/>
          </rPr>
          <t xml:space="preserve">
closed 6 BN stores</t>
        </r>
      </text>
    </comment>
    <comment ref="L70" authorId="3">
      <text>
        <r>
          <rPr>
            <b/>
            <sz val="8"/>
            <color indexed="81"/>
            <rFont val="Tahoma"/>
            <family val="2"/>
          </rPr>
          <t>Kimberly Greenberger:</t>
        </r>
        <r>
          <rPr>
            <sz val="8"/>
            <color indexed="81"/>
            <rFont val="Tahoma"/>
            <family val="2"/>
          </rPr>
          <t xml:space="preserve">
mgmt believes potential of kids is 400 stores per Tom L 7/04</t>
        </r>
      </text>
    </comment>
    <comment ref="M70" authorId="5">
      <text>
        <r>
          <rPr>
            <b/>
            <sz val="8"/>
            <color indexed="81"/>
            <rFont val="Tahoma"/>
            <family val="2"/>
          </rPr>
          <t>Corinna Freedman:</t>
        </r>
        <r>
          <rPr>
            <sz val="8"/>
            <color indexed="81"/>
            <rFont val="Tahoma"/>
            <family val="2"/>
          </rPr>
          <t xml:space="preserve">
11/15: 163 by y/e</t>
        </r>
      </text>
    </comment>
    <comment ref="I86" authorId="9">
      <text>
        <r>
          <rPr>
            <b/>
            <sz val="9"/>
            <color indexed="81"/>
            <rFont val="Tahoma"/>
            <family val="2"/>
          </rPr>
          <t>Brian Lloyd:</t>
        </r>
        <r>
          <rPr>
            <sz val="9"/>
            <color indexed="81"/>
            <rFont val="Tahoma"/>
            <family val="2"/>
          </rPr>
          <t xml:space="preserve">
per 1Qcc said aber was 80% productivuty of adult</t>
        </r>
      </text>
    </comment>
    <comment ref="L86" authorId="3">
      <text>
        <r>
          <rPr>
            <b/>
            <sz val="8"/>
            <color indexed="81"/>
            <rFont val="Tahoma"/>
            <family val="2"/>
          </rPr>
          <t>Kimberly Greenberger:</t>
        </r>
        <r>
          <rPr>
            <sz val="8"/>
            <color indexed="81"/>
            <rFont val="Tahoma"/>
            <family val="2"/>
          </rPr>
          <t xml:space="preserve">
11/04 mgmt indicated kids biz doing approx $250 psf in 2004</t>
        </r>
      </text>
    </comment>
    <comment ref="F89" authorId="10">
      <text>
        <r>
          <rPr>
            <b/>
            <sz val="8"/>
            <color indexed="81"/>
            <rFont val="Tahoma"/>
            <family val="2"/>
          </rPr>
          <t>dliu:</t>
        </r>
        <r>
          <rPr>
            <sz val="8"/>
            <color indexed="81"/>
            <rFont val="Tahoma"/>
            <family val="2"/>
          </rPr>
          <t xml:space="preserve">
assume same as A&amp;F</t>
        </r>
      </text>
    </comment>
    <comment ref="G89" authorId="10">
      <text>
        <r>
          <rPr>
            <b/>
            <sz val="8"/>
            <color indexed="81"/>
            <rFont val="Tahoma"/>
            <family val="2"/>
          </rPr>
          <t>dliu:</t>
        </r>
        <r>
          <rPr>
            <sz val="8"/>
            <color indexed="81"/>
            <rFont val="Tahoma"/>
            <family val="2"/>
          </rPr>
          <t xml:space="preserve">
assume same as A&amp;F</t>
        </r>
      </text>
    </comment>
    <comment ref="H89" authorId="10">
      <text>
        <r>
          <rPr>
            <b/>
            <sz val="10"/>
            <color indexed="81"/>
            <rFont val="Tahoma"/>
            <family val="2"/>
          </rPr>
          <t>dliu:</t>
        </r>
        <r>
          <rPr>
            <sz val="10"/>
            <color indexed="81"/>
            <rFont val="Tahoma"/>
            <family val="2"/>
          </rPr>
          <t xml:space="preserve">
Total guess - co. did not provide color between adult and kids in 10-K. But at this pt kids is only 7% of total comp, so does not really move the needle by much</t>
        </r>
      </text>
    </comment>
    <comment ref="I89" authorId="7">
      <text>
        <r>
          <rPr>
            <b/>
            <sz val="10"/>
            <color indexed="81"/>
            <rFont val="Tahoma"/>
            <family val="2"/>
          </rPr>
          <t>plejuez:</t>
        </r>
        <r>
          <rPr>
            <sz val="10"/>
            <color indexed="81"/>
            <rFont val="Tahoma"/>
            <family val="2"/>
          </rPr>
          <t xml:space="preserve">
est based on kids being worse than adult and overall being down 9</t>
        </r>
      </text>
    </comment>
    <comment ref="L91" authorId="3">
      <text>
        <r>
          <rPr>
            <b/>
            <sz val="8"/>
            <color indexed="81"/>
            <rFont val="Tahoma"/>
            <family val="2"/>
          </rPr>
          <t>Kimberly Greenberger:</t>
        </r>
        <r>
          <rPr>
            <sz val="8"/>
            <color indexed="81"/>
            <rFont val="Tahoma"/>
            <family val="2"/>
          </rPr>
          <t xml:space="preserve">
4000 conf w/ Tom on 7/04</t>
        </r>
      </text>
    </comment>
    <comment ref="S106" authorId="11">
      <text>
        <r>
          <rPr>
            <b/>
            <sz val="10"/>
            <color indexed="81"/>
            <rFont val="Arial"/>
            <family val="2"/>
          </rPr>
          <t>nicholjs:</t>
        </r>
        <r>
          <rPr>
            <sz val="10"/>
            <color indexed="81"/>
            <rFont val="Arial"/>
            <family val="2"/>
          </rPr>
          <t xml:space="preserve">
Holliste</t>
        </r>
        <r>
          <rPr>
            <sz val="8"/>
            <color indexed="81"/>
            <rFont val="Tahoma"/>
            <family val="2"/>
          </rPr>
          <t>r 5 Ave flagship opens in Nov 2010</t>
        </r>
      </text>
    </comment>
    <comment ref="T106" authorId="11">
      <text>
        <r>
          <rPr>
            <b/>
            <sz val="10"/>
            <color indexed="81"/>
            <rFont val="Arial"/>
            <family val="2"/>
          </rPr>
          <t>nicholjs:</t>
        </r>
        <r>
          <rPr>
            <sz val="10"/>
            <color indexed="81"/>
            <rFont val="Arial"/>
            <family val="2"/>
          </rPr>
          <t xml:space="preserve">
Holliste</t>
        </r>
        <r>
          <rPr>
            <sz val="8"/>
            <color indexed="81"/>
            <rFont val="Tahoma"/>
            <family val="2"/>
          </rPr>
          <t>r 5 Ave flagship opens in Nov 2010</t>
        </r>
      </text>
    </comment>
    <comment ref="U106" authorId="2">
      <text>
        <r>
          <rPr>
            <b/>
            <sz val="8"/>
            <color indexed="81"/>
            <rFont val="Tahoma"/>
            <family val="2"/>
          </rPr>
          <t>kahng:</t>
        </r>
        <r>
          <rPr>
            <sz val="8"/>
            <color indexed="81"/>
            <rFont val="Tahoma"/>
            <family val="2"/>
          </rPr>
          <t xml:space="preserve">
1/25: backing out $26.6M from 2012 base to account for 53rd week in FY2012
1/23: brought down new store rev assumption from $9.5 to $8.5</t>
        </r>
      </text>
    </comment>
    <comment ref="A108" authorId="3">
      <text>
        <r>
          <rPr>
            <b/>
            <sz val="8"/>
            <color indexed="81"/>
            <rFont val="Tahoma"/>
            <family val="2"/>
          </rPr>
          <t>Kimberly Greenberger:</t>
        </r>
        <r>
          <rPr>
            <sz val="8"/>
            <color indexed="81"/>
            <rFont val="Tahoma"/>
            <family val="2"/>
          </rPr>
          <t xml:space="preserve">
includes portion of shipping &amp; handling</t>
        </r>
      </text>
    </comment>
    <comment ref="I110" authorId="10">
      <text>
        <r>
          <rPr>
            <b/>
            <sz val="10"/>
            <color indexed="81"/>
            <rFont val="Tahoma"/>
            <family val="2"/>
          </rPr>
          <t>dliu:</t>
        </r>
        <r>
          <rPr>
            <sz val="10"/>
            <color indexed="81"/>
            <rFont val="Tahoma"/>
            <family val="2"/>
          </rPr>
          <t xml:space="preserve">
assume A&amp;F sales psf is approx $450; to use nice round numbers</t>
        </r>
      </text>
    </comment>
    <comment ref="J110" authorId="10">
      <text>
        <r>
          <rPr>
            <b/>
            <sz val="10"/>
            <color indexed="81"/>
            <rFont val="Tahoma"/>
            <family val="2"/>
          </rPr>
          <t>dliu:</t>
        </r>
        <r>
          <rPr>
            <sz val="10"/>
            <color indexed="81"/>
            <rFont val="Tahoma"/>
            <family val="2"/>
          </rPr>
          <t xml:space="preserve">
assume the (6)% comp takes sales psf down to 420</t>
        </r>
      </text>
    </comment>
    <comment ref="R110" authorId="0">
      <text>
        <r>
          <rPr>
            <b/>
            <sz val="8"/>
            <color indexed="81"/>
            <rFont val="Tahoma"/>
            <family val="2"/>
          </rPr>
          <t>mm98285:</t>
        </r>
        <r>
          <rPr>
            <sz val="8"/>
            <color indexed="81"/>
            <rFont val="Tahoma"/>
            <family val="2"/>
          </rPr>
          <t xml:space="preserve">
expect incremental $39mm from flagships in 2009 LESS ~$20mm for 10 est closings</t>
        </r>
      </text>
    </comment>
    <comment ref="S110" authorId="1">
      <text>
        <r>
          <rPr>
            <b/>
            <sz val="8"/>
            <color indexed="81"/>
            <rFont val="Tahoma"/>
            <family val="2"/>
          </rPr>
          <t>kg51925:</t>
        </r>
        <r>
          <rPr>
            <sz val="8"/>
            <color indexed="81"/>
            <rFont val="Tahoma"/>
            <family val="2"/>
          </rPr>
          <t xml:space="preserve">
estimate 25 int'l stores at 3x normal US store = $150mm LESS 10 closures at $2m ea = $130 rev increase
</t>
        </r>
      </text>
    </comment>
    <comment ref="T110" authorId="1">
      <text>
        <r>
          <rPr>
            <b/>
            <sz val="8"/>
            <color indexed="81"/>
            <rFont val="Tahoma"/>
            <family val="2"/>
          </rPr>
          <t>kg51925:</t>
        </r>
        <r>
          <rPr>
            <sz val="8"/>
            <color indexed="81"/>
            <rFont val="Tahoma"/>
            <family val="2"/>
          </rPr>
          <t xml:space="preserve">
estimate 20 int'l stores at 3x normal US store = $120mm LESS 20 closures at $2m ea = $80 rev increase
</t>
        </r>
      </text>
    </comment>
    <comment ref="U110" authorId="1">
      <text>
        <r>
          <rPr>
            <b/>
            <sz val="8"/>
            <color indexed="81"/>
            <rFont val="Tahoma"/>
            <family val="2"/>
          </rPr>
          <t>kg51925:</t>
        </r>
        <r>
          <rPr>
            <sz val="8"/>
            <color indexed="81"/>
            <rFont val="Tahoma"/>
            <family val="2"/>
          </rPr>
          <t xml:space="preserve">
estimate 15 int'l stores at 3x normal US store = $90mm LESS 25 closures at $2m ea = $40 rev increase
</t>
        </r>
      </text>
    </comment>
    <comment ref="N116" authorId="5">
      <text>
        <r>
          <rPr>
            <b/>
            <sz val="8"/>
            <color indexed="81"/>
            <rFont val="Tahoma"/>
            <family val="2"/>
          </rPr>
          <t>Corinna Freedman:</t>
        </r>
        <r>
          <rPr>
            <sz val="8"/>
            <color indexed="81"/>
            <rFont val="Tahoma"/>
            <family val="2"/>
          </rPr>
          <t xml:space="preserve">
11/15: 2/3 of 90 new stores = Hollister</t>
        </r>
      </text>
    </comment>
    <comment ref="O116" authorId="0">
      <text>
        <r>
          <rPr>
            <b/>
            <sz val="10"/>
            <color indexed="81"/>
            <rFont val="Tahoma"/>
            <family val="2"/>
          </rPr>
          <t>mm98285:</t>
        </r>
        <r>
          <rPr>
            <sz val="10"/>
            <color indexed="81"/>
            <rFont val="Tahoma"/>
            <family val="2"/>
          </rPr>
          <t xml:space="preserve">
11/07: expect 58 new Hollister</t>
        </r>
      </text>
    </comment>
    <comment ref="J117" authorId="8">
      <text>
        <r>
          <rPr>
            <b/>
            <sz val="8"/>
            <color indexed="81"/>
            <rFont val="Tahoma"/>
            <family val="2"/>
          </rPr>
          <t>Lehman Brothers:</t>
        </r>
        <r>
          <rPr>
            <sz val="8"/>
            <color indexed="81"/>
            <rFont val="Tahoma"/>
            <family val="2"/>
          </rPr>
          <t xml:space="preserve">
closure is hollister outlet - do we not count?  Old model counting on biz tab but not counting on A&amp;F exp tab</t>
        </r>
      </text>
    </comment>
    <comment ref="L119" authorId="3">
      <text>
        <r>
          <rPr>
            <b/>
            <sz val="8"/>
            <color indexed="81"/>
            <rFont val="Tahoma"/>
            <family val="2"/>
          </rPr>
          <t>Kimberly Greenberger:</t>
        </r>
        <r>
          <rPr>
            <sz val="8"/>
            <color indexed="81"/>
            <rFont val="Tahoma"/>
            <family val="2"/>
          </rPr>
          <t xml:space="preserve">
7/04 per Tom L, mgmt thinks potential for Hollister is 600-800 stores</t>
        </r>
      </text>
    </comment>
    <comment ref="M119" authorId="5">
      <text>
        <r>
          <rPr>
            <b/>
            <sz val="8"/>
            <color indexed="81"/>
            <rFont val="Tahoma"/>
            <family val="2"/>
          </rPr>
          <t>Corinna Freedman:</t>
        </r>
        <r>
          <rPr>
            <sz val="8"/>
            <color indexed="81"/>
            <rFont val="Tahoma"/>
            <family val="2"/>
          </rPr>
          <t xml:space="preserve">
11/15 318 by y/e</t>
        </r>
      </text>
    </comment>
    <comment ref="N119" authorId="5">
      <text>
        <r>
          <rPr>
            <b/>
            <sz val="8"/>
            <color indexed="81"/>
            <rFont val="Tahoma"/>
            <family val="2"/>
          </rPr>
          <t>Corinna Freedman:</t>
        </r>
        <r>
          <rPr>
            <sz val="8"/>
            <color indexed="81"/>
            <rFont val="Tahoma"/>
            <family val="2"/>
          </rPr>
          <t xml:space="preserve">
11/15 318 by y/e</t>
        </r>
      </text>
    </comment>
    <comment ref="I135" authorId="7">
      <text>
        <r>
          <rPr>
            <b/>
            <sz val="10"/>
            <color indexed="81"/>
            <rFont val="Tahoma"/>
            <family val="2"/>
          </rPr>
          <t>plejuez:</t>
        </r>
        <r>
          <rPr>
            <sz val="10"/>
            <color indexed="81"/>
            <rFont val="Tahoma"/>
            <family val="2"/>
          </rPr>
          <t xml:space="preserve">
on 4q01 call said 75% of A+F store</t>
        </r>
      </text>
    </comment>
    <comment ref="L135" authorId="10">
      <text>
        <r>
          <rPr>
            <b/>
            <sz val="10"/>
            <color indexed="81"/>
            <rFont val="Tahoma"/>
            <family val="2"/>
          </rPr>
          <t>dliu:</t>
        </r>
        <r>
          <rPr>
            <sz val="10"/>
            <color indexed="81"/>
            <rFont val="Tahoma"/>
            <family val="2"/>
          </rPr>
          <t xml:space="preserve">
on 4/1/04 BofA conf, seth said Hollister's sales psf are running at $400 psf</t>
        </r>
      </text>
    </comment>
    <comment ref="L140" authorId="3">
      <text>
        <r>
          <rPr>
            <b/>
            <sz val="8"/>
            <color indexed="81"/>
            <rFont val="Tahoma"/>
            <family val="2"/>
          </rPr>
          <t>Kimberly Greenberger:</t>
        </r>
        <r>
          <rPr>
            <sz val="8"/>
            <color indexed="81"/>
            <rFont val="Tahoma"/>
            <family val="2"/>
          </rPr>
          <t xml:space="preserve">
6,500 sq ft per Tom 7/04</t>
        </r>
      </text>
    </comment>
    <comment ref="L142" authorId="3">
      <text>
        <r>
          <rPr>
            <b/>
            <sz val="8"/>
            <color indexed="81"/>
            <rFont val="Tahoma"/>
            <family val="2"/>
          </rPr>
          <t>Kimberly Greenberger:</t>
        </r>
        <r>
          <rPr>
            <sz val="8"/>
            <color indexed="81"/>
            <rFont val="Tahoma"/>
            <family val="2"/>
          </rPr>
          <t xml:space="preserve">
7/04 Hollister was running 120% of the sales psf of A&amp;F on trail 12 month basis at end of 1Q04</t>
        </r>
      </text>
    </comment>
    <comment ref="A157" authorId="3">
      <text>
        <r>
          <rPr>
            <b/>
            <sz val="8"/>
            <color indexed="81"/>
            <rFont val="Tahoma"/>
            <family val="2"/>
          </rPr>
          <t>Kimberly Greenberger:</t>
        </r>
        <r>
          <rPr>
            <sz val="8"/>
            <color indexed="81"/>
            <rFont val="Tahoma"/>
            <family val="2"/>
          </rPr>
          <t xml:space="preserve">
includes portion of shipping &amp; handling</t>
        </r>
      </text>
    </comment>
    <comment ref="M167" authorId="5">
      <text>
        <r>
          <rPr>
            <b/>
            <sz val="8"/>
            <color indexed="81"/>
            <rFont val="Tahoma"/>
            <family val="2"/>
          </rPr>
          <t>Corinna Freedman:</t>
        </r>
        <r>
          <rPr>
            <sz val="8"/>
            <color indexed="81"/>
            <rFont val="Tahoma"/>
            <family val="2"/>
          </rPr>
          <t xml:space="preserve">
11/15: 8 by y/e</t>
        </r>
      </text>
    </comment>
    <comment ref="A196" authorId="12">
      <text>
        <r>
          <rPr>
            <b/>
            <sz val="8"/>
            <color indexed="81"/>
            <rFont val="Tahoma"/>
            <family val="2"/>
          </rPr>
          <t>OC48540:</t>
        </r>
        <r>
          <rPr>
            <sz val="8"/>
            <color indexed="81"/>
            <rFont val="Tahoma"/>
            <family val="2"/>
          </rPr>
          <t xml:space="preserve">
STORE  POTENTIAL
A&amp;F = 400
abercrombie = 275
Hollister = 800
Ruel = 250</t>
        </r>
      </text>
    </comment>
    <comment ref="A204" authorId="5">
      <text>
        <r>
          <rPr>
            <b/>
            <sz val="8"/>
            <color indexed="81"/>
            <rFont val="Tahoma"/>
            <family val="2"/>
          </rPr>
          <t>Corinna Freedman:</t>
        </r>
        <r>
          <rPr>
            <sz val="8"/>
            <color indexed="81"/>
            <rFont val="Tahoma"/>
            <family val="2"/>
          </rPr>
          <t xml:space="preserve">
Includes shipping and handling</t>
        </r>
      </text>
    </comment>
    <comment ref="E204" authorId="10">
      <text>
        <r>
          <rPr>
            <b/>
            <sz val="10"/>
            <color indexed="81"/>
            <rFont val="Tahoma"/>
            <family val="2"/>
          </rPr>
          <t>dliu:</t>
        </r>
        <r>
          <rPr>
            <sz val="10"/>
            <color indexed="81"/>
            <rFont val="Tahoma"/>
            <family val="2"/>
          </rPr>
          <t xml:space="preserve">
A&amp;F quarterly launched 1997</t>
        </r>
      </text>
    </comment>
    <comment ref="F204" authorId="10">
      <text>
        <r>
          <rPr>
            <b/>
            <sz val="10"/>
            <color indexed="81"/>
            <rFont val="Tahoma"/>
            <family val="2"/>
          </rPr>
          <t>dliu:</t>
        </r>
        <r>
          <rPr>
            <sz val="10"/>
            <color indexed="81"/>
            <rFont val="Tahoma"/>
            <family val="2"/>
          </rPr>
          <t xml:space="preserve">
A&amp;F website launched 1998. for 97 thru 2000, qtrly does not add to yrly direct sales b/c of restatement due to S&amp;H - restated in more recent 10-Ks but not in 10-Qs</t>
        </r>
      </text>
    </comment>
    <comment ref="G204" authorId="10">
      <text>
        <r>
          <rPr>
            <b/>
            <sz val="10"/>
            <color indexed="81"/>
            <rFont val="Tahoma"/>
            <family val="2"/>
          </rPr>
          <t>dliu:</t>
        </r>
        <r>
          <rPr>
            <sz val="10"/>
            <color indexed="81"/>
            <rFont val="Tahoma"/>
            <family val="2"/>
          </rPr>
          <t xml:space="preserve">
A&amp;F website launched 1998. for 97 thru 2000, qtrly does not add to yrly direct sales b/c of restatement due to S&amp;H - restated in more recent 10-Ks but not in 10-Qs</t>
        </r>
      </text>
    </comment>
    <comment ref="H204" authorId="10">
      <text>
        <r>
          <rPr>
            <b/>
            <sz val="10"/>
            <color indexed="81"/>
            <rFont val="Tahoma"/>
            <family val="2"/>
          </rPr>
          <t>dliu:</t>
        </r>
        <r>
          <rPr>
            <sz val="10"/>
            <color indexed="81"/>
            <rFont val="Tahoma"/>
            <family val="2"/>
          </rPr>
          <t xml:space="preserve">
Kids website launched 2000. for 97 thru 2000, qtrly does not add to yrly direct sales b/c of restatement due to S&amp;H - restated in more recent 10-Ks but not in 10-Qs</t>
        </r>
      </text>
    </comment>
    <comment ref="S204" authorId="13">
      <text>
        <r>
          <rPr>
            <sz val="10"/>
            <color indexed="81"/>
            <rFont val="Tahoma"/>
            <family val="2"/>
          </rPr>
          <t>5/2010: plan to grow DTC more aggresively in the future</t>
        </r>
      </text>
    </comment>
    <comment ref="T204" authorId="13">
      <text>
        <r>
          <rPr>
            <sz val="10"/>
            <color indexed="81"/>
            <rFont val="Tahoma"/>
            <family val="2"/>
          </rPr>
          <t>5/2010: plan to grow DTC more aggresively in the future</t>
        </r>
      </text>
    </comment>
    <comment ref="N210" authorId="5">
      <text>
        <r>
          <rPr>
            <b/>
            <sz val="8"/>
            <color indexed="81"/>
            <rFont val="Tahoma"/>
            <family val="2"/>
          </rPr>
          <t>Corinna Freedman:</t>
        </r>
        <r>
          <rPr>
            <sz val="8"/>
            <color indexed="81"/>
            <rFont val="Tahoma"/>
            <family val="2"/>
          </rPr>
          <t xml:space="preserve">
11/15: 90 new stores</t>
        </r>
      </text>
    </comment>
    <comment ref="O210" authorId="14">
      <text>
        <r>
          <rPr>
            <b/>
            <sz val="8"/>
            <color indexed="81"/>
            <rFont val="Tahoma"/>
            <family val="2"/>
          </rPr>
          <t>oc48540:</t>
        </r>
        <r>
          <rPr>
            <sz val="8"/>
            <color indexed="81"/>
            <rFont val="Tahoma"/>
            <family val="2"/>
          </rPr>
          <t xml:space="preserve">
2006 10-K…expects to open 110-120 new stores and remodel 10-20 stores</t>
        </r>
      </text>
    </comment>
    <comment ref="Q210" authorId="0">
      <text>
        <r>
          <rPr>
            <sz val="10"/>
            <color indexed="81"/>
            <rFont val="Tahoma"/>
            <family val="2"/>
          </rPr>
          <t>10Q: During Fiscal 2009, the Company expects to open a total of 23 new stores, across all brands, both domestically and internationally. Domestically, in addition to the Hollister EPIC flagship that opened in the second quarter, the Company expects the addition of two new abercrombie stores, four new Hollister mall-based stores, one new Gilly Hicks stores and two new outlet stores. Internationally, the Company remains on track to open Abercrombie &amp; Fitch and abercrombie flagships in Milan, and an Abercrombie &amp; Fitch flagship in Tokyo. The Company also plans to open seven new mall-based Hollister stores in the United Kingdom, one mall-based Hollister store in Germany and one mall-based Hollister store in Italy, and one abercrombie store in Canada.</t>
        </r>
        <r>
          <rPr>
            <b/>
            <sz val="10"/>
            <color indexed="81"/>
            <rFont val="Tahoma"/>
            <family val="2"/>
          </rPr>
          <t xml:space="preserve">
</t>
        </r>
        <r>
          <rPr>
            <sz val="10"/>
            <color indexed="81"/>
            <rFont val="Tahoma"/>
            <family val="2"/>
          </rPr>
          <t xml:space="preserve">
10K: expect to open 17 new stores incl. 11 domestic (2 kids mall based stores, 4 Holl mall based, 1 Holl flagship, 1 Ruehl outlet, 2 GH mall based, 1 GH outlet) and 6 international (2 A&amp;F flagships, 1 kids flagship, 1 kids Canadian store, 2 Holl mall based stores)</t>
        </r>
      </text>
    </comment>
    <comment ref="V210" authorId="4">
      <text>
        <r>
          <rPr>
            <b/>
            <sz val="9"/>
            <color indexed="81"/>
            <rFont val="Tahoma"/>
            <family val="2"/>
          </rPr>
          <t xml:space="preserve">casselau:
8/28/14: </t>
        </r>
        <r>
          <rPr>
            <sz val="9"/>
            <color indexed="81"/>
            <rFont val="Tahoma"/>
            <family val="2"/>
          </rPr>
          <t>anticipates opening a total of 14 full-price intl stores throughout the year, including 8 Hollister stores and 5 Abercrombie &amp; Fitch stores.  The Company also plans to open approximately 8 to 10 international and U.S. outlet stores 
5/29/14: expect 15 full-price int'l stores, including a small number of A&amp;F int'l mall based stores; 8-10 int'l and US outlet stores</t>
        </r>
      </text>
    </comment>
    <comment ref="W210" authorId="4">
      <text>
        <r>
          <rPr>
            <b/>
            <sz val="9"/>
            <color indexed="81"/>
            <rFont val="Tahoma"/>
            <family val="2"/>
          </rPr>
          <t>casselau:
8/26/15: The Company plans to open 15 full-price stores in fiscal 2015 in the key growth markets of China, Japan and the Middle East, six full price stores in North America and ten new outlet stores in the U.S.  In addition, the Company anticipates closing approximately 60 stores in the U.S. during the fiscal year through natural lease expirations.</t>
        </r>
        <r>
          <rPr>
            <sz val="9"/>
            <color indexed="81"/>
            <rFont val="Tahoma"/>
            <family val="2"/>
          </rPr>
          <t xml:space="preserve">
5/28/15: plans to open 17 full-price stores in fiscal 2015 in the key growth markets of China, Japan and the Middle East and five full price stores in North America.  The Company expects to open nine new outlet stores in the U.S.
3/3/15: plans to open 15 full-price stores (China, Japan, Middle East) and 4 in NA; 11 new outlet stores in the US</t>
        </r>
      </text>
    </comment>
    <comment ref="X210" authorId="4">
      <text>
        <r>
          <rPr>
            <b/>
            <sz val="9"/>
            <color indexed="81"/>
            <rFont val="Tahoma"/>
            <family val="2"/>
          </rPr>
          <t xml:space="preserve">casselau:
8/30/16: </t>
        </r>
        <r>
          <rPr>
            <sz val="9"/>
            <color indexed="81"/>
            <rFont val="Tahoma"/>
            <family val="2"/>
          </rPr>
          <t>The company plans to open ~15 new stores in fiscal 2016, including approximately 10 in international markets, primarily China, and approximately five in the U.S.  The company plans to open six new outlet stores, primarily in the U.S.</t>
        </r>
        <r>
          <rPr>
            <b/>
            <sz val="9"/>
            <color indexed="81"/>
            <rFont val="Tahoma"/>
            <family val="2"/>
          </rPr>
          <t xml:space="preserve">
5/26/16: expect 6 new outlets vs. 10 prior</t>
        </r>
        <r>
          <rPr>
            <sz val="9"/>
            <color indexed="81"/>
            <rFont val="Tahoma"/>
            <family val="2"/>
          </rPr>
          <t xml:space="preserve">
3/2/16: The company plans to open approximately </t>
        </r>
        <r>
          <rPr>
            <b/>
            <sz val="9"/>
            <color indexed="81"/>
            <rFont val="Tahoma"/>
            <family val="2"/>
          </rPr>
          <t>15 full-price stores</t>
        </r>
        <r>
          <rPr>
            <sz val="9"/>
            <color indexed="81"/>
            <rFont val="Tahoma"/>
            <family val="2"/>
          </rPr>
          <t xml:space="preserve"> in fiscal 2016, including approximately 10 in international markets, primarily China, and approximately five in the U.S.  The company also plans to open approximately </t>
        </r>
        <r>
          <rPr>
            <b/>
            <sz val="9"/>
            <color indexed="81"/>
            <rFont val="Tahoma"/>
            <family val="2"/>
          </rPr>
          <t>10 new outlet stores,</t>
        </r>
        <r>
          <rPr>
            <sz val="9"/>
            <color indexed="81"/>
            <rFont val="Tahoma"/>
            <family val="2"/>
          </rPr>
          <t xml:space="preserve"> primarily in the U.S. </t>
        </r>
      </text>
    </comment>
    <comment ref="Z210" authorId="4">
      <text>
        <r>
          <rPr>
            <sz val="8"/>
            <color indexed="81"/>
            <rFont val="Tahoma"/>
            <family val="2"/>
          </rPr>
          <t>11/5/13: expect to open 40 domestic stores over the long term</t>
        </r>
      </text>
    </comment>
    <comment ref="AA210" authorId="4">
      <text>
        <r>
          <rPr>
            <sz val="8"/>
            <color indexed="81"/>
            <rFont val="Tahoma"/>
            <family val="2"/>
          </rPr>
          <t>11/5/13: expect to open 40 domestic stores over the long term</t>
        </r>
      </text>
    </comment>
    <comment ref="AB210" authorId="4">
      <text>
        <r>
          <rPr>
            <sz val="8"/>
            <color indexed="81"/>
            <rFont val="Tahoma"/>
            <family val="2"/>
          </rPr>
          <t>11/5/13: expect to open 40 domestic stores over the long term</t>
        </r>
      </text>
    </comment>
    <comment ref="AC210" authorId="4">
      <text>
        <r>
          <rPr>
            <sz val="8"/>
            <color indexed="81"/>
            <rFont val="Tahoma"/>
            <family val="2"/>
          </rPr>
          <t>11/5/13: expect to open 40 domestic stores over the long term</t>
        </r>
      </text>
    </comment>
    <comment ref="AD210" authorId="4">
      <text>
        <r>
          <rPr>
            <sz val="8"/>
            <color indexed="81"/>
            <rFont val="Tahoma"/>
            <family val="2"/>
          </rPr>
          <t>11/5/13: expect to open 40 domestic stores over the long term</t>
        </r>
      </text>
    </comment>
    <comment ref="A211" authorId="10">
      <text>
        <r>
          <rPr>
            <b/>
            <sz val="10"/>
            <color indexed="81"/>
            <rFont val="Tahoma"/>
            <family val="2"/>
          </rPr>
          <t>dliu:</t>
        </r>
        <r>
          <rPr>
            <sz val="10"/>
            <color indexed="81"/>
            <rFont val="Tahoma"/>
            <family val="2"/>
          </rPr>
          <t xml:space="preserve">
400 max</t>
        </r>
      </text>
    </comment>
    <comment ref="A212" authorId="10">
      <text>
        <r>
          <rPr>
            <b/>
            <sz val="10"/>
            <color indexed="81"/>
            <rFont val="Tahoma"/>
            <family val="2"/>
          </rPr>
          <t>dliu:</t>
        </r>
        <r>
          <rPr>
            <sz val="10"/>
            <color indexed="81"/>
            <rFont val="Tahoma"/>
            <family val="2"/>
          </rPr>
          <t xml:space="preserve">
400 max</t>
        </r>
      </text>
    </comment>
    <comment ref="O212" authorId="14">
      <text>
        <r>
          <rPr>
            <b/>
            <sz val="8"/>
            <color indexed="81"/>
            <rFont val="Tahoma"/>
            <family val="2"/>
          </rPr>
          <t>oc48540:</t>
        </r>
        <r>
          <rPr>
            <sz val="8"/>
            <color indexed="81"/>
            <rFont val="Tahoma"/>
            <family val="2"/>
          </rPr>
          <t xml:space="preserve">
says plans to grow the brand to 250 locations in '06-10K</t>
        </r>
      </text>
    </comment>
    <comment ref="A213" authorId="10">
      <text>
        <r>
          <rPr>
            <b/>
            <sz val="10"/>
            <color indexed="81"/>
            <rFont val="Tahoma"/>
            <family val="2"/>
          </rPr>
          <t>dliu:</t>
        </r>
        <r>
          <rPr>
            <sz val="10"/>
            <color indexed="81"/>
            <rFont val="Tahoma"/>
            <family val="2"/>
          </rPr>
          <t xml:space="preserve">
600-800 max</t>
        </r>
      </text>
    </comment>
    <comment ref="A214" authorId="3">
      <text>
        <r>
          <rPr>
            <b/>
            <sz val="8"/>
            <color indexed="81"/>
            <rFont val="Tahoma"/>
            <family val="2"/>
          </rPr>
          <t>Kimberly Greenberger:</t>
        </r>
        <r>
          <rPr>
            <sz val="8"/>
            <color indexed="81"/>
            <rFont val="Tahoma"/>
            <family val="2"/>
          </rPr>
          <t xml:space="preserve">
200-250 store opportunity</t>
        </r>
      </text>
    </comment>
    <comment ref="S216" authorId="11">
      <text>
        <r>
          <rPr>
            <b/>
            <sz val="11"/>
            <color indexed="81"/>
            <rFont val="Tahoma"/>
            <family val="2"/>
          </rPr>
          <t>nicholjs:</t>
        </r>
        <r>
          <rPr>
            <sz val="11"/>
            <color indexed="81"/>
            <rFont val="Tahoma"/>
            <family val="2"/>
          </rPr>
          <t xml:space="preserve">
3Q2010 10Q: The Company also expects approximately 50 additional store closures during Fiscal 2011, also predominantly by way of natural lease expirations at the end of the year. 
</t>
        </r>
      </text>
    </comment>
    <comment ref="V216" authorId="4">
      <text>
        <r>
          <rPr>
            <sz val="8"/>
            <color indexed="81"/>
            <rFont val="Tahoma"/>
            <family val="2"/>
          </rPr>
          <t>8/28/14: expect to close 60
5/29/14: expect to close 60-70 stores in the UYS through natural lease expirations
11/6/13: expect to cles 30-40 stores per year going forward (ex Gilly)</t>
        </r>
      </text>
    </comment>
    <comment ref="W216" authorId="4">
      <text>
        <r>
          <rPr>
            <sz val="8"/>
            <color indexed="81"/>
            <rFont val="Tahoma"/>
            <family val="2"/>
          </rPr>
          <t>5/28/15:  anticipates closing approximately 60 stores in the U.S. during the fiscal year through natural lease expirations
3/3/15: expect to close 60
11/6/13: expect to cles 30-40 stores per year going forward</t>
        </r>
      </text>
    </comment>
    <comment ref="X216" authorId="4">
      <text>
        <r>
          <rPr>
            <b/>
            <sz val="8"/>
            <color indexed="81"/>
            <rFont val="Tahoma"/>
            <family val="2"/>
          </rPr>
          <t xml:space="preserve">3/2/16:  In addition, the company anticipates closing approximately 60 stores in the U.S. during the fiscal year through natural lease expirations. </t>
        </r>
        <r>
          <rPr>
            <sz val="8"/>
            <color indexed="81"/>
            <rFont val="Tahoma"/>
            <family val="2"/>
          </rPr>
          <t xml:space="preserve">
11/6/13: expect to cles 30-40 stores per year going forward</t>
        </r>
      </text>
    </comment>
    <comment ref="Y216" authorId="4">
      <text>
        <r>
          <rPr>
            <sz val="8"/>
            <color indexed="81"/>
            <rFont val="Tahoma"/>
            <family val="2"/>
          </rPr>
          <t>11/6/13: expect to cles 30-40 stores per year going forward</t>
        </r>
      </text>
    </comment>
    <comment ref="Z216" authorId="4">
      <text>
        <r>
          <rPr>
            <sz val="8"/>
            <color indexed="81"/>
            <rFont val="Tahoma"/>
            <family val="2"/>
          </rPr>
          <t>11/6/13: expect to cles 30-40 stores per year going forward</t>
        </r>
      </text>
    </comment>
    <comment ref="AA216" authorId="4">
      <text>
        <r>
          <rPr>
            <sz val="8"/>
            <color indexed="81"/>
            <rFont val="Tahoma"/>
            <family val="2"/>
          </rPr>
          <t>11/6/13: expect to cles 30-40 stores per year going forward</t>
        </r>
      </text>
    </comment>
    <comment ref="AB216" authorId="4">
      <text>
        <r>
          <rPr>
            <sz val="8"/>
            <color indexed="81"/>
            <rFont val="Tahoma"/>
            <family val="2"/>
          </rPr>
          <t>11/6/13: expect to cles 30-40 stores per year going forward</t>
        </r>
      </text>
    </comment>
    <comment ref="AC216" authorId="4">
      <text>
        <r>
          <rPr>
            <sz val="8"/>
            <color indexed="81"/>
            <rFont val="Tahoma"/>
            <family val="2"/>
          </rPr>
          <t>11/6/13: expect to cles 30-40 stores per year going forward</t>
        </r>
      </text>
    </comment>
    <comment ref="AD216" authorId="4">
      <text>
        <r>
          <rPr>
            <sz val="8"/>
            <color indexed="81"/>
            <rFont val="Tahoma"/>
            <family val="2"/>
          </rPr>
          <t>11/6/13: expect to cles 30-40 stores per year going forward</t>
        </r>
      </text>
    </comment>
    <comment ref="P218" authorId="15">
      <text>
        <r>
          <rPr>
            <b/>
            <sz val="10"/>
            <color indexed="81"/>
            <rFont val="Tahoma"/>
            <family val="2"/>
          </rPr>
          <t>lr73192:</t>
        </r>
        <r>
          <rPr>
            <sz val="10"/>
            <color indexed="81"/>
            <rFont val="Tahoma"/>
            <family val="2"/>
          </rPr>
          <t xml:space="preserve">
Restated to be 1097 (ex-Reuhl)</t>
        </r>
      </text>
    </comment>
    <comment ref="O226" authorId="14">
      <text>
        <r>
          <rPr>
            <sz val="8"/>
            <color indexed="81"/>
            <rFont val="Tahoma"/>
            <family val="2"/>
          </rPr>
          <t>@3Q07: For fiscal 2007, expects gross square-footage to grow by ~10%, primarily
through the addition of six new Abercrombie &amp; Fitch stores, 25 new
abercrombie stores, 58 new Hollister Co. stores, seven new RUEHL stores, and
four stores of the company's new concept.
2Q07: For fiscal 2007, the Company expects to increase gross square-footage by ~10%,</t>
        </r>
      </text>
    </comment>
    <comment ref="P226" authorId="14">
      <text>
        <r>
          <rPr>
            <sz val="8"/>
            <color indexed="81"/>
            <rFont val="Tahoma"/>
            <family val="2"/>
          </rPr>
          <t>5/18/08:
ANF now expects ‘08 to increase gross square-footage by ~10% (revised from the previous estimate of 11%). In NA, ANF now expects to open 104 new non-flagship stores including 3 new Abercrombie &amp; Fitch stores (previously 4), 66 new Hollister Co. stores (previously 67), 13 new abercrombie stores (previously 17), 6 new RUEHL stores and 14 new Gilly Hicks stores and 2 new outlet stores. ANF also plans to open 4 new, non-flagship Hollister Co. stores in the United Kingdom in Fiscal 2008.
Note that this is decreased to 10% from 11-12% due to moving the opening of 10 stores from January to the beginning of
February in order to ensure that these stores are ready from an operations and
merchandise standpoint. If this is simply a shift in timing of openings, we would
expect accelerating square footage growth of 11-12% in 2008, although
management has not commented on 2008 store opening plans.</t>
        </r>
      </text>
    </comment>
    <comment ref="M229" authorId="5">
      <text>
        <r>
          <rPr>
            <b/>
            <sz val="8"/>
            <color indexed="81"/>
            <rFont val="Tahoma"/>
            <family val="2"/>
          </rPr>
          <t>Corinna Freedman:</t>
        </r>
        <r>
          <rPr>
            <sz val="8"/>
            <color indexed="81"/>
            <rFont val="Tahoma"/>
            <family val="2"/>
          </rPr>
          <t xml:space="preserve">
11/15: 8% sq ftge for 2005</t>
        </r>
      </text>
    </comment>
    <comment ref="O229" authorId="0">
      <text>
        <r>
          <rPr>
            <b/>
            <sz val="10"/>
            <color indexed="81"/>
            <rFont val="Tahoma"/>
            <family val="2"/>
          </rPr>
          <t>mm98285:</t>
        </r>
        <r>
          <rPr>
            <sz val="10"/>
            <color indexed="81"/>
            <rFont val="Tahoma"/>
            <family val="2"/>
          </rPr>
          <t xml:space="preserve">
11/07: expect 10% increase in gorss sq ft
5/07: expect 11-12% sq ft growth given 10 new A+F, 29 abercrombie, 69 hollister, 9 ruehl</t>
        </r>
      </text>
    </comment>
    <comment ref="P229" authorId="0">
      <text>
        <r>
          <rPr>
            <b/>
            <sz val="8"/>
            <color indexed="81"/>
            <rFont val="Tahoma"/>
            <family val="2"/>
          </rPr>
          <t>mm98285:</t>
        </r>
        <r>
          <rPr>
            <sz val="8"/>
            <color indexed="81"/>
            <rFont val="Tahoma"/>
            <family val="2"/>
          </rPr>
          <t xml:space="preserve">
11/08: 9% sq
9/08: expect +9-10% vs. +10% in 1Q</t>
        </r>
      </text>
    </comment>
    <comment ref="A260" authorId="3">
      <text>
        <r>
          <rPr>
            <b/>
            <sz val="8"/>
            <color indexed="81"/>
            <rFont val="Tahoma"/>
            <family val="2"/>
          </rPr>
          <t>Kimberly Greenberger:</t>
        </r>
        <r>
          <rPr>
            <sz val="8"/>
            <color indexed="81"/>
            <rFont val="Tahoma"/>
            <family val="2"/>
          </rPr>
          <t xml:space="preserve">
includes portion of shipping &amp; handling</t>
        </r>
      </text>
    </comment>
    <comment ref="O267" authorId="0">
      <text>
        <r>
          <rPr>
            <b/>
            <sz val="10"/>
            <color indexed="81"/>
            <rFont val="Tahoma"/>
            <family val="2"/>
          </rPr>
          <t>3Q07: 4 stores in Jan 2008
mm98285:</t>
        </r>
        <r>
          <rPr>
            <sz val="10"/>
            <color indexed="81"/>
            <rFont val="Tahoma"/>
            <family val="2"/>
          </rPr>
          <t xml:space="preserve">
11/07: expect 4 new stores</t>
        </r>
      </text>
    </comment>
  </commentList>
</comments>
</file>

<file path=xl/comments7.xml><?xml version="1.0" encoding="utf-8"?>
<comments xmlns="http://schemas.openxmlformats.org/spreadsheetml/2006/main">
  <authors>
    <author>mm98285</author>
    <author>kimberlg</author>
    <author>kahng</author>
    <author>solejay</author>
    <author>nicholjs</author>
    <author>casselau</author>
    <author>oc48540</author>
    <author>Cassel, Lauren (Research)</author>
    <author>ns66486</author>
    <author>P Kahng</author>
  </authors>
  <commentList>
    <comment ref="J13" authorId="0">
      <text>
        <r>
          <rPr>
            <sz val="8"/>
            <color indexed="81"/>
            <rFont val="Tahoma"/>
            <family val="2"/>
          </rPr>
          <t>4/28/10: close to $159 from 4Q
2/16/10: quarterly store occupancy plans will increase modestly on a sequential basis during the year and somewhat greater increases in the latter half of the year.</t>
        </r>
        <r>
          <rPr>
            <b/>
            <sz val="8"/>
            <color indexed="81"/>
            <rFont val="Tahoma"/>
            <family val="2"/>
          </rPr>
          <t xml:space="preserve">
</t>
        </r>
        <r>
          <rPr>
            <sz val="8"/>
            <color indexed="81"/>
            <rFont val="Tahoma"/>
            <family val="2"/>
          </rPr>
          <t>2/10: assume 0.5% decline in occupancy as U.S. declines are offset by Int'l expansions which likely have 1.5x cost of U.S.</t>
        </r>
      </text>
    </comment>
    <comment ref="M13" authorId="1">
      <text>
        <r>
          <rPr>
            <b/>
            <sz val="8"/>
            <color indexed="81"/>
            <rFont val="Tahoma"/>
            <family val="2"/>
          </rPr>
          <t>kimberlg:</t>
        </r>
        <r>
          <rPr>
            <sz val="8"/>
            <color indexed="81"/>
            <rFont val="Tahoma"/>
            <family val="2"/>
          </rPr>
          <t xml:space="preserve">
3/9/2011: Our occupancy expense is moving a little higher than we previously guided to, as we trued up our pre-opening rent expectations for the year. But other than that, we don't have any significant updates to the outlook for the first quarter.
2/2011: expect ~$166mm in 1Q
11/2010: Jonathan says could see growth in this quarter even despite store closures.  
we estimate could save $4M/qtr on 60 stores closed end of 2010 offset by placeholder flagship est $2M and Hollister Int'l</t>
        </r>
      </text>
    </comment>
    <comment ref="O13" authorId="2">
      <text>
        <r>
          <rPr>
            <sz val="8"/>
            <color indexed="81"/>
            <rFont val="Tahoma"/>
            <family val="2"/>
          </rPr>
          <t>2/15/2012 guide: total operating expenses flat as a % of sales</t>
        </r>
      </text>
    </comment>
    <comment ref="S13" authorId="3">
      <text>
        <r>
          <rPr>
            <b/>
            <sz val="8"/>
            <color indexed="81"/>
            <rFont val="Tahoma"/>
            <family val="2"/>
          </rPr>
          <t>solejay:</t>
        </r>
        <r>
          <rPr>
            <sz val="8"/>
            <color indexed="81"/>
            <rFont val="Tahoma"/>
            <family val="2"/>
          </rPr>
          <t xml:space="preserve">
lower dollar amount q/q as stores closed at end of 4Q on natural lease expiration</t>
        </r>
      </text>
    </comment>
    <comment ref="J14" authorId="0">
      <text>
        <r>
          <rPr>
            <sz val="8"/>
            <color indexed="81"/>
            <rFont val="Tahoma"/>
            <family val="2"/>
          </rPr>
          <t>excludes $2.2mm non-cash pre-tax asset impairment charge associated with expected store closures
5/2010: for 2Q, we anticipate occupancy cost to be a little higher in $ terms while increasing more significantly for 3Q and 4Q
2/16/10: quarterly store occupancy plans will increase modestly on a sequential basis during the year and somewhat greater increases in the latter half of the year.</t>
        </r>
        <r>
          <rPr>
            <b/>
            <sz val="8"/>
            <color indexed="81"/>
            <rFont val="Tahoma"/>
            <family val="2"/>
          </rPr>
          <t xml:space="preserve">
</t>
        </r>
        <r>
          <rPr>
            <sz val="8"/>
            <color indexed="81"/>
            <rFont val="Tahoma"/>
            <family val="2"/>
          </rPr>
          <t xml:space="preserve">
2/10: assume 0.5% decline in occupancy as U.S. declines are offset by Int'l expansions which likely have 1.5x cost of U.S.</t>
        </r>
      </text>
    </comment>
    <comment ref="M14" authorId="4">
      <text>
        <r>
          <rPr>
            <b/>
            <sz val="8"/>
            <color indexed="81"/>
            <rFont val="Tahoma"/>
            <family val="2"/>
          </rPr>
          <t>nicholjs:</t>
        </r>
        <r>
          <rPr>
            <sz val="8"/>
            <color indexed="81"/>
            <rFont val="Tahoma"/>
            <family val="2"/>
          </rPr>
          <t xml:space="preserve">
5/18: expect mid-170's.  Hollister openings are slightly more skewed to 3Q vs. 4Q, so that's one reason why occupancy is higher in 2Q.
3/2011: paying Paris depreciation in 2Q and also pay rent for double Hollister openings (40 vs. 20) this year</t>
        </r>
      </text>
    </comment>
    <comment ref="S14" authorId="5">
      <text>
        <r>
          <rPr>
            <b/>
            <sz val="8"/>
            <color indexed="81"/>
            <rFont val="Tahoma"/>
            <family val="2"/>
          </rPr>
          <t>casselau:</t>
        </r>
        <r>
          <rPr>
            <sz val="8"/>
            <color indexed="81"/>
            <rFont val="Tahoma"/>
            <family val="2"/>
          </rPr>
          <t xml:space="preserve">
8/22/13: store pre-opening costs $5.688M</t>
        </r>
      </text>
    </comment>
    <comment ref="G15" authorId="6">
      <text>
        <r>
          <rPr>
            <b/>
            <sz val="8"/>
            <color indexed="81"/>
            <rFont val="Tahoma"/>
            <family val="2"/>
          </rPr>
          <t>oc48540:</t>
        </r>
        <r>
          <rPr>
            <sz val="8"/>
            <color indexed="81"/>
            <rFont val="Tahoma"/>
            <family val="2"/>
          </rPr>
          <t xml:space="preserve">
158mm excluding RUEHL</t>
        </r>
      </text>
    </comment>
    <comment ref="J15" authorId="0">
      <text>
        <r>
          <rPr>
            <sz val="8"/>
            <color indexed="81"/>
            <rFont val="Tahoma"/>
            <family val="2"/>
          </rPr>
          <t>8/2010: expect approximately $168mm
2/16/10: quarterly store occupancy plans will increase modestly on a sequential basis during the year and somewhat greater increases in the latter half of the year.</t>
        </r>
        <r>
          <rPr>
            <b/>
            <sz val="8"/>
            <color indexed="81"/>
            <rFont val="Tahoma"/>
            <family val="2"/>
          </rPr>
          <t xml:space="preserve">
mm98285:</t>
        </r>
        <r>
          <rPr>
            <sz val="8"/>
            <color indexed="81"/>
            <rFont val="Tahoma"/>
            <family val="2"/>
          </rPr>
          <t xml:space="preserve">
2/10: assume 0.5% decline in occupancy as U.S. declines are offset by Int'l expansions which likely have 1.5x cost of U.S.</t>
        </r>
      </text>
    </comment>
    <comment ref="M15" authorId="4">
      <text>
        <r>
          <rPr>
            <b/>
            <sz val="8"/>
            <color indexed="81"/>
            <rFont val="Tahoma"/>
            <family val="2"/>
          </rPr>
          <t>nicholjs:</t>
        </r>
        <r>
          <rPr>
            <sz val="8"/>
            <color indexed="81"/>
            <rFont val="Tahoma"/>
            <family val="2"/>
          </rPr>
          <t xml:space="preserve">
8/2011: expect low to mid 180's
3/2011: assume limited Hollister step-up w/ most 2Q loaded</t>
        </r>
      </text>
    </comment>
    <comment ref="J16" authorId="0">
      <text>
        <r>
          <rPr>
            <sz val="8"/>
            <color indexed="81"/>
            <rFont val="Tahoma"/>
            <family val="2"/>
          </rPr>
          <t>excludes pre-tax asset impairment charges of $48.4mm and store closure charges of $4.0mm
11/2010: expect high $160mm's, excluding store closure costs and potential impairments
2/16/10: quarterly store occupancy plans will increase modestly on a sequential basis during the year and somewhat greater increases in the latter half of the year.</t>
        </r>
        <r>
          <rPr>
            <b/>
            <sz val="8"/>
            <color indexed="81"/>
            <rFont val="Tahoma"/>
            <family val="2"/>
          </rPr>
          <t xml:space="preserve">
mm98285:</t>
        </r>
        <r>
          <rPr>
            <sz val="8"/>
            <color indexed="81"/>
            <rFont val="Tahoma"/>
            <family val="2"/>
          </rPr>
          <t xml:space="preserve">
2/10: assume 0.5% decline in occupancy as U.S. declines are offset by Int'l expansions which likely have 1.5x cost of U.S.</t>
        </r>
      </text>
    </comment>
    <comment ref="M16" authorId="1">
      <text>
        <r>
          <rPr>
            <b/>
            <sz val="8"/>
            <color indexed="81"/>
            <rFont val="Tahoma"/>
            <family val="2"/>
          </rPr>
          <t>kimberlg:</t>
        </r>
        <r>
          <rPr>
            <sz val="8"/>
            <color indexed="81"/>
            <rFont val="Tahoma"/>
            <family val="2"/>
          </rPr>
          <t xml:space="preserve">
11/16/11: "mid 180's"</t>
        </r>
      </text>
    </comment>
    <comment ref="O16" authorId="2">
      <text>
        <r>
          <rPr>
            <b/>
            <sz val="8"/>
            <color indexed="81"/>
            <rFont val="Tahoma"/>
            <family val="2"/>
          </rPr>
          <t>kahng:</t>
        </r>
        <r>
          <rPr>
            <sz val="8"/>
            <color indexed="81"/>
            <rFont val="Tahoma"/>
            <family val="2"/>
          </rPr>
          <t xml:space="preserve">
54bps of Occupancy Margin leverage from 53rd week in Jan; excl 53rd week 12.7% of sales on base of $1,522.8M</t>
        </r>
      </text>
    </comment>
    <comment ref="AB16" authorId="7">
      <text>
        <r>
          <rPr>
            <b/>
            <sz val="9"/>
            <color indexed="81"/>
            <rFont val="Tahoma"/>
            <family val="2"/>
          </rPr>
          <t>Cassel, Lauren (Research):</t>
        </r>
        <r>
          <rPr>
            <sz val="9"/>
            <color indexed="81"/>
            <rFont val="Tahoma"/>
            <family val="2"/>
          </rPr>
          <t xml:space="preserve">
$16M one time lease termination charge (HK Flagship store)</t>
        </r>
      </text>
    </comment>
    <comment ref="T17" authorId="3">
      <text>
        <r>
          <rPr>
            <b/>
            <sz val="8"/>
            <color indexed="81"/>
            <rFont val="Tahoma"/>
            <family val="2"/>
          </rPr>
          <t>solejay:</t>
        </r>
        <r>
          <rPr>
            <sz val="8"/>
            <color indexed="81"/>
            <rFont val="Tahoma"/>
            <family val="2"/>
          </rPr>
          <t xml:space="preserve">
rate should slow y/y as stores close and few international stores open</t>
        </r>
      </text>
    </comment>
    <comment ref="J20" authorId="0">
      <text>
        <r>
          <rPr>
            <b/>
            <sz val="8"/>
            <color indexed="81"/>
            <rFont val="Tahoma"/>
            <family val="2"/>
          </rPr>
          <t>mm98285:</t>
        </r>
        <r>
          <rPr>
            <sz val="8"/>
            <color indexed="81"/>
            <rFont val="Tahoma"/>
            <family val="2"/>
          </rPr>
          <t xml:space="preserve">
3/10: guided at BofA conf for % of sales just under 30%
2/10: assume ~3% reduction to selling, payroll &amp; other from Ruehl closure and another ~1% misc. exp. cuts</t>
        </r>
      </text>
    </comment>
    <comment ref="K20" authorId="8">
      <text>
        <r>
          <rPr>
            <b/>
            <sz val="8"/>
            <color indexed="81"/>
            <rFont val="Tahoma"/>
            <family val="2"/>
          </rPr>
          <t>ns66486:</t>
        </r>
        <r>
          <rPr>
            <sz val="8"/>
            <color indexed="81"/>
            <rFont val="Tahoma"/>
            <family val="2"/>
          </rPr>
          <t xml:space="preserve">
4/28/2010: expect S&amp;D to be close but slightly lower than 30% of sales</t>
        </r>
      </text>
    </comment>
    <comment ref="L20" authorId="4">
      <text>
        <r>
          <rPr>
            <b/>
            <sz val="8"/>
            <color indexed="81"/>
            <rFont val="Tahoma"/>
            <family val="2"/>
          </rPr>
          <t>nicholjs:</t>
        </r>
        <r>
          <rPr>
            <sz val="8"/>
            <color indexed="81"/>
            <rFont val="Tahoma"/>
            <family val="2"/>
          </rPr>
          <t xml:space="preserve">
expect about 50 bps lvg absent the $4mm accelerated depreciation 
2/2011: approximately flat as a % of sales, excluding accelerated depreciation of DC.  Expect ~$4mm accelerated 
depreciation per Q through 2011
11/2010: per Jonathan sounds like consistent rate of leverage on this piece</t>
        </r>
      </text>
    </comment>
    <comment ref="O20" authorId="2">
      <text>
        <r>
          <rPr>
            <sz val="8"/>
            <color indexed="81"/>
            <rFont val="Tahoma"/>
            <family val="2"/>
          </rPr>
          <t>2/15/2012 guide: total operating expenses flat as a % of sales</t>
        </r>
      </text>
    </comment>
    <comment ref="R20" authorId="2">
      <text>
        <r>
          <rPr>
            <sz val="8"/>
            <color indexed="81"/>
            <rFont val="Tahoma"/>
            <family val="2"/>
          </rPr>
          <t>2/15/2012 guide: total operating expenses flat as a % of sales</t>
        </r>
      </text>
    </comment>
    <comment ref="I21" authorId="8">
      <text>
        <r>
          <rPr>
            <sz val="8"/>
            <color indexed="81"/>
            <rFont val="Tahoma"/>
            <family val="2"/>
          </rPr>
          <t>5/2010: expect similar or lower percentage of sales as 1Q</t>
        </r>
      </text>
    </comment>
    <comment ref="L21" authorId="4">
      <text>
        <r>
          <rPr>
            <b/>
            <sz val="8"/>
            <color indexed="81"/>
            <rFont val="Tahoma"/>
            <family val="2"/>
          </rPr>
          <t>nicholjs:</t>
        </r>
        <r>
          <rPr>
            <sz val="8"/>
            <color indexed="81"/>
            <rFont val="Tahoma"/>
            <family val="2"/>
          </rPr>
          <t xml:space="preserve">
5/18: expect modest deleverage compared to last year’s rate of 27.2% of sales; includes effect of pre-opening costs, DTC investments and accelerated depreciation of distribution center</t>
        </r>
      </text>
    </comment>
    <comment ref="O21" authorId="9">
      <text>
        <r>
          <rPr>
            <b/>
            <sz val="8"/>
            <color indexed="81"/>
            <rFont val="Tahoma"/>
            <family val="2"/>
          </rPr>
          <t>P Kahng:</t>
        </r>
        <r>
          <rPr>
            <sz val="8"/>
            <color indexed="81"/>
            <rFont val="Tahoma"/>
            <family val="2"/>
          </rPr>
          <t xml:space="preserve">
was 28.6 for $276</t>
        </r>
      </text>
    </comment>
    <comment ref="J22" authorId="4">
      <text>
        <r>
          <rPr>
            <b/>
            <sz val="8"/>
            <color indexed="81"/>
            <rFont val="Tahoma"/>
            <family val="2"/>
          </rPr>
          <t>nicholjs:</t>
        </r>
        <r>
          <rPr>
            <sz val="8"/>
            <color indexed="81"/>
            <rFont val="Tahoma"/>
            <family val="2"/>
          </rPr>
          <t xml:space="preserve">
8/2010: expect flat to 09's 25.2% rate of sales</t>
        </r>
      </text>
    </comment>
    <comment ref="J23" authorId="4">
      <text>
        <r>
          <rPr>
            <b/>
            <sz val="8"/>
            <color indexed="81"/>
            <rFont val="Tahoma"/>
            <family val="2"/>
          </rPr>
          <t>nicholjs:</t>
        </r>
        <r>
          <rPr>
            <sz val="8"/>
            <color indexed="81"/>
            <rFont val="Tahoma"/>
            <family val="2"/>
          </rPr>
          <t xml:space="preserve">
included ~$4mm of additional depreciation related to DC consolidation
11/2010: expect modest leverage benefit vs. LY, Jonathan: okay to use same leverage as 3Q or 40 bps
10/2010 chat w/ Jonathan: non-occupancy S&amp;D expense should be leveraging on a modest comp</t>
        </r>
      </text>
    </comment>
    <comment ref="L23" authorId="3">
      <text>
        <r>
          <rPr>
            <sz val="8"/>
            <color indexed="81"/>
            <rFont val="Tahoma"/>
            <family val="2"/>
          </rPr>
          <t xml:space="preserve">11/16:  Guidance - "Approximately flat as a % of sales to LY; includes accelerated depreciation of distribution center."
</t>
        </r>
      </text>
    </comment>
    <comment ref="P23" authorId="2">
      <text>
        <r>
          <rPr>
            <b/>
            <sz val="8"/>
            <color indexed="81"/>
            <rFont val="Tahoma"/>
            <family val="2"/>
          </rPr>
          <t>kahng:</t>
        </r>
        <r>
          <rPr>
            <sz val="8"/>
            <color indexed="81"/>
            <rFont val="Tahoma"/>
            <family val="2"/>
          </rPr>
          <t xml:space="preserve">
additional $15M in selling expense from 53rd week in Jan. Was $352 on 52wk basis.</t>
        </r>
      </text>
    </comment>
    <comment ref="R23" authorId="3">
      <text>
        <r>
          <rPr>
            <b/>
            <sz val="8"/>
            <color indexed="81"/>
            <rFont val="Tahoma"/>
            <family val="2"/>
          </rPr>
          <t>solejay:</t>
        </r>
        <r>
          <rPr>
            <sz val="8"/>
            <color indexed="81"/>
            <rFont val="Tahoma"/>
            <family val="2"/>
          </rPr>
          <t xml:space="preserve">
53rd week reversal</t>
        </r>
      </text>
    </comment>
    <comment ref="P28" authorId="5">
      <text>
        <r>
          <rPr>
            <b/>
            <sz val="8"/>
            <color indexed="81"/>
            <rFont val="Tahoma"/>
            <family val="2"/>
          </rPr>
          <t>casselau:</t>
        </r>
        <r>
          <rPr>
            <sz val="8"/>
            <color indexed="81"/>
            <rFont val="Tahoma"/>
            <family val="2"/>
          </rPr>
          <t xml:space="preserve">
store pre-operating costs 14.404
</t>
        </r>
      </text>
    </comment>
    <comment ref="P29" authorId="5">
      <text>
        <r>
          <rPr>
            <b/>
            <sz val="8"/>
            <color indexed="81"/>
            <rFont val="Tahoma"/>
            <family val="2"/>
          </rPr>
          <t>casselau:</t>
        </r>
        <r>
          <rPr>
            <sz val="8"/>
            <color indexed="81"/>
            <rFont val="Tahoma"/>
            <family val="2"/>
          </rPr>
          <t xml:space="preserve">
store pre-operating costs 15.370
</t>
        </r>
      </text>
    </comment>
    <comment ref="P30" authorId="5">
      <text>
        <r>
          <rPr>
            <b/>
            <sz val="8"/>
            <color indexed="81"/>
            <rFont val="Tahoma"/>
            <family val="2"/>
          </rPr>
          <t>casselau:</t>
        </r>
        <r>
          <rPr>
            <sz val="8"/>
            <color indexed="81"/>
            <rFont val="Tahoma"/>
            <family val="2"/>
          </rPr>
          <t xml:space="preserve">
store pre-operating costs 10.730
</t>
        </r>
      </text>
    </comment>
    <comment ref="P31" authorId="2">
      <text>
        <r>
          <rPr>
            <sz val="8"/>
            <color indexed="81"/>
            <rFont val="Tahoma"/>
            <family val="2"/>
          </rPr>
          <t>store pre-operating costs 7.925</t>
        </r>
        <r>
          <rPr>
            <b/>
            <sz val="8"/>
            <color indexed="81"/>
            <rFont val="Tahoma"/>
            <family val="2"/>
          </rPr>
          <t xml:space="preserve">
kahng:</t>
        </r>
        <r>
          <rPr>
            <sz val="8"/>
            <color indexed="81"/>
            <rFont val="Tahoma"/>
            <family val="2"/>
          </rPr>
          <t xml:space="preserve">
incr $15M of S&amp;D to adj for 53rd week. $546 on 52wk basis.</t>
        </r>
      </text>
    </comment>
  </commentList>
</comments>
</file>

<file path=xl/comments8.xml><?xml version="1.0" encoding="utf-8"?>
<comments xmlns="http://schemas.openxmlformats.org/spreadsheetml/2006/main">
  <authors>
    <author>casselau</author>
    <author>plejuez</author>
    <author>Lehman Brothers</author>
    <author>mm98285</author>
    <author>MB33100</author>
    <author>ns66486</author>
    <author>Cassel, Lauren (Research)</author>
    <author>Roberts, Cynthia (Research)</author>
    <author>oc48540</author>
    <author>solejay</author>
    <author>kg51925</author>
    <author>nicholjs</author>
    <author>Kimberly Greenberger</author>
    <author>kgreenbe</author>
    <author>dliu</author>
    <author>Corinna Freedman</author>
  </authors>
  <commentList>
    <comment ref="CY9" authorId="0">
      <text>
        <r>
          <rPr>
            <b/>
            <sz val="9"/>
            <color indexed="81"/>
            <rFont val="Tahoma"/>
            <family val="2"/>
          </rPr>
          <t>casselau:
3/2/16: now includes Kids (361 US, 32 Intl)
We plan to open 15 full price stores in key international growth markets of China, Japan and the Middle
East and four full price stores in North America. We also plan to open 11 new outlet stores in the US.</t>
        </r>
        <r>
          <rPr>
            <sz val="9"/>
            <color indexed="81"/>
            <rFont val="Tahoma"/>
            <family val="2"/>
          </rPr>
          <t xml:space="preserve">
</t>
        </r>
      </text>
    </comment>
    <comment ref="AV10" authorId="1">
      <text>
        <r>
          <rPr>
            <b/>
            <sz val="8"/>
            <color indexed="81"/>
            <rFont val="Tahoma"/>
            <family val="2"/>
          </rPr>
          <t>plejuez:</t>
        </r>
        <r>
          <rPr>
            <sz val="8"/>
            <color indexed="81"/>
            <rFont val="Tahoma"/>
            <family val="2"/>
          </rPr>
          <t xml:space="preserve">
these will be 8000 gross per tom 8/20</t>
        </r>
      </text>
    </comment>
    <comment ref="AY10" authorId="2">
      <text>
        <r>
          <rPr>
            <sz val="8"/>
            <color indexed="81"/>
            <rFont val="Tahoma"/>
            <family val="2"/>
          </rPr>
          <t>5/02: changed to 38 from 40
8/02: changed to 35 after co. reported 2Q02 earnings
11/12: changed to 34 after co. reported 3Q02 earnings</t>
        </r>
      </text>
    </comment>
    <comment ref="AZ10" authorId="1">
      <text>
        <r>
          <rPr>
            <b/>
            <sz val="8"/>
            <color indexed="81"/>
            <rFont val="Tahoma"/>
            <family val="2"/>
          </rPr>
          <t>plejuez:</t>
        </r>
        <r>
          <rPr>
            <sz val="8"/>
            <color indexed="81"/>
            <rFont val="Tahoma"/>
            <family val="2"/>
          </rPr>
          <t xml:space="preserve">
per tom on 2/22/02 will be 8000</t>
        </r>
      </text>
    </comment>
    <comment ref="BC10" authorId="2">
      <text>
        <r>
          <rPr>
            <sz val="8"/>
            <color indexed="81"/>
            <rFont val="Tahoma"/>
            <family val="2"/>
          </rPr>
          <t>5/02 KG est 35 (was 30 pre-LB)
11/02: changed tfrom 35 to 25 after 3Q02 EPS
2/18/03: changed to 30 after 4Q02 EPS
5/13/03: changed to 20 after 1Q03 EPS</t>
        </r>
      </text>
    </comment>
    <comment ref="BG10" authorId="2">
      <text>
        <r>
          <rPr>
            <sz val="8"/>
            <color indexed="81"/>
            <rFont val="Tahoma"/>
            <family val="2"/>
          </rPr>
          <t>5/02: KG est 25 (was 15 pre-LB
5/13/03: on 1Q03 CC mgmt indicated F04 openings could be 110-120</t>
        </r>
      </text>
    </comment>
    <comment ref="BK10" authorId="2">
      <text>
        <r>
          <rPr>
            <sz val="8"/>
            <color indexed="81"/>
            <rFont val="Tahoma"/>
            <family val="2"/>
          </rPr>
          <t>5/02: KG est 20 (was 5 pre-LB). 4/04 take down to 10.</t>
        </r>
      </text>
    </comment>
    <comment ref="BM10" authorId="3">
      <text>
        <r>
          <rPr>
            <b/>
            <sz val="8"/>
            <color indexed="81"/>
            <rFont val="Tahoma"/>
            <family val="2"/>
          </rPr>
          <t>mm98285:</t>
        </r>
        <r>
          <rPr>
            <sz val="8"/>
            <color indexed="81"/>
            <rFont val="Tahoma"/>
            <family val="2"/>
          </rPr>
          <t xml:space="preserve">
10K provided gross sq. ft. for each division</t>
        </r>
      </text>
    </comment>
    <comment ref="BO10" authorId="4">
      <text>
        <r>
          <rPr>
            <b/>
            <sz val="8"/>
            <color indexed="81"/>
            <rFont val="Tahoma"/>
            <family val="2"/>
          </rPr>
          <t>MB33100:</t>
        </r>
        <r>
          <rPr>
            <sz val="8"/>
            <color indexed="81"/>
            <rFont val="Tahoma"/>
            <family val="2"/>
          </rPr>
          <t xml:space="preserve">
11/06: guided to +8 stores and end year with 361
5/06 10 A&amp;F stores in 2006
2/06: 12 A&amp;F stores in 2006</t>
        </r>
      </text>
    </comment>
    <comment ref="BW10" authorId="3">
      <text>
        <r>
          <rPr>
            <b/>
            <sz val="8"/>
            <color indexed="81"/>
            <rFont val="Tahoma"/>
            <family val="2"/>
          </rPr>
          <t>mm98285:</t>
        </r>
        <r>
          <rPr>
            <sz val="8"/>
            <color indexed="81"/>
            <rFont val="Tahoma"/>
            <family val="2"/>
          </rPr>
          <t xml:space="preserve">
2Q: 2 U.S.
10Q: 2 U.S., 1 Canada, 2 outlet
5/16/08:  Inc. 2 new outlets
10K expect to open 3 new stores (incl. 1 in Canada)</t>
        </r>
      </text>
    </comment>
    <comment ref="CA10" authorId="3">
      <text>
        <r>
          <rPr>
            <b/>
            <sz val="8"/>
            <color indexed="81"/>
            <rFont val="Tahoma"/>
            <family val="2"/>
          </rPr>
          <t>mm98285:</t>
        </r>
        <r>
          <rPr>
            <sz val="8"/>
            <color indexed="81"/>
            <rFont val="Tahoma"/>
            <family val="2"/>
          </rPr>
          <t xml:space="preserve">
5/09: 1 Milan, 1 Tokyo
10K: 2 A&amp;F int'l flagships</t>
        </r>
      </text>
    </comment>
    <comment ref="CE10" authorId="5">
      <text>
        <r>
          <rPr>
            <sz val="8"/>
            <color indexed="81"/>
            <rFont val="Tahoma"/>
            <family val="2"/>
          </rPr>
          <t>8/2010: expect to open 3 A&amp;F stores domestically (including first in Puerto Rico) and 1 A&amp;F store in Canada
5/2010: expect to open 3 A&amp;F stores domestically and 1 A&amp;F store in Canada</t>
        </r>
      </text>
    </comment>
    <comment ref="CM10" authorId="0">
      <text>
        <r>
          <rPr>
            <sz val="8"/>
            <color indexed="81"/>
            <rFont val="Tahoma"/>
            <family val="2"/>
          </rPr>
          <t>opened 3 in the US/2 in Europe</t>
        </r>
      </text>
    </comment>
    <comment ref="CU10" authorId="0">
      <text>
        <r>
          <rPr>
            <b/>
            <sz val="8"/>
            <color indexed="81"/>
            <rFont val="Tahoma"/>
            <family val="2"/>
          </rPr>
          <t>casselau:</t>
        </r>
        <r>
          <rPr>
            <sz val="8"/>
            <color indexed="81"/>
            <rFont val="Tahoma"/>
            <family val="2"/>
          </rPr>
          <t xml:space="preserve">
2/26/14: anticipates opening 16 full-price international stores throughout the year, including an A&amp;F flagship store in Shanghai in April 2014 and a small number of A&amp;F mall-based stores. In addition, the Company plans to open a small number of international and U.S. outlet stores during the fiscal year.</t>
        </r>
      </text>
    </comment>
    <comment ref="DG10" authorId="6">
      <text>
        <r>
          <rPr>
            <b/>
            <sz val="9"/>
            <color indexed="81"/>
            <rFont val="Tahoma"/>
            <family val="2"/>
          </rPr>
          <t>Cassel, Lauren (Research):</t>
        </r>
        <r>
          <rPr>
            <sz val="9"/>
            <color indexed="81"/>
            <rFont val="Tahoma"/>
            <family val="2"/>
          </rPr>
          <t xml:space="preserve">
3/2/17: In 2017 we also plan to open six full price stores including four in the US
and two in international markets and to open two new outlet stores.</t>
        </r>
      </text>
    </comment>
    <comment ref="DK10" authorId="7">
      <text>
        <r>
          <rPr>
            <b/>
            <sz val="9"/>
            <color indexed="81"/>
            <rFont val="Tahoma"/>
            <family val="2"/>
          </rPr>
          <t>Roberts, Cynthia (Research):</t>
        </r>
        <r>
          <rPr>
            <sz val="9"/>
            <color indexed="81"/>
            <rFont val="Tahoma"/>
            <family val="2"/>
          </rPr>
          <t xml:space="preserve">
3/7/18 : plan to open 4 A&amp;F and 4 Kids</t>
        </r>
      </text>
    </comment>
    <comment ref="CA11" authorId="8">
      <text>
        <r>
          <rPr>
            <b/>
            <sz val="8"/>
            <color indexed="81"/>
            <rFont val="Tahoma"/>
            <family val="2"/>
          </rPr>
          <t>oc48540:</t>
        </r>
        <r>
          <rPr>
            <sz val="8"/>
            <color indexed="81"/>
            <rFont val="Tahoma"/>
            <family val="2"/>
          </rPr>
          <t xml:space="preserve">
1 Milan, 1 Tokyo</t>
        </r>
      </text>
    </comment>
    <comment ref="CE11" authorId="8">
      <text>
        <r>
          <rPr>
            <sz val="8"/>
            <color indexed="81"/>
            <rFont val="Tahoma"/>
            <family val="2"/>
          </rPr>
          <t xml:space="preserve">8/2010: planned Nov 2010 openings of Copenhagen and Fukuoka
</t>
        </r>
        <r>
          <rPr>
            <b/>
            <sz val="8"/>
            <color indexed="81"/>
            <rFont val="Tahoma"/>
            <family val="2"/>
          </rPr>
          <t xml:space="preserve">
oc48540:</t>
        </r>
        <r>
          <rPr>
            <sz val="8"/>
            <color indexed="81"/>
            <rFont val="Tahoma"/>
            <family val="2"/>
          </rPr>
          <t xml:space="preserve">
4Q openings of Copenhagen, Denmark and Fukuoka, Japan</t>
        </r>
      </text>
    </comment>
    <comment ref="CI11" authorId="5">
      <text>
        <r>
          <rPr>
            <sz val="8"/>
            <color indexed="81"/>
            <rFont val="Tahoma"/>
            <family val="2"/>
          </rPr>
          <t>8/17: expects 5
5/18: expects 5
10K: expects open 5 A&amp;F flagship stores in Paris, Madrid, Dusseldorf, Brussels, and Singapore.  Dublin now expected to open in 2012.
2/2011: expects 6 including Paris, Madrid, Dusseldorf, Brussels, Dublin and Singapore.  the Dusseldorf location will also include an abercrombie kids store.
8/2010: Paris confirmed for May/June 2011 and Madrid for July/August 2011
5/2010:</t>
        </r>
        <r>
          <rPr>
            <b/>
            <sz val="8"/>
            <color indexed="81"/>
            <rFont val="Tahoma"/>
            <family val="2"/>
          </rPr>
          <t xml:space="preserve"> </t>
        </r>
        <r>
          <rPr>
            <sz val="8"/>
            <color indexed="81"/>
            <rFont val="Tahoma"/>
            <family val="2"/>
          </rPr>
          <t>Paris/Madrid confirmed, assume one additional flagship (have ~15 in pipeline as of 1Q10 call)</t>
        </r>
      </text>
    </comment>
    <comment ref="CJ11" authorId="5">
      <text>
        <r>
          <rPr>
            <b/>
            <sz val="8"/>
            <color indexed="81"/>
            <rFont val="Tahoma"/>
            <family val="2"/>
          </rPr>
          <t>ns66486:</t>
        </r>
        <r>
          <rPr>
            <sz val="8"/>
            <color indexed="81"/>
            <rFont val="Tahoma"/>
            <family val="2"/>
          </rPr>
          <t xml:space="preserve">
Madrid store is 14,000 square feet</t>
        </r>
      </text>
    </comment>
    <comment ref="CM11" authorId="9">
      <text>
        <r>
          <rPr>
            <sz val="8"/>
            <color indexed="81"/>
            <rFont val="Tahoma"/>
            <family val="2"/>
          </rPr>
          <t xml:space="preserve">2/15/2012: In Fiscal 2012, the Company expects to open five Abercrombie &amp; Fitch flagship locations in Hamburg, Hong Kong, Munich, Dublin and Amsterdam as well as an abercrombie kids flagship in London.  The Munich and Amsterdam locations will include an abercrombie kids store. </t>
        </r>
      </text>
    </comment>
    <comment ref="CQ11" authorId="9">
      <text>
        <r>
          <rPr>
            <sz val="8"/>
            <color indexed="81"/>
            <rFont val="Tahoma"/>
            <family val="2"/>
          </rPr>
          <t>Seoul</t>
        </r>
      </text>
    </comment>
    <comment ref="CU11" authorId="0">
      <text>
        <r>
          <rPr>
            <b/>
            <sz val="8"/>
            <color indexed="81"/>
            <rFont val="Tahoma"/>
            <family val="2"/>
          </rPr>
          <t>casselau:</t>
        </r>
        <r>
          <rPr>
            <sz val="8"/>
            <color indexed="81"/>
            <rFont val="Tahoma"/>
            <family val="2"/>
          </rPr>
          <t xml:space="preserve">
Shanghai</t>
        </r>
      </text>
    </comment>
    <comment ref="DC11" authorId="6">
      <text>
        <r>
          <rPr>
            <b/>
            <sz val="9"/>
            <color indexed="81"/>
            <rFont val="Tahoma"/>
            <family val="2"/>
          </rPr>
          <t>Cassel, Lauren (Research):</t>
        </r>
        <r>
          <rPr>
            <sz val="9"/>
            <color indexed="81"/>
            <rFont val="Tahoma"/>
            <family val="2"/>
          </rPr>
          <t xml:space="preserve">
11/18/16: The company will be closing its A&amp;F flagship store in Seoul in January 2017.  In addition, subsequent to the end of the third quarter, the company exercised a lease kick-out option for its A&amp;F flagship store in Hong Kong.  As a result of this decision, the company expects to incur a lease termination charge of approximately $16 million during the fourth quarter. </t>
        </r>
      </text>
    </comment>
    <comment ref="DG12" authorId="6">
      <text>
        <r>
          <rPr>
            <b/>
            <sz val="9"/>
            <color indexed="81"/>
            <rFont val="Tahoma"/>
            <family val="2"/>
          </rPr>
          <t>Cassel, Lauren (Research):</t>
        </r>
        <r>
          <rPr>
            <sz val="9"/>
            <color indexed="81"/>
            <rFont val="Tahoma"/>
            <family val="2"/>
          </rPr>
          <t xml:space="preserve">
We expect to complete 7 new A&amp;F prototype stores, 4 of which will
include a downsizing of an existing location</t>
        </r>
      </text>
    </comment>
    <comment ref="DK12" authorId="7">
      <text>
        <r>
          <rPr>
            <b/>
            <sz val="9"/>
            <color indexed="81"/>
            <rFont val="Tahoma"/>
            <family val="2"/>
          </rPr>
          <t>Roberts, Cynthia (Research):</t>
        </r>
        <r>
          <rPr>
            <sz val="9"/>
            <color indexed="81"/>
            <rFont val="Tahoma"/>
            <family val="2"/>
          </rPr>
          <t xml:space="preserve">
3/7/18: Plan to downsize 7 A&amp;F and 3 kids</t>
        </r>
      </text>
    </comment>
    <comment ref="W13" authorId="2">
      <text>
        <r>
          <rPr>
            <sz val="8"/>
            <color indexed="81"/>
            <rFont val="Tahoma"/>
            <family val="2"/>
          </rPr>
          <t>in old model - biz tab has -1 while a&amp;f exp tab has 0, 96 10k show 0</t>
        </r>
      </text>
    </comment>
    <comment ref="AY13" authorId="2">
      <text>
        <r>
          <rPr>
            <sz val="8"/>
            <color indexed="81"/>
            <rFont val="Tahoma"/>
            <family val="2"/>
          </rPr>
          <t>1Q02: closed 1 A&amp;F and 1 A&amp;F outlet</t>
        </r>
      </text>
    </comment>
    <comment ref="AZ13" authorId="2">
      <text>
        <r>
          <rPr>
            <sz val="8"/>
            <color indexed="81"/>
            <rFont val="Tahoma"/>
            <family val="2"/>
          </rPr>
          <t>5/02 est.  Get actual from co.</t>
        </r>
      </text>
    </comment>
    <comment ref="CA13" authorId="10">
      <text>
        <r>
          <rPr>
            <b/>
            <sz val="8"/>
            <color indexed="81"/>
            <rFont val="Tahoma"/>
            <family val="2"/>
          </rPr>
          <t>kg51925:</t>
        </r>
        <r>
          <rPr>
            <sz val="8"/>
            <color indexed="81"/>
            <rFont val="Tahoma"/>
            <family val="2"/>
          </rPr>
          <t xml:space="preserve">
closed 4 A&amp;F in 2Q09</t>
        </r>
      </text>
    </comment>
    <comment ref="CE13" authorId="8">
      <text>
        <r>
          <rPr>
            <sz val="8"/>
            <color indexed="81"/>
            <rFont val="Tahoma"/>
            <family val="2"/>
          </rPr>
          <t>11/2010: now expect slightly above 60
8/2010: expects to close ~60 stores over the course of 2010, predominantly at the end of the year, most in the A&amp;F and kids brands
2/16:
Assume closing 50% of 230 stores over next 3 years i.e. ~38 stores per year</t>
        </r>
      </text>
    </comment>
    <comment ref="CI13" authorId="11">
      <text>
        <r>
          <rPr>
            <sz val="8"/>
            <color indexed="81"/>
            <rFont val="Tahoma"/>
            <family val="2"/>
          </rPr>
          <t>11/16: The Company continues to anticipate opening five Abercrombie &amp; Fitch flagship locations during Fiscal 2011, including flagships opened in Paris in May and Madrid on November 3, 2011, and openings in Dusseldorf, Brussels and Singapore in December.  The Company expects to open two domestic stores in Fiscal 2011 and expects to close approximately 55 to 60 domestic stores through natural lease expirations, primarily at the end of the year.  The Company announced plans to open Abercrombie &amp; Fitch flagships in Amsterdam and Munich in Fiscal 2012.  These are in addition to the previously announced Abercrombie &amp; Fitch flagships in Hamburg and Hong Kong. 
8/17: now expects to close 60-65 domestic stores, primarily at the end of the year through natural lease expirations
5/18: expect ~50 domestic store closings
8/2010: expect ~50 store closures in 2011, most toward end of the year and within A&amp;F and kids brands</t>
        </r>
      </text>
    </comment>
    <comment ref="CQ13" authorId="0">
      <text>
        <r>
          <rPr>
            <b/>
            <sz val="8"/>
            <color indexed="81"/>
            <rFont val="Tahoma"/>
            <family val="2"/>
          </rPr>
          <t>casselau:</t>
        </r>
        <r>
          <rPr>
            <sz val="8"/>
            <color indexed="81"/>
            <rFont val="Tahoma"/>
            <family val="2"/>
          </rPr>
          <t xml:space="preserve">
2/22/13: the company expects to close 40-50 stores (all brands) in the U.S. during 2013</t>
        </r>
      </text>
    </comment>
    <comment ref="CU13" authorId="0">
      <text>
        <r>
          <rPr>
            <b/>
            <sz val="8"/>
            <color indexed="81"/>
            <rFont val="Tahoma"/>
            <family val="2"/>
          </rPr>
          <t>casselau:</t>
        </r>
        <r>
          <rPr>
            <sz val="8"/>
            <color indexed="81"/>
            <rFont val="Tahoma"/>
            <family val="2"/>
          </rPr>
          <t xml:space="preserve">
the compan expects to close 60-70 stores in the US (all brands)</t>
        </r>
      </text>
    </comment>
    <comment ref="DK13" authorId="7">
      <text>
        <r>
          <rPr>
            <b/>
            <sz val="9"/>
            <color indexed="81"/>
            <rFont val="Tahoma"/>
            <family val="2"/>
          </rPr>
          <t>Roberts, Cynthia (Research):</t>
        </r>
        <r>
          <rPr>
            <sz val="9"/>
            <color indexed="81"/>
            <rFont val="Tahoma"/>
            <family val="2"/>
          </rPr>
          <t xml:space="preserve">
3/7/18: Guidance closing  up to 60 stores total</t>
        </r>
      </text>
    </comment>
    <comment ref="BA14" authorId="2">
      <text>
        <r>
          <rPr>
            <sz val="8"/>
            <color indexed="81"/>
            <rFont val="Tahoma"/>
            <family val="2"/>
          </rPr>
          <t>2/18/03: 3 mm actual</t>
        </r>
      </text>
    </comment>
    <comment ref="BG14" authorId="12">
      <text>
        <r>
          <rPr>
            <b/>
            <sz val="8"/>
            <color indexed="81"/>
            <rFont val="Tahoma"/>
            <family val="2"/>
          </rPr>
          <t>Kimberly Greenberger:</t>
        </r>
        <r>
          <rPr>
            <sz val="8"/>
            <color indexed="81"/>
            <rFont val="Tahoma"/>
            <family val="2"/>
          </rPr>
          <t xml:space="preserve">
7/04 per Tom Lennox will end 2004 with 366 A&amp;F. Actual end with 356.</t>
        </r>
      </text>
    </comment>
    <comment ref="BO14" authorId="4">
      <text>
        <r>
          <rPr>
            <b/>
            <sz val="8"/>
            <color indexed="81"/>
            <rFont val="Tahoma"/>
            <family val="2"/>
          </rPr>
          <t>MB33100:</t>
        </r>
        <r>
          <rPr>
            <sz val="8"/>
            <color indexed="81"/>
            <rFont val="Tahoma"/>
            <family val="2"/>
          </rPr>
          <t xml:space="preserve">
11/06: guided to +8 stores and end year with 361
5/06 10 A&amp;F stores in 2006
2/06: 12 A&amp;F stores in 2006</t>
        </r>
      </text>
    </comment>
    <comment ref="BW14" authorId="3">
      <text>
        <r>
          <rPr>
            <b/>
            <sz val="8"/>
            <color indexed="81"/>
            <rFont val="Tahoma"/>
            <family val="2"/>
          </rPr>
          <t>mm98285:</t>
        </r>
        <r>
          <rPr>
            <sz val="8"/>
            <color indexed="81"/>
            <rFont val="Tahoma"/>
            <family val="2"/>
          </rPr>
          <t xml:space="preserve">
3/09: includes 3 stores in Canada &amp; 1 flagship in UK</t>
        </r>
      </text>
    </comment>
    <comment ref="CE14" authorId="11">
      <text>
        <r>
          <rPr>
            <b/>
            <sz val="8"/>
            <color indexed="81"/>
            <rFont val="Tahoma"/>
            <family val="2"/>
          </rPr>
          <t>nicholjs:</t>
        </r>
        <r>
          <rPr>
            <sz val="8"/>
            <color indexed="81"/>
            <rFont val="Tahoma"/>
            <family val="2"/>
          </rPr>
          <t xml:space="preserve">
10K: 316 A&amp;F stores domestically, also operated 9 A&amp;F stores int'l</t>
        </r>
      </text>
    </comment>
    <comment ref="CI14" authorId="9">
      <text>
        <r>
          <rPr>
            <b/>
            <sz val="8"/>
            <color indexed="81"/>
            <rFont val="Tahoma"/>
            <family val="2"/>
          </rPr>
          <t>solejay:</t>
        </r>
        <r>
          <rPr>
            <sz val="8"/>
            <color indexed="81"/>
            <rFont val="Tahoma"/>
            <family val="2"/>
          </rPr>
          <t xml:space="preserve">
2/15/12: 280 domestic and 14 international</t>
        </r>
      </text>
    </comment>
    <comment ref="CQ14" authorId="0">
      <text>
        <r>
          <rPr>
            <b/>
            <sz val="8"/>
            <color indexed="81"/>
            <rFont val="Tahoma"/>
            <family val="2"/>
          </rPr>
          <t>casselau:</t>
        </r>
        <r>
          <rPr>
            <sz val="8"/>
            <color indexed="81"/>
            <rFont val="Tahoma"/>
            <family val="2"/>
          </rPr>
          <t xml:space="preserve">
253 in US, 4 canada, 13 Europe, 5 Asia</t>
        </r>
      </text>
    </comment>
    <comment ref="CY14" authorId="0">
      <text>
        <r>
          <rPr>
            <b/>
            <sz val="9"/>
            <color indexed="81"/>
            <rFont val="Tahoma"/>
            <family val="2"/>
          </rPr>
          <t>casselau:</t>
        </r>
        <r>
          <rPr>
            <sz val="9"/>
            <color indexed="81"/>
            <rFont val="Tahoma"/>
            <family val="2"/>
          </rPr>
          <t xml:space="preserve">
340 US, 39 intl</t>
        </r>
      </text>
    </comment>
    <comment ref="DC14" authorId="6">
      <text>
        <r>
          <rPr>
            <b/>
            <sz val="9"/>
            <color indexed="81"/>
            <rFont val="Tahoma"/>
            <family val="2"/>
          </rPr>
          <t>Cassel, Lauren (Research):</t>
        </r>
        <r>
          <rPr>
            <sz val="9"/>
            <color indexed="81"/>
            <rFont val="Tahoma"/>
            <family val="2"/>
          </rPr>
          <t xml:space="preserve">
311 US, 44 Intl</t>
        </r>
      </text>
    </comment>
    <comment ref="AV20" authorId="1">
      <text>
        <r>
          <rPr>
            <b/>
            <sz val="8"/>
            <color indexed="81"/>
            <rFont val="Tahoma"/>
            <family val="2"/>
          </rPr>
          <t>plejuez:</t>
        </r>
        <r>
          <rPr>
            <sz val="8"/>
            <color indexed="81"/>
            <rFont val="Tahoma"/>
            <family val="2"/>
          </rPr>
          <t xml:space="preserve">
these will be 4500 gross per tom 8/20</t>
        </r>
      </text>
    </comment>
    <comment ref="AZ20" authorId="1">
      <text>
        <r>
          <rPr>
            <b/>
            <sz val="8"/>
            <color indexed="81"/>
            <rFont val="Tahoma"/>
            <family val="2"/>
          </rPr>
          <t>plejuez:</t>
        </r>
        <r>
          <rPr>
            <sz val="8"/>
            <color indexed="81"/>
            <rFont val="Tahoma"/>
            <family val="2"/>
          </rPr>
          <t xml:space="preserve">
per tom on 2/22/02 will be 4000</t>
        </r>
      </text>
    </comment>
    <comment ref="BC20" authorId="2">
      <text>
        <r>
          <rPr>
            <sz val="8"/>
            <color indexed="81"/>
            <rFont val="Tahoma"/>
            <family val="2"/>
          </rPr>
          <t>2/18/03: changed to 10 after 4Q02 cc</t>
        </r>
      </text>
    </comment>
    <comment ref="BH20" authorId="12">
      <text>
        <r>
          <rPr>
            <b/>
            <sz val="8"/>
            <color indexed="81"/>
            <rFont val="Tahoma"/>
            <family val="2"/>
          </rPr>
          <t>Kimberly Greenberger:</t>
        </r>
        <r>
          <rPr>
            <sz val="8"/>
            <color indexed="81"/>
            <rFont val="Tahoma"/>
            <family val="2"/>
          </rPr>
          <t xml:space="preserve">
7/04 confirmed w/ Tom Lennox 4,000 sq ft</t>
        </r>
      </text>
    </comment>
    <comment ref="BK20" authorId="13">
      <text>
        <r>
          <rPr>
            <b/>
            <sz val="10"/>
            <color indexed="81"/>
            <rFont val="Tahoma"/>
            <family val="2"/>
          </rPr>
          <t>kgreenbe:</t>
        </r>
        <r>
          <rPr>
            <sz val="10"/>
            <color indexed="81"/>
            <rFont val="Tahoma"/>
            <family val="2"/>
          </rPr>
          <t xml:space="preserve">
had 20, but decreased to 10 on 4/04.
11/04 decreased from 10 to 0 given mgmt indication will convert some kids to Hollister in 2005</t>
        </r>
      </text>
    </comment>
    <comment ref="BO20" authorId="4">
      <text>
        <r>
          <rPr>
            <b/>
            <sz val="8"/>
            <color indexed="81"/>
            <rFont val="Tahoma"/>
            <family val="2"/>
          </rPr>
          <t>MB33100:</t>
        </r>
        <r>
          <rPr>
            <sz val="8"/>
            <color indexed="81"/>
            <rFont val="Tahoma"/>
            <family val="2"/>
          </rPr>
          <t xml:space="preserve">
11/06: guided to +19 stores and 177 at year end
5/06: 20 kids stores in 2006
2/06: 19 kids stores in 2006</t>
        </r>
      </text>
    </comment>
    <comment ref="BW20" authorId="3">
      <text>
        <r>
          <rPr>
            <b/>
            <sz val="8"/>
            <color indexed="81"/>
            <rFont val="Tahoma"/>
            <family val="2"/>
          </rPr>
          <t>mm98285:</t>
        </r>
        <r>
          <rPr>
            <sz val="8"/>
            <color indexed="81"/>
            <rFont val="Tahoma"/>
            <family val="2"/>
          </rPr>
          <t xml:space="preserve">
10Q: 10 U.S, 2 Canada
10K expect to open 16 new stores (incl. 3 in Canada)</t>
        </r>
      </text>
    </comment>
    <comment ref="CA20" authorId="3">
      <text>
        <r>
          <rPr>
            <b/>
            <sz val="8"/>
            <color indexed="81"/>
            <rFont val="Tahoma"/>
            <family val="2"/>
          </rPr>
          <t>mm98285:</t>
        </r>
        <r>
          <rPr>
            <sz val="8"/>
            <color indexed="81"/>
            <rFont val="Tahoma"/>
            <family val="2"/>
          </rPr>
          <t xml:space="preserve">
10K:  1 Canadian store, 1 US mall store</t>
        </r>
      </text>
    </comment>
    <comment ref="CE20" authorId="5">
      <text>
        <r>
          <rPr>
            <sz val="8"/>
            <color indexed="81"/>
            <rFont val="Tahoma"/>
            <family val="2"/>
          </rPr>
          <t>8/2010: expect to open 3 abercrombie stores</t>
        </r>
        <r>
          <rPr>
            <sz val="8"/>
            <color indexed="81"/>
            <rFont val="Tahoma"/>
            <family val="2"/>
          </rPr>
          <t xml:space="preserve">
5/2010: expect to open 2 abercrombie stores</t>
        </r>
      </text>
    </comment>
    <comment ref="CM20" authorId="9">
      <text>
        <r>
          <rPr>
            <sz val="8"/>
            <color indexed="81"/>
            <rFont val="Tahoma"/>
            <family val="2"/>
          </rPr>
          <t xml:space="preserve">2/15/2012: In Fiscal 2012, the Company expects to open five Abercrombie &amp; Fitch flagship locations in Hamburg, Hong Kong, Munich, Dublin and Amsterdam as well as an abercrombie kids flagship in London.  The Munich and Amsterdam locations will include an abercrombie kids store. </t>
        </r>
      </text>
    </comment>
    <comment ref="CQ20" authorId="9">
      <text>
        <r>
          <rPr>
            <b/>
            <sz val="8"/>
            <color indexed="81"/>
            <rFont val="Tahoma"/>
            <family val="2"/>
          </rPr>
          <t>solejay:</t>
        </r>
        <r>
          <rPr>
            <sz val="8"/>
            <color indexed="81"/>
            <rFont val="Tahoma"/>
            <family val="2"/>
          </rPr>
          <t xml:space="preserve">
London kids flagship now TBD, unclear if Amsterdam has kids</t>
        </r>
      </text>
    </comment>
    <comment ref="CA21" authorId="8">
      <text>
        <r>
          <rPr>
            <b/>
            <sz val="8"/>
            <color indexed="81"/>
            <rFont val="Tahoma"/>
            <family val="2"/>
          </rPr>
          <t>oc48540:</t>
        </r>
        <r>
          <rPr>
            <sz val="8"/>
            <color indexed="81"/>
            <rFont val="Tahoma"/>
            <family val="2"/>
          </rPr>
          <t xml:space="preserve">
Milan</t>
        </r>
      </text>
    </comment>
    <comment ref="CA22" authorId="10">
      <text>
        <r>
          <rPr>
            <b/>
            <sz val="8"/>
            <color indexed="81"/>
            <rFont val="Tahoma"/>
            <family val="2"/>
          </rPr>
          <t>kg51925:</t>
        </r>
        <r>
          <rPr>
            <sz val="8"/>
            <color indexed="81"/>
            <rFont val="Tahoma"/>
            <family val="2"/>
          </rPr>
          <t xml:space="preserve">
closed 3 kids stores in 2Q09</t>
        </r>
      </text>
    </comment>
    <comment ref="CE22" authorId="11">
      <text>
        <r>
          <rPr>
            <b/>
            <sz val="8"/>
            <color indexed="81"/>
            <rFont val="Tahoma"/>
            <family val="2"/>
          </rPr>
          <t>nicholjs:</t>
        </r>
        <r>
          <rPr>
            <sz val="8"/>
            <color indexed="81"/>
            <rFont val="Tahoma"/>
            <family val="2"/>
          </rPr>
          <t xml:space="preserve">
11/2010: now expect slightly above 60
8/2010: expects to close ~60 stores over the course of 2010, predominantly at the end of the year, most in the A&amp;F and kids brands</t>
        </r>
      </text>
    </comment>
    <comment ref="CI22" authorId="11">
      <text>
        <r>
          <rPr>
            <b/>
            <sz val="8"/>
            <color indexed="81"/>
            <rFont val="Tahoma"/>
            <family val="2"/>
          </rPr>
          <t>nicholjs:</t>
        </r>
        <r>
          <rPr>
            <sz val="8"/>
            <color indexed="81"/>
            <rFont val="Tahoma"/>
            <family val="2"/>
          </rPr>
          <t xml:space="preserve">
8/17: now expects to close 60-65 domestic stores, primarily at the end of the year through natural lease expirations
5/18: expect ~50 domestic store closings
8/2010: expect ~50 store closures in 2011, most toward end of the year and within A&amp;F and kids brands</t>
        </r>
      </text>
    </comment>
    <comment ref="BA23" authorId="2">
      <text>
        <r>
          <rPr>
            <sz val="8"/>
            <color indexed="81"/>
            <rFont val="Tahoma"/>
            <family val="2"/>
          </rPr>
          <t xml:space="preserve">727 mm actual. </t>
        </r>
      </text>
    </comment>
    <comment ref="BW23" authorId="3">
      <text>
        <r>
          <rPr>
            <b/>
            <sz val="8"/>
            <color indexed="81"/>
            <rFont val="Tahoma"/>
            <family val="2"/>
          </rPr>
          <t>mm98285:</t>
        </r>
        <r>
          <rPr>
            <sz val="8"/>
            <color indexed="81"/>
            <rFont val="Tahoma"/>
            <family val="2"/>
          </rPr>
          <t xml:space="preserve">
3/09: includes 2 stores in Canada</t>
        </r>
      </text>
    </comment>
    <comment ref="CE23" authorId="11">
      <text>
        <r>
          <rPr>
            <b/>
            <sz val="8"/>
            <color indexed="81"/>
            <rFont val="Tahoma"/>
            <family val="2"/>
          </rPr>
          <t>nicholjs:</t>
        </r>
        <r>
          <rPr>
            <sz val="8"/>
            <color indexed="81"/>
            <rFont val="Tahoma"/>
            <family val="2"/>
          </rPr>
          <t xml:space="preserve">
181 abercromie kids stores domestically, 4 int'lly</t>
        </r>
      </text>
    </comment>
    <comment ref="CI23" authorId="9">
      <text>
        <r>
          <rPr>
            <b/>
            <sz val="8"/>
            <color indexed="81"/>
            <rFont val="Tahoma"/>
            <family val="2"/>
          </rPr>
          <t>solejay:</t>
        </r>
        <r>
          <rPr>
            <sz val="8"/>
            <color indexed="81"/>
            <rFont val="Tahoma"/>
            <family val="2"/>
          </rPr>
          <t xml:space="preserve">
154 domestic, 5 international</t>
        </r>
      </text>
    </comment>
    <comment ref="CQ23" authorId="0">
      <text>
        <r>
          <rPr>
            <b/>
            <sz val="8"/>
            <color indexed="81"/>
            <rFont val="Tahoma"/>
            <family val="2"/>
          </rPr>
          <t>casselau:</t>
        </r>
        <r>
          <rPr>
            <sz val="8"/>
            <color indexed="81"/>
            <rFont val="Tahoma"/>
            <family val="2"/>
          </rPr>
          <t xml:space="preserve">
131 US, 2 Canada, 3 Europe</t>
        </r>
      </text>
    </comment>
    <comment ref="AV29" authorId="1">
      <text>
        <r>
          <rPr>
            <b/>
            <sz val="8"/>
            <color indexed="81"/>
            <rFont val="Tahoma"/>
            <family val="2"/>
          </rPr>
          <t>plejuez:</t>
        </r>
        <r>
          <rPr>
            <sz val="8"/>
            <color indexed="81"/>
            <rFont val="Tahoma"/>
            <family val="2"/>
          </rPr>
          <t xml:space="preserve">
these will be 6000 gross per tom 8/20</t>
        </r>
      </text>
    </comment>
    <comment ref="AY29" authorId="2">
      <text>
        <r>
          <rPr>
            <sz val="8"/>
            <color indexed="81"/>
            <rFont val="Tahoma"/>
            <family val="2"/>
          </rPr>
          <t>11/12/02: changed from 61 to 60 after co. reported 3Q02 EPS</t>
        </r>
      </text>
    </comment>
    <comment ref="AZ29" authorId="1">
      <text>
        <r>
          <rPr>
            <b/>
            <sz val="8"/>
            <color indexed="81"/>
            <rFont val="Tahoma"/>
            <family val="2"/>
          </rPr>
          <t>plejuez:</t>
        </r>
        <r>
          <rPr>
            <sz val="8"/>
            <color indexed="81"/>
            <rFont val="Tahoma"/>
            <family val="2"/>
          </rPr>
          <t xml:space="preserve">
per tom on 2/22/02 will be 6500</t>
        </r>
      </text>
    </comment>
    <comment ref="BC29" authorId="2">
      <text>
        <r>
          <rPr>
            <sz val="8"/>
            <color indexed="81"/>
            <rFont val="Tahoma"/>
            <family val="2"/>
          </rPr>
          <t>11/02: changed from 60 to 80 after co. reported 3Q02 EPS
2.18.03: changed to 70 after 4Q02cc. Co indicated just a qstn of timing and economics of lease deals
5/13/03: changed to 80 after 1Q03 CC</t>
        </r>
      </text>
    </comment>
    <comment ref="BD29" authorId="2">
      <text>
        <r>
          <rPr>
            <sz val="8"/>
            <color indexed="81"/>
            <rFont val="Tahoma"/>
            <family val="2"/>
          </rPr>
          <t>on 3Q02 conf. Call said now targeting slightly larger sizes - 7,000</t>
        </r>
      </text>
    </comment>
    <comment ref="BG29" authorId="14">
      <text>
        <r>
          <rPr>
            <b/>
            <sz val="8"/>
            <color indexed="81"/>
            <rFont val="Tahoma"/>
            <family val="2"/>
          </rPr>
          <t>dliu:</t>
        </r>
        <r>
          <rPr>
            <sz val="8"/>
            <color indexed="81"/>
            <rFont val="Tahoma"/>
            <family val="2"/>
          </rPr>
          <t xml:space="preserve">
changed from 70 to 80 based on 1Q03 cc</t>
        </r>
      </text>
    </comment>
    <comment ref="BH29" authorId="12">
      <text>
        <r>
          <rPr>
            <b/>
            <sz val="8"/>
            <color indexed="81"/>
            <rFont val="Tahoma"/>
            <family val="2"/>
          </rPr>
          <t>Kimberly Greenberger:</t>
        </r>
        <r>
          <rPr>
            <sz val="8"/>
            <color indexed="81"/>
            <rFont val="Tahoma"/>
            <family val="2"/>
          </rPr>
          <t xml:space="preserve">
7/04 changed to 8,500 per conversation w/ Tom Lennox</t>
        </r>
      </text>
    </comment>
    <comment ref="BL29" authorId="12">
      <text>
        <r>
          <rPr>
            <b/>
            <sz val="8"/>
            <color indexed="81"/>
            <rFont val="Tahoma"/>
            <family val="2"/>
          </rPr>
          <t>Kimberly Greenberger:</t>
        </r>
        <r>
          <rPr>
            <sz val="8"/>
            <color indexed="81"/>
            <rFont val="Tahoma"/>
            <family val="2"/>
          </rPr>
          <t xml:space="preserve">
7/04 spoke w/ Tom Lennox and he said use 6,500 sq ft for H</t>
        </r>
      </text>
    </comment>
    <comment ref="BW29" authorId="3">
      <text>
        <r>
          <rPr>
            <b/>
            <sz val="8"/>
            <color indexed="81"/>
            <rFont val="Tahoma"/>
            <family val="2"/>
          </rPr>
          <t xml:space="preserve">mm98285:
</t>
        </r>
        <r>
          <rPr>
            <sz val="8"/>
            <color indexed="81"/>
            <rFont val="Tahoma"/>
            <family val="2"/>
          </rPr>
          <t>11/08: 60 + 3 UK, 3 Canada</t>
        </r>
        <r>
          <rPr>
            <b/>
            <sz val="8"/>
            <color indexed="81"/>
            <rFont val="Tahoma"/>
            <family val="2"/>
          </rPr>
          <t xml:space="preserve">
</t>
        </r>
        <r>
          <rPr>
            <sz val="8"/>
            <color indexed="81"/>
            <rFont val="Tahoma"/>
            <family val="2"/>
          </rPr>
          <t>10Q: 63 U.S. (vs. 64 in 1Q), 3 Canada, 3 UK</t>
        </r>
        <r>
          <rPr>
            <b/>
            <sz val="8"/>
            <color indexed="81"/>
            <rFont val="Tahoma"/>
            <family val="2"/>
          </rPr>
          <t xml:space="preserve">
</t>
        </r>
        <r>
          <rPr>
            <sz val="8"/>
            <color indexed="81"/>
            <rFont val="Tahoma"/>
            <family val="2"/>
          </rPr>
          <t>5/16: 66 NA &amp; 4 UK</t>
        </r>
        <r>
          <rPr>
            <sz val="8"/>
            <color indexed="81"/>
            <rFont val="Tahoma"/>
            <family val="2"/>
          </rPr>
          <t xml:space="preserve">
10K expect to open 70 new stores (incl. 3 in Canada and 4 in UK)</t>
        </r>
      </text>
    </comment>
    <comment ref="CA29" authorId="3">
      <text>
        <r>
          <rPr>
            <b/>
            <sz val="8"/>
            <color indexed="81"/>
            <rFont val="Tahoma"/>
            <family val="2"/>
          </rPr>
          <t>mm98285:</t>
        </r>
        <r>
          <rPr>
            <sz val="8"/>
            <color indexed="81"/>
            <rFont val="Tahoma"/>
            <family val="2"/>
          </rPr>
          <t xml:space="preserve">
10K: 4 domestic mall based, 9 int'l mall based (7 UK, 1 Germany, 1 Italy)</t>
        </r>
      </text>
    </comment>
    <comment ref="CE29" authorId="3">
      <text>
        <r>
          <rPr>
            <sz val="8"/>
            <color indexed="81"/>
            <rFont val="Tahoma"/>
            <family val="2"/>
          </rPr>
          <t>11/2010: expect to open 20 int'l Hollister stores (11 in 4Q)
8/2010: expect to open 20 international Hollister stores and 3 domestic H stores
5/2010: expect to open 25 international mall-based Hollister stores and 3 domestic Hollister stores</t>
        </r>
        <r>
          <rPr>
            <b/>
            <sz val="8"/>
            <color indexed="81"/>
            <rFont val="Tahoma"/>
            <family val="2"/>
          </rPr>
          <t xml:space="preserve">
</t>
        </r>
        <r>
          <rPr>
            <sz val="8"/>
            <color indexed="81"/>
            <rFont val="Tahoma"/>
            <family val="2"/>
          </rPr>
          <t>5/09: expect to accelerate rate of openings for European mall-based Hollister stores in 2010 and 2011. as existing new 5 Hollister stores operate productivity levels significantly higher than the average US store. 
ASSUME all new stores int'l - NO US openings
Mike said 8/09 that Hol is mature in US (and kids and A&amp;F too big)</t>
        </r>
      </text>
    </comment>
    <comment ref="CI29" authorId="10">
      <text>
        <r>
          <rPr>
            <sz val="8"/>
            <color indexed="81"/>
            <rFont val="Tahoma"/>
            <family val="2"/>
          </rPr>
          <t>8/17: expects up to 40, of which 6 had opened in the 1H of the year
10Q:: expects up to 40, primarily in later part of the year (majority in Europe and total includes first stores in mainland China and Hong Kong)
5/18: expects up to 40, primarily in later part of the year
10K: expect up to 40, including first stores in Hong Kong and mainland China
2/2011: expects 30-40 international mall-based Hollister stores, primarily in the later part of the year
8/2010: will hope to accelerate rate of Hollister intl store openings in 2011
5/2010: will hope to accelerate rate of Hollister int'l store openings in 2011 assume all new stores int'l no US openings</t>
        </r>
      </text>
    </comment>
    <comment ref="CM29" authorId="11">
      <text>
        <r>
          <rPr>
            <sz val="8"/>
            <color indexed="81"/>
            <rFont val="Tahoma"/>
            <family val="2"/>
          </rPr>
          <t>2/22/13: in 4Q opened 3 in the US, 4 in Europe, and 2 in Asia 
5/16/2012: In Fiscal 2012, the Company  expects to open close to 40 international Hollister stores throughout the year.
2/15/2012: In Fiscal 2012, the Company  expects to open close to 40 international Hollister stores throughout the year.
6/2011 (10Q): equal or greater number of openings as LY
4/5/2011: similar rate of openings in 2012</t>
        </r>
      </text>
    </comment>
    <comment ref="CQ29" authorId="9">
      <text>
        <r>
          <rPr>
            <b/>
            <sz val="8"/>
            <color indexed="81"/>
            <rFont val="Tahoma"/>
            <family val="2"/>
          </rPr>
          <t xml:space="preserve">8/22/13: </t>
        </r>
        <r>
          <rPr>
            <sz val="8"/>
            <color indexed="81"/>
            <rFont val="Tahoma"/>
            <family val="2"/>
          </rPr>
          <t>expect to open 20 intl Hollister chain stores</t>
        </r>
        <r>
          <rPr>
            <b/>
            <sz val="8"/>
            <color indexed="81"/>
            <rFont val="Tahoma"/>
            <family val="2"/>
          </rPr>
          <t xml:space="preserve">
2/22/13: </t>
        </r>
        <r>
          <rPr>
            <sz val="8"/>
            <color indexed="81"/>
            <rFont val="Tahoma"/>
            <family val="2"/>
          </rPr>
          <t>reitered +20 on 4Q call; will include first Middle Eastern store (Dubai) and Australia and Japan</t>
        </r>
        <r>
          <rPr>
            <b/>
            <sz val="8"/>
            <color indexed="81"/>
            <rFont val="Tahoma"/>
            <family val="2"/>
          </rPr>
          <t xml:space="preserve">
solejay:</t>
        </r>
        <r>
          <rPr>
            <sz val="8"/>
            <color indexed="81"/>
            <rFont val="Tahoma"/>
            <family val="2"/>
          </rPr>
          <t xml:space="preserve">
from the 3Q12 conference call - "For 2013 we are planning for approximately 20 international Hollister chain store openings"</t>
        </r>
      </text>
    </comment>
    <comment ref="DG29" authorId="6">
      <text>
        <r>
          <rPr>
            <b/>
            <sz val="9"/>
            <color indexed="81"/>
            <rFont val="Tahoma"/>
            <family val="2"/>
          </rPr>
          <t>Cassel, Lauren (Research):</t>
        </r>
        <r>
          <rPr>
            <sz val="9"/>
            <color indexed="81"/>
            <rFont val="Tahoma"/>
            <family val="2"/>
          </rPr>
          <t xml:space="preserve">
3/2/17: In 2017 we also plan to open six full price stores including four in the US
and two in international markets and to open two new outlet stores.</t>
        </r>
      </text>
    </comment>
    <comment ref="DK29" authorId="7">
      <text>
        <r>
          <rPr>
            <b/>
            <sz val="9"/>
            <color indexed="81"/>
            <rFont val="Tahoma"/>
            <family val="2"/>
          </rPr>
          <t>Roberts, Cynthia (Research):</t>
        </r>
        <r>
          <rPr>
            <sz val="9"/>
            <color indexed="81"/>
            <rFont val="Tahoma"/>
            <family val="2"/>
          </rPr>
          <t xml:space="preserve">
3/7/18: plan to open 13 Hollister</t>
        </r>
      </text>
    </comment>
    <comment ref="CA30" authorId="8">
      <text>
        <r>
          <rPr>
            <b/>
            <sz val="8"/>
            <color indexed="81"/>
            <rFont val="Tahoma"/>
            <family val="2"/>
          </rPr>
          <t>oc48540:</t>
        </r>
        <r>
          <rPr>
            <sz val="8"/>
            <color indexed="81"/>
            <rFont val="Tahoma"/>
            <family val="2"/>
          </rPr>
          <t xml:space="preserve">
 1 Soho  flagship,</t>
        </r>
      </text>
    </comment>
    <comment ref="CE30" authorId="8">
      <text>
        <r>
          <rPr>
            <sz val="8"/>
            <color indexed="81"/>
            <rFont val="Tahoma"/>
            <family val="2"/>
          </rPr>
          <t xml:space="preserve">8/10: Hollister 5 Ave scheduled November 2010 </t>
        </r>
      </text>
    </comment>
    <comment ref="DG31" authorId="6">
      <text>
        <r>
          <rPr>
            <b/>
            <sz val="9"/>
            <color indexed="81"/>
            <rFont val="Tahoma"/>
            <family val="2"/>
          </rPr>
          <t>Cassel, Lauren (Research):</t>
        </r>
        <r>
          <rPr>
            <sz val="9"/>
            <color indexed="81"/>
            <rFont val="Tahoma"/>
            <family val="2"/>
          </rPr>
          <t xml:space="preserve">
approximately 40 Hollister remodels, about 10 of which will include a downsizing of an existing location</t>
        </r>
      </text>
    </comment>
    <comment ref="DK31" authorId="7">
      <text>
        <r>
          <rPr>
            <b/>
            <sz val="9"/>
            <color indexed="81"/>
            <rFont val="Tahoma"/>
            <family val="2"/>
          </rPr>
          <t>Roberts, Cynthia (Research):</t>
        </r>
        <r>
          <rPr>
            <sz val="9"/>
            <color indexed="81"/>
            <rFont val="Tahoma"/>
            <family val="2"/>
          </rPr>
          <t xml:space="preserve">
3/7/18: Plan to remodel 40 stores, 6 will be downsizes</t>
        </r>
      </text>
    </comment>
    <comment ref="AY32" authorId="2">
      <text>
        <r>
          <rPr>
            <sz val="8"/>
            <color indexed="81"/>
            <rFont val="Tahoma"/>
            <family val="2"/>
          </rPr>
          <t>1Q02: 1 closure was a Hol. outlet</t>
        </r>
      </text>
    </comment>
    <comment ref="AZ32" authorId="2">
      <text>
        <r>
          <rPr>
            <sz val="8"/>
            <color indexed="81"/>
            <rFont val="Tahoma"/>
            <family val="2"/>
          </rPr>
          <t>5/02 est.  Get actual from co.</t>
        </r>
      </text>
    </comment>
    <comment ref="CA32" authorId="10">
      <text>
        <r>
          <rPr>
            <b/>
            <sz val="8"/>
            <color indexed="81"/>
            <rFont val="Tahoma"/>
            <family val="2"/>
          </rPr>
          <t>kg51925:</t>
        </r>
        <r>
          <rPr>
            <sz val="8"/>
            <color indexed="81"/>
            <rFont val="Tahoma"/>
            <family val="2"/>
          </rPr>
          <t xml:space="preserve">
2Q09 closed 8 Hol stores</t>
        </r>
      </text>
    </comment>
    <comment ref="CI32" authorId="11">
      <text>
        <r>
          <rPr>
            <b/>
            <sz val="8"/>
            <color indexed="81"/>
            <rFont val="Tahoma"/>
            <family val="2"/>
          </rPr>
          <t>nicholjs:</t>
        </r>
        <r>
          <rPr>
            <sz val="8"/>
            <color indexed="81"/>
            <rFont val="Tahoma"/>
            <family val="2"/>
          </rPr>
          <t xml:space="preserve">
8/17: now expects to close 60-65 domestic stores, primarily at the end of the year through natural lease expirations
5/18: expect ~50 domestic store closings
8/2010: expect ~50 store closures in 2011, most toward end of the year and within A&amp;F and kids brands</t>
        </r>
      </text>
    </comment>
    <comment ref="DK32" authorId="7">
      <text>
        <r>
          <rPr>
            <b/>
            <sz val="9"/>
            <color indexed="81"/>
            <rFont val="Tahoma"/>
            <family val="2"/>
          </rPr>
          <t>Roberts, Cynthia (Research):</t>
        </r>
        <r>
          <rPr>
            <sz val="9"/>
            <color indexed="81"/>
            <rFont val="Tahoma"/>
            <family val="2"/>
          </rPr>
          <t xml:space="preserve">
3/7/18: Guidance closing  up to 60 stores total</t>
        </r>
      </text>
    </comment>
    <comment ref="BA33" authorId="2">
      <text>
        <r>
          <rPr>
            <sz val="8"/>
            <color indexed="81"/>
            <rFont val="Tahoma"/>
            <family val="2"/>
          </rPr>
          <t>595K actual</t>
        </r>
      </text>
    </comment>
    <comment ref="BK33" authorId="15">
      <text>
        <r>
          <rPr>
            <b/>
            <sz val="8"/>
            <color indexed="81"/>
            <rFont val="Tahoma"/>
            <family val="2"/>
          </rPr>
          <t>Corinna Freedman:</t>
        </r>
        <r>
          <rPr>
            <sz val="8"/>
            <color indexed="81"/>
            <rFont val="Tahoma"/>
            <family val="2"/>
          </rPr>
          <t xml:space="preserve">
11/15: plan to end 05 w/ 318 stores</t>
        </r>
      </text>
    </comment>
    <comment ref="BO33" authorId="4">
      <text>
        <r>
          <rPr>
            <b/>
            <sz val="8"/>
            <color indexed="81"/>
            <rFont val="Tahoma"/>
            <family val="2"/>
          </rPr>
          <t xml:space="preserve">MB33100:
</t>
        </r>
        <r>
          <rPr>
            <sz val="8"/>
            <color indexed="81"/>
            <rFont val="Tahoma"/>
            <family val="2"/>
          </rPr>
          <t>11/06 guided to +70 stores, 393 at year end</t>
        </r>
        <r>
          <rPr>
            <sz val="8"/>
            <color indexed="81"/>
            <rFont val="Tahoma"/>
            <family val="2"/>
          </rPr>
          <t xml:space="preserve">
5/06: 70 Hollister stores in 2006
2/06: 64 Hollister stores in 2006</t>
        </r>
      </text>
    </comment>
    <comment ref="BS33" authorId="3">
      <text>
        <r>
          <rPr>
            <b/>
            <sz val="8"/>
            <color indexed="81"/>
            <rFont val="Tahoma"/>
            <family val="2"/>
          </rPr>
          <t>mm98285:</t>
        </r>
        <r>
          <rPr>
            <sz val="8"/>
            <color indexed="81"/>
            <rFont val="Tahoma"/>
            <family val="2"/>
          </rPr>
          <t xml:space="preserve">
3/09: includes 3 stores in Canada</t>
        </r>
      </text>
    </comment>
    <comment ref="BW33" authorId="3">
      <text>
        <r>
          <rPr>
            <b/>
            <sz val="8"/>
            <color indexed="81"/>
            <rFont val="Tahoma"/>
            <family val="2"/>
          </rPr>
          <t>mm98285:</t>
        </r>
        <r>
          <rPr>
            <sz val="8"/>
            <color indexed="81"/>
            <rFont val="Tahoma"/>
            <family val="2"/>
          </rPr>
          <t xml:space="preserve">
3/09: includes 5 stores in Canada &amp; 3 stores in UK</t>
        </r>
      </text>
    </comment>
    <comment ref="CE33" authorId="11">
      <text>
        <r>
          <rPr>
            <b/>
            <sz val="8"/>
            <color indexed="81"/>
            <rFont val="Tahoma"/>
            <family val="2"/>
          </rPr>
          <t>nicholjs:</t>
        </r>
        <r>
          <rPr>
            <sz val="8"/>
            <color indexed="81"/>
            <rFont val="Tahoma"/>
            <family val="2"/>
          </rPr>
          <t xml:space="preserve">
502 Hollister stores domestically, 38 int'lly</t>
        </r>
      </text>
    </comment>
    <comment ref="CI33" authorId="9">
      <text>
        <r>
          <rPr>
            <b/>
            <sz val="8"/>
            <color indexed="81"/>
            <rFont val="Tahoma"/>
            <family val="2"/>
          </rPr>
          <t>11/16:</t>
        </r>
        <r>
          <rPr>
            <sz val="8"/>
            <color indexed="81"/>
            <rFont val="Tahoma"/>
            <family val="2"/>
          </rPr>
          <t xml:space="preserve">
 The Company expects to open 40 international mall-based Hollister stores, of which 25 had opened as of October 29, 2011.
</t>
        </r>
      </text>
    </comment>
    <comment ref="CQ33" authorId="0">
      <text>
        <r>
          <rPr>
            <b/>
            <sz val="8"/>
            <color indexed="81"/>
            <rFont val="Tahoma"/>
            <family val="2"/>
          </rPr>
          <t>casselau:</t>
        </r>
        <r>
          <rPr>
            <sz val="8"/>
            <color indexed="81"/>
            <rFont val="Tahoma"/>
            <family val="2"/>
          </rPr>
          <t xml:space="preserve">
458 US, 12 Canada, 101 Europe, 16 Asia</t>
        </r>
      </text>
    </comment>
    <comment ref="DC33" authorId="6">
      <text>
        <r>
          <rPr>
            <b/>
            <sz val="9"/>
            <color indexed="81"/>
            <rFont val="Tahoma"/>
            <family val="2"/>
          </rPr>
          <t>Cassel, Lauren (Research):</t>
        </r>
        <r>
          <rPr>
            <sz val="9"/>
            <color indexed="81"/>
            <rFont val="Tahoma"/>
            <family val="2"/>
          </rPr>
          <t xml:space="preserve">
398 US, 145 intl</t>
        </r>
      </text>
    </comment>
    <comment ref="BH39" authorId="12">
      <text>
        <r>
          <rPr>
            <b/>
            <sz val="8"/>
            <color indexed="81"/>
            <rFont val="Tahoma"/>
            <family val="2"/>
          </rPr>
          <t>Kimberly Greenberger:</t>
        </r>
        <r>
          <rPr>
            <sz val="8"/>
            <color indexed="81"/>
            <rFont val="Tahoma"/>
            <family val="2"/>
          </rPr>
          <t xml:space="preserve">
7/04 changed to 8,500 per conversation w/ Tom Lennox</t>
        </r>
      </text>
    </comment>
    <comment ref="BK39" authorId="12">
      <text>
        <r>
          <rPr>
            <b/>
            <sz val="8"/>
            <color indexed="81"/>
            <rFont val="Tahoma"/>
            <family val="2"/>
          </rPr>
          <t>Kimberly Greenberger:</t>
        </r>
        <r>
          <rPr>
            <sz val="8"/>
            <color indexed="81"/>
            <rFont val="Tahoma"/>
            <family val="2"/>
          </rPr>
          <t xml:space="preserve">
11/04 conf call mgmt indicated +3 stores in 1H05 and +5-8 in 2H05. Had assumed 20, reduced to 10.</t>
        </r>
      </text>
    </comment>
    <comment ref="BW39" authorId="3">
      <text>
        <r>
          <rPr>
            <b/>
            <sz val="8"/>
            <color indexed="81"/>
            <rFont val="Tahoma"/>
            <family val="2"/>
          </rPr>
          <t>mm98285:</t>
        </r>
        <r>
          <rPr>
            <sz val="8"/>
            <color indexed="81"/>
            <rFont val="Tahoma"/>
            <family val="2"/>
          </rPr>
          <t xml:space="preserve">
10K expect to open 6 new stores</t>
        </r>
      </text>
    </comment>
    <comment ref="CA39" authorId="3">
      <text>
        <r>
          <rPr>
            <b/>
            <sz val="8"/>
            <color indexed="81"/>
            <rFont val="Tahoma"/>
            <family val="2"/>
          </rPr>
          <t>mm98285:</t>
        </r>
        <r>
          <rPr>
            <sz val="8"/>
            <color indexed="81"/>
            <rFont val="Tahoma"/>
            <family val="2"/>
          </rPr>
          <t xml:space="preserve">
10K: 1 domestic outlet</t>
        </r>
      </text>
    </comment>
    <comment ref="BO42" authorId="4">
      <text>
        <r>
          <rPr>
            <b/>
            <sz val="8"/>
            <color indexed="81"/>
            <rFont val="Tahoma"/>
            <family val="2"/>
          </rPr>
          <t>MB33100:</t>
        </r>
        <r>
          <rPr>
            <sz val="8"/>
            <color indexed="81"/>
            <rFont val="Tahoma"/>
            <family val="2"/>
          </rPr>
          <t xml:space="preserve">
11/06 guided to 7 openings and 15 at year end
5/06: 7 Ruehl stores in 2006
2/06: 8 Ruehl stores in 2006</t>
        </r>
      </text>
    </comment>
    <comment ref="BW47" authorId="3">
      <text>
        <r>
          <rPr>
            <b/>
            <sz val="8"/>
            <color indexed="81"/>
            <rFont val="Tahoma"/>
            <family val="2"/>
          </rPr>
          <t>mm98285:</t>
        </r>
        <r>
          <rPr>
            <sz val="8"/>
            <color indexed="81"/>
            <rFont val="Tahoma"/>
            <family val="2"/>
          </rPr>
          <t xml:space="preserve">
11/08: 11
10Q: 10 (vs. 14 in 1Q)
10K expect to open 15</t>
        </r>
      </text>
    </comment>
    <comment ref="CA47" authorId="3">
      <text>
        <r>
          <rPr>
            <b/>
            <sz val="8"/>
            <color indexed="81"/>
            <rFont val="Tahoma"/>
            <family val="2"/>
          </rPr>
          <t>mm98285:</t>
        </r>
        <r>
          <rPr>
            <sz val="8"/>
            <color indexed="81"/>
            <rFont val="Tahoma"/>
            <family val="2"/>
          </rPr>
          <t xml:space="preserve">
10K: 2 domestic mall based, 1 domestic outlet</t>
        </r>
      </text>
    </comment>
    <comment ref="CB47" authorId="3">
      <text>
        <r>
          <rPr>
            <b/>
            <sz val="8"/>
            <color indexed="81"/>
            <rFont val="Tahoma"/>
            <family val="2"/>
          </rPr>
          <t>mm98285:</t>
        </r>
        <r>
          <rPr>
            <sz val="8"/>
            <color indexed="81"/>
            <rFont val="Tahoma"/>
            <family val="2"/>
          </rPr>
          <t xml:space="preserve">
11/08: 7500</t>
        </r>
      </text>
    </comment>
    <comment ref="CE47" authorId="5">
      <text>
        <r>
          <rPr>
            <sz val="8"/>
            <color indexed="81"/>
            <rFont val="Tahoma"/>
            <family val="2"/>
          </rPr>
          <t>8/2010: reiterated below, smaller prototype store is in Roseville, Sacramento and is ~4,700 square feet</t>
        </r>
        <r>
          <rPr>
            <b/>
            <sz val="8"/>
            <color indexed="81"/>
            <rFont val="Tahoma"/>
            <family val="2"/>
          </rPr>
          <t xml:space="preserve">
</t>
        </r>
        <r>
          <rPr>
            <sz val="8"/>
            <color indexed="81"/>
            <rFont val="Tahoma"/>
            <family val="2"/>
          </rPr>
          <t xml:space="preserve">5/2010: expects to open first international </t>
        </r>
        <r>
          <rPr>
            <sz val="8"/>
            <color indexed="81"/>
            <rFont val="Tahoma"/>
            <family val="2"/>
          </rPr>
          <t>Gilly Hicks store in 4Q; also will open 2 GH stores domestically -- one of domestic stores will be new smaller prototype store</t>
        </r>
      </text>
    </comment>
    <comment ref="CJ47" authorId="11">
      <text>
        <r>
          <rPr>
            <b/>
            <sz val="8"/>
            <color indexed="81"/>
            <rFont val="Tahoma"/>
            <family val="2"/>
          </rPr>
          <t>nicholjs:</t>
        </r>
        <r>
          <rPr>
            <sz val="8"/>
            <color indexed="81"/>
            <rFont val="Tahoma"/>
            <family val="2"/>
          </rPr>
          <t xml:space="preserve">
2/2011: The Company expects that future stores will be constructed using the new smaller format of approximately 5,000 gross square feet.</t>
        </r>
      </text>
    </comment>
    <comment ref="CE50" authorId="11">
      <text>
        <r>
          <rPr>
            <b/>
            <sz val="8"/>
            <color indexed="81"/>
            <rFont val="Tahoma"/>
            <family val="2"/>
          </rPr>
          <t>nicholjs:</t>
        </r>
        <r>
          <rPr>
            <sz val="8"/>
            <color indexed="81"/>
            <rFont val="Tahoma"/>
            <family val="2"/>
          </rPr>
          <t xml:space="preserve">
18 domestically, 1 int'lly</t>
        </r>
      </text>
    </comment>
    <comment ref="CM50" authorId="0">
      <text>
        <r>
          <rPr>
            <b/>
            <sz val="8"/>
            <color indexed="81"/>
            <rFont val="Tahoma"/>
            <family val="2"/>
          </rPr>
          <t>casselau:</t>
        </r>
        <r>
          <rPr>
            <sz val="8"/>
            <color indexed="81"/>
            <rFont val="Tahoma"/>
            <family val="2"/>
          </rPr>
          <t xml:space="preserve">
20 US/7 Europe</t>
        </r>
      </text>
    </comment>
    <comment ref="CA54" authorId="3">
      <text>
        <r>
          <rPr>
            <b/>
            <sz val="8"/>
            <color indexed="81"/>
            <rFont val="Tahoma"/>
            <family val="2"/>
          </rPr>
          <t>mm98285:</t>
        </r>
        <r>
          <rPr>
            <sz val="8"/>
            <color indexed="81"/>
            <rFont val="Tahoma"/>
            <family val="2"/>
          </rPr>
          <t xml:space="preserve">
FY09: 24 new store openings including 4 flagship stores (including Hollister in Soho, A&amp;F and abercrombie in Milan and A&amp;F in Tokyo), 10 international mall-based stores (including 1 abercrombie in Canada, 7 Hollister stores in U.K., 1 Hollister store in Germany and 1 Hollister store in Italy), and 10 domestic mall-based stores (including 2 abercrombie stores, 4 Hollister stores, 2 Gilly Hicks stores and 2 outlet stores</t>
        </r>
      </text>
    </comment>
    <comment ref="CY54" authorId="0">
      <text>
        <r>
          <rPr>
            <b/>
            <sz val="9"/>
            <color indexed="81"/>
            <rFont val="Tahoma"/>
            <family val="2"/>
          </rPr>
          <t>casselau:
We plan to open 15 full price stores in key international growth markets of China, Japan and the Middle
East and four full price stores in North America. We also plan to open 11 new outlet stores in the US.</t>
        </r>
        <r>
          <rPr>
            <sz val="9"/>
            <color indexed="81"/>
            <rFont val="Tahoma"/>
            <family val="2"/>
          </rPr>
          <t xml:space="preserve">
</t>
        </r>
      </text>
    </comment>
    <comment ref="DC54" authorId="0">
      <text>
        <r>
          <rPr>
            <b/>
            <sz val="9"/>
            <color indexed="81"/>
            <rFont val="Tahoma"/>
            <family val="2"/>
          </rPr>
          <t>casselau:</t>
        </r>
        <r>
          <rPr>
            <sz val="9"/>
            <color indexed="81"/>
            <rFont val="Tahoma"/>
            <family val="2"/>
          </rPr>
          <t xml:space="preserve">
3/2/16: The company plans to open approximately </t>
        </r>
        <r>
          <rPr>
            <b/>
            <sz val="9"/>
            <color indexed="81"/>
            <rFont val="Tahoma"/>
            <family val="2"/>
          </rPr>
          <t>15 full-price stores</t>
        </r>
        <r>
          <rPr>
            <sz val="9"/>
            <color indexed="81"/>
            <rFont val="Tahoma"/>
            <family val="2"/>
          </rPr>
          <t xml:space="preserve"> in fiscal 2016, including approximately 10 in international markets, primarily China, and approximately five in the U.S.  The company also plans to open approximately </t>
        </r>
        <r>
          <rPr>
            <b/>
            <sz val="9"/>
            <color indexed="81"/>
            <rFont val="Tahoma"/>
            <family val="2"/>
          </rPr>
          <t>10 new outlet stores,</t>
        </r>
        <r>
          <rPr>
            <sz val="9"/>
            <color indexed="81"/>
            <rFont val="Tahoma"/>
            <family val="2"/>
          </rPr>
          <t xml:space="preserve"> primarily in the U.S. </t>
        </r>
      </text>
    </comment>
    <comment ref="DG54" authorId="6">
      <text>
        <r>
          <rPr>
            <b/>
            <sz val="9"/>
            <color indexed="81"/>
            <rFont val="Tahoma"/>
            <family val="2"/>
          </rPr>
          <t>Cassel, Lauren (Research):</t>
        </r>
        <r>
          <rPr>
            <sz val="9"/>
            <color indexed="81"/>
            <rFont val="Tahoma"/>
            <family val="2"/>
          </rPr>
          <t xml:space="preserve">
5/25/17: The company plans to open seven full-price stores in fiscal 2017, primarily in the U.S. The company also plans to open two new outlet stores. </t>
        </r>
      </text>
    </comment>
    <comment ref="CE56" authorId="11">
      <text>
        <r>
          <rPr>
            <b/>
            <sz val="8"/>
            <color indexed="81"/>
            <rFont val="Tahoma"/>
            <family val="2"/>
          </rPr>
          <t>nicholjs:</t>
        </r>
        <r>
          <rPr>
            <sz val="8"/>
            <color indexed="81"/>
            <rFont val="Tahoma"/>
            <family val="2"/>
          </rPr>
          <t xml:space="preserve">
11/2010: expect slightly above 60</t>
        </r>
      </text>
    </comment>
    <comment ref="CI56" authorId="11">
      <text>
        <r>
          <rPr>
            <b/>
            <sz val="8"/>
            <color indexed="81"/>
            <rFont val="Tahoma"/>
            <family val="2"/>
          </rPr>
          <t>nicholjs:</t>
        </r>
        <r>
          <rPr>
            <sz val="8"/>
            <color indexed="81"/>
            <rFont val="Tahoma"/>
            <family val="2"/>
          </rPr>
          <t xml:space="preserve">
2Q 10Q: reit below
8/17: now expects to close 60-65 domestic stores, primarily at the end of the year through natural lease expirations
1Q 10Q: reit below
10K: expect approximately a further 50 closings during 2011, predominantly at the end of the year.</t>
        </r>
      </text>
    </comment>
    <comment ref="CM56" authorId="11">
      <text>
        <r>
          <rPr>
            <b/>
            <sz val="8"/>
            <color indexed="81"/>
            <rFont val="Tahoma"/>
            <family val="2"/>
          </rPr>
          <t>nicholjs:</t>
        </r>
        <r>
          <rPr>
            <sz val="8"/>
            <color indexed="81"/>
            <rFont val="Tahoma"/>
            <family val="2"/>
          </rPr>
          <t xml:space="preserve">
6/8/2011: probably close 10 or so for the next several years (through natural lease expiration), at Piper conference</t>
        </r>
      </text>
    </comment>
    <comment ref="CQ56" authorId="11">
      <text>
        <r>
          <rPr>
            <sz val="10"/>
            <color indexed="81"/>
            <rFont val="Arial"/>
            <family val="2"/>
          </rPr>
          <t>8/22/13: expect to cloes 40-50 stores in the US
From the 3Q12 conference call -
&lt;Q - &gt;: What are the plans after this year for U.S. chain store closures?
&lt;A - Jonathan E. Ramsden&gt;: Well we’ve said 55 to 60 closures this year through natural lease expirations. We
previously said 180 stores from 2012 through 2015. That number is still in the ballpark. We just did another look at that recently. And we’re still in that range for total additional closures over the 2012 to 2015 period. So that would imply another 120 to 130 in 2013 through 2015.</t>
        </r>
      </text>
    </comment>
    <comment ref="CU56" authorId="11">
      <text>
        <r>
          <rPr>
            <b/>
            <sz val="8"/>
            <color indexed="81"/>
            <rFont val="Tahoma"/>
            <family val="2"/>
          </rPr>
          <t>nicholjs:</t>
        </r>
        <r>
          <rPr>
            <sz val="8"/>
            <color indexed="81"/>
            <rFont val="Tahoma"/>
            <family val="2"/>
          </rPr>
          <t xml:space="preserve">
6/8/2011: probably close 10 or so for the next several years (through natural lease expiration), at Piper conference</t>
        </r>
      </text>
    </comment>
    <comment ref="CY56" authorId="11">
      <text>
        <r>
          <rPr>
            <b/>
            <sz val="8"/>
            <color indexed="81"/>
            <rFont val="Tahoma"/>
            <family val="2"/>
          </rPr>
          <t>nicholjs:</t>
        </r>
        <r>
          <rPr>
            <sz val="8"/>
            <color indexed="81"/>
            <rFont val="Tahoma"/>
            <family val="2"/>
          </rPr>
          <t xml:space="preserve">
6/8/2011: probably close 10 or so for the next several years (through natural lease expiration), at Piper conference</t>
        </r>
      </text>
    </comment>
    <comment ref="DC56" authorId="0">
      <text>
        <r>
          <rPr>
            <b/>
            <sz val="8"/>
            <color indexed="81"/>
            <rFont val="Tahoma"/>
            <family val="2"/>
          </rPr>
          <t xml:space="preserve">3/2/16:  In addition, the company anticipates closing approximately 60 stores in the U.S. during the fiscal year through natural lease expirations. </t>
        </r>
        <r>
          <rPr>
            <sz val="8"/>
            <color indexed="81"/>
            <rFont val="Tahoma"/>
            <family val="2"/>
          </rPr>
          <t xml:space="preserve">
11/6/13: expect to cles 30-40 stores per year going forward</t>
        </r>
      </text>
    </comment>
    <comment ref="DG56" authorId="11">
      <text>
        <r>
          <rPr>
            <b/>
            <sz val="8"/>
            <color indexed="81"/>
            <rFont val="Tahoma"/>
            <family val="2"/>
          </rPr>
          <t>nicholjs:</t>
        </r>
        <r>
          <rPr>
            <sz val="8"/>
            <color indexed="81"/>
            <rFont val="Tahoma"/>
            <family val="2"/>
          </rPr>
          <t xml:space="preserve">
3/2/17: For 2017 we expect to close approximately 60 stores
in the US through natural lease expirations.</t>
        </r>
      </text>
    </comment>
    <comment ref="DK56" authorId="11">
      <text>
        <r>
          <rPr>
            <b/>
            <sz val="8"/>
            <color indexed="81"/>
            <rFont val="Tahoma"/>
            <family val="2"/>
          </rPr>
          <t>nicholjs:</t>
        </r>
        <r>
          <rPr>
            <sz val="8"/>
            <color indexed="81"/>
            <rFont val="Tahoma"/>
            <family val="2"/>
          </rPr>
          <t xml:space="preserve">
6/8/2011: probably close 10 or so for the next several years (through natural lease expiration), at Piper conference</t>
        </r>
      </text>
    </comment>
    <comment ref="DO56" authorId="11">
      <text>
        <r>
          <rPr>
            <b/>
            <sz val="8"/>
            <color indexed="81"/>
            <rFont val="Tahoma"/>
            <family val="2"/>
          </rPr>
          <t>nicholjs:</t>
        </r>
        <r>
          <rPr>
            <sz val="8"/>
            <color indexed="81"/>
            <rFont val="Tahoma"/>
            <family val="2"/>
          </rPr>
          <t xml:space="preserve">
6/8/2011: probably close 10 or so for the next several years (through natural lease expiration), at Piper conference</t>
        </r>
      </text>
    </comment>
    <comment ref="DS56" authorId="11">
      <text>
        <r>
          <rPr>
            <b/>
            <sz val="8"/>
            <color indexed="81"/>
            <rFont val="Tahoma"/>
            <family val="2"/>
          </rPr>
          <t>nicholjs:</t>
        </r>
        <r>
          <rPr>
            <sz val="8"/>
            <color indexed="81"/>
            <rFont val="Tahoma"/>
            <family val="2"/>
          </rPr>
          <t xml:space="preserve">
6/8/2011: probably close 10 or so for the next several years (through natural lease expiration), at Piper conference</t>
        </r>
      </text>
    </comment>
    <comment ref="DW56" authorId="11">
      <text>
        <r>
          <rPr>
            <b/>
            <sz val="8"/>
            <color indexed="81"/>
            <rFont val="Tahoma"/>
            <family val="2"/>
          </rPr>
          <t>nicholjs:</t>
        </r>
        <r>
          <rPr>
            <sz val="8"/>
            <color indexed="81"/>
            <rFont val="Tahoma"/>
            <family val="2"/>
          </rPr>
          <t xml:space="preserve">
6/8/2011: probably close 10 or so for the next several years (through natural lease expiration), at Piper conference</t>
        </r>
      </text>
    </comment>
    <comment ref="EA56" authorId="11">
      <text>
        <r>
          <rPr>
            <b/>
            <sz val="8"/>
            <color indexed="81"/>
            <rFont val="Tahoma"/>
            <family val="2"/>
          </rPr>
          <t>nicholjs:</t>
        </r>
        <r>
          <rPr>
            <sz val="8"/>
            <color indexed="81"/>
            <rFont val="Tahoma"/>
            <family val="2"/>
          </rPr>
          <t xml:space="preserve">
6/8/2011: probably close 10 or so for the next several years (through natural lease expiration), at Piper conference</t>
        </r>
      </text>
    </comment>
    <comment ref="U57" authorId="1">
      <text>
        <r>
          <rPr>
            <b/>
            <sz val="8"/>
            <color indexed="81"/>
            <rFont val="Tahoma"/>
            <family val="2"/>
          </rPr>
          <t>plejuez:</t>
        </r>
        <r>
          <rPr>
            <sz val="8"/>
            <color indexed="81"/>
            <rFont val="Tahoma"/>
            <family val="2"/>
          </rPr>
          <t xml:space="preserve">
541</t>
        </r>
      </text>
    </comment>
    <comment ref="Y57" authorId="1">
      <text>
        <r>
          <rPr>
            <b/>
            <sz val="8"/>
            <color indexed="81"/>
            <rFont val="Tahoma"/>
            <family val="2"/>
          </rPr>
          <t>plejuez:</t>
        </r>
        <r>
          <rPr>
            <sz val="8"/>
            <color indexed="81"/>
            <rFont val="Tahoma"/>
            <family val="2"/>
          </rPr>
          <t xml:space="preserve">
962 gross</t>
        </r>
      </text>
    </comment>
    <comment ref="AC57" authorId="1">
      <text>
        <r>
          <rPr>
            <b/>
            <sz val="8"/>
            <color indexed="81"/>
            <rFont val="Tahoma"/>
            <family val="2"/>
          </rPr>
          <t>plejuez:</t>
        </r>
        <r>
          <rPr>
            <sz val="8"/>
            <color indexed="81"/>
            <rFont val="Tahoma"/>
            <family val="2"/>
          </rPr>
          <t xml:space="preserve">
1229 gross</t>
        </r>
      </text>
    </comment>
    <comment ref="AG57" authorId="1">
      <text>
        <r>
          <rPr>
            <b/>
            <sz val="8"/>
            <color indexed="81"/>
            <rFont val="Tahoma"/>
            <family val="2"/>
          </rPr>
          <t>plejuez:</t>
        </r>
        <r>
          <rPr>
            <sz val="8"/>
            <color indexed="81"/>
            <rFont val="Tahoma"/>
            <family val="2"/>
          </rPr>
          <t xml:space="preserve">
1522 gross</t>
        </r>
      </text>
    </comment>
    <comment ref="AK57" authorId="1">
      <text>
        <r>
          <rPr>
            <b/>
            <sz val="8"/>
            <color indexed="81"/>
            <rFont val="Tahoma"/>
            <family val="2"/>
          </rPr>
          <t>plejuez:</t>
        </r>
        <r>
          <rPr>
            <sz val="8"/>
            <color indexed="81"/>
            <rFont val="Tahoma"/>
            <family val="2"/>
          </rPr>
          <t xml:space="preserve">
1791 gross</t>
        </r>
      </text>
    </comment>
    <comment ref="AO57" authorId="1">
      <text>
        <r>
          <rPr>
            <b/>
            <sz val="8"/>
            <color indexed="81"/>
            <rFont val="Tahoma"/>
            <family val="2"/>
          </rPr>
          <t>plejuez:</t>
        </r>
        <r>
          <rPr>
            <sz val="8"/>
            <color indexed="81"/>
            <rFont val="Tahoma"/>
            <family val="2"/>
          </rPr>
          <t xml:space="preserve">
2174 gross</t>
        </r>
      </text>
    </comment>
    <comment ref="AS57" authorId="1">
      <text>
        <r>
          <rPr>
            <b/>
            <sz val="8"/>
            <color indexed="81"/>
            <rFont val="Tahoma"/>
            <family val="2"/>
          </rPr>
          <t>plejuez:</t>
        </r>
        <r>
          <rPr>
            <sz val="8"/>
            <color indexed="81"/>
            <rFont val="Tahoma"/>
            <family val="2"/>
          </rPr>
          <t xml:space="preserve">
2279
2849 gross</t>
        </r>
      </text>
    </comment>
    <comment ref="AW57" authorId="1">
      <text>
        <r>
          <rPr>
            <b/>
            <sz val="8"/>
            <color indexed="81"/>
            <rFont val="Tahoma"/>
            <family val="2"/>
          </rPr>
          <t>plejuez:</t>
        </r>
        <r>
          <rPr>
            <sz val="8"/>
            <color indexed="81"/>
            <rFont val="Tahoma"/>
            <family val="2"/>
          </rPr>
          <t xml:space="preserve">
3673 gross</t>
        </r>
      </text>
    </comment>
    <comment ref="BA57" authorId="1">
      <text>
        <r>
          <rPr>
            <b/>
            <sz val="8"/>
            <color indexed="81"/>
            <rFont val="Tahoma"/>
            <family val="2"/>
          </rPr>
          <t>plejuez:</t>
        </r>
        <r>
          <rPr>
            <sz val="8"/>
            <color indexed="81"/>
            <rFont val="Tahoma"/>
            <family val="2"/>
          </rPr>
          <t xml:space="preserve">
 needs to be4503
2/18/03: per co: 4,358 total
ACTUAL</t>
        </r>
      </text>
    </comment>
    <comment ref="BO57" authorId="15">
      <text>
        <r>
          <rPr>
            <b/>
            <sz val="8"/>
            <color indexed="81"/>
            <rFont val="Tahoma"/>
            <family val="2"/>
          </rPr>
          <t>Corinna Freedman:</t>
        </r>
        <r>
          <rPr>
            <sz val="8"/>
            <color indexed="81"/>
            <rFont val="Tahoma"/>
            <family val="2"/>
          </rPr>
          <t xml:space="preserve">
11/15: 90 new stores</t>
        </r>
      </text>
    </comment>
    <comment ref="BY57" authorId="3">
      <text>
        <r>
          <rPr>
            <b/>
            <sz val="8"/>
            <color indexed="81"/>
            <rFont val="Tahoma"/>
            <family val="2"/>
          </rPr>
          <t>mm98285:</t>
        </r>
        <r>
          <rPr>
            <sz val="8"/>
            <color indexed="81"/>
            <rFont val="Tahoma"/>
            <family val="2"/>
          </rPr>
          <t xml:space="preserve">
10K expect to add ~760K sq. ft. or an increase of ~10%</t>
        </r>
      </text>
    </comment>
    <comment ref="CQ57" authorId="0">
      <text>
        <r>
          <rPr>
            <b/>
            <sz val="8"/>
            <color indexed="81"/>
            <rFont val="Tahoma"/>
            <family val="2"/>
          </rPr>
          <t>casselau:</t>
        </r>
        <r>
          <rPr>
            <sz val="8"/>
            <color indexed="81"/>
            <rFont val="Tahoma"/>
            <family val="2"/>
          </rPr>
          <t xml:space="preserve">
843 US, 18 Canada, Europe 124, Asia 21</t>
        </r>
      </text>
    </comment>
    <comment ref="CU57" authorId="0">
      <text>
        <r>
          <rPr>
            <b/>
            <sz val="9"/>
            <color indexed="81"/>
            <rFont val="Tahoma"/>
            <family val="2"/>
          </rPr>
          <t>casselau:</t>
        </r>
        <r>
          <rPr>
            <sz val="9"/>
            <color indexed="81"/>
            <rFont val="Tahoma"/>
            <family val="2"/>
          </rPr>
          <t xml:space="preserve">
799 US, 170 international</t>
        </r>
      </text>
    </comment>
    <comment ref="DC57" authorId="6">
      <text>
        <r>
          <rPr>
            <b/>
            <sz val="9"/>
            <color indexed="81"/>
            <rFont val="Tahoma"/>
            <family val="2"/>
          </rPr>
          <t>Cassel, Lauren (Research):</t>
        </r>
        <r>
          <rPr>
            <sz val="9"/>
            <color indexed="81"/>
            <rFont val="Tahoma"/>
            <family val="2"/>
          </rPr>
          <t xml:space="preserve">
709 US, 189 Intl</t>
        </r>
      </text>
    </comment>
    <comment ref="DG57" authorId="6">
      <text>
        <r>
          <rPr>
            <b/>
            <sz val="9"/>
            <color indexed="81"/>
            <rFont val="Tahoma"/>
            <family val="2"/>
          </rPr>
          <t xml:space="preserve">Cassel, Lauren (Research):
8/24/17: </t>
        </r>
        <r>
          <rPr>
            <sz val="9"/>
            <color indexed="81"/>
            <rFont val="Tahoma"/>
            <family val="2"/>
          </rPr>
          <t xml:space="preserve">The company expects to open </t>
        </r>
        <r>
          <rPr>
            <b/>
            <sz val="9"/>
            <color indexed="81"/>
            <rFont val="Tahoma"/>
            <family val="2"/>
          </rPr>
          <t xml:space="preserve">seven new stores </t>
        </r>
        <r>
          <rPr>
            <sz val="9"/>
            <color indexed="81"/>
            <rFont val="Tahoma"/>
            <family val="2"/>
          </rPr>
          <t xml:space="preserve">in fiscal 2017, primarily in the U.S. The company also plans to open </t>
        </r>
        <r>
          <rPr>
            <b/>
            <sz val="9"/>
            <color indexed="81"/>
            <rFont val="Tahoma"/>
            <family val="2"/>
          </rPr>
          <t xml:space="preserve">two new outlet stores. </t>
        </r>
        <r>
          <rPr>
            <sz val="9"/>
            <color indexed="81"/>
            <rFont val="Tahoma"/>
            <family val="2"/>
          </rPr>
          <t xml:space="preserve">In addition, the company anticipates </t>
        </r>
        <r>
          <rPr>
            <b/>
            <sz val="9"/>
            <color indexed="81"/>
            <rFont val="Tahoma"/>
            <family val="2"/>
          </rPr>
          <t xml:space="preserve">closing approximately 60 stores in the U.S. </t>
        </r>
        <r>
          <rPr>
            <sz val="9"/>
            <color indexed="81"/>
            <rFont val="Tahoma"/>
            <family val="2"/>
          </rPr>
          <t>during the fiscal year through natural lease expirations.</t>
        </r>
        <r>
          <rPr>
            <b/>
            <sz val="9"/>
            <color indexed="81"/>
            <rFont val="Tahoma"/>
            <family val="2"/>
          </rPr>
          <t xml:space="preserve">
</t>
        </r>
        <r>
          <rPr>
            <sz val="9"/>
            <color indexed="81"/>
            <rFont val="Tahoma"/>
            <family val="2"/>
          </rPr>
          <t xml:space="preserve">
3/2/17: The company plans to </t>
        </r>
        <r>
          <rPr>
            <b/>
            <sz val="9"/>
            <color indexed="81"/>
            <rFont val="Tahoma"/>
            <family val="2"/>
          </rPr>
          <t xml:space="preserve">open six full-price stores in fiscal 2017, including four in the U.S. and two in international markets. </t>
        </r>
        <r>
          <rPr>
            <sz val="9"/>
            <color indexed="81"/>
            <rFont val="Tahoma"/>
            <family val="2"/>
          </rPr>
          <t xml:space="preserve">The company also plans to open </t>
        </r>
        <r>
          <rPr>
            <b/>
            <sz val="9"/>
            <color indexed="81"/>
            <rFont val="Tahoma"/>
            <family val="2"/>
          </rPr>
          <t>two new outlet stores.</t>
        </r>
        <r>
          <rPr>
            <sz val="9"/>
            <color indexed="81"/>
            <rFont val="Tahoma"/>
            <family val="2"/>
          </rPr>
          <t xml:space="preserve"> In addition, the company anticipates closing approximately </t>
        </r>
        <r>
          <rPr>
            <b/>
            <sz val="9"/>
            <color indexed="81"/>
            <rFont val="Tahoma"/>
            <family val="2"/>
          </rPr>
          <t xml:space="preserve">60 stores in the U.S. </t>
        </r>
        <r>
          <rPr>
            <sz val="9"/>
            <color indexed="81"/>
            <rFont val="Tahoma"/>
            <family val="2"/>
          </rPr>
          <t>during the fiscal year through natural lease expirations.</t>
        </r>
      </text>
    </comment>
    <comment ref="BM58" authorId="15">
      <text>
        <r>
          <rPr>
            <b/>
            <sz val="8"/>
            <color indexed="81"/>
            <rFont val="Tahoma"/>
            <family val="2"/>
          </rPr>
          <t>Corinna Freedman:</t>
        </r>
        <r>
          <rPr>
            <sz val="8"/>
            <color indexed="81"/>
            <rFont val="Tahoma"/>
            <family val="2"/>
          </rPr>
          <t xml:space="preserve">
11/15: sq ftge +8% vs 2004</t>
        </r>
      </text>
    </comment>
    <comment ref="BQ58" authorId="15">
      <text>
        <r>
          <rPr>
            <b/>
            <sz val="8"/>
            <color indexed="81"/>
            <rFont val="Tahoma"/>
            <family val="2"/>
          </rPr>
          <t>Corinna Freedman:</t>
        </r>
        <r>
          <rPr>
            <sz val="8"/>
            <color indexed="81"/>
            <rFont val="Tahoma"/>
            <family val="2"/>
          </rPr>
          <t xml:space="preserve">
11/15: exp sq ftge +10% vs 05</t>
        </r>
      </text>
    </comment>
  </commentList>
</comments>
</file>

<file path=xl/comments9.xml><?xml version="1.0" encoding="utf-8"?>
<comments xmlns="http://schemas.openxmlformats.org/spreadsheetml/2006/main">
  <authors>
    <author>casselau</author>
    <author>mm98285</author>
    <author>Brian Lloyd</author>
    <author>dliu</author>
  </authors>
  <commentList>
    <comment ref="AU9" authorId="0">
      <text>
        <r>
          <rPr>
            <b/>
            <sz val="9"/>
            <color indexed="81"/>
            <rFont val="Tahoma"/>
            <family val="2"/>
          </rPr>
          <t>casselau:</t>
        </r>
        <r>
          <rPr>
            <sz val="9"/>
            <color indexed="81"/>
            <rFont val="Tahoma"/>
            <family val="2"/>
          </rPr>
          <t xml:space="preserve">
11/20/15: like to have $300-350M cash balance</t>
        </r>
      </text>
    </comment>
    <comment ref="AG10" authorId="1">
      <text>
        <r>
          <rPr>
            <b/>
            <sz val="8"/>
            <color indexed="81"/>
            <rFont val="Tahoma"/>
            <family val="2"/>
          </rPr>
          <t>mm98285:</t>
        </r>
        <r>
          <rPr>
            <sz val="8"/>
            <color indexed="81"/>
            <rFont val="Tahoma"/>
            <family val="2"/>
          </rPr>
          <t xml:space="preserve">
ARS write down to fair value</t>
        </r>
      </text>
    </comment>
    <comment ref="Q13" authorId="2">
      <text>
        <r>
          <rPr>
            <b/>
            <sz val="8"/>
            <color indexed="81"/>
            <rFont val="Tahoma"/>
            <family val="2"/>
          </rPr>
          <t>Brian Lloyd:</t>
        </r>
        <r>
          <rPr>
            <sz val="8"/>
            <color indexed="81"/>
            <rFont val="Tahoma"/>
            <family val="2"/>
          </rPr>
          <t xml:space="preserve">
17.817 store supplies
11.338 other
</t>
        </r>
      </text>
    </comment>
    <comment ref="AM13" authorId="0">
      <text>
        <r>
          <rPr>
            <b/>
            <sz val="8"/>
            <color indexed="81"/>
            <rFont val="Tahoma"/>
            <family val="2"/>
          </rPr>
          <t xml:space="preserve">Deferred income taxes and other current assets </t>
        </r>
      </text>
    </comment>
    <comment ref="AG26" authorId="1">
      <text>
        <r>
          <rPr>
            <b/>
            <sz val="8"/>
            <color indexed="81"/>
            <rFont val="Tahoma"/>
            <family val="2"/>
          </rPr>
          <t>mm98285:</t>
        </r>
        <r>
          <rPr>
            <sz val="8"/>
            <color indexed="81"/>
            <rFont val="Tahoma"/>
            <family val="2"/>
          </rPr>
          <t xml:space="preserve">
ARS marked as non-current</t>
        </r>
      </text>
    </comment>
    <comment ref="Q33" authorId="3">
      <text>
        <r>
          <rPr>
            <b/>
            <sz val="8"/>
            <color indexed="81"/>
            <rFont val="Tahoma"/>
            <family val="2"/>
          </rPr>
          <t>dliu:</t>
        </r>
        <r>
          <rPr>
            <sz val="8"/>
            <color indexed="81"/>
            <rFont val="Tahoma"/>
            <family val="2"/>
          </rPr>
          <t xml:space="preserve">
18.216 is a plug - see flow tab cell N44</t>
        </r>
      </text>
    </comment>
    <comment ref="AG42" authorId="1">
      <text>
        <r>
          <rPr>
            <b/>
            <sz val="8"/>
            <color indexed="81"/>
            <rFont val="Tahoma"/>
            <family val="2"/>
          </rPr>
          <t>mm98285:</t>
        </r>
        <r>
          <rPr>
            <sz val="8"/>
            <color indexed="81"/>
            <rFont val="Tahoma"/>
            <family val="2"/>
          </rPr>
          <t xml:space="preserve">
3/09: avg interest rate of 3.1% in 2008 (or 2.7% at 1/31/09) on the $100M outstanding under its unsecured credit agreement (add'l $350M remains available) &amp; expires 4/12/2013</t>
        </r>
      </text>
    </comment>
    <comment ref="AM42" authorId="0">
      <text>
        <r>
          <rPr>
            <b/>
            <sz val="8"/>
            <color indexed="81"/>
            <rFont val="Tahoma"/>
            <family val="2"/>
          </rPr>
          <t>leasehold financing obligations</t>
        </r>
      </text>
    </comment>
    <comment ref="AO42" authorId="0">
      <text>
        <r>
          <rPr>
            <b/>
            <sz val="8"/>
            <color indexed="81"/>
            <rFont val="Tahoma"/>
            <family val="2"/>
          </rPr>
          <t>leasehold financing obligations</t>
        </r>
      </text>
    </comment>
    <comment ref="AQ42" authorId="0">
      <text>
        <r>
          <rPr>
            <b/>
            <sz val="9"/>
            <color indexed="81"/>
            <rFont val="Tahoma"/>
            <family val="2"/>
          </rPr>
          <t>casselau:</t>
        </r>
        <r>
          <rPr>
            <sz val="9"/>
            <color indexed="81"/>
            <rFont val="Tahoma"/>
            <family val="2"/>
          </rPr>
          <t xml:space="preserve">
120M long-term portion of borrowings; 60.726M leasehold financing obligations</t>
        </r>
      </text>
    </comment>
    <comment ref="AS42" authorId="0">
      <text>
        <r>
          <rPr>
            <b/>
            <sz val="9"/>
            <color indexed="81"/>
            <rFont val="Tahoma"/>
            <family val="2"/>
          </rPr>
          <t>casselau:</t>
        </r>
        <r>
          <rPr>
            <sz val="9"/>
            <color indexed="81"/>
            <rFont val="Tahoma"/>
            <family val="2"/>
          </rPr>
          <t xml:space="preserve">
7/14/14: The new credit facilities are expected to consist of a $400 million Asset-Based Revolving Credit Facility and a $325 million Term Loan B maturing five and seven years after the closing date, respectively. The Company does not expect, other than for an immaterial amount of outstanding letters of credit, to draw down on the Asset-Based Revolving Credit Facility at closing.</t>
        </r>
      </text>
    </comment>
    <comment ref="AG53" authorId="1">
      <text>
        <r>
          <rPr>
            <b/>
            <sz val="8"/>
            <color indexed="81"/>
            <rFont val="Tahoma"/>
            <family val="2"/>
          </rPr>
          <t>mm98285:</t>
        </r>
        <r>
          <rPr>
            <sz val="8"/>
            <color indexed="81"/>
            <rFont val="Tahoma"/>
            <family val="2"/>
          </rPr>
          <t xml:space="preserve">
ARS write down to fair value</t>
        </r>
      </text>
    </comment>
    <comment ref="B93" authorId="1">
      <text>
        <r>
          <rPr>
            <b/>
            <sz val="8"/>
            <color indexed="81"/>
            <rFont val="Tahoma"/>
            <family val="2"/>
          </rPr>
          <t>mm98285:</t>
        </r>
        <r>
          <rPr>
            <sz val="8"/>
            <color indexed="81"/>
            <rFont val="Tahoma"/>
            <family val="2"/>
          </rPr>
          <t xml:space="preserve">
Adjusted Total Debt includes long-term debt, outstanding standby letters of credit and 600% of forward minimum rent commitments.
Consolidated EBITDAR includes consolidated net income, interest expense, income tax expense, depreciation and amortization, minimum rent, contingent rent, non-cash compensation charges and interest income.
</t>
        </r>
      </text>
    </comment>
    <comment ref="B94" authorId="1">
      <text>
        <r>
          <rPr>
            <b/>
            <sz val="8"/>
            <color indexed="81"/>
            <rFont val="Tahoma"/>
            <family val="2"/>
          </rPr>
          <t>mm98285:</t>
        </r>
        <r>
          <rPr>
            <sz val="8"/>
            <color indexed="81"/>
            <rFont val="Tahoma"/>
            <family val="2"/>
          </rPr>
          <t xml:space="preserve">
Consolidated EBITDAR (2)
Net Interest Expense + Long Term Debt due in One Year + Minimum Rent + Contingent Rent
</t>
        </r>
      </text>
    </comment>
  </commentList>
</comments>
</file>

<file path=xl/comments10.xml><?xml version="1.0" encoding="utf-8"?>
<comments xmlns="http://schemas.openxmlformats.org/spreadsheetml/2006/main">
  <authors>
    <author>Lehman Brothers</author>
    <author>oc48540</author>
    <author>mm98285</author>
    <author>plejuez</author>
    <author>Kimberly Greenberger</author>
    <author>MB33100</author>
    <author>nicholjs</author>
    <author>casselau</author>
    <author>Cassel, Lauren (Research)</author>
    <author>Roberts, Cynthia (Research)</author>
    <author>solejay</author>
    <author>dliu</author>
  </authors>
  <commentList>
    <comment ref="D10" authorId="0">
      <text>
        <r>
          <rPr>
            <b/>
            <sz val="8"/>
            <color indexed="81"/>
            <rFont val="Tahoma"/>
            <family val="2"/>
          </rPr>
          <t>Lehman Brothers:</t>
        </r>
        <r>
          <rPr>
            <sz val="8"/>
            <color indexed="81"/>
            <rFont val="Tahoma"/>
            <family val="2"/>
          </rPr>
          <t xml:space="preserve">
unadjusted for IPO and interest expense on seasonal borrowing and credit agreement: what's reported in qorfa is adjusted: $10.8 mm</t>
        </r>
      </text>
    </comment>
    <comment ref="X10" authorId="1">
      <text>
        <r>
          <rPr>
            <b/>
            <sz val="8"/>
            <color indexed="81"/>
            <rFont val="Tahoma"/>
            <family val="2"/>
          </rPr>
          <t>oc48540:</t>
        </r>
        <r>
          <rPr>
            <sz val="8"/>
            <color indexed="81"/>
            <rFont val="Tahoma"/>
            <family val="2"/>
          </rPr>
          <t xml:space="preserve">
Ties to GAAP, lower number than on P&amp;L because includes non-recurring charge</t>
        </r>
      </text>
    </comment>
    <comment ref="AD10" authorId="2">
      <text>
        <r>
          <rPr>
            <b/>
            <sz val="8"/>
            <color indexed="81"/>
            <rFont val="Tahoma"/>
            <family val="2"/>
          </rPr>
          <t>mm98285:</t>
        </r>
        <r>
          <rPr>
            <sz val="8"/>
            <color indexed="81"/>
            <rFont val="Tahoma"/>
            <family val="2"/>
          </rPr>
          <t xml:space="preserve">
subtract 4Q $30.6M impairment charge after tax that was excluded on qtrP&amp;L</t>
        </r>
      </text>
    </comment>
    <comment ref="R11" authorId="3">
      <text>
        <r>
          <rPr>
            <b/>
            <sz val="8"/>
            <color indexed="81"/>
            <rFont val="Tahoma"/>
            <family val="2"/>
          </rPr>
          <t>plejuez:</t>
        </r>
        <r>
          <rPr>
            <sz val="8"/>
            <color indexed="81"/>
            <rFont val="Tahoma"/>
            <family val="2"/>
          </rPr>
          <t xml:space="preserve">
44-45 per 3q cc
56 per 2Q02 conf. call</t>
        </r>
      </text>
    </comment>
    <comment ref="V11" authorId="4">
      <text>
        <r>
          <rPr>
            <b/>
            <sz val="8"/>
            <color indexed="81"/>
            <rFont val="Tahoma"/>
            <family val="2"/>
          </rPr>
          <t>Kimberly Greenberger:</t>
        </r>
        <r>
          <rPr>
            <sz val="8"/>
            <color indexed="81"/>
            <rFont val="Tahoma"/>
            <family val="2"/>
          </rPr>
          <t xml:space="preserve">
$80 mm ish per Tom 7/04</t>
        </r>
      </text>
    </comment>
    <comment ref="F15" authorId="0">
      <text>
        <r>
          <rPr>
            <b/>
            <sz val="8"/>
            <color indexed="81"/>
            <rFont val="Tahoma"/>
            <family val="2"/>
          </rPr>
          <t>Lehman Brothers:</t>
        </r>
        <r>
          <rPr>
            <sz val="8"/>
            <color indexed="81"/>
            <rFont val="Tahoma"/>
            <family val="2"/>
          </rPr>
          <t xml:space="preserve">
this is a plug to make up the difference between reported net inc. in 10-K and the number from qorfa.</t>
        </r>
      </text>
    </comment>
    <comment ref="R21" authorId="3">
      <text>
        <r>
          <rPr>
            <b/>
            <sz val="10"/>
            <color indexed="81"/>
            <rFont val="Tahoma"/>
            <family val="2"/>
          </rPr>
          <t>plejuez:</t>
        </r>
        <r>
          <rPr>
            <sz val="10"/>
            <color indexed="81"/>
            <rFont val="Tahoma"/>
            <family val="2"/>
          </rPr>
          <t xml:space="preserve">
105-115 per 4q01 call and 2q02 call. 10 mm extra for D.C. expansion
2/18/03: had 110, came in actual at 93 mm</t>
        </r>
      </text>
    </comment>
    <comment ref="T21" authorId="0">
      <text>
        <r>
          <rPr>
            <b/>
            <sz val="10"/>
            <color indexed="81"/>
            <rFont val="Tahoma"/>
            <family val="2"/>
          </rPr>
          <t>Lehman Brothers:</t>
        </r>
        <r>
          <rPr>
            <sz val="10"/>
            <color indexed="81"/>
            <rFont val="Tahoma"/>
            <family val="2"/>
          </rPr>
          <t xml:space="preserve">
guidance for FY03 capex on 3Q02 conf. Call
2/18/03 4Q cc: gdce 120-130 mm. Majority for new stores, $50 mm for infrastructure investments (D.C. expansion and POS system, also additional home office space to accommodate growth of Hollister). 3Q conf call - 115-120 mm</t>
        </r>
      </text>
    </comment>
    <comment ref="V21" authorId="4">
      <text>
        <r>
          <rPr>
            <b/>
            <sz val="8"/>
            <color indexed="81"/>
            <rFont val="Tahoma"/>
            <family val="2"/>
          </rPr>
          <t>Kimberly Greenberger:</t>
        </r>
        <r>
          <rPr>
            <sz val="8"/>
            <color indexed="81"/>
            <rFont val="Tahoma"/>
            <family val="2"/>
          </rPr>
          <t xml:space="preserve">
11/04 guided to $130-135mm up from prior guidance of $125-135mm. Raised est $130mm to $135mm
</t>
        </r>
        <r>
          <rPr>
            <b/>
            <u/>
            <sz val="8"/>
            <color indexed="81"/>
            <rFont val="Tahoma"/>
            <family val="2"/>
          </rPr>
          <t>10-K 2006</t>
        </r>
        <r>
          <rPr>
            <sz val="8"/>
            <color indexed="81"/>
            <rFont val="Tahoma"/>
            <family val="2"/>
          </rPr>
          <t xml:space="preserve">
$169.7m used for store related projects, including new store construction, remodels, conversions and other projects.
Remaining $15.4m used for projects at the home office, including home office improvements, information technology investments, DC improvements and other projects.</t>
        </r>
      </text>
    </comment>
    <comment ref="X21" authorId="4">
      <text>
        <r>
          <rPr>
            <sz val="8"/>
            <color indexed="81"/>
            <rFont val="Tahoma"/>
            <family val="2"/>
          </rPr>
          <t>11/15: 270-280m
on 1Q conf call guided to 250-275mm</t>
        </r>
        <r>
          <rPr>
            <b/>
            <sz val="8"/>
            <color indexed="81"/>
            <rFont val="Tahoma"/>
            <family val="2"/>
          </rPr>
          <t xml:space="preserve">
</t>
        </r>
        <r>
          <rPr>
            <sz val="8"/>
            <color indexed="81"/>
            <rFont val="Tahoma"/>
            <family val="2"/>
          </rPr>
          <t xml:space="preserve">
on 4Q04 conf call, mgmt indicated $225-250 capex in 2005 for new stores, remodels, and HQ.
</t>
        </r>
        <r>
          <rPr>
            <b/>
            <u/>
            <sz val="8"/>
            <color indexed="81"/>
            <rFont val="Tahoma"/>
            <family val="2"/>
          </rPr>
          <t>10-K 2006</t>
        </r>
        <r>
          <rPr>
            <sz val="8"/>
            <color indexed="81"/>
            <rFont val="Tahoma"/>
            <family val="2"/>
          </rPr>
          <t xml:space="preserve">
$204.7m was used for store related projects, including new store
construction, remodels, conversions and other projects. 
Remaining $51.7m was used for projects at the home office, including home office expansion, information technology investments, DC mprovements and other projects.</t>
        </r>
      </text>
    </comment>
    <comment ref="Z21" authorId="5">
      <text>
        <r>
          <rPr>
            <b/>
            <sz val="8"/>
            <color indexed="81"/>
            <rFont val="Tahoma"/>
            <family val="2"/>
          </rPr>
          <t>MB33100:</t>
        </r>
        <r>
          <rPr>
            <sz val="8"/>
            <color indexed="81"/>
            <rFont val="Tahoma"/>
            <family val="2"/>
          </rPr>
          <t xml:space="preserve">
11/06 guided to $410-$420mm
8/06: guide to $400-$420
2/06 guided to $405-415 on 4Q conf release
</t>
        </r>
        <r>
          <rPr>
            <b/>
            <u/>
            <sz val="8"/>
            <color indexed="81"/>
            <rFont val="Tahoma"/>
            <family val="2"/>
          </rPr>
          <t xml:space="preserve">10-K 2006
</t>
        </r>
        <r>
          <rPr>
            <sz val="8"/>
            <color indexed="81"/>
            <rFont val="Tahoma"/>
            <family val="2"/>
          </rPr>
          <t>$253.7m used for store related projects related to store refresh, new construction, remodels and conversions, including approximately $40 million related to the refresh of existing Abercrombie &amp;
Fitch, abercrombie and Hollister stores. 
Remaining $149.8 million was used for projects at the home office, including the new DC, home office expansion,IT investments and other projects.</t>
        </r>
      </text>
    </comment>
    <comment ref="AB21" authorId="5">
      <text>
        <r>
          <rPr>
            <b/>
            <sz val="8"/>
            <color indexed="81"/>
            <rFont val="Tahoma"/>
            <family val="2"/>
          </rPr>
          <t xml:space="preserve">mm98285:
</t>
        </r>
        <r>
          <rPr>
            <sz val="8"/>
            <color indexed="81"/>
            <rFont val="Tahoma"/>
            <family val="2"/>
          </rPr>
          <t xml:space="preserve">10K: $252.8 for stores, $150.5mm for home office expansion, DC, IT, airplane, other
1Q-3Q: $303.1M
</t>
        </r>
        <r>
          <rPr>
            <b/>
            <sz val="8"/>
            <color indexed="81"/>
            <rFont val="Tahoma"/>
            <family val="2"/>
          </rPr>
          <t xml:space="preserve">
Oliver Chen:</t>
        </r>
        <r>
          <rPr>
            <sz val="8"/>
            <color indexed="81"/>
            <rFont val="Tahoma"/>
            <family val="2"/>
          </rPr>
          <t xml:space="preserve">
Reaffirm: $395-405mm in 2Q07 call
'06-10K: anticp $395-$405: $220m new store construction/full store remodels, $60m refresh existing stores, $85m capex home office
$35m to buy an airplane
---Raised from $365 (4Q earnings call) to $400 based on March decision to add airplane
2/07: expect $360-$370; won't have the $100mm from DC LY, so should go down</t>
        </r>
      </text>
    </comment>
    <comment ref="AD21" authorId="2">
      <text>
        <r>
          <rPr>
            <b/>
            <sz val="8"/>
            <color indexed="81"/>
            <rFont val="Tahoma"/>
            <family val="2"/>
          </rPr>
          <t xml:space="preserve">mm98285:
</t>
        </r>
        <r>
          <rPr>
            <sz val="8"/>
            <color indexed="81"/>
            <rFont val="Tahoma"/>
            <family val="2"/>
          </rPr>
          <t xml:space="preserve">10K: $367.6M with $286.4M for store related projects (new construction, remodels, conversions, refreshes); $81.2M used for home office &amp; DCs (incl home office expansion, IT investments and other projects)
</t>
        </r>
        <r>
          <rPr>
            <b/>
            <sz val="8"/>
            <color indexed="81"/>
            <rFont val="Tahoma"/>
            <family val="2"/>
          </rPr>
          <t xml:space="preserve">
</t>
        </r>
        <r>
          <rPr>
            <sz val="8"/>
            <color indexed="81"/>
            <rFont val="Tahoma"/>
            <family val="2"/>
          </rPr>
          <t xml:space="preserve">11/08: $390-$395mm ($260M new store construction &amp; remodels, $50M store refresh, $80-850M HQ, IT, DTC invm'ts)
</t>
        </r>
        <r>
          <rPr>
            <b/>
            <sz val="8"/>
            <color indexed="81"/>
            <rFont val="Tahoma"/>
            <family val="2"/>
          </rPr>
          <t xml:space="preserve">
</t>
        </r>
        <r>
          <rPr>
            <sz val="8"/>
            <color indexed="81"/>
            <rFont val="Tahoma"/>
            <family val="2"/>
          </rPr>
          <t xml:space="preserve">1Q: $91.176; 2Q: $109.032; 3Q: $98.301mm (3Q YTD $298.509M)
2Q 10Q: guide to $405-$410M; ~$285M for new store construction and full store remodels; ~$50M for existing store refresh incl. new floors, sound systems and fixture replacements at A&amp;F and kid's stores, as well as the addition of video walls and refitting of lighting and shelving for personal care rollout at Hollister; $70-$75 for home office, infrastructure, IT &amp; DC
5/16/08: $410-$415mm ($290mm for new store construction &amp; store remodels, $50mm for "refresh" improvements and other brand enhancing investments for existing stores, $70-75 for HQ, IT, DTC infrastructure investments)
</t>
        </r>
        <r>
          <rPr>
            <sz val="8"/>
            <color indexed="81"/>
            <rFont val="Tahoma"/>
            <family val="2"/>
          </rPr>
          <t xml:space="preserve">
2/08: $420-$425 ($230 new NA stores, $55 int'l stores, $15 remodels, $50 refresh, $47 IT, $26 HQ)</t>
        </r>
      </text>
    </comment>
    <comment ref="AF21" authorId="2">
      <text>
        <r>
          <rPr>
            <sz val="8"/>
            <color indexed="81"/>
            <rFont val="Tahoma"/>
            <family val="2"/>
          </rPr>
          <t>9/09: $185mm ($140mm new stores and $45mm IT, DC, Home office)</t>
        </r>
        <r>
          <rPr>
            <b/>
            <sz val="8"/>
            <color indexed="81"/>
            <rFont val="Tahoma"/>
            <family val="2"/>
          </rPr>
          <t xml:space="preserve">
mm98285:</t>
        </r>
        <r>
          <rPr>
            <sz val="8"/>
            <color indexed="81"/>
            <rFont val="Tahoma"/>
            <family val="2"/>
          </rPr>
          <t xml:space="preserve">
5/09: $200M ($155 for new stores/refreshes; $45 IT, DC, HQ)
reduction from the previous estimate of capital expenditures of $200 million is primarily the result of net reductions in construction costs related to 2009 store openings, timing effects related to 2010 store openings and reductions and postponement of non-essential projects related to existing stores.
10K: $170-$180M (~$125-$130M for new store construction, full store remodels &amp; store refreshes incl. $75M for flagship construction; ~$45-$50M at home office related to IT investments, new DTC distribution and logistics systems and other home office projects)
2/09: $165-$175M (including $120-$125m related to new stores, refreshes and remodels; $45-$50 related to IT, DC and HQ projects)
reduction from cut back in store openings, assume ~$50mm less in store openings</t>
        </r>
      </text>
    </comment>
    <comment ref="AH21" authorId="1">
      <text>
        <r>
          <rPr>
            <sz val="8"/>
            <color indexed="81"/>
            <rFont val="Tahoma"/>
            <family val="2"/>
          </rPr>
          <t>11/2010: expects ~$190mm w/ $140mm store related and $50mm IT, home office, and DC
8/2010: expects ~$200mm, including ~$160mm store related and ~$40mm for IT, home office, and DC
5/2010: company now expects capex to be in the range of $200 to $225, including $165 to $190 related to new stores, store refreshes, and approx $35 related to IT, DC, and other home office projects</t>
        </r>
        <r>
          <rPr>
            <b/>
            <sz val="8"/>
            <color indexed="81"/>
            <rFont val="Tahoma"/>
            <family val="2"/>
          </rPr>
          <t xml:space="preserve">
oc48540:</t>
        </r>
        <r>
          <rPr>
            <sz val="8"/>
            <color indexed="81"/>
            <rFont val="Tahoma"/>
            <family val="2"/>
          </rPr>
          <t xml:space="preserve">
The company expects capital expenditures to be in the range of $250-260mm, including $215-225mm  related to new stores, store refreshes and remodels and ~$35mm related to information technology, distribution center and other home office projects.</t>
        </r>
      </text>
    </comment>
    <comment ref="AJ21" authorId="6">
      <text>
        <r>
          <rPr>
            <sz val="8"/>
            <color indexed="81"/>
            <rFont val="Tahoma"/>
            <family val="2"/>
          </rPr>
          <t>2/15/2012: Fiscal 2011 total capital expenditures were $316.6 million, which consisted of approximately $256 million for new stores, store refreshes and remodels, and approximately $60 million related to information technology, distribution center and other home office projects.</t>
        </r>
        <r>
          <rPr>
            <sz val="8"/>
            <color indexed="81"/>
            <rFont val="Tahoma"/>
            <family val="2"/>
          </rPr>
          <t xml:space="preserve">
3Q11 (11/2011): expects ~$350
2Q 10Q: expects ~$350
1Q 10Q: expects ~$350
5/18: expects $350, predominately related to new stores, store refreshes, and remodels
10K: During Fiscal 2011, based on new store opening plans and other capital expenditures,  expects total capital expenditures to be
$300 million to $350 million, with the upper end of the range being subject to the Company achieving the higher end of its range of potential new store openings, including commitments for 2012 openings.
expect $300mm
10K: We are in the process of consolidating our two distribution centers in New Albany into one, with an expected completion date in mid-2012. This consolidation requires management's focus and attention, as well as significant capital investments.</t>
        </r>
      </text>
    </comment>
    <comment ref="AL21" authorId="6">
      <text>
        <r>
          <rPr>
            <sz val="8"/>
            <color indexed="81"/>
            <rFont val="Tahoma"/>
            <family val="2"/>
          </rPr>
          <t>2/22/13: $340M total; $245M for new stores, store refreshse and remodels, and $95M related to IT, distribution center and other home office projects
8/15/12 guidance: $360
5/16/12 - $400
8/2011: could be higher than 2011, since have more int'l flagship openings this year vs. LY</t>
        </r>
      </text>
    </comment>
    <comment ref="AN21" authorId="6">
      <text>
        <r>
          <rPr>
            <sz val="8"/>
            <color indexed="81"/>
            <rFont val="Tahoma"/>
            <family val="2"/>
          </rPr>
          <t xml:space="preserve">2/26/14: $100M for new stores, store refreshes and remodels and $63M related to IT, DC, and other home office projects
2/22/13: expect $200M (predominately related to new stores and investments in IT intiatives)
8/15/12 guidance: $200 (ANF calls this the normalized run rate)
Strategic changes:
  * A reduction in the expected number of fiscal 2012 international Hollister Co. chain store openings to approximately 30 stores from a previous     expectation of close to 40 stores.  
  * A pause in new flagship store commitments, other than a planned Shanghai location. 
  * A reduced run rate for future international chain store openings, with a    focus on under-penetrated markets where cannibalization effects are     expected to be minimal, and subject to continued approval on a store by store basis.  
</t>
        </r>
      </text>
    </comment>
    <comment ref="AP21" authorId="7">
      <text>
        <r>
          <rPr>
            <b/>
            <sz val="8"/>
            <color indexed="81"/>
            <rFont val="Tahoma"/>
            <family val="2"/>
          </rPr>
          <t xml:space="preserve">casselau:
3/3/15: $86.3M related to new stores/refreshes/remodels; $88.3M related to IT, DC, home office
12/3/14: $200M
5/29/14: $210-220M </t>
        </r>
        <r>
          <rPr>
            <sz val="8"/>
            <color indexed="81"/>
            <rFont val="Tahoma"/>
            <family val="2"/>
          </rPr>
          <t>(increase reflects expanded roll-out of new Hollister storefront)
2/26/14: expect $200M; prioritized towards DTC and IT investments to support growth
initiatives</t>
        </r>
      </text>
    </comment>
    <comment ref="AR21" authorId="7">
      <text>
        <r>
          <rPr>
            <b/>
            <sz val="9"/>
            <color indexed="81"/>
            <rFont val="Tahoma"/>
            <family val="2"/>
          </rPr>
          <t xml:space="preserve">casselau:
3/3/15: expect $150M; store enhancemnts 34%, IT/DTC 45%, new stores 21%; 
</t>
        </r>
        <r>
          <rPr>
            <sz val="9"/>
            <color indexed="81"/>
            <rFont val="Tahoma"/>
            <family val="2"/>
          </rPr>
          <t>8/28/14: expect capex to be ~$200M annually</t>
        </r>
      </text>
    </comment>
    <comment ref="AT21" authorId="7">
      <text>
        <r>
          <rPr>
            <b/>
            <sz val="9"/>
            <color indexed="81"/>
            <rFont val="Tahoma"/>
            <family val="2"/>
          </rPr>
          <t xml:space="preserve">casselau:
3/2/17: $73.0 million related to new stores and store updates and $67.7 million related to information technology, direct-to-consumer and omnichannel, and other projects..
11/18/16: FULL YEAR CAPITAL EXPENDITURES TO BE APPROXIMATELY $140 MILLION
8/30/16: The company expects capital expenditures to be at the low end of the range of $150 million to $175 million for the full year. 
Have invested ~$400M in web and mobile experiences and omnichannel and CRM capabilities since 2010. Also remodeled 150 stores since 2010
</t>
        </r>
        <r>
          <rPr>
            <sz val="9"/>
            <color indexed="81"/>
            <rFont val="Tahoma"/>
            <family val="2"/>
          </rPr>
          <t xml:space="preserve">
3/2/16: $150-175M, including approximately $70 million for new stores and store updates and
approximately $70 million for direct-to-consumer/omnichannel and IT investments to support growth and continuous profit improvement initiatives.</t>
        </r>
      </text>
    </comment>
    <comment ref="AV21" authorId="8">
      <text>
        <r>
          <rPr>
            <b/>
            <sz val="9"/>
            <color indexed="81"/>
            <rFont val="Tahoma"/>
            <family val="2"/>
          </rPr>
          <t>Cassel, Lauren (Research):
3/8/18:</t>
        </r>
        <r>
          <rPr>
            <sz val="9"/>
            <color indexed="81"/>
            <rFont val="Tahoma"/>
            <family val="2"/>
          </rPr>
          <t>$62.7M  related to store updates and new stores, $44.3M related to DTC, omnichannel, information technology, and other</t>
        </r>
        <r>
          <rPr>
            <b/>
            <sz val="9"/>
            <color indexed="81"/>
            <rFont val="Tahoma"/>
            <family val="2"/>
          </rPr>
          <t xml:space="preserve">
</t>
        </r>
        <r>
          <rPr>
            <sz val="9"/>
            <color indexed="81"/>
            <rFont val="Tahoma"/>
            <family val="2"/>
          </rPr>
          <t>11/17/17: Guidance raised to $110M. $70M in store updates, $30M in omnichannel and CRM including loyalty programs 
3/2/17: Guidance ~$100M. Capital expenditures are expected to include approximately $70 million for store updates (40 Hollister remodels, 7 A&amp;F prototype stores, 7 new full price stores, 2 outlet stores) and new stores and approximately $20 million for direct-to-consumer and omnichannel and information technology investments to support growth.</t>
        </r>
        <r>
          <rPr>
            <b/>
            <sz val="9"/>
            <color indexed="81"/>
            <rFont val="Tahoma"/>
            <family val="2"/>
          </rPr>
          <t xml:space="preserve">
</t>
        </r>
        <r>
          <rPr>
            <sz val="9"/>
            <color indexed="81"/>
            <rFont val="Tahoma"/>
            <family val="2"/>
          </rPr>
          <t xml:space="preserve">
5/26/16: $150-200M for the foreseeable future</t>
        </r>
      </text>
    </comment>
    <comment ref="AX21" authorId="9">
      <text>
        <r>
          <rPr>
            <b/>
            <sz val="9"/>
            <color indexed="81"/>
            <rFont val="Tahoma"/>
            <family val="2"/>
          </rPr>
          <t>Roberts, Cynthia (Research):</t>
        </r>
        <r>
          <rPr>
            <sz val="9"/>
            <color indexed="81"/>
            <rFont val="Tahoma"/>
            <family val="2"/>
          </rPr>
          <t xml:space="preserve">
3/7/18: $130M comprised of $85M for new stores and store  updates, and $45M on conitnued rollout of omni-channel and CRM capabilities, including loyalty programs. </t>
        </r>
      </text>
    </comment>
    <comment ref="AP24" authorId="7">
      <text>
        <r>
          <rPr>
            <b/>
            <sz val="9"/>
            <color indexed="81"/>
            <rFont val="Tahoma"/>
            <family val="2"/>
          </rPr>
          <t>casselau:</t>
        </r>
        <r>
          <rPr>
            <sz val="9"/>
            <color indexed="81"/>
            <rFont val="Tahoma"/>
            <family val="2"/>
          </rPr>
          <t xml:space="preserve">
4Q12 call: we expect a benefit from net working capital for the year including -- or mostly driven by a reduction in inventory and that is in part driven by the expectation that our end of year inventory is going to be at a lower average unit cost than it was at the end of 2013 plus some other factors that are in that including generally trying to be more efficient in our use of inventory.</t>
        </r>
      </text>
    </comment>
    <comment ref="AP30" authorId="7">
      <text>
        <r>
          <rPr>
            <b/>
            <sz val="9"/>
            <color indexed="81"/>
            <rFont val="Tahoma"/>
            <family val="2"/>
          </rPr>
          <t>casselau:</t>
        </r>
        <r>
          <rPr>
            <sz val="9"/>
            <color indexed="81"/>
            <rFont val="Tahoma"/>
            <family val="2"/>
          </rPr>
          <t xml:space="preserve">
casselau:
4Q12 call: we expect a benefit from net working capital for the year including -- or mostly driven by a reduction in inventory and that is in part driven by the expectation that our end of year inventory is going to be at a lower average unit cost than it was at the end of 2013 plus some other factors that are in that including generally trying to be more efficient in our use of inventory.</t>
        </r>
      </text>
    </comment>
    <comment ref="H38" authorId="0">
      <text>
        <r>
          <rPr>
            <b/>
            <sz val="8"/>
            <color indexed="81"/>
            <rFont val="Tahoma"/>
            <family val="2"/>
          </rPr>
          <t>Lehman Brothers:</t>
        </r>
        <r>
          <rPr>
            <sz val="8"/>
            <color indexed="81"/>
            <rFont val="Tahoma"/>
            <family val="2"/>
          </rPr>
          <t xml:space="preserve">
co. was IPO'd on 10/1/96, with 84.2% still owned by LTD until a tax-free exchange offer was completed on 5/19/98.</t>
        </r>
      </text>
    </comment>
    <comment ref="V42" authorId="4">
      <text>
        <r>
          <rPr>
            <b/>
            <sz val="8"/>
            <color indexed="81"/>
            <rFont val="Tahoma"/>
            <family val="2"/>
          </rPr>
          <t>Kimberly Greenberger:</t>
        </r>
        <r>
          <rPr>
            <sz val="8"/>
            <color indexed="81"/>
            <rFont val="Tahoma"/>
            <family val="2"/>
          </rPr>
          <t xml:space="preserve">
0 remaining on share repurchase authoriz'n
as of 7/04 repurchased 599k shares at approx $28 per share
7/29/04 authorized additional 6mm share repurchase</t>
        </r>
      </text>
    </comment>
    <comment ref="X42" authorId="4">
      <text>
        <r>
          <rPr>
            <b/>
            <sz val="8"/>
            <color indexed="81"/>
            <rFont val="Tahoma"/>
            <family val="2"/>
          </rPr>
          <t>Kimberly Greenberger:</t>
        </r>
        <r>
          <rPr>
            <sz val="8"/>
            <color indexed="81"/>
            <rFont val="Tahoma"/>
            <family val="2"/>
          </rPr>
          <t xml:space="preserve">
10K: repo'd $103.3mm for 1.8mm shares in 2006
7/29/04 authorized 6mm share repo. Assume only repurchase 2mm shares in 2004 and remaining 4mm in 2005</t>
        </r>
      </text>
    </comment>
    <comment ref="Z42" authorId="4">
      <text>
        <r>
          <rPr>
            <b/>
            <sz val="8"/>
            <color indexed="81"/>
            <rFont val="Tahoma"/>
            <family val="2"/>
          </rPr>
          <t>Kimberly Greenberger:</t>
        </r>
        <r>
          <rPr>
            <sz val="8"/>
            <color indexed="81"/>
            <rFont val="Tahoma"/>
            <family val="2"/>
          </rPr>
          <t xml:space="preserve">
prelim estimate on 7/04 of $100mm</t>
        </r>
      </text>
    </comment>
    <comment ref="AB42" authorId="4">
      <text>
        <r>
          <rPr>
            <b/>
            <sz val="8"/>
            <color indexed="81"/>
            <rFont val="Tahoma"/>
            <family val="2"/>
          </rPr>
          <t>mm98285:</t>
        </r>
        <r>
          <rPr>
            <sz val="8"/>
            <color indexed="81"/>
            <rFont val="Tahoma"/>
            <family val="2"/>
          </rPr>
          <t xml:space="preserve">
10K repo'd $287.9mm in 2007 for 3.6mm shares
11/07: repo'd 2.6mm shares for $208.9mm in 3Q. Nov. 20 BOD authorized add'l 10mm share repo 
</t>
        </r>
        <r>
          <rPr>
            <b/>
            <sz val="8"/>
            <color indexed="81"/>
            <rFont val="Tahoma"/>
            <family val="2"/>
          </rPr>
          <t>1Q repo $79mm
3Q repo $208.9mm
2Q &amp; 4Q no repo
Kimberly Greenberger:</t>
        </r>
        <r>
          <rPr>
            <sz val="8"/>
            <color indexed="81"/>
            <rFont val="Tahoma"/>
            <family val="2"/>
          </rPr>
          <t xml:space="preserve">
During 1Q07 repurchased 1mm shares at a cost of $79mm, assume that in 2H repurchases $71mm of shares .5 and .5 but option creep offsets this number</t>
        </r>
      </text>
    </comment>
    <comment ref="AD42" authorId="4">
      <text>
        <r>
          <rPr>
            <b/>
            <sz val="8"/>
            <color indexed="81"/>
            <rFont val="Tahoma"/>
            <family val="2"/>
          </rPr>
          <t>Kimberly Greenberger:</t>
        </r>
        <r>
          <rPr>
            <sz val="8"/>
            <color indexed="81"/>
            <rFont val="Tahoma"/>
            <family val="2"/>
          </rPr>
          <t xml:space="preserve">
2Q repo'd 0.7mm shares or $50mm in stock (11.3mm shares remain under auth); no repurchase in other quarters
4/08: have $12mm avail as of Feb 2008
prelim estimate on 7/04 of $100mm</t>
        </r>
      </text>
    </comment>
    <comment ref="AF42" authorId="4">
      <text>
        <r>
          <rPr>
            <b/>
            <sz val="8"/>
            <color indexed="81"/>
            <rFont val="Tahoma"/>
            <family val="2"/>
          </rPr>
          <t>Kimberly Greenberger:</t>
        </r>
        <r>
          <rPr>
            <sz val="8"/>
            <color indexed="81"/>
            <rFont val="Tahoma"/>
            <family val="2"/>
          </rPr>
          <t xml:space="preserve">
prelim estimate on 7/04 of $100mm</t>
        </r>
      </text>
    </comment>
    <comment ref="AJ42" authorId="6">
      <text>
        <r>
          <rPr>
            <sz val="8"/>
            <color indexed="81"/>
            <rFont val="Tahoma"/>
            <family val="2"/>
          </rPr>
          <t>2/15/2012: During Fiscal 2011, the Company repurchased 3.546 million shares of its common stock at an aggregate cost of approximately $196.6 million, including 2.017 million shares of its common stock at an aggregate cost of approximately $97.9 million in the fourth quarter.  As of January 28, 2012, the Company had approximately 6.2 million remaining shares available for purchase under its publicly announced stock repurchase authorizations.
Ave cost per share = $55.44</t>
        </r>
        <r>
          <rPr>
            <b/>
            <sz val="8"/>
            <color indexed="81"/>
            <rFont val="Tahoma"/>
            <family val="2"/>
          </rPr>
          <t xml:space="preserve">
</t>
        </r>
        <r>
          <rPr>
            <sz val="8"/>
            <color indexed="81"/>
            <rFont val="Tahoma"/>
            <family val="2"/>
          </rPr>
          <t xml:space="preserve">
11/2010: comfortable w/ ~$350mm net cash cushion less debt</t>
        </r>
      </text>
    </comment>
    <comment ref="AL42" authorId="10">
      <text>
        <r>
          <rPr>
            <sz val="8"/>
            <color indexed="81"/>
            <rFont val="Tahoma"/>
            <family val="2"/>
          </rPr>
          <t xml:space="preserve">2/22/13: during FY2012 the company repurchased 7.5M shares for ~321.7M; as of Feb 2, 2013, the company had approximately 18.7M shares remaining available for purchase under its stock repurchase authorizations
8/15/12 - The Board of Directors increased the existing share repurchase authorization by ten million shares, bringing the shares available for purchase under its publicly announced share repurchase authorization to 22.9 million shares.
SHARE REPURCHASE PHILOSOPHY
1) MINIMUM CASH BALANCE OF $350M
2) EXCESS CASH RETURNED TO SHAREHOLDERS THROUGH DIVIDENDS AND SHARE REPURCHASES
3) SUPPLEMENT WITH EXISTING CREDIT FACILITIES OR OTHER DEBT FINANCING AS APPROPRIATE
4) EXECUTE REPURCHASES WHEN STOCK VALUATION IS ATTRACTIVE ON A LONG-TERM BASIS
Bought 3300 shares at $48.85 for $161.215 in 1Q12 </t>
        </r>
      </text>
    </comment>
    <comment ref="N45" authorId="11">
      <text>
        <r>
          <rPr>
            <b/>
            <sz val="8"/>
            <color indexed="81"/>
            <rFont val="Tahoma"/>
            <family val="2"/>
          </rPr>
          <t>dliu:</t>
        </r>
        <r>
          <rPr>
            <sz val="8"/>
            <color indexed="81"/>
            <rFont val="Tahoma"/>
            <family val="2"/>
          </rPr>
          <t xml:space="preserve">
this is a plug based on the difference between the cash balance stated in the 2002K and the cash balance in the 2003K</t>
        </r>
      </text>
    </comment>
    <comment ref="V46" authorId="4">
      <text>
        <r>
          <rPr>
            <b/>
            <sz val="8"/>
            <color indexed="81"/>
            <rFont val="Tahoma"/>
            <family val="2"/>
          </rPr>
          <t>Kimberly Greenberger:</t>
        </r>
        <r>
          <rPr>
            <sz val="8"/>
            <color indexed="81"/>
            <rFont val="Tahoma"/>
            <family val="2"/>
          </rPr>
          <t xml:space="preserve">
0 remaining on share repurchase authoriz'n
as of 7/04 repurchased 599k shares at approx $28 per share
7/29/04 authorized additional 6mm share repurchase</t>
        </r>
      </text>
    </comment>
    <comment ref="AN46" authorId="7">
      <text>
        <r>
          <rPr>
            <sz val="9"/>
            <color indexed="81"/>
            <rFont val="Tahoma"/>
            <family val="2"/>
          </rPr>
          <t>"other investing"</t>
        </r>
      </text>
    </comment>
    <comment ref="AB48" authorId="2">
      <text>
        <r>
          <rPr>
            <b/>
            <sz val="8"/>
            <color indexed="81"/>
            <rFont val="Tahoma"/>
            <family val="2"/>
          </rPr>
          <t>mm98285:</t>
        </r>
        <r>
          <rPr>
            <sz val="8"/>
            <color indexed="81"/>
            <rFont val="Tahoma"/>
            <family val="2"/>
          </rPr>
          <t xml:space="preserve">
11/07: BOD declared quarterly cash dividend of $0.175 per share payable on Dec 18 to shareholders of record at close of business on Dec 4, 2007</t>
        </r>
      </text>
    </comment>
    <comment ref="AL48" authorId="10">
      <text>
        <r>
          <rPr>
            <sz val="8"/>
            <color indexed="81"/>
            <rFont val="Tahoma"/>
            <family val="2"/>
          </rPr>
          <t>8/15/12 - "On August 14, 2012, the Board of Directors declared a quarterly cash dividend of $0.175"</t>
        </r>
      </text>
    </comment>
  </commentList>
</comments>
</file>

<file path=xl/comments11.xml><?xml version="1.0" encoding="utf-8"?>
<comments xmlns="http://schemas.openxmlformats.org/spreadsheetml/2006/main">
  <authors>
    <author>casselau</author>
    <author>oc48540</author>
  </authors>
  <commentList>
    <comment ref="V19" authorId="0">
      <text>
        <r>
          <rPr>
            <b/>
            <sz val="9"/>
            <color indexed="81"/>
            <rFont val="Tahoma"/>
            <family val="2"/>
          </rPr>
          <t>casselau:</t>
        </r>
        <r>
          <rPr>
            <sz val="9"/>
            <color indexed="81"/>
            <rFont val="Tahoma"/>
            <family val="2"/>
          </rPr>
          <t xml:space="preserve">
long-term borrowings; leasehold financing obligations not included</t>
        </r>
      </text>
    </comment>
    <comment ref="AH21" authorId="1">
      <text>
        <r>
          <rPr>
            <b/>
            <sz val="8"/>
            <color indexed="81"/>
            <rFont val="Tahoma"/>
            <family val="2"/>
          </rPr>
          <t>oc48540:</t>
        </r>
        <r>
          <rPr>
            <sz val="8"/>
            <color indexed="81"/>
            <rFont val="Tahoma"/>
            <family val="2"/>
          </rPr>
          <t xml:space="preserve">
During the second quarter of Fiscal 2009, the Company repaid U.S. dollar denominated borrowings of $100.0 million outstanding at the beginning of the quarter under the unsecured Amended Credit Agreement and separately drew down approximately $36.4 million in foreign currency denominated borrowings used to fund international lease and capital expenditure commitments. </t>
        </r>
      </text>
    </comment>
    <comment ref="AR21" authorId="0">
      <text>
        <r>
          <rPr>
            <b/>
            <sz val="9"/>
            <color indexed="81"/>
            <rFont val="Tahoma"/>
            <family val="2"/>
          </rPr>
          <t>casselau:</t>
        </r>
        <r>
          <rPr>
            <sz val="9"/>
            <color indexed="81"/>
            <rFont val="Tahoma"/>
            <family val="2"/>
          </rPr>
          <t xml:space="preserve">
7/14/14: "Proceeds from the Term Loan B are expected to be used to pay off the remaining $131.5 million balance under the existing Term Loan A, to repay outstanding borrowings of $60 million under the existing Revolving Credit Facility"</t>
        </r>
      </text>
    </comment>
  </commentList>
</comments>
</file>

<file path=xl/comments12.xml><?xml version="1.0" encoding="utf-8"?>
<comments xmlns="http://schemas.openxmlformats.org/spreadsheetml/2006/main">
  <authors>
    <author>casselau</author>
    <author>Cassel, Lauren (Research)</author>
    <author>Debbie Ong</author>
    <author>Corinna Freedman</author>
  </authors>
  <commentList>
    <comment ref="CF10" authorId="0">
      <text>
        <r>
          <rPr>
            <b/>
            <sz val="8"/>
            <color indexed="81"/>
            <rFont val="Tahoma"/>
            <family val="2"/>
          </rPr>
          <t>casselau:</t>
        </r>
        <r>
          <rPr>
            <sz val="8"/>
            <color indexed="81"/>
            <rFont val="Tahoma"/>
            <family val="2"/>
          </rPr>
          <t xml:space="preserve">
2/26/14: Expect inventory at the end of 1Q to be up but by a lesser amount than it was at the EOY.</t>
        </r>
      </text>
    </comment>
    <comment ref="CI10" authorId="0">
      <text>
        <r>
          <rPr>
            <b/>
            <sz val="9"/>
            <color indexed="81"/>
            <rFont val="Tahoma"/>
            <family val="2"/>
          </rPr>
          <t>casselau:</t>
        </r>
        <r>
          <rPr>
            <sz val="9"/>
            <color indexed="81"/>
            <rFont val="Tahoma"/>
            <family val="2"/>
          </rPr>
          <t xml:space="preserve">
includes impact of inventory writedown</t>
        </r>
      </text>
    </comment>
    <comment ref="CJ10" authorId="0">
      <text>
        <r>
          <rPr>
            <b/>
            <sz val="8"/>
            <color indexed="81"/>
            <rFont val="Tahoma"/>
            <family val="2"/>
          </rPr>
          <t>casselau:</t>
        </r>
        <r>
          <rPr>
            <sz val="8"/>
            <color indexed="81"/>
            <rFont val="Tahoma"/>
            <family val="2"/>
          </rPr>
          <t xml:space="preserve">
2/26/14: Expect inventory at the end of 1Q to be up but by a lesser amount than it was at the EOY.</t>
        </r>
      </text>
    </comment>
    <comment ref="CM10" authorId="0">
      <text>
        <r>
          <rPr>
            <b/>
            <sz val="9"/>
            <color indexed="81"/>
            <rFont val="Tahoma"/>
            <family val="2"/>
          </rPr>
          <t>casselau:</t>
        </r>
        <r>
          <rPr>
            <sz val="9"/>
            <color indexed="81"/>
            <rFont val="Tahoma"/>
            <family val="2"/>
          </rPr>
          <t xml:space="preserve">
includes impact of inventory writedown</t>
        </r>
      </text>
    </comment>
    <comment ref="CN10" authorId="0">
      <text>
        <r>
          <rPr>
            <b/>
            <sz val="8"/>
            <color indexed="81"/>
            <rFont val="Tahoma"/>
            <family val="2"/>
          </rPr>
          <t>casselau:</t>
        </r>
        <r>
          <rPr>
            <sz val="8"/>
            <color indexed="81"/>
            <rFont val="Tahoma"/>
            <family val="2"/>
          </rPr>
          <t xml:space="preserve">
2/26/14: Expect inventory at the end of 1Q to be up but by a lesser amount than it was at the EOY.</t>
        </r>
      </text>
    </comment>
    <comment ref="CF11" authorId="0">
      <text>
        <r>
          <rPr>
            <b/>
            <sz val="9"/>
            <color indexed="81"/>
            <rFont val="Tahoma"/>
            <family val="2"/>
          </rPr>
          <t>casselau:</t>
        </r>
        <r>
          <rPr>
            <sz val="9"/>
            <color indexed="81"/>
            <rFont val="Tahoma"/>
            <family val="2"/>
          </rPr>
          <t xml:space="preserve">
2/26/14: expect inventories to be down</t>
        </r>
      </text>
    </comment>
    <comment ref="CQ11" authorId="1">
      <text>
        <r>
          <rPr>
            <b/>
            <sz val="9"/>
            <color indexed="81"/>
            <rFont val="Tahoma"/>
            <family val="2"/>
          </rPr>
          <t>Cassel, Lauren (Research):</t>
        </r>
        <r>
          <rPr>
            <sz val="9"/>
            <color indexed="81"/>
            <rFont val="Tahoma"/>
            <family val="2"/>
          </rPr>
          <t xml:space="preserve">
8/24/17: investments in core and basic categories </t>
        </r>
      </text>
    </comment>
    <comment ref="BW12" authorId="0">
      <text>
        <r>
          <rPr>
            <b/>
            <sz val="8"/>
            <color indexed="81"/>
            <rFont val="Tahoma"/>
            <family val="2"/>
          </rPr>
          <t>casselau:</t>
        </r>
        <r>
          <rPr>
            <sz val="8"/>
            <color indexed="81"/>
            <rFont val="Tahoma"/>
            <family val="2"/>
          </rPr>
          <t xml:space="preserve">
11/14: includes a significant benefit from lower inventory and transit; excluding this, total inventory at cost was down 10%, which includes a significant y/y AUC benefit</t>
        </r>
      </text>
    </comment>
    <comment ref="CF12" authorId="0">
      <text>
        <r>
          <rPr>
            <b/>
            <sz val="9"/>
            <color indexed="81"/>
            <rFont val="Tahoma"/>
            <family val="2"/>
          </rPr>
          <t>casselau:
8/28/14: expect inv to be down double digits</t>
        </r>
        <r>
          <rPr>
            <sz val="9"/>
            <color indexed="81"/>
            <rFont val="Tahoma"/>
            <family val="2"/>
          </rPr>
          <t xml:space="preserve">
2/26/14: expect inventories to be down</t>
        </r>
      </text>
    </comment>
    <comment ref="CI12" authorId="0">
      <text>
        <r>
          <rPr>
            <b/>
            <sz val="9"/>
            <color indexed="81"/>
            <rFont val="Tahoma"/>
            <family val="2"/>
          </rPr>
          <t>casselau:</t>
        </r>
        <r>
          <rPr>
            <sz val="9"/>
            <color indexed="81"/>
            <rFont val="Tahoma"/>
            <family val="2"/>
          </rPr>
          <t xml:space="preserve">
11/20/15: includes a significant increase in inventory in-transit due to a floorset shift.  </t>
        </r>
        <r>
          <rPr>
            <b/>
            <sz val="9"/>
            <color indexed="81"/>
            <rFont val="Tahoma"/>
            <family val="2"/>
          </rPr>
          <t xml:space="preserve">Excluding in-transit, inventory was down 10%. </t>
        </r>
      </text>
    </comment>
    <comment ref="CM12" authorId="0">
      <text>
        <r>
          <rPr>
            <b/>
            <sz val="9"/>
            <color indexed="81"/>
            <rFont val="Tahoma"/>
            <family val="2"/>
          </rPr>
          <t>casselau:</t>
        </r>
        <r>
          <rPr>
            <sz val="9"/>
            <color indexed="81"/>
            <rFont val="Tahoma"/>
            <family val="2"/>
          </rPr>
          <t xml:space="preserve">
11/20/15: includes a significant increase in inventory in-transit due to a floorset shift.  </t>
        </r>
        <r>
          <rPr>
            <b/>
            <sz val="9"/>
            <color indexed="81"/>
            <rFont val="Tahoma"/>
            <family val="2"/>
          </rPr>
          <t xml:space="preserve">Excluding in-transit, inventory was down 10%. </t>
        </r>
      </text>
    </comment>
    <comment ref="CQ12" authorId="1">
      <text>
        <r>
          <rPr>
            <b/>
            <sz val="9"/>
            <color indexed="81"/>
            <rFont val="Tahoma"/>
            <family val="2"/>
          </rPr>
          <t>Cassel, Lauren (Research):</t>
        </r>
        <r>
          <rPr>
            <sz val="9"/>
            <color indexed="81"/>
            <rFont val="Tahoma"/>
            <family val="2"/>
          </rPr>
          <t xml:space="preserve">
8/24/17: expect 3Q ending inventory +MSD</t>
        </r>
      </text>
    </comment>
    <comment ref="BV13" authorId="0">
      <text>
        <r>
          <rPr>
            <b/>
            <sz val="8"/>
            <color indexed="81"/>
            <rFont val="Tahoma"/>
            <family val="2"/>
          </rPr>
          <t>casselau:</t>
        </r>
        <r>
          <rPr>
            <sz val="8"/>
            <color indexed="81"/>
            <rFont val="Tahoma"/>
            <family val="2"/>
          </rPr>
          <t xml:space="preserve">
2/22/13: significant cost benefit from lower full carryover inventory and lower inventory in transit as well as a significant y/y AUC benefit</t>
        </r>
      </text>
    </comment>
    <comment ref="CA13" authorId="0">
      <text>
        <r>
          <rPr>
            <b/>
            <sz val="8"/>
            <color indexed="81"/>
            <rFont val="Tahoma"/>
            <family val="2"/>
          </rPr>
          <t>casselau:</t>
        </r>
        <r>
          <rPr>
            <sz val="8"/>
            <color indexed="81"/>
            <rFont val="Tahoma"/>
            <family val="2"/>
          </rPr>
          <t xml:space="preserve">
excluding in-transit inventory, +16%; on 2-year basis -22%</t>
        </r>
      </text>
    </comment>
    <comment ref="CF13" authorId="0">
      <text>
        <r>
          <rPr>
            <b/>
            <sz val="9"/>
            <color indexed="81"/>
            <rFont val="Tahoma"/>
            <family val="2"/>
          </rPr>
          <t>casselau:</t>
        </r>
        <r>
          <rPr>
            <sz val="9"/>
            <color indexed="81"/>
            <rFont val="Tahoma"/>
            <family val="2"/>
          </rPr>
          <t xml:space="preserve">
2/26/14: expect inventories to be down</t>
        </r>
      </text>
    </comment>
    <comment ref="A27" authorId="2">
      <text>
        <r>
          <rPr>
            <b/>
            <sz val="8"/>
            <color indexed="81"/>
            <rFont val="Tahoma"/>
            <family val="2"/>
          </rPr>
          <t>Debbie Ong:</t>
        </r>
        <r>
          <rPr>
            <sz val="8"/>
            <color indexed="81"/>
            <rFont val="Tahoma"/>
            <family val="2"/>
          </rPr>
          <t xml:space="preserve">
incl. Accrued expenses and income taxes payable (and dividends if applicable); does Not include interest-bearing debt</t>
        </r>
      </text>
    </comment>
    <comment ref="AL31" authorId="3">
      <text>
        <r>
          <rPr>
            <b/>
            <sz val="8"/>
            <color indexed="81"/>
            <rFont val="Tahoma"/>
            <family val="2"/>
          </rPr>
          <t>Corinna Freedman:</t>
        </r>
        <r>
          <rPr>
            <sz val="8"/>
            <color indexed="81"/>
            <rFont val="Tahoma"/>
            <family val="2"/>
          </rPr>
          <t xml:space="preserve">
includes 30m in def lease credits</t>
        </r>
      </text>
    </comment>
    <comment ref="AP31" authorId="3">
      <text>
        <r>
          <rPr>
            <b/>
            <sz val="8"/>
            <color indexed="81"/>
            <rFont val="Tahoma"/>
            <family val="2"/>
          </rPr>
          <t>Corinna Freedman:</t>
        </r>
        <r>
          <rPr>
            <sz val="8"/>
            <color indexed="81"/>
            <rFont val="Tahoma"/>
            <family val="2"/>
          </rPr>
          <t xml:space="preserve">
incl. Def lease credit</t>
        </r>
      </text>
    </comment>
  </commentList>
</comments>
</file>

<file path=xl/comments13.xml><?xml version="1.0" encoding="utf-8"?>
<comments xmlns="http://schemas.openxmlformats.org/spreadsheetml/2006/main">
  <authors>
    <author>Lehman Brothers</author>
    <author>dliu</author>
    <author>Corinna Freedman</author>
    <author>mm98285</author>
    <author>MB33100</author>
    <author>oc48540</author>
    <author>OC48540</author>
    <author>TI23070</author>
    <author>lr73192</author>
    <author>nicholjs</author>
    <author>solejay</author>
    <author>casselau</author>
  </authors>
  <commentList>
    <comment ref="AF69" authorId="0">
      <text>
        <r>
          <rPr>
            <b/>
            <sz val="8"/>
            <color indexed="81"/>
            <rFont val="Tahoma"/>
            <family val="2"/>
          </rPr>
          <t>Lehman Brothers:</t>
        </r>
        <r>
          <rPr>
            <sz val="8"/>
            <color indexed="81"/>
            <rFont val="Tahoma"/>
            <family val="2"/>
          </rPr>
          <t xml:space="preserve">
co. guidance on 2Q02 conf. call</t>
        </r>
      </text>
    </comment>
    <comment ref="AF70" authorId="0">
      <text>
        <r>
          <rPr>
            <b/>
            <sz val="8"/>
            <color indexed="81"/>
            <rFont val="Tahoma"/>
            <family val="2"/>
          </rPr>
          <t>Lehman Brothers:</t>
        </r>
        <r>
          <rPr>
            <sz val="8"/>
            <color indexed="81"/>
            <rFont val="Tahoma"/>
            <family val="2"/>
          </rPr>
          <t xml:space="preserve">
co. guidance on 2Q02 conf. Call (up low teens). On 3Q02 conf. Call co. indicated up over 20%</t>
        </r>
      </text>
    </comment>
    <comment ref="AF74" authorId="0">
      <text>
        <r>
          <rPr>
            <b/>
            <sz val="8"/>
            <color indexed="81"/>
            <rFont val="Tahoma"/>
            <family val="2"/>
          </rPr>
          <t>Lehman Brothers:</t>
        </r>
        <r>
          <rPr>
            <sz val="8"/>
            <color indexed="81"/>
            <rFont val="Tahoma"/>
            <family val="2"/>
          </rPr>
          <t xml:space="preserve">
2/18/03: expects inventory to be up 10-15% on psf basis and moderate as the year progresses</t>
        </r>
      </text>
    </comment>
    <comment ref="AF81" authorId="1">
      <text>
        <r>
          <rPr>
            <b/>
            <sz val="8"/>
            <color indexed="81"/>
            <rFont val="Tahoma"/>
            <family val="2"/>
          </rPr>
          <t>dliu:</t>
        </r>
        <r>
          <rPr>
            <sz val="8"/>
            <color indexed="81"/>
            <rFont val="Tahoma"/>
            <family val="2"/>
          </rPr>
          <t xml:space="preserve">
at 4/30 BofA conf, co guided to flattish inventory levels to LY for 1Q and rest of yr</t>
        </r>
      </text>
    </comment>
    <comment ref="AF83" authorId="2">
      <text>
        <r>
          <rPr>
            <b/>
            <sz val="8"/>
            <color indexed="81"/>
            <rFont val="Tahoma"/>
            <family val="2"/>
          </rPr>
          <t>Corinna Freedman:</t>
        </r>
        <r>
          <rPr>
            <sz val="8"/>
            <color indexed="81"/>
            <rFont val="Tahoma"/>
            <family val="2"/>
          </rPr>
          <t xml:space="preserve">
-L-MSD 2 10/7</t>
        </r>
      </text>
    </comment>
    <comment ref="AF84" authorId="2">
      <text>
        <r>
          <rPr>
            <b/>
            <sz val="8"/>
            <color indexed="81"/>
            <rFont val="Tahoma"/>
            <family val="2"/>
          </rPr>
          <t>Corinna Freedman:</t>
        </r>
        <r>
          <rPr>
            <sz val="8"/>
            <color indexed="81"/>
            <rFont val="Tahoma"/>
            <family val="2"/>
          </rPr>
          <t xml:space="preserve">
guided to "down slightly"</t>
        </r>
      </text>
    </comment>
    <comment ref="AF89" authorId="2">
      <text>
        <r>
          <rPr>
            <b/>
            <sz val="8"/>
            <color indexed="81"/>
            <rFont val="Tahoma"/>
            <family val="2"/>
          </rPr>
          <t>Corinna Freedman:</t>
        </r>
        <r>
          <rPr>
            <sz val="8"/>
            <color indexed="81"/>
            <rFont val="Tahoma"/>
            <family val="2"/>
          </rPr>
          <t xml:space="preserve">
up slightly higher than 1Q</t>
        </r>
      </text>
    </comment>
    <comment ref="AF97" authorId="3">
      <text>
        <r>
          <rPr>
            <b/>
            <sz val="8"/>
            <color indexed="81"/>
            <rFont val="Tahoma"/>
            <family val="2"/>
          </rPr>
          <t>mm98285:</t>
        </r>
        <r>
          <rPr>
            <sz val="8"/>
            <color indexed="81"/>
            <rFont val="Tahoma"/>
            <family val="2"/>
          </rPr>
          <t xml:space="preserve">
8/06: expect lower inv psf increase in 3Q than in 2Q (&lt; 8.8%)</t>
        </r>
      </text>
    </comment>
    <comment ref="AF98" authorId="4">
      <text>
        <r>
          <rPr>
            <b/>
            <sz val="8"/>
            <color indexed="81"/>
            <rFont val="Tahoma"/>
            <family val="2"/>
          </rPr>
          <t>MB33100:</t>
        </r>
        <r>
          <rPr>
            <sz val="8"/>
            <color indexed="81"/>
            <rFont val="Tahoma"/>
            <family val="2"/>
          </rPr>
          <t xml:space="preserve">
3Q call: Guided flat to slightly up at end of 4Q</t>
        </r>
      </text>
    </comment>
    <comment ref="AF102" authorId="5">
      <text>
        <r>
          <rPr>
            <b/>
            <sz val="8"/>
            <color indexed="81"/>
            <rFont val="Tahoma"/>
            <family val="2"/>
          </rPr>
          <t>oc48540:</t>
        </r>
        <r>
          <rPr>
            <sz val="8"/>
            <color indexed="81"/>
            <rFont val="Tahoma"/>
            <family val="2"/>
          </rPr>
          <t xml:space="preserve">
From 4Q06 Earnings Call: Expect to end 1Q07 with inventory flat to slightly positive on a per square foot at cost basis.</t>
        </r>
      </text>
    </comment>
    <comment ref="AF103" authorId="5">
      <text>
        <r>
          <rPr>
            <sz val="8"/>
            <color indexed="81"/>
            <rFont val="Tahoma"/>
            <family val="2"/>
          </rPr>
          <t>Expectations were flat to slightly negative.</t>
        </r>
        <r>
          <rPr>
            <b/>
            <sz val="8"/>
            <color indexed="81"/>
            <rFont val="Tahoma"/>
            <family val="2"/>
          </rPr>
          <t xml:space="preserve">
oc48540:</t>
        </r>
        <r>
          <rPr>
            <sz val="8"/>
            <color indexed="81"/>
            <rFont val="Tahoma"/>
            <family val="2"/>
          </rPr>
          <t xml:space="preserve">
From 4Q06 Earnings Call: Expect to end 1Q07 with inventory flat to slightly positive on a per square foot at cost basis.</t>
        </r>
      </text>
    </comment>
    <comment ref="AF104" authorId="5">
      <text>
        <r>
          <rPr>
            <sz val="8"/>
            <color indexed="81"/>
            <rFont val="Tahoma"/>
            <family val="2"/>
          </rPr>
          <t xml:space="preserve">This negative double digit
result was ~inline to less than management’s previous guidance of “down
equal or slightly greater than 2Q -11.7% decline.”
@2Q07: </t>
        </r>
        <r>
          <rPr>
            <sz val="8"/>
            <color indexed="81"/>
            <rFont val="Tahoma"/>
            <family val="2"/>
          </rPr>
          <t>Going forward, ANF expects 3Q07 inventory PSF at cost relative to LY
to decrease at an equal or slightly greater level than in 2Q07's 11.7% decline. (no update at Aug or Sept or Oct sales)</t>
        </r>
      </text>
    </comment>
    <comment ref="AF105" authorId="6">
      <text>
        <r>
          <rPr>
            <sz val="8"/>
            <color indexed="81"/>
            <rFont val="Tahoma"/>
            <family val="2"/>
          </rPr>
          <t>11/21: Mgmt expects
inventory to be “down equal to or slightly greater than 3Q’s -15.4% decline” at
the end of 4Q. (no update at Nov, Dec, Jan sales)</t>
        </r>
      </text>
    </comment>
    <comment ref="AF109" authorId="3">
      <text>
        <r>
          <rPr>
            <b/>
            <sz val="8"/>
            <color indexed="81"/>
            <rFont val="Tahoma"/>
            <family val="2"/>
          </rPr>
          <t>mm98285:</t>
        </r>
        <r>
          <rPr>
            <sz val="8"/>
            <color indexed="81"/>
            <rFont val="Tahoma"/>
            <family val="2"/>
          </rPr>
          <t xml:space="preserve">
2/08: expect down (17)-(20)%</t>
        </r>
      </text>
    </comment>
    <comment ref="AF110" authorId="3">
      <text>
        <r>
          <rPr>
            <sz val="8"/>
            <color indexed="81"/>
            <rFont val="Tahoma"/>
            <family val="2"/>
          </rPr>
          <t>5/16: ANF now expects to end 2Q08 with flat inventory per square foot.</t>
        </r>
        <r>
          <rPr>
            <b/>
            <sz val="8"/>
            <color indexed="81"/>
            <rFont val="Tahoma"/>
            <family val="2"/>
          </rPr>
          <t xml:space="preserve">
mm98285:</t>
        </r>
        <r>
          <rPr>
            <sz val="8"/>
            <color indexed="81"/>
            <rFont val="Tahoma"/>
            <family val="2"/>
          </rPr>
          <t xml:space="preserve">
expect down modestly but less than 1Q's (17)-(20)% decline</t>
        </r>
      </text>
    </comment>
    <comment ref="AF111" authorId="3">
      <text>
        <r>
          <rPr>
            <b/>
            <sz val="8"/>
            <color indexed="81"/>
            <rFont val="Tahoma"/>
            <family val="2"/>
          </rPr>
          <t>mm98285:</t>
        </r>
        <r>
          <rPr>
            <sz val="8"/>
            <color indexed="81"/>
            <rFont val="Tahoma"/>
            <family val="2"/>
          </rPr>
          <t xml:space="preserve">
11/08: inv. increase due to earlier Christmas deliveries and higher basic inventory vs. LY
11/08: No update to inv. Psf of +10-15%
8/08: inv psf +10-15%</t>
        </r>
      </text>
    </comment>
    <comment ref="AF112" authorId="3">
      <text>
        <r>
          <rPr>
            <b/>
            <sz val="8"/>
            <color indexed="81"/>
            <rFont val="Tahoma"/>
            <family val="2"/>
          </rPr>
          <t>mm98285:</t>
        </r>
        <r>
          <rPr>
            <sz val="8"/>
            <color indexed="81"/>
            <rFont val="Tahoma"/>
            <family val="2"/>
          </rPr>
          <t xml:space="preserve">
2/09: +MSD
1/09: No update to +MSD
11/08: +MSD (primarily in basic categories such as polos and denim while seasonal fashion cats are expected to be down)
8/08: flat to +slightly</t>
        </r>
      </text>
    </comment>
    <comment ref="AF116" authorId="7">
      <text>
        <r>
          <rPr>
            <b/>
            <sz val="8"/>
            <color indexed="81"/>
            <rFont val="Tahoma"/>
            <family val="2"/>
          </rPr>
          <t xml:space="preserve">TI2307
</t>
        </r>
        <r>
          <rPr>
            <sz val="8"/>
            <color indexed="81"/>
            <rFont val="Tahoma"/>
            <family val="2"/>
          </rPr>
          <t>3/9: No update to "inline with sales by end of 2Q"
4/9: No update to "inline with sales by end of 2Q"
5/09: No update to inline with sales by end of 2Q</t>
        </r>
      </text>
    </comment>
    <comment ref="AF117" authorId="5">
      <text>
        <r>
          <rPr>
            <b/>
            <sz val="8"/>
            <color indexed="81"/>
            <rFont val="Tahoma"/>
            <family val="2"/>
          </rPr>
          <t>oc48540:</t>
        </r>
        <r>
          <rPr>
            <sz val="8"/>
            <color indexed="81"/>
            <rFont val="Tahoma"/>
            <family val="2"/>
          </rPr>
          <t xml:space="preserve">
Mgmt says ~-35%</t>
        </r>
      </text>
    </comment>
    <comment ref="AF118" authorId="5">
      <text>
        <r>
          <rPr>
            <sz val="8"/>
            <color indexed="81"/>
            <rFont val="Tahoma"/>
            <family val="2"/>
          </rPr>
          <t>8/14
Management believes that although ending inventory is at plan, ANF’s plans could have
been too conservative. The company expects to be less conservative in 4Q09 and 1Q10.</t>
        </r>
      </text>
    </comment>
    <comment ref="AF119" authorId="5">
      <text>
        <r>
          <rPr>
            <sz val="8"/>
            <color indexed="81"/>
            <rFont val="Tahoma"/>
            <family val="2"/>
          </rPr>
          <t xml:space="preserve">11/15: ANF plans inventory reductions for the Spring and will likely run negative at the end of 4Q (we estimate ~-17%) but less negative than the mid-30s level.
12/14: ANF plans inventory reductions for the Spring and will likely run negative at the end of 4Q (we estimate ~-17%) but less negative than the mid-30s level. </t>
        </r>
        <r>
          <rPr>
            <b/>
            <sz val="8"/>
            <color indexed="81"/>
            <rFont val="Tahoma"/>
            <family val="2"/>
          </rPr>
          <t xml:space="preserve">
</t>
        </r>
        <r>
          <rPr>
            <sz val="8"/>
            <color indexed="81"/>
            <rFont val="Tahoma"/>
            <family val="2"/>
          </rPr>
          <t xml:space="preserve">
The Company expects the decrease to moderate in fourth quarter of Fiscal 2009 from 2Q's -35%.</t>
        </r>
      </text>
    </comment>
    <comment ref="AF123" authorId="5">
      <text>
        <r>
          <rPr>
            <b/>
            <sz val="8"/>
            <color indexed="81"/>
            <rFont val="Tahoma"/>
            <family val="2"/>
          </rPr>
          <t>oc48540:</t>
        </r>
        <r>
          <rPr>
            <sz val="8"/>
            <color indexed="81"/>
            <rFont val="Tahoma"/>
            <family val="2"/>
          </rPr>
          <t xml:space="preserve">
Additionally, management indicated it expects to increase inventory per square foot "modestly" in 1H10, which poses markdown and margin risk in our view as we expect continued pressure in sales per square foot (or comparable store sales).
3/10: no update to expect up "modestly"</t>
        </r>
      </text>
    </comment>
    <comment ref="AF124" authorId="8">
      <text>
        <r>
          <rPr>
            <b/>
            <sz val="8"/>
            <color indexed="81"/>
            <rFont val="Tahoma"/>
            <family val="2"/>
          </rPr>
          <t>lr73192:</t>
        </r>
        <r>
          <rPr>
            <sz val="8"/>
            <color indexed="81"/>
            <rFont val="Tahoma"/>
            <family val="2"/>
          </rPr>
          <t xml:space="preserve">
management indicated it expects a greater increase in inventory at the end of 2Q given its belief that the company was under inventoried last year. </t>
        </r>
      </text>
    </comment>
    <comment ref="AF125" authorId="9">
      <text>
        <r>
          <rPr>
            <b/>
            <sz val="8"/>
            <color indexed="81"/>
            <rFont val="Tahoma"/>
            <family val="2"/>
          </rPr>
          <t>nicholjs:</t>
        </r>
        <r>
          <rPr>
            <sz val="8"/>
            <color indexed="81"/>
            <rFont val="Tahoma"/>
            <family val="2"/>
          </rPr>
          <t xml:space="preserve">
8/10: expect inventory levels to remain significantly elevated on a year-over-year basis at 3Q end before moderating at
the end of the year</t>
        </r>
      </text>
    </comment>
    <comment ref="AF126" authorId="9">
      <text>
        <r>
          <rPr>
            <b/>
            <sz val="8"/>
            <color indexed="81"/>
            <rFont val="Tahoma"/>
            <family val="2"/>
          </rPr>
          <t>nicholjs:</t>
        </r>
        <r>
          <rPr>
            <sz val="8"/>
            <color indexed="81"/>
            <rFont val="Tahoma"/>
            <family val="2"/>
          </rPr>
          <t xml:space="preserve">
11/10: expect yoy inventory increase to moerate towards a closer alignment w/ sales at the end of the year
1/11: No update to expect year over year increase to moderate towards a closer alignment with sales at year end</t>
        </r>
      </text>
    </comment>
    <comment ref="AF130" authorId="9">
      <text>
        <r>
          <rPr>
            <b/>
            <sz val="8"/>
            <color indexed="81"/>
            <rFont val="Tahoma"/>
            <family val="2"/>
          </rPr>
          <t>nicholjs:</t>
        </r>
        <r>
          <rPr>
            <sz val="8"/>
            <color indexed="81"/>
            <rFont val="Tahoma"/>
            <family val="2"/>
          </rPr>
          <t xml:space="preserve">
1Q11: Total inventory cost up 13% vs. a year ago, or up 7% excluding in-transit.
2/2011: expect inventory on hand, excluding in transit, to be flat in $ terms at end of spring season, with 1Q up modestly vs. LY but back flat in dollar terms at 2Q end</t>
        </r>
      </text>
    </comment>
    <comment ref="AF131" authorId="9">
      <text>
        <r>
          <rPr>
            <b/>
            <sz val="8"/>
            <color indexed="81"/>
            <rFont val="Tahoma"/>
            <family val="2"/>
          </rPr>
          <t>nicholjs:</t>
        </r>
        <r>
          <rPr>
            <sz val="8"/>
            <color indexed="81"/>
            <rFont val="Tahoma"/>
            <family val="2"/>
          </rPr>
          <t xml:space="preserve">
inventory on hand +3.5% to $433.155mm
inventory in transit +34.3% to $82.973mm
2/2011: expect inventory on hand, excluding in transit, to be flat in $ terms at end of spring season, with 1Q up modestly vs. LY but back flat in dollar terms at 2Q end</t>
        </r>
      </text>
    </comment>
    <comment ref="AF133" authorId="10">
      <text>
        <r>
          <rPr>
            <b/>
            <sz val="8"/>
            <color indexed="81"/>
            <rFont val="Tahoma"/>
            <family val="2"/>
          </rPr>
          <t>solejay:</t>
        </r>
        <r>
          <rPr>
            <sz val="8"/>
            <color indexed="81"/>
            <rFont val="Tahoma"/>
            <family val="2"/>
          </rPr>
          <t xml:space="preserve">
11/16 - "We expect inventory to be up by a greater percentage at year-end and this includes the effect of fourth quarter new store openings."</t>
        </r>
      </text>
    </comment>
    <comment ref="N137" authorId="10">
      <text>
        <r>
          <rPr>
            <sz val="8"/>
            <color indexed="81"/>
            <rFont val="Tahoma"/>
            <family val="2"/>
          </rPr>
          <t>5/16/12: "We ended the quarter with total inventory of costs up 44% versus a year ago. This was higher than planned due to a lower sales trend. However, we continue to expect a significantly moderated rate of growth at the end of the spring season and have adjusted our receipts for the balance of the year to reflect the current sales trend."</t>
        </r>
      </text>
    </comment>
    <comment ref="AF138" authorId="10">
      <text>
        <r>
          <rPr>
            <sz val="8"/>
            <color indexed="81"/>
            <rFont val="Tahoma"/>
            <family val="2"/>
          </rPr>
          <t>5/16/12: "In terms of inventory levels, we expect the rate of growth to moderate significantly the end of Q2 and part of what you see the end of Q1 is the timing effect. We have a lot of spring goods sitting there today and as we look to the balance of the year, we are planning based on that negative mid-single digit like assumption in terms of how we are planning inventory through the end of the year. On that basis we have reduced receipts over the last couple of months on a full-year basis although it had limited impact of where we were at the end of Q1."</t>
        </r>
      </text>
    </comment>
    <comment ref="N144" authorId="11">
      <text>
        <r>
          <rPr>
            <b/>
            <sz val="8"/>
            <color indexed="81"/>
            <rFont val="Tahoma"/>
            <family val="2"/>
          </rPr>
          <t>casselau:</t>
        </r>
        <r>
          <rPr>
            <sz val="8"/>
            <color indexed="81"/>
            <rFont val="Tahoma"/>
            <family val="2"/>
          </rPr>
          <t xml:space="preserve">
2/22/13: expect inventory levels to be down y/y at the end of Q1 and Q2 on a dollar basis </t>
        </r>
      </text>
    </comment>
    <comment ref="N145" authorId="11">
      <text>
        <r>
          <rPr>
            <b/>
            <sz val="8"/>
            <color indexed="81"/>
            <rFont val="Tahoma"/>
            <family val="2"/>
          </rPr>
          <t>casselau:</t>
        </r>
        <r>
          <rPr>
            <sz val="8"/>
            <color indexed="81"/>
            <rFont val="Tahoma"/>
            <family val="2"/>
          </rPr>
          <t xml:space="preserve">
2/22/13: expect inventory levels to be down y/y at the end of Q1 and Q2 on a dollar basis </t>
        </r>
      </text>
    </comment>
    <comment ref="AF165" authorId="11">
      <text>
        <r>
          <rPr>
            <b/>
            <sz val="9"/>
            <color indexed="81"/>
            <rFont val="Tahoma"/>
            <family val="2"/>
          </rPr>
          <t>casselau:</t>
        </r>
        <r>
          <rPr>
            <sz val="9"/>
            <color indexed="81"/>
            <rFont val="Tahoma"/>
            <family val="2"/>
          </rPr>
          <t xml:space="preserve">
3/2/16: expect inventory to be down throughout the year</t>
        </r>
      </text>
    </comment>
  </commentList>
</comments>
</file>

<file path=xl/comments14.xml><?xml version="1.0" encoding="utf-8"?>
<comments xmlns="http://schemas.openxmlformats.org/spreadsheetml/2006/main">
  <authors>
    <author>anujbal</author>
  </authors>
  <commentList>
    <comment ref="A1" authorId="0">
      <text>
        <r>
          <rPr>
            <b/>
            <sz val="8"/>
            <color indexed="81"/>
            <rFont val="Tahoma"/>
            <family val="2"/>
          </rPr>
          <t>卟䙄_x0001_＀＀ㅡ䲿_x001E_乁ⵆ单䙞彇剐䍉⡅㘰㌯⼰〲㈰Ⱜ⥄_x0018_＀＀_x0018_＀＀_x0008_＀＀_x0001_＀＀_x0001_＀＀蔟凫Ẹ䀸⃿䳀_x001E_乁ⵆ单䙞彇剐䍉⡅㄰㌯⼱〲㤰Ⱜ⥄_x0018_＀＀_x0018_＀＀_x0008_＀＀_x0001_＀＀_x0001_＀＀馚香_xD999_䀱ꛨ㷢_x000E_乁幆Űㄱ㈯⼵㈰_x0018_＀＀_x0018_＀＀_x0008_＀＀_x0001_＀＀_x0001_＀＀凬Ẹ⮅䀸⃿䳀_x001E_乁ⵆ单䙞彇剐䍉⡅㄰㌯⼱〲㐰Ⱜ⥄_x0018_＀＀_x0018_＀＀_x0008_＀＀_x0001_＀＀_x0001_＀＀晦晦䀹ㅡ䲿_x001D_乁ⵆ单䙞彇剐䍉⡅㘰㌯ㄯ㤹ⰹ䐬착_x0018_＀＀_x0018_＀＀_x0008_＀＀_x0001_＀＀_x0001_＀＀＀＀＀＀Ѐ䁄ㆹ䲿_x001E_乁ⵆ单䙞彇剐䍉⡅㘰㌯⼰〲㘰Ⱜ⥄_x0018_＀＀_x0018_＀＀_x0008_＀＀_x0001_＀＀_x0001_＀＀ꏗ㵰뜊䁋ㅡ䲿_x001E_乁ⵆ单䙞彇剐䍉⡅㘰㌯⼰〲㄰Ⱜ⥄_x0018_＀＀_x0018_＀＀_x0008_＀＀_x0001_＀＀_x0001_＀＀尨䊏䁆⃿䳀_x001E_乁ⵆ单䙞彇剐䍉⡅㄰㌯⼱〲㠰Ⱜ⥄_x0018_＀＀_x0018_＀＀_x0008_＀＀_x0001_＀＀_x0001_＀＀⣶轜䁓⃿䳀_x001E_乁ⵆ单䙞彇剐䍉⡅㄰㌯⼱〲㌰Ⱜ⥄_x0018_＀＀_x0018_＀＀_x0008_＀＀_x0001_＀＀_x0001_＀＀ꏗ㵰휊䀻ㆹ䲿_x001E_乁ⵆ单䙞彇剐䍉⡅㘰㌯⼰〲〱Ⱜ⥄_x0018_＀＀_x0018_＀＀_x0008_＀＀_x0001_＀＀_x0001_＀＀㵱휊낣䀾ㆹ䲿_x001E_乁ⵆ单䙞彇剐䍉⡅㘰㌯⼰〲㔰Ⱜ⥄_x0018_＀＀_x0018_＀＀_x0008_＀＀_x0001_＀＀_x0001_＀＀쳍쳌Ⳍ䁑땛䲾_x0015_乁ⵆ单坞当卉彏佃䕄〨착_x0014_＀＀_x0018_＀＀_x0004_＀＀_x0001_＀＀_x0008_＀＀单Dㅡ䲿_x001E_乁ⵆ单䙞彇剐䍉⡅㘰㌯⼰〲〰Ⱜ⥄_x0018_＀＀_x0018_＀＀_x0008_＀＀_x0001_＀＀_x0001_＀＀＀＀＀＀怀䀨⃿䳀_x001E_乁ⵆ单䙞彇剐䍉⡅㄰㌯⼱〲㜰Ⱜ⥄_x0018_＀＀_x0018_＀＀_x0008_＀＀_x0001_＀＀_x0001_＀＀尨䁓ꛗ㷢_x000E_ㄱ㈯⼵㈰灞䄁䙎＀＀＀＀ꛖ㷢_x0012_乁幆彐剐䍉彅䱃协䑅_x0019_＀＀_x0018_＀＀	＀＀_x0001_＀＀_x0008_＀＀ㄱ㈯⼵㈰찀ㆹ䲿_x001E_乁ⵆ单䙞彇剐䍉⡅㘰㌯⼰〲㤰Ⱜ⥄_x0018_＀＀_x0018_＀＀_x0008_＀＀_x0001_＀＀_x0001_＀＀炤਽揗䀹⃿䳀_x001E_乁ⵆ单䙞彇剐䍉⡅㄰㌯⼱〲㈰Ⱜ⥄_x0018_＀＀_x0018_＀＀_x0008_＀＀_x0001_＀＀_x0001_＀＀쳍쳌賌䀺ㆹ䲿_x001E_乁ⵆ单䙞彇剐䍉⡅㘰㌯⼰〲㐰Ⱜ⥄_x0018_＀＀_x0018_＀＀_x0008_＀＀_x0001_＀＀_x0001_＀＀＀＀＀＀怀䁃⃿䳀_x001E_乁ⵆ单䙞彇剐䍉⡅㄰㌯⼱〲㘰Ⱜ⥄_x0018_＀＀_x0018_＀＀_x0008_＀＀_x0001_＀＀_x0001_＀＀尩슏飵䁐ㆹ䲿_x001E_乁ⵆ单䙞彇剐䍉⡅㘰㌯⼰〲㠰Ⱜ⥄_x0018_＀＀_x0018_＀＀_x0008_＀＀_x0001_＀＀_x0001_＀＀ꏗ㵰圊䁏⃿䳀_x001E_乁ⵆ单䙞彇剐䍉⡅㄰㌯⼱〲㄰Ⱜ⥄_x0018_＀＀_x0018_＀＀_x0008_＀＀_x0001_＀＀_x0001_＀＀슏⣵콜䀽ㆸ䲿_x001E_乁ⵆ单䙞彇剐䍉⡅㘰㌯⼰〲㌰Ⱜ⥄_x0018_＀＀_x0018_＀＀_x0008_＀＀_x0001_＀＀_x0001_＀＀尩슏棵䀼⃿䳀_x001E_乁ⵆ单䙞彇剐䍉⡅㄰㌯⼱〲〱Ⱜ⥄_x0018_＀＀_x0018_＀＀_x0008_＀＀_x0001_＀＀_x0001_＀＀휊炣訽䀿⃿䳀_x001E_乁ⵆ单䙞彇剐䍉⡅㄰㌯⼱〲㔰Ⱜ⥄_x0018_＀＀_x0018_＀＀_x0008_＀＀_x0001_＀＀_x0001_＀＀슏⣵ཛྷ䁉ㆹ䲿_x001E_乁ⵆ单䙞彇剐䍉⡅㘰㌯⼰〲㜰Ⱜ⥄_x0018_＀＀_x0018_＀＀_x0008_＀＀_x0001_＀＀_x0001_＀＀蔟凫㺸䁒⃿䳀_x001E_乁ⵆ单䙞彇剐䍉⡅㄰㌯⼱〲〰Ⱜ⥄_x0018_＀＀_x0018_＀＀_x0008_＀＀_x0001_＀＀_x0001_＀＀＀＀＀＀怀䀵떏䲾_x001A_乁ⵆ单坞当奆⡃⤰䍀彁奆⡃⤰_x0018_＀＀_x0018_＀＀_x0008_＀＀_x0001_＀＀_x0008_＀＀㄰㈯㄰0</t>
        </r>
      </text>
    </comment>
    <comment ref="B1" authorId="0">
      <text>
        <r>
          <rPr>
            <b/>
            <sz val="8"/>
            <color indexed="81"/>
            <rFont val="Tahoma"/>
            <family val="2"/>
          </rPr>
          <t>1005</t>
        </r>
      </text>
    </comment>
  </commentList>
</comments>
</file>

<file path=xl/comments15.xml><?xml version="1.0" encoding="utf-8"?>
<comments xmlns="http://schemas.openxmlformats.org/spreadsheetml/2006/main">
  <authors>
    <author>John Mark Warren</author>
    <author>Leon Michaelides</author>
    <author>jccastro</author>
  </authors>
  <commentList>
    <comment ref="C31" authorId="0">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1">
      <text>
        <r>
          <rPr>
            <sz val="8"/>
            <color indexed="81"/>
            <rFont val="Tahoma"/>
            <family val="2"/>
          </rPr>
          <t>This is assuming that the take on portfolio of leases is on average half way through their life.   Use the simple example to calculate what % this will be using the same assumptions as in the first year for this model.</t>
        </r>
      </text>
    </comment>
    <comment ref="C44" authorId="1">
      <text>
        <r>
          <rPr>
            <sz val="8"/>
            <color indexed="81"/>
            <rFont val="Tahoma"/>
            <family val="2"/>
          </rPr>
          <t>If the company only begins using operating leases during the historical periods included in the template then for first year set weighted average interest rate equal to the interest implicit in new leases signed.</t>
        </r>
      </text>
    </comment>
    <comment ref="H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t>
        </r>
        <r>
          <rPr>
            <b/>
            <sz val="8"/>
            <color indexed="81"/>
            <rFont val="Tahoma"/>
            <family val="2"/>
          </rPr>
          <t xml:space="preserve"> </t>
        </r>
        <r>
          <rPr>
            <sz val="8"/>
            <color indexed="81"/>
            <rFont val="Tahoma"/>
            <family val="2"/>
          </rPr>
          <t>leases, if exists</t>
        </r>
      </text>
    </comment>
    <comment ref="H45"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t>
        </r>
        <r>
          <rPr>
            <b/>
            <sz val="8"/>
            <color indexed="81"/>
            <rFont val="Tahoma"/>
            <family val="2"/>
          </rPr>
          <t xml:space="preserve"> </t>
        </r>
        <r>
          <rPr>
            <sz val="8"/>
            <color indexed="81"/>
            <rFont val="Tahoma"/>
            <family val="2"/>
          </rPr>
          <t>leases, if exists</t>
        </r>
      </text>
    </comment>
    <comment ref="C47" authorId="1">
      <text>
        <r>
          <rPr>
            <sz val="8"/>
            <color indexed="81"/>
            <rFont val="Tahoma"/>
            <family val="2"/>
          </rPr>
          <t xml:space="preserve">Use as an alternate method of forecasting lease payments.  Or if disclosures are available then use as a sensibility check on forecast lease payments.  </t>
        </r>
      </text>
    </comment>
    <comment ref="C51" authorId="1">
      <text>
        <r>
          <rPr>
            <sz val="8"/>
            <color indexed="81"/>
            <rFont val="Tahoma"/>
            <family val="2"/>
          </rPr>
          <t>An option if disclosure is available is to forecast lease payments per number of leased units.</t>
        </r>
      </text>
    </comment>
    <comment ref="C54" authorId="1">
      <text>
        <r>
          <rPr>
            <sz val="8"/>
            <color indexed="81"/>
            <rFont val="Tahoma"/>
            <family val="2"/>
          </rPr>
          <t>Present Value of the Increase in lease payments each year.  This is the PV of new leases signed and is equivalent to the capital spending financed through operating leases.
Either use an assumed growth rate or forecast capex explicitly.</t>
        </r>
      </text>
    </comment>
    <comment ref="H58" authorId="2">
      <text>
        <r>
          <rPr>
            <sz val="8"/>
            <color indexed="81"/>
            <rFont val="Tahoma"/>
            <family val="2"/>
          </rPr>
          <t>You can break down your lease capex into maintenance and growth, if you don't know the breakdown you can assume all capex is maintenance</t>
        </r>
      </text>
    </comment>
    <comment ref="I58" authorId="2">
      <text>
        <r>
          <rPr>
            <sz val="8"/>
            <color indexed="81"/>
            <rFont val="Tahoma"/>
            <family val="2"/>
          </rPr>
          <t>You can break down your lease capex into maintenance and growth, if you don't know the breakdown you can assume all capex is maintenance</t>
        </r>
      </text>
    </comment>
    <comment ref="J58" authorId="2">
      <text>
        <r>
          <rPr>
            <sz val="8"/>
            <color indexed="81"/>
            <rFont val="Tahoma"/>
            <family val="2"/>
          </rPr>
          <t>You can break down your lease capex into maintenance and growth, if you don't know the breakdown you can assume all capex is maintenance</t>
        </r>
      </text>
    </comment>
    <comment ref="C59" authorId="1">
      <text>
        <r>
          <rPr>
            <sz val="8"/>
            <color indexed="81"/>
            <rFont val="Tahoma"/>
            <family val="2"/>
          </rPr>
          <t>Present Value of the Increase in lease payments each year.  This is the PV of new leases signed and is equivalent to the capital spending for sustaining operations financed through operating leases.
Either use an assumed growth rate or forecast capex explicitly.</t>
        </r>
      </text>
    </comment>
    <comment ref="C60" authorId="1">
      <text>
        <r>
          <rPr>
            <sz val="8"/>
            <color indexed="81"/>
            <rFont val="Tahoma"/>
            <family val="2"/>
          </rPr>
          <t>Present Value of the Increase in lease payments each year.  This is the PV of new leases signed and is equivalent to the capital spending for growth of operations financed through operating leases.
Either use an assumed growth rate or forecast capex explicitly.</t>
        </r>
      </text>
    </comment>
    <comment ref="Q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R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S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1">
      <text>
        <r>
          <rPr>
            <sz val="8"/>
            <color indexed="81"/>
            <rFont val="Tahoma"/>
            <family val="2"/>
          </rPr>
          <t>non cancelable leases only</t>
        </r>
      </text>
    </comment>
    <comment ref="H70" authorId="2">
      <text>
        <r>
          <rPr>
            <sz val="8"/>
            <color indexed="81"/>
            <rFont val="Tahoma"/>
            <family val="2"/>
          </rPr>
          <t xml:space="preserve">This is used for calculating the rate of depreciation for the assets added due to the leases
</t>
        </r>
      </text>
    </comment>
    <comment ref="H71" authorId="2">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2">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2">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1">
      <text>
        <r>
          <rPr>
            <sz val="8"/>
            <color indexed="81"/>
            <rFont val="Tahoma"/>
            <family val="2"/>
          </rPr>
          <t>Pls input to estimated percentage of leased assets that would not be depreciated (i.e. land). This will be excluded from the calculation of your depreciation in the waterfall schedule. We will assume the same portion applies to all years.</t>
        </r>
      </text>
    </comment>
    <comment ref="H151" authorId="1">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factor is between 1 and 2. It should be related to how advanced you are into your lease life (how many remaining years you have left). If you are towards the beginning of your lease life, then the factor should be close to 1 (because the asset you are recognizing is almost the same value as the original asset, if you are towards the mid point, then it should be closer to 2 times. Your input should be directly related to the input you put in cell C20.</t>
        </r>
        <r>
          <rPr>
            <sz val="8"/>
            <color indexed="81"/>
            <rFont val="Tahoma"/>
            <family val="2"/>
          </rPr>
          <t xml:space="preserve">
</t>
        </r>
      </text>
    </comment>
    <comment ref="H153" authorId="2">
      <text>
        <r>
          <rPr>
            <sz val="8"/>
            <color indexed="81"/>
            <rFont val="Tahoma"/>
            <family val="2"/>
          </rPr>
          <t>Original value of the asset recognized in the BS , excluding the portion that would not be depreciable</t>
        </r>
      </text>
    </comment>
    <comment ref="I153" authorId="2">
      <text>
        <r>
          <rPr>
            <sz val="8"/>
            <color indexed="81"/>
            <rFont val="Tahoma"/>
            <family val="2"/>
          </rPr>
          <t>total additions, except for the portion considered to be non-depreciable</t>
        </r>
      </text>
    </comment>
    <comment ref="H154" authorId="2">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2">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comments16.xml><?xml version="1.0" encoding="utf-8"?>
<comments xmlns="http://schemas.openxmlformats.org/spreadsheetml/2006/main">
  <authors>
    <author>Cassel, Lauren (Research)</author>
  </authors>
  <commentList>
    <comment ref="H32" authorId="0">
      <text>
        <r>
          <rPr>
            <b/>
            <sz val="9"/>
            <color indexed="81"/>
            <rFont val="Tahoma"/>
            <family val="2"/>
          </rPr>
          <t>Cassel, Lauren (Research):</t>
        </r>
        <r>
          <rPr>
            <sz val="9"/>
            <color indexed="81"/>
            <rFont val="Tahoma"/>
            <family val="2"/>
          </rPr>
          <t xml:space="preserve">
1-yr Daily Raw beta</t>
        </r>
      </text>
    </comment>
  </commentList>
</comments>
</file>

<file path=xl/sharedStrings.xml><?xml version="1.0" encoding="utf-8"?>
<sst xmlns="http://schemas.openxmlformats.org/spreadsheetml/2006/main" count="6230" uniqueCount="1863">
  <si>
    <t>Dividends paid</t>
  </si>
  <si>
    <t>Extraordinary Items</t>
  </si>
  <si>
    <t>Paris</t>
  </si>
  <si>
    <t>Madrid</t>
  </si>
  <si>
    <t>Bull</t>
  </si>
  <si>
    <t>Bear</t>
  </si>
  <si>
    <t>Source: Company reports and Morgan Stanley estimates.</t>
  </si>
  <si>
    <t>Source:  Company data and Morgan Stanley estimates.</t>
  </si>
  <si>
    <t>Source: Morgan Stanley</t>
  </si>
  <si>
    <t>Source:  Company reports and Morgan Stanley estimates.</t>
  </si>
  <si>
    <t>2010A</t>
  </si>
  <si>
    <t>Excl.</t>
  </si>
  <si>
    <t>New Space Productivity (Avg. Gross Sq ft)</t>
  </si>
  <si>
    <t>New Space Productivity (Avg. Unit)</t>
  </si>
  <si>
    <t>Land</t>
  </si>
  <si>
    <t>Building</t>
  </si>
  <si>
    <t>Furniture, fixtures, equipment</t>
  </si>
  <si>
    <t>Information Technology</t>
  </si>
  <si>
    <t>Equity Value</t>
  </si>
  <si>
    <t>2009A</t>
  </si>
  <si>
    <t>2008A</t>
  </si>
  <si>
    <t>2007PF</t>
  </si>
  <si>
    <t>2006PF</t>
  </si>
  <si>
    <t>2005PF</t>
  </si>
  <si>
    <t>8.  GAAP Earnings   (% Change)</t>
  </si>
  <si>
    <t xml:space="preserve">     % Operating Margin</t>
  </si>
  <si>
    <t>2007A</t>
  </si>
  <si>
    <t>Revenues</t>
  </si>
  <si>
    <t>2005A</t>
  </si>
  <si>
    <t>Annual dividend</t>
  </si>
  <si>
    <t>Turnover</t>
  </si>
  <si>
    <t>Analysis</t>
  </si>
  <si>
    <t xml:space="preserve">Excl.  </t>
  </si>
  <si>
    <t>Occup. Costs</t>
  </si>
  <si>
    <t>Incl.</t>
  </si>
  <si>
    <t>Restated</t>
  </si>
  <si>
    <t>Deferred lease credits</t>
  </si>
  <si>
    <t>Long-Term Deferred Lease Credits</t>
  </si>
  <si>
    <t>Construction allowances</t>
  </si>
  <si>
    <t>13.  Basic Shares Outstanding (Average)</t>
  </si>
  <si>
    <t>Cash Per Share</t>
  </si>
  <si>
    <t>Source: Company reports and Smith Barney estimates.</t>
  </si>
  <si>
    <t>Cash Flow Per Share</t>
  </si>
  <si>
    <t>Net working capital</t>
  </si>
  <si>
    <t>14.  Depreciation</t>
  </si>
  <si>
    <t>FC</t>
  </si>
  <si>
    <t xml:space="preserve">  Depreciation</t>
  </si>
  <si>
    <t>Ruehl</t>
  </si>
  <si>
    <t>Note: Ending cash balance + ST investments</t>
  </si>
  <si>
    <t>Extraordinary Item</t>
  </si>
  <si>
    <t xml:space="preserve"> Shares Outstanding</t>
  </si>
  <si>
    <t xml:space="preserve">Oct </t>
  </si>
  <si>
    <t>Other Income/(Expense)</t>
  </si>
  <si>
    <t xml:space="preserve">      Stores and Distribution</t>
  </si>
  <si>
    <t xml:space="preserve">      % of Sales</t>
  </si>
  <si>
    <t xml:space="preserve">      Marketing, G &amp;A</t>
  </si>
  <si>
    <t xml:space="preserve">     Total SG&amp;A Expense Ratio</t>
  </si>
  <si>
    <t>+/- Remodel/conversion</t>
  </si>
  <si>
    <t>2006A</t>
  </si>
  <si>
    <t>9.  Operating Earnings Per Share -- Fully Diluted   (% Change)</t>
  </si>
  <si>
    <t>Reported Earnings Per Share -- Fully Diluted   (% Change)</t>
  </si>
  <si>
    <t>HOLLISTER</t>
  </si>
  <si>
    <t>2004A</t>
  </si>
  <si>
    <t>2004</t>
  </si>
  <si>
    <t xml:space="preserve">(a) 2002 and subsequent years are reclassified to exclude Buying &amp; Occupancy and certain home office costs </t>
  </si>
  <si>
    <t>(b) As of 2002 Total Stores &amp; Distribution and Buying &amp; Occupancy and certain home office expenses are included in SG&amp;A expense</t>
  </si>
  <si>
    <t>2.  Cost of Goods Sold   (% Gross Margin) (a)</t>
  </si>
  <si>
    <t>Market Capitalization</t>
  </si>
  <si>
    <t>2011A</t>
  </si>
  <si>
    <t xml:space="preserve">Retail Method </t>
  </si>
  <si>
    <t xml:space="preserve">RETAIL METHOD </t>
  </si>
  <si>
    <t>3.  Selling, General &amp; Administrative Expenses   (% of Sales) (b)</t>
  </si>
  <si>
    <t>not restated</t>
  </si>
  <si>
    <t>Stores &amp; Distribution Costs (% of Sales) (included in SG&amp;A for modeling purposes)</t>
  </si>
  <si>
    <t>Marketing, General &amp; Administrative Costs (% of Sales)  (included in SG&amp;A for modeling purposes)</t>
  </si>
  <si>
    <t>CAGR</t>
  </si>
  <si>
    <t>%</t>
  </si>
  <si>
    <t xml:space="preserve">   % Chg. from LY</t>
  </si>
  <si>
    <t># Stores Open BOY</t>
  </si>
  <si>
    <t>- Stores Closed</t>
  </si>
  <si>
    <t># Stores Open EOY</t>
  </si>
  <si>
    <t>Avg. # Open</t>
  </si>
  <si>
    <t xml:space="preserve">   % Chg. Avg. Units</t>
  </si>
  <si>
    <t>Avg Net Sales Per Store ($MM)</t>
  </si>
  <si>
    <t>Avg. Gross Sq. Ft. (MM)</t>
  </si>
  <si>
    <t>Ending Gross Sq. Ft. (MM)</t>
  </si>
  <si>
    <t>Avg. Store Size (Gross Sq. Ft.)</t>
  </si>
  <si>
    <t>Comparable-Store Sales</t>
  </si>
  <si>
    <t>ANF.N,mscalc:targetPrice</t>
  </si>
  <si>
    <t>,mscalc:targetPrice,,,,USD</t>
  </si>
  <si>
    <t>,mscalc:closePriceCurrencyCalc</t>
  </si>
  <si>
    <t>,mscalc:sedolCodeCalc</t>
  </si>
  <si>
    <t>New Space Productivity</t>
  </si>
  <si>
    <t>Operating Profit ($MM)</t>
  </si>
  <si>
    <t xml:space="preserve">     % Margin</t>
  </si>
  <si>
    <t>TOTAL ASSETS</t>
  </si>
  <si>
    <t>Apr</t>
  </si>
  <si>
    <t>Jul</t>
  </si>
  <si>
    <t>Multiple</t>
  </si>
  <si>
    <t>Oct</t>
  </si>
  <si>
    <t>Jan</t>
  </si>
  <si>
    <t>($ millions except per share data)</t>
  </si>
  <si>
    <t>1.  Sales</t>
  </si>
  <si>
    <t xml:space="preserve">     % Increase</t>
  </si>
  <si>
    <t>2.  Cost of Goods Sold</t>
  </si>
  <si>
    <t>3.  SG&amp;A Expense</t>
  </si>
  <si>
    <t>2009-2010 openings -----------------------------------------------------------&gt;</t>
  </si>
  <si>
    <t xml:space="preserve">       % Margin</t>
  </si>
  <si>
    <t xml:space="preserve">       % Tax Rate</t>
  </si>
  <si>
    <t xml:space="preserve">       % Net Margin</t>
  </si>
  <si>
    <t xml:space="preserve">       % Increase</t>
  </si>
  <si>
    <t>Quarterly Operating Results and Financial Analysis</t>
  </si>
  <si>
    <t>All Other</t>
  </si>
  <si>
    <t xml:space="preserve"> Pre-Opening</t>
  </si>
  <si>
    <t>($ in millions except per share data)</t>
  </si>
  <si>
    <t>1Q</t>
  </si>
  <si>
    <t>2Q</t>
  </si>
  <si>
    <t>3Q</t>
  </si>
  <si>
    <t>4Q</t>
  </si>
  <si>
    <t>Year</t>
  </si>
  <si>
    <t>6 Mos</t>
  </si>
  <si>
    <t>9 Mos</t>
  </si>
  <si>
    <t>Balance Sheet</t>
  </si>
  <si>
    <t>($ in millions)</t>
  </si>
  <si>
    <t>Deferred taxes</t>
  </si>
  <si>
    <t>Total Current Assets</t>
  </si>
  <si>
    <t>Liabilities and Shareholders' Equity</t>
  </si>
  <si>
    <t>Current Liabilities:</t>
  </si>
  <si>
    <t>Income taxes payable</t>
  </si>
  <si>
    <t>Total Current Liabilities</t>
  </si>
  <si>
    <t>Deferred compensation</t>
  </si>
  <si>
    <t>Other long-term liabilities</t>
  </si>
  <si>
    <t>Shareholders' Equity:</t>
  </si>
  <si>
    <t>Common stock</t>
  </si>
  <si>
    <t>Additional paid-in capital</t>
  </si>
  <si>
    <t>Retained earnings</t>
  </si>
  <si>
    <t>Total Shareholders' Equity</t>
  </si>
  <si>
    <t>Total Long-Term Liabilities</t>
  </si>
  <si>
    <t>Balance Check</t>
  </si>
  <si>
    <t>Other assets</t>
  </si>
  <si>
    <t>Long-term debt</t>
  </si>
  <si>
    <t>11</t>
  </si>
  <si>
    <t>Leverage ratio (under 3.75x)</t>
  </si>
  <si>
    <t>Coverage ratio (above 2.0x)</t>
  </si>
  <si>
    <t>TOTAL LIABILITIES AND S/H EQUITY</t>
  </si>
  <si>
    <t>Sales</t>
  </si>
  <si>
    <t>COGS</t>
  </si>
  <si>
    <t>SG&amp;A</t>
  </si>
  <si>
    <t>Ratio calculations:</t>
  </si>
  <si>
    <t>Net Income</t>
  </si>
  <si>
    <t>A/R / Sales</t>
  </si>
  <si>
    <t>A/P / Inventory</t>
  </si>
  <si>
    <t>Merchandise Inventory / Sales</t>
  </si>
  <si>
    <t>Cash Flow Statement</t>
  </si>
  <si>
    <t xml:space="preserve">     % Gross Margin</t>
  </si>
  <si>
    <t>($ millions)</t>
  </si>
  <si>
    <t>$ in Millions</t>
  </si>
  <si>
    <t>% Change</t>
  </si>
  <si>
    <t>Quarterly</t>
  </si>
  <si>
    <t>Stores</t>
  </si>
  <si>
    <t>Inventory</t>
  </si>
  <si>
    <t>Inventory vs.</t>
  </si>
  <si>
    <t>Open</t>
  </si>
  <si>
    <t>Y-o-Y</t>
  </si>
  <si>
    <t>Cost of</t>
  </si>
  <si>
    <t>End of</t>
  </si>
  <si>
    <t>Prior</t>
  </si>
  <si>
    <t>Following</t>
  </si>
  <si>
    <t>at End</t>
  </si>
  <si>
    <t>per</t>
  </si>
  <si>
    <t xml:space="preserve">   % Chg. from LY, Ending</t>
  </si>
  <si>
    <t>Goods Sold</t>
  </si>
  <si>
    <t>Quarter</t>
  </si>
  <si>
    <t>Average</t>
  </si>
  <si>
    <t>Prior Year</t>
  </si>
  <si>
    <t>Store</t>
  </si>
  <si>
    <t>Change</t>
  </si>
  <si>
    <t>x</t>
  </si>
  <si>
    <t>(a) Cost of Goods Sold divided by average inventory for the quarter.</t>
  </si>
  <si>
    <t>(b) Following quarter's COGS divided by inventory at the end of the quarter.</t>
  </si>
  <si>
    <t>Total</t>
  </si>
  <si>
    <t>Comp</t>
  </si>
  <si>
    <t>Total/Comp</t>
  </si>
  <si>
    <t>Spread</t>
  </si>
  <si>
    <t>(1) - (2)</t>
  </si>
  <si>
    <t>(3)</t>
  </si>
  <si>
    <t>(1)</t>
  </si>
  <si>
    <t>(2)</t>
  </si>
  <si>
    <t>No. of Stores</t>
  </si>
  <si>
    <t>(4)</t>
  </si>
  <si>
    <t>(5)</t>
  </si>
  <si>
    <t>Expansion</t>
  </si>
  <si>
    <t>(6)</t>
  </si>
  <si>
    <t>Non-Comp</t>
  </si>
  <si>
    <t>Space</t>
  </si>
  <si>
    <t>Productivity (3)/(6)</t>
  </si>
  <si>
    <t>(7)</t>
  </si>
  <si>
    <t>(8)</t>
  </si>
  <si>
    <t>Per Avg.</t>
  </si>
  <si>
    <t>(9)</t>
  </si>
  <si>
    <t>Percent</t>
  </si>
  <si>
    <t>(10)</t>
  </si>
  <si>
    <t>vs.</t>
  </si>
  <si>
    <t>Turnover Analysis</t>
  </si>
  <si>
    <t>Average (a)</t>
  </si>
  <si>
    <t>Quarter (b)</t>
  </si>
  <si>
    <t>of Quarter</t>
  </si>
  <si>
    <t>Year-to-Year Dollar Change in Working Capital</t>
  </si>
  <si>
    <t>Net income</t>
  </si>
  <si>
    <t>Depreciation and amortization</t>
  </si>
  <si>
    <t>Other non-cash adjustments</t>
  </si>
  <si>
    <t>TOTAL OPERATING SOURCES</t>
  </si>
  <si>
    <t>Uses of Cash</t>
  </si>
  <si>
    <t>Capital expenditures</t>
  </si>
  <si>
    <t>Increase (decrease) in</t>
  </si>
  <si>
    <t>Inventories</t>
  </si>
  <si>
    <t xml:space="preserve">(Increase) decrease in </t>
  </si>
  <si>
    <t>INTERNAL CASH GENERATION (FUNDS NEEDED)</t>
  </si>
  <si>
    <t>Dataciti Items</t>
  </si>
  <si>
    <t>Amortization</t>
  </si>
  <si>
    <t xml:space="preserve">Total D&amp;A </t>
  </si>
  <si>
    <t>Gross PPE</t>
  </si>
  <si>
    <t>Accumulated Depreciation</t>
  </si>
  <si>
    <t>restated</t>
  </si>
  <si>
    <t>Depreciation as % of D&amp;A</t>
  </si>
  <si>
    <t>BASE CASE</t>
  </si>
  <si>
    <t>Depreciation &amp; Amortization</t>
  </si>
  <si>
    <t>Interest and Other Exp/(Inc)</t>
  </si>
  <si>
    <t>Pretax Income</t>
  </si>
  <si>
    <t>Net Income from Operations</t>
  </si>
  <si>
    <t>Average Diluted Shares</t>
  </si>
  <si>
    <t>Comparable Store Sales</t>
  </si>
  <si>
    <t>Abercrombie &amp; Fitch - Bull/Base/Bear Case Model</t>
  </si>
  <si>
    <t>Pension Assets</t>
  </si>
  <si>
    <t>Pension Liabilities</t>
  </si>
  <si>
    <t>Pension Defecit/Surplus</t>
  </si>
  <si>
    <t>Capex Growth</t>
  </si>
  <si>
    <t>Cape Maintenance</t>
  </si>
  <si>
    <t>Total Capex</t>
  </si>
  <si>
    <t>FX Adjustment</t>
  </si>
  <si>
    <t>Net PPE</t>
  </si>
  <si>
    <t>TOTAL OPERATING USES</t>
  </si>
  <si>
    <t>External Sources and Changes in Cash</t>
  </si>
  <si>
    <t>Beginning cash balance</t>
  </si>
  <si>
    <t>Ending cash balance</t>
  </si>
  <si>
    <t>Increase (decrease) in cash</t>
  </si>
  <si>
    <t xml:space="preserve">       </t>
  </si>
  <si>
    <t>At January 31 of the following year</t>
  </si>
  <si>
    <t>Period</t>
  </si>
  <si>
    <t>TBD</t>
  </si>
  <si>
    <t>$</t>
  </si>
  <si>
    <t>NA</t>
  </si>
  <si>
    <t>For the fiscal year ending January 31 of the following year</t>
  </si>
  <si>
    <t xml:space="preserve">Net Sales ($MM) </t>
  </si>
  <si>
    <t>TOTAL EXTERNAL SOURCES</t>
  </si>
  <si>
    <t>Total External Sources &amp; Cash</t>
  </si>
  <si>
    <t>% margin</t>
  </si>
  <si>
    <t>Inventory     (Y-o-Y % Change vs. % Sales Growth)</t>
  </si>
  <si>
    <t>2003E</t>
  </si>
  <si>
    <t>Late 2010-2011 openings ----------------------------------------------&gt;</t>
  </si>
  <si>
    <t>CapEx</t>
  </si>
  <si>
    <t>Op Income</t>
  </si>
  <si>
    <t>% Margin</t>
  </si>
  <si>
    <t>Sales ($M)</t>
  </si>
  <si>
    <t>Equals:  "Operating" Working Capital     (Y-o-Y % Change vs. % Sales Growth)</t>
  </si>
  <si>
    <t>Plus:  Receivables and Other Current Assets     (Y-o-Y % Change vs. % Sales Growth)</t>
  </si>
  <si>
    <t>Less:   Accounts Payable     (Y-o-Y % Change vs. % Sales Growth)</t>
  </si>
  <si>
    <t>Less:  Accrued Liabilities and Other     (Y-o-Y % Change vs. % Sales Growth)</t>
  </si>
  <si>
    <t>Total Sales</t>
  </si>
  <si>
    <t>New Store Size (Gross Sq. Ft.)</t>
  </si>
  <si>
    <t>Square Footage</t>
  </si>
  <si>
    <t>At</t>
  </si>
  <si>
    <t>Sq. Ft.</t>
  </si>
  <si>
    <t>Sources of Cash</t>
  </si>
  <si>
    <t>EBITDA</t>
  </si>
  <si>
    <t>EPS</t>
  </si>
  <si>
    <t>Gross Margin</t>
  </si>
  <si>
    <t>EBITDA Margin</t>
  </si>
  <si>
    <t>Operating Margin</t>
  </si>
  <si>
    <t>Net Margin</t>
  </si>
  <si>
    <t>Source:  Company data.</t>
  </si>
  <si>
    <t>Hamburg</t>
  </si>
  <si>
    <t>Hong Kong</t>
  </si>
  <si>
    <t>Munich</t>
  </si>
  <si>
    <t>Amsterdam</t>
  </si>
  <si>
    <t>($ millions, except inventory per sq. ft. data)</t>
  </si>
  <si>
    <t>($ millions except per-share data)</t>
  </si>
  <si>
    <t>Quarterly Results and Estimates</t>
  </si>
  <si>
    <t/>
  </si>
  <si>
    <t>Income Statement</t>
  </si>
  <si>
    <t>Cost of Goods Sold</t>
  </si>
  <si>
    <t>Gross Profit</t>
  </si>
  <si>
    <t>SG&amp;A Expense</t>
  </si>
  <si>
    <t>Depr. &amp; Amort.</t>
  </si>
  <si>
    <t xml:space="preserve">   Pretax Income</t>
  </si>
  <si>
    <t>Taxes</t>
  </si>
  <si>
    <t>Net Inc. From Ops</t>
  </si>
  <si>
    <t>Average Shares</t>
  </si>
  <si>
    <t xml:space="preserve">EBITDA </t>
  </si>
  <si>
    <t>Margin Analysis</t>
  </si>
  <si>
    <t xml:space="preserve">Gross Margin </t>
  </si>
  <si>
    <t>Expense Ratio</t>
  </si>
  <si>
    <t>Pretax Margin</t>
  </si>
  <si>
    <t>Tax Rate</t>
  </si>
  <si>
    <t>Year-Over-Year Growth</t>
  </si>
  <si>
    <t>Comp. Store Sales</t>
  </si>
  <si>
    <t>SG&amp;A  Expense</t>
  </si>
  <si>
    <t>Operating Income</t>
  </si>
  <si>
    <t>Earnings Per Share</t>
  </si>
  <si>
    <t>Inventory Turnover</t>
  </si>
  <si>
    <t>Total Sq Ft (millions)</t>
  </si>
  <si>
    <t>Payables / Inventory</t>
  </si>
  <si>
    <t xml:space="preserve">Avg Size </t>
  </si>
  <si>
    <t>Debt to Total capital</t>
  </si>
  <si>
    <t>Interest Income/(Expense)</t>
  </si>
  <si>
    <t>5th ave</t>
  </si>
  <si>
    <t>sales/sq ft</t>
  </si>
  <si>
    <t>Tokyo</t>
  </si>
  <si>
    <t>Copenhagen</t>
  </si>
  <si>
    <t>Milan</t>
  </si>
  <si>
    <t>'08 sales/sq ft</t>
  </si>
  <si>
    <t xml:space="preserve">5-year avg. </t>
  </si>
  <si>
    <t xml:space="preserve">     relative to A&amp;F</t>
  </si>
  <si>
    <t>Holl</t>
  </si>
  <si>
    <t>Soho</t>
  </si>
  <si>
    <t>London</t>
  </si>
  <si>
    <t>annual sales (Ms)</t>
  </si>
  <si>
    <t>sq. ft (Ks)</t>
  </si>
  <si>
    <t>A</t>
  </si>
  <si>
    <t>Quarterly Analysis of Debt and Total Capital</t>
  </si>
  <si>
    <t>Cash &amp; Equivalents</t>
  </si>
  <si>
    <t>Short-Term Debt</t>
  </si>
  <si>
    <t>Long-Term Debt</t>
  </si>
  <si>
    <t>Total Debt</t>
  </si>
  <si>
    <t>Net Debt (Total Debt Less Cash)</t>
  </si>
  <si>
    <t>Shareholders' Equity</t>
  </si>
  <si>
    <t>Total Capital</t>
  </si>
  <si>
    <t>Total Debt as % of Total Capital</t>
  </si>
  <si>
    <t xml:space="preserve">     Rent as a % of Store Sales</t>
  </si>
  <si>
    <t>Net Debt as % of Total Capital</t>
  </si>
  <si>
    <t>(11)</t>
  </si>
  <si>
    <t>(12)</t>
  </si>
  <si>
    <t>(13)</t>
  </si>
  <si>
    <t>Square Ft.</t>
  </si>
  <si>
    <t>(14)</t>
  </si>
  <si>
    <t>(15)</t>
  </si>
  <si>
    <t>(16)</t>
  </si>
  <si>
    <t>(17)</t>
  </si>
  <si>
    <t>Productivity (3)/(13)</t>
  </si>
  <si>
    <t>Sales (mm)</t>
  </si>
  <si>
    <t>Sales (mm, except per foot data)</t>
  </si>
  <si>
    <t>Store Analysis</t>
  </si>
  <si>
    <t>Square Footage Analysis</t>
  </si>
  <si>
    <t>+ New Store Openings</t>
  </si>
  <si>
    <t>Source:  Company reports.</t>
  </si>
  <si>
    <t xml:space="preserve">                                                                                                                        </t>
  </si>
  <si>
    <t>ANF</t>
  </si>
  <si>
    <t>Abercrombie &amp; Fitch</t>
  </si>
  <si>
    <r>
      <t>Direct Sales (E)</t>
    </r>
    <r>
      <rPr>
        <vertAlign val="superscript"/>
        <sz val="10"/>
        <rFont val="Arial"/>
        <family val="2"/>
      </rPr>
      <t>1</t>
    </r>
  </si>
  <si>
    <t>Ordinary shares</t>
  </si>
  <si>
    <t>Average Ordinary shares</t>
  </si>
  <si>
    <t>***Expect international flagships open in 2011 (10) to product $450mm annual</t>
  </si>
  <si>
    <t>INTERNATIONAL SALES</t>
  </si>
  <si>
    <t>DOMESTIC SALES</t>
  </si>
  <si>
    <t xml:space="preserve">Check </t>
  </si>
  <si>
    <t>y/y</t>
  </si>
  <si>
    <t xml:space="preserve">Growth </t>
  </si>
  <si>
    <t>% of</t>
  </si>
  <si>
    <t>Growth</t>
  </si>
  <si>
    <t>% of Total</t>
  </si>
  <si>
    <t>net debt</t>
  </si>
  <si>
    <t>shares out</t>
  </si>
  <si>
    <t>Qtr P&amp;L</t>
  </si>
  <si>
    <t>This Tab</t>
  </si>
  <si>
    <t>Incremental Flagship Revenue</t>
  </si>
  <si>
    <t>2018E</t>
  </si>
  <si>
    <t>Store/Location</t>
  </si>
  <si>
    <t>1Q12 PH</t>
  </si>
  <si>
    <t>2Q12 PH</t>
  </si>
  <si>
    <t>3Q12 PH</t>
  </si>
  <si>
    <t>4Q12 PH</t>
  </si>
  <si>
    <t>Occupancy Hit</t>
  </si>
  <si>
    <t>2Q11</t>
  </si>
  <si>
    <t>3Q11</t>
  </si>
  <si>
    <t>4Q11</t>
  </si>
  <si>
    <t>Annual Rent</t>
  </si>
  <si>
    <t>Quarterly Rent</t>
  </si>
  <si>
    <t>Annual Sales</t>
  </si>
  <si>
    <t>Depreciation</t>
  </si>
  <si>
    <t>2017E</t>
  </si>
  <si>
    <t>ROST.O,mscalc:closePriceCurrencyCalc</t>
  </si>
  <si>
    <t>ROST.O,mscalc:sedolCodeCalc</t>
  </si>
  <si>
    <t>2746711</t>
  </si>
  <si>
    <t>ROST.O,mscalc:targetPrice,,,,USD</t>
  </si>
  <si>
    <t>NI reported</t>
  </si>
  <si>
    <t>ABERCROMBIE &amp; FITCH STORES</t>
  </si>
  <si>
    <t>Leasehold improvements</t>
  </si>
  <si>
    <t>Construction in progress</t>
  </si>
  <si>
    <t>Other</t>
  </si>
  <si>
    <t>Less: Accumulated D&amp;A</t>
  </si>
  <si>
    <t>Total sales include each division's Direct sales</t>
  </si>
  <si>
    <t>%Direct</t>
  </si>
  <si>
    <t>EST DIRECT SALES</t>
  </si>
  <si>
    <t>RETAIL</t>
  </si>
  <si>
    <t>TOTAL</t>
  </si>
  <si>
    <t>SALES</t>
  </si>
  <si>
    <t xml:space="preserve">      Operating Income</t>
  </si>
  <si>
    <t xml:space="preserve"> Marketing, General, Administrative</t>
  </si>
  <si>
    <t xml:space="preserve"> Stores &amp; Distribution Costs</t>
  </si>
  <si>
    <t>Note: ANF financials exclude discontinued operations of RUEHL As previously announced, on June 16, 2009, ANF’s Board of Directors approved the closure of ANF’s 29 Ruehl branded stores and related direct-to-consumer operations</t>
  </si>
  <si>
    <t>ANF completed the closure during 4Q09 &amp; the after-tax operating results of Ruehl for each period presented are now classified under discontinued operations.</t>
  </si>
  <si>
    <t>Reported EPS</t>
  </si>
  <si>
    <t>Operating EPS</t>
  </si>
  <si>
    <t>Currency</t>
  </si>
  <si>
    <t>Current Stock Price</t>
  </si>
  <si>
    <t>Count</t>
  </si>
  <si>
    <t>ANF.N,mscalc:sedolCodeCalc</t>
  </si>
  <si>
    <t>ANF.N,mscalc:closePriceCurrencyCalc</t>
  </si>
  <si>
    <t>ANF.N,mscalc:targetPrice,,,,USD</t>
  </si>
  <si>
    <t>USD</t>
  </si>
  <si>
    <t>ANF.N</t>
  </si>
  <si>
    <t>Abercrombie &amp; Fitch Co.</t>
  </si>
  <si>
    <t>Revenue</t>
  </si>
  <si>
    <t xml:space="preserve">     Comparable Store Sales</t>
  </si>
  <si>
    <t>Capital Expenditures</t>
  </si>
  <si>
    <t>2004185</t>
  </si>
  <si>
    <t>1Q11</t>
  </si>
  <si>
    <t>Total revs</t>
  </si>
  <si>
    <t>Expenses</t>
  </si>
  <si>
    <t>Domestic</t>
  </si>
  <si>
    <t>International</t>
  </si>
  <si>
    <t>Assumptions</t>
  </si>
  <si>
    <t>Gilly Hicks</t>
  </si>
  <si>
    <t>EBITDAR</t>
  </si>
  <si>
    <t>2015 EPS</t>
  </si>
  <si>
    <t>Repo:</t>
  </si>
  <si>
    <t>01/2010</t>
  </si>
  <si>
    <t>Note: 3Q05 Excludes $13.5 million of MG&amp;A related to severance expenses</t>
  </si>
  <si>
    <t>Marketable Securities</t>
  </si>
  <si>
    <t>TOTAL COMPANY</t>
  </si>
  <si>
    <t>COH.N,mscalc:epsForConsensusForThomsonFeed,2013FY,,FYR</t>
  </si>
  <si>
    <t>4.11757789050635</t>
  </si>
  <si>
    <t>COH.N,mscalc:epsForConsensusForThomsonFeed,2012FY,,FYR</t>
  </si>
  <si>
    <t>3.51606604963964</t>
  </si>
  <si>
    <t>NM</t>
  </si>
  <si>
    <t>- Stores Closed (a)</t>
  </si>
  <si>
    <t>Avg. Sales Per Store ($MM)</t>
  </si>
  <si>
    <t>Sales Per Avg. Gross Sq. Ft.</t>
  </si>
  <si>
    <t>abercrombie (kids)</t>
  </si>
  <si>
    <t>Hollister</t>
  </si>
  <si>
    <t>- Stores Closed (U.S.)</t>
  </si>
  <si>
    <t>Abercrombie &amp; Fitch (Total)</t>
  </si>
  <si>
    <t>A&amp;F</t>
  </si>
  <si>
    <t>Expansion Analysis (000's Selling Square Footage)</t>
  </si>
  <si>
    <t>Division</t>
  </si>
  <si>
    <t>1990</t>
  </si>
  <si>
    <t>1991</t>
  </si>
  <si>
    <t>1992</t>
  </si>
  <si>
    <t>1993</t>
  </si>
  <si>
    <t>1994</t>
  </si>
  <si>
    <t>1995</t>
  </si>
  <si>
    <t>1996</t>
  </si>
  <si>
    <t>1997</t>
  </si>
  <si>
    <t>1998</t>
  </si>
  <si>
    <t>1999</t>
  </si>
  <si>
    <t>2000</t>
  </si>
  <si>
    <t>#</t>
  </si>
  <si>
    <t>Avg [ ]</t>
  </si>
  <si>
    <t>Total [ ]</t>
  </si>
  <si>
    <t>(000)</t>
  </si>
  <si>
    <t xml:space="preserve">     Beg of Yr</t>
  </si>
  <si>
    <t>Lease-5.16</t>
  </si>
  <si>
    <t>LEASE MODEL</t>
  </si>
  <si>
    <t>FINL.O</t>
  </si>
  <si>
    <t>SegmentID</t>
  </si>
  <si>
    <t>Template Start Year</t>
  </si>
  <si>
    <t>Reverse Rent Payment</t>
  </si>
  <si>
    <t>Add Implied Depreciation Expense</t>
  </si>
  <si>
    <t>Net Increase/(Decrease) to Pre-Tax Operating Income</t>
  </si>
  <si>
    <t>Add Estimated Interest Expense</t>
  </si>
  <si>
    <t>Net Increase/(Decrease) to Pre-tax Income</t>
  </si>
  <si>
    <t>Implied leased assets, beginning of period</t>
  </si>
  <si>
    <t xml:space="preserve">Additions </t>
  </si>
  <si>
    <t>Current year charge</t>
  </si>
  <si>
    <t>Implied leased assets</t>
  </si>
  <si>
    <t>Operating Lease Debt schedule</t>
  </si>
  <si>
    <t>Implied debt, beginning of period</t>
  </si>
  <si>
    <t>Interest</t>
  </si>
  <si>
    <t>Repayment</t>
  </si>
  <si>
    <t>Debt Issuances (Reductions)</t>
  </si>
  <si>
    <t>Implied debt</t>
  </si>
  <si>
    <t>Seoul</t>
  </si>
  <si>
    <t>Shanghai</t>
  </si>
  <si>
    <t>% assets to liabilities</t>
  </si>
  <si>
    <t>Cumulative Adjustment To Equity</t>
  </si>
  <si>
    <t>Principal Paid</t>
  </si>
  <si>
    <t>Year over Year Adjustment in Equity</t>
  </si>
  <si>
    <t>Weighted average interest rate of lease portfolio</t>
  </si>
  <si>
    <t>Interest implicit in new leases signed</t>
  </si>
  <si>
    <t>Number of Units Leased</t>
  </si>
  <si>
    <t>Growth in Leased Units</t>
  </si>
  <si>
    <t>Leased Units / Total Units in Capacity (%)</t>
  </si>
  <si>
    <t>Capex per Unit</t>
  </si>
  <si>
    <t>% change in capex per unit</t>
  </si>
  <si>
    <t>Capital expenditure financed through operating leases</t>
  </si>
  <si>
    <t>Marginal Tax Rate</t>
  </si>
  <si>
    <t>% of Capital Expenditures financed through operating leases (sustainable)</t>
  </si>
  <si>
    <t>Capital expenditure financed through operating leases (Sustainable)</t>
  </si>
  <si>
    <t>Capital expenditure financed through operating leases (Growth)</t>
  </si>
  <si>
    <t>Current Year Operating Lease Payments</t>
  </si>
  <si>
    <t>YOY % Change in Current Year Operating Lease Expense</t>
  </si>
  <si>
    <t>Total Reported Lease Commitments</t>
  </si>
  <si>
    <t>Growth in Aggregate Lease Obligations</t>
  </si>
  <si>
    <t>Cumulative Payments After Year 5</t>
  </si>
  <si>
    <t>Implied Total Lease Life</t>
  </si>
  <si>
    <t>Implied Remaining Duration on Reported Lease Payments</t>
  </si>
  <si>
    <t>% of average lease life term completed</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</si>
  <si>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</si>
  <si>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</si>
  <si>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</si>
  <si>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</si>
  <si>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</si>
  <si>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</si>
  <si>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</si>
  <si>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</si>
  <si>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</si>
  <si>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</si>
  <si>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 xml:space="preserve">     SG&amp;A Dollar Growth</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</si>
  <si>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</si>
  <si>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</si>
  <si>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</si>
  <si>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</si>
  <si>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</si>
  <si>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</si>
  <si>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</si>
  <si>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</si>
  <si>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</si>
  <si>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</si>
  <si>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</si>
  <si>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</si>
  <si>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</si>
  <si>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</si>
  <si>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</si>
  <si>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</si>
  <si>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</si>
  <si>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</si>
  <si>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</si>
  <si>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1Q12</t>
  </si>
  <si>
    <t>Expected payments forecast year 28</t>
  </si>
  <si>
    <t>Expected payments forecast year 29</t>
  </si>
  <si>
    <t>Expected payments forecast year 30</t>
  </si>
  <si>
    <t>Rental Payments Schedule</t>
  </si>
  <si>
    <t>2012A</t>
  </si>
  <si>
    <t>MG&amp;A</t>
  </si>
  <si>
    <t>Present Value of Incremental Lease Payments</t>
  </si>
  <si>
    <t>Increase in current year lease payments versus previous years expected</t>
  </si>
  <si>
    <t>Estimated additions to leased assets in period</t>
  </si>
  <si>
    <t>Depreciation schedule</t>
  </si>
  <si>
    <t>Assumed Average Lease Life</t>
  </si>
  <si>
    <t>Percentage of assets, non depreciable</t>
  </si>
  <si>
    <t>Fade rate for depreciation of opening balance</t>
  </si>
  <si>
    <t>Multiple to take the asset to the original book value</t>
  </si>
  <si>
    <t>Total depreciable assets</t>
  </si>
  <si>
    <t>Depreciation of take on book value</t>
  </si>
  <si>
    <t>ANF-US</t>
  </si>
  <si>
    <t xml:space="preserve">     Opened</t>
  </si>
  <si>
    <t xml:space="preserve">     Remodel</t>
  </si>
  <si>
    <t xml:space="preserve">     Closed</t>
  </si>
  <si>
    <t xml:space="preserve">     End of Yr</t>
  </si>
  <si>
    <t>Hollister Co.</t>
  </si>
  <si>
    <t>2012E</t>
  </si>
  <si>
    <t>Coppenhagen</t>
  </si>
  <si>
    <t>Just Tokyo and Milan, excludes Copenhagan</t>
  </si>
  <si>
    <t>5th Avenue</t>
  </si>
  <si>
    <t>abercrombie kids flagships</t>
  </si>
  <si>
    <t>A&amp;F Brand Flagships</t>
  </si>
  <si>
    <t>QTR %</t>
  </si>
  <si>
    <t>abercrombie</t>
  </si>
  <si>
    <t>A &amp; F</t>
  </si>
  <si>
    <t>Total Company</t>
  </si>
  <si>
    <t>4.  Depreciation and Amortization</t>
  </si>
  <si>
    <t>Avg. New  Store Size (Gross Sq. Ft.)</t>
  </si>
  <si>
    <t xml:space="preserve">New Store Size (Gross Sq. Ft.) </t>
  </si>
  <si>
    <t>Assets</t>
  </si>
  <si>
    <t>Cash and equivalents</t>
  </si>
  <si>
    <t>TOTAL LIABILITIES</t>
  </si>
  <si>
    <t>Less Treasury Stock</t>
  </si>
  <si>
    <t>Accounts payable and Accrued Expenses</t>
  </si>
  <si>
    <t>Dusseldorf</t>
  </si>
  <si>
    <t>Brussels</t>
  </si>
  <si>
    <t>Singapore</t>
  </si>
  <si>
    <t>Dublin</t>
  </si>
  <si>
    <t>***Expect six 2011 stores to have annualized sales volumes of $200mm</t>
  </si>
  <si>
    <t>4Q12PH</t>
  </si>
  <si>
    <t xml:space="preserve">4.  Operating Income (% Operating Margin) </t>
  </si>
  <si>
    <t>6.  Pretax Income/(Loss)   (% Pretax Margin)/% Change</t>
  </si>
  <si>
    <t>7.  Income Taxes/(Credit)   (% Tax Rate)</t>
  </si>
  <si>
    <t>8.  Net Earnings   (% Change)</t>
  </si>
  <si>
    <t>Return on Equity</t>
  </si>
  <si>
    <t>2001</t>
  </si>
  <si>
    <t>4.  Operating Income</t>
  </si>
  <si>
    <t>6.  Pretax Income</t>
  </si>
  <si>
    <t>7.  Income Taxes</t>
  </si>
  <si>
    <t>8.  Net Income</t>
  </si>
  <si>
    <t>Receivables</t>
  </si>
  <si>
    <t>Store supplies and other</t>
  </si>
  <si>
    <t>Deferred income taxes</t>
  </si>
  <si>
    <t xml:space="preserve">Property and equipment, net </t>
  </si>
  <si>
    <t>Accrued expenses</t>
  </si>
  <si>
    <t>Credit agreement</t>
  </si>
  <si>
    <t>Income taxes</t>
  </si>
  <si>
    <t>Other assets and liabilities</t>
  </si>
  <si>
    <t>Purchase of treasury stock</t>
  </si>
  <si>
    <t>Net proceeds from issuance of common stock</t>
  </si>
  <si>
    <t>Repayment of long-term debt</t>
  </si>
  <si>
    <t>Note receivable</t>
  </si>
  <si>
    <t>Proceeds (net of purchase) from sale of securities</t>
  </si>
  <si>
    <t>Accrued expenses / SG&amp;A</t>
  </si>
  <si>
    <t>Income taxes payable / Net income</t>
  </si>
  <si>
    <t>Increase (decrease) in intercompany payable</t>
  </si>
  <si>
    <t>Intercompany debt</t>
  </si>
  <si>
    <t>Intercompany payable</t>
  </si>
  <si>
    <t>Dividend paid to parent</t>
  </si>
  <si>
    <t>3Q04 excludes $32.9 million of legal charges</t>
  </si>
  <si>
    <t xml:space="preserve">     Rent Expense</t>
  </si>
  <si>
    <t>Note: Go to Row 195 for TOTAL Company</t>
  </si>
  <si>
    <t>Note: Max chain size ~400</t>
  </si>
  <si>
    <t>Note: Max chain size ~180</t>
  </si>
  <si>
    <t>Operating Results Summary &amp; Financial Analysis</t>
  </si>
  <si>
    <t>CapEx ($ millions)</t>
  </si>
  <si>
    <t>Jan '07</t>
  </si>
  <si>
    <t>Jan '08</t>
  </si>
  <si>
    <t>Jan '09</t>
  </si>
  <si>
    <t>Jan '10</t>
  </si>
  <si>
    <t>Jan '11</t>
  </si>
  <si>
    <t>Jan '12</t>
  </si>
  <si>
    <t>Jan '13</t>
  </si>
  <si>
    <t>Jan '14</t>
  </si>
  <si>
    <t>Jan '15</t>
  </si>
  <si>
    <t>Jan '16</t>
  </si>
  <si>
    <t>Jan '17</t>
  </si>
  <si>
    <t>Annual Data (Year end)</t>
  </si>
  <si>
    <t>S&amp;D Margin</t>
  </si>
  <si>
    <t>MG&amp;A Margin</t>
  </si>
  <si>
    <t>S&amp;D Expense</t>
  </si>
  <si>
    <t>MG&amp;A Expense</t>
  </si>
  <si>
    <t>Note: Max chain size ~800</t>
  </si>
  <si>
    <t>Note: Max chain size ~225</t>
  </si>
  <si>
    <t>54</t>
  </si>
  <si>
    <t xml:space="preserve">Total Division Sales ($MM) </t>
  </si>
  <si>
    <t>APB 25</t>
  </si>
  <si>
    <t>Kids</t>
  </si>
  <si>
    <t>Fukuoka</t>
  </si>
  <si>
    <t>Net Sales</t>
  </si>
  <si>
    <t>MS</t>
  </si>
  <si>
    <t>Consensus</t>
  </si>
  <si>
    <t>Variance vs.</t>
  </si>
  <si>
    <t xml:space="preserve">  Operating Income</t>
  </si>
  <si>
    <t>Interest Expense/(Income)</t>
  </si>
  <si>
    <t xml:space="preserve">Earnings Per Share </t>
  </si>
  <si>
    <t>Upsides/Downsides</t>
  </si>
  <si>
    <t>Inventory Dollars</t>
  </si>
  <si>
    <t>Inv Growth</t>
  </si>
  <si>
    <t>Occupancy</t>
  </si>
  <si>
    <t>Selling, Payroll, and Other</t>
  </si>
  <si>
    <t>Total S&amp;D</t>
  </si>
  <si>
    <t>BULL CASE</t>
  </si>
  <si>
    <t>Base Case Sales Comp Spread</t>
  </si>
  <si>
    <t>Bull Case Sales Comp Spread</t>
  </si>
  <si>
    <t>BEAR CASE</t>
  </si>
  <si>
    <t>Bear Case Sales Comp Spread</t>
  </si>
  <si>
    <t>Total S&amp;D Model</t>
  </si>
  <si>
    <t>Stores and Distribution Costs Analysis</t>
  </si>
  <si>
    <t>Margin</t>
  </si>
  <si>
    <t>Dollar</t>
  </si>
  <si>
    <t>This sheet contains Factset binary data for use with this workbook's =FDS codes.  Modifying the worksheet's contents may damage the workbook's =FDS functionality.</t>
  </si>
  <si>
    <t>Stautory Tax Rate</t>
  </si>
  <si>
    <t>Federal Tax Rate</t>
  </si>
  <si>
    <t>State Tax Rate</t>
  </si>
  <si>
    <t>2013A</t>
  </si>
  <si>
    <t>Year incl. DTC</t>
  </si>
  <si>
    <t>Year ex. DTC</t>
  </si>
  <si>
    <t>Estimated</t>
  </si>
  <si>
    <t>"Other"</t>
  </si>
  <si>
    <t xml:space="preserve">Reported </t>
  </si>
  <si>
    <t>Floor Space (Sq Ft millions)</t>
  </si>
  <si>
    <t>Change in cash due to restatements</t>
  </si>
  <si>
    <t>MW requirements</t>
  </si>
  <si>
    <t>Net Issuances</t>
  </si>
  <si>
    <t>Dividend</t>
  </si>
  <si>
    <t>ND</t>
  </si>
  <si>
    <t>Unrecorded Goodwill</t>
  </si>
  <si>
    <t>Base</t>
  </si>
  <si>
    <t>2002</t>
  </si>
  <si>
    <t>2002A</t>
  </si>
  <si>
    <t>Shares</t>
  </si>
  <si>
    <t xml:space="preserve"> </t>
  </si>
  <si>
    <t>Retail Sales</t>
  </si>
  <si>
    <t>Direct Sales ($MM)</t>
  </si>
  <si>
    <t>Sales from 4Q97 onward exclude sales from Direct division.</t>
  </si>
  <si>
    <t xml:space="preserve">   % Chg. from LY (Avg. Sq. Ft.)</t>
  </si>
  <si>
    <t xml:space="preserve">Total Store Count </t>
  </si>
  <si>
    <t>Total Sq Ft Growth</t>
  </si>
  <si>
    <t>ATV</t>
  </si>
  <si>
    <t>TPS</t>
  </si>
  <si>
    <t>2Q03</t>
  </si>
  <si>
    <t>1Q03</t>
  </si>
  <si>
    <t>3Q02</t>
  </si>
  <si>
    <t>4Q02</t>
  </si>
  <si>
    <t>Metrics for Adult A&amp;F biz only</t>
  </si>
  <si>
    <t>3Q03</t>
  </si>
  <si>
    <t xml:space="preserve">     Opened (Flagship)</t>
  </si>
  <si>
    <t>2Q02</t>
  </si>
  <si>
    <t>4Q03</t>
  </si>
  <si>
    <t>2003A</t>
  </si>
  <si>
    <t>New Space Productivity (Store Level)</t>
  </si>
  <si>
    <t>Change in outstanding checks</t>
  </si>
  <si>
    <t>Accounts payable and o/s checks</t>
  </si>
  <si>
    <t>E</t>
  </si>
  <si>
    <t>Options Expense</t>
  </si>
  <si>
    <t xml:space="preserve">3a.  Option Expense   (% of Sales) </t>
  </si>
  <si>
    <t>9a.  EPS Excluding Options Exp -- Fully Diluted   (% Change)</t>
  </si>
  <si>
    <t>11.  Cash Dividends per Share</t>
  </si>
  <si>
    <t>% of Total Sales</t>
  </si>
  <si>
    <t>2003</t>
  </si>
  <si>
    <t>Notes: 2005 Excludes $13.5 million of MG&amp;A related to severance expenses, 2004 excludes $32.9mm related to legal charges</t>
  </si>
  <si>
    <t>EBIT</t>
  </si>
  <si>
    <t>S&amp;H</t>
  </si>
  <si>
    <t>DIRECT</t>
  </si>
  <si>
    <t xml:space="preserve">TOTAL  </t>
  </si>
  <si>
    <t>DIRECT SALES</t>
  </si>
  <si>
    <t>SH as %</t>
  </si>
  <si>
    <t>of Direct</t>
  </si>
  <si>
    <t>NOTE: OPERATING CASH FLOW FOR dataCENTRAL</t>
  </si>
  <si>
    <t xml:space="preserve">Apr </t>
  </si>
  <si>
    <t xml:space="preserve">Jul </t>
  </si>
  <si>
    <t>5a.  Net Interest   (% of Sales)</t>
  </si>
  <si>
    <t>EV</t>
  </si>
  <si>
    <t>Annual Sales Model, Fiscal 1997A-2018E</t>
  </si>
  <si>
    <t>Quarterly Analysis of Inventory Turnover, 1997A-2014E</t>
  </si>
  <si>
    <t>Average Basic Shares</t>
  </si>
  <si>
    <t>Basic Shares Outstanding</t>
  </si>
  <si>
    <t>5b.  Other Income/(Expense)   (% of Sales)</t>
  </si>
  <si>
    <t>5a.  Interest Income (Expense)</t>
  </si>
  <si>
    <t>Sales - Inventory Spread (per sq ft)</t>
  </si>
  <si>
    <t>5b. Other Income (Expense)</t>
  </si>
  <si>
    <t>Multiuple</t>
  </si>
  <si>
    <t>2014 EPS</t>
  </si>
  <si>
    <t>scenario</t>
  </si>
  <si>
    <t>INTERACTIVE</t>
  </si>
  <si>
    <t xml:space="preserve">Type "Bull / Base / Bear" here to toggle scenarios &gt;&gt; </t>
  </si>
  <si>
    <t>Benefit (%)</t>
  </si>
  <si>
    <t>Implied EV</t>
  </si>
  <si>
    <t>Year End Cash</t>
  </si>
  <si>
    <t xml:space="preserve">Year End LT Debt </t>
  </si>
  <si>
    <t xml:space="preserve"> Net Debt</t>
  </si>
  <si>
    <t>Diluted Shares</t>
  </si>
  <si>
    <t>Per Share Equity Value</t>
  </si>
  <si>
    <t>Discount Rate</t>
  </si>
  <si>
    <t>Years to Discount</t>
  </si>
  <si>
    <t>COST METHOD RESTATED 2011-</t>
  </si>
  <si>
    <t>COST METHOD RESTATED POST 2010</t>
  </si>
  <si>
    <t>Cost Method Beginning 2011</t>
  </si>
  <si>
    <t xml:space="preserve">Ruehl </t>
  </si>
  <si>
    <r>
      <t xml:space="preserve">Apr </t>
    </r>
    <r>
      <rPr>
        <b/>
        <sz val="10"/>
        <rFont val="Arial"/>
        <family val="2"/>
      </rPr>
      <t>(ex DTC)</t>
    </r>
  </si>
  <si>
    <r>
      <t xml:space="preserve">Jul </t>
    </r>
    <r>
      <rPr>
        <b/>
        <sz val="10"/>
        <rFont val="Arial"/>
        <family val="2"/>
      </rPr>
      <t>(ex DTC)</t>
    </r>
  </si>
  <si>
    <r>
      <t xml:space="preserve">Oct </t>
    </r>
    <r>
      <rPr>
        <b/>
        <sz val="10"/>
        <rFont val="Arial"/>
        <family val="2"/>
      </rPr>
      <t>(ex DTC)</t>
    </r>
  </si>
  <si>
    <r>
      <t xml:space="preserve">Jan </t>
    </r>
    <r>
      <rPr>
        <b/>
        <sz val="10"/>
        <rFont val="Arial"/>
        <family val="2"/>
      </rPr>
      <t>(ex DTC)</t>
    </r>
  </si>
  <si>
    <t>RETAIL METHOD (-2010)</t>
  </si>
  <si>
    <r>
      <t>1. Net Sales    (% Increase -- Total/Comparable Stores)</t>
    </r>
    <r>
      <rPr>
        <sz val="10"/>
        <color indexed="12"/>
        <rFont val="Arial"/>
        <family val="2"/>
      </rPr>
      <t xml:space="preserve"> </t>
    </r>
  </si>
  <si>
    <r>
      <t>10.  Average Shares Outstanding -- Fully Diluted</t>
    </r>
    <r>
      <rPr>
        <b/>
        <sz val="10"/>
        <color indexed="12"/>
        <rFont val="Arial"/>
        <family val="2"/>
      </rPr>
      <t xml:space="preserve">   </t>
    </r>
  </si>
  <si>
    <t>Annual Earnings Model, Fiscal 1997A-2019E</t>
  </si>
  <si>
    <r>
      <t>3a. Options Expense</t>
    </r>
    <r>
      <rPr>
        <vertAlign val="superscript"/>
        <sz val="10"/>
        <rFont val="Arial"/>
        <family val="2"/>
      </rPr>
      <t>1</t>
    </r>
  </si>
  <si>
    <r>
      <t>1</t>
    </r>
    <r>
      <rPr>
        <sz val="10"/>
        <rFont val="Arial"/>
        <family val="2"/>
      </rPr>
      <t xml:space="preserve"> Options expense excluded from operating income and net income prior to 2006</t>
    </r>
  </si>
  <si>
    <r>
      <t>1</t>
    </r>
    <r>
      <rPr>
        <sz val="10"/>
        <rFont val="Arial"/>
        <family val="2"/>
      </rPr>
      <t xml:space="preserve"> Divisional Direct sales are estimated; Total Direct sales are actual</t>
    </r>
  </si>
  <si>
    <t>Quarterly Analysis of "Operating" Working Capital, 1999-2015A</t>
  </si>
  <si>
    <t>Ex-Ecomm</t>
  </si>
  <si>
    <t>Store only Comp</t>
  </si>
  <si>
    <t xml:space="preserve">Comp (including eComm) </t>
  </si>
  <si>
    <t>Annual Data (Year-end)</t>
  </si>
  <si>
    <t>3Q14</t>
  </si>
  <si>
    <t>4Q14</t>
  </si>
  <si>
    <t>2019E</t>
  </si>
  <si>
    <t>Jan '18</t>
  </si>
  <si>
    <t>Jan '19</t>
  </si>
  <si>
    <t>Jan '20</t>
  </si>
  <si>
    <t>4Q13</t>
  </si>
  <si>
    <t>Cons. 4Q14E</t>
  </si>
  <si>
    <t>1Q Consensus</t>
  </si>
  <si>
    <t>-23c, -6% comp, 62.3% gross margin</t>
  </si>
  <si>
    <t>2014A</t>
  </si>
  <si>
    <t>Includes Abercrombie Kids Going forward</t>
  </si>
  <si>
    <t>DIRECT SALES (incl. in Int'l &amp; Domestic until 2012)</t>
  </si>
  <si>
    <t>INCLUDES DTC/EBIT MARGIN ESTIMATE</t>
  </si>
  <si>
    <t>NOW INCLUDES KIDS</t>
  </si>
  <si>
    <t>ANF.N,mscalc:sharePriceCurrent</t>
  </si>
  <si>
    <t>Net Income Attributable to Non-Controlling Interest (Quwait)</t>
  </si>
  <si>
    <t xml:space="preserve">12. Reported Earnings Per Share </t>
  </si>
  <si>
    <r>
      <t>13a. EPS Excl Option Exp</t>
    </r>
    <r>
      <rPr>
        <vertAlign val="superscript"/>
        <sz val="10"/>
        <color indexed="55"/>
        <rFont val="Arial"/>
        <family val="2"/>
      </rPr>
      <t>1</t>
    </r>
  </si>
  <si>
    <t>9. Net income attributable to non-controlling interest</t>
  </si>
  <si>
    <t xml:space="preserve">10.  Operating Earnings Per Share </t>
  </si>
  <si>
    <t>11. Extraordinary Item (after tax)</t>
  </si>
  <si>
    <t>Non-Controlling Interest</t>
  </si>
  <si>
    <t>17.27</t>
  </si>
  <si>
    <t>ANF.N,mstag:longTermInvestmentsNonOperating,2014FY,,FYR,,,IN-PROGRESS</t>
  </si>
  <si>
    <t>ANF.N,mscalc:shareholdersEquity,2033FY,,FYR,,,IN-PROGRESS</t>
  </si>
  <si>
    <t>ANF.N,mstag:investmentsUnderTheEquityMethodOperating,2014FY,,FYR,,,IN-PROGRESS</t>
  </si>
  <si>
    <t>ANF.N,mstag:investmentsInAssociates,2032FY,,FYR,,,IN-PROGRESS</t>
  </si>
  <si>
    <t>ANF.N,mscalc:otherNonOperatingAssetsLiabilities,2029FY,,FYR,,,IN-PROGRESS</t>
  </si>
  <si>
    <t>ANF.N,mstag:incomeLossFromInvestmentsAccountedForUnderTheEquityMethodNonOperatingIncomeStatement,2032FY,,FYR,,,IN-PROGRESS</t>
  </si>
  <si>
    <t>ANF.N,mstag:incomeLossFromInvestmentsUnderTheEquityMethodNonOperatingPreTax,2017FY,,FYR,,,IN-PROGRESS</t>
  </si>
  <si>
    <t>ANF.N,mstag:investmentsUnderTheEquityMethodOperating,2015FY,,FYR,,,IN-PROGRESS</t>
  </si>
  <si>
    <t>ANF.N,mscalc:operatingRevenue,2020FY,,FYR,,,IN-PROGRESS</t>
  </si>
  <si>
    <t>ANF.N,mstag:incomeLossFromInvestmentsAccountedForUnderTheEquityMethodNonOperatingIncomeStatement,2021FY,,FYR,,,IN-PROGRESS</t>
  </si>
  <si>
    <t>ANF.N,mscalc:netOperatingAssets,2028FY,,FYR,,,IN-PROGRESS</t>
  </si>
  <si>
    <t>ANF.N,mscalc:taxExpenseFromOperations,2015FY,,FYR,,,IN-PROGRESS</t>
  </si>
  <si>
    <t>ANF.N,mscalc:taxExpenseFromOperations,2025FY,,FYR,,,IN-PROGRESS</t>
  </si>
  <si>
    <t>ANF.N,mstag:incomeLossFromInvestmentsAccountedForUnderTheEquityMethodNonOperatingIncomeStatement,2017FY,,FYR,,,IN-PROGRESS</t>
  </si>
  <si>
    <t>ANF.N,mscalc:otherNonOperatingAssetsLiabilities,2039FY,,FYR,,,IN-PROGRESS</t>
  </si>
  <si>
    <t>ANF.N,mscalc:equityFinancing,2016FY,,FYR,,,IN-PROGRESS</t>
  </si>
  <si>
    <t>ANF.N,mstag:incomeLossFromInvestmentsAccountedForUnderTheEquityMethodNonOperatingIncomeStatement,2033FY,,FYR,,,IN-PROGRESS</t>
  </si>
  <si>
    <t>ANF.N,mscalc:netFinancialIncomeExpense,2034FY,,FYR,,,IN-PROGRESS</t>
  </si>
  <si>
    <t>ANF.N,mscalc:equityFinancing,2039FY,,FYR,,,IN-PROGRESS</t>
  </si>
  <si>
    <t>ANF.N,mstag:investmentsUnderTheEquityMethodOperating,2032FY,,FYR,,,IN-PROGRESS</t>
  </si>
  <si>
    <t>ANF.N,mstag:investmentsUnderTheEquityMethodOperating,2027FY,,FYR,,,IN-PROGRESS</t>
  </si>
  <si>
    <t>ANF.N,mstag:incomeLossFromInvestmentsUnderTheEquityMethodNonOperatingPreTax,2029FY,,FYR,,,IN-PROGRESS</t>
  </si>
  <si>
    <t>ANF.N,mscalc:netOperatingAssets,2022FY,,FYR,,,IN-PROGRESS</t>
  </si>
  <si>
    <t>ANF.N,mscalc:netFinancialIncomeExpense,2017FY,,FYR,,,IN-PROGRESS</t>
  </si>
  <si>
    <t>ANF.N,mstag:statutoryTaxRate,2028FY,,FYR,,,IN-PROGRESS</t>
  </si>
  <si>
    <t>ANF.N,mscalc:otherIncomeExpense,2026FY,,FYR,,,IN-PROGRESS</t>
  </si>
  <si>
    <t>ANF.N,mstag:incomeLossFromInvestmentsUnderTheEquityMethodNonOperatingPreTax,2025FY,,FYR,,,IN-PROGRESS</t>
  </si>
  <si>
    <t>ANF.N,mscalc:taxExpenseFromOperations,2021FY,,FYR,,,IN-PROGRESS</t>
  </si>
  <si>
    <t>ANF.N,mstag:incomeLossFromInvestmentsUnderTheEquityMethodNonOperatingPreTax,2022FY,,FYR,,,IN-PROGRESS</t>
  </si>
  <si>
    <t>ANF.N,mscalc:taxExpenseFromOperations,2028FY,,FYR,,,IN-PROGRESS</t>
  </si>
  <si>
    <t>ANF.N,mstag:investmentsInAssociates,2031FY,,FYR,,,IN-PROGRESS</t>
  </si>
  <si>
    <t>ANF.N,mscalc:netDebt,2019FY,,FYR,,,IN-PROGRESS</t>
  </si>
  <si>
    <t>ANF.N,mscalc:shortTermInvestmentsCalc,2019FY,,FYR,,,IN-PROGRESS</t>
  </si>
  <si>
    <t>ANF.N,mscalc:operatingRevenue,2031FY,,FYR,,,IN-PROGRESS</t>
  </si>
  <si>
    <t>ANF.N,mscalc:shortTermInvestmentsCalc,2027FY,,FYR,,,IN-PROGRESS</t>
  </si>
  <si>
    <t>ANF.N,mstag:incomeLossFromInvestmentsAccountedForUnderTheEquityMethodNonOperatingIncomeStatement,2026FY,,FYR,,,IN-PROGRESS</t>
  </si>
  <si>
    <t>ANF.N,mscalc:shortTermInvestmentsCalc,2031FY,,FYR,,,IN-PROGRESS</t>
  </si>
  <si>
    <t>ANF.N,mstag:investmentsInAssociates,2024FY,,FYR,,,IN-PROGRESS</t>
  </si>
  <si>
    <t>ANF.N,mscalc:equityFinancing,2026FY,,FYR,,,IN-PROGRESS</t>
  </si>
  <si>
    <t>ANF.N,mstag:investmentsUnderTheEquityMethodOperating,2019FY,,FYR,,,IN-PROGRESS</t>
  </si>
  <si>
    <t>ANF.N,mstag:currentShareOfMarketValueOfAssociatesAccountedForUnderTheEquityMethodNonOperating,2015FY,,FYR,,,IN-PROGRESS</t>
  </si>
  <si>
    <t>ANF.N,mstag:investmentsInJointVentures,2025FY,,FYR,,,IN-PROGRESS</t>
  </si>
  <si>
    <t>ANF.N,mscalc:netOperatingAssets,2026FY,,FYR,,,IN-PROGRESS</t>
  </si>
  <si>
    <t>ANF.N,mstag:statutoryTaxRate,2032FY,,FYR,,,IN-PROGRESS</t>
  </si>
  <si>
    <t>ANF.N,mscalc:equityFinancing,2021FY,,FYR,,,IN-PROGRESS</t>
  </si>
  <si>
    <t>ANF.N,mscalc:shareholdersEquity,2017FY,,FYR,,,IN-PROGRESS</t>
  </si>
  <si>
    <t>ANF.N,mscalc:operatingRevenue,2035FY,,FYR,,,IN-PROGRESS</t>
  </si>
  <si>
    <t>ANF.N,mscalc:taxExpenseFromOperations,2032FY,,FYR,,,IN-PROGRESS</t>
  </si>
  <si>
    <t>ANF.N,mscalc:otherNonOperatingAssetsLiabilities,2038FY,,FYR,,,IN-PROGRESS</t>
  </si>
  <si>
    <t>ANF.N,mscalc:operatingRevenue,2029FY,,FYR,,,IN-PROGRESS</t>
  </si>
  <si>
    <t>ANF.N,mscalc:otheroperatingIncomeExpense,2031FY,,FYR,,,IN-PROGRESS</t>
  </si>
  <si>
    <t>ANF.N,mscalc:taxExpenseFromOperations,2026FY,,FYR,,,IN-PROGRESS</t>
  </si>
  <si>
    <t>ANF.N,mscalc:otherIncomeExpense,2027FY,,FYR,,,IN-PROGRESS</t>
  </si>
  <si>
    <t>ANF.N,mscalc:equityFinancing,2037FY,,FYR,,,IN-PROGRESS</t>
  </si>
  <si>
    <t>ANF.N,mscalc:netOperatingAssets,2037FY,,FYR,,,IN-PROGRESS</t>
  </si>
  <si>
    <t>ANF.N,mscalc:shareholdersEquity,2020FY,,FYR,,,IN-PROGRESS</t>
  </si>
  <si>
    <t>ANF.N,mscalc:shareholdersEquity,2028FY,,FYR,,,IN-PROGRESS</t>
  </si>
  <si>
    <t>ANF.N,mscalc:netFinancialIncomeExpense,2022FY,,FYR,,,IN-PROGRESS</t>
  </si>
  <si>
    <t>ANF.N,mscalc:otherNonOperatingAssetsLiabilities,2020FY,,FYR,,,IN-PROGRESS</t>
  </si>
  <si>
    <t>ANF.N,mstag:longTermInvestmentsNonOperating,2029FY,,FYR,,,IN-PROGRESS</t>
  </si>
  <si>
    <t>ANF.N,mstag:investmentsUnderTheEquityMethodOperating,2016FY,,FYR,,,IN-PROGRESS</t>
  </si>
  <si>
    <t>ANF.N,mstag:investmentsInSubsidiaries,2014FY,,FYR,,,IN-PROGRESS</t>
  </si>
  <si>
    <t>ANF.N,mscalc:equityFinancing,2023FY,,FYR,,,IN-PROGRESS</t>
  </si>
  <si>
    <t>ANF.N,mstag:investmentsInSubsidiaries,2028FY,,FYR,,,IN-PROGRESS</t>
  </si>
  <si>
    <t>ANF.N,mstag:incomeLossesFromInvestmentsNonOperating,2022FY,,FYR,,,IN-PROGRESS</t>
  </si>
  <si>
    <t>ANF.N,mstag:incomeLossFromInvestmentsUnderTheEquityMethodNonOperatingPreTax,2026FY,,FYR,,,IN-PROGRESS</t>
  </si>
  <si>
    <t>ANF.N,mscalc:shareholdersEquity,2035FY,,FYR,,,IN-PROGRESS</t>
  </si>
  <si>
    <t>ANF.N,mstag:investmentsInAssociates,2028FY,,FYR,,,IN-PROGRESS</t>
  </si>
  <si>
    <t>ANF.N,mscalc:otheroperatingIncomeExpense,2026FY,,FYR,,,IN-PROGRESS</t>
  </si>
  <si>
    <t>ANF.N,mscalc:otherNonOperatingAssetsLiabilities,2027FY,,FYR,,,IN-PROGRESS</t>
  </si>
  <si>
    <t>ANF.N,mscalc:operatingRevenue,2019FY,,FYR,,,IN-PROGRESS</t>
  </si>
  <si>
    <t>ANF.N,mstag:investmentsInSubsidiaries,2021FY,,FYR,,,IN-PROGRESS</t>
  </si>
  <si>
    <t>ANF.N,mstag:investmentsInJointVentures,2029FY,,FYR,,,IN-PROGRESS</t>
  </si>
  <si>
    <t>ANF.N,mscalc:netDebt,2032FY,,FYR,,,IN-PROGRESS</t>
  </si>
  <si>
    <t>ANF.N,mscalc:otherIncomeExpense,2017FY,,FYR,,,IN-PROGRESS</t>
  </si>
  <si>
    <t>ANF.N,mscalc:otherNonOperatingAssetsLiabilities,2035FY,,FYR,,,IN-PROGRESS</t>
  </si>
  <si>
    <t>ANF.N,mscalc:netDebt,2017FY,,FYR,,,IN-PROGRESS</t>
  </si>
  <si>
    <t>ANF.N,mscalc:otherIncomeExpense,2016FY,,FYR,,,IN-PROGRESS</t>
  </si>
  <si>
    <t>ANF.N,mstag:incomeLossesFromInvestmentsNonOperating,2026FY,,FYR,,,IN-PROGRESS</t>
  </si>
  <si>
    <t>ANF.N,mscalc:otheroperatingIncomeExpense,2018FY,,FYR,,,IN-PROGRESS</t>
  </si>
  <si>
    <t>ANF.N,mstag:investmentsInAssociates,2029FY,,FYR,,,IN-PROGRESS</t>
  </si>
  <si>
    <t>ANF.N,mscalc:netFinancialIncomeExpense,2020FY,,FYR,,,IN-PROGRESS</t>
  </si>
  <si>
    <t>ANF.N,mscalc:otherIncomeExpense,2028FY,,FYR,,,IN-PROGRESS</t>
  </si>
  <si>
    <t>ANF.N,mstag:incomeLossFromInvestmentsAccountedForUnderTheEquityMethodNonOperatingIncomeStatement,2028FY,,FYR,,,IN-PROGRESS</t>
  </si>
  <si>
    <t>ANF.N,mstag:incomeLossFromInvestmentsAccountedForUnderTheEquityMethodNonOperatingIncomeStatement,2031FY,,FYR,,,IN-PROGRESS</t>
  </si>
  <si>
    <t>ANF.N,mstag:investmentsInSubsidiaries,2023FY,,FYR,,,IN-PROGRESS</t>
  </si>
  <si>
    <t>ANF.N,mstag:longTermInvestmentsNonOperating,2020FY,,FYR,,,IN-PROGRESS</t>
  </si>
  <si>
    <t>ANF.N,mscalc:shortTermInvestmentsCalc,2014FY,,FYR,,,IN-PROGRESS</t>
  </si>
  <si>
    <t>ANF.N,mscalc:netOperatingAssets,2014FY,,FYR,,,IN-PROGRESS</t>
  </si>
  <si>
    <t>ANF.N,mstag:investmentsInAssociates,2027FY,,FYR,,,IN-PROGRESS</t>
  </si>
  <si>
    <t>ANF.N,mstag:statutoryTaxRate,2025FY,,FYR,,,IN-PROGRESS</t>
  </si>
  <si>
    <t>ANF.N,mscalc:shareholdersEquity,2025FY,,FYR,,,IN-PROGRESS</t>
  </si>
  <si>
    <t>ANF.N,mscalc:otherIncomeExpense,2023FY,,FYR,,,IN-PROGRESS</t>
  </si>
  <si>
    <t>ANF.N,mstag:investmentsUnderTheEquityMethodOperating,2023FY,,FYR,,,IN-PROGRESS</t>
  </si>
  <si>
    <t>ANF.N,mscalc:netOperatingAssets,2027FY,,FYR,,,IN-PROGRESS</t>
  </si>
  <si>
    <t>ANF.N,mscalc:otherNonOperatingAssetsLiabilities,2024FY,,FYR,,,IN-PROGRESS</t>
  </si>
  <si>
    <t>ANF.N,mscalc:otherIncomeExpense,2036FY,,FYR,,,IN-PROGRESS</t>
  </si>
  <si>
    <t>ANF.N,mstag:longTermInvestmentsNonOperating,2016FY,,FYR,,,IN-PROGRESS</t>
  </si>
  <si>
    <t>ANF.N,mscalc:equityFinancing,2036FY,,FYR,,,IN-PROGRESS</t>
  </si>
  <si>
    <t>ANF.N,mscalc:netOperatingAssets,2040FY,,FYR,,,IN-PROGRESS</t>
  </si>
  <si>
    <t>ANF.N,mscalc:netFinancialIncomeExpense,2035FY,,FYR,,,IN-PROGRESS</t>
  </si>
  <si>
    <t>ANF.N,mstag:investmentsInSubsidiaries,2015FY,,FYR,,,IN-PROGRESS</t>
  </si>
  <si>
    <t>ANF.N,mscalc:operatingRevenue,2017FY,,FYR,,,IN-PROGRESS</t>
  </si>
  <si>
    <t>ANF.N,mscalc:operatingExpenses,2033FY,,FYR,,,IN-PROGRESS</t>
  </si>
  <si>
    <t>ANF.N,mscalc:netFinancialIncomeExpense,2019FY,,FYR,,,IN-PROGRESS</t>
  </si>
  <si>
    <t>ANF.N,mscalc:taxExpenseFromOperations,2036FY,,FYR,,,IN-PROGRESS</t>
  </si>
  <si>
    <t>ANF.N,mstag:investmentsInAssociates,2019FY,,FYR,,,IN-PROGRESS</t>
  </si>
  <si>
    <t>ANF.N,mscalc:otheroperatingIncomeExpense,2020FY,,FYR,,,IN-PROGRESS</t>
  </si>
  <si>
    <t>ANF.N,mstag:statutoryTaxRate,2021FY,,FYR,,,IN-PROGRESS</t>
  </si>
  <si>
    <t>ANF.N,mscalc:otheroperatingIncomeExpense,2039FY,,FYR,,,IN-PROGRESS</t>
  </si>
  <si>
    <t>ANF.N,mscalc:netFinancialIncomeExpense,2040FY,,FYR,,,IN-PROGRESS</t>
  </si>
  <si>
    <t>ANF.N,mscalc:equityFinancing,2015FY,,FYR,,,IN-PROGRESS</t>
  </si>
  <si>
    <t>ANF.N,mstag:incomeLossFromInvestmentsUnderTheEquityMethodNonOperatingPreTax,2030FY,,FYR,,,IN-PROGRESS</t>
  </si>
  <si>
    <t>ANF.N,mscalc:netFinancialIncomeExpense,2016FY,,FYR,,,IN-PROGRESS</t>
  </si>
  <si>
    <t>ANF.N,mstag:incomeLossFromInvestmentsUnderTheEquityMethodNonOperatingPreTax,2020FY,,FYR,,,IN-PROGRESS</t>
  </si>
  <si>
    <t>ANF.N,mstag:investmentsInAssociates,2014FY,,FYR,,,IN-PROGRESS</t>
  </si>
  <si>
    <t>ANF.N,mscalc:netOperatingAssets,2031FY,,FYR,,,IN-PROGRESS</t>
  </si>
  <si>
    <t>ANF.N,mstag:investmentsNonOperating,2031FY,,FYR,,,IN-PROGRESS</t>
  </si>
  <si>
    <t>ANF.N,mscalc:operatingRevenue,2033FY,,FYR,,,IN-PROGRESS</t>
  </si>
  <si>
    <t>ANF.N,mscalc:equityFinancing,2033FY,,FYR,,,IN-PROGRESS</t>
  </si>
  <si>
    <t>ANF.N,mstag:investmentsUnderTheEquityMethodOperating,2033FY,,FYR,,,IN-PROGRESS</t>
  </si>
  <si>
    <t>ANF.N,mstag:investmentsInJointVentures,2034FY,,FYR,,,IN-PROGRESS</t>
  </si>
  <si>
    <t>ANF.N,mstag:investmentsInAssociates,2025FY,,FYR,,,IN-PROGRESS</t>
  </si>
  <si>
    <t>ANF.N,mstag:incomeLossFromInvestmentsAccountedForUnderTheEquityMethodNonOperatingIncomeStatement,2018FY,,FYR,,,IN-PROGRESS</t>
  </si>
  <si>
    <t>ANF.N,mstag:longTermInvestmentsNonOperating,2027FY,,FYR,,,IN-PROGRESS</t>
  </si>
  <si>
    <t>ANF.N,mscalc:otherIncomeExpense,2040FY,,FYR,,,IN-PROGRESS</t>
  </si>
  <si>
    <t>ANF.N,mstag:investmentsNonOperating,2021FY,,FYR,,,IN-PROGRESS</t>
  </si>
  <si>
    <t>ANF.N,mscalc:otherIncomeExpense,2018FY,,FYR,,,IN-PROGRESS</t>
  </si>
  <si>
    <t>ANF.N,mstag:longTermInvestmentsNonOperating,2032FY,,FYR,,,IN-PROGRESS</t>
  </si>
  <si>
    <t>ANF.N,mstag:statutoryTaxRate,2016FY,,FYR,,,IN-PROGRESS</t>
  </si>
  <si>
    <t>ANF.N,mscalc:shortTermInvestmentsCalc,2020FY,,FYR,,,IN-PROGRESS</t>
  </si>
  <si>
    <t>ANF.N,mscalc:otheroperatingIncomeExpense,2036FY,,FYR,,,IN-PROGRESS</t>
  </si>
  <si>
    <t>ANF.N,mscalc:otheroperatingIncomeExpense,2017FY,,FYR,,,IN-PROGRESS</t>
  </si>
  <si>
    <t>ANF.N,mscalc:equityFinancing,2018FY,,FYR,,,IN-PROGRESS</t>
  </si>
  <si>
    <t>ANF.N,mscalc:netOperatingAssets,2016FY,,FYR,,,IN-PROGRESS</t>
  </si>
  <si>
    <t>ANF.N,mscalc:netDebt,2034FY,,FYR,,,IN-PROGRESS</t>
  </si>
  <si>
    <t>ANF.N,mstag:incomeLossFromInvestmentsAccountedForUnderTheEquityMethodNonOperatingIncomeStatement,2020FY,,FYR,,,IN-PROGRESS</t>
  </si>
  <si>
    <t>ANF.N,mscalc:taxExpenseFromOperations,2016FY,,FYR,,,IN-PROGRESS</t>
  </si>
  <si>
    <t>ANF.N,mscalc:taxExpenseFromOperations,2034FY,,FYR,,,IN-PROGRESS</t>
  </si>
  <si>
    <t>ANF.N,mscalc:equityFinancing,2024FY,,FYR,,,IN-PROGRESS</t>
  </si>
  <si>
    <t>ANF.N,mstag:investmentsInJointVentures,2026FY,,FYR,,,IN-PROGRESS</t>
  </si>
  <si>
    <t>ANF.N,mscalc:operatingRevenue,2026FY,,FYR,,,IN-PROGRESS</t>
  </si>
  <si>
    <t>ANF.N,mstag:incomeLossFromInvestmentsUnderTheEquityMethodNonOperatingPreTax,2019FY,,FYR,,,IN-PROGRESS</t>
  </si>
  <si>
    <t>ANF.N,mscalc:shortTermInvestmentsCalc,2022FY,,FYR,,,IN-PROGRESS</t>
  </si>
  <si>
    <t>ANF.N,mscalc:shareholdersEquity,2029FY,,FYR,,,IN-PROGRESS</t>
  </si>
  <si>
    <t>ANF.N,mscalc:operatingExpenses,2040FY,,FYR,,,IN-PROGRESS</t>
  </si>
  <si>
    <t>ANF.N,mstag:longTermInvestmentsNonOperating,2030FY,,FYR,,,IN-PROGRESS</t>
  </si>
  <si>
    <t>ANF.N,mscalc:taxExpenseFromOperations,2024FY,,FYR,,,IN-PROGRESS</t>
  </si>
  <si>
    <t>ANF.N,mscalc:netDebt,2020FY,,FYR,,,IN-PROGRESS</t>
  </si>
  <si>
    <t>ANF.N,mscalc:shareholdersEquity,2040FY,,FYR,,,IN-PROGRESS</t>
  </si>
  <si>
    <t>ANF.N,mstag:incomeLossesFromInvestmentsNonOperating,2017FY,,FYR,,,IN-PROGRESS</t>
  </si>
  <si>
    <t>ANF.N,mscalc:netDebt,2024FY,,FYR,,,IN-PROGRESS</t>
  </si>
  <si>
    <t>ANF.N,mscalc:dividendsPerShareCalc,2016FY,,FYR,,,IN-PROGRESS</t>
  </si>
  <si>
    <t>ANF.N,mscalc:dividendsPerShareCalc,2018FY,,FYR,,,IN-PROGRESS</t>
  </si>
  <si>
    <t>ANF.N,mscalc:equityFinancing,2038FY,,FYR,,,IN-PROGRESS</t>
  </si>
  <si>
    <t>ANF.N,mstag:longTermInvestmentsNonOperating,2017FY,,FYR,,,IN-PROGRESS</t>
  </si>
  <si>
    <t>ANF.N,mscalc:taxExpenseFromOperations,2020FY,,FYR,,,IN-PROGRESS</t>
  </si>
  <si>
    <t>ANF.N,mscalc:shortTermInvestmentsCalc,2032FY,,FYR,,,IN-PROGRESS</t>
  </si>
  <si>
    <t>ANF.N,mscalc:operatingRevenue,2021FY,,FYR,,,IN-PROGRESS</t>
  </si>
  <si>
    <t>ANF.N,mstag:incomeLossesFromInvestmentsNonOperating,2032FY,,FYR,,,IN-PROGRESS</t>
  </si>
  <si>
    <t>ANF.N,mscalc:netOperatingAssets,2030FY,,FYR,,,IN-PROGRESS</t>
  </si>
  <si>
    <t>ANF.N,mstag:investmentsInSubsidiaries,2020FY,,FYR,,,IN-PROGRESS</t>
  </si>
  <si>
    <t>ANF.N,mstag:incomeLossFromInvestmentsUnderTheEquityMethodNonOperatingPreTax,2018FY,,FYR,,,IN-PROGRESS</t>
  </si>
  <si>
    <t>ANF.N,mscalc:operatingExpenses,2028FY,,FYR,,,IN-PROGRESS</t>
  </si>
  <si>
    <t>ANF.N,mstag:longTermInvestmentsNonOperating,2034FY,,FYR,,,IN-PROGRESS</t>
  </si>
  <si>
    <t>ANF.N,mscalc:otherNonOperatingAssetsLiabilities,2021FY,,FYR,,,IN-PROGRESS</t>
  </si>
  <si>
    <t>ANF.N,mscalc:netOperatingAssets,2035FY,,FYR,,,IN-PROGRESS</t>
  </si>
  <si>
    <t>ANF.N,mscalc:netDebt,2015FY,,FYR,,,IN-PROGRESS</t>
  </si>
  <si>
    <t>ANF.N,mscalc:otherIncomeExpense,2022FY,,FYR,,,IN-PROGRESS</t>
  </si>
  <si>
    <t>ANF.N,mscalc:otherIncomeExpense,2034FY,,FYR,,,IN-PROGRESS</t>
  </si>
  <si>
    <t>ANF.N,mscalc:operatingRevenue,2027FY,,FYR,,,IN-PROGRESS</t>
  </si>
  <si>
    <t>ANF.N,mscalc:otheroperatingIncomeExpense,2022FY,,FYR,,,IN-PROGRESS</t>
  </si>
  <si>
    <t>ANF.N,mscalc:operatingRevenue,2025FY,,FYR,,,IN-PROGRESS</t>
  </si>
  <si>
    <t>ANF.N,mscalc:shareholdersEquity,2026FY,,FYR,,,IN-PROGRESS</t>
  </si>
  <si>
    <t>ANF.N,mstag:investmentsInJointVentures,2031FY,,FYR,,,IN-PROGRESS</t>
  </si>
  <si>
    <t>ANF.N,mscalc:otheroperatingIncomeExpense,2030FY,,FYR,,,IN-PROGRESS</t>
  </si>
  <si>
    <t>ANF.N,mscalc:otheroperatingIncomeExpense,2035FY,,FYR,,,IN-PROGRESS</t>
  </si>
  <si>
    <t>ANF.N,mstag:investmentsNonOperating,2015FY,,FYR,,,IN-PROGRESS</t>
  </si>
  <si>
    <t>ANF.N,mscalc:equityFinancing,2020FY,,FYR,,,IN-PROGRESS</t>
  </si>
  <si>
    <t>ANF.N,mscalc:operatingRevenue,2039FY,,FYR,,,IN-PROGRESS</t>
  </si>
  <si>
    <t>ANF.N,mscalc:otherNonOperatingAssetsLiabilities,2030FY,,FYR,,,IN-PROGRESS</t>
  </si>
  <si>
    <t>ANF.N,mscalc:shareholdersEquity,2038FY,,FYR,,,IN-PROGRESS</t>
  </si>
  <si>
    <t>ANF.N,mscalc:operatingExpenses,2034FY,,FYR,,,IN-PROGRESS</t>
  </si>
  <si>
    <t>ANF.N,mscalc:netFinancialIncomeExpense,2028FY,,FYR,,,IN-PROGRESS</t>
  </si>
  <si>
    <t>ANF.N,mscalc:taxExpenseFromOperations,2017FY,,FYR,,,IN-PROGRESS</t>
  </si>
  <si>
    <t>ANF.N,mscalc:otheroperatingIncomeExpense,2040FY,,FYR,,,IN-PROGRESS</t>
  </si>
  <si>
    <t>ANF.N,mscalc:netDebt,2037FY,,FYR,,,IN-PROGRESS</t>
  </si>
  <si>
    <t>ANF.N,mscalc:netFinancialIncomeExpense,2032FY,,FYR,,,IN-PROGRESS</t>
  </si>
  <si>
    <t>ANF.N,mstag:investmentsNonOperating,2016FY,,FYR,,,IN-PROGRESS</t>
  </si>
  <si>
    <t>ANF.N,mscalc:otherNonOperatingAssetsLiabilities,2032FY,,FYR,,,IN-PROGRESS</t>
  </si>
  <si>
    <t>ANF.N,mscalc:operatingRevenue,2036FY,,FYR,,,IN-PROGRESS</t>
  </si>
  <si>
    <t>ANF.N,mstag:investmentsInSubsidiaries,2019FY,,FYR,,,IN-PROGRESS</t>
  </si>
  <si>
    <t>ANF.N,mscalc:netFinancialIncomeExpense,2021FY,,FYR,,,IN-PROGRESS</t>
  </si>
  <si>
    <t>ANF.N,mscalc:otherNonOperatingAssetsLiabilities,2026FY,,FYR,,,IN-PROGRESS</t>
  </si>
  <si>
    <t>ANF.N,mstag:statutoryTaxRate,2033FY,,FYR,,,IN-PROGRESS</t>
  </si>
  <si>
    <t>ANF.N,mstag:investmentsUnderTheEquityMethodOperating,2018FY,,FYR,,,IN-PROGRESS</t>
  </si>
  <si>
    <t>ANF.N,mstag:incomeLossFromInvestmentsAccountedForUnderTheEquityMethodNonOperatingIncomeStatement,2022FY,,FYR,,,IN-PROGRESS</t>
  </si>
  <si>
    <t>ANF.N,mscalc:operatingRevenue,2018FY,,FYR,,,IN-PROGRESS</t>
  </si>
  <si>
    <t>ANF.N,mscalc:taxExpenseFromOperations,2030FY,,FYR,,,IN-PROGRESS</t>
  </si>
  <si>
    <t>ANF.N,mstag:investmentsInJointVentures,2019FY,,FYR,,,IN-PROGRESS</t>
  </si>
  <si>
    <t>ANF.N,mstag:incomeLossesFromInvestmentsNonOperating,2015FY,,FYR,,,IN-PROGRESS</t>
  </si>
  <si>
    <t>ANF.N,mscalc:equityFinancing,2034FY,,FYR,,,IN-PROGRESS</t>
  </si>
  <si>
    <t>ANF.N,mscalc:netDebt,2027FY,,FYR,,,IN-PROGRESS</t>
  </si>
  <si>
    <t>ANF.N,mscalc:netOperatingAssets,2023FY,,FYR,,,IN-PROGRESS</t>
  </si>
  <si>
    <t>ANF.N,mstag:incomeLossFromInvestmentsUnderTheEquityMethodNonOperatingPreTax,2021FY,,FYR,,,IN-PROGRESS</t>
  </si>
  <si>
    <t>ANF.N,mstag:investmentsInJointVentures,2028FY,,FYR,,,IN-PROGRESS</t>
  </si>
  <si>
    <t>ANF.N,mstag:longTermInvestmentsNonOperating,2033FY,,FYR,,,IN-PROGRESS</t>
  </si>
  <si>
    <t>ANF.N,mstag:incomeLossFromInvestmentsUnderTheEquityMethodNonOperatingPreTax,2027FY,,FYR,,,IN-PROGRESS</t>
  </si>
  <si>
    <t>ANF.N,mstag:incomeLossesFromInvestmentsNonOperating,2028FY,,FYR,,,IN-PROGRESS</t>
  </si>
  <si>
    <t>ANF.N,mscalc:shortTermInvestmentsCalc,2033FY,,FYR,,,IN-PROGRESS</t>
  </si>
  <si>
    <t>ANF.N,mstag:investmentsNonOperating,2026FY,,FYR,,,IN-PROGRESS</t>
  </si>
  <si>
    <t>ANF.N,mscalc:netDebt,2030FY,,FYR,,,IN-PROGRESS</t>
  </si>
  <si>
    <t>ANF.N,mstag:statutoryTaxRate,2031FY,,FYR,,,IN-PROGRESS</t>
  </si>
  <si>
    <t>ANF.N,mscalc:otherIncomeExpense,2031FY,,FYR,,,IN-PROGRESS</t>
  </si>
  <si>
    <t>ANF.N,mscalc:operatingExpenses,2036FY,,FYR,,,IN-PROGRESS</t>
  </si>
  <si>
    <t>ANF.N,mscalc:shortTermInvestmentsCalc,2023FY,,FYR,,,IN-PROGRESS</t>
  </si>
  <si>
    <t>ANF.N,mstag:investmentsInAssociates,2017FY,,FYR,,,IN-PROGRESS</t>
  </si>
  <si>
    <t>ANF.N,mscalc:periodEndDilutedSharesOutstandingCalcCalc,2014FY,,FYR,,,IN-PROGRESS</t>
  </si>
  <si>
    <t>ANF.N,mstag:incomeLossFromInvestmentsAccountedForUnderTheEquityMethodNonOperatingIncomeStatement,2030FY,,FYR,,,IN-PROGRESS</t>
  </si>
  <si>
    <t>ANF.N,mscalc:otheroperatingIncomeExpense,2038FY,,FYR,,,IN-PROGRESS</t>
  </si>
  <si>
    <t>ANF.N,mscalc:otherNonOperatingAssetsLiabilities,2025FY,,FYR,,,IN-PROGRESS</t>
  </si>
  <si>
    <t>ANF.N,mscalc:operatingRevenue,2016FY,,FYR,,,IN-PROGRESS</t>
  </si>
  <si>
    <t>ANF.N,mstag:investmentsInJointVentures,2016FY,,FYR,,,IN-PROGRESS</t>
  </si>
  <si>
    <t>ANF.N,mstag:investmentsInSubsidiaries,2026FY,,FYR,,,IN-PROGRESS</t>
  </si>
  <si>
    <t>ANF.N,mstag:investmentsNonOperating,2019FY,,FYR,,,IN-PROGRESS</t>
  </si>
  <si>
    <t>ANF.N,mscalc:shortTermInvestmentsCalc,2034FY,,FYR,,,IN-PROGRESS</t>
  </si>
  <si>
    <t>ANF.N,mscalc:operatingExpenses,2032FY,,FYR,,,IN-PROGRESS</t>
  </si>
  <si>
    <t>ANF.N,mscalc:netFinancialIncomeExpense,2030FY,,FYR,,,IN-PROGRESS</t>
  </si>
  <si>
    <t>ANF.N,mscalc:otherIncomeExpense,2033FY,,FYR,,,IN-PROGRESS</t>
  </si>
  <si>
    <t>ANF.N,mstag:currentMarketValueOfInvestmentsNonOperating,2015FY,,FYR,,,IN-PROGRESS</t>
  </si>
  <si>
    <t>ANF.N,mscalc:operatingExpenses,2022FY,,FYR,,,IN-PROGRESS</t>
  </si>
  <si>
    <t>ANF.N,mstag:longTermInvestmentsNonOperating,2025FY,,FYR,,,IN-PROGRESS</t>
  </si>
  <si>
    <t>ANF.N,mstag:investmentsUnderTheEquityMethodOperating,2024FY,,FYR,,,IN-PROGRESS</t>
  </si>
  <si>
    <t>ANF.N,mscalc:equityFinancing,2022FY,,FYR,,,IN-PROGRESS</t>
  </si>
  <si>
    <t>ANF.N,mscalc:otherIncomeExpense,2025FY,,FYR,,,IN-PROGRESS</t>
  </si>
  <si>
    <t>ANF.N,mscalc:operatingExpenses,2015FY,,FYR,,,IN-PROGRESS</t>
  </si>
  <si>
    <t>ANF.N,mstag:incomeLossFromInvestmentsUnderTheEquityMethodNonOperatingPreTax,2023FY,,FYR,,,IN-PROGRESS</t>
  </si>
  <si>
    <t>ANF.N,mstag:investmentsNonOperating,2024FY,,FYR,,,IN-PROGRESS</t>
  </si>
  <si>
    <t>ANF.N,mstag:investmentsNonOperating,2025FY,,FYR,,,IN-PROGRESS</t>
  </si>
  <si>
    <t>ANF.N,mstag:incomeLossFromInvestmentsUnderTheEquityMethodNonOperatingPreTax,2033FY,,FYR,,,IN-PROGRESS</t>
  </si>
  <si>
    <t>ANF.N,mscalc:netFinancialIncomeExpense,2015FY,,FYR,,,IN-PROGRESS</t>
  </si>
  <si>
    <t>ANF.N,mscalc:shareholdersEquity,2019FY,,FYR,,,IN-PROGRESS</t>
  </si>
  <si>
    <t>ANF.N,mscalc:shareholdersEquity,2032FY,,FYR,,,IN-PROGRESS</t>
  </si>
  <si>
    <t>ANF.N,mstag:investmentsInJointVentures,2014FY,,FYR,,,IN-PROGRESS</t>
  </si>
  <si>
    <t>ANF.N,mscalc:otherNonOperatingAssetsLiabilities,2034FY,,FYR,,,IN-PROGRESS</t>
  </si>
  <si>
    <t>ANF.N,mscalc:netDebt,2035FY,,FYR,,,IN-PROGRESS</t>
  </si>
  <si>
    <t>ANF.N,mstag:longTermInvestmentsNonOperating,2019FY,,FYR,,,IN-PROGRESS</t>
  </si>
  <si>
    <t>ANF.N,mscalc:netFinancialIncomeExpense,2024FY,,FYR,,,IN-PROGRESS</t>
  </si>
  <si>
    <t>ANF.N,mscalc:netOperatingAssets,2020FY,,FYR,,,IN-PROGRESS</t>
  </si>
  <si>
    <t>ANF.N,mscalc:equityFinancing,2030FY,,FYR,,,IN-PROGRESS</t>
  </si>
  <si>
    <t>ANF.N,mscalc:netFinancialIncomeExpense,2023FY,,FYR,,,IN-PROGRESS</t>
  </si>
  <si>
    <t>ANF.N,mscalc:shareholdersEquity,2023FY,,FYR,,,IN-PROGRESS</t>
  </si>
  <si>
    <t>ANF.N,mstag:investmentsNonOperating,2014FY,,FYR,,,IN-PROGRESS</t>
  </si>
  <si>
    <t>ANF.N,mstag:longTermInvestmentsNonOperating,2031FY,,FYR,,,IN-PROGRESS</t>
  </si>
  <si>
    <t>ANF.N,mstag:investmentsInJointVentures,2020FY,,FYR,,,IN-PROGRESS</t>
  </si>
  <si>
    <t>ANF.N,mstag:incomeLossesFromInvestmentsNonOperating,2018FY,,FYR,,,IN-PROGRESS</t>
  </si>
  <si>
    <t>ANF.N,mscalc:dividendsPerShareCalc,2019FY,,FYR,,,IN-PROGRESS</t>
  </si>
  <si>
    <t>ANF.N,mscalc:shareholdersEquity,2027FY,,FYR,,,IN-PROGRESS</t>
  </si>
  <si>
    <t>ANF.N,mscalc:netDebt,2025FY,,FYR,,,IN-PROGRESS</t>
  </si>
  <si>
    <t>ANF.N,mscalc:operatingExpenses,2020FY,,FYR,,,IN-PROGRESS</t>
  </si>
  <si>
    <t>ANF.N,mscalc:operatingExpenses,2024FY,,FYR,,,IN-PROGRESS</t>
  </si>
  <si>
    <t>ANF.N,mstag:investmentsInJointVentures,2017FY,,FYR,,,IN-PROGRESS</t>
  </si>
  <si>
    <t>ANF.N,mstag:investmentsInJointVentures,2022FY,,FYR,,,IN-PROGRESS</t>
  </si>
  <si>
    <t>ANF.N,mscalc:netOperatingAssets,2025FY,,FYR,,,IN-PROGRESS</t>
  </si>
  <si>
    <t>ANF.N,mscalc:netOperatingAssets,2039FY,,FYR,,,IN-PROGRESS</t>
  </si>
  <si>
    <t>ANF.N,mstag:investmentsUnderTheEquityMethodOperating,2021FY,,FYR,,,IN-PROGRESS</t>
  </si>
  <si>
    <t>ANF.N,mstag:investmentsInSubsidiaries,2030FY,,FYR,,,IN-PROGRESS</t>
  </si>
  <si>
    <t>ANF.N,mscalc:shortTermInvestmentsCalc,2015FY,,FYR,,,IN-PROGRESS</t>
  </si>
  <si>
    <t>ANF.N,mscalc:shareholdersEquity,2024FY,,FYR,,,IN-PROGRESS</t>
  </si>
  <si>
    <t>ANF.N,mscalc:shortTermInvestmentsCalc,2028FY,,FYR,,,IN-PROGRESS</t>
  </si>
  <si>
    <t>ANF.N,mscalc:shortTermInvestmentsCalc,2025FY,,FYR,,,IN-PROGRESS</t>
  </si>
  <si>
    <t>ANF.N,mscalc:otherNonOperatingAssetsLiabilities,2022FY,,FYR,,,IN-PROGRESS</t>
  </si>
  <si>
    <t>ANF.N,mscalc:netFinancialIncomeExpense,2027FY,,FYR,,,IN-PROGRESS</t>
  </si>
  <si>
    <t>ANF.N,mstag:investmentsUnderTheEquityMethodOperating,2029FY,,FYR,,,IN-PROGRESS</t>
  </si>
  <si>
    <t>ANF.N,mscalc:netDebt,2031FY,,FYR,,,IN-PROGRESS</t>
  </si>
  <si>
    <t>ANF.N,mscalc:otherNonOperatingAssetsLiabilities,2036FY,,FYR,,,IN-PROGRESS</t>
  </si>
  <si>
    <t>ANF.N,mscalc:taxExpenseFromOperations,2035FY,,FYR,,,IN-PROGRESS</t>
  </si>
  <si>
    <t>ANF.N,mscalc:shareholdersEquity,2031FY,,FYR,,,IN-PROGRESS</t>
  </si>
  <si>
    <t>ANF.N,mscalc:otheroperatingIncomeExpense,2029FY,,FYR,,,IN-PROGRESS</t>
  </si>
  <si>
    <t>ANF.N,mscalc:shareholdersEquity,2037FY,,FYR,,,IN-PROGRESS</t>
  </si>
  <si>
    <t>ANF.N,mstag:investmentsNonOperating,2017FY,,FYR,,,IN-PROGRESS</t>
  </si>
  <si>
    <t>ANF.N,mscalc:netDebt,2028FY,,FYR,,,IN-PROGRESS</t>
  </si>
  <si>
    <t>ANF.N,mscalc:otheroperatingIncomeExpense,2028FY,,FYR,,,IN-PROGRESS</t>
  </si>
  <si>
    <t>ANF.N,mscalc:operatingExpenses,2035FY,,FYR,,,IN-PROGRESS</t>
  </si>
  <si>
    <t>ANF.N,mstag:statutoryTaxRate,2019FY,,FYR,,,IN-PROGRESS</t>
  </si>
  <si>
    <t>ANF.N,mscalc:operatingRevenue,2032FY,,FYR,,,IN-PROGRESS</t>
  </si>
  <si>
    <t>ANF.N,mscalc:shareholdersEquity,2021FY,,FYR,,,IN-PROGRESS</t>
  </si>
  <si>
    <t>ANF.N,mstag:investmentsInAssociates,2015FY,,FYR,,,IN-PROGRESS</t>
  </si>
  <si>
    <t>ANF.N,mscalc:otherIncomeExpense,2021FY,,FYR,,,IN-PROGRESS</t>
  </si>
  <si>
    <t>ANF.N,mstag:investmentsInSubsidiaries,2022FY,,FYR,,,IN-PROGRESS</t>
  </si>
  <si>
    <t>ANF.N,mscalc:netDebt,2021FY,,FYR,,,IN-PROGRESS</t>
  </si>
  <si>
    <t>ANF.N,mstag:incomeLossesFromInvestmentsNonOperating,2023FY,,FYR,,,IN-PROGRESS</t>
  </si>
  <si>
    <t>ANF.N,mscalc:netFinancialIncomeExpense,2036FY,,FYR,,,IN-PROGRESS</t>
  </si>
  <si>
    <t>ANF.N,mscalc:operatingRevenue,2023FY,,FYR,,,IN-PROGRESS</t>
  </si>
  <si>
    <t>ANF.N,mscalc:taxExpenseFromOperations,2038FY,,FYR,,,IN-PROGRESS</t>
  </si>
  <si>
    <t>ANF.N,mstag:longTermInvestmentsNonOperating,2021FY,,FYR,,,IN-PROGRESS</t>
  </si>
  <si>
    <t>ANF.N,mstag:investmentsNonOperating,2018FY,,FYR,,,IN-PROGRESS</t>
  </si>
  <si>
    <t>ANF.N,mscalc:shortTermInvestmentsCalc,2029FY,,FYR,,,IN-PROGRESS</t>
  </si>
  <si>
    <t>ANF.N,mstag:statutoryTaxRate,2015FY,,FYR,,,IN-PROGRESS</t>
  </si>
  <si>
    <t>ANF.N,mstag:investmentsUnderTheEquityMethodOperating,2030FY,,FYR,,,IN-PROGRESS</t>
  </si>
  <si>
    <t>ANF.N,mscalc:otherIncomeExpense,2039FY,,FYR,,,IN-PROGRESS</t>
  </si>
  <si>
    <t>ANF.N,mstag:investmentsInSubsidiaries,2017FY,,FYR,,,IN-PROGRESS</t>
  </si>
  <si>
    <t>ANF.N,mstag:investmentsNonOperating,2032FY,,FYR,,,IN-PROGRESS</t>
  </si>
  <si>
    <t>ANF.N,mscalc:equityFinancing,2025FY,,FYR,,,IN-PROGRESS</t>
  </si>
  <si>
    <t>ANF.N,mscalc:equityFinancing,2032FY,,FYR,,,IN-PROGRESS</t>
  </si>
  <si>
    <t>ANF.N,mstag:incomeLossesFromInvestmentsNonOperating,2021FY,,FYR,,,IN-PROGRESS</t>
  </si>
  <si>
    <t>ANF.N,mstag:investmentsInJointVentures,2032FY,,FYR,,,IN-PROGRESS</t>
  </si>
  <si>
    <t>ANF.N,mscalc:otherIncomeExpense,2019FY,,FYR,,,IN-PROGRESS</t>
  </si>
  <si>
    <t>ANF.N,mscalc:otheroperatingIncomeExpense,2023FY,,FYR,,,IN-PROGRESS</t>
  </si>
  <si>
    <t>ANF.N,mstag:investmentsUnderTheEquityMethodOperating,2017FY,,FYR,,,IN-PROGRESS</t>
  </si>
  <si>
    <t>ANF.N,mscalc:otherNonOperatingAssetsLiabilities,2031FY,,FYR,,,IN-PROGRESS</t>
  </si>
  <si>
    <t>ANF.N,mscalc:otherNonOperatingAssetsLiabilities,2017FY,,FYR,,,IN-PROGRESS</t>
  </si>
  <si>
    <t>ANF.N,mscalc:otherNonOperatingAssetsLiabilities,2023FY,,FYR,,,IN-PROGRESS</t>
  </si>
  <si>
    <t>ANF.N,mscalc:netDebt,2022FY,,FYR,,,IN-PROGRESS</t>
  </si>
  <si>
    <t>ANF.N,mscalc:otherNonOperatingAssetsLiabilities,2016FY,,FYR,,,IN-PROGRESS</t>
  </si>
  <si>
    <t>ANF.N,mscalc:otherIncomeExpense,2038FY,,FYR,,,IN-PROGRESS</t>
  </si>
  <si>
    <t>ANF.N,mscalc:operatingRevenue,2037FY,,FYR,,,IN-PROGRESS</t>
  </si>
  <si>
    <t>ANF.N,mstag:incomeLossesFromInvestmentsNonOperating,2019FY,,FYR,,,IN-PROGRESS</t>
  </si>
  <si>
    <t>ANF.N,mstag:incomeLossesFromInvestmentsNonOperating,2024FY,,FYR,,,IN-PROGRESS</t>
  </si>
  <si>
    <t>ANF.N,mstag:investmentsInJointVentures,2023FY,,FYR,,,IN-PROGRESS</t>
  </si>
  <si>
    <t>ANF.N,mscalc:otherNonOperatingAssetsLiabilities,2037FY,,FYR,,,IN-PROGRESS</t>
  </si>
  <si>
    <t>ANF.N,mstag:investmentsInJointVentures,2015FY,,FYR,,,IN-PROGRESS</t>
  </si>
  <si>
    <t>ANF.N,mscalc:taxExpenseFromOperations,2037FY,,FYR,,,IN-PROGRESS</t>
  </si>
  <si>
    <t>ANF.N,mscalc:otherIncomeExpense,2029FY,,FYR,,,IN-PROGRESS</t>
  </si>
  <si>
    <t>ANF.N,mscalc:otheroperatingIncomeExpense,2033FY,,FYR,,,IN-PROGRESS</t>
  </si>
  <si>
    <t>ANF.N,mstag:investmentsNonOperating,2028FY,,FYR,,,IN-PROGRESS</t>
  </si>
  <si>
    <t>ANF.N,mstag:investmentsInJointVentures,2021FY,,FYR,,,IN-PROGRESS</t>
  </si>
  <si>
    <t>ANF.N,mscalc:shareholdersEquity,2015FY,,FYR,,,IN-PROGRESS</t>
  </si>
  <si>
    <t>ANF.N,mscalc:operatingExpenses,2018FY,,FYR,,,IN-PROGRESS</t>
  </si>
  <si>
    <t>ANF.N,mstag:investmentsInAssociates,2021FY,,FYR,,,IN-PROGRESS</t>
  </si>
  <si>
    <t>ANF.N,mscalc:netFinancialIncomeExpense,2038FY,,FYR,,,IN-PROGRESS</t>
  </si>
  <si>
    <t>ANF.N,mscalc:operatingExpenses,2025FY,,FYR,,,IN-PROGRESS</t>
  </si>
  <si>
    <t>ANF.N,mstag:longTermInvestmentsNonOperating,2015FY,,FYR,,,IN-PROGRESS</t>
  </si>
  <si>
    <t>ANF.N,mscalc:netDebt,2040FY,,FYR,,,IN-PROGRESS</t>
  </si>
  <si>
    <t>ANF.N,mstag:incomeLossFromInvestmentsUnderTheEquityMethodNonOperatingPreTax,2032FY,,FYR,,,IN-PROGRESS</t>
  </si>
  <si>
    <t>ANF.N,mscalc:operatingRevenue,2030FY,,FYR,,,IN-PROGRESS</t>
  </si>
  <si>
    <t>ANF.N,mstag:investmentsInAssociates,2016FY,,FYR,,,IN-PROGRESS</t>
  </si>
  <si>
    <t>ANF.N,mscalc:otheroperatingIncomeExpense,2027FY,,FYR,,,IN-PROGRESS</t>
  </si>
  <si>
    <t>ANF.N,mscalc:netFinancialIncomeExpense,2031FY,,FYR,,,IN-PROGRESS</t>
  </si>
  <si>
    <t>ANF.N,mstag:investmentsUnderTheEquityMethodOperating,2022FY,,FYR,,,IN-PROGRESS</t>
  </si>
  <si>
    <t>ANF.N,mscalc:shareholdersEquity,2036FY,,FYR,,,IN-PROGRESS</t>
  </si>
  <si>
    <t>ANF.N,mstag:incomeLossesFromInvestmentsNonOperating,2034FY,,FYR,,,IN-PROGRESS</t>
  </si>
  <si>
    <t>ANF.N,mstag:investmentsInSubsidiaries,2029FY,,FYR,,,IN-PROGRESS</t>
  </si>
  <si>
    <t>ANF.N,mstag:investmentsInSubsidiaries,2025FY,,FYR,,,IN-PROGRESS</t>
  </si>
  <si>
    <t>ANF.N,mscalc:netOperatingAssets,2019FY,,FYR,,,IN-PROGRESS</t>
  </si>
  <si>
    <t>ANF.N,mstag:investmentsInSubsidiaries,2033FY,,FYR,,,IN-PROGRESS</t>
  </si>
  <si>
    <t>ANF.N,mstag:investmentsNonOperating,2029FY,,FYR,,,IN-PROGRESS</t>
  </si>
  <si>
    <t>ANF.N,mscalc:netOperatingAssets,2034FY,,FYR,,,IN-PROGRESS</t>
  </si>
  <si>
    <t>ANF.N,mscalc:dividendsPerShareCalc,2015FY,,FYR,,,IN-PROGRESS</t>
  </si>
  <si>
    <t>ANF.N,mscalc:operatingExpenses,2016FY,,FYR,,,IN-PROGRESS</t>
  </si>
  <si>
    <t>ANF.N,mstag:incomeLossFromInvestmentsUnderTheEquityMethodNonOperatingPreTax,2015FY,,FYR,,,IN-PROGRESS</t>
  </si>
  <si>
    <t>ANF.N,mstag:longTermInvestmentsNonOperating,2024FY,,FYR,,,IN-PROGRESS</t>
  </si>
  <si>
    <t>ANF.N,mstag:statutoryTaxRate,2017FY,,FYR,,,IN-PROGRESS</t>
  </si>
  <si>
    <t>ANF.N,mstag:investmentsInAssociates,2026FY,,FYR,,,IN-PROGRESS</t>
  </si>
  <si>
    <t>ANF.N,mscalc:otherNonOperatingAssetsLiabilities,2033FY,,FYR,,,IN-PROGRESS</t>
  </si>
  <si>
    <t>ANF.N,mscalc:shareholdersEquity,2022FY,,FYR,,,IN-PROGRESS</t>
  </si>
  <si>
    <t>ANF.N,mstag:investmentsInAssociates,2030FY,,FYR,,,IN-PROGRESS</t>
  </si>
  <si>
    <t>ANF.N,mscalc:netOperatingAssets,2029FY,,FYR,,,IN-PROGRESS</t>
  </si>
  <si>
    <t>ANF.N,mscalc:equityFinancing,2035FY,,FYR,,,IN-PROGRESS</t>
  </si>
  <si>
    <t>ANF.N,mscalc:netFinancialIncomeExpense,2029FY,,FYR,,,IN-PROGRESS</t>
  </si>
  <si>
    <t>ANF.N,mscalc:taxExpenseFromOperations,2023FY,,FYR,,,IN-PROGRESS</t>
  </si>
  <si>
    <t>ANF.N,mscalc:operatingRevenue,2040FY,,FYR,,,IN-PROGRESS</t>
  </si>
  <si>
    <t>ANF.N,mscalc:netNonOperatingAssetsLiabilities,2014FY,,FYR,,,IN-PROGRESS</t>
  </si>
  <si>
    <t>ANF.N,mscalc:shareholdersEquity,2016FY,,FYR,,,IN-PROGRESS</t>
  </si>
  <si>
    <t>ANF.N,mscalc:taxExpenseFromOperations,2040FY,,FYR,,,IN-PROGRESS</t>
  </si>
  <si>
    <t>ANF.N,mstag:investmentsInSubsidiaries,2027FY,,FYR,,,IN-PROGRESS</t>
  </si>
  <si>
    <t>ANF.N,mscalc:taxExpenseFromOperations,2027FY,,FYR,,,IN-PROGRESS</t>
  </si>
  <si>
    <t>ANF.N,mscalc:otheroperatingIncomeExpense,2025FY,,FYR,,,IN-PROGRESS</t>
  </si>
  <si>
    <t>ANF.N,mstag:investmentsInSubsidiaries,2031FY,,FYR,,,IN-PROGRESS</t>
  </si>
  <si>
    <t>ANF.N,mstag:longTermInvestmentsNonOperating,2028FY,,FYR,,,IN-PROGRESS</t>
  </si>
  <si>
    <t>ANF.N,mscalc:shareholdersEquity,2034FY,,FYR,,,IN-PROGRESS</t>
  </si>
  <si>
    <t>ANF.N,mscalc:shareholdersEquity,2030FY,,FYR,,,IN-PROGRESS</t>
  </si>
  <si>
    <t>ANF.N,mscalc:netFinancialIncomeExpense,2026FY,,FYR,,,IN-PROGRESS</t>
  </si>
  <si>
    <t>ANF.N,mscalc:netOperatingAssets,,,FYR,,,IN-PROGRESS</t>
  </si>
  <si>
    <t>ANF.N,mstag:investmentsInSubsidiaries,2024FY,,FYR,,,IN-PROGRESS</t>
  </si>
  <si>
    <t>ANF.N,mstag:investmentsUnderTheEquityMethodOperating,2026FY,,FYR,,,IN-PROGRESS</t>
  </si>
  <si>
    <t>ANF.N,mstag:incomeLossFromInvestmentsAccountedForUnderTheEquityMethodNonOperatingIncomeStatement,2024FY,,FYR,,,IN-PROGRESS</t>
  </si>
  <si>
    <t>ANF.N,mstag:incomeLossesFromInvestmentsNonOperating,2027FY,,FYR,,,IN-PROGRESS</t>
  </si>
  <si>
    <t>ANF.N,mscalc:operatingRevenue,2024FY,,FYR,,,IN-PROGRESS</t>
  </si>
  <si>
    <t>ANF.N,mscalc:operatingExpenses,2039FY,,FYR,,,IN-PROGRESS</t>
  </si>
  <si>
    <t>ANF.N,mscalc:otherNonOperatingAssetsLiabilities,2019FY,,FYR,,,IN-PROGRESS</t>
  </si>
  <si>
    <t>ANF.N,mscalc:equityFinancing,2040FY,,FYR,,,IN-PROGRESS</t>
  </si>
  <si>
    <t>ANF.N,mscalc:netDebt,2039FY,,FYR,,,IN-PROGRESS</t>
  </si>
  <si>
    <t>ANF.N,mscalc:otheroperatingIncomeExpense,2019FY,,FYR,,,IN-PROGRESS</t>
  </si>
  <si>
    <t>ANF.N,mstag:incomeLossesFromInvestmentsNonOperating,2033FY,,FYR,,,IN-PROGRESS</t>
  </si>
  <si>
    <t>ANF.N,mscalc:operatingExpenses,2026FY,,FYR,,,IN-PROGRESS</t>
  </si>
  <si>
    <t>ANF.N,mstag:incomeLossFromInvestmentsAccountedForUnderTheEquityMethodNonOperatingIncomeStatement,2023FY,,FYR,,,IN-PROGRESS</t>
  </si>
  <si>
    <t>ANF.N,mscalc:operatingExpenses,2019FY,,FYR,,,IN-PROGRESS</t>
  </si>
  <si>
    <t>ANF.N,mscalc:otherIncomeExpense,2015FY,,FYR,,,IN-PROGRESS</t>
  </si>
  <si>
    <t>ANF.N,mstag:investmentsInAssociates,2033FY,,FYR,,,IN-PROGRESS</t>
  </si>
  <si>
    <t>ANF.N,mstag:incomeLossesFromInvestmentsNonOperating,2025FY,,FYR,,,IN-PROGRESS</t>
  </si>
  <si>
    <t>ANF.N,mscalc:netFinancialIncomeExpense,2033FY,,FYR,,,IN-PROGRESS</t>
  </si>
  <si>
    <t>ANF.N,mstag:investmentsNonOperating,2023FY,,FYR,,,IN-PROGRESS</t>
  </si>
  <si>
    <t>ANF.N,mscalc:taxExpenseFromOperations,2039FY,,FYR,,,IN-PROGRESS</t>
  </si>
  <si>
    <t>ANF.N,mstag:investmentsInSubsidiaries,2016FY,,FYR,,,IN-PROGRESS</t>
  </si>
  <si>
    <t>ANF.N,mstag:incomeLossFromInvestmentsUnderTheEquityMethodNonOperatingPreTax,2034FY,,FYR,,,IN-PROGRESS</t>
  </si>
  <si>
    <t>ANF.N,mscalc:netDebt,2029FY,,FYR,,,IN-PROGRESS</t>
  </si>
  <si>
    <t>ANF.N,mstag:longTermInvestmentsNonOperating,2026FY,,FYR,,,IN-PROGRESS</t>
  </si>
  <si>
    <t>ANF.N,mstag:statutoryTaxRate,2024FY,,FYR,,,IN-PROGRESS</t>
  </si>
  <si>
    <t>ANF.N,mscalc:operatingRevenue,2015FY,,FYR,,,IN-PROGRESS</t>
  </si>
  <si>
    <t>ANF.N,mscalc:otheroperatingIncomeExpense,2037FY,,FYR,,,IN-PROGRESS</t>
  </si>
  <si>
    <t>ANF.N,mscalc:shortTermInvestmentsCalc,2021FY,,FYR,,,IN-PROGRESS</t>
  </si>
  <si>
    <t>ANF.N,mscalc:equityFinancing,2028FY,,FYR,,,IN-PROGRESS</t>
  </si>
  <si>
    <t>ANF.N,mscalc:otheroperatingIncomeExpense,2016FY,,FYR,,,IN-PROGRESS</t>
  </si>
  <si>
    <t>ANF.N,mscalc:operatingExpenses,2031FY,,FYR,,,IN-PROGRESS</t>
  </si>
  <si>
    <t>ANF.N,mstag:incomeLossFromInvestmentsAccountedForUnderTheEquityMethodNonOperatingIncomeStatement,2029FY,,FYR,,,IN-PROGRESS</t>
  </si>
  <si>
    <t>ANF.N,mscalc:dividendsPerShareCalc,2017FY,,FYR,,,IN-PROGRESS</t>
  </si>
  <si>
    <t>ANF.N,mscalc:otherIncomeExpense,2020FY,,FYR,,,IN-PROGRESS</t>
  </si>
  <si>
    <t>ANF.N,mscalc:netDebt,2016FY,,FYR,,,IN-PROGRESS</t>
  </si>
  <si>
    <t>ANF.N,mscalc:operatingRevenue,2034FY,,FYR,,,IN-PROGRESS</t>
  </si>
  <si>
    <t>ANF.N,mstag:investmentsUnderTheEquityMethodOperating,2020FY,,FYR,,,IN-PROGRESS</t>
  </si>
  <si>
    <t>ANF.N,mscalc:netDebt,2018FY,,FYR,,,IN-PROGRESS</t>
  </si>
  <si>
    <t>ANF.N,mstag:statutoryTaxRate,2018FY,,FYR,,,IN-PROGRESS</t>
  </si>
  <si>
    <t>ANF.N,mstag:investmentsNonOperating,2027FY,,FYR,,,IN-PROGRESS</t>
  </si>
  <si>
    <t>ANF.N,mscalc:netOperatingAssets,2024FY,,FYR,,,IN-PROGRESS</t>
  </si>
  <si>
    <t>ANF.N,mscalc:otheroperatingIncomeExpense,2024FY,,FYR,,,IN-PROGRESS</t>
  </si>
  <si>
    <t>ANF.N,mscalc:netFinancialIncomeExpense,2037FY,,FYR,,,IN-PROGRESS</t>
  </si>
  <si>
    <t>ANF.N,mstag:incomeLossFromInvestmentsAccountedForUnderTheEquityMethodNonOperatingIncomeStatement,2025FY,,FYR,,,IN-PROGRESS</t>
  </si>
  <si>
    <t>ANF.N,mstag:investmentsNonOperating,2022FY,,FYR,,,IN-PROGRESS</t>
  </si>
  <si>
    <t>ANF.N,mstag:statutoryTaxRate,2034FY,,FYR,,,IN-PROGRESS</t>
  </si>
  <si>
    <t>ANF.N,mstag:investmentsInJointVentures,2030FY,,FYR,,,IN-PROGRESS</t>
  </si>
  <si>
    <t>ANF.N,mscalc:shareholdersEquity,2039FY,,FYR,,,IN-PROGRESS</t>
  </si>
  <si>
    <t>ANF.N,mstag:longTermInvestmentsNonOperating,2023FY,,FYR,,,IN-PROGRESS</t>
  </si>
  <si>
    <t>ANF.N,mstag:statutoryTaxRate,2029FY,,FYR,,,IN-PROGRESS</t>
  </si>
  <si>
    <t>ANF.N,mscalc:operatingExpenses,2029FY,,FYR,,,IN-PROGRESS</t>
  </si>
  <si>
    <t>ANF.N,mstag:incomeLossFromInvestmentsUnderTheEquityMethodNonOperatingPreTax,2024FY,,FYR,,,IN-PROGRESS</t>
  </si>
  <si>
    <t>ANF.N,mstag:investmentsUnderTheEquityMethodOperating,2034FY,,FYR,,,IN-PROGRESS</t>
  </si>
  <si>
    <t>ANF.N,mscalc:operatingExpenses,2037FY,,FYR,,,IN-PROGRESS</t>
  </si>
  <si>
    <t>ANF.N,mstag:investmentsInAssociates,2022FY,,FYR,,,IN-PROGRESS</t>
  </si>
  <si>
    <t>ANF.N,mstag:longTermInvestmentsNonOperating,2022FY,,FYR,,,IN-PROGRESS</t>
  </si>
  <si>
    <t>ANF.N,mscalc:otherIncomeExpense,2032FY,,FYR,,,IN-PROGRESS</t>
  </si>
  <si>
    <t>ANF.N,mscalc:otherNonOperatingAssetsLiabilities,2028FY,,FYR,,,IN-PROGRESS</t>
  </si>
  <si>
    <t>ANF.N,mscalc:shortTermInvestmentsCalc,2016FY,,FYR,,,IN-PROGRESS</t>
  </si>
  <si>
    <t>ANF.N,mscalc:otherIncomeExpense,2024FY,,FYR,,,IN-PROGRESS</t>
  </si>
  <si>
    <t>ANF.N,mscalc:operatingExpenses,2038FY,,FYR,,,IN-PROGRESS</t>
  </si>
  <si>
    <t>ANF.N,mstag:longTermInvestmentsNonOperating,2018FY,,FYR,,,IN-PROGRESS</t>
  </si>
  <si>
    <t>ANF.N,mscalc:equityFinancing,2031FY,,FYR,,,IN-PROGRESS</t>
  </si>
  <si>
    <t>ANF.N,mscalc:taxExpenseFromOperations,2031FY,,FYR,,,IN-PROGRESS</t>
  </si>
  <si>
    <t>ANF.N,mstag:incomeLossesFromInvestmentsNonOperating,2016FY,,FYR,,,IN-PROGRESS</t>
  </si>
  <si>
    <t>ANF.N,mstag:statutoryTaxRate,2020FY,,FYR,,,IN-PROGRESS</t>
  </si>
  <si>
    <t>ANF.N,mstag:statutoryTaxRate,2023FY,,FYR,,,IN-PROGRESS</t>
  </si>
  <si>
    <t>ANF.N,mstag:investmentsInAssociates,2018FY,,FYR,,,IN-PROGRESS</t>
  </si>
  <si>
    <t>ANF.N,mscalc:taxExpenseFromOperations,2033FY,,FYR,,,IN-PROGRESS</t>
  </si>
  <si>
    <t>ANF.N,mscalc:shortTermInvestmentsCalc,2024FY,,FYR,,,IN-PROGRESS</t>
  </si>
  <si>
    <t>ANF.N,mscalc:netOperatingAssets,2021FY,,FYR,,,IN-PROGRESS</t>
  </si>
  <si>
    <t>ANF.N,mscalc:operatingRevenue,2038FY,,FYR,,,IN-PROGRESS</t>
  </si>
  <si>
    <t>ANF.N,mstag:incomeLossFromInvestmentsAccountedForUnderTheEquityMethodNonOperatingIncomeStatement,2019FY,,FYR,,,IN-PROGRESS</t>
  </si>
  <si>
    <t>ANF.N,mscalc:otherIncomeExpense,2030FY,,FYR,,,IN-PROGRESS</t>
  </si>
  <si>
    <t>ANF.N,mscalc:otherIncomeExpense,2037FY,,FYR,,,IN-PROGRESS</t>
  </si>
  <si>
    <t>ANF.N,mscalc:taxExpenseFromOperations,2022FY,,FYR,,,IN-PROGRESS</t>
  </si>
  <si>
    <t>ANF.N,mscalc:otheroperatingIncomeExpense,2015FY,,FYR,,,IN-PROGRESS</t>
  </si>
  <si>
    <t>ANF.N,mscalc:operatingExpenses,2021FY,,FYR,,,IN-PROGRESS</t>
  </si>
  <si>
    <t>ANF.N,mscalc:netOperatingAssets,2036FY,,FYR,,,IN-PROGRESS</t>
  </si>
  <si>
    <t>ANF.N,mstag:incomeLossFromInvestmentsUnderTheEquityMethodNonOperatingPreTax,2031FY,,FYR,,,IN-PROGRESS</t>
  </si>
  <si>
    <t>ANF.N,mscalc:shortTermInvestmentsCalc,2030FY,,FYR,,,IN-PROGRESS</t>
  </si>
  <si>
    <t>ANF.N,mstag:incomeLossFromInvestmentsAccountedForUnderTheEquityMethodNonOperatingIncomeStatement,2034FY,,FYR,,,IN-PROGRESS</t>
  </si>
  <si>
    <t>ANF.N,mstag:incomeLossFromInvestmentsAccountedForUnderTheEquityMethodNonOperatingIncomeStatement,2016FY,,FYR,,,IN-PROGRESS</t>
  </si>
  <si>
    <t>ANF.N,mstag:incomeLossFromInvestmentsAccountedForUnderTheEquityMethodNonOperatingIncomeStatement,2015FY,,FYR,,,IN-PROGRESS</t>
  </si>
  <si>
    <t>ANF.N,mscalc:operatingRevenue,2022FY,,FYR,,,IN-PROGRESS</t>
  </si>
  <si>
    <t>ANF.N,mstag:investmentsUnderTheEquityMethodOperating,2028FY,,FYR,,,IN-PROGRESS</t>
  </si>
  <si>
    <t>ANF.N,mstag:investmentsInAssociates,2034FY,,FYR,,,IN-PROGRESS</t>
  </si>
  <si>
    <t>ANF.N,mstag:statutoryTaxRate,2030FY,,FYR,,,IN-PROGRESS</t>
  </si>
  <si>
    <t>ANF.N,mstag:incomeLossesFromInvestmentsNonOperating,2020FY,,FYR,,,IN-PROGRESS</t>
  </si>
  <si>
    <t>ANF.N,mscalc:equityFinancing,2019FY,,FYR,,,IN-PROGRESS</t>
  </si>
  <si>
    <t>ANF.N,mstag:investmentsUnderTheEquityMethodOperating,2031FY,,FYR,,,IN-PROGRESS</t>
  </si>
  <si>
    <t>ANF.N,mscalc:otherIncomeExpense,2035FY,,FYR,,,IN-PROGRESS</t>
  </si>
  <si>
    <t>ANF.N,mscalc:taxExpenseFromOperations,2019FY,,FYR,,,IN-PROGRESS</t>
  </si>
  <si>
    <t>ANF.N,mstag:investmentsInAssociates,2020FY,,FYR,,,IN-PROGRESS</t>
  </si>
  <si>
    <t>ANF.N,mscalc:netFinancialIncomeExpense,2018FY,,FYR,,,IN-PROGRESS</t>
  </si>
  <si>
    <t>ANF.N,mstag:incomeLossFromInvestmentsUnderTheEquityMethodNonOperatingPreTax,2016FY,,FYR,,,IN-PROGRESS</t>
  </si>
  <si>
    <t>ANF.N,mstag:investmentsNonOperating,2034FY,,FYR,,,IN-PROGRESS</t>
  </si>
  <si>
    <t>ANF.N,mscalc:shortTermInvestmentsCalc,2017FY,,FYR,,,IN-PROGRESS</t>
  </si>
  <si>
    <t>ANF.N,mscalc:otheroperatingIncomeExpense,2032FY,,FYR,,,IN-PROGRESS</t>
  </si>
  <si>
    <t>ANF.N,mscalc:taxExpenseFromOperations,2018FY,,FYR,,,IN-PROGRESS</t>
  </si>
  <si>
    <t>ANF.N,mscalc:netOperatingAssets,2038FY,,FYR,,,IN-PROGRESS</t>
  </si>
  <si>
    <t>ANF.N,mstag:statutoryTaxRate,2022FY,,FYR,,,IN-PROGRESS</t>
  </si>
  <si>
    <t>ANF.N,mstag:incomeLossesFromInvestmentsNonOperating,2030FY,,FYR,,,IN-PROGRESS</t>
  </si>
  <si>
    <t>ANF.N,mstag:incomeLossFromInvestmentsUnderTheEquityMethodNonOperatingPreTax,2028FY,,FYR,,,IN-PROGRESS</t>
  </si>
  <si>
    <t>ANF.N,mscalc:netDebt,2033FY,,FYR,,,IN-PROGRESS</t>
  </si>
  <si>
    <t>ANF.N,mstag:investmentsNonOperating,2033FY,,FYR,,,IN-PROGRESS</t>
  </si>
  <si>
    <t>ANF.N,mstag:statutoryTaxRate,2026FY,,FYR,,,IN-PROGRESS</t>
  </si>
  <si>
    <t>ANF.N,mstag:investmentsInAssociates,2023FY,,FYR,,,IN-PROGRESS</t>
  </si>
  <si>
    <t>ANF.N,mscalc:operatingExpenses,2017FY,,FYR,,,IN-PROGRESS</t>
  </si>
  <si>
    <t>ANF.N,mscalc:otheroperatingIncomeExpense,2034FY,,FYR,,,IN-PROGRESS</t>
  </si>
  <si>
    <t>ANF.N,mscalc:equityFinancing,2029FY,,FYR,,,IN-PROGRESS</t>
  </si>
  <si>
    <t>ANF.N,mscalc:otherNonOperatingAssetsLiabilities,2015FY,,FYR,,,IN-PROGRESS</t>
  </si>
  <si>
    <t>ANF.N,mstag:investmentsInJointVentures,2018FY,,FYR,,,IN-PROGRESS</t>
  </si>
  <si>
    <t>ANF.N,mscalc:operatingRevenue,2028FY,,FYR,,,IN-PROGRESS</t>
  </si>
  <si>
    <t>ANF.N,mscalc:netDebt,2036FY,,FYR,,,IN-PROGRESS</t>
  </si>
  <si>
    <t>ANF.N,mscalc:operatingExpenses,2023FY,,FYR,,,IN-PROGRESS</t>
  </si>
  <si>
    <t>ANF.N,mstag:investmentsNonOperating,2030FY,,FYR,,,IN-PROGRESS</t>
  </si>
  <si>
    <t>ANF.N,mscalc:netDebt,2038FY,,FYR,,,IN-PROGRESS</t>
  </si>
  <si>
    <t>ANF.N,mscalc:netDebt,2023FY,,FYR,,,IN-PROGRESS</t>
  </si>
  <si>
    <t>ANF.N,mscalc:shortTermInvestmentsCalc,2018FY,,FYR,,,IN-PROGRESS</t>
  </si>
  <si>
    <t>ANF.N,mscalc:equityFinancing,2017FY,,FYR,,,IN-PROGRESS</t>
  </si>
  <si>
    <t>ANF.N,mstag:investmentsInJointVentures,2033FY,,FYR,,,IN-PROGRESS</t>
  </si>
  <si>
    <t>ANF.N,mstag:investmentsInJointVentures,2024FY,,FYR,,,IN-PROGRESS</t>
  </si>
  <si>
    <t>ANF.N,mscalc:netFinancialIncomeExpense,2025FY,,FYR,,,IN-PROGRESS</t>
  </si>
  <si>
    <t>ANF.N,mstag:statutoryTaxRate,2027FY,,FYR,,,IN-PROGRESS</t>
  </si>
  <si>
    <t>ANF.N,mscalc:netOperatingAssets,2033FY,,FYR,,,IN-PROGRESS</t>
  </si>
  <si>
    <t>ANF.N,mstag:incomeLossesFromInvestmentsNonOperating,2029FY,,FYR,,,IN-PROGRESS</t>
  </si>
  <si>
    <t>ANF.N,mscalc:netDebt,2026FY,,FYR,,,IN-PROGRESS</t>
  </si>
  <si>
    <t>ANF.N,mscalc:operatingExpenses,2030FY,,FYR,,,IN-PROGRESS</t>
  </si>
  <si>
    <t>ANF.N,mscalc:taxExpenseFromOperations,2029FY,,FYR,,,IN-PROGRESS</t>
  </si>
  <si>
    <t>ANF.N,mscalc:operatingExpenses,2027FY,,FYR,,,IN-PROGRESS</t>
  </si>
  <si>
    <t>ANF.N,mscalc:netOperatingAssets,2032FY,,FYR,,,IN-PROGRESS</t>
  </si>
  <si>
    <t>ANF.N,mstag:incomeLossFromInvestmentsAccountedForUnderTheEquityMethodNonOperatingIncomeStatement,2027FY,,FYR,,,IN-PROGRESS</t>
  </si>
  <si>
    <t>ANF.N,mscalc:netFinancialIncomeExpense,2039FY,,FYR,,,IN-PROGRESS</t>
  </si>
  <si>
    <t>ANF.N,mstag:incomeLossesFromInvestmentsNonOperating,2031FY,,FYR,,,IN-PROGRESS</t>
  </si>
  <si>
    <t>ANF.N,mscalc:shareholdersEquity,2018FY,,FYR,,,IN-PROGRESS</t>
  </si>
  <si>
    <t>ANF.N,mscalc:otherNonOperatingAssetsLiabilities,2040FY,,FYR,,,IN-PROGRESS</t>
  </si>
  <si>
    <t>ANF.N,mscalc:otherNonOperatingAssetsLiabilities,2018FY,,FYR,,,IN-PROGRESS</t>
  </si>
  <si>
    <t>ANF.N,mscalc:shortTermInvestmentsCalc,2026FY,,FYR,,,IN-PROGRESS</t>
  </si>
  <si>
    <t>ANF.N,mscalc:netOperatingAssets,2017FY,,FYR,,,IN-PROGRESS</t>
  </si>
  <si>
    <t>ANF.N,mstag:investmentsNonOperating,2020FY,,FYR,,,IN-PROGRESS</t>
  </si>
  <si>
    <t>ANF.N,mscalc:equityFinancing,2027FY,,FYR,,,IN-PROGRESS</t>
  </si>
  <si>
    <t>ANF.N,mstag:investmentsUnderTheEquityMethodOperating,2025FY,,FYR,,,IN-PROGRESS</t>
  </si>
  <si>
    <t>ANF.N,mscalc:otheroperatingIncomeExpense,2021FY,,FYR,,,IN-PROGRESS</t>
  </si>
  <si>
    <t>ANF.N,mstag:investmentsInJointVentures,2027FY,,FYR,,,IN-PROGRESS</t>
  </si>
  <si>
    <t>ANF.N,mstag:investmentsInSubsidiaries,2034FY,,FYR,,,IN-PROGRESS</t>
  </si>
  <si>
    <t>ANF.N,mstag:currentMarketValueOfInvestmentsUnderTheEquityMethodOperating,2015FY,,FYR,,,IN-PROGRESS</t>
  </si>
  <si>
    <t>ANF.N,mscalc:netOperatingAssets,2015FY,,FYR,,,IN-PROGRESS</t>
  </si>
  <si>
    <t>ANF.N,mscalc:netOperatingAssets,2018FY,,FYR,,,IN-PROGRESS</t>
  </si>
  <si>
    <t>ANF.N,mstag:investmentsInSubsidiaries,2018FY,,FYR,,,IN-PROGRESS</t>
  </si>
  <si>
    <t>ANF.N,mstag:investmentsInSubsidiaries,2032FY,,FYR,,,IN-PROGRESS</t>
  </si>
  <si>
    <t>$IV$6</t>
  </si>
  <si>
    <t>ANF.N,mstag:incomeLossFromInvestmentsAccountedForUnderTheEquityMethodOperatingIncomeStatement,2023FY,,FYR,,,IN-PROGRESS</t>
  </si>
  <si>
    <t>ANF.N,mstag:incomeLossFromInvestmentsAccountedForUnderTheEquityMethodOperatingIncomeStatement,2016FY,,FYR,,,IN-PROGRESS</t>
  </si>
  <si>
    <t>ANF.N,mstag:incomeLossFromInvestmentsAccountedForUnderTheEquityMethodOperatingIncomeStatement,2018FY,,FYR,,,IN-PROGRESS</t>
  </si>
  <si>
    <t>ANF.N,mstag:incomeLossFromInvestmentsAccountedForUnderTheEquityMethodOperatingIncomeStatement,2024FY,,FYR,,,IN-PROGRESS</t>
  </si>
  <si>
    <t>ANF.N,mstag:incomeLossFromInvestmentsAccountedForUnderTheEquityMethodOperatingIncomeStatement,2020FY,,FYR,,,IN-PROGRESS</t>
  </si>
  <si>
    <t>ANF.N,mstag:incomeLossFromInvestmentsAccountedForUnderTheEquityMethodOperatingIncomeStatement,2022FY,,FYR,,,IN-PROGRESS</t>
  </si>
  <si>
    <t>ANF.N,mstag:incomeLossFromInvestmentsAccountedForUnderTheEquityMethodOperatingIncomeStatement,2034FY,,FYR,,,IN-PROGRESS</t>
  </si>
  <si>
    <t>ANF.N,mstag:incomeLossFromInvestmentsAccountedForUnderTheEquityMethodOperatingIncomeStatement,2026FY,,FYR,,,IN-PROGRESS</t>
  </si>
  <si>
    <t>ANF.N,mstag:incomeLossFromInvestmentsAccountedForUnderTheEquityMethodOperatingIncomeStatement,2032FY,,FYR,,,IN-PROGRESS</t>
  </si>
  <si>
    <t>ANF.N,mstag:incomeLossFromInvestmentsAccountedForUnderTheEquityMethodOperatingIncomeStatement,2028FY,,FYR,,,IN-PROGRESS</t>
  </si>
  <si>
    <t>ANF.N,mstag:incomeLossFromInvestmentsAccountedForUnderTheEquityMethodOperatingIncomeStatement,2031FY,,FYR,,,IN-PROGRESS</t>
  </si>
  <si>
    <t>ANF.N,mstag:incomeLossFromInvestmentsAccountedForUnderTheEquityMethodOperatingIncomeStatement,2021FY,,FYR,,,IN-PROGRESS</t>
  </si>
  <si>
    <t>ANF.N,mscalc:operatingRevenue,,,FYR,,,IN-PROGRESS</t>
  </si>
  <si>
    <t>ANF.N,mstag:incomeLossFromInvestmentsAccountedForUnderTheEquityMethodOperatingIncomeStatement,2029FY,,FYR,,,IN-PROGRESS</t>
  </si>
  <si>
    <t>ANF.N,mstag:incomeLossFromInvestmentsAccountedForUnderTheEquityMethodOperatingIncomeStatement,2019FY,,FYR,,,IN-PROGRESS</t>
  </si>
  <si>
    <t>ANF.N,mstag:incomeLossFromInvestmentsAccountedForUnderTheEquityMethodOperatingIncomeStatement,2033FY,,FYR,,,IN-PROGRESS</t>
  </si>
  <si>
    <t>ANF.N,mstag:incomeLossFromInvestmentsAccountedForUnderTheEquityMethodOperatingIncomeStatement,2017FY,,FYR,,,IN-PROGRESS</t>
  </si>
  <si>
    <t>ANF.N,mstag:incomeLossFromInvestmentsAccountedForUnderTheEquityMethodOperatingIncomeStatement,2025FY,,FYR,,,IN-PROGRESS</t>
  </si>
  <si>
    <t>ANF.N,mstag:incomeLossFromInvestmentsAccountedForUnderTheEquityMethodOperatingIncomeStatement,2015FY,,FYR,,,IN-PROGRESS</t>
  </si>
  <si>
    <t>ANF.N,mstag:incomeLossFromInvestmentsAccountedForUnderTheEquityMethodOperatingIncomeStatement,2027FY,,FYR,,,IN-PROGRESS</t>
  </si>
  <si>
    <t>ANF.N,mstag:incomeLossFromInvestmentsAccountedForUnderTheEquityMethodOperatingIncomeStatement,2030FY,,FYR,,,IN-PROGRESS</t>
  </si>
  <si>
    <t>ANF.N,mscalc:periodEndDilutedSharesOutstandingCalcCalc,,,FYR,,,IN-PROGRESS</t>
  </si>
  <si>
    <t>ANF.N,mscalc:shareholdersEquity,2014FY,,FYR,,,IN-PROGRESS</t>
  </si>
  <si>
    <t>ANF.N,mstag:investmentsNonOperating,,,FYR,,,IN-PROGRESS</t>
  </si>
  <si>
    <t>ANF.N,mscalc:netNonOperatingAssetsLiabilities,,,FYR,,,IN-PROGRESS</t>
  </si>
  <si>
    <t>ANF.N,mscalc:dividendsPerShareCalc,2014FY,,FYR,,,IN-PROGRESS</t>
  </si>
  <si>
    <t>ANF.N,mscalc:dividendsPerShareCalc,2030FY,,FYR,,,IN-PROGRESS</t>
  </si>
  <si>
    <t>ANF.N,mscalc:dividendsPerShareCalc,2048FY,,FYR,,,IN-PROGRESS</t>
  </si>
  <si>
    <t>ANF.N,mscalc:dividendsPerShareCalc,2087FY,,FYR,,,IN-PROGRESS</t>
  </si>
  <si>
    <t>ANF.N,mscalc:dividendsPerShareCalc,2043FY,,FYR,,,IN-PROGRESS</t>
  </si>
  <si>
    <t>ANF.N,mscalc:dividendsPerShareCalc,2058FY,,FYR,,,IN-PROGRESS</t>
  </si>
  <si>
    <t>ANF.N,mscalc:dividendsPerShareCalc,2078FY,,FYR,,,IN-PROGRESS</t>
  </si>
  <si>
    <t>ANF.N,mscalc:dividendsPerShareCalc,2055FY,,FYR,,,IN-PROGRESS</t>
  </si>
  <si>
    <t>ANF.N,mscalc:dividendsPerShareCalc,2024FY,,FYR,,,IN-PROGRESS</t>
  </si>
  <si>
    <t>ANF.N,mscalc:dividendsPerShareCalc,2038FY,,FYR,,,IN-PROGRESS</t>
  </si>
  <si>
    <t>ANF.N,mscalc:dividendsPerShareCalc,2062FY,,FYR,,,IN-PROGRESS</t>
  </si>
  <si>
    <t>ANF.N,mscalc:dividendsPerShareCalc,2056FY,,FYR,,,IN-PROGRESS</t>
  </si>
  <si>
    <t>ANF.N,mscalc:dividendsPerShareCalc,2021FY,,FYR,,,IN-PROGRESS</t>
  </si>
  <si>
    <t>ANF.N,mscalc:dividendsPerShareCalc,2063FY,,FYR,,,IN-PROGRESS</t>
  </si>
  <si>
    <t>ANF.N,mscalc:dividendsPerShareCalc,2069FY,,FYR,,,IN-PROGRESS</t>
  </si>
  <si>
    <t>ANF.N,mscalc:dividendsPerShareCalc,2050FY,,FYR,,,IN-PROGRESS</t>
  </si>
  <si>
    <t>ANF.N,mscalc:dividendsPerShareCalc,2079FY,,FYR,,,IN-PROGRESS</t>
  </si>
  <si>
    <t>ANF.N,mscalc:dividendsPerShareCalc,2065FY,,FYR,,,IN-PROGRESS</t>
  </si>
  <si>
    <t>ANF.N,mscalc:dividendsPerShareCalc,2020FY,,FYR,,,IN-PROGRESS</t>
  </si>
  <si>
    <t>ANF.N,mscalc:dividendsPerShareCalc,2051FY,,FYR,,,IN-PROGRESS</t>
  </si>
  <si>
    <t>ANF.N,mscalc:dividendsPerShareCalc,2088FY,,FYR,,,IN-PROGRESS</t>
  </si>
  <si>
    <t>ANF.N,mscalc:dividendsPerShareCalc,2044FY,,FYR,,,IN-PROGRESS</t>
  </si>
  <si>
    <t>ANF.N,mscalc:dividendsPerShareCalc,2084FY,,FYR,,,IN-PROGRESS</t>
  </si>
  <si>
    <t>ANF.N,mscalc:dividendsPerShareCalc,2047FY,,FYR,,,IN-PROGRESS</t>
  </si>
  <si>
    <t>ANF.N,mscalc:dividendsPerShareCalc,2022FY,,FYR,,,IN-PROGRESS</t>
  </si>
  <si>
    <t>ANF.N,mscalc:dividendsPerShareCalc,2074FY,,FYR,,,IN-PROGRESS</t>
  </si>
  <si>
    <t>ANF.N,mscalc:dividendsPerShareCalc,2041FY,,FYR,,,IN-PROGRESS</t>
  </si>
  <si>
    <t>ANF.N,mscalc:dividendsPerShareCalc,2034FY,,FYR,,,IN-PROGRESS</t>
  </si>
  <si>
    <t>ANF.N,mscalc:dividendsPerShareCalc,2081FY,,FYR,,,IN-PROGRESS</t>
  </si>
  <si>
    <t>ANF.N,mscalc:dividendsPerShareCalc,2029FY,,FYR,,,IN-PROGRESS</t>
  </si>
  <si>
    <t>ANF.N,mscalc:dividendsPerShareCalc,2071FY,,FYR,,,IN-PROGRESS</t>
  </si>
  <si>
    <t>ANF.N,mscalc:dividendsPerShareCalc,2077FY,,FYR,,,IN-PROGRESS</t>
  </si>
  <si>
    <t>ANF.N,mscalc:dividendsPerShareCalc,2037FY,,FYR,,,IN-PROGRESS</t>
  </si>
  <si>
    <t>ANF.N,mscalc:dividendsPerShareCalc,2025FY,,FYR,,,IN-PROGRESS</t>
  </si>
  <si>
    <t>ANF.N,mscalc:dividendsPerShareCalc,2066FY,,FYR,,,IN-PROGRESS</t>
  </si>
  <si>
    <t>ANF.N,mscalc:dividendsPerShareCalc,2060FY,,FYR,,,IN-PROGRESS</t>
  </si>
  <si>
    <t>ANF.N,mscalc:dividendsPerShareCalc,2054FY,,FYR,,,IN-PROGRESS</t>
  </si>
  <si>
    <t>ANF.N,mscalc:dividendsPerShareCalc,2042FY,,FYR,,,IN-PROGRESS</t>
  </si>
  <si>
    <t>ANF.N,mscalc:dividendsPerShareCalc,2072FY,,FYR,,,IN-PROGRESS</t>
  </si>
  <si>
    <t>ANF.N,mscalc:dividendsPerShareCalc,2082FY,,FYR,,,IN-PROGRESS</t>
  </si>
  <si>
    <t>ANF.N,mscalc:dividendsPerShareCalc,2068FY,,FYR,,,IN-PROGRESS</t>
  </si>
  <si>
    <t>ANF.N,mscalc:dividendsPerShareCalc,2049FY,,FYR,,,IN-PROGRESS</t>
  </si>
  <si>
    <t>ANF.N,mscalc:dividendsPerShareCalc,2057FY,,FYR,,,IN-PROGRESS</t>
  </si>
  <si>
    <t>ANF.N,mscalc:dividendsPerShareCalc,2073FY,,FYR,,,IN-PROGRESS</t>
  </si>
  <si>
    <t>ANF.N,mscalc:dividendsPerShareCalc,2032FY,,FYR,,,IN-PROGRESS</t>
  </si>
  <si>
    <t>ANF.N,mscalc:dividendsPerShareCalc,2033FY,,FYR,,,IN-PROGRESS</t>
  </si>
  <si>
    <t>ANF.N,mscalc:dividendsPerShareCalc,2039FY,,FYR,,,IN-PROGRESS</t>
  </si>
  <si>
    <t>ANF.N,mscalc:dividendsPerShareCalc,2045FY,,FYR,,,IN-PROGRESS</t>
  </si>
  <si>
    <t>ANF.N,mscalc:dividendsPerShareCalc,2026FY,,FYR,,,IN-PROGRESS</t>
  </si>
  <si>
    <t>ANF.N,mscalc:dividendsPerShareCalc,2085FY,,FYR,,,IN-PROGRESS</t>
  </si>
  <si>
    <t>ANF.N,mscalc:dividendsPerShareCalc,2075FY,,FYR,,,IN-PROGRESS</t>
  </si>
  <si>
    <t>ANF.N,mscalc:dividendsPerShareCalc,2035FY,,FYR,,,IN-PROGRESS</t>
  </si>
  <si>
    <t>ANF.N,mscalc:dividendsPerShareCalc,2031FY,,FYR,,,IN-PROGRESS</t>
  </si>
  <si>
    <t>ANF.N,mscalc:dividendsPerShareCalc,2083FY,,FYR,,,IN-PROGRESS</t>
  </si>
  <si>
    <t>ANF.N,mscalc:dividendsPerShareCalc,2027FY,,FYR,,,IN-PROGRESS</t>
  </si>
  <si>
    <t>ANF.N,mscalc:dividendsPerShareCalc,2052FY,,FYR,,,IN-PROGRESS</t>
  </si>
  <si>
    <t>ANF.N,mscalc:dividendsPerShareCalc,2053FY,,FYR,,,IN-PROGRESS</t>
  </si>
  <si>
    <t>ANF.N,mscalc:dividendsPerShareCalc,2028FY,,FYR,,,IN-PROGRESS</t>
  </si>
  <si>
    <t>ANF.N,mscalc:dividendsPerShareCalc,2046FY,,FYR,,,IN-PROGRESS</t>
  </si>
  <si>
    <t>ANF.N,mscalc:dividendsPerShareCalc,2059FY,,FYR,,,IN-PROGRESS</t>
  </si>
  <si>
    <t>ANF.N,mscalc:dividendsPerShareCalc,2064FY,,FYR,,,IN-PROGRESS</t>
  </si>
  <si>
    <t>ANF.N,mscalc:dividendsPerShareCalc,2061FY,,FYR,,,IN-PROGRESS</t>
  </si>
  <si>
    <t>ANF.N,mscalc:dividendsPerShareCalc,2086FY,,FYR,,,IN-PROGRESS</t>
  </si>
  <si>
    <t>ANF.N,mscalc:dividendsPerShareCalc,2040FY,,FYR,,,IN-PROGRESS</t>
  </si>
  <si>
    <t>ANF.N,mscalc:dividendsPerShareCalc,2067FY,,FYR,,,IN-PROGRESS</t>
  </si>
  <si>
    <t>ANF.N,mscalc:dividendsPerShareCalc,2076FY,,FYR,,,IN-PROGRESS</t>
  </si>
  <si>
    <t>ANF.N,mscalc:dividendsPerShareCalc,2036FY,,FYR,,,IN-PROGRESS</t>
  </si>
  <si>
    <t>ANF.N,mscalc:dividendsPerShareCalc,2080FY,,FYR,,,IN-PROGRESS</t>
  </si>
  <si>
    <t>ANF.N,mscalc:dividendsPerShareCalc,2023FY,,FYR,,,IN-PROGRESS</t>
  </si>
  <si>
    <t>ANF.N,mscalc:dividendsPerShareCalc,2070FY,,FYR,,,IN-PROGRESS</t>
  </si>
  <si>
    <t>ANF.N,mscalc:dividendsPerShareCalc,,,FYR,,,IN-PROGRESS</t>
  </si>
  <si>
    <t>WACC</t>
  </si>
  <si>
    <t>NOPAT</t>
  </si>
  <si>
    <t>2020E</t>
  </si>
  <si>
    <t>Jan '21</t>
  </si>
  <si>
    <t>Net income attributable to non-controlling interest</t>
  </si>
  <si>
    <t>2015A</t>
  </si>
  <si>
    <t>Less Noncontrolling Interests</t>
  </si>
  <si>
    <t>2016A</t>
  </si>
  <si>
    <t>Sales/Avg Sq Ft (Including eComm)</t>
  </si>
  <si>
    <t>Sales/Avg Sq Ft (Store Only)</t>
  </si>
  <si>
    <t xml:space="preserve">Net Sales Per Avg Gross Sq Ft </t>
  </si>
  <si>
    <t>2017A</t>
  </si>
  <si>
    <t>1Q15</t>
  </si>
  <si>
    <t>2Q15</t>
  </si>
  <si>
    <t>3Q15</t>
  </si>
  <si>
    <t>4Q15</t>
  </si>
  <si>
    <t>FY15 y/y Margin Change</t>
  </si>
  <si>
    <t>Other changes in financing activities</t>
  </si>
  <si>
    <t>Analysis of Space Productivity, 1997A-2017E</t>
  </si>
  <si>
    <t>Analysis of Total Space Productivity, 1997A-2017E</t>
  </si>
  <si>
    <t>Per Share Value</t>
  </si>
  <si>
    <t>Model</t>
  </si>
  <si>
    <t>Forecasts</t>
  </si>
  <si>
    <t>Metric</t>
  </si>
  <si>
    <t>Operating Taxes</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</si>
  <si>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</si>
  <si>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</si>
  <si>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</si>
  <si>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</si>
  <si>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</si>
  <si>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</si>
  <si>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</si>
  <si>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</si>
  <si>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</si>
  <si>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</si>
  <si>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</si>
  <si>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</si>
  <si>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</si>
  <si>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Cash Balance (2018E)</t>
  </si>
  <si>
    <t>Market Risk Premium</t>
  </si>
  <si>
    <t>Net Debt</t>
  </si>
  <si>
    <t>Equity Beta</t>
  </si>
  <si>
    <t>Cost of Debt (Pre-tax)</t>
  </si>
  <si>
    <t>Required Equity Return</t>
  </si>
  <si>
    <t>Cost of Debt (Post-tax @ 35%)</t>
  </si>
  <si>
    <t xml:space="preserve">Fully Diluted Shares </t>
  </si>
  <si>
    <t>Current Share Price</t>
  </si>
  <si>
    <t>Market Enterprise Value</t>
  </si>
  <si>
    <t>Sum of NPV Forecasted CFs</t>
  </si>
  <si>
    <t>Intrinsic Enterprise Value</t>
  </si>
  <si>
    <t>Less: Debt</t>
  </si>
  <si>
    <t>Plus: Cash</t>
  </si>
  <si>
    <t>Less: MV of Non-controlling Interest</t>
  </si>
  <si>
    <t>Plus: MV of Equity Investments</t>
  </si>
  <si>
    <t>Equity Value per Share</t>
  </si>
  <si>
    <t>2Q17A</t>
  </si>
  <si>
    <t>2Q16A</t>
  </si>
  <si>
    <t>2Q17E</t>
  </si>
  <si>
    <t>2QFY2018</t>
  </si>
  <si>
    <t>1Q16</t>
  </si>
  <si>
    <t>2Q16</t>
  </si>
  <si>
    <t>3Q16</t>
  </si>
  <si>
    <t>4Q16</t>
  </si>
  <si>
    <t>1Q17</t>
  </si>
  <si>
    <t>2Q17</t>
  </si>
  <si>
    <t>Inventory Growth</t>
  </si>
  <si>
    <t>Forward Sales Growth</t>
  </si>
  <si>
    <t>Less: Net Income attributable to noncontrolling interests</t>
  </si>
  <si>
    <t>12-17A</t>
  </si>
  <si>
    <t>'17-22E</t>
  </si>
  <si>
    <t>2021E</t>
  </si>
  <si>
    <t>3Q17</t>
  </si>
  <si>
    <t>AEO</t>
  </si>
  <si>
    <t xml:space="preserve">CHS </t>
  </si>
  <si>
    <t>GPS</t>
  </si>
  <si>
    <t>EXPR</t>
  </si>
  <si>
    <t>4Q17</t>
  </si>
  <si>
    <t>1Q14</t>
  </si>
  <si>
    <t>2Q14</t>
  </si>
  <si>
    <t>Inverse Inv. Growth (left)</t>
  </si>
  <si>
    <t>1Q18e</t>
  </si>
  <si>
    <t>Gross margin y/y  (right)</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</si>
  <si>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</si>
  <si>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</si>
  <si>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</si>
  <si>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</si>
  <si>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</si>
  <si>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</si>
  <si>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</si>
  <si>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</si>
  <si>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</si>
  <si>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</si>
  <si>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13 Mar 2018</t>
  </si>
  <si>
    <t>Ticker: ANF.N</t>
  </si>
  <si>
    <t>Stock Rating: Underweight</t>
  </si>
  <si>
    <t>Industry: Retail, Specialty Retail</t>
  </si>
  <si>
    <t>Industry View: Cautious</t>
  </si>
  <si>
    <t>Price as of 13 Mar 2018: 22.34</t>
  </si>
  <si>
    <t>Target Price: 13</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</si>
  <si>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</si>
  <si>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</si>
  <si>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</si>
  <si>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</si>
  <si>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Abercrombie &amp; Fitch Co..</t>
  </si>
  <si>
    <t>STOCK RATINGS</t>
  </si>
  <si>
    <t>Global Stock Ratings Distribution</t>
  </si>
  <si>
    <t>(as of February 28,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</si>
  <si>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</si>
  <si>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</si>
  <si>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</si>
  <si>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</si>
  <si>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</si>
  <si>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</si>
  <si>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</si>
  <si>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</si>
  <si>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</si>
  <si>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</si>
  <si>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</si>
  <si>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</si>
  <si>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</si>
  <si>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</si>
  <si>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</si>
  <si>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</si>
  <si>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</si>
  <si>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</si>
  <si>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</si>
  <si>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</si>
  <si>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</si>
  <si>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</si>
  <si>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</si>
  <si>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</si>
  <si>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</si>
  <si>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</si>
  <si>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</si>
  <si>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</si>
  <si>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</si>
  <si>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</si>
  <si>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</si>
  <si>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</si>
  <si>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</si>
  <si>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</si>
  <si>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</si>
  <si>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</si>
  <si>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</si>
  <si>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</si>
  <si>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</si>
  <si>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</si>
  <si>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</si>
  <si>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</si>
  <si>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</si>
  <si>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</si>
  <si>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</si>
  <si>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</si>
  <si>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</si>
  <si>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</si>
  <si>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</si>
  <si>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</si>
  <si>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</si>
  <si>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</si>
  <si>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</si>
  <si>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</si>
  <si>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</si>
  <si>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</si>
  <si>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</si>
  <si>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</si>
  <si>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</si>
  <si>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</si>
  <si>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</si>
  <si>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</si>
  <si>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</si>
  <si>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</si>
  <si>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</si>
  <si>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</si>
  <si>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</si>
  <si>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</si>
  <si>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</si>
  <si>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</si>
  <si>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</si>
  <si>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</si>
  <si>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</si>
  <si>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</si>
  <si>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</si>
  <si>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</si>
  <si>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</si>
  <si>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</si>
  <si>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</si>
  <si>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</si>
  <si>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</si>
  <si>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</si>
  <si>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</si>
  <si>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</si>
  <si>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</si>
  <si>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</si>
  <si>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</si>
  <si>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</si>
  <si>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</si>
  <si>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</si>
  <si>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</si>
  <si>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</si>
  <si>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</si>
  <si>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</si>
  <si>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</si>
  <si>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</si>
  <si>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</si>
  <si>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</si>
  <si>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</si>
  <si>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</si>
  <si>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</si>
  <si>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</si>
  <si>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</si>
  <si>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</si>
  <si>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</si>
  <si>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</si>
  <si>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</si>
  <si>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</si>
  <si>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</si>
  <si>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</si>
  <si>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</si>
  <si>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</si>
  <si>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</si>
  <si>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</si>
  <si>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</si>
  <si>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</si>
  <si>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</si>
  <si>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</si>
  <si>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</si>
  <si>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</si>
  <si>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</si>
  <si>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</si>
  <si>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</si>
  <si>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</si>
  <si>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</si>
  <si>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</si>
  <si>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</si>
  <si>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</si>
  <si>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</si>
  <si>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</si>
  <si>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</si>
  <si>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</si>
  <si>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</si>
  <si>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</si>
  <si>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</si>
  <si>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</si>
  <si>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</si>
  <si>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</si>
  <si>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</si>
  <si>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</si>
  <si>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</si>
  <si>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</si>
  <si>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</si>
  <si>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</si>
  <si>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</si>
  <si>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</si>
  <si>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</si>
  <si>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</si>
  <si>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</si>
  <si>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</si>
  <si>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</si>
  <si>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</si>
  <si>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</si>
  <si>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</si>
  <si>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</si>
  <si>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</si>
  <si>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</si>
  <si>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</si>
  <si>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</si>
  <si>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</si>
  <si>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</si>
  <si>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</si>
  <si>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</si>
  <si>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</si>
  <si>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</si>
  <si>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</si>
  <si>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</si>
  <si>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</si>
  <si>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</si>
  <si>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</si>
  <si>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</si>
  <si>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</si>
  <si>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</si>
  <si>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</si>
  <si>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</si>
  <si>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</si>
  <si>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</si>
  <si>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</si>
  <si>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</si>
  <si>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</si>
  <si>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</si>
  <si>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</si>
  <si>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</si>
  <si>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</si>
  <si>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</si>
  <si>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</si>
  <si>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</si>
  <si>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</si>
  <si>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</si>
  <si>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</si>
  <si>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</si>
  <si>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</si>
  <si>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</si>
  <si>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</si>
  <si>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</si>
  <si>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</si>
  <si>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</si>
  <si>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</si>
  <si>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</si>
  <si>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</si>
  <si>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</si>
  <si>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</si>
  <si>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</si>
  <si>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</si>
  <si>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</si>
  <si>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</si>
  <si>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</si>
  <si>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</si>
  <si>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</si>
  <si>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</si>
  <si>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</si>
  <si>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</si>
  <si>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</si>
  <si>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</si>
  <si>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</si>
  <si>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</si>
  <si>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</si>
  <si>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</si>
  <si>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</si>
  <si>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</si>
  <si>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</si>
  <si>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</si>
  <si>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</si>
  <si>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</si>
  <si>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</si>
  <si>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</si>
  <si>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</si>
  <si>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</si>
  <si>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</si>
  <si>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</si>
  <si>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</si>
  <si>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</si>
  <si>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</si>
  <si>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</si>
  <si>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</si>
  <si>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</si>
  <si>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</si>
  <si>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As of February 28, 2018, Morgan Stanley beneficially owned 1% or more of a class of common equity</t>
  </si>
  <si>
    <t>securities of the following companies covered in Morgan Stanley Research: Abercrombie &amp; Fitch Co..</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</si>
  <si>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</si>
  <si>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</si>
  <si>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</si>
  <si>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</si>
  <si>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</si>
  <si>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</si>
  <si>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</si>
  <si>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</si>
  <si>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</si>
  <si>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</si>
  <si>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</si>
  <si>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</si>
  <si>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</si>
  <si>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</si>
  <si>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</si>
  <si>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</si>
  <si>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</si>
  <si>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</si>
  <si>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</si>
  <si>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</si>
  <si>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</si>
  <si>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</si>
  <si>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</si>
  <si>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</si>
  <si>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</si>
  <si>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</si>
  <si>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</si>
  <si>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</si>
  <si>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</si>
  <si>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</si>
  <si>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</si>
  <si>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</si>
  <si>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</si>
  <si>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</si>
  <si>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</si>
  <si>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</si>
  <si>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</si>
  <si>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</si>
  <si>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</si>
  <si>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</si>
  <si>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</si>
  <si>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</si>
  <si>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</si>
  <si>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</si>
  <si>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</si>
  <si>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</si>
  <si>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</si>
  <si>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</si>
  <si>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</si>
  <si>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</si>
  <si>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</si>
  <si>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</si>
  <si>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</si>
  <si>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</si>
  <si>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</si>
  <si>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</si>
  <si>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</si>
  <si>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</si>
  <si>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</si>
  <si>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</si>
  <si>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</si>
  <si>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</si>
  <si>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</si>
  <si>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</si>
  <si>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</si>
  <si>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</si>
  <si>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</si>
  <si>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</si>
  <si>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</si>
  <si>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</si>
  <si>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</si>
  <si>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</si>
  <si>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</si>
  <si>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Cautious</t>
  </si>
  <si>
    <t>Regular Update</t>
  </si>
  <si>
    <t>NorthAmerica</t>
  </si>
  <si>
    <t>robertcy</t>
  </si>
  <si>
    <t>L:\RETAIL\Greenberger\Companies\ANF\Models\ANF.xlsm</t>
  </si>
  <si>
    <t>[BRO MSA]</t>
  </si>
  <si>
    <t>[PRODUCT MODEL]</t>
  </si>
  <si>
    <t>[EMAIL_ALERT YES]</t>
  </si>
  <si>
    <t>[DISCIPLINE Company]</t>
  </si>
  <si>
    <t>[SUPPRESSED NO]</t>
  </si>
  <si>
    <t>[DOCDAT 2018-03-13]</t>
  </si>
  <si>
    <t>[DOCTIME 12:13]</t>
  </si>
  <si>
    <t>[PSYM ANF.N(S&amp;P) (None)]</t>
  </si>
  <si>
    <t>[COU 1]</t>
  </si>
  <si>
    <t>[ANA ]</t>
  </si>
  <si>
    <t>[HL ANF.N Model]</t>
  </si>
  <si>
    <t>[IND RETSPA]</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</si>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</sst>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79">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
    <numFmt numFmtId="167" formatCode="#,##0.0_);\(#,##0.0\)"/>
    <numFmt numFmtId="169" formatCode="#,##0.0_);[Red]\(#,##0.0\)"/>
    <numFmt numFmtId="170" formatCode="0.000"/>
    <numFmt numFmtId="171" formatCode="&quot;$&quot;#,##0.0_);[Red]\(&quot;$&quot;#,##0.0\)"/>
    <numFmt numFmtId="172" formatCode="&quot;$&quot;#,##0.0_);\(&quot;$&quot;#,##0.0\)"/>
    <numFmt numFmtId="173" formatCode="0.000000"/>
    <numFmt numFmtId="174" formatCode="#,##0.0000"/>
    <numFmt numFmtId="175" formatCode="_(* #,##0_);_(* \(#,##0\);_(* &quot;-&quot;??_);_(@_)"/>
    <numFmt numFmtId="176" formatCode="&quot;$&quot;#,##0.00"/>
    <numFmt numFmtId="177" formatCode="&quot;$&quot;#,##0"/>
    <numFmt numFmtId="178" formatCode="General_)"/>
    <numFmt numFmtId="179" formatCode="0.0_)"/>
    <numFmt numFmtId="180" formatCode="&quot;$&quot;#,##0.0"/>
    <numFmt numFmtId="181" formatCode="0.0_);\(0.0\)"/>
    <numFmt numFmtId="182" formatCode="_(* #,##0.0000_);_(* \(#,##0.0000\);_(* &quot;-&quot;??_);_(@_)"/>
    <numFmt numFmtId="183" formatCode="0_);\(0\)"/>
    <numFmt numFmtId="184" formatCode="&quot;$&quot;#,##0.000_);\(&quot;$&quot;#,##0.000\)"/>
    <numFmt numFmtId="185" formatCode="###0_);\(###0\)"/>
    <numFmt numFmtId="186" formatCode="mm/dd/yy_)"/>
    <numFmt numFmtId="187" formatCode="&quot;$&quot;#,##0.0\ ;[Red]\(&quot;$&quot;#,##0.0\)"/>
    <numFmt numFmtId="188" formatCode="0.0%;\(0.0%\)"/>
    <numFmt numFmtId="189" formatCode="\(0.0\)"/>
    <numFmt numFmtId="190" formatCode="\+0.0;\-0.0"/>
    <numFmt numFmtId="191" formatCode="0.000_)"/>
    <numFmt numFmtId="192" formatCode="&quot;$&quot;#,##0.000"/>
    <numFmt numFmtId="193" formatCode="####\A"/>
    <numFmt numFmtId="194" formatCode="\/0.0;\/\-0.0"/>
    <numFmt numFmtId="195" formatCode="####&quot;E&quot;"/>
    <numFmt numFmtId="196" formatCode="#,##0.0\ ;\(#,##0.0\)"/>
    <numFmt numFmtId="197" formatCode="#,##0.0\ ;[Red]\(#,##0.0\)"/>
    <numFmt numFmtId="198" formatCode="#,##0.0%\ ;[Red]\(#,##0.0%\)"/>
    <numFmt numFmtId="199" formatCode="0.0_);[Red]\(0.0\)"/>
    <numFmt numFmtId="200" formatCode="0_);[Red]\(0\)"/>
    <numFmt numFmtId="201" formatCode="#,##0.000_);\(#,##0.000\)"/>
    <numFmt numFmtId="202" formatCode="&quot;$&quot;#,##0.000_);[Red]\(&quot;$&quot;#,##0.000\)"/>
    <numFmt numFmtId="203" formatCode="0.00000"/>
    <numFmt numFmtId="204" formatCode="0.0000"/>
    <numFmt numFmtId="208" formatCode="\+0.00;\-0.00"/>
    <numFmt numFmtId="209" formatCode="#,##0.000_);[Red]\(#,##0.000\)"/>
    <numFmt numFmtId="210" formatCode="\(0.00\)"/>
    <numFmt numFmtId="211" formatCode="_(* #,##0.0_);_(* \(#,##0.0\);_(* &quot;-&quot;??_);_(@_)"/>
    <numFmt numFmtId="213" formatCode="0.00000000000000"/>
    <numFmt numFmtId="214" formatCode="\+0.0000;\-0.0000"/>
    <numFmt numFmtId="216" formatCode="0.000%"/>
    <numFmt numFmtId="219" formatCode="_(* #,##0.000_);_(* \(#,##0.000\);_(* &quot;-&quot;??_);_(@_)"/>
    <numFmt numFmtId="221" formatCode="_-&quot;£&quot;* #,##0.00_-;\-&quot;£&quot;* #,##0.00_-;_-&quot;£&quot;* &quot;-&quot;??_-;_-@_-"/>
    <numFmt numFmtId="222" formatCode="_-* #,##0.00_-;\-* #,##0.00_-;_-* &quot;-&quot;??_-;_-@_-"/>
    <numFmt numFmtId="236" formatCode="0\ &quot;bps&quot;"/>
    <numFmt numFmtId="239" formatCode="####&quot;A&quot;"/>
    <numFmt numFmtId="240" formatCode="0.00_);\(0.00\)"/>
    <numFmt numFmtId="241" formatCode="0%;\(0%\)"/>
    <numFmt numFmtId="242" formatCode="_(&quot;$&quot;* #,##0_);_(&quot;$&quot;* \(#,##0\);_(&quot;$&quot;* &quot;-&quot;??_);_(@_)"/>
    <numFmt numFmtId="244" formatCode="#,##0.0000000000000_);[Red]\(#,##0.0000000000000\)"/>
    <numFmt numFmtId="245" formatCode="#.0#\x"/>
    <numFmt numFmtId="246" formatCode="#,##0.0;\(#,##0.0\)"/>
    <numFmt numFmtId="247" formatCode="#,##0;\(#,##0\)"/>
    <numFmt numFmtId="248" formatCode="\F###0\A"/>
    <numFmt numFmtId="249" formatCode="\F###0\E"/>
    <numFmt numFmtId="250" formatCode="###0"/>
    <numFmt numFmtId="251" formatCode="###0.00"/>
    <numFmt numFmtId="252" formatCode="###0.0"/>
    <numFmt numFmtId="253" formatCode="\F###0"/>
    <numFmt numFmtId="262" formatCode="\/0.00;\/\-0.00"/>
    <numFmt numFmtId="263" formatCode="_(&quot;$&quot;* #,##0.0_);_(&quot;$&quot;* \(#,##0.0\);_(&quot;$&quot;* &quot;-&quot;??_);_(@_)"/>
    <numFmt numFmtId="264" formatCode="_(&quot;$&quot;* #,##0.0_);_(&quot;$&quot;* \(#,##0.0\);_(&quot;$&quot;* &quot;-&quot;?_);_(@_)"/>
    <numFmt numFmtId="266" formatCode="&quot;$&quot;#,##0.0000_);[Red]\(&quot;$&quot;#,##0.0000\)"/>
    <numFmt numFmtId="267" formatCode="\/0;\/\-0"/>
    <numFmt numFmtId="269" formatCode="0.00000000000000_);\(0.00000000000000\)"/>
    <numFmt numFmtId="270" formatCode="0\x"/>
    <numFmt numFmtId="276" formatCode="mm/dd/yy\ hh:mm"/>
  </numFmts>
  <fonts count="170">
    <font>
      <sz val="10"/>
      <name val="Arial"/>
    </font>
    <font>
      <sz val="10"/>
      <name val="Arial"/>
      <family val="2"/>
    </font>
    <font>
      <sz val="10"/>
      <name val="MS Sans Serif"/>
      <family val="2"/>
    </font>
    <font>
      <sz val="10"/>
      <name val="Helv"/>
    </font>
    <font>
      <sz val="10"/>
      <name val="Courier"/>
      <family val="3"/>
    </font>
    <font>
      <sz val="8"/>
      <name val="Arial"/>
      <family val="2"/>
    </font>
    <font>
      <sz val="7"/>
      <name val="Courier"/>
      <family val="3"/>
    </font>
    <font>
      <sz val="8"/>
      <name val="Helv"/>
    </font>
    <font>
      <u/>
      <sz val="10"/>
      <name val="Helv"/>
    </font>
    <font>
      <sz val="10"/>
      <name val="Arial"/>
      <family val="2"/>
    </font>
    <font>
      <b/>
      <sz val="8"/>
      <name val="Arial"/>
      <family val="2"/>
    </font>
    <font>
      <b/>
      <sz val="10"/>
      <name val="Arial"/>
      <family val="2"/>
    </font>
    <font>
      <sz val="10"/>
      <color indexed="12"/>
      <name val="Arial"/>
      <family val="2"/>
    </font>
    <font>
      <i/>
      <sz val="8"/>
      <name val="Arial"/>
      <family val="2"/>
    </font>
    <font>
      <b/>
      <u/>
      <sz val="8"/>
      <name val="Arial"/>
      <family val="2"/>
    </font>
    <font>
      <b/>
      <sz val="8"/>
      <color indexed="12"/>
      <name val="Arial"/>
      <family val="2"/>
    </font>
    <font>
      <b/>
      <u/>
      <sz val="8"/>
      <color indexed="12"/>
      <name val="Arial"/>
      <family val="2"/>
    </font>
    <font>
      <sz val="8"/>
      <color indexed="12"/>
      <name val="Arial"/>
      <family val="2"/>
    </font>
    <font>
      <sz val="8"/>
      <color indexed="81"/>
      <name val="Tahoma"/>
      <family val="2"/>
    </font>
    <font>
      <b/>
      <sz val="8"/>
      <color indexed="81"/>
      <name val="Tahoma"/>
      <family val="2"/>
    </font>
    <font>
      <b/>
      <sz val="10"/>
      <color indexed="12"/>
      <name val="Arial"/>
      <family val="2"/>
    </font>
    <font>
      <sz val="8"/>
      <color indexed="10"/>
      <name val="Arial"/>
      <family val="2"/>
    </font>
    <font>
      <sz val="9"/>
      <name val="Arial"/>
      <family val="2"/>
    </font>
    <font>
      <b/>
      <u/>
      <sz val="10"/>
      <color indexed="12"/>
      <name val="Arial"/>
      <family val="2"/>
    </font>
    <font>
      <sz val="8"/>
      <color indexed="8"/>
      <name val="Arial"/>
      <family val="2"/>
    </font>
    <font>
      <u/>
      <sz val="8"/>
      <name val="Arial"/>
      <family val="2"/>
    </font>
    <font>
      <i/>
      <sz val="10"/>
      <name val="Arial"/>
      <family val="2"/>
    </font>
    <font>
      <b/>
      <sz val="10"/>
      <name val="Arial"/>
      <family val="2"/>
    </font>
    <font>
      <b/>
      <sz val="9"/>
      <name val="Arial"/>
      <family val="2"/>
    </font>
    <font>
      <b/>
      <u/>
      <sz val="9"/>
      <name val="Arial"/>
      <family val="2"/>
    </font>
    <font>
      <sz val="9"/>
      <color indexed="39"/>
      <name val="Arial"/>
      <family val="2"/>
    </font>
    <font>
      <sz val="9"/>
      <color indexed="10"/>
      <name val="Arial"/>
      <family val="2"/>
    </font>
    <font>
      <sz val="9"/>
      <color indexed="48"/>
      <name val="Arial"/>
      <family val="2"/>
    </font>
    <font>
      <sz val="9"/>
      <color indexed="12"/>
      <name val="Arial"/>
      <family val="2"/>
    </font>
    <font>
      <b/>
      <sz val="9"/>
      <color indexed="81"/>
      <name val="Tahoma"/>
      <family val="2"/>
    </font>
    <font>
      <sz val="9"/>
      <color indexed="81"/>
      <name val="Tahoma"/>
      <family val="2"/>
    </font>
    <font>
      <b/>
      <sz val="10"/>
      <color indexed="81"/>
      <name val="Tahoma"/>
      <family val="2"/>
    </font>
    <font>
      <sz val="10"/>
      <color indexed="81"/>
      <name val="Tahoma"/>
      <family val="2"/>
    </font>
    <font>
      <sz val="10"/>
      <color indexed="17"/>
      <name val="Arial"/>
      <family val="2"/>
    </font>
    <font>
      <u/>
      <sz val="8"/>
      <color indexed="12"/>
      <name val="Arial"/>
      <family val="2"/>
    </font>
    <font>
      <sz val="10"/>
      <color indexed="8"/>
      <name val="Arial"/>
      <family val="2"/>
    </font>
    <font>
      <sz val="10"/>
      <color indexed="50"/>
      <name val="Arial"/>
      <family val="2"/>
    </font>
    <font>
      <sz val="9"/>
      <color indexed="56"/>
      <name val="Arial"/>
      <family val="2"/>
    </font>
    <font>
      <sz val="10"/>
      <color indexed="56"/>
      <name val="Arial"/>
      <family val="2"/>
    </font>
    <font>
      <sz val="8"/>
      <color indexed="21"/>
      <name val="Arial"/>
      <family val="2"/>
    </font>
    <font>
      <b/>
      <sz val="9"/>
      <color indexed="12"/>
      <name val="Arial"/>
      <family val="2"/>
    </font>
    <font>
      <b/>
      <sz val="8"/>
      <color indexed="21"/>
      <name val="Arial"/>
      <family val="2"/>
    </font>
    <font>
      <b/>
      <i/>
      <sz val="10"/>
      <name val="Arial"/>
      <family val="2"/>
    </font>
    <font>
      <i/>
      <sz val="8"/>
      <name val="Times New Roman"/>
      <family val="1"/>
    </font>
    <font>
      <vertAlign val="superscript"/>
      <sz val="10"/>
      <name val="Arial"/>
      <family val="2"/>
    </font>
    <font>
      <sz val="10"/>
      <color indexed="9"/>
      <name val="Arial"/>
      <family val="2"/>
    </font>
    <font>
      <b/>
      <sz val="8"/>
      <color indexed="12"/>
      <name val="Arial"/>
      <family val="2"/>
    </font>
    <font>
      <b/>
      <sz val="12"/>
      <name val="Arial"/>
      <family val="2"/>
    </font>
    <font>
      <sz val="9"/>
      <name val="Futura UBS Bk"/>
    </font>
    <font>
      <b/>
      <sz val="10"/>
      <color indexed="9"/>
      <name val="Arial"/>
      <family val="2"/>
    </font>
    <font>
      <i/>
      <sz val="10"/>
      <color indexed="9"/>
      <name val="Arial"/>
      <family val="2"/>
    </font>
    <font>
      <i/>
      <sz val="10"/>
      <color indexed="12"/>
      <name val="Arial"/>
      <family val="2"/>
    </font>
    <font>
      <b/>
      <i/>
      <u/>
      <sz val="10"/>
      <name val="Arial"/>
      <family val="2"/>
    </font>
    <font>
      <b/>
      <u/>
      <sz val="10"/>
      <name val="Arial"/>
      <family val="2"/>
    </font>
    <font>
      <sz val="8"/>
      <name val="Arial"/>
      <family val="2"/>
    </font>
    <font>
      <b/>
      <u/>
      <sz val="8"/>
      <color indexed="81"/>
      <name val="Tahoma"/>
      <family val="2"/>
    </font>
    <font>
      <b/>
      <sz val="7"/>
      <color indexed="21"/>
      <name val="Arial"/>
      <family val="2"/>
    </font>
    <font>
      <b/>
      <sz val="7"/>
      <color indexed="81"/>
      <name val="Tahoma"/>
      <family val="2"/>
    </font>
    <font>
      <sz val="7"/>
      <color indexed="81"/>
      <name val="Tahoma"/>
      <family val="2"/>
    </font>
    <font>
      <u/>
      <sz val="8"/>
      <color indexed="81"/>
      <name val="Tahoma"/>
      <family val="2"/>
    </font>
    <font>
      <u/>
      <sz val="10"/>
      <color indexed="81"/>
      <name val="Tahoma"/>
      <family val="2"/>
    </font>
    <font>
      <sz val="10"/>
      <color indexed="12"/>
      <name val="Arial"/>
      <family val="2"/>
    </font>
    <font>
      <sz val="10"/>
      <name val="Arial"/>
      <family val="2"/>
    </font>
    <font>
      <sz val="11"/>
      <name val="Arial"/>
      <family val="2"/>
    </font>
    <font>
      <sz val="8"/>
      <color indexed="9"/>
      <name val="Arial"/>
      <family val="2"/>
    </font>
    <font>
      <b/>
      <sz val="10"/>
      <color indexed="81"/>
      <name val="Arial"/>
      <family val="2"/>
    </font>
    <font>
      <sz val="10"/>
      <color indexed="81"/>
      <name val="Arial"/>
      <family val="2"/>
    </font>
    <font>
      <b/>
      <sz val="10"/>
      <color indexed="8"/>
      <name val="Times New Roman"/>
      <family val="1"/>
    </font>
    <font>
      <sz val="9"/>
      <name val="Times New Roman"/>
      <family val="1"/>
    </font>
    <font>
      <sz val="10"/>
      <color indexed="8"/>
      <name val="Times New Roman"/>
      <family val="1"/>
    </font>
    <font>
      <b/>
      <sz val="8"/>
      <color indexed="9"/>
      <name val="Arial"/>
      <family val="2"/>
    </font>
    <font>
      <sz val="10"/>
      <color indexed="57"/>
      <name val="Arial"/>
      <family val="2"/>
    </font>
    <font>
      <sz val="9"/>
      <name val="Times New Roman"/>
      <family val="1"/>
    </font>
    <font>
      <sz val="8"/>
      <color indexed="9"/>
      <name val="Arial"/>
      <family val="2"/>
    </font>
    <font>
      <b/>
      <sz val="14"/>
      <color indexed="18"/>
      <name val="Arial"/>
      <family val="2"/>
    </font>
    <font>
      <sz val="10"/>
      <color indexed="9"/>
      <name val="Arial"/>
      <family val="2"/>
    </font>
    <font>
      <b/>
      <sz val="10"/>
      <color indexed="12"/>
      <name val="Arial"/>
      <family val="2"/>
    </font>
    <font>
      <sz val="10"/>
      <color indexed="10"/>
      <name val="Arial"/>
      <family val="2"/>
    </font>
    <font>
      <b/>
      <sz val="10"/>
      <color indexed="10"/>
      <name val="Arial"/>
      <family val="2"/>
    </font>
    <font>
      <b/>
      <sz val="12"/>
      <color indexed="12"/>
      <name val="Arial"/>
      <family val="2"/>
    </font>
    <font>
      <b/>
      <sz val="10"/>
      <color indexed="9"/>
      <name val="Arial"/>
      <family val="2"/>
    </font>
    <font>
      <sz val="10"/>
      <color indexed="53"/>
      <name val="Arial"/>
      <family val="2"/>
    </font>
    <font>
      <b/>
      <sz val="12"/>
      <name val="Arial"/>
      <family val="2"/>
    </font>
    <font>
      <i/>
      <sz val="10"/>
      <name val="Arial"/>
      <family val="2"/>
    </font>
    <font>
      <i/>
      <sz val="10"/>
      <color indexed="9"/>
      <name val="Arial"/>
      <family val="2"/>
    </font>
    <font>
      <sz val="10"/>
      <color indexed="8"/>
      <name val="Arial"/>
      <family val="2"/>
    </font>
    <font>
      <i/>
      <sz val="10"/>
      <color indexed="8"/>
      <name val="Arial"/>
      <family val="2"/>
    </font>
    <font>
      <b/>
      <i/>
      <sz val="10"/>
      <color indexed="12"/>
      <name val="Arial"/>
      <family val="2"/>
    </font>
    <font>
      <sz val="10"/>
      <color indexed="53"/>
      <name val="Arial"/>
      <family val="2"/>
    </font>
    <font>
      <sz val="10"/>
      <color indexed="23"/>
      <name val="Arial"/>
      <family val="2"/>
    </font>
    <font>
      <b/>
      <u/>
      <sz val="10"/>
      <name val="Arial"/>
      <family val="2"/>
    </font>
    <font>
      <b/>
      <sz val="11"/>
      <name val="Arial"/>
      <family val="2"/>
    </font>
    <font>
      <sz val="8"/>
      <name val="Times New Roman"/>
      <family val="1"/>
    </font>
    <font>
      <b/>
      <sz val="11"/>
      <color indexed="81"/>
      <name val="Tahoma"/>
      <family val="2"/>
    </font>
    <font>
      <sz val="11"/>
      <color indexed="81"/>
      <name val="Tahoma"/>
      <family val="2"/>
    </font>
    <font>
      <sz val="8"/>
      <color indexed="12"/>
      <name val="Arial"/>
      <family val="2"/>
    </font>
    <font>
      <sz val="8"/>
      <color indexed="23"/>
      <name val="Arial"/>
      <family val="2"/>
    </font>
    <font>
      <b/>
      <u/>
      <sz val="8"/>
      <color indexed="23"/>
      <name val="Arial"/>
      <family val="2"/>
    </font>
    <font>
      <b/>
      <u/>
      <sz val="8"/>
      <name val="Arial"/>
      <family val="2"/>
    </font>
    <font>
      <b/>
      <sz val="8"/>
      <color indexed="62"/>
      <name val="Arial"/>
      <family val="2"/>
    </font>
    <font>
      <sz val="10"/>
      <color indexed="10"/>
      <name val="Arial"/>
      <family val="2"/>
    </font>
    <font>
      <b/>
      <u/>
      <sz val="10"/>
      <color indexed="8"/>
      <name val="Arial"/>
      <family val="2"/>
    </font>
    <font>
      <b/>
      <sz val="10"/>
      <color indexed="8"/>
      <name val="Arial"/>
      <family val="2"/>
    </font>
    <font>
      <u/>
      <sz val="10"/>
      <color indexed="8"/>
      <name val="Arial"/>
      <family val="2"/>
    </font>
    <font>
      <u/>
      <sz val="10"/>
      <name val="Arial"/>
      <family val="2"/>
    </font>
    <font>
      <sz val="10"/>
      <color indexed="55"/>
      <name val="Arial"/>
      <family val="2"/>
    </font>
    <font>
      <sz val="10"/>
      <color indexed="14"/>
      <name val="Arial"/>
      <family val="2"/>
    </font>
    <font>
      <sz val="10"/>
      <color indexed="21"/>
      <name val="Arial"/>
      <family val="2"/>
    </font>
    <font>
      <sz val="10"/>
      <color indexed="48"/>
      <name val="Arial"/>
      <family val="2"/>
    </font>
    <font>
      <sz val="10"/>
      <color indexed="63"/>
      <name val="Arial"/>
      <family val="2"/>
    </font>
    <font>
      <b/>
      <i/>
      <u/>
      <sz val="10"/>
      <color indexed="12"/>
      <name val="Arial"/>
      <family val="2"/>
    </font>
    <font>
      <i/>
      <sz val="10"/>
      <color indexed="55"/>
      <name val="Arial"/>
      <family val="2"/>
    </font>
    <font>
      <sz val="10"/>
      <color indexed="51"/>
      <name val="Arial"/>
      <family val="2"/>
    </font>
    <font>
      <sz val="10"/>
      <color indexed="20"/>
      <name val="Arial"/>
      <family val="2"/>
    </font>
    <font>
      <sz val="10"/>
      <color indexed="61"/>
      <name val="Arial"/>
      <family val="2"/>
    </font>
    <font>
      <u/>
      <sz val="10"/>
      <color indexed="51"/>
      <name val="Arial"/>
      <family val="2"/>
    </font>
    <font>
      <b/>
      <u/>
      <sz val="10"/>
      <color indexed="10"/>
      <name val="Arial"/>
      <family val="2"/>
    </font>
    <font>
      <b/>
      <sz val="10"/>
      <color indexed="17"/>
      <name val="Arial"/>
      <family val="2"/>
    </font>
    <font>
      <vertAlign val="superscript"/>
      <sz val="10"/>
      <color indexed="55"/>
      <name val="Arial"/>
      <family val="2"/>
    </font>
    <font>
      <u/>
      <sz val="10"/>
      <color indexed="12"/>
      <name val="Arial"/>
      <family val="2"/>
    </font>
    <font>
      <i/>
      <sz val="10"/>
      <color indexed="20"/>
      <name val="Arial"/>
      <family val="2"/>
    </font>
    <font>
      <u/>
      <sz val="10"/>
      <color indexed="20"/>
      <name val="Arial"/>
      <family val="2"/>
    </font>
    <font>
      <b/>
      <sz val="10"/>
      <color indexed="20"/>
      <name val="Arial"/>
      <family val="2"/>
    </font>
    <font>
      <sz val="10"/>
      <color indexed="54"/>
      <name val="Arial"/>
      <family val="2"/>
    </font>
    <font>
      <u/>
      <sz val="10"/>
      <color indexed="10"/>
      <name val="Arial"/>
      <family val="2"/>
    </font>
    <font>
      <u/>
      <sz val="10"/>
      <color indexed="54"/>
      <name val="Arial"/>
      <family val="2"/>
    </font>
    <font>
      <b/>
      <sz val="9"/>
      <color indexed="81"/>
      <name val="Calibri"/>
      <family val="2"/>
    </font>
    <font>
      <b/>
      <sz val="8"/>
      <color indexed="10"/>
      <name val="Arial"/>
      <family val="2"/>
    </font>
    <font>
      <sz val="8"/>
      <color indexed="10"/>
      <name val="Arial"/>
      <family val="2"/>
    </font>
    <font>
      <sz val="8"/>
      <color indexed="12"/>
      <name val="Arial"/>
      <family val="2"/>
    </font>
    <font>
      <sz val="10"/>
      <color indexed="12"/>
      <name val="Arial"/>
      <family val="2"/>
    </font>
    <font>
      <b/>
      <sz val="10"/>
      <color indexed="12"/>
      <name val="Arial"/>
      <family val="2"/>
    </font>
    <font>
      <sz val="10"/>
      <color indexed="17"/>
      <name val="Arial"/>
      <family val="2"/>
    </font>
    <font>
      <b/>
      <u/>
      <sz val="10"/>
      <color indexed="12"/>
      <name val="Arial"/>
      <family val="2"/>
    </font>
    <font>
      <sz val="10"/>
      <color indexed="12"/>
      <name val="Arial"/>
      <family val="2"/>
    </font>
    <font>
      <sz val="10"/>
      <name val="Arial"/>
      <family val="2"/>
    </font>
    <font>
      <sz val="8"/>
      <name val="Arial"/>
      <family val="2"/>
    </font>
    <font>
      <sz val="10"/>
      <color indexed="8"/>
      <name val="MS Sans Serif"/>
      <family val="2"/>
    </font>
    <font>
      <sz val="10"/>
      <color indexed="12"/>
      <name val="Arial"/>
      <family val="2"/>
    </font>
    <font>
      <sz val="10"/>
      <color indexed="12"/>
      <name val="Arial"/>
      <family val="2"/>
    </font>
    <font>
      <sz val="10"/>
      <color indexed="12"/>
      <name val="Arial"/>
      <family val="2"/>
    </font>
    <font>
      <b/>
      <sz val="10"/>
      <color indexed="12"/>
      <name val="Arial"/>
      <family val="2"/>
    </font>
    <font>
      <sz val="10"/>
      <color indexed="12"/>
      <name val="Arial"/>
      <family val="2"/>
    </font>
    <font>
      <sz val="10"/>
      <color indexed="12"/>
      <name val="Arial"/>
      <family val="2"/>
    </font>
    <font>
      <sz val="10"/>
      <color indexed="12"/>
      <name val="Arial"/>
      <family val="2"/>
    </font>
    <font>
      <sz val="8"/>
      <color indexed="12"/>
      <name val="Arial"/>
      <family val="2"/>
    </font>
    <font>
      <sz val="10"/>
      <color indexed="12"/>
      <name val="Arial"/>
      <family val="2"/>
    </font>
    <font>
      <sz val="10"/>
      <color indexed="17"/>
      <name val="Arial"/>
      <family val="2"/>
    </font>
    <font>
      <sz val="10"/>
      <color indexed="12"/>
      <name val="Arial"/>
      <family val="2"/>
    </font>
    <font>
      <sz val="10"/>
      <color indexed="12"/>
      <name val="Arial"/>
      <family val="2"/>
    </font>
    <font>
      <b/>
      <i/>
      <sz val="10"/>
      <color indexed="62"/>
      <name val="Arial"/>
      <family val="2"/>
    </font>
    <font>
      <i/>
      <sz val="10"/>
      <color indexed="23"/>
      <name val="Arial"/>
      <family val="2"/>
    </font>
    <font>
      <i/>
      <sz val="10"/>
      <color indexed="44"/>
      <name val="Arial"/>
      <family val="2"/>
    </font>
    <font>
      <i/>
      <sz val="8"/>
      <color indexed="55"/>
      <name val="Arial"/>
      <family val="2"/>
    </font>
    <font>
      <i/>
      <sz val="8"/>
      <color indexed="9"/>
      <name val="Arial"/>
      <family val="2"/>
    </font>
    <font>
      <i/>
      <sz val="10"/>
      <color rgb="FF0000FF"/>
      <name val="Arial"/>
      <family val="2"/>
    </font>
    <font>
      <sz val="10"/>
      <color rgb="FF0000FF"/>
      <name val="Arial"/>
      <family val="2"/>
    </font>
    <font>
      <b/>
      <sz val="8"/>
      <color rgb="FF0000FF"/>
      <name val="Arial"/>
      <family val="2"/>
    </font>
    <font>
      <sz val="8"/>
      <color rgb="FF0000FF"/>
      <name val="Arial"/>
      <family val="2"/>
    </font>
    <font>
      <sz val="10"/>
      <color rgb="FF008000"/>
      <name val="Arial"/>
      <family val="2"/>
    </font>
    <font>
      <b/>
      <u/>
      <sz val="10"/>
      <color rgb="FF0000FF"/>
      <name val="Arial"/>
      <family val="2"/>
    </font>
    <font>
      <u/>
      <sz val="8"/>
      <color rgb="FF0000FF"/>
      <name val="Arial"/>
      <family val="2"/>
    </font>
    <font>
      <b/>
      <sz val="10"/>
      <color rgb="FF0000FF"/>
      <name val="Arial"/>
      <family val="2"/>
    </font>
    <font>
      <sz val="10"/>
      <color rgb="FF000000"/>
      <name val="Arial"/>
      <family val="2"/>
    </font>
    <font>
      <b/>
      <sz val="12"/>
      <color rgb="FF000080"/>
      <name val="Arial"/>
      <family val="2"/>
    </font>
  </fonts>
  <fills count="15">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47"/>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indexed="48"/>
        <bgColor indexed="64"/>
      </patternFill>
    </fill>
    <fill>
      <patternFill patternType="solid">
        <fgColor indexed="10"/>
        <bgColor indexed="64"/>
      </patternFill>
    </fill>
    <fill>
      <patternFill patternType="solid">
        <fgColor indexed="44"/>
        <bgColor indexed="64"/>
      </patternFill>
    </fill>
    <fill>
      <patternFill patternType="solid">
        <fgColor theme="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indexed="65"/>
        <bgColor indexed="64"/>
      </patternFill>
    </fill>
  </fills>
  <borders count="41">
    <border>
      <left/>
      <right/>
      <top/>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right/>
      <top style="medium">
        <color indexed="64"/>
      </top>
      <bottom style="medium">
        <color indexed="64"/>
      </bottom>
      <diagonal/>
    </border>
    <border>
      <left/>
      <right/>
      <top/>
      <bottom style="dashed">
        <color indexed="64"/>
      </bottom>
      <diagonal/>
    </border>
    <border>
      <left/>
      <right/>
      <top/>
      <bottom style="dashed">
        <color indexed="23"/>
      </bottom>
      <diagonal/>
    </border>
    <border>
      <left/>
      <right/>
      <top style="thin">
        <color indexed="20"/>
      </top>
      <bottom style="thin">
        <color indexed="2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0">
    <xf numFmtId="0" fontId="0" fillId="0" borderId="0"/>
    <xf numFmtId="0" fontId="1" fillId="0" borderId="0"/>
    <xf numFmtId="0" fontId="140" fillId="0" borderId="0" applyNumberFormat="0" applyFont="0" applyFill="0" applyBorder="0" applyAlignment="0" applyProtection="0"/>
    <xf numFmtId="0" fontId="1" fillId="0" borderId="0"/>
    <xf numFmtId="0" fontId="2" fillId="0" borderId="0"/>
    <xf numFmtId="0" fontId="2" fillId="0" borderId="0"/>
    <xf numFmtId="0" fontId="72" fillId="0" borderId="0"/>
    <xf numFmtId="43" fontId="1" fillId="0" borderId="0" applyFont="0" applyFill="0" applyBorder="0" applyAlignment="0" applyProtection="0"/>
    <xf numFmtId="43" fontId="9" fillId="0" borderId="0" applyFont="0" applyFill="0" applyBorder="0" applyAlignment="0" applyProtection="0"/>
    <xf numFmtId="43" fontId="140" fillId="0" borderId="0" applyFont="0" applyFill="0" applyBorder="0" applyAlignment="0" applyProtection="0"/>
    <xf numFmtId="40" fontId="2"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9" fillId="0" borderId="0" applyFont="0" applyFill="0" applyBorder="0" applyAlignment="0" applyProtection="0"/>
    <xf numFmtId="0" fontId="140" fillId="0" borderId="0" applyNumberFormat="0" applyFill="0" applyBorder="0" applyAlignment="0" applyProtection="0">
      <alignment vertical="top"/>
      <protection locked="0"/>
    </xf>
    <xf numFmtId="0" fontId="9" fillId="0" borderId="0"/>
    <xf numFmtId="0" fontId="4" fillId="0" borderId="0"/>
    <xf numFmtId="0" fontId="3" fillId="0" borderId="0"/>
    <xf numFmtId="0" fontId="1" fillId="0" borderId="0"/>
    <xf numFmtId="0" fontId="1" fillId="0" borderId="0"/>
    <xf numFmtId="37" fontId="4" fillId="0" borderId="0"/>
    <xf numFmtId="0" fontId="4" fillId="0" borderId="0"/>
    <xf numFmtId="0" fontId="2" fillId="0" borderId="0"/>
    <xf numFmtId="178" fontId="6" fillId="0" borderId="0" applyNumberFormat="0" applyBorder="0" applyAlignment="0">
      <alignment horizontal="left"/>
    </xf>
    <xf numFmtId="0" fontId="77" fillId="0" borderId="0"/>
    <xf numFmtId="178" fontId="4" fillId="0" borderId="0"/>
    <xf numFmtId="0" fontId="59" fillId="0" borderId="0"/>
    <xf numFmtId="0" fontId="59" fillId="0" borderId="0"/>
    <xf numFmtId="178" fontId="4" fillId="0" borderId="0"/>
    <xf numFmtId="0" fontId="4" fillId="0" borderId="0"/>
    <xf numFmtId="37" fontId="4" fillId="0" borderId="0"/>
    <xf numFmtId="37" fontId="4" fillId="0" borderId="0"/>
    <xf numFmtId="0" fontId="1" fillId="0" borderId="0"/>
    <xf numFmtId="0" fontId="1" fillId="0" borderId="0"/>
    <xf numFmtId="178" fontId="4" fillId="0" borderId="0"/>
    <xf numFmtId="0" fontId="7" fillId="0" borderId="0"/>
    <xf numFmtId="0" fontId="73" fillId="0" borderId="0">
      <alignment vertical="center"/>
    </xf>
    <xf numFmtId="9" fontId="1" fillId="0" borderId="0" applyFont="0" applyFill="0" applyBorder="0" applyAlignment="0" applyProtection="0"/>
    <xf numFmtId="9" fontId="9" fillId="0" borderId="0" applyFont="0" applyFill="0" applyBorder="0" applyAlignment="0" applyProtection="0"/>
    <xf numFmtId="9" fontId="140" fillId="0" borderId="0" applyFont="0" applyFill="0" applyBorder="0" applyAlignment="0" applyProtection="0"/>
    <xf numFmtId="0" fontId="9" fillId="2" borderId="0" applyNumberFormat="0" applyFont="0" applyBorder="0" applyAlignment="0" applyProtection="0"/>
    <xf numFmtId="0" fontId="74" fillId="0" borderId="0"/>
    <xf numFmtId="0" fontId="74" fillId="0" borderId="2">
      <alignment horizontal="centerContinuous"/>
    </xf>
    <xf numFmtId="0" fontId="48" fillId="0" borderId="2"/>
    <xf numFmtId="0" fontId="59" fillId="3" borderId="3" applyNumberFormat="0" applyProtection="0">
      <alignment wrapText="1"/>
    </xf>
    <xf numFmtId="169" fontId="8" fillId="0" borderId="0"/>
    <xf numFmtId="0" fontId="1" fillId="0" borderId="0"/>
    <xf numFmtId="0" fontId="1" fillId="0" borderId="0" applyFill="0" applyAlignment="0">
      <protection locked="0"/>
    </xf>
    <xf numFmtId="0" fontId="1" fillId="2" borderId="0" applyNumberFormat="0" applyFont="0" applyBorder="0" applyAlignment="0" applyProtection="0"/>
    <xf numFmtId="0" fontId="4" fillId="0" borderId="0"/>
  </cellStyleXfs>
  <cellXfs count="2335">
    <xf numFmtId="0" fontId="0" fillId="0" borderId="0" xfId="0"/>
    <xf numFmtId="178" fontId="9" fillId="0" borderId="0" xfId="34" applyFont="1"/>
    <xf numFmtId="178" fontId="9" fillId="0" borderId="4" xfId="34" applyFont="1" applyBorder="1"/>
    <xf numFmtId="186" fontId="9" fillId="0" borderId="0" xfId="34" applyNumberFormat="1" applyFont="1" applyBorder="1" applyAlignment="1" applyProtection="1">
      <alignment horizontal="left"/>
    </xf>
    <xf numFmtId="178" fontId="9" fillId="0" borderId="0" xfId="34" applyNumberFormat="1" applyFont="1" applyProtection="1"/>
    <xf numFmtId="5" fontId="9" fillId="0" borderId="0" xfId="34" applyNumberFormat="1" applyFont="1" applyProtection="1"/>
    <xf numFmtId="167" fontId="9" fillId="0" borderId="0" xfId="34" applyNumberFormat="1" applyFont="1" applyProtection="1"/>
    <xf numFmtId="166" fontId="9" fillId="0" borderId="0" xfId="34" applyNumberFormat="1" applyFont="1" applyProtection="1"/>
    <xf numFmtId="37" fontId="9" fillId="0" borderId="0" xfId="34" applyNumberFormat="1" applyFont="1" applyProtection="1"/>
    <xf numFmtId="178" fontId="9" fillId="0" borderId="0" xfId="34" applyNumberFormat="1" applyFont="1" applyFill="1" applyAlignment="1" applyProtection="1">
      <alignment horizontal="left"/>
    </xf>
    <xf numFmtId="191" fontId="9" fillId="0" borderId="0" xfId="34" applyNumberFormat="1" applyFont="1" applyProtection="1"/>
    <xf numFmtId="184" fontId="9" fillId="0" borderId="0" xfId="34" applyNumberFormat="1" applyFont="1" applyProtection="1"/>
    <xf numFmtId="188" fontId="9" fillId="0" borderId="0" xfId="35" applyNumberFormat="1" applyFont="1" applyProtection="1"/>
    <xf numFmtId="178" fontId="9" fillId="0" borderId="0" xfId="34" applyFont="1" applyFill="1"/>
    <xf numFmtId="188" fontId="9" fillId="0" borderId="0" xfId="35" applyNumberFormat="1" applyFont="1" applyFill="1" applyProtection="1"/>
    <xf numFmtId="5" fontId="9" fillId="0" borderId="0" xfId="34" applyNumberFormat="1" applyFont="1" applyFill="1" applyProtection="1"/>
    <xf numFmtId="6" fontId="9" fillId="0" borderId="0" xfId="12" applyNumberFormat="1" applyFont="1"/>
    <xf numFmtId="178" fontId="9" fillId="0" borderId="0" xfId="34" quotePrefix="1" applyFont="1" applyFill="1"/>
    <xf numFmtId="166" fontId="9" fillId="0" borderId="0" xfId="37" applyNumberFormat="1" applyFont="1"/>
    <xf numFmtId="0" fontId="5" fillId="0" borderId="0" xfId="33" applyFont="1"/>
    <xf numFmtId="178" fontId="9" fillId="0" borderId="0" xfId="34" applyFont="1" applyAlignment="1">
      <alignment horizontal="left"/>
    </xf>
    <xf numFmtId="178" fontId="11" fillId="0" borderId="0" xfId="34" applyFont="1" applyBorder="1" applyAlignment="1" applyProtection="1">
      <alignment horizontal="left"/>
    </xf>
    <xf numFmtId="0" fontId="9" fillId="0" borderId="0" xfId="0" applyFont="1"/>
    <xf numFmtId="0" fontId="5" fillId="0" borderId="0" xfId="0" applyFont="1"/>
    <xf numFmtId="0" fontId="11" fillId="0" borderId="0" xfId="0" applyFont="1"/>
    <xf numFmtId="0" fontId="11" fillId="0" borderId="4" xfId="0" applyFont="1" applyBorder="1"/>
    <xf numFmtId="0" fontId="14" fillId="0" borderId="0" xfId="0" applyFont="1"/>
    <xf numFmtId="0" fontId="5" fillId="0" borderId="0" xfId="0" applyFont="1" applyBorder="1"/>
    <xf numFmtId="180" fontId="5" fillId="0" borderId="0" xfId="0" applyNumberFormat="1" applyFont="1"/>
    <xf numFmtId="164" fontId="5" fillId="0" borderId="0" xfId="0" applyNumberFormat="1" applyFont="1"/>
    <xf numFmtId="176" fontId="5" fillId="0" borderId="0" xfId="0" applyNumberFormat="1" applyFont="1"/>
    <xf numFmtId="165" fontId="5" fillId="0" borderId="0" xfId="0" applyNumberFormat="1" applyFont="1"/>
    <xf numFmtId="164" fontId="5" fillId="0" borderId="4" xfId="0" applyNumberFormat="1" applyFont="1" applyBorder="1"/>
    <xf numFmtId="4" fontId="5" fillId="0" borderId="0" xfId="0" applyNumberFormat="1" applyFont="1"/>
    <xf numFmtId="171" fontId="5" fillId="0" borderId="0" xfId="0" applyNumberFormat="1" applyFont="1"/>
    <xf numFmtId="169" fontId="5" fillId="0" borderId="0" xfId="0" applyNumberFormat="1" applyFont="1"/>
    <xf numFmtId="190" fontId="9" fillId="0" borderId="0" xfId="0" applyNumberFormat="1" applyFont="1"/>
    <xf numFmtId="190" fontId="9" fillId="0" borderId="4" xfId="0" applyNumberFormat="1" applyFont="1" applyBorder="1"/>
    <xf numFmtId="0" fontId="11" fillId="0" borderId="0" xfId="0" applyFont="1" applyAlignment="1">
      <alignment horizontal="center"/>
    </xf>
    <xf numFmtId="0" fontId="12" fillId="0" borderId="0" xfId="0" applyFont="1"/>
    <xf numFmtId="0" fontId="11" fillId="0" borderId="0" xfId="0" applyFont="1" applyBorder="1"/>
    <xf numFmtId="190" fontId="9" fillId="0" borderId="0" xfId="0" applyNumberFormat="1" applyFont="1" applyBorder="1"/>
    <xf numFmtId="178" fontId="12" fillId="0" borderId="0" xfId="34" applyNumberFormat="1" applyFont="1" applyProtection="1"/>
    <xf numFmtId="37" fontId="12" fillId="0" borderId="0" xfId="34" applyNumberFormat="1" applyFont="1" applyProtection="1"/>
    <xf numFmtId="191" fontId="12" fillId="0" borderId="0" xfId="34" applyNumberFormat="1" applyFont="1" applyFill="1" applyProtection="1"/>
    <xf numFmtId="5" fontId="12" fillId="0" borderId="0" xfId="34" applyNumberFormat="1" applyFont="1" applyProtection="1"/>
    <xf numFmtId="188" fontId="12" fillId="0" borderId="0" xfId="35" applyNumberFormat="1" applyFont="1" applyProtection="1"/>
    <xf numFmtId="0" fontId="9" fillId="0" borderId="0" xfId="33" applyFont="1"/>
    <xf numFmtId="193" fontId="11" fillId="0" borderId="4" xfId="17" applyNumberFormat="1" applyFont="1" applyFill="1" applyBorder="1" applyAlignment="1">
      <alignment horizontal="center"/>
    </xf>
    <xf numFmtId="167" fontId="9" fillId="0" borderId="0" xfId="34" applyNumberFormat="1" applyFont="1" applyBorder="1" applyProtection="1"/>
    <xf numFmtId="178" fontId="9" fillId="0" borderId="0" xfId="34" applyFont="1" applyBorder="1"/>
    <xf numFmtId="37" fontId="13" fillId="0" borderId="0" xfId="20" applyFont="1"/>
    <xf numFmtId="186" fontId="13" fillId="0" borderId="0" xfId="20" applyNumberFormat="1" applyFont="1" applyProtection="1"/>
    <xf numFmtId="37" fontId="5" fillId="0" borderId="0" xfId="20" applyFont="1"/>
    <xf numFmtId="37" fontId="5" fillId="0" borderId="0" xfId="20" applyFont="1" applyAlignment="1" applyProtection="1">
      <alignment horizontal="left"/>
    </xf>
    <xf numFmtId="179" fontId="5" fillId="0" borderId="0" xfId="20" applyNumberFormat="1" applyFont="1" applyProtection="1"/>
    <xf numFmtId="37" fontId="13" fillId="0" borderId="0" xfId="20" applyFont="1" applyAlignment="1" applyProtection="1">
      <alignment horizontal="left"/>
    </xf>
    <xf numFmtId="179" fontId="13" fillId="0" borderId="0" xfId="20" applyNumberFormat="1" applyFont="1" applyProtection="1"/>
    <xf numFmtId="37" fontId="5" fillId="0" borderId="0" xfId="20" applyFont="1" applyAlignment="1">
      <alignment horizontal="center"/>
    </xf>
    <xf numFmtId="0" fontId="5" fillId="0" borderId="4" xfId="0" applyFont="1" applyBorder="1"/>
    <xf numFmtId="0" fontId="10" fillId="0" borderId="4" xfId="0" applyFont="1" applyBorder="1" applyAlignment="1">
      <alignment horizontal="center"/>
    </xf>
    <xf numFmtId="0" fontId="10" fillId="0" borderId="0" xfId="0" applyFont="1" applyAlignment="1">
      <alignment horizontal="center"/>
    </xf>
    <xf numFmtId="0" fontId="10" fillId="0" borderId="0" xfId="0" applyFont="1" applyBorder="1" applyAlignment="1">
      <alignment horizontal="center"/>
    </xf>
    <xf numFmtId="193" fontId="14" fillId="0" borderId="0" xfId="0" applyNumberFormat="1" applyFont="1" applyAlignment="1">
      <alignment horizontal="left"/>
    </xf>
    <xf numFmtId="0" fontId="11" fillId="0" borderId="0" xfId="0" applyFont="1" applyAlignment="1">
      <alignment horizontal="left"/>
    </xf>
    <xf numFmtId="0" fontId="11" fillId="0" borderId="4" xfId="0" applyFont="1" applyBorder="1" applyAlignment="1">
      <alignment horizontal="left"/>
    </xf>
    <xf numFmtId="0" fontId="5" fillId="0" borderId="0" xfId="0" applyFont="1" applyAlignment="1">
      <alignment horizontal="left"/>
    </xf>
    <xf numFmtId="193" fontId="16" fillId="0" borderId="0" xfId="0" applyNumberFormat="1" applyFont="1" applyAlignment="1">
      <alignment horizontal="left"/>
    </xf>
    <xf numFmtId="1" fontId="5" fillId="0" borderId="0" xfId="0" applyNumberFormat="1" applyFont="1"/>
    <xf numFmtId="0" fontId="10" fillId="0" borderId="5" xfId="0" applyFont="1" applyBorder="1" applyAlignment="1">
      <alignment horizontal="center"/>
    </xf>
    <xf numFmtId="0" fontId="5" fillId="0" borderId="6" xfId="0" applyFont="1" applyBorder="1"/>
    <xf numFmtId="0" fontId="5" fillId="0" borderId="7" xfId="0" applyFont="1" applyBorder="1"/>
    <xf numFmtId="169" fontId="5" fillId="0" borderId="4" xfId="0" applyNumberFormat="1" applyFont="1" applyBorder="1"/>
    <xf numFmtId="169" fontId="5" fillId="0" borderId="0" xfId="0" applyNumberFormat="1" applyFont="1" applyBorder="1"/>
    <xf numFmtId="4" fontId="5" fillId="0" borderId="6" xfId="0" applyNumberFormat="1" applyFont="1" applyBorder="1"/>
    <xf numFmtId="164" fontId="5" fillId="0" borderId="0" xfId="0" applyNumberFormat="1" applyFont="1" applyBorder="1"/>
    <xf numFmtId="0" fontId="0" fillId="0" borderId="4" xfId="0" applyBorder="1"/>
    <xf numFmtId="0" fontId="11" fillId="0" borderId="4" xfId="0" applyFont="1" applyBorder="1" applyAlignment="1">
      <alignment horizontal="center"/>
    </xf>
    <xf numFmtId="193" fontId="23" fillId="0" borderId="0" xfId="17" applyNumberFormat="1" applyFont="1" applyFill="1" applyBorder="1" applyAlignment="1">
      <alignment horizontal="center"/>
    </xf>
    <xf numFmtId="178" fontId="9" fillId="0" borderId="0" xfId="34" applyFont="1" applyBorder="1" applyAlignment="1" applyProtection="1">
      <alignment horizontal="left"/>
    </xf>
    <xf numFmtId="37" fontId="9" fillId="0" borderId="0" xfId="34" applyNumberFormat="1" applyFont="1" applyBorder="1" applyProtection="1"/>
    <xf numFmtId="178" fontId="9" fillId="0" borderId="8" xfId="34" applyFont="1" applyBorder="1"/>
    <xf numFmtId="37" fontId="9" fillId="0" borderId="8" xfId="34" applyNumberFormat="1" applyFont="1" applyBorder="1" applyProtection="1"/>
    <xf numFmtId="178" fontId="9" fillId="0" borderId="9" xfId="34" applyFont="1" applyBorder="1"/>
    <xf numFmtId="167" fontId="9" fillId="0" borderId="4" xfId="34" applyNumberFormat="1" applyFont="1" applyBorder="1" applyProtection="1"/>
    <xf numFmtId="178" fontId="11" fillId="0" borderId="5" xfId="34" applyFont="1" applyBorder="1" applyAlignment="1" applyProtection="1">
      <alignment horizontal="center"/>
    </xf>
    <xf numFmtId="0" fontId="9" fillId="0" borderId="0" xfId="0" applyFont="1" applyAlignment="1">
      <alignment horizontal="center"/>
    </xf>
    <xf numFmtId="0" fontId="5" fillId="0" borderId="0" xfId="0" applyFont="1" applyAlignment="1">
      <alignment horizontal="right"/>
    </xf>
    <xf numFmtId="4" fontId="17" fillId="0" borderId="0" xfId="0" applyNumberFormat="1" applyFont="1" applyAlignment="1">
      <alignment horizontal="right"/>
    </xf>
    <xf numFmtId="175" fontId="9" fillId="0" borderId="0" xfId="7" applyNumberFormat="1" applyFont="1" applyProtection="1"/>
    <xf numFmtId="191" fontId="9" fillId="0" borderId="0" xfId="34" applyNumberFormat="1" applyFont="1" applyFill="1" applyProtection="1"/>
    <xf numFmtId="178" fontId="9" fillId="0" borderId="5" xfId="34" applyFont="1" applyBorder="1"/>
    <xf numFmtId="166" fontId="5" fillId="0" borderId="0" xfId="37" applyNumberFormat="1" applyFont="1"/>
    <xf numFmtId="166" fontId="5" fillId="0" borderId="0" xfId="0" applyNumberFormat="1" applyFont="1"/>
    <xf numFmtId="0" fontId="0" fillId="0" borderId="0" xfId="0" applyBorder="1"/>
    <xf numFmtId="0" fontId="14" fillId="0" borderId="0" xfId="0" applyFont="1" applyBorder="1" applyAlignment="1">
      <alignment horizontal="center"/>
    </xf>
    <xf numFmtId="0" fontId="9" fillId="0" borderId="4" xfId="0" applyFont="1" applyBorder="1"/>
    <xf numFmtId="0" fontId="9" fillId="0" borderId="0" xfId="0" applyFont="1" applyBorder="1"/>
    <xf numFmtId="0" fontId="10" fillId="0" borderId="0" xfId="0" applyFont="1"/>
    <xf numFmtId="0" fontId="5" fillId="0" borderId="0" xfId="0" applyFont="1" applyAlignment="1">
      <alignment horizontal="center"/>
    </xf>
    <xf numFmtId="0" fontId="5" fillId="0" borderId="8" xfId="0" applyFont="1" applyBorder="1"/>
    <xf numFmtId="0" fontId="5" fillId="0" borderId="15" xfId="0" applyFont="1" applyBorder="1"/>
    <xf numFmtId="166" fontId="5" fillId="0" borderId="15" xfId="37" applyNumberFormat="1" applyFont="1" applyBorder="1"/>
    <xf numFmtId="166" fontId="5" fillId="0" borderId="8" xfId="0" applyNumberFormat="1" applyFont="1" applyBorder="1"/>
    <xf numFmtId="170" fontId="5" fillId="0" borderId="0" xfId="0" applyNumberFormat="1" applyFont="1"/>
    <xf numFmtId="170" fontId="17" fillId="0" borderId="0" xfId="0" applyNumberFormat="1" applyFont="1"/>
    <xf numFmtId="167" fontId="9" fillId="0" borderId="0" xfId="34" applyNumberFormat="1" applyFont="1" applyFill="1" applyBorder="1" applyProtection="1"/>
    <xf numFmtId="37" fontId="9" fillId="0" borderId="0" xfId="34" applyNumberFormat="1" applyFont="1" applyFill="1" applyBorder="1" applyProtection="1"/>
    <xf numFmtId="167" fontId="9" fillId="0" borderId="4" xfId="34" applyNumberFormat="1" applyFont="1" applyFill="1" applyBorder="1" applyProtection="1"/>
    <xf numFmtId="177" fontId="5" fillId="0" borderId="0" xfId="0" applyNumberFormat="1" applyFont="1"/>
    <xf numFmtId="3" fontId="5" fillId="0" borderId="0" xfId="0" applyNumberFormat="1" applyFont="1"/>
    <xf numFmtId="0" fontId="26" fillId="0" borderId="0" xfId="0" applyFont="1"/>
    <xf numFmtId="0" fontId="11" fillId="0" borderId="0" xfId="0" applyFont="1" applyBorder="1" applyAlignment="1">
      <alignment horizontal="center"/>
    </xf>
    <xf numFmtId="5" fontId="9" fillId="0" borderId="0" xfId="0" applyNumberFormat="1" applyFont="1"/>
    <xf numFmtId="0" fontId="9" fillId="0" borderId="0" xfId="0" applyFont="1" applyFill="1"/>
    <xf numFmtId="167" fontId="5" fillId="0" borderId="0" xfId="0" applyNumberFormat="1" applyFont="1"/>
    <xf numFmtId="0" fontId="5" fillId="0" borderId="0" xfId="0" applyFont="1" applyFill="1"/>
    <xf numFmtId="200" fontId="9" fillId="0" borderId="0" xfId="34" applyNumberFormat="1" applyFont="1" applyProtection="1"/>
    <xf numFmtId="166" fontId="9" fillId="0" borderId="0" xfId="34" applyNumberFormat="1" applyFont="1" applyBorder="1" applyProtection="1"/>
    <xf numFmtId="167" fontId="12" fillId="0" borderId="0" xfId="0" applyNumberFormat="1" applyFont="1"/>
    <xf numFmtId="183" fontId="12" fillId="0" borderId="0" xfId="34" applyNumberFormat="1" applyFont="1" applyProtection="1"/>
    <xf numFmtId="178" fontId="11" fillId="0" borderId="4" xfId="34" applyNumberFormat="1" applyFont="1" applyBorder="1" applyAlignment="1" applyProtection="1">
      <alignment horizontal="center"/>
    </xf>
    <xf numFmtId="166" fontId="9" fillId="0" borderId="0" xfId="34" applyNumberFormat="1" applyFont="1" applyAlignment="1" applyProtection="1">
      <alignment horizontal="right"/>
    </xf>
    <xf numFmtId="166" fontId="9" fillId="0" borderId="0" xfId="34" applyNumberFormat="1" applyFont="1" applyFill="1" applyBorder="1" applyProtection="1"/>
    <xf numFmtId="166" fontId="12" fillId="0" borderId="0" xfId="34" applyNumberFormat="1" applyFont="1" applyAlignment="1" applyProtection="1">
      <alignment horizontal="right"/>
    </xf>
    <xf numFmtId="178" fontId="9" fillId="0" borderId="0" xfId="34" applyNumberFormat="1" applyFont="1" applyFill="1" applyBorder="1" applyProtection="1"/>
    <xf numFmtId="178" fontId="12" fillId="0" borderId="0" xfId="34" applyNumberFormat="1" applyFont="1" applyFill="1" applyBorder="1" applyProtection="1"/>
    <xf numFmtId="178" fontId="12" fillId="0" borderId="0" xfId="34" applyNumberFormat="1" applyFont="1" applyFill="1" applyBorder="1" applyAlignment="1" applyProtection="1">
      <alignment horizontal="right"/>
    </xf>
    <xf numFmtId="188" fontId="12" fillId="0" borderId="0" xfId="35" applyNumberFormat="1" applyFont="1" applyAlignment="1" applyProtection="1">
      <alignment horizontal="right"/>
    </xf>
    <xf numFmtId="188" fontId="9" fillId="0" borderId="0" xfId="35" applyNumberFormat="1" applyFont="1" applyAlignment="1" applyProtection="1">
      <alignment horizontal="right"/>
    </xf>
    <xf numFmtId="191" fontId="12" fillId="0" borderId="0" xfId="34" applyNumberFormat="1" applyFont="1" applyProtection="1"/>
    <xf numFmtId="191" fontId="12" fillId="0" borderId="0" xfId="34" applyNumberFormat="1" applyFont="1" applyFill="1" applyBorder="1" applyProtection="1"/>
    <xf numFmtId="178" fontId="11" fillId="0" borderId="0" xfId="34" applyFont="1"/>
    <xf numFmtId="0" fontId="11" fillId="0" borderId="0" xfId="17" applyFont="1" applyAlignment="1" applyProtection="1">
      <alignment horizontal="left"/>
    </xf>
    <xf numFmtId="183" fontId="9" fillId="0" borderId="0" xfId="34" applyNumberFormat="1" applyFont="1" applyProtection="1"/>
    <xf numFmtId="166" fontId="9" fillId="0" borderId="0" xfId="34" applyNumberFormat="1" applyFont="1" applyFill="1" applyProtection="1"/>
    <xf numFmtId="169" fontId="17" fillId="0" borderId="0" xfId="0" applyNumberFormat="1" applyFont="1" applyFill="1" applyBorder="1"/>
    <xf numFmtId="200" fontId="5" fillId="0" borderId="0" xfId="0" applyNumberFormat="1" applyFont="1"/>
    <xf numFmtId="200" fontId="17" fillId="0" borderId="0" xfId="0" applyNumberFormat="1" applyFont="1" applyAlignment="1">
      <alignment horizontal="right"/>
    </xf>
    <xf numFmtId="167" fontId="21" fillId="0" borderId="0" xfId="0" applyNumberFormat="1" applyFont="1" applyFill="1" applyProtection="1"/>
    <xf numFmtId="0" fontId="10" fillId="0" borderId="0" xfId="22" applyFont="1"/>
    <xf numFmtId="0" fontId="5" fillId="0" borderId="0" xfId="16" applyFont="1"/>
    <xf numFmtId="0" fontId="5" fillId="0" borderId="0" xfId="22" applyFont="1"/>
    <xf numFmtId="0" fontId="28" fillId="0" borderId="4" xfId="16" applyFont="1" applyBorder="1"/>
    <xf numFmtId="37" fontId="28" fillId="0" borderId="4" xfId="22" quotePrefix="1" applyNumberFormat="1" applyFont="1" applyBorder="1" applyAlignment="1">
      <alignment horizontal="centerContinuous"/>
    </xf>
    <xf numFmtId="37" fontId="28" fillId="0" borderId="4" xfId="22" applyNumberFormat="1" applyFont="1" applyBorder="1" applyAlignment="1">
      <alignment horizontal="centerContinuous"/>
    </xf>
    <xf numFmtId="169" fontId="29" fillId="0" borderId="4" xfId="22" applyNumberFormat="1" applyFont="1" applyBorder="1" applyAlignment="1">
      <alignment horizontal="centerContinuous"/>
    </xf>
    <xf numFmtId="37" fontId="28" fillId="0" borderId="0" xfId="22" applyNumberFormat="1" applyFont="1" applyBorder="1" applyAlignment="1">
      <alignment horizontal="centerContinuous"/>
    </xf>
    <xf numFmtId="0" fontId="22" fillId="0" borderId="0" xfId="16" applyFont="1"/>
    <xf numFmtId="0" fontId="5" fillId="0" borderId="0" xfId="16" applyFont="1" applyBorder="1"/>
    <xf numFmtId="0" fontId="28" fillId="0" borderId="0" xfId="16" applyFont="1" applyBorder="1"/>
    <xf numFmtId="0" fontId="22" fillId="0" borderId="0" xfId="16" applyFont="1" applyBorder="1"/>
    <xf numFmtId="37" fontId="29" fillId="0" borderId="0" xfId="22" applyNumberFormat="1" applyFont="1" applyBorder="1" applyAlignment="1">
      <alignment horizontal="center"/>
    </xf>
    <xf numFmtId="169" fontId="29" fillId="0" borderId="0" xfId="22" applyNumberFormat="1" applyFont="1" applyBorder="1" applyAlignment="1">
      <alignment horizontal="center"/>
    </xf>
    <xf numFmtId="37" fontId="22" fillId="0" borderId="0" xfId="22" applyNumberFormat="1" applyFont="1"/>
    <xf numFmtId="0" fontId="22" fillId="0" borderId="0" xfId="22" applyFont="1"/>
    <xf numFmtId="37" fontId="29" fillId="0" borderId="0" xfId="22" quotePrefix="1" applyNumberFormat="1" applyFont="1" applyBorder="1" applyAlignment="1">
      <alignment horizontal="center"/>
    </xf>
    <xf numFmtId="0" fontId="22" fillId="0" borderId="4" xfId="22" applyFont="1" applyBorder="1"/>
    <xf numFmtId="166" fontId="22" fillId="0" borderId="0" xfId="22" applyNumberFormat="1" applyFont="1"/>
    <xf numFmtId="37" fontId="22" fillId="0" borderId="0" xfId="16" applyNumberFormat="1" applyFont="1"/>
    <xf numFmtId="166" fontId="22" fillId="0" borderId="0" xfId="16" applyNumberFormat="1" applyFont="1"/>
    <xf numFmtId="37" fontId="28" fillId="0" borderId="6" xfId="22" quotePrefix="1" applyNumberFormat="1" applyFont="1" applyBorder="1" applyAlignment="1">
      <alignment horizontal="centerContinuous"/>
    </xf>
    <xf numFmtId="169" fontId="29" fillId="0" borderId="5" xfId="22" applyNumberFormat="1" applyFont="1" applyBorder="1" applyAlignment="1">
      <alignment horizontal="centerContinuous"/>
    </xf>
    <xf numFmtId="37" fontId="28" fillId="0" borderId="7" xfId="22" applyNumberFormat="1" applyFont="1" applyBorder="1" applyAlignment="1">
      <alignment horizontal="centerContinuous"/>
    </xf>
    <xf numFmtId="37" fontId="29" fillId="0" borderId="8" xfId="22" applyNumberFormat="1" applyFont="1" applyBorder="1" applyAlignment="1">
      <alignment horizontal="center"/>
    </xf>
    <xf numFmtId="37" fontId="29" fillId="0" borderId="15" xfId="22" applyNumberFormat="1" applyFont="1" applyBorder="1" applyAlignment="1">
      <alignment horizontal="center"/>
    </xf>
    <xf numFmtId="37" fontId="29" fillId="0" borderId="15" xfId="22" quotePrefix="1" applyNumberFormat="1" applyFont="1" applyBorder="1" applyAlignment="1">
      <alignment horizontal="center"/>
    </xf>
    <xf numFmtId="0" fontId="22" fillId="0" borderId="9" xfId="22" applyFont="1" applyBorder="1"/>
    <xf numFmtId="37" fontId="22" fillId="0" borderId="8" xfId="22" applyNumberFormat="1" applyFont="1" applyBorder="1"/>
    <xf numFmtId="37" fontId="22" fillId="0" borderId="0" xfId="22" applyNumberFormat="1" applyFont="1" applyBorder="1"/>
    <xf numFmtId="38" fontId="22" fillId="0" borderId="15" xfId="16" applyNumberFormat="1" applyFont="1" applyBorder="1"/>
    <xf numFmtId="37" fontId="30" fillId="0" borderId="8" xfId="22" applyNumberFormat="1" applyFont="1" applyBorder="1"/>
    <xf numFmtId="37" fontId="30" fillId="0" borderId="0" xfId="22" applyNumberFormat="1" applyFont="1" applyBorder="1"/>
    <xf numFmtId="37" fontId="22" fillId="0" borderId="0" xfId="16" applyNumberFormat="1" applyFont="1" applyBorder="1"/>
    <xf numFmtId="37" fontId="22" fillId="0" borderId="15" xfId="22" applyNumberFormat="1" applyFont="1" applyBorder="1"/>
    <xf numFmtId="166" fontId="22" fillId="0" borderId="0" xfId="22" applyNumberFormat="1" applyFont="1" applyBorder="1"/>
    <xf numFmtId="166" fontId="22" fillId="0" borderId="15" xfId="16" applyNumberFormat="1" applyFont="1" applyBorder="1"/>
    <xf numFmtId="0" fontId="22" fillId="0" borderId="8" xfId="16" applyFont="1" applyBorder="1"/>
    <xf numFmtId="0" fontId="22" fillId="0" borderId="15" xfId="16" applyFont="1" applyBorder="1"/>
    <xf numFmtId="38" fontId="22" fillId="0" borderId="8" xfId="16" applyNumberFormat="1" applyFont="1" applyBorder="1"/>
    <xf numFmtId="0" fontId="22" fillId="0" borderId="8" xfId="22" applyFont="1" applyBorder="1"/>
    <xf numFmtId="0" fontId="22" fillId="0" borderId="0" xfId="22" applyFont="1" applyBorder="1"/>
    <xf numFmtId="0" fontId="22" fillId="0" borderId="15" xfId="22" applyFont="1" applyBorder="1"/>
    <xf numFmtId="38" fontId="22" fillId="0" borderId="15" xfId="10" applyNumberFormat="1" applyFont="1" applyBorder="1"/>
    <xf numFmtId="166" fontId="22" fillId="0" borderId="14" xfId="16" applyNumberFormat="1" applyFont="1" applyBorder="1"/>
    <xf numFmtId="37" fontId="32" fillId="0" borderId="8" xfId="22" applyNumberFormat="1" applyFont="1" applyBorder="1"/>
    <xf numFmtId="169" fontId="22" fillId="0" borderId="0" xfId="22" applyNumberFormat="1" applyFont="1" applyBorder="1"/>
    <xf numFmtId="37" fontId="31" fillId="0" borderId="0" xfId="22" applyNumberFormat="1" applyFont="1" applyBorder="1"/>
    <xf numFmtId="166" fontId="22" fillId="0" borderId="0" xfId="16" applyNumberFormat="1" applyFont="1" applyBorder="1"/>
    <xf numFmtId="38" fontId="22" fillId="0" borderId="0" xfId="16" applyNumberFormat="1" applyFont="1" applyBorder="1"/>
    <xf numFmtId="38" fontId="22" fillId="0" borderId="0" xfId="10" applyNumberFormat="1" applyFont="1" applyBorder="1"/>
    <xf numFmtId="172" fontId="9" fillId="0" borderId="0" xfId="34" applyNumberFormat="1" applyFont="1" applyFill="1" applyProtection="1"/>
    <xf numFmtId="37" fontId="31" fillId="2" borderId="0" xfId="22" applyNumberFormat="1" applyFont="1" applyFill="1" applyBorder="1"/>
    <xf numFmtId="191" fontId="12" fillId="0" borderId="0" xfId="34" applyNumberFormat="1" applyFont="1" applyAlignment="1" applyProtection="1">
      <alignment horizontal="right"/>
    </xf>
    <xf numFmtId="166" fontId="12" fillId="0" borderId="0" xfId="34" applyNumberFormat="1" applyFont="1" applyBorder="1" applyProtection="1"/>
    <xf numFmtId="166" fontId="17" fillId="0" borderId="0" xfId="0" applyNumberFormat="1" applyFont="1"/>
    <xf numFmtId="0" fontId="11" fillId="0" borderId="4" xfId="0" applyFont="1" applyBorder="1" applyAlignment="1" applyProtection="1">
      <alignment horizontal="left"/>
    </xf>
    <xf numFmtId="0" fontId="9" fillId="0" borderId="0" xfId="0" applyFont="1" applyBorder="1" applyAlignment="1">
      <alignment horizontal="left"/>
    </xf>
    <xf numFmtId="0" fontId="9" fillId="0" borderId="0" xfId="0" applyFont="1" applyBorder="1" applyAlignment="1"/>
    <xf numFmtId="0" fontId="9" fillId="0" borderId="0" xfId="0" applyFont="1" applyBorder="1" applyAlignment="1">
      <alignment horizontal="center"/>
    </xf>
    <xf numFmtId="0" fontId="9" fillId="0" borderId="0" xfId="0" applyFont="1" applyAlignment="1">
      <alignment horizontal="left"/>
    </xf>
    <xf numFmtId="0" fontId="9" fillId="0" borderId="0" xfId="0" applyFont="1" applyAlignment="1"/>
    <xf numFmtId="0" fontId="9" fillId="0" borderId="11" xfId="0" applyFont="1" applyBorder="1"/>
    <xf numFmtId="0" fontId="9" fillId="0" borderId="12" xfId="0" applyFont="1" applyBorder="1"/>
    <xf numFmtId="0" fontId="9" fillId="0" borderId="13" xfId="0" applyFont="1" applyBorder="1"/>
    <xf numFmtId="0" fontId="11" fillId="0" borderId="15" xfId="0" applyFont="1" applyBorder="1" applyAlignment="1">
      <alignment horizontal="center"/>
    </xf>
    <xf numFmtId="0" fontId="9" fillId="0" borderId="8" xfId="0" applyFont="1" applyBorder="1"/>
    <xf numFmtId="0" fontId="9" fillId="0" borderId="15" xfId="0" applyFont="1" applyBorder="1"/>
    <xf numFmtId="0" fontId="9" fillId="0" borderId="9" xfId="0" applyFont="1" applyBorder="1"/>
    <xf numFmtId="0" fontId="9" fillId="0" borderId="14" xfId="0" applyFont="1" applyBorder="1"/>
    <xf numFmtId="178" fontId="9" fillId="0" borderId="0" xfId="34" applyNumberFormat="1" applyFont="1" applyAlignment="1" applyProtection="1">
      <alignment horizontal="left"/>
    </xf>
    <xf numFmtId="178" fontId="9" fillId="0" borderId="0" xfId="34" quotePrefix="1" applyNumberFormat="1" applyFont="1" applyAlignment="1" applyProtection="1">
      <alignment horizontal="left"/>
    </xf>
    <xf numFmtId="178" fontId="9" fillId="0" borderId="0" xfId="34" applyNumberFormat="1" applyFont="1" applyAlignment="1" applyProtection="1">
      <alignment horizontal="left" indent="2"/>
    </xf>
    <xf numFmtId="178" fontId="9" fillId="0" borderId="0" xfId="34" quotePrefix="1" applyFont="1"/>
    <xf numFmtId="183" fontId="9" fillId="0" borderId="0" xfId="34" applyNumberFormat="1" applyFont="1" applyFill="1" applyProtection="1"/>
    <xf numFmtId="178" fontId="9" fillId="0" borderId="0" xfId="34" applyNumberFormat="1" applyFont="1" applyFill="1" applyProtection="1"/>
    <xf numFmtId="0" fontId="11" fillId="0" borderId="4" xfId="22" applyFont="1" applyBorder="1"/>
    <xf numFmtId="0" fontId="10" fillId="0" borderId="4" xfId="22" applyFont="1" applyBorder="1"/>
    <xf numFmtId="0" fontId="5" fillId="0" borderId="4" xfId="16" applyFont="1" applyBorder="1"/>
    <xf numFmtId="37" fontId="33" fillId="0" borderId="8" xfId="22" applyNumberFormat="1" applyFont="1" applyBorder="1"/>
    <xf numFmtId="166" fontId="5" fillId="0" borderId="0" xfId="37" applyNumberFormat="1" applyFont="1" applyFill="1"/>
    <xf numFmtId="167" fontId="5" fillId="0" borderId="0" xfId="0" applyNumberFormat="1" applyFont="1" applyFill="1" applyProtection="1"/>
    <xf numFmtId="7" fontId="0" fillId="0" borderId="0" xfId="0" applyNumberFormat="1"/>
    <xf numFmtId="37" fontId="0" fillId="0" borderId="0" xfId="0" applyNumberFormat="1"/>
    <xf numFmtId="166" fontId="0" fillId="0" borderId="0" xfId="37" applyNumberFormat="1" applyFont="1"/>
    <xf numFmtId="166" fontId="0" fillId="0" borderId="0" xfId="0" applyNumberFormat="1"/>
    <xf numFmtId="167" fontId="0" fillId="0" borderId="0" xfId="0" applyNumberFormat="1"/>
    <xf numFmtId="37" fontId="12" fillId="0" borderId="0" xfId="0" applyNumberFormat="1" applyFont="1"/>
    <xf numFmtId="37" fontId="30" fillId="0" borderId="8" xfId="22" applyNumberFormat="1" applyFont="1" applyFill="1" applyBorder="1"/>
    <xf numFmtId="37" fontId="33" fillId="0" borderId="15" xfId="22" applyNumberFormat="1" applyFont="1" applyBorder="1"/>
    <xf numFmtId="9" fontId="5" fillId="0" borderId="0" xfId="37" applyFont="1"/>
    <xf numFmtId="5" fontId="38" fillId="0" borderId="0" xfId="34" applyNumberFormat="1" applyFont="1" applyProtection="1"/>
    <xf numFmtId="178" fontId="12" fillId="0" borderId="0" xfId="34" applyFont="1"/>
    <xf numFmtId="178" fontId="12" fillId="0" borderId="0" xfId="34" applyFont="1" applyAlignment="1">
      <alignment horizontal="right"/>
    </xf>
    <xf numFmtId="0" fontId="10" fillId="0" borderId="0" xfId="0" applyFont="1" applyAlignment="1">
      <alignment horizontal="right"/>
    </xf>
    <xf numFmtId="170" fontId="5" fillId="0" borderId="0" xfId="0" applyNumberFormat="1" applyFont="1" applyFill="1"/>
    <xf numFmtId="0" fontId="11" fillId="0" borderId="0" xfId="0" applyFont="1" applyFill="1"/>
    <xf numFmtId="0" fontId="11" fillId="0" borderId="0" xfId="0" applyFont="1" applyBorder="1" applyAlignment="1">
      <alignment horizontal="left"/>
    </xf>
    <xf numFmtId="188" fontId="12" fillId="0" borderId="0" xfId="35" applyNumberFormat="1" applyFont="1" applyFill="1" applyAlignment="1" applyProtection="1">
      <alignment horizontal="right"/>
    </xf>
    <xf numFmtId="188" fontId="12" fillId="0" borderId="0" xfId="35" applyNumberFormat="1" applyFont="1" applyFill="1" applyProtection="1"/>
    <xf numFmtId="172" fontId="9" fillId="0" borderId="0" xfId="34" applyNumberFormat="1" applyFont="1" applyProtection="1"/>
    <xf numFmtId="0" fontId="10" fillId="0" borderId="0" xfId="0" applyFont="1" applyAlignment="1">
      <alignment horizontal="left"/>
    </xf>
    <xf numFmtId="0" fontId="5" fillId="2" borderId="0" xfId="0" applyFont="1" applyFill="1"/>
    <xf numFmtId="181" fontId="9" fillId="0" borderId="0" xfId="0" applyNumberFormat="1" applyFont="1"/>
    <xf numFmtId="1" fontId="9" fillId="0" borderId="0" xfId="0" applyNumberFormat="1" applyFont="1"/>
    <xf numFmtId="0" fontId="9" fillId="0" borderId="0" xfId="0" applyFont="1" applyFill="1" applyAlignment="1">
      <alignment horizontal="left"/>
    </xf>
    <xf numFmtId="0" fontId="9" fillId="0" borderId="0" xfId="0" applyFont="1" applyFill="1" applyAlignment="1">
      <alignment horizontal="center"/>
    </xf>
    <xf numFmtId="0" fontId="9" fillId="0" borderId="0" xfId="0" applyFont="1" applyFill="1" applyBorder="1" applyAlignment="1">
      <alignment horizontal="left"/>
    </xf>
    <xf numFmtId="0" fontId="11" fillId="0" borderId="0" xfId="0" applyFont="1" applyFill="1" applyAlignment="1">
      <alignment horizontal="center"/>
    </xf>
    <xf numFmtId="0" fontId="9" fillId="0" borderId="0" xfId="0" applyFont="1" applyFill="1" applyBorder="1" applyAlignment="1">
      <alignment horizontal="center"/>
    </xf>
    <xf numFmtId="0" fontId="9" fillId="0" borderId="0" xfId="0" applyFont="1" applyFill="1" applyBorder="1" applyAlignment="1"/>
    <xf numFmtId="0" fontId="9" fillId="0" borderId="0" xfId="0" quotePrefix="1" applyFont="1" applyFill="1" applyAlignment="1">
      <alignment horizontal="center"/>
    </xf>
    <xf numFmtId="0" fontId="9" fillId="4" borderId="0" xfId="0" applyFont="1" applyFill="1"/>
    <xf numFmtId="0" fontId="9" fillId="4" borderId="0" xfId="0" applyFont="1" applyFill="1" applyAlignment="1">
      <alignment horizontal="center"/>
    </xf>
    <xf numFmtId="0" fontId="5" fillId="0" borderId="5" xfId="0" applyFont="1" applyBorder="1"/>
    <xf numFmtId="178" fontId="11" fillId="0" borderId="5" xfId="34" applyFont="1" applyFill="1" applyBorder="1" applyAlignment="1" applyProtection="1">
      <alignment horizontal="center"/>
    </xf>
    <xf numFmtId="195" fontId="20" fillId="0" borderId="4" xfId="17" applyNumberFormat="1" applyFont="1" applyFill="1" applyBorder="1" applyAlignment="1">
      <alignment horizontal="center"/>
    </xf>
    <xf numFmtId="190" fontId="9" fillId="0" borderId="4" xfId="0" applyNumberFormat="1" applyFont="1" applyBorder="1" applyAlignment="1">
      <alignment horizontal="center"/>
    </xf>
    <xf numFmtId="0" fontId="5" fillId="0" borderId="0" xfId="0" applyFont="1" applyFill="1" applyAlignment="1">
      <alignment horizontal="center"/>
    </xf>
    <xf numFmtId="37" fontId="42" fillId="0" borderId="8" xfId="22" applyNumberFormat="1" applyFont="1" applyBorder="1"/>
    <xf numFmtId="178" fontId="43" fillId="0" borderId="0" xfId="34" applyNumberFormat="1" applyFont="1" applyProtection="1"/>
    <xf numFmtId="38" fontId="33" fillId="0" borderId="15" xfId="16" applyNumberFormat="1" applyFont="1" applyBorder="1"/>
    <xf numFmtId="37" fontId="33" fillId="0" borderId="0" xfId="22" applyNumberFormat="1" applyFont="1" applyBorder="1"/>
    <xf numFmtId="190" fontId="9" fillId="0" borderId="0" xfId="0" applyNumberFormat="1" applyFont="1" applyBorder="1" applyAlignment="1">
      <alignment horizontal="center"/>
    </xf>
    <xf numFmtId="10" fontId="5" fillId="0" borderId="0" xfId="37" applyNumberFormat="1" applyFont="1"/>
    <xf numFmtId="0" fontId="46" fillId="0" borderId="0" xfId="0" applyFont="1" applyBorder="1" applyAlignment="1">
      <alignment horizontal="right"/>
    </xf>
    <xf numFmtId="0" fontId="46" fillId="0" borderId="4" xfId="0" applyFont="1" applyBorder="1" applyAlignment="1">
      <alignment horizontal="right"/>
    </xf>
    <xf numFmtId="0" fontId="46" fillId="0" borderId="0" xfId="0" applyFont="1" applyAlignment="1">
      <alignment horizontal="right"/>
    </xf>
    <xf numFmtId="4" fontId="44" fillId="0" borderId="0" xfId="0" applyNumberFormat="1" applyFont="1" applyBorder="1" applyAlignment="1">
      <alignment horizontal="right"/>
    </xf>
    <xf numFmtId="0" fontId="44" fillId="0" borderId="0" xfId="0" applyFont="1" applyAlignment="1">
      <alignment horizontal="right"/>
    </xf>
    <xf numFmtId="4" fontId="44" fillId="0" borderId="4" xfId="0" applyNumberFormat="1" applyFont="1" applyBorder="1" applyAlignment="1">
      <alignment horizontal="right"/>
    </xf>
    <xf numFmtId="0" fontId="44" fillId="0" borderId="4" xfId="0" applyFont="1" applyBorder="1" applyAlignment="1">
      <alignment horizontal="right"/>
    </xf>
    <xf numFmtId="4" fontId="44" fillId="0" borderId="6" xfId="0" applyNumberFormat="1" applyFont="1" applyBorder="1" applyAlignment="1">
      <alignment horizontal="right"/>
    </xf>
    <xf numFmtId="0" fontId="44" fillId="0" borderId="7" xfId="0" applyFont="1" applyBorder="1" applyAlignment="1">
      <alignment horizontal="right"/>
    </xf>
    <xf numFmtId="37" fontId="13" fillId="0" borderId="0" xfId="20" applyFont="1" applyAlignment="1">
      <alignment horizontal="left"/>
    </xf>
    <xf numFmtId="37" fontId="5" fillId="0" borderId="0" xfId="20" applyFont="1" applyAlignment="1">
      <alignment horizontal="left"/>
    </xf>
    <xf numFmtId="0" fontId="44" fillId="0" borderId="0" xfId="0" applyFont="1" applyBorder="1" applyAlignment="1">
      <alignment horizontal="right"/>
    </xf>
    <xf numFmtId="0" fontId="5" fillId="0" borderId="0" xfId="0" applyFont="1" applyFill="1" applyAlignment="1">
      <alignment horizontal="left"/>
    </xf>
    <xf numFmtId="175" fontId="9" fillId="0" borderId="0" xfId="7" applyNumberFormat="1" applyFont="1"/>
    <xf numFmtId="164" fontId="5" fillId="0" borderId="4" xfId="0" applyNumberFormat="1" applyFont="1" applyFill="1" applyBorder="1"/>
    <xf numFmtId="0" fontId="10" fillId="0" borderId="12" xfId="0" applyFont="1" applyBorder="1" applyAlignment="1">
      <alignment horizontal="center"/>
    </xf>
    <xf numFmtId="9" fontId="9" fillId="0" borderId="0" xfId="37" applyFont="1"/>
    <xf numFmtId="166" fontId="12" fillId="0" borderId="0" xfId="34" applyNumberFormat="1" applyFont="1" applyBorder="1" applyAlignment="1" applyProtection="1">
      <alignment horizontal="right"/>
    </xf>
    <xf numFmtId="164" fontId="5" fillId="0" borderId="0" xfId="0" applyNumberFormat="1" applyFont="1" applyFill="1" applyBorder="1"/>
    <xf numFmtId="175" fontId="9" fillId="0" borderId="0" xfId="7" applyNumberFormat="1" applyFont="1" applyFill="1"/>
    <xf numFmtId="178" fontId="9" fillId="0" borderId="10" xfId="34" applyFont="1" applyBorder="1"/>
    <xf numFmtId="9" fontId="9" fillId="0" borderId="10" xfId="37" applyFont="1" applyBorder="1"/>
    <xf numFmtId="5" fontId="20" fillId="0" borderId="0" xfId="34" applyNumberFormat="1" applyFont="1" applyProtection="1"/>
    <xf numFmtId="5" fontId="11" fillId="0" borderId="0" xfId="34" applyNumberFormat="1" applyFont="1" applyFill="1" applyProtection="1"/>
    <xf numFmtId="9" fontId="9" fillId="0" borderId="10" xfId="37" applyFont="1" applyBorder="1" applyAlignment="1">
      <alignment horizontal="right"/>
    </xf>
    <xf numFmtId="5" fontId="11" fillId="0" borderId="0" xfId="34" applyNumberFormat="1" applyFont="1" applyProtection="1"/>
    <xf numFmtId="9" fontId="9" fillId="0" borderId="0" xfId="37" applyFont="1" applyBorder="1" applyAlignment="1">
      <alignment horizontal="right"/>
    </xf>
    <xf numFmtId="5" fontId="12" fillId="0" borderId="0" xfId="34" applyNumberFormat="1" applyFont="1" applyBorder="1" applyProtection="1"/>
    <xf numFmtId="178" fontId="9" fillId="0" borderId="0" xfId="34" applyNumberFormat="1" applyFont="1" applyBorder="1" applyProtection="1"/>
    <xf numFmtId="178" fontId="12" fillId="0" borderId="0" xfId="34" applyNumberFormat="1" applyFont="1" applyBorder="1" applyProtection="1"/>
    <xf numFmtId="188" fontId="12" fillId="0" borderId="0" xfId="35" applyNumberFormat="1" applyFont="1" applyBorder="1" applyAlignment="1" applyProtection="1">
      <alignment horizontal="right"/>
    </xf>
    <xf numFmtId="184" fontId="9" fillId="0" borderId="0" xfId="34" applyNumberFormat="1" applyFont="1" applyBorder="1" applyProtection="1"/>
    <xf numFmtId="178" fontId="9" fillId="0" borderId="0" xfId="34" applyFont="1" applyFill="1" applyBorder="1"/>
    <xf numFmtId="178" fontId="9" fillId="0" borderId="0" xfId="34" applyFont="1" applyFill="1" applyBorder="1" applyAlignment="1" applyProtection="1">
      <alignment horizontal="left"/>
    </xf>
    <xf numFmtId="178" fontId="9" fillId="0" borderId="5" xfId="34" applyFont="1" applyFill="1" applyBorder="1"/>
    <xf numFmtId="178" fontId="11" fillId="0" borderId="4" xfId="34" quotePrefix="1" applyNumberFormat="1" applyFont="1" applyFill="1" applyBorder="1" applyAlignment="1" applyProtection="1">
      <alignment horizontal="center"/>
    </xf>
    <xf numFmtId="166" fontId="9" fillId="0" borderId="10" xfId="34" applyNumberFormat="1" applyFont="1" applyBorder="1" applyProtection="1"/>
    <xf numFmtId="37" fontId="33" fillId="0" borderId="15" xfId="16" applyNumberFormat="1" applyFont="1" applyBorder="1"/>
    <xf numFmtId="37" fontId="33" fillId="0" borderId="0" xfId="16" applyNumberFormat="1" applyFont="1" applyBorder="1"/>
    <xf numFmtId="0" fontId="9" fillId="6" borderId="0" xfId="0" applyFont="1" applyFill="1" applyBorder="1"/>
    <xf numFmtId="0" fontId="9" fillId="6" borderId="0" xfId="0" applyFont="1" applyFill="1"/>
    <xf numFmtId="0" fontId="26" fillId="0" borderId="0" xfId="0" applyFont="1" applyAlignment="1">
      <alignment horizontal="left"/>
    </xf>
    <xf numFmtId="0" fontId="26" fillId="0" borderId="0" xfId="0" applyFont="1" applyAlignment="1">
      <alignment horizontal="center"/>
    </xf>
    <xf numFmtId="166" fontId="12" fillId="0" borderId="0" xfId="0" applyNumberFormat="1" applyFont="1" applyAlignment="1">
      <alignment horizontal="center"/>
    </xf>
    <xf numFmtId="166" fontId="9" fillId="0" borderId="4" xfId="37" applyNumberFormat="1" applyFont="1" applyBorder="1" applyAlignment="1">
      <alignment horizontal="center"/>
    </xf>
    <xf numFmtId="0" fontId="9" fillId="0" borderId="0" xfId="0" applyFont="1" applyFill="1" applyBorder="1"/>
    <xf numFmtId="164" fontId="9" fillId="0" borderId="0" xfId="0" applyNumberFormat="1" applyFont="1" applyFill="1" applyBorder="1"/>
    <xf numFmtId="0" fontId="26" fillId="0" borderId="0" xfId="0" applyFont="1" applyFill="1"/>
    <xf numFmtId="0" fontId="58" fillId="0" borderId="0" xfId="0" applyFont="1" applyFill="1"/>
    <xf numFmtId="10" fontId="9" fillId="0" borderId="0" xfId="37" applyNumberFormat="1" applyFont="1" applyFill="1"/>
    <xf numFmtId="0" fontId="9" fillId="0" borderId="0" xfId="0" applyFont="1" applyAlignment="1">
      <alignment horizontal="left" indent="1"/>
    </xf>
    <xf numFmtId="0" fontId="9" fillId="0" borderId="12" xfId="0" applyFont="1" applyFill="1" applyBorder="1"/>
    <xf numFmtId="9" fontId="9" fillId="0" borderId="0" xfId="0" applyNumberFormat="1" applyFont="1"/>
    <xf numFmtId="0" fontId="11" fillId="0" borderId="20" xfId="0" applyFont="1" applyFill="1" applyBorder="1" applyAlignment="1">
      <alignment horizontal="center"/>
    </xf>
    <xf numFmtId="180" fontId="5" fillId="0" borderId="0" xfId="0" applyNumberFormat="1" applyFont="1" applyFill="1"/>
    <xf numFmtId="164" fontId="5" fillId="0" borderId="0" xfId="0" applyNumberFormat="1" applyFont="1" applyFill="1"/>
    <xf numFmtId="4" fontId="5" fillId="0" borderId="0" xfId="0" applyNumberFormat="1" applyFont="1" applyFill="1"/>
    <xf numFmtId="3" fontId="5" fillId="0" borderId="0" xfId="0" applyNumberFormat="1" applyFont="1" applyFill="1"/>
    <xf numFmtId="183" fontId="29" fillId="0" borderId="8" xfId="22" applyNumberFormat="1" applyFont="1" applyBorder="1" applyAlignment="1">
      <alignment horizontal="center"/>
    </xf>
    <xf numFmtId="0" fontId="11" fillId="5" borderId="0" xfId="17" applyFont="1" applyFill="1" applyBorder="1" applyAlignment="1" applyProtection="1">
      <alignment horizontal="left"/>
    </xf>
    <xf numFmtId="178" fontId="9" fillId="5" borderId="0" xfId="34" applyFont="1" applyFill="1" applyBorder="1"/>
    <xf numFmtId="178" fontId="11" fillId="5" borderId="4" xfId="17" applyNumberFormat="1" applyFont="1" applyFill="1" applyBorder="1"/>
    <xf numFmtId="178" fontId="9" fillId="5" borderId="4" xfId="34" applyFont="1" applyFill="1" applyBorder="1"/>
    <xf numFmtId="0" fontId="11" fillId="5" borderId="0" xfId="17" applyFont="1" applyFill="1" applyAlignment="1" applyProtection="1">
      <alignment horizontal="left"/>
    </xf>
    <xf numFmtId="178" fontId="9" fillId="5" borderId="0" xfId="34" applyFont="1" applyFill="1"/>
    <xf numFmtId="178" fontId="11" fillId="5" borderId="4" xfId="34" applyFont="1" applyFill="1" applyBorder="1" applyAlignment="1" applyProtection="1">
      <alignment horizontal="left"/>
    </xf>
    <xf numFmtId="0" fontId="11" fillId="5" borderId="0" xfId="0" applyFont="1" applyFill="1" applyBorder="1"/>
    <xf numFmtId="0" fontId="9" fillId="5" borderId="0" xfId="0" applyFont="1" applyFill="1" applyBorder="1"/>
    <xf numFmtId="166" fontId="9" fillId="0" borderId="4" xfId="37" applyNumberFormat="1" applyFont="1" applyBorder="1"/>
    <xf numFmtId="183" fontId="28" fillId="0" borderId="6" xfId="22" quotePrefix="1" applyNumberFormat="1" applyFont="1" applyBorder="1" applyAlignment="1">
      <alignment horizontal="centerContinuous"/>
    </xf>
    <xf numFmtId="195" fontId="45" fillId="0" borderId="6" xfId="22" applyNumberFormat="1" applyFont="1" applyBorder="1" applyAlignment="1">
      <alignment horizontal="centerContinuous"/>
    </xf>
    <xf numFmtId="166" fontId="5" fillId="0" borderId="0" xfId="0" applyNumberFormat="1" applyFont="1" applyFill="1"/>
    <xf numFmtId="178" fontId="58" fillId="0" borderId="0" xfId="34" applyFont="1"/>
    <xf numFmtId="178" fontId="58" fillId="0" borderId="0" xfId="34" applyNumberFormat="1" applyFont="1" applyAlignment="1" applyProtection="1">
      <alignment horizontal="left"/>
    </xf>
    <xf numFmtId="1" fontId="9" fillId="0" borderId="0" xfId="34" applyNumberFormat="1" applyFont="1" applyProtection="1"/>
    <xf numFmtId="4" fontId="5" fillId="0" borderId="0" xfId="0" applyNumberFormat="1" applyFont="1" applyBorder="1"/>
    <xf numFmtId="180" fontId="5" fillId="0" borderId="4" xfId="0" applyNumberFormat="1" applyFont="1" applyFill="1" applyBorder="1"/>
    <xf numFmtId="0" fontId="33" fillId="0" borderId="8" xfId="16" applyFont="1" applyBorder="1"/>
    <xf numFmtId="0" fontId="28" fillId="0" borderId="0" xfId="16" applyFont="1"/>
    <xf numFmtId="0" fontId="61" fillId="0" borderId="11" xfId="0" applyFont="1" applyFill="1" applyBorder="1" applyAlignment="1">
      <alignment horizontal="right"/>
    </xf>
    <xf numFmtId="0" fontId="61" fillId="0" borderId="13" xfId="0" applyFont="1" applyFill="1" applyBorder="1" applyAlignment="1">
      <alignment horizontal="right"/>
    </xf>
    <xf numFmtId="0" fontId="61" fillId="0" borderId="9" xfId="0" applyFont="1" applyFill="1" applyBorder="1" applyAlignment="1">
      <alignment horizontal="center"/>
    </xf>
    <xf numFmtId="0" fontId="61" fillId="0" borderId="14" xfId="0" applyFont="1" applyFill="1" applyBorder="1" applyAlignment="1">
      <alignment horizontal="right"/>
    </xf>
    <xf numFmtId="9" fontId="9" fillId="0" borderId="0" xfId="34" applyNumberFormat="1" applyFont="1" applyProtection="1"/>
    <xf numFmtId="178" fontId="50" fillId="0" borderId="0" xfId="34" applyFont="1"/>
    <xf numFmtId="9" fontId="50" fillId="0" borderId="0" xfId="34" applyNumberFormat="1" applyFont="1"/>
    <xf numFmtId="178" fontId="38" fillId="5" borderId="4" xfId="34" applyFont="1" applyFill="1" applyBorder="1"/>
    <xf numFmtId="6" fontId="38" fillId="5" borderId="4" xfId="34" applyNumberFormat="1" applyFont="1" applyFill="1" applyBorder="1" applyAlignment="1">
      <alignment horizontal="center"/>
    </xf>
    <xf numFmtId="43" fontId="22" fillId="0" borderId="15" xfId="7" applyFont="1" applyBorder="1"/>
    <xf numFmtId="9" fontId="13" fillId="0" borderId="0" xfId="37" applyFont="1"/>
    <xf numFmtId="43" fontId="22" fillId="0" borderId="0" xfId="7" applyFont="1" applyBorder="1"/>
    <xf numFmtId="43" fontId="9" fillId="0" borderId="0" xfId="7" applyFont="1" applyProtection="1"/>
    <xf numFmtId="178" fontId="11" fillId="0" borderId="5" xfId="34" applyFont="1" applyBorder="1"/>
    <xf numFmtId="178" fontId="9" fillId="0" borderId="12" xfId="34" applyFont="1" applyBorder="1"/>
    <xf numFmtId="178" fontId="9" fillId="0" borderId="12" xfId="34" applyFont="1" applyFill="1" applyBorder="1"/>
    <xf numFmtId="43" fontId="9" fillId="0" borderId="0" xfId="7" applyFont="1"/>
    <xf numFmtId="172" fontId="12" fillId="0" borderId="0" xfId="34" applyNumberFormat="1" applyFont="1" applyFill="1" applyProtection="1"/>
    <xf numFmtId="166" fontId="5" fillId="0" borderId="0" xfId="20" applyNumberFormat="1" applyFont="1"/>
    <xf numFmtId="167" fontId="5" fillId="0" borderId="0" xfId="0" applyNumberFormat="1" applyFont="1" applyAlignment="1">
      <alignment horizontal="left"/>
    </xf>
    <xf numFmtId="9" fontId="26" fillId="0" borderId="0" xfId="34" applyNumberFormat="1" applyFont="1"/>
    <xf numFmtId="0" fontId="0" fillId="0" borderId="12" xfId="0" applyBorder="1"/>
    <xf numFmtId="0" fontId="58" fillId="0" borderId="0" xfId="0" applyFont="1"/>
    <xf numFmtId="49" fontId="0" fillId="0" borderId="0" xfId="0" applyNumberFormat="1"/>
    <xf numFmtId="165" fontId="0" fillId="0" borderId="0" xfId="0" applyNumberFormat="1" applyAlignment="1">
      <alignment horizontal="center"/>
    </xf>
    <xf numFmtId="9" fontId="9" fillId="0" borderId="30" xfId="37" applyFont="1" applyBorder="1"/>
    <xf numFmtId="6" fontId="5" fillId="0" borderId="0" xfId="0" applyNumberFormat="1" applyFont="1"/>
    <xf numFmtId="0" fontId="69" fillId="0" borderId="0" xfId="0" applyFont="1"/>
    <xf numFmtId="166" fontId="69" fillId="0" borderId="0" xfId="0" applyNumberFormat="1" applyFont="1"/>
    <xf numFmtId="0" fontId="9" fillId="0" borderId="4" xfId="0" applyFont="1" applyBorder="1" applyAlignment="1">
      <alignment horizontal="center"/>
    </xf>
    <xf numFmtId="0" fontId="9" fillId="0" borderId="8" xfId="0" applyFont="1" applyBorder="1" applyAlignment="1">
      <alignment horizontal="center"/>
    </xf>
    <xf numFmtId="0" fontId="9" fillId="0" borderId="15" xfId="0" applyFont="1" applyBorder="1" applyAlignment="1">
      <alignment horizontal="center"/>
    </xf>
    <xf numFmtId="171" fontId="9" fillId="0" borderId="0" xfId="0" applyNumberFormat="1" applyFont="1" applyBorder="1"/>
    <xf numFmtId="171" fontId="9" fillId="0" borderId="15" xfId="0" applyNumberFormat="1" applyFont="1" applyBorder="1"/>
    <xf numFmtId="8" fontId="9" fillId="0" borderId="0" xfId="0" applyNumberFormat="1" applyFont="1" applyBorder="1" applyAlignment="1">
      <alignment horizontal="center"/>
    </xf>
    <xf numFmtId="171" fontId="9" fillId="0" borderId="0" xfId="0" applyNumberFormat="1" applyFont="1"/>
    <xf numFmtId="170" fontId="9" fillId="0" borderId="0" xfId="0" applyNumberFormat="1" applyFont="1"/>
    <xf numFmtId="242" fontId="9" fillId="0" borderId="0" xfId="12" applyNumberFormat="1" applyFont="1"/>
    <xf numFmtId="9" fontId="9" fillId="0" borderId="0" xfId="0" applyNumberFormat="1" applyFont="1" applyBorder="1"/>
    <xf numFmtId="6" fontId="5" fillId="0" borderId="4" xfId="0" applyNumberFormat="1" applyFont="1" applyBorder="1"/>
    <xf numFmtId="0" fontId="59" fillId="0" borderId="28" xfId="32" applyFont="1" applyBorder="1" applyAlignment="1">
      <alignment wrapText="1"/>
    </xf>
    <xf numFmtId="0" fontId="78" fillId="0" borderId="31" xfId="32" applyFont="1" applyBorder="1"/>
    <xf numFmtId="0" fontId="79" fillId="3" borderId="31" xfId="27" applyFont="1" applyFill="1" applyBorder="1" applyAlignment="1">
      <alignment vertical="center"/>
    </xf>
    <xf numFmtId="0" fontId="59" fillId="0" borderId="31" xfId="32" applyFont="1" applyBorder="1"/>
    <xf numFmtId="0" fontId="59" fillId="0" borderId="31" xfId="32" applyFont="1" applyBorder="1" applyAlignment="1">
      <alignment horizontal="right"/>
    </xf>
    <xf numFmtId="0" fontId="59" fillId="0" borderId="29" xfId="32" applyFont="1" applyBorder="1"/>
    <xf numFmtId="0" fontId="1" fillId="2" borderId="0" xfId="32" applyFont="1" applyFill="1" applyAlignment="1">
      <alignment wrapText="1"/>
    </xf>
    <xf numFmtId="0" fontId="80" fillId="2" borderId="0" xfId="32" applyFont="1" applyFill="1"/>
    <xf numFmtId="0" fontId="1" fillId="2" borderId="0" xfId="32" applyFont="1" applyFill="1" applyBorder="1"/>
    <xf numFmtId="0" fontId="1" fillId="2" borderId="0" xfId="32" applyFont="1" applyFill="1" applyAlignment="1">
      <alignment horizontal="right"/>
    </xf>
    <xf numFmtId="0" fontId="1" fillId="2" borderId="0" xfId="32" applyFont="1" applyFill="1"/>
    <xf numFmtId="0" fontId="1" fillId="0" borderId="0" xfId="32" applyFont="1"/>
    <xf numFmtId="0" fontId="1" fillId="0" borderId="0" xfId="32" applyFont="1" applyFill="1" applyAlignment="1">
      <alignment wrapText="1"/>
    </xf>
    <xf numFmtId="0" fontId="80" fillId="0" borderId="0" xfId="32" applyFont="1" applyFill="1"/>
    <xf numFmtId="0" fontId="1" fillId="0" borderId="0" xfId="32" applyFont="1" applyFill="1" applyBorder="1"/>
    <xf numFmtId="0" fontId="1" fillId="0" borderId="0" xfId="32" applyFont="1" applyFill="1" applyAlignment="1">
      <alignment horizontal="right"/>
    </xf>
    <xf numFmtId="0" fontId="80" fillId="0" borderId="0" xfId="32" applyFont="1" applyFill="1" applyAlignment="1">
      <alignment horizontal="right"/>
    </xf>
    <xf numFmtId="0" fontId="1" fillId="0" borderId="0" xfId="32" applyFont="1" applyFill="1"/>
    <xf numFmtId="0" fontId="1" fillId="0" borderId="0" xfId="32" applyFont="1" applyAlignment="1">
      <alignment wrapText="1"/>
    </xf>
    <xf numFmtId="0" fontId="80" fillId="0" borderId="0" xfId="32" applyFont="1"/>
    <xf numFmtId="0" fontId="52" fillId="0" borderId="0" xfId="27" applyFont="1" applyBorder="1"/>
    <xf numFmtId="0" fontId="81" fillId="0" borderId="0" xfId="24" applyFont="1" applyBorder="1"/>
    <xf numFmtId="0" fontId="1" fillId="0" borderId="0" xfId="32" applyFont="1" applyBorder="1"/>
    <xf numFmtId="0" fontId="11" fillId="3" borderId="0" xfId="44" applyNumberFormat="1" applyFont="1" applyBorder="1" applyAlignment="1">
      <alignment horizontal="center" wrapText="1"/>
    </xf>
    <xf numFmtId="0" fontId="80" fillId="0" borderId="0" xfId="32" applyFont="1" applyBorder="1"/>
    <xf numFmtId="0" fontId="82" fillId="0" borderId="0" xfId="24" applyFont="1" applyFill="1" applyAlignment="1">
      <alignment horizontal="right"/>
    </xf>
    <xf numFmtId="0" fontId="83" fillId="0" borderId="0" xfId="24" applyFont="1" applyAlignment="1">
      <alignment horizontal="right"/>
    </xf>
    <xf numFmtId="0" fontId="1" fillId="0" borderId="0" xfId="24" applyFont="1" applyAlignment="1">
      <alignment horizontal="right"/>
    </xf>
    <xf numFmtId="0" fontId="1" fillId="0" borderId="0" xfId="32" applyFont="1" applyAlignment="1">
      <alignment horizontal="right"/>
    </xf>
    <xf numFmtId="0" fontId="84" fillId="3" borderId="0" xfId="44" applyNumberFormat="1" applyFont="1" applyBorder="1" applyAlignment="1">
      <alignment horizontal="center" wrapText="1"/>
    </xf>
    <xf numFmtId="0" fontId="85" fillId="0" borderId="0" xfId="24" applyFont="1" applyBorder="1"/>
    <xf numFmtId="0" fontId="82" fillId="0" borderId="0" xfId="32" applyFont="1" applyFill="1" applyAlignment="1">
      <alignment horizontal="right"/>
    </xf>
    <xf numFmtId="0" fontId="80" fillId="0" borderId="0" xfId="32" applyFont="1" applyAlignment="1">
      <alignment wrapText="1"/>
    </xf>
    <xf numFmtId="1" fontId="80" fillId="0" borderId="0" xfId="24" applyNumberFormat="1" applyFont="1" applyFill="1" applyBorder="1" applyAlignment="1">
      <alignment horizontal="right"/>
    </xf>
    <xf numFmtId="37" fontId="52" fillId="0" borderId="0" xfId="27" applyNumberFormat="1" applyFont="1" applyFill="1" applyBorder="1"/>
    <xf numFmtId="183" fontId="27" fillId="0" borderId="0" xfId="26" applyNumberFormat="1" applyFont="1" applyFill="1" applyBorder="1"/>
    <xf numFmtId="249" fontId="27" fillId="0" borderId="5" xfId="24" applyNumberFormat="1" applyFont="1" applyBorder="1" applyAlignment="1">
      <alignment horizontal="right"/>
    </xf>
    <xf numFmtId="37" fontId="11" fillId="0" borderId="0" xfId="27" applyNumberFormat="1" applyFont="1" applyFill="1" applyBorder="1"/>
    <xf numFmtId="177" fontId="1" fillId="0" borderId="0" xfId="32" applyNumberFormat="1" applyFont="1" applyAlignment="1">
      <alignment horizontal="right"/>
    </xf>
    <xf numFmtId="0" fontId="1" fillId="0" borderId="0" xfId="26" applyFont="1" applyFill="1" applyBorder="1"/>
    <xf numFmtId="247" fontId="1" fillId="0" borderId="0" xfId="11" applyNumberFormat="1" applyFont="1" applyFill="1" applyAlignment="1">
      <alignment horizontal="right"/>
    </xf>
    <xf numFmtId="183" fontId="1" fillId="0" borderId="0" xfId="26" applyNumberFormat="1" applyFont="1" applyFill="1" applyBorder="1" applyAlignment="1" applyProtection="1">
      <alignment horizontal="left"/>
    </xf>
    <xf numFmtId="247" fontId="1" fillId="0" borderId="4" xfId="11" applyNumberFormat="1" applyFont="1" applyFill="1" applyBorder="1" applyAlignment="1">
      <alignment horizontal="right"/>
    </xf>
    <xf numFmtId="0" fontId="11" fillId="0" borderId="0" xfId="26" applyFont="1" applyFill="1" applyBorder="1"/>
    <xf numFmtId="247" fontId="11" fillId="0" borderId="0" xfId="11" applyNumberFormat="1" applyFont="1" applyFill="1" applyAlignment="1">
      <alignment horizontal="right"/>
    </xf>
    <xf numFmtId="247" fontId="1" fillId="0" borderId="0" xfId="11" applyNumberFormat="1" applyFont="1" applyFill="1" applyBorder="1" applyAlignment="1">
      <alignment horizontal="right"/>
    </xf>
    <xf numFmtId="0" fontId="27" fillId="0" borderId="0" xfId="26" applyFont="1" applyFill="1" applyBorder="1"/>
    <xf numFmtId="177" fontId="1" fillId="0" borderId="0" xfId="32" applyNumberFormat="1" applyFont="1" applyFill="1" applyBorder="1" applyAlignment="1">
      <alignment horizontal="right"/>
    </xf>
    <xf numFmtId="177" fontId="1" fillId="0" borderId="0" xfId="32" applyNumberFormat="1" applyFont="1" applyFill="1" applyAlignment="1">
      <alignment horizontal="right"/>
    </xf>
    <xf numFmtId="0" fontId="1" fillId="0" borderId="0" xfId="32" applyFont="1" applyBorder="1" applyAlignment="1">
      <alignment wrapText="1"/>
    </xf>
    <xf numFmtId="0" fontId="27" fillId="0" borderId="0" xfId="32" applyFont="1" applyFill="1" applyBorder="1"/>
    <xf numFmtId="250" fontId="27" fillId="0" borderId="0" xfId="18" applyNumberFormat="1" applyFont="1" applyFill="1" applyBorder="1" applyAlignment="1">
      <alignment horizontal="right"/>
    </xf>
    <xf numFmtId="249" fontId="81" fillId="0" borderId="0" xfId="24" applyNumberFormat="1" applyFont="1" applyFill="1" applyBorder="1" applyAlignment="1">
      <alignment horizontal="right"/>
    </xf>
    <xf numFmtId="0" fontId="1" fillId="0" borderId="0" xfId="26" applyFont="1" applyFill="1" applyBorder="1" applyAlignment="1">
      <alignment horizontal="left"/>
    </xf>
    <xf numFmtId="247" fontId="1" fillId="0" borderId="0" xfId="32" applyNumberFormat="1" applyFont="1" applyFill="1" applyAlignment="1">
      <alignment horizontal="right"/>
    </xf>
    <xf numFmtId="247" fontId="80" fillId="0" borderId="0" xfId="32" applyNumberFormat="1" applyFont="1"/>
    <xf numFmtId="0" fontId="1" fillId="0" borderId="0" xfId="32" applyFont="1" applyFill="1" applyBorder="1" applyAlignment="1">
      <alignment horizontal="left" indent="1"/>
    </xf>
    <xf numFmtId="247" fontId="1" fillId="0" borderId="4" xfId="32" applyNumberFormat="1" applyFont="1" applyFill="1" applyBorder="1" applyAlignment="1">
      <alignment horizontal="right"/>
    </xf>
    <xf numFmtId="0" fontId="11" fillId="0" borderId="0" xfId="32" applyFont="1" applyFill="1" applyBorder="1"/>
    <xf numFmtId="247" fontId="11" fillId="0" borderId="0" xfId="32" applyNumberFormat="1" applyFont="1" applyFill="1" applyAlignment="1">
      <alignment horizontal="right"/>
    </xf>
    <xf numFmtId="250" fontId="27" fillId="0" borderId="0" xfId="18" applyNumberFormat="1" applyFont="1" applyBorder="1" applyAlignment="1">
      <alignment horizontal="right"/>
    </xf>
    <xf numFmtId="249" fontId="81" fillId="0" borderId="0" xfId="24" applyNumberFormat="1" applyFont="1" applyBorder="1" applyAlignment="1">
      <alignment horizontal="right"/>
    </xf>
    <xf numFmtId="0" fontId="1" fillId="0" borderId="0" xfId="26" applyFont="1" applyFill="1" applyBorder="1" applyAlignment="1">
      <alignment horizontal="left" indent="1"/>
    </xf>
    <xf numFmtId="0" fontId="1" fillId="0" borderId="0" xfId="26" applyFont="1" applyFill="1" applyBorder="1" applyAlignment="1">
      <alignment horizontal="left" indent="2"/>
    </xf>
    <xf numFmtId="0" fontId="11" fillId="0" borderId="0" xfId="32" applyFont="1" applyAlignment="1">
      <alignment wrapText="1"/>
    </xf>
    <xf numFmtId="0" fontId="54" fillId="0" borderId="0" xfId="32" applyFont="1"/>
    <xf numFmtId="0" fontId="11" fillId="0" borderId="0" xfId="26" applyFont="1" applyFill="1" applyBorder="1" applyAlignment="1">
      <alignment horizontal="left" indent="1"/>
    </xf>
    <xf numFmtId="0" fontId="9" fillId="0" borderId="0" xfId="26" applyFont="1" applyFill="1" applyBorder="1" applyAlignment="1">
      <alignment horizontal="left" indent="1"/>
    </xf>
    <xf numFmtId="247" fontId="86" fillId="0" borderId="0" xfId="32" applyNumberFormat="1" applyFont="1" applyAlignment="1">
      <alignment horizontal="right"/>
    </xf>
    <xf numFmtId="0" fontId="1" fillId="3" borderId="0" xfId="32" applyFont="1" applyFill="1" applyAlignment="1">
      <alignment wrapText="1"/>
    </xf>
    <xf numFmtId="0" fontId="80" fillId="3" borderId="0" xfId="32" applyFont="1" applyFill="1"/>
    <xf numFmtId="0" fontId="1" fillId="3" borderId="0" xfId="32" applyFont="1" applyFill="1" applyBorder="1"/>
    <xf numFmtId="0" fontId="27" fillId="3" borderId="0" xfId="32" applyFont="1" applyFill="1" applyBorder="1"/>
    <xf numFmtId="9" fontId="81" fillId="3" borderId="1" xfId="37" applyFont="1" applyFill="1" applyBorder="1" applyAlignment="1">
      <alignment horizontal="right"/>
    </xf>
    <xf numFmtId="9" fontId="1" fillId="3" borderId="0" xfId="37" applyFont="1" applyFill="1" applyAlignment="1">
      <alignment horizontal="right"/>
    </xf>
    <xf numFmtId="0" fontId="9" fillId="0" borderId="0" xfId="32" applyFont="1" applyBorder="1"/>
    <xf numFmtId="247" fontId="9" fillId="0" borderId="0" xfId="32" applyNumberFormat="1" applyFont="1" applyAlignment="1">
      <alignment horizontal="right"/>
    </xf>
    <xf numFmtId="0" fontId="11" fillId="0" borderId="0" xfId="26" applyFont="1" applyBorder="1"/>
    <xf numFmtId="0" fontId="27" fillId="0" borderId="0" xfId="26" applyFont="1" applyBorder="1"/>
    <xf numFmtId="0" fontId="11" fillId="0" borderId="0" xfId="32" applyFont="1" applyBorder="1" applyAlignment="1">
      <alignment horizontal="left" indent="1"/>
    </xf>
    <xf numFmtId="0" fontId="9" fillId="0" borderId="0" xfId="32" applyFont="1" applyBorder="1" applyAlignment="1">
      <alignment horizontal="left" indent="1"/>
    </xf>
    <xf numFmtId="0" fontId="27" fillId="0" borderId="0" xfId="32" applyFont="1" applyBorder="1" applyAlignment="1">
      <alignment horizontal="left" indent="1"/>
    </xf>
    <xf numFmtId="247" fontId="9" fillId="0" borderId="0" xfId="32" applyNumberFormat="1" applyFont="1" applyFill="1" applyAlignment="1">
      <alignment horizontal="right"/>
    </xf>
    <xf numFmtId="247" fontId="1" fillId="0" borderId="0" xfId="32" applyNumberFormat="1" applyFont="1" applyAlignment="1">
      <alignment horizontal="right"/>
    </xf>
    <xf numFmtId="0" fontId="87" fillId="0" borderId="0" xfId="32" applyFont="1" applyBorder="1"/>
    <xf numFmtId="0" fontId="27" fillId="0" borderId="0" xfId="32" applyFont="1" applyBorder="1"/>
    <xf numFmtId="0" fontId="27" fillId="0" borderId="0" xfId="18" applyNumberFormat="1" applyFont="1" applyBorder="1" applyAlignment="1">
      <alignment horizontal="right"/>
    </xf>
    <xf numFmtId="0" fontId="88" fillId="0" borderId="0" xfId="32" applyFont="1" applyAlignment="1">
      <alignment wrapText="1"/>
    </xf>
    <xf numFmtId="0" fontId="89" fillId="0" borderId="0" xfId="32" applyFont="1"/>
    <xf numFmtId="0" fontId="26" fillId="0" borderId="0" xfId="32" applyFont="1" applyBorder="1"/>
    <xf numFmtId="0" fontId="88" fillId="0" borderId="0" xfId="32" applyFont="1" applyBorder="1"/>
    <xf numFmtId="0" fontId="9" fillId="0" borderId="0" xfId="32" applyFont="1" applyFill="1" applyBorder="1"/>
    <xf numFmtId="166" fontId="66" fillId="0" borderId="0" xfId="37" applyNumberFormat="1" applyFont="1" applyFill="1" applyBorder="1"/>
    <xf numFmtId="166" fontId="90" fillId="0" borderId="0" xfId="37" applyNumberFormat="1" applyFont="1" applyFill="1" applyBorder="1"/>
    <xf numFmtId="166" fontId="91" fillId="0" borderId="0" xfId="32" applyNumberFormat="1" applyFont="1" applyFill="1" applyBorder="1" applyAlignment="1">
      <alignment horizontal="right"/>
    </xf>
    <xf numFmtId="166" fontId="56" fillId="0" borderId="0" xfId="32" applyNumberFormat="1" applyFont="1" applyFill="1" applyBorder="1" applyAlignment="1">
      <alignment horizontal="right"/>
    </xf>
    <xf numFmtId="247" fontId="90" fillId="0" borderId="0" xfId="11" applyNumberFormat="1" applyFont="1" applyFill="1" applyAlignment="1">
      <alignment horizontal="right"/>
    </xf>
    <xf numFmtId="166" fontId="1" fillId="0" borderId="0" xfId="37" applyNumberFormat="1" applyFont="1" applyBorder="1" applyAlignment="1">
      <alignment horizontal="right"/>
    </xf>
    <xf numFmtId="248" fontId="1" fillId="0" borderId="0" xfId="18" applyNumberFormat="1" applyFont="1" applyBorder="1" applyAlignment="1">
      <alignment horizontal="right"/>
    </xf>
    <xf numFmtId="249" fontId="66" fillId="0" borderId="0" xfId="24" applyNumberFormat="1" applyFont="1" applyBorder="1" applyAlignment="1">
      <alignment horizontal="right"/>
    </xf>
    <xf numFmtId="247" fontId="1" fillId="0" borderId="0" xfId="24" applyNumberFormat="1" applyFont="1" applyBorder="1" applyAlignment="1">
      <alignment horizontal="right"/>
    </xf>
    <xf numFmtId="188" fontId="1" fillId="0" borderId="0" xfId="37" applyNumberFormat="1" applyFont="1" applyBorder="1" applyAlignment="1">
      <alignment horizontal="right"/>
    </xf>
    <xf numFmtId="247" fontId="1" fillId="0" borderId="0" xfId="24" applyNumberFormat="1" applyFont="1" applyFill="1" applyBorder="1" applyAlignment="1">
      <alignment horizontal="right"/>
    </xf>
    <xf numFmtId="166" fontId="81" fillId="3" borderId="1" xfId="37" applyNumberFormat="1" applyFont="1" applyFill="1" applyBorder="1" applyAlignment="1">
      <alignment horizontal="right"/>
    </xf>
    <xf numFmtId="0" fontId="1" fillId="0" borderId="0" xfId="27" applyNumberFormat="1" applyFont="1"/>
    <xf numFmtId="166" fontId="1" fillId="0" borderId="0" xfId="37" applyNumberFormat="1" applyFont="1" applyFill="1" applyBorder="1" applyAlignment="1">
      <alignment horizontal="right"/>
    </xf>
    <xf numFmtId="166" fontId="1" fillId="3" borderId="0" xfId="37" applyNumberFormat="1" applyFont="1" applyFill="1" applyBorder="1" applyAlignment="1">
      <alignment horizontal="right"/>
    </xf>
    <xf numFmtId="9" fontId="66" fillId="3" borderId="0" xfId="37" applyNumberFormat="1" applyFont="1" applyFill="1" applyBorder="1" applyAlignment="1">
      <alignment horizontal="right"/>
    </xf>
    <xf numFmtId="0" fontId="27" fillId="0" borderId="0" xfId="32" applyFont="1" applyAlignment="1">
      <alignment wrapText="1"/>
    </xf>
    <xf numFmtId="0" fontId="85" fillId="0" borderId="0" xfId="32" applyFont="1" applyBorder="1"/>
    <xf numFmtId="247" fontId="9" fillId="0" borderId="0" xfId="11" applyNumberFormat="1" applyFont="1" applyFill="1" applyBorder="1" applyAlignment="1">
      <alignment horizontal="right"/>
    </xf>
    <xf numFmtId="247" fontId="66" fillId="0" borderId="0" xfId="11" applyNumberFormat="1" applyFont="1" applyFill="1" applyBorder="1" applyAlignment="1">
      <alignment horizontal="right"/>
    </xf>
    <xf numFmtId="9" fontId="92" fillId="0" borderId="0" xfId="37" applyFont="1" applyFill="1" applyBorder="1" applyAlignment="1">
      <alignment horizontal="right"/>
    </xf>
    <xf numFmtId="248" fontId="1" fillId="0" borderId="0" xfId="18" applyNumberFormat="1" applyFont="1" applyFill="1" applyBorder="1" applyAlignment="1">
      <alignment horizontal="right"/>
    </xf>
    <xf numFmtId="249" fontId="66" fillId="0" borderId="0" xfId="24" applyNumberFormat="1" applyFont="1" applyFill="1" applyBorder="1" applyAlignment="1">
      <alignment horizontal="right"/>
    </xf>
    <xf numFmtId="0" fontId="1" fillId="0" borderId="0" xfId="32" applyFont="1" applyBorder="1" applyAlignment="1">
      <alignment horizontal="left" indent="1"/>
    </xf>
    <xf numFmtId="166" fontId="12" fillId="0" borderId="0" xfId="37" applyNumberFormat="1" applyFont="1" applyFill="1" applyBorder="1" applyAlignment="1">
      <alignment horizontal="right"/>
    </xf>
    <xf numFmtId="9" fontId="66" fillId="0" borderId="0" xfId="37" applyFont="1" applyFill="1" applyBorder="1" applyAlignment="1">
      <alignment horizontal="right"/>
    </xf>
    <xf numFmtId="247" fontId="93" fillId="0" borderId="0" xfId="24" applyNumberFormat="1" applyFont="1" applyFill="1" applyBorder="1" applyAlignment="1">
      <alignment horizontal="right"/>
    </xf>
    <xf numFmtId="0" fontId="11" fillId="0" borderId="0" xfId="32" applyFont="1" applyBorder="1"/>
    <xf numFmtId="247" fontId="11" fillId="0" borderId="0" xfId="11" applyNumberFormat="1" applyFont="1" applyBorder="1" applyAlignment="1">
      <alignment horizontal="right"/>
    </xf>
    <xf numFmtId="0" fontId="88" fillId="0" borderId="0" xfId="32" applyFont="1" applyBorder="1" applyAlignment="1">
      <alignment horizontal="left" indent="2"/>
    </xf>
    <xf numFmtId="9" fontId="1" fillId="0" borderId="0" xfId="37" applyNumberFormat="1" applyFont="1" applyAlignment="1">
      <alignment horizontal="right"/>
    </xf>
    <xf numFmtId="175" fontId="66" fillId="0" borderId="0" xfId="7" applyNumberFormat="1" applyFont="1" applyFill="1" applyBorder="1"/>
    <xf numFmtId="247" fontId="1" fillId="0" borderId="0" xfId="11" applyNumberFormat="1" applyFont="1" applyBorder="1" applyAlignment="1">
      <alignment horizontal="right"/>
    </xf>
    <xf numFmtId="9" fontId="1" fillId="0" borderId="0" xfId="37" applyFont="1" applyAlignment="1">
      <alignment horizontal="right"/>
    </xf>
    <xf numFmtId="166" fontId="1" fillId="0" borderId="0" xfId="37" applyNumberFormat="1" applyFont="1" applyAlignment="1">
      <alignment horizontal="right"/>
    </xf>
    <xf numFmtId="247" fontId="12" fillId="0" borderId="0" xfId="11" applyNumberFormat="1" applyFont="1" applyFill="1" applyBorder="1" applyAlignment="1">
      <alignment horizontal="right"/>
    </xf>
    <xf numFmtId="9" fontId="1" fillId="0" borderId="0" xfId="37" applyFont="1" applyFill="1" applyBorder="1" applyAlignment="1">
      <alignment horizontal="right"/>
    </xf>
    <xf numFmtId="247" fontId="66" fillId="0" borderId="0" xfId="24" applyNumberFormat="1" applyFont="1" applyBorder="1" applyAlignment="1">
      <alignment horizontal="right"/>
    </xf>
    <xf numFmtId="253" fontId="11" fillId="0" borderId="5" xfId="24" applyNumberFormat="1" applyFont="1" applyBorder="1" applyAlignment="1">
      <alignment horizontal="right"/>
    </xf>
    <xf numFmtId="0" fontId="1" fillId="0" borderId="0" xfId="32" applyFont="1" applyBorder="1" applyAlignment="1">
      <alignment horizontal="left"/>
    </xf>
    <xf numFmtId="247" fontId="66" fillId="0" borderId="0" xfId="11" applyNumberFormat="1" applyFont="1" applyBorder="1" applyAlignment="1">
      <alignment horizontal="right"/>
    </xf>
    <xf numFmtId="177" fontId="1" fillId="0" borderId="0" xfId="32" applyNumberFormat="1" applyFont="1" applyAlignment="1">
      <alignment wrapText="1"/>
    </xf>
    <xf numFmtId="183" fontId="1" fillId="0" borderId="0" xfId="26" applyNumberFormat="1" applyFont="1" applyBorder="1" applyAlignment="1" applyProtection="1">
      <alignment horizontal="left"/>
    </xf>
    <xf numFmtId="247" fontId="66" fillId="0" borderId="12" xfId="11" applyNumberFormat="1" applyFont="1" applyFill="1" applyBorder="1" applyAlignment="1">
      <alignment horizontal="right"/>
    </xf>
    <xf numFmtId="177" fontId="1" fillId="0" borderId="0" xfId="32" applyNumberFormat="1" applyFont="1"/>
    <xf numFmtId="247" fontId="66" fillId="0" borderId="4" xfId="11" applyNumberFormat="1" applyFont="1" applyFill="1" applyBorder="1" applyAlignment="1">
      <alignment horizontal="right"/>
    </xf>
    <xf numFmtId="0" fontId="80" fillId="0" borderId="0" xfId="32" applyFont="1" applyFill="1" applyAlignment="1">
      <alignment vertical="justify" textRotation="90" readingOrder="2"/>
    </xf>
    <xf numFmtId="175" fontId="94" fillId="0" borderId="0" xfId="11" applyNumberFormat="1" applyFont="1" applyFill="1" applyBorder="1"/>
    <xf numFmtId="177" fontId="1" fillId="0" borderId="0" xfId="32" applyNumberFormat="1" applyFont="1" applyBorder="1" applyAlignment="1">
      <alignment wrapText="1"/>
    </xf>
    <xf numFmtId="0" fontId="80" fillId="0" borderId="0" xfId="32" applyFont="1" applyFill="1" applyBorder="1" applyAlignment="1">
      <alignment vertical="justify" textRotation="90" readingOrder="2"/>
    </xf>
    <xf numFmtId="177" fontId="1" fillId="0" borderId="0" xfId="32" applyNumberFormat="1" applyFont="1" applyBorder="1"/>
    <xf numFmtId="175" fontId="1" fillId="0" borderId="0" xfId="11" applyNumberFormat="1" applyFont="1" applyFill="1" applyBorder="1"/>
    <xf numFmtId="247" fontId="95" fillId="0" borderId="0" xfId="11" applyNumberFormat="1" applyFont="1" applyFill="1" applyBorder="1" applyAlignment="1">
      <alignment horizontal="left" indent="1"/>
    </xf>
    <xf numFmtId="0" fontId="80" fillId="0" borderId="0" xfId="32" applyFont="1" applyBorder="1" applyAlignment="1">
      <alignment vertical="center" textRotation="90" readingOrder="2"/>
    </xf>
    <xf numFmtId="250" fontId="9" fillId="0" borderId="0" xfId="18" applyNumberFormat="1" applyFont="1" applyBorder="1" applyAlignment="1">
      <alignment horizontal="right"/>
    </xf>
    <xf numFmtId="249" fontId="9" fillId="0" borderId="0" xfId="24" applyNumberFormat="1" applyFont="1" applyBorder="1" applyAlignment="1">
      <alignment horizontal="right"/>
    </xf>
    <xf numFmtId="165" fontId="80" fillId="0" borderId="0" xfId="32" applyNumberFormat="1" applyFont="1" applyFill="1"/>
    <xf numFmtId="246" fontId="1" fillId="0" borderId="0" xfId="11" applyNumberFormat="1" applyFont="1" applyFill="1" applyBorder="1" applyAlignment="1">
      <alignment horizontal="right"/>
    </xf>
    <xf numFmtId="177" fontId="1" fillId="0" borderId="0" xfId="32" applyNumberFormat="1" applyFont="1" applyFill="1" applyAlignment="1">
      <alignment wrapText="1"/>
    </xf>
    <xf numFmtId="177" fontId="80" fillId="0" borderId="0" xfId="32" applyNumberFormat="1" applyFont="1"/>
    <xf numFmtId="247" fontId="1" fillId="0" borderId="0" xfId="32" applyNumberFormat="1" applyFont="1" applyBorder="1" applyAlignment="1">
      <alignment horizontal="right"/>
    </xf>
    <xf numFmtId="246" fontId="1" fillId="0" borderId="0" xfId="32" applyNumberFormat="1" applyFont="1" applyAlignment="1">
      <alignment horizontal="right"/>
    </xf>
    <xf numFmtId="0" fontId="9" fillId="0" borderId="0" xfId="32" applyFont="1" applyFill="1" applyAlignment="1">
      <alignment wrapText="1"/>
    </xf>
    <xf numFmtId="0" fontId="9" fillId="0" borderId="0" xfId="32" applyFont="1" applyFill="1"/>
    <xf numFmtId="247" fontId="9" fillId="0" borderId="0" xfId="32" applyNumberFormat="1" applyFont="1" applyFill="1" applyBorder="1" applyAlignment="1">
      <alignment horizontal="right"/>
    </xf>
    <xf numFmtId="247" fontId="9" fillId="0" borderId="0" xfId="32" applyNumberFormat="1" applyFont="1" applyFill="1"/>
    <xf numFmtId="9" fontId="81" fillId="0" borderId="1" xfId="37" applyFont="1" applyFill="1" applyBorder="1" applyAlignment="1">
      <alignment horizontal="right"/>
    </xf>
    <xf numFmtId="0" fontId="1" fillId="0" borderId="0" xfId="27" applyNumberFormat="1" applyFont="1" applyFill="1"/>
    <xf numFmtId="247" fontId="1" fillId="0" borderId="0" xfId="32" applyNumberFormat="1" applyFont="1" applyFill="1"/>
    <xf numFmtId="251" fontId="81" fillId="0" borderId="1" xfId="18" applyNumberFormat="1" applyFont="1" applyFill="1" applyBorder="1" applyAlignment="1">
      <alignment horizontal="right"/>
    </xf>
    <xf numFmtId="0" fontId="9" fillId="0" borderId="0" xfId="32" applyFont="1" applyFill="1" applyBorder="1" applyAlignment="1">
      <alignment wrapText="1"/>
    </xf>
    <xf numFmtId="252" fontId="9" fillId="0" borderId="0" xfId="18" applyNumberFormat="1" applyFont="1" applyFill="1" applyBorder="1" applyAlignment="1">
      <alignment horizontal="right"/>
    </xf>
    <xf numFmtId="247" fontId="9" fillId="0" borderId="0" xfId="32" applyNumberFormat="1" applyFont="1" applyFill="1" applyBorder="1"/>
    <xf numFmtId="165" fontId="9" fillId="0" borderId="0" xfId="32" applyNumberFormat="1" applyFont="1" applyFill="1" applyBorder="1" applyAlignment="1">
      <alignment horizontal="right"/>
    </xf>
    <xf numFmtId="246" fontId="9" fillId="0" borderId="0" xfId="32" applyNumberFormat="1" applyFont="1" applyFill="1" applyBorder="1" applyAlignment="1">
      <alignment horizontal="right"/>
    </xf>
    <xf numFmtId="0" fontId="1" fillId="0" borderId="0" xfId="26" applyNumberFormat="1" applyFont="1" applyFill="1" applyBorder="1" applyAlignment="1" applyProtection="1">
      <alignment horizontal="left"/>
    </xf>
    <xf numFmtId="246" fontId="1" fillId="0" borderId="0" xfId="32" applyNumberFormat="1" applyFont="1" applyFill="1" applyAlignment="1">
      <alignment horizontal="right"/>
    </xf>
    <xf numFmtId="246" fontId="1" fillId="0" borderId="0" xfId="32" applyNumberFormat="1" applyFont="1" applyFill="1" applyBorder="1" applyAlignment="1">
      <alignment horizontal="right"/>
    </xf>
    <xf numFmtId="247" fontId="80" fillId="0" borderId="0" xfId="32" applyNumberFormat="1" applyFont="1" applyFill="1"/>
    <xf numFmtId="0" fontId="1" fillId="0" borderId="0" xfId="32" applyFont="1" applyFill="1" applyBorder="1" applyAlignment="1">
      <alignment wrapText="1"/>
    </xf>
    <xf numFmtId="247" fontId="80" fillId="0" borderId="0" xfId="32" applyNumberFormat="1" applyFont="1" applyFill="1" applyBorder="1"/>
    <xf numFmtId="165" fontId="1" fillId="0" borderId="0" xfId="32" applyNumberFormat="1" applyFont="1" applyFill="1" applyBorder="1" applyAlignment="1">
      <alignment horizontal="right"/>
    </xf>
    <xf numFmtId="247" fontId="20" fillId="0" borderId="0" xfId="11" applyNumberFormat="1" applyFont="1" applyBorder="1" applyAlignment="1">
      <alignment horizontal="right"/>
    </xf>
    <xf numFmtId="0" fontId="68" fillId="0" borderId="0" xfId="0" applyFont="1"/>
    <xf numFmtId="169" fontId="9" fillId="0" borderId="0" xfId="0" applyNumberFormat="1" applyFont="1" applyFill="1" applyBorder="1"/>
    <xf numFmtId="0" fontId="11" fillId="0" borderId="0" xfId="0" applyFont="1" applyFill="1" applyBorder="1"/>
    <xf numFmtId="169" fontId="22" fillId="0" borderId="15" xfId="16" applyNumberFormat="1" applyFont="1" applyBorder="1"/>
    <xf numFmtId="169" fontId="5" fillId="0" borderId="0" xfId="16" applyNumberFormat="1" applyFont="1"/>
    <xf numFmtId="169" fontId="5" fillId="0" borderId="4" xfId="16" applyNumberFormat="1" applyFont="1" applyBorder="1"/>
    <xf numFmtId="6" fontId="5" fillId="0" borderId="0" xfId="0" applyNumberFormat="1" applyFont="1" applyBorder="1"/>
    <xf numFmtId="171" fontId="5" fillId="0" borderId="8" xfId="0" applyNumberFormat="1" applyFont="1" applyBorder="1"/>
    <xf numFmtId="0" fontId="5" fillId="0" borderId="9" xfId="0" applyFont="1" applyBorder="1"/>
    <xf numFmtId="6" fontId="17" fillId="0" borderId="0" xfId="0" applyNumberFormat="1" applyFont="1" applyBorder="1"/>
    <xf numFmtId="6" fontId="39" fillId="0" borderId="0" xfId="0" applyNumberFormat="1" applyFont="1" applyBorder="1"/>
    <xf numFmtId="9" fontId="5" fillId="0" borderId="15" xfId="0" applyNumberFormat="1" applyFont="1" applyBorder="1" applyAlignment="1">
      <alignment horizontal="left"/>
    </xf>
    <xf numFmtId="9" fontId="5" fillId="0" borderId="14" xfId="0" applyNumberFormat="1" applyFont="1" applyBorder="1" applyAlignment="1">
      <alignment horizontal="left"/>
    </xf>
    <xf numFmtId="211" fontId="5" fillId="0" borderId="8" xfId="7" applyNumberFormat="1" applyFont="1" applyBorder="1"/>
    <xf numFmtId="211" fontId="5" fillId="0" borderId="9" xfId="7" applyNumberFormat="1" applyFont="1" applyBorder="1"/>
    <xf numFmtId="166" fontId="24" fillId="0" borderId="8" xfId="0" applyNumberFormat="1" applyFont="1" applyBorder="1"/>
    <xf numFmtId="9" fontId="9" fillId="0" borderId="0" xfId="37" applyFont="1" applyBorder="1"/>
    <xf numFmtId="166" fontId="9" fillId="0" borderId="0" xfId="37" applyNumberFormat="1" applyFont="1" applyBorder="1"/>
    <xf numFmtId="175" fontId="9" fillId="0" borderId="0" xfId="7" applyNumberFormat="1" applyFont="1" applyFill="1" applyBorder="1"/>
    <xf numFmtId="5" fontId="11" fillId="0" borderId="0" xfId="34" applyNumberFormat="1" applyFont="1" applyBorder="1" applyProtection="1"/>
    <xf numFmtId="175" fontId="9" fillId="0" borderId="0" xfId="7" applyNumberFormat="1" applyFont="1" applyBorder="1" applyProtection="1"/>
    <xf numFmtId="178" fontId="9" fillId="7" borderId="0" xfId="34" applyNumberFormat="1" applyFont="1" applyFill="1" applyBorder="1" applyProtection="1"/>
    <xf numFmtId="183" fontId="9" fillId="0" borderId="0" xfId="34" applyNumberFormat="1" applyFont="1" applyBorder="1" applyProtection="1"/>
    <xf numFmtId="1" fontId="9" fillId="0" borderId="0" xfId="34" applyNumberFormat="1" applyFont="1" applyBorder="1" applyProtection="1"/>
    <xf numFmtId="188" fontId="9" fillId="0" borderId="0" xfId="35" applyNumberFormat="1" applyFont="1" applyBorder="1" applyProtection="1"/>
    <xf numFmtId="191" fontId="9" fillId="0" borderId="0" xfId="34" applyNumberFormat="1" applyFont="1" applyBorder="1" applyProtection="1"/>
    <xf numFmtId="191" fontId="9" fillId="0" borderId="0" xfId="34" applyNumberFormat="1" applyFont="1" applyFill="1" applyBorder="1" applyProtection="1"/>
    <xf numFmtId="5" fontId="9" fillId="0" borderId="0" xfId="34" applyNumberFormat="1" applyFont="1" applyFill="1" applyBorder="1" applyProtection="1"/>
    <xf numFmtId="188" fontId="12" fillId="0" borderId="0" xfId="35" applyNumberFormat="1" applyFont="1" applyBorder="1" applyProtection="1"/>
    <xf numFmtId="6" fontId="9" fillId="0" borderId="0" xfId="12" applyNumberFormat="1" applyFont="1" applyBorder="1"/>
    <xf numFmtId="5" fontId="9" fillId="0" borderId="0" xfId="34" applyNumberFormat="1" applyFont="1" applyBorder="1" applyProtection="1"/>
    <xf numFmtId="175" fontId="9" fillId="0" borderId="0" xfId="7" applyNumberFormat="1" applyFont="1" applyBorder="1"/>
    <xf numFmtId="5" fontId="20" fillId="0" borderId="0" xfId="34" applyNumberFormat="1" applyFont="1" applyBorder="1" applyProtection="1"/>
    <xf numFmtId="178" fontId="12" fillId="0" borderId="0" xfId="34" applyFont="1" applyBorder="1"/>
    <xf numFmtId="9" fontId="9" fillId="0" borderId="0" xfId="34" applyNumberFormat="1" applyFont="1" applyBorder="1" applyProtection="1"/>
    <xf numFmtId="166" fontId="9" fillId="0" borderId="0" xfId="37" applyNumberFormat="1" applyFont="1" applyBorder="1" applyAlignment="1">
      <alignment horizontal="right"/>
    </xf>
    <xf numFmtId="169" fontId="5" fillId="0" borderId="0" xfId="0" applyNumberFormat="1" applyFont="1" applyFill="1" applyBorder="1"/>
    <xf numFmtId="193" fontId="16" fillId="0" borderId="0" xfId="0" applyNumberFormat="1" applyFont="1" applyFill="1" applyAlignment="1">
      <alignment horizontal="left"/>
    </xf>
    <xf numFmtId="10" fontId="5" fillId="0" borderId="0" xfId="37" applyNumberFormat="1" applyFont="1" applyFill="1"/>
    <xf numFmtId="0" fontId="0" fillId="0" borderId="0" xfId="0" applyFill="1"/>
    <xf numFmtId="169" fontId="5" fillId="0" borderId="0" xfId="0" applyNumberFormat="1" applyFont="1" applyFill="1"/>
    <xf numFmtId="4" fontId="44" fillId="0" borderId="0" xfId="0" applyNumberFormat="1" applyFont="1" applyFill="1" applyBorder="1" applyAlignment="1">
      <alignment horizontal="right"/>
    </xf>
    <xf numFmtId="0" fontId="44" fillId="0" borderId="0" xfId="0" applyFont="1" applyFill="1" applyAlignment="1">
      <alignment horizontal="right"/>
    </xf>
    <xf numFmtId="200" fontId="5" fillId="0" borderId="0" xfId="0" applyNumberFormat="1" applyFont="1" applyFill="1"/>
    <xf numFmtId="169" fontId="5" fillId="0" borderId="4" xfId="0" applyNumberFormat="1" applyFont="1" applyFill="1" applyBorder="1"/>
    <xf numFmtId="4" fontId="17" fillId="0" borderId="0" xfId="0" applyNumberFormat="1" applyFont="1" applyFill="1" applyAlignment="1">
      <alignment horizontal="right"/>
    </xf>
    <xf numFmtId="0" fontId="44" fillId="0" borderId="0" xfId="0" applyFont="1" applyFill="1" applyBorder="1" applyAlignment="1">
      <alignment horizontal="right"/>
    </xf>
    <xf numFmtId="200" fontId="17" fillId="0" borderId="0" xfId="0" applyNumberFormat="1" applyFont="1" applyFill="1" applyAlignment="1">
      <alignment horizontal="right"/>
    </xf>
    <xf numFmtId="4" fontId="5" fillId="0" borderId="6" xfId="0" applyNumberFormat="1" applyFont="1" applyFill="1" applyBorder="1"/>
    <xf numFmtId="0" fontId="5" fillId="0" borderId="7" xfId="0" applyFont="1" applyFill="1" applyBorder="1"/>
    <xf numFmtId="4" fontId="44" fillId="0" borderId="6" xfId="0" applyNumberFormat="1" applyFont="1" applyFill="1" applyBorder="1" applyAlignment="1">
      <alignment horizontal="right"/>
    </xf>
    <xf numFmtId="0" fontId="44" fillId="0" borderId="7" xfId="0" applyFont="1" applyFill="1" applyBorder="1" applyAlignment="1">
      <alignment horizontal="right"/>
    </xf>
    <xf numFmtId="10" fontId="5" fillId="0" borderId="8" xfId="0" applyNumberFormat="1" applyFont="1" applyBorder="1"/>
    <xf numFmtId="166" fontId="5" fillId="0" borderId="15" xfId="0" applyNumberFormat="1" applyFont="1" applyBorder="1" applyAlignment="1">
      <alignment horizontal="left"/>
    </xf>
    <xf numFmtId="166" fontId="5" fillId="0" borderId="15" xfId="0" applyNumberFormat="1" applyFont="1" applyBorder="1"/>
    <xf numFmtId="166" fontId="5" fillId="0" borderId="14" xfId="0" applyNumberFormat="1" applyFont="1" applyBorder="1" applyAlignment="1">
      <alignment horizontal="left"/>
    </xf>
    <xf numFmtId="37" fontId="9" fillId="0" borderId="0" xfId="34" applyNumberFormat="1" applyFont="1" applyFill="1" applyProtection="1"/>
    <xf numFmtId="165" fontId="101" fillId="0" borderId="0" xfId="0" applyNumberFormat="1" applyFont="1" applyBorder="1"/>
    <xf numFmtId="0" fontId="15" fillId="0" borderId="0" xfId="0" applyFont="1"/>
    <xf numFmtId="0" fontId="59" fillId="0" borderId="0" xfId="0" applyFont="1"/>
    <xf numFmtId="0" fontId="59" fillId="0" borderId="0" xfId="0" applyFont="1" applyBorder="1"/>
    <xf numFmtId="0" fontId="101" fillId="0" borderId="0" xfId="0" applyFont="1"/>
    <xf numFmtId="263" fontId="101" fillId="0" borderId="0" xfId="12" applyNumberFormat="1" applyFont="1" applyBorder="1"/>
    <xf numFmtId="0" fontId="101" fillId="0" borderId="0" xfId="0" applyFont="1" applyBorder="1"/>
    <xf numFmtId="211" fontId="101" fillId="0" borderId="0" xfId="7" applyNumberFormat="1" applyFont="1" applyBorder="1"/>
    <xf numFmtId="0" fontId="101" fillId="0" borderId="0" xfId="0" applyFont="1" applyAlignment="1">
      <alignment horizontal="left" indent="1"/>
    </xf>
    <xf numFmtId="263" fontId="101" fillId="0" borderId="0" xfId="0" applyNumberFormat="1" applyFont="1" applyBorder="1"/>
    <xf numFmtId="0" fontId="59" fillId="0" borderId="5" xfId="0" applyFont="1" applyBorder="1"/>
    <xf numFmtId="44" fontId="59" fillId="0" borderId="5" xfId="12" applyFont="1" applyBorder="1"/>
    <xf numFmtId="0" fontId="102" fillId="0" borderId="0" xfId="0" applyFont="1"/>
    <xf numFmtId="166" fontId="101" fillId="0" borderId="0" xfId="37" applyNumberFormat="1" applyFont="1" applyBorder="1"/>
    <xf numFmtId="43" fontId="101" fillId="0" borderId="0" xfId="7" applyFont="1" applyBorder="1" applyAlignment="1">
      <alignment horizontal="right"/>
    </xf>
    <xf numFmtId="0" fontId="0" fillId="5" borderId="0" xfId="0" applyFill="1"/>
    <xf numFmtId="263" fontId="59" fillId="0" borderId="0" xfId="12" applyNumberFormat="1" applyFont="1" applyBorder="1"/>
    <xf numFmtId="211" fontId="59" fillId="0" borderId="0" xfId="7" applyNumberFormat="1" applyFont="1" applyBorder="1"/>
    <xf numFmtId="0" fontId="59" fillId="0" borderId="0" xfId="0" applyFont="1" applyAlignment="1">
      <alignment horizontal="left" indent="1"/>
    </xf>
    <xf numFmtId="165" fontId="59" fillId="0" borderId="0" xfId="0" applyNumberFormat="1" applyFont="1" applyBorder="1"/>
    <xf numFmtId="0" fontId="67" fillId="0" borderId="0" xfId="0" applyFont="1"/>
    <xf numFmtId="263" fontId="59" fillId="0" borderId="0" xfId="0" applyNumberFormat="1" applyFont="1" applyBorder="1"/>
    <xf numFmtId="0" fontId="103" fillId="0" borderId="0" xfId="0" applyFont="1"/>
    <xf numFmtId="166" fontId="59" fillId="0" borderId="0" xfId="37" applyNumberFormat="1" applyFont="1" applyBorder="1"/>
    <xf numFmtId="43" fontId="59" fillId="0" borderId="0" xfId="7" applyFont="1" applyBorder="1" applyAlignment="1">
      <alignment horizontal="right"/>
    </xf>
    <xf numFmtId="166" fontId="100" fillId="0" borderId="0" xfId="37" applyNumberFormat="1" applyFont="1" applyBorder="1"/>
    <xf numFmtId="166" fontId="101" fillId="0" borderId="0" xfId="37" applyNumberFormat="1" applyFont="1" applyBorder="1" applyAlignment="1">
      <alignment horizontal="right"/>
    </xf>
    <xf numFmtId="166" fontId="59" fillId="0" borderId="0" xfId="37" applyNumberFormat="1" applyFont="1" applyBorder="1" applyAlignment="1">
      <alignment horizontal="right"/>
    </xf>
    <xf numFmtId="166" fontId="5" fillId="0" borderId="0" xfId="0" applyNumberFormat="1" applyFont="1" applyBorder="1" applyAlignment="1">
      <alignment horizontal="left"/>
    </xf>
    <xf numFmtId="166" fontId="5" fillId="0" borderId="0" xfId="0" applyNumberFormat="1" applyFont="1" applyBorder="1"/>
    <xf numFmtId="166" fontId="5" fillId="0" borderId="9" xfId="0" applyNumberFormat="1" applyFont="1" applyBorder="1" applyAlignment="1">
      <alignment horizontal="left"/>
    </xf>
    <xf numFmtId="178" fontId="9" fillId="0" borderId="15" xfId="34" applyFont="1" applyBorder="1"/>
    <xf numFmtId="37" fontId="22" fillId="0" borderId="8" xfId="16" applyNumberFormat="1" applyFont="1" applyBorder="1"/>
    <xf numFmtId="0" fontId="10" fillId="3" borderId="0" xfId="0" applyFont="1" applyFill="1" applyAlignment="1">
      <alignment horizontal="left"/>
    </xf>
    <xf numFmtId="0" fontId="5" fillId="3" borderId="0" xfId="0" applyFont="1" applyFill="1" applyAlignment="1">
      <alignment horizontal="center"/>
    </xf>
    <xf numFmtId="0" fontId="51" fillId="3" borderId="0" xfId="0" applyFont="1" applyFill="1" applyBorder="1" applyAlignment="1">
      <alignment horizontal="left" indent="1"/>
    </xf>
    <xf numFmtId="0" fontId="5" fillId="3" borderId="0" xfId="0" applyFont="1" applyFill="1"/>
    <xf numFmtId="0" fontId="10" fillId="8" borderId="0" xfId="0" applyFont="1" applyFill="1"/>
    <xf numFmtId="0" fontId="5" fillId="8" borderId="0" xfId="0" applyFont="1" applyFill="1"/>
    <xf numFmtId="0" fontId="75" fillId="8" borderId="0" xfId="0" applyFont="1" applyFill="1" applyAlignment="1">
      <alignment horizontal="center"/>
    </xf>
    <xf numFmtId="0" fontId="75" fillId="8" borderId="32" xfId="0" applyFont="1" applyFill="1" applyBorder="1" applyAlignment="1">
      <alignment horizontal="centerContinuous"/>
    </xf>
    <xf numFmtId="0" fontId="69" fillId="8" borderId="32" xfId="0" applyFont="1" applyFill="1" applyBorder="1" applyAlignment="1">
      <alignment horizontal="centerContinuous"/>
    </xf>
    <xf numFmtId="0" fontId="69" fillId="8" borderId="33" xfId="0" applyFont="1" applyFill="1" applyBorder="1" applyAlignment="1">
      <alignment horizontal="centerContinuous"/>
    </xf>
    <xf numFmtId="5" fontId="5" fillId="3" borderId="0" xfId="0" applyNumberFormat="1" applyFont="1" applyFill="1" applyAlignment="1">
      <alignment horizontal="left"/>
    </xf>
    <xf numFmtId="5" fontId="10" fillId="3" borderId="0" xfId="0" applyNumberFormat="1" applyFont="1" applyFill="1" applyAlignment="1" applyProtection="1">
      <alignment horizontal="center"/>
    </xf>
    <xf numFmtId="5" fontId="10" fillId="2" borderId="0" xfId="0" applyNumberFormat="1" applyFont="1" applyFill="1" applyAlignment="1" applyProtection="1">
      <alignment horizontal="center"/>
    </xf>
    <xf numFmtId="6" fontId="10" fillId="3" borderId="0" xfId="0" applyNumberFormat="1" applyFont="1" applyFill="1" applyAlignment="1">
      <alignment horizontal="center"/>
    </xf>
    <xf numFmtId="188" fontId="5" fillId="3" borderId="0" xfId="0" applyNumberFormat="1" applyFont="1" applyFill="1" applyAlignment="1" applyProtection="1">
      <alignment horizontal="center"/>
    </xf>
    <xf numFmtId="188" fontId="5" fillId="2" borderId="0" xfId="0" applyNumberFormat="1" applyFont="1" applyFill="1" applyAlignment="1" applyProtection="1">
      <alignment horizontal="center"/>
    </xf>
    <xf numFmtId="236" fontId="5" fillId="3" borderId="0" xfId="0" applyNumberFormat="1" applyFont="1" applyFill="1" applyAlignment="1">
      <alignment horizontal="center"/>
    </xf>
    <xf numFmtId="37" fontId="5" fillId="3" borderId="0" xfId="0" applyNumberFormat="1" applyFont="1" applyFill="1" applyAlignment="1" applyProtection="1">
      <alignment horizontal="center"/>
    </xf>
    <xf numFmtId="37" fontId="5" fillId="2" borderId="0" xfId="0" applyNumberFormat="1" applyFont="1" applyFill="1" applyAlignment="1" applyProtection="1">
      <alignment horizontal="center"/>
    </xf>
    <xf numFmtId="6" fontId="5" fillId="3" borderId="0" xfId="0" applyNumberFormat="1" applyFont="1" applyFill="1" applyAlignment="1">
      <alignment horizontal="center"/>
    </xf>
    <xf numFmtId="0" fontId="10" fillId="3" borderId="0" xfId="0" applyFont="1" applyFill="1" applyAlignment="1">
      <alignment horizontal="center"/>
    </xf>
    <xf numFmtId="0" fontId="5" fillId="2" borderId="0" xfId="0" applyFont="1" applyFill="1" applyAlignment="1">
      <alignment horizontal="center"/>
    </xf>
    <xf numFmtId="0" fontId="15" fillId="3" borderId="0" xfId="0" applyFont="1" applyFill="1" applyAlignment="1">
      <alignment horizontal="center"/>
    </xf>
    <xf numFmtId="2" fontId="15" fillId="3" borderId="0" xfId="0" applyNumberFormat="1" applyFont="1" applyFill="1" applyAlignment="1">
      <alignment horizontal="center"/>
    </xf>
    <xf numFmtId="14" fontId="5" fillId="3" borderId="0" xfId="0" applyNumberFormat="1" applyFont="1" applyFill="1" applyAlignment="1">
      <alignment horizontal="center"/>
    </xf>
    <xf numFmtId="39" fontId="5" fillId="3" borderId="0" xfId="0" applyNumberFormat="1" applyFont="1" applyFill="1" applyAlignment="1" applyProtection="1">
      <alignment horizontal="center"/>
    </xf>
    <xf numFmtId="39" fontId="5" fillId="2" borderId="0" xfId="0" applyNumberFormat="1" applyFont="1" applyFill="1" applyAlignment="1" applyProtection="1">
      <alignment horizontal="center"/>
    </xf>
    <xf numFmtId="8" fontId="15" fillId="3" borderId="0" xfId="0" applyNumberFormat="1" applyFont="1" applyFill="1" applyAlignment="1">
      <alignment horizontal="center"/>
    </xf>
    <xf numFmtId="7" fontId="10" fillId="3" borderId="0" xfId="0" applyNumberFormat="1" applyFont="1" applyFill="1" applyAlignment="1" applyProtection="1">
      <alignment horizontal="center"/>
    </xf>
    <xf numFmtId="7" fontId="10" fillId="2" borderId="0" xfId="0" applyNumberFormat="1" applyFont="1" applyFill="1" applyAlignment="1" applyProtection="1">
      <alignment horizontal="center"/>
    </xf>
    <xf numFmtId="8" fontId="10" fillId="3" borderId="0" xfId="0" applyNumberFormat="1" applyFont="1" applyFill="1" applyAlignment="1">
      <alignment horizontal="center"/>
    </xf>
    <xf numFmtId="37" fontId="5" fillId="3" borderId="0" xfId="0" applyNumberFormat="1" applyFont="1" applyFill="1" applyAlignment="1">
      <alignment horizontal="center"/>
    </xf>
    <xf numFmtId="9" fontId="5" fillId="3" borderId="0" xfId="0" applyNumberFormat="1" applyFont="1" applyFill="1" applyAlignment="1">
      <alignment horizontal="center"/>
    </xf>
    <xf numFmtId="0" fontId="5" fillId="3" borderId="0" xfId="0" quotePrefix="1" applyFont="1" applyFill="1"/>
    <xf numFmtId="5" fontId="10" fillId="3" borderId="0" xfId="0" applyNumberFormat="1" applyFont="1" applyFill="1" applyAlignment="1">
      <alignment horizontal="left"/>
    </xf>
    <xf numFmtId="167" fontId="5" fillId="3" borderId="0" xfId="0" applyNumberFormat="1" applyFont="1" applyFill="1" applyAlignment="1" applyProtection="1">
      <alignment horizontal="center"/>
    </xf>
    <xf numFmtId="167" fontId="5" fillId="2" borderId="0" xfId="0" applyNumberFormat="1" applyFont="1" applyFill="1" applyAlignment="1" applyProtection="1">
      <alignment horizontal="center"/>
    </xf>
    <xf numFmtId="0" fontId="5" fillId="3" borderId="0" xfId="0" applyFont="1" applyFill="1" applyBorder="1"/>
    <xf numFmtId="0" fontId="14" fillId="3" borderId="0" xfId="0" applyFont="1" applyFill="1"/>
    <xf numFmtId="8" fontId="5" fillId="3" borderId="0" xfId="0" applyNumberFormat="1" applyFont="1" applyFill="1"/>
    <xf numFmtId="5" fontId="5" fillId="3" borderId="0" xfId="0" applyNumberFormat="1" applyFont="1" applyFill="1" applyAlignment="1">
      <alignment horizontal="left" indent="1"/>
    </xf>
    <xf numFmtId="8" fontId="5" fillId="3" borderId="0" xfId="0" applyNumberFormat="1" applyFont="1" applyFill="1" applyAlignment="1">
      <alignment horizontal="center"/>
    </xf>
    <xf numFmtId="0" fontId="5" fillId="3" borderId="0" xfId="0" applyFont="1" applyFill="1" applyBorder="1" applyAlignment="1">
      <alignment horizontal="left"/>
    </xf>
    <xf numFmtId="0" fontId="59" fillId="3" borderId="0" xfId="0" applyFont="1" applyFill="1" applyBorder="1" applyAlignment="1">
      <alignment horizontal="left"/>
    </xf>
    <xf numFmtId="5" fontId="10" fillId="3" borderId="0" xfId="0" applyNumberFormat="1" applyFont="1" applyFill="1" applyAlignment="1">
      <alignment horizontal="left" indent="1"/>
    </xf>
    <xf numFmtId="7" fontId="5" fillId="3" borderId="0" xfId="0" applyNumberFormat="1" applyFont="1" applyFill="1"/>
    <xf numFmtId="177" fontId="5" fillId="3" borderId="0" xfId="12" applyNumberFormat="1" applyFont="1" applyFill="1" applyAlignment="1">
      <alignment horizontal="center"/>
    </xf>
    <xf numFmtId="9" fontId="5" fillId="3" borderId="0" xfId="37" applyFont="1" applyFill="1" applyAlignment="1">
      <alignment horizontal="center"/>
    </xf>
    <xf numFmtId="166" fontId="5" fillId="3" borderId="0" xfId="37" applyNumberFormat="1" applyFont="1" applyFill="1" applyAlignment="1">
      <alignment horizontal="center"/>
    </xf>
    <xf numFmtId="166" fontId="5" fillId="3" borderId="0" xfId="37" applyNumberFormat="1" applyFont="1" applyFill="1" applyAlignment="1" applyProtection="1">
      <alignment horizontal="center"/>
    </xf>
    <xf numFmtId="166" fontId="5" fillId="0" borderId="13" xfId="37" applyNumberFormat="1" applyFont="1" applyBorder="1"/>
    <xf numFmtId="195" fontId="20" fillId="0" borderId="14" xfId="17" applyNumberFormat="1" applyFont="1" applyFill="1" applyBorder="1" applyAlignment="1">
      <alignment horizontal="center"/>
    </xf>
    <xf numFmtId="9" fontId="9" fillId="0" borderId="0" xfId="37" applyFont="1" applyBorder="1" applyProtection="1"/>
    <xf numFmtId="44" fontId="0" fillId="0" borderId="0" xfId="0" applyNumberFormat="1"/>
    <xf numFmtId="180" fontId="11" fillId="0" borderId="4" xfId="0" applyNumberFormat="1" applyFont="1" applyBorder="1" applyAlignment="1">
      <alignment horizontal="center"/>
    </xf>
    <xf numFmtId="190" fontId="11" fillId="0" borderId="4" xfId="0" applyNumberFormat="1" applyFont="1" applyBorder="1"/>
    <xf numFmtId="180" fontId="11" fillId="0" borderId="4" xfId="0" applyNumberFormat="1" applyFont="1" applyBorder="1"/>
    <xf numFmtId="9" fontId="0" fillId="0" borderId="0" xfId="37" applyFont="1"/>
    <xf numFmtId="0" fontId="66" fillId="0" borderId="0" xfId="0" applyFont="1"/>
    <xf numFmtId="0" fontId="104" fillId="0" borderId="0" xfId="0" applyFont="1"/>
    <xf numFmtId="264" fontId="5" fillId="0" borderId="0" xfId="0" applyNumberFormat="1" applyFont="1"/>
    <xf numFmtId="0" fontId="5" fillId="0" borderId="0" xfId="0" applyFont="1" applyAlignment="1">
      <alignment horizontal="left" indent="1"/>
    </xf>
    <xf numFmtId="44" fontId="5" fillId="0" borderId="5" xfId="0" applyNumberFormat="1" applyFont="1" applyBorder="1"/>
    <xf numFmtId="166" fontId="5" fillId="0" borderId="0" xfId="37" applyNumberFormat="1" applyFont="1" applyAlignment="1">
      <alignment horizontal="right"/>
    </xf>
    <xf numFmtId="0" fontId="10" fillId="0" borderId="0" xfId="19" applyFont="1" applyFill="1" applyAlignment="1">
      <alignment horizontal="right"/>
    </xf>
    <xf numFmtId="0" fontId="10" fillId="4" borderId="16" xfId="19" applyFont="1" applyFill="1" applyBorder="1" applyAlignment="1">
      <alignment horizontal="left" indent="1"/>
    </xf>
    <xf numFmtId="0" fontId="59" fillId="0" borderId="0" xfId="19" applyFont="1" applyBorder="1" applyAlignment="1">
      <alignment horizontal="center"/>
    </xf>
    <xf numFmtId="0" fontId="5" fillId="0" borderId="0" xfId="19" applyFont="1" applyBorder="1" applyAlignment="1">
      <alignment horizontal="center"/>
    </xf>
    <xf numFmtId="167" fontId="5" fillId="0" borderId="0" xfId="0" applyNumberFormat="1" applyFont="1" applyFill="1"/>
    <xf numFmtId="264" fontId="5" fillId="0" borderId="0" xfId="0" applyNumberFormat="1" applyFont="1" applyFill="1"/>
    <xf numFmtId="166" fontId="59" fillId="0" borderId="0" xfId="37" applyNumberFormat="1" applyFont="1" applyFill="1" applyBorder="1"/>
    <xf numFmtId="0" fontId="105" fillId="9" borderId="0" xfId="0" applyFont="1" applyFill="1"/>
    <xf numFmtId="193" fontId="14" fillId="0" borderId="0" xfId="0" applyNumberFormat="1" applyFont="1" applyFill="1" applyAlignment="1">
      <alignment horizontal="left"/>
    </xf>
    <xf numFmtId="247" fontId="11" fillId="0" borderId="0" xfId="11" applyNumberFormat="1" applyFont="1" applyFill="1" applyBorder="1" applyAlignment="1">
      <alignment horizontal="right"/>
    </xf>
    <xf numFmtId="188" fontId="1" fillId="0" borderId="0" xfId="37" applyNumberFormat="1" applyFont="1" applyFill="1" applyBorder="1" applyAlignment="1">
      <alignment horizontal="right"/>
    </xf>
    <xf numFmtId="166" fontId="1" fillId="0" borderId="0" xfId="37" applyNumberFormat="1" applyFont="1" applyFill="1" applyAlignment="1">
      <alignment horizontal="right"/>
    </xf>
    <xf numFmtId="247" fontId="66" fillId="0" borderId="0" xfId="24" applyNumberFormat="1" applyFont="1" applyFill="1" applyBorder="1" applyAlignment="1">
      <alignment horizontal="right"/>
    </xf>
    <xf numFmtId="253" fontId="11" fillId="0" borderId="5" xfId="24" applyNumberFormat="1" applyFont="1" applyFill="1" applyBorder="1" applyAlignment="1">
      <alignment horizontal="right"/>
    </xf>
    <xf numFmtId="247" fontId="66" fillId="0" borderId="13" xfId="11" applyNumberFormat="1" applyFont="1" applyFill="1" applyBorder="1" applyAlignment="1">
      <alignment horizontal="right"/>
    </xf>
    <xf numFmtId="247" fontId="66" fillId="0" borderId="15" xfId="11" applyNumberFormat="1" applyFont="1" applyFill="1" applyBorder="1" applyAlignment="1">
      <alignment horizontal="right"/>
    </xf>
    <xf numFmtId="247" fontId="66" fillId="0" borderId="14" xfId="11" applyNumberFormat="1" applyFont="1" applyFill="1" applyBorder="1" applyAlignment="1">
      <alignment horizontal="right"/>
    </xf>
    <xf numFmtId="193" fontId="28" fillId="0" borderId="6" xfId="22" applyNumberFormat="1" applyFont="1" applyBorder="1" applyAlignment="1">
      <alignment horizontal="centerContinuous"/>
    </xf>
    <xf numFmtId="6" fontId="17" fillId="0" borderId="0" xfId="0" applyNumberFormat="1" applyFont="1" applyFill="1" applyBorder="1"/>
    <xf numFmtId="188" fontId="9" fillId="0" borderId="0" xfId="35" applyNumberFormat="1" applyFont="1" applyFill="1" applyBorder="1" applyProtection="1"/>
    <xf numFmtId="166" fontId="9" fillId="0" borderId="15" xfId="37" applyNumberFormat="1" applyFont="1" applyBorder="1"/>
    <xf numFmtId="175" fontId="9" fillId="0" borderId="15" xfId="7" applyNumberFormat="1" applyFont="1" applyFill="1" applyBorder="1"/>
    <xf numFmtId="5" fontId="11" fillId="0" borderId="15" xfId="34" applyNumberFormat="1" applyFont="1" applyBorder="1" applyProtection="1"/>
    <xf numFmtId="166" fontId="9" fillId="0" borderId="15" xfId="34" applyNumberFormat="1" applyFont="1" applyBorder="1" applyProtection="1"/>
    <xf numFmtId="175" fontId="9" fillId="0" borderId="15" xfId="7" applyNumberFormat="1" applyFont="1" applyBorder="1" applyProtection="1"/>
    <xf numFmtId="178" fontId="9" fillId="0" borderId="15" xfId="34" applyNumberFormat="1" applyFont="1" applyBorder="1" applyProtection="1"/>
    <xf numFmtId="183" fontId="9" fillId="0" borderId="15" xfId="34" applyNumberFormat="1" applyFont="1" applyBorder="1" applyProtection="1"/>
    <xf numFmtId="1" fontId="9" fillId="0" borderId="15" xfId="34" applyNumberFormat="1" applyFont="1" applyBorder="1" applyProtection="1"/>
    <xf numFmtId="184" fontId="9" fillId="0" borderId="15" xfId="34" applyNumberFormat="1" applyFont="1" applyBorder="1" applyProtection="1"/>
    <xf numFmtId="188" fontId="9" fillId="0" borderId="15" xfId="35" applyNumberFormat="1" applyFont="1" applyBorder="1" applyProtection="1"/>
    <xf numFmtId="191" fontId="9" fillId="0" borderId="15" xfId="34" applyNumberFormat="1" applyFont="1" applyBorder="1" applyProtection="1"/>
    <xf numFmtId="191" fontId="9" fillId="0" borderId="15" xfId="34" applyNumberFormat="1" applyFont="1" applyFill="1" applyBorder="1" applyProtection="1"/>
    <xf numFmtId="37" fontId="9" fillId="0" borderId="15" xfId="34" applyNumberFormat="1" applyFont="1" applyBorder="1" applyProtection="1"/>
    <xf numFmtId="5" fontId="9" fillId="0" borderId="15" xfId="34" applyNumberFormat="1" applyFont="1" applyFill="1" applyBorder="1" applyProtection="1"/>
    <xf numFmtId="6" fontId="9" fillId="0" borderId="15" xfId="12" applyNumberFormat="1" applyFont="1" applyBorder="1"/>
    <xf numFmtId="178" fontId="11" fillId="0" borderId="6" xfId="34" applyFont="1" applyBorder="1" applyAlignment="1" applyProtection="1">
      <alignment horizontal="center"/>
    </xf>
    <xf numFmtId="178" fontId="11" fillId="0" borderId="13" xfId="34" applyFont="1" applyBorder="1"/>
    <xf numFmtId="167" fontId="9" fillId="0" borderId="8" xfId="34" applyNumberFormat="1" applyFont="1" applyBorder="1" applyProtection="1"/>
    <xf numFmtId="178" fontId="9" fillId="0" borderId="15" xfId="34" applyFont="1" applyBorder="1" applyAlignment="1" applyProtection="1">
      <alignment horizontal="left"/>
    </xf>
    <xf numFmtId="178" fontId="9" fillId="0" borderId="14" xfId="34" applyFont="1" applyBorder="1"/>
    <xf numFmtId="6" fontId="9" fillId="0" borderId="0" xfId="12" applyNumberFormat="1" applyFont="1" applyFill="1" applyBorder="1"/>
    <xf numFmtId="178" fontId="9" fillId="0" borderId="6" xfId="34" applyFont="1" applyBorder="1"/>
    <xf numFmtId="178" fontId="9" fillId="0" borderId="13" xfId="34" applyFont="1" applyBorder="1"/>
    <xf numFmtId="178" fontId="11" fillId="0" borderId="9" xfId="34" applyNumberFormat="1" applyFont="1" applyBorder="1" applyAlignment="1" applyProtection="1">
      <alignment horizontal="center"/>
    </xf>
    <xf numFmtId="178" fontId="9" fillId="0" borderId="8" xfId="34" applyFont="1" applyFill="1" applyBorder="1"/>
    <xf numFmtId="178" fontId="9" fillId="0" borderId="6" xfId="34" applyFont="1" applyFill="1" applyBorder="1"/>
    <xf numFmtId="178" fontId="9" fillId="0" borderId="13" xfId="34" applyFont="1" applyFill="1" applyBorder="1"/>
    <xf numFmtId="178" fontId="9" fillId="0" borderId="15" xfId="34" applyFont="1" applyFill="1" applyBorder="1"/>
    <xf numFmtId="178" fontId="9" fillId="0" borderId="15" xfId="34" applyFont="1" applyFill="1" applyBorder="1" applyAlignment="1" applyProtection="1">
      <alignment horizontal="left"/>
    </xf>
    <xf numFmtId="167" fontId="9" fillId="0" borderId="8" xfId="34" applyNumberFormat="1" applyFont="1" applyFill="1" applyBorder="1" applyProtection="1"/>
    <xf numFmtId="37" fontId="9" fillId="0" borderId="8" xfId="34" applyNumberFormat="1" applyFont="1" applyFill="1" applyBorder="1" applyProtection="1"/>
    <xf numFmtId="37" fontId="9" fillId="0" borderId="15" xfId="34" applyNumberFormat="1" applyFont="1" applyFill="1" applyBorder="1" applyProtection="1"/>
    <xf numFmtId="165" fontId="0" fillId="0" borderId="0" xfId="0" applyNumberFormat="1"/>
    <xf numFmtId="166" fontId="101" fillId="0" borderId="0" xfId="37" applyNumberFormat="1" applyFont="1" applyFill="1" applyBorder="1"/>
    <xf numFmtId="0" fontId="11" fillId="0" borderId="8" xfId="0" applyFont="1" applyFill="1" applyBorder="1"/>
    <xf numFmtId="211" fontId="100" fillId="0" borderId="0" xfId="7" applyNumberFormat="1" applyFont="1" applyBorder="1"/>
    <xf numFmtId="8" fontId="17" fillId="3" borderId="0" xfId="0" applyNumberFormat="1" applyFont="1" applyFill="1" applyAlignment="1">
      <alignment horizontal="center"/>
    </xf>
    <xf numFmtId="6" fontId="25" fillId="0" borderId="0" xfId="0" applyNumberFormat="1" applyFont="1" applyBorder="1"/>
    <xf numFmtId="5" fontId="132" fillId="2" borderId="0" xfId="0" applyNumberFormat="1" applyFont="1" applyFill="1" applyAlignment="1" applyProtection="1">
      <alignment horizontal="center"/>
    </xf>
    <xf numFmtId="7" fontId="132" fillId="2" borderId="0" xfId="0" applyNumberFormat="1" applyFont="1" applyFill="1" applyAlignment="1" applyProtection="1">
      <alignment horizontal="center"/>
    </xf>
    <xf numFmtId="188" fontId="133" fillId="2" borderId="0" xfId="0" applyNumberFormat="1" applyFont="1" applyFill="1" applyAlignment="1" applyProtection="1">
      <alignment horizontal="center"/>
    </xf>
    <xf numFmtId="6" fontId="134" fillId="0" borderId="0" xfId="0" applyNumberFormat="1" applyFont="1" applyBorder="1"/>
    <xf numFmtId="6" fontId="134" fillId="0" borderId="0" xfId="0" applyNumberFormat="1" applyFont="1" applyFill="1" applyBorder="1"/>
    <xf numFmtId="0" fontId="96" fillId="0" borderId="0" xfId="0" applyFont="1" applyAlignment="1">
      <alignment horizontal="center"/>
    </xf>
    <xf numFmtId="195" fontId="96" fillId="0" borderId="4" xfId="0" applyNumberFormat="1" applyFont="1" applyBorder="1" applyAlignment="1">
      <alignment horizontal="centerContinuous"/>
    </xf>
    <xf numFmtId="0" fontId="96" fillId="0" borderId="4" xfId="0" applyFont="1" applyBorder="1" applyAlignment="1">
      <alignment horizontal="centerContinuous"/>
    </xf>
    <xf numFmtId="167" fontId="0" fillId="0" borderId="0" xfId="0" applyNumberFormat="1" applyAlignment="1">
      <alignment horizontal="center"/>
    </xf>
    <xf numFmtId="37" fontId="20" fillId="0" borderId="0" xfId="0" applyNumberFormat="1" applyFont="1" applyAlignment="1">
      <alignment horizontal="center"/>
    </xf>
    <xf numFmtId="167" fontId="83" fillId="0" borderId="0" xfId="0" applyNumberFormat="1" applyFont="1" applyBorder="1" applyAlignment="1">
      <alignment horizontal="center"/>
    </xf>
    <xf numFmtId="167" fontId="26" fillId="0" borderId="0" xfId="0" applyNumberFormat="1" applyFont="1" applyAlignment="1">
      <alignment horizontal="center"/>
    </xf>
    <xf numFmtId="37" fontId="26" fillId="0" borderId="0" xfId="0" applyNumberFormat="1" applyFont="1" applyAlignment="1">
      <alignment horizontal="center"/>
    </xf>
    <xf numFmtId="0" fontId="0" fillId="0" borderId="0" xfId="0" applyAlignment="1">
      <alignment horizontal="center"/>
    </xf>
    <xf numFmtId="167" fontId="12" fillId="0" borderId="0" xfId="0" applyNumberFormat="1" applyFont="1" applyBorder="1" applyAlignment="1">
      <alignment horizontal="center"/>
    </xf>
    <xf numFmtId="167" fontId="12" fillId="0" borderId="0" xfId="0" applyNumberFormat="1" applyFont="1" applyAlignment="1">
      <alignment horizontal="center"/>
    </xf>
    <xf numFmtId="167" fontId="9" fillId="0" borderId="0" xfId="0" applyNumberFormat="1" applyFont="1" applyAlignment="1">
      <alignment horizontal="center"/>
    </xf>
    <xf numFmtId="37" fontId="26" fillId="0" borderId="0" xfId="0" applyNumberFormat="1" applyFont="1" applyBorder="1" applyAlignment="1">
      <alignment horizontal="center"/>
    </xf>
    <xf numFmtId="165" fontId="0" fillId="0" borderId="0" xfId="0" applyNumberFormat="1" applyBorder="1" applyAlignment="1">
      <alignment horizontal="center"/>
    </xf>
    <xf numFmtId="167" fontId="26" fillId="0" borderId="0" xfId="13" applyNumberFormat="1" applyFont="1" applyAlignment="1">
      <alignment horizontal="center"/>
    </xf>
    <xf numFmtId="263" fontId="26" fillId="0" borderId="0" xfId="13" applyNumberFormat="1" applyFont="1"/>
    <xf numFmtId="166" fontId="12" fillId="0" borderId="0" xfId="37" applyNumberFormat="1" applyFont="1" applyAlignment="1">
      <alignment horizontal="center"/>
    </xf>
    <xf numFmtId="1" fontId="12" fillId="0" borderId="0" xfId="0" applyNumberFormat="1" applyFont="1" applyBorder="1" applyAlignment="1">
      <alignment horizontal="center"/>
    </xf>
    <xf numFmtId="1" fontId="12" fillId="0" borderId="0" xfId="0" applyNumberFormat="1" applyFont="1" applyAlignment="1">
      <alignment horizontal="center"/>
    </xf>
    <xf numFmtId="0" fontId="47" fillId="0" borderId="28" xfId="0" applyFont="1" applyBorder="1"/>
    <xf numFmtId="44" fontId="11" fillId="0" borderId="31" xfId="13" applyNumberFormat="1" applyFont="1" applyBorder="1" applyAlignment="1">
      <alignment horizontal="center"/>
    </xf>
    <xf numFmtId="44" fontId="0" fillId="0" borderId="31" xfId="13" applyNumberFormat="1" applyFont="1" applyBorder="1" applyAlignment="1">
      <alignment horizontal="center"/>
    </xf>
    <xf numFmtId="167" fontId="9" fillId="0" borderId="0" xfId="15" applyNumberFormat="1" applyFont="1" applyAlignment="1">
      <alignment horizontal="center"/>
    </xf>
    <xf numFmtId="0" fontId="11" fillId="0" borderId="12" xfId="0" applyFont="1" applyBorder="1" applyAlignment="1">
      <alignment horizontal="center"/>
    </xf>
    <xf numFmtId="0" fontId="40" fillId="0" borderId="0" xfId="21" applyFont="1" applyAlignment="1">
      <alignment horizontal="left"/>
    </xf>
    <xf numFmtId="0" fontId="40" fillId="0" borderId="0" xfId="21" applyFont="1"/>
    <xf numFmtId="0" fontId="40" fillId="0" borderId="0" xfId="21" applyFont="1" applyBorder="1"/>
    <xf numFmtId="166" fontId="40" fillId="0" borderId="0" xfId="21" applyNumberFormat="1" applyFont="1"/>
    <xf numFmtId="0" fontId="20" fillId="0" borderId="4" xfId="21" applyFont="1" applyBorder="1"/>
    <xf numFmtId="0" fontId="40" fillId="0" borderId="4" xfId="21" applyFont="1" applyBorder="1" applyAlignment="1">
      <alignment horizontal="left"/>
    </xf>
    <xf numFmtId="0" fontId="40" fillId="0" borderId="4" xfId="21" applyFont="1" applyBorder="1"/>
    <xf numFmtId="0" fontId="107" fillId="0" borderId="4" xfId="21" applyFont="1" applyBorder="1" applyAlignment="1"/>
    <xf numFmtId="0" fontId="107" fillId="0" borderId="0" xfId="21" applyFont="1" applyBorder="1" applyAlignment="1"/>
    <xf numFmtId="0" fontId="107" fillId="0" borderId="4" xfId="21" applyFont="1" applyBorder="1" applyAlignment="1">
      <alignment horizontal="centerContinuous"/>
    </xf>
    <xf numFmtId="0" fontId="107" fillId="0" borderId="0" xfId="21" applyFont="1" applyBorder="1" applyAlignment="1">
      <alignment horizontal="centerContinuous"/>
    </xf>
    <xf numFmtId="0" fontId="107" fillId="0" borderId="4" xfId="21" applyFont="1" applyBorder="1" applyAlignment="1">
      <alignment horizontal="center"/>
    </xf>
    <xf numFmtId="0" fontId="107" fillId="0" borderId="0" xfId="21" applyFont="1" applyBorder="1" applyAlignment="1">
      <alignment horizontal="center"/>
    </xf>
    <xf numFmtId="0" fontId="40" fillId="0" borderId="0" xfId="21" applyNumberFormat="1" applyFont="1" applyBorder="1"/>
    <xf numFmtId="0" fontId="40" fillId="0" borderId="0" xfId="37" quotePrefix="1" applyNumberFormat="1" applyFont="1" applyBorder="1" applyAlignment="1">
      <alignment horizontal="centerContinuous"/>
    </xf>
    <xf numFmtId="0" fontId="20" fillId="0" borderId="4" xfId="37" applyNumberFormat="1" applyFont="1" applyBorder="1" applyAlignment="1">
      <alignment horizontal="centerContinuous"/>
    </xf>
    <xf numFmtId="0" fontId="40" fillId="0" borderId="4" xfId="37" applyNumberFormat="1" applyFont="1" applyBorder="1" applyAlignment="1">
      <alignment horizontal="centerContinuous"/>
    </xf>
    <xf numFmtId="0" fontId="40" fillId="0" borderId="0" xfId="37" applyNumberFormat="1" applyFont="1" applyBorder="1" applyAlignment="1">
      <alignment horizontal="centerContinuous"/>
    </xf>
    <xf numFmtId="0" fontId="11" fillId="0" borderId="4" xfId="37" applyNumberFormat="1" applyFont="1" applyBorder="1" applyAlignment="1">
      <alignment horizontal="centerContinuous"/>
    </xf>
    <xf numFmtId="0" fontId="9" fillId="0" borderId="4" xfId="37" applyNumberFormat="1" applyFont="1" applyBorder="1" applyAlignment="1">
      <alignment horizontal="centerContinuous"/>
    </xf>
    <xf numFmtId="0" fontId="40" fillId="0" borderId="0" xfId="21" applyNumberFormat="1" applyFont="1"/>
    <xf numFmtId="0" fontId="40" fillId="0" borderId="5" xfId="21" applyNumberFormat="1" applyFont="1" applyBorder="1"/>
    <xf numFmtId="0" fontId="11" fillId="0" borderId="5" xfId="37" applyNumberFormat="1" applyFont="1" applyBorder="1" applyAlignment="1">
      <alignment horizontal="centerContinuous"/>
    </xf>
    <xf numFmtId="0" fontId="9" fillId="0" borderId="0" xfId="37" applyNumberFormat="1" applyFont="1" applyBorder="1" applyAlignment="1">
      <alignment horizontal="centerContinuous"/>
    </xf>
    <xf numFmtId="0" fontId="20" fillId="0" borderId="0" xfId="37" applyNumberFormat="1" applyFont="1" applyBorder="1" applyAlignment="1">
      <alignment horizontal="center"/>
    </xf>
    <xf numFmtId="0" fontId="107" fillId="0" borderId="5" xfId="45" applyNumberFormat="1" applyFont="1" applyBorder="1" applyAlignment="1">
      <alignment horizontal="center"/>
    </xf>
    <xf numFmtId="0" fontId="11" fillId="0" borderId="5" xfId="45" applyNumberFormat="1" applyFont="1" applyBorder="1" applyAlignment="1">
      <alignment horizontal="center"/>
    </xf>
    <xf numFmtId="0" fontId="11" fillId="0" borderId="7" xfId="45" applyNumberFormat="1" applyFont="1" applyBorder="1" applyAlignment="1">
      <alignment horizontal="center"/>
    </xf>
    <xf numFmtId="0" fontId="11" fillId="0" borderId="11" xfId="45" applyNumberFormat="1" applyFont="1" applyBorder="1" applyAlignment="1">
      <alignment horizontal="center"/>
    </xf>
    <xf numFmtId="0" fontId="11" fillId="0" borderId="12" xfId="45" applyNumberFormat="1" applyFont="1" applyBorder="1" applyAlignment="1">
      <alignment horizontal="center"/>
    </xf>
    <xf numFmtId="0" fontId="20" fillId="0" borderId="12" xfId="45" applyNumberFormat="1" applyFont="1" applyBorder="1" applyAlignment="1">
      <alignment horizontal="center"/>
    </xf>
    <xf numFmtId="0" fontId="20" fillId="0" borderId="13" xfId="45" applyNumberFormat="1" applyFont="1" applyBorder="1" applyAlignment="1">
      <alignment horizontal="center"/>
    </xf>
    <xf numFmtId="0" fontId="106" fillId="0" borderId="0" xfId="21" applyFont="1"/>
    <xf numFmtId="169" fontId="106" fillId="0" borderId="0" xfId="45" applyFont="1" applyAlignment="1">
      <alignment horizontal="center"/>
    </xf>
    <xf numFmtId="169" fontId="23" fillId="0" borderId="0" xfId="45" applyFont="1" applyAlignment="1">
      <alignment horizontal="center"/>
    </xf>
    <xf numFmtId="169" fontId="58" fillId="0" borderId="0" xfId="45" applyFont="1" applyAlignment="1">
      <alignment horizontal="center"/>
    </xf>
    <xf numFmtId="0" fontId="106" fillId="0" borderId="0" xfId="21" applyFont="1" applyAlignment="1">
      <alignment horizontal="center"/>
    </xf>
    <xf numFmtId="0" fontId="58" fillId="0" borderId="0" xfId="21" applyFont="1" applyAlignment="1">
      <alignment horizontal="center"/>
    </xf>
    <xf numFmtId="0" fontId="106" fillId="0" borderId="0" xfId="21" applyFont="1" applyBorder="1" applyAlignment="1">
      <alignment horizontal="center"/>
    </xf>
    <xf numFmtId="169" fontId="23" fillId="0" borderId="0" xfId="45" applyFont="1" applyBorder="1" applyAlignment="1">
      <alignment horizontal="center"/>
    </xf>
    <xf numFmtId="169" fontId="58" fillId="0" borderId="0" xfId="45" applyFont="1" applyBorder="1" applyAlignment="1">
      <alignment horizontal="center"/>
    </xf>
    <xf numFmtId="169" fontId="58" fillId="0" borderId="12" xfId="45" applyFont="1" applyBorder="1" applyAlignment="1">
      <alignment horizontal="center"/>
    </xf>
    <xf numFmtId="169" fontId="23" fillId="0" borderId="12" xfId="45" applyFont="1" applyBorder="1" applyAlignment="1">
      <alignment horizontal="center"/>
    </xf>
    <xf numFmtId="169" fontId="106" fillId="0" borderId="0" xfId="45" applyFont="1" applyBorder="1" applyAlignment="1">
      <alignment horizontal="center"/>
    </xf>
    <xf numFmtId="169" fontId="58" fillId="0" borderId="8" xfId="45" applyFont="1" applyBorder="1" applyAlignment="1">
      <alignment horizontal="center"/>
    </xf>
    <xf numFmtId="169" fontId="23" fillId="0" borderId="15" xfId="45" applyFont="1" applyBorder="1" applyAlignment="1">
      <alignment horizontal="center"/>
    </xf>
    <xf numFmtId="169" fontId="108" fillId="0" borderId="0" xfId="45" applyFont="1" applyAlignment="1">
      <alignment horizontal="center"/>
    </xf>
    <xf numFmtId="0" fontId="108" fillId="0" borderId="0" xfId="21" applyFont="1" applyAlignment="1">
      <alignment horizontal="center"/>
    </xf>
    <xf numFmtId="169" fontId="109" fillId="0" borderId="0" xfId="45" applyFont="1" applyAlignment="1">
      <alignment horizontal="center"/>
    </xf>
    <xf numFmtId="169" fontId="109" fillId="0" borderId="0" xfId="45" applyFont="1" applyBorder="1" applyAlignment="1">
      <alignment horizontal="center"/>
    </xf>
    <xf numFmtId="0" fontId="108" fillId="0" borderId="0" xfId="21" applyFont="1" applyBorder="1" applyAlignment="1">
      <alignment horizontal="center"/>
    </xf>
    <xf numFmtId="0" fontId="40" fillId="0" borderId="8" xfId="21" applyFont="1" applyBorder="1"/>
    <xf numFmtId="0" fontId="40" fillId="0" borderId="15" xfId="21" applyFont="1" applyBorder="1"/>
    <xf numFmtId="5" fontId="40" fillId="0" borderId="0" xfId="21" applyNumberFormat="1" applyFont="1"/>
    <xf numFmtId="5" fontId="40" fillId="0" borderId="0" xfId="21" applyNumberFormat="1" applyFont="1" applyAlignment="1">
      <alignment horizontal="right"/>
    </xf>
    <xf numFmtId="5" fontId="40" fillId="0" borderId="0" xfId="21" applyNumberFormat="1" applyFont="1" applyBorder="1" applyAlignment="1">
      <alignment horizontal="right"/>
    </xf>
    <xf numFmtId="5" fontId="40" fillId="0" borderId="8" xfId="21" applyNumberFormat="1" applyFont="1" applyBorder="1" applyAlignment="1">
      <alignment horizontal="right"/>
    </xf>
    <xf numFmtId="5" fontId="40" fillId="0" borderId="15" xfId="21" applyNumberFormat="1" applyFont="1" applyBorder="1" applyAlignment="1">
      <alignment horizontal="right"/>
    </xf>
    <xf numFmtId="187" fontId="40" fillId="0" borderId="0" xfId="21" applyNumberFormat="1" applyFont="1" applyAlignment="1">
      <alignment horizontal="right"/>
    </xf>
    <xf numFmtId="187" fontId="40" fillId="0" borderId="0" xfId="21" applyNumberFormat="1" applyFont="1" applyBorder="1" applyAlignment="1">
      <alignment horizontal="right"/>
    </xf>
    <xf numFmtId="37" fontId="40" fillId="0" borderId="0" xfId="21" applyNumberFormat="1" applyFont="1"/>
    <xf numFmtId="37" fontId="40" fillId="0" borderId="0" xfId="21" applyNumberFormat="1" applyFont="1" applyAlignment="1">
      <alignment horizontal="center"/>
    </xf>
    <xf numFmtId="37" fontId="40" fillId="0" borderId="0" xfId="21" applyNumberFormat="1" applyFont="1" applyBorder="1"/>
    <xf numFmtId="37" fontId="40" fillId="0" borderId="8" xfId="21" applyNumberFormat="1" applyFont="1" applyBorder="1"/>
    <xf numFmtId="37" fontId="40" fillId="0" borderId="15" xfId="21" applyNumberFormat="1" applyFont="1" applyBorder="1"/>
    <xf numFmtId="37" fontId="9" fillId="0" borderId="0" xfId="0" applyNumberFormat="1" applyFont="1"/>
    <xf numFmtId="37" fontId="9" fillId="0" borderId="0" xfId="21" applyNumberFormat="1" applyFont="1"/>
    <xf numFmtId="37" fontId="9" fillId="0" borderId="0" xfId="21" applyNumberFormat="1" applyFont="1" applyAlignment="1">
      <alignment horizontal="center"/>
    </xf>
    <xf numFmtId="37" fontId="9" fillId="0" borderId="0" xfId="21" applyNumberFormat="1" applyFont="1" applyBorder="1"/>
    <xf numFmtId="37" fontId="9" fillId="0" borderId="8" xfId="21" applyNumberFormat="1" applyFont="1" applyBorder="1"/>
    <xf numFmtId="37" fontId="9" fillId="0" borderId="15" xfId="21" applyNumberFormat="1" applyFont="1" applyBorder="1"/>
    <xf numFmtId="0" fontId="94" fillId="0" borderId="0" xfId="0" applyFont="1"/>
    <xf numFmtId="37" fontId="110" fillId="0" borderId="0" xfId="21" applyNumberFormat="1" applyFont="1"/>
    <xf numFmtId="37" fontId="110" fillId="0" borderId="0" xfId="21" applyNumberFormat="1" applyFont="1" applyBorder="1"/>
    <xf numFmtId="37" fontId="110" fillId="0" borderId="8" xfId="21" applyNumberFormat="1" applyFont="1" applyBorder="1"/>
    <xf numFmtId="37" fontId="110" fillId="0" borderId="15" xfId="21" applyNumberFormat="1" applyFont="1" applyBorder="1"/>
    <xf numFmtId="37" fontId="40" fillId="0" borderId="0" xfId="21" applyNumberFormat="1" applyFont="1" applyFill="1"/>
    <xf numFmtId="37" fontId="40" fillId="0" borderId="0" xfId="21" applyNumberFormat="1" applyFont="1" applyFill="1" applyBorder="1"/>
    <xf numFmtId="37" fontId="40" fillId="0" borderId="8" xfId="21" applyNumberFormat="1" applyFont="1" applyFill="1" applyBorder="1"/>
    <xf numFmtId="37" fontId="40" fillId="0" borderId="15" xfId="21" applyNumberFormat="1" applyFont="1" applyFill="1" applyBorder="1"/>
    <xf numFmtId="5" fontId="40" fillId="0" borderId="0" xfId="21" applyNumberFormat="1" applyFont="1" applyFill="1" applyBorder="1" applyAlignment="1">
      <alignment horizontal="right"/>
    </xf>
    <xf numFmtId="5" fontId="40" fillId="0" borderId="8" xfId="21" applyNumberFormat="1" applyFont="1" applyFill="1" applyBorder="1" applyAlignment="1">
      <alignment horizontal="right"/>
    </xf>
    <xf numFmtId="5" fontId="40" fillId="0" borderId="15" xfId="21" applyNumberFormat="1" applyFont="1" applyFill="1" applyBorder="1" applyAlignment="1">
      <alignment horizontal="right"/>
    </xf>
    <xf numFmtId="2" fontId="40" fillId="0" borderId="0" xfId="21" applyNumberFormat="1" applyFont="1"/>
    <xf numFmtId="2" fontId="40" fillId="0" borderId="0" xfId="21" applyNumberFormat="1" applyFont="1" applyBorder="1"/>
    <xf numFmtId="2" fontId="40" fillId="0" borderId="8" xfId="21" applyNumberFormat="1" applyFont="1" applyBorder="1"/>
    <xf numFmtId="2" fontId="40" fillId="0" borderId="15" xfId="21" applyNumberFormat="1" applyFont="1" applyBorder="1"/>
    <xf numFmtId="5" fontId="40" fillId="0" borderId="14" xfId="21" applyNumberFormat="1" applyFont="1" applyBorder="1" applyAlignment="1">
      <alignment horizontal="right"/>
    </xf>
    <xf numFmtId="5" fontId="40" fillId="0" borderId="6" xfId="21" applyNumberFormat="1" applyFont="1" applyBorder="1"/>
    <xf numFmtId="5" fontId="40" fillId="0" borderId="5" xfId="21" applyNumberFormat="1" applyFont="1" applyBorder="1" applyAlignment="1">
      <alignment horizontal="right"/>
    </xf>
    <xf numFmtId="7" fontId="40" fillId="0" borderId="5" xfId="21" applyNumberFormat="1" applyFont="1" applyBorder="1" applyAlignment="1">
      <alignment horizontal="right"/>
    </xf>
    <xf numFmtId="240" fontId="9" fillId="0" borderId="5" xfId="21" applyNumberFormat="1" applyFont="1" applyBorder="1" applyAlignment="1">
      <alignment horizontal="right"/>
    </xf>
    <xf numFmtId="7" fontId="40" fillId="0" borderId="6" xfId="21" applyNumberFormat="1" applyFont="1" applyBorder="1" applyAlignment="1">
      <alignment horizontal="right"/>
    </xf>
    <xf numFmtId="7" fontId="40" fillId="0" borderId="7" xfId="21" applyNumberFormat="1" applyFont="1" applyBorder="1" applyAlignment="1">
      <alignment horizontal="right"/>
    </xf>
    <xf numFmtId="7" fontId="40" fillId="0" borderId="0" xfId="21" applyNumberFormat="1" applyFont="1" applyBorder="1" applyAlignment="1">
      <alignment horizontal="right"/>
    </xf>
    <xf numFmtId="5" fontId="40" fillId="0" borderId="0" xfId="21" applyNumberFormat="1" applyFont="1" applyBorder="1"/>
    <xf numFmtId="240" fontId="9" fillId="0" borderId="0" xfId="21" applyNumberFormat="1" applyFont="1" applyBorder="1" applyAlignment="1">
      <alignment horizontal="right"/>
    </xf>
    <xf numFmtId="5" fontId="40" fillId="0" borderId="12" xfId="21" applyNumberFormat="1" applyFont="1" applyBorder="1" applyAlignment="1">
      <alignment horizontal="right"/>
    </xf>
    <xf numFmtId="5" fontId="9" fillId="0" borderId="0" xfId="0" applyNumberFormat="1" applyFont="1" applyFill="1"/>
    <xf numFmtId="187" fontId="40" fillId="0" borderId="0" xfId="21" applyNumberFormat="1" applyFont="1"/>
    <xf numFmtId="240" fontId="9" fillId="0" borderId="0" xfId="21" applyNumberFormat="1" applyFont="1"/>
    <xf numFmtId="187" fontId="40" fillId="0" borderId="0" xfId="21" applyNumberFormat="1" applyFont="1" applyBorder="1"/>
    <xf numFmtId="187" fontId="40" fillId="0" borderId="4" xfId="21" applyNumberFormat="1" applyFont="1" applyBorder="1"/>
    <xf numFmtId="187" fontId="40" fillId="0" borderId="8" xfId="21" applyNumberFormat="1" applyFont="1" applyBorder="1"/>
    <xf numFmtId="187" fontId="40" fillId="0" borderId="14" xfId="21" applyNumberFormat="1" applyFont="1" applyBorder="1"/>
    <xf numFmtId="240" fontId="40" fillId="0" borderId="5" xfId="21" applyNumberFormat="1" applyFont="1" applyBorder="1" applyAlignment="1">
      <alignment horizontal="right"/>
    </xf>
    <xf numFmtId="167" fontId="40" fillId="0" borderId="0" xfId="21" applyNumberFormat="1" applyFont="1"/>
    <xf numFmtId="167" fontId="40" fillId="0" borderId="0" xfId="21" applyNumberFormat="1" applyFont="1" applyAlignment="1">
      <alignment horizontal="right"/>
    </xf>
    <xf numFmtId="167" fontId="40" fillId="0" borderId="0" xfId="21" applyNumberFormat="1" applyFont="1" applyBorder="1" applyAlignment="1">
      <alignment horizontal="right"/>
    </xf>
    <xf numFmtId="167" fontId="40" fillId="0" borderId="12" xfId="21" applyNumberFormat="1" applyFont="1" applyBorder="1" applyAlignment="1">
      <alignment horizontal="right"/>
    </xf>
    <xf numFmtId="167" fontId="40" fillId="0" borderId="8" xfId="21" applyNumberFormat="1" applyFont="1" applyBorder="1" applyAlignment="1">
      <alignment horizontal="right"/>
    </xf>
    <xf numFmtId="167" fontId="40" fillId="0" borderId="15" xfId="21" applyNumberFormat="1" applyFont="1" applyBorder="1" applyAlignment="1">
      <alignment horizontal="right"/>
    </xf>
    <xf numFmtId="167" fontId="40" fillId="0" borderId="13" xfId="21" applyNumberFormat="1" applyFont="1" applyBorder="1" applyAlignment="1">
      <alignment horizontal="right"/>
    </xf>
    <xf numFmtId="7" fontId="40" fillId="0" borderId="0" xfId="21" applyNumberFormat="1" applyFont="1"/>
    <xf numFmtId="7" fontId="40" fillId="0" borderId="0" xfId="21" applyNumberFormat="1" applyFont="1" applyBorder="1"/>
    <xf numFmtId="172" fontId="40" fillId="0" borderId="0" xfId="21" applyNumberFormat="1" applyFont="1" applyAlignment="1">
      <alignment horizontal="right"/>
    </xf>
    <xf numFmtId="166" fontId="40" fillId="0" borderId="0" xfId="21" applyNumberFormat="1" applyFont="1" applyAlignment="1">
      <alignment horizontal="right"/>
    </xf>
    <xf numFmtId="188" fontId="40" fillId="0" borderId="0" xfId="37" applyNumberFormat="1" applyFont="1" applyAlignment="1">
      <alignment horizontal="right"/>
    </xf>
    <xf numFmtId="188" fontId="40" fillId="0" borderId="0" xfId="37" applyNumberFormat="1" applyFont="1" applyBorder="1" applyAlignment="1">
      <alignment horizontal="right"/>
    </xf>
    <xf numFmtId="166" fontId="40" fillId="0" borderId="0" xfId="21" applyNumberFormat="1" applyFont="1" applyBorder="1" applyAlignment="1">
      <alignment horizontal="right"/>
    </xf>
    <xf numFmtId="166" fontId="40" fillId="0" borderId="0" xfId="37" applyNumberFormat="1" applyFont="1" applyBorder="1" applyAlignment="1">
      <alignment horizontal="right"/>
    </xf>
    <xf numFmtId="166" fontId="40" fillId="0" borderId="8" xfId="37" applyNumberFormat="1" applyFont="1" applyBorder="1" applyAlignment="1">
      <alignment horizontal="right"/>
    </xf>
    <xf numFmtId="166" fontId="40" fillId="0" borderId="15" xfId="37" applyNumberFormat="1" applyFont="1" applyBorder="1" applyAlignment="1">
      <alignment horizontal="right"/>
    </xf>
    <xf numFmtId="166" fontId="40" fillId="0" borderId="0" xfId="37" applyNumberFormat="1" applyFont="1" applyAlignment="1">
      <alignment horizontal="right"/>
    </xf>
    <xf numFmtId="167" fontId="9" fillId="0" borderId="0" xfId="21" applyNumberFormat="1" applyFont="1"/>
    <xf numFmtId="167" fontId="9" fillId="0" borderId="0" xfId="21" applyNumberFormat="1" applyFont="1" applyAlignment="1">
      <alignment horizontal="right"/>
    </xf>
    <xf numFmtId="166" fontId="9" fillId="0" borderId="0" xfId="37" applyNumberFormat="1" applyFont="1" applyAlignment="1">
      <alignment horizontal="right"/>
    </xf>
    <xf numFmtId="166" fontId="9" fillId="0" borderId="0" xfId="21" applyNumberFormat="1" applyFont="1" applyAlignment="1">
      <alignment horizontal="right"/>
    </xf>
    <xf numFmtId="188" fontId="9" fillId="0" borderId="0" xfId="37" applyNumberFormat="1" applyFont="1" applyAlignment="1">
      <alignment horizontal="right"/>
    </xf>
    <xf numFmtId="188" fontId="9" fillId="0" borderId="0" xfId="37" applyNumberFormat="1" applyFont="1" applyBorder="1" applyAlignment="1">
      <alignment horizontal="right"/>
    </xf>
    <xf numFmtId="166" fontId="9" fillId="0" borderId="8" xfId="37" applyNumberFormat="1" applyFont="1" applyBorder="1" applyAlignment="1">
      <alignment horizontal="right"/>
    </xf>
    <xf numFmtId="166" fontId="9" fillId="0" borderId="15" xfId="37" applyNumberFormat="1" applyFont="1" applyBorder="1" applyAlignment="1">
      <alignment horizontal="right"/>
    </xf>
    <xf numFmtId="166" fontId="40" fillId="0" borderId="0" xfId="21" applyNumberFormat="1" applyFont="1" applyBorder="1"/>
    <xf numFmtId="166" fontId="40" fillId="0" borderId="8" xfId="21" applyNumberFormat="1" applyFont="1" applyBorder="1"/>
    <xf numFmtId="166" fontId="40" fillId="0" borderId="15" xfId="21" applyNumberFormat="1" applyFont="1" applyBorder="1"/>
    <xf numFmtId="188" fontId="40" fillId="0" borderId="0" xfId="29" applyNumberFormat="1" applyFont="1" applyAlignment="1">
      <alignment horizontal="right"/>
    </xf>
    <xf numFmtId="166" fontId="40" fillId="0" borderId="0" xfId="29" applyNumberFormat="1" applyFont="1" applyAlignment="1">
      <alignment horizontal="right"/>
    </xf>
    <xf numFmtId="166" fontId="40" fillId="0" borderId="0" xfId="29" applyNumberFormat="1" applyFont="1" applyBorder="1" applyAlignment="1">
      <alignment horizontal="right"/>
    </xf>
    <xf numFmtId="169" fontId="40" fillId="0" borderId="0" xfId="7" applyNumberFormat="1" applyFont="1" applyAlignment="1">
      <alignment horizontal="right"/>
    </xf>
    <xf numFmtId="166" fontId="40" fillId="0" borderId="0" xfId="7" applyNumberFormat="1" applyFont="1" applyAlignment="1">
      <alignment horizontal="right"/>
    </xf>
    <xf numFmtId="188" fontId="38" fillId="0" borderId="0" xfId="37" applyNumberFormat="1" applyFont="1" applyAlignment="1">
      <alignment horizontal="right"/>
    </xf>
    <xf numFmtId="166" fontId="38" fillId="0" borderId="0" xfId="7" applyNumberFormat="1" applyFont="1" applyAlignment="1">
      <alignment horizontal="right"/>
    </xf>
    <xf numFmtId="188" fontId="38" fillId="0" borderId="0" xfId="37" applyNumberFormat="1" applyFont="1" applyBorder="1" applyAlignment="1">
      <alignment horizontal="right"/>
    </xf>
    <xf numFmtId="166" fontId="38" fillId="0" borderId="0" xfId="37" applyNumberFormat="1" applyFont="1" applyBorder="1" applyAlignment="1">
      <alignment horizontal="right"/>
    </xf>
    <xf numFmtId="188" fontId="38" fillId="0" borderId="8" xfId="37" applyNumberFormat="1" applyFont="1" applyBorder="1" applyAlignment="1">
      <alignment horizontal="right"/>
    </xf>
    <xf numFmtId="188" fontId="9" fillId="0" borderId="8" xfId="37" applyNumberFormat="1" applyFont="1" applyBorder="1" applyAlignment="1">
      <alignment horizontal="right"/>
    </xf>
    <xf numFmtId="166" fontId="76" fillId="0" borderId="0" xfId="37" applyNumberFormat="1" applyFont="1" applyBorder="1" applyAlignment="1">
      <alignment horizontal="right"/>
    </xf>
    <xf numFmtId="166" fontId="9" fillId="0" borderId="0" xfId="21" applyNumberFormat="1" applyFont="1" applyBorder="1" applyAlignment="1">
      <alignment horizontal="right"/>
    </xf>
    <xf numFmtId="241" fontId="40" fillId="0" borderId="0" xfId="37" applyNumberFormat="1" applyFont="1" applyAlignment="1">
      <alignment horizontal="right"/>
    </xf>
    <xf numFmtId="166" fontId="76" fillId="0" borderId="0" xfId="37" applyNumberFormat="1" applyFont="1" applyFill="1" applyBorder="1" applyAlignment="1">
      <alignment horizontal="right"/>
    </xf>
    <xf numFmtId="188" fontId="40" fillId="0" borderId="4" xfId="37" applyNumberFormat="1" applyFont="1" applyBorder="1" applyAlignment="1">
      <alignment horizontal="right"/>
    </xf>
    <xf numFmtId="166" fontId="76" fillId="0" borderId="4" xfId="37" applyNumberFormat="1" applyFont="1" applyBorder="1" applyAlignment="1">
      <alignment horizontal="right"/>
    </xf>
    <xf numFmtId="166" fontId="40" fillId="0" borderId="4" xfId="37" applyNumberFormat="1" applyFont="1" applyBorder="1" applyAlignment="1">
      <alignment horizontal="right"/>
    </xf>
    <xf numFmtId="166" fontId="40" fillId="0" borderId="9" xfId="37" applyNumberFormat="1" applyFont="1" applyBorder="1" applyAlignment="1">
      <alignment horizontal="right"/>
    </xf>
    <xf numFmtId="166" fontId="40" fillId="0" borderId="14" xfId="37" applyNumberFormat="1" applyFont="1" applyBorder="1" applyAlignment="1">
      <alignment horizontal="right"/>
    </xf>
    <xf numFmtId="167" fontId="40" fillId="0" borderId="0" xfId="21" applyNumberFormat="1" applyFont="1" applyAlignment="1">
      <alignment horizontal="centerContinuous"/>
    </xf>
    <xf numFmtId="167" fontId="40" fillId="0" borderId="0" xfId="21" applyNumberFormat="1" applyFont="1" applyBorder="1" applyAlignment="1">
      <alignment horizontal="centerContinuous"/>
    </xf>
    <xf numFmtId="167" fontId="40" fillId="0" borderId="0" xfId="21" quotePrefix="1" applyNumberFormat="1" applyFont="1" applyBorder="1" applyAlignment="1">
      <alignment horizontal="centerContinuous"/>
    </xf>
    <xf numFmtId="0" fontId="58" fillId="0" borderId="11" xfId="0" applyFont="1" applyBorder="1"/>
    <xf numFmtId="0" fontId="106" fillId="0" borderId="12" xfId="21" applyFont="1" applyBorder="1"/>
    <xf numFmtId="0" fontId="106" fillId="0" borderId="12" xfId="21" applyFont="1" applyBorder="1" applyAlignment="1">
      <alignment horizontal="right"/>
    </xf>
    <xf numFmtId="0" fontId="58" fillId="0" borderId="12" xfId="45" applyNumberFormat="1" applyFont="1" applyBorder="1" applyAlignment="1">
      <alignment horizontal="right"/>
    </xf>
    <xf numFmtId="0" fontId="58" fillId="0" borderId="13" xfId="45" applyNumberFormat="1" applyFont="1" applyBorder="1" applyAlignment="1">
      <alignment horizontal="right"/>
    </xf>
    <xf numFmtId="0" fontId="106" fillId="0" borderId="0" xfId="21" applyFont="1" applyBorder="1"/>
    <xf numFmtId="0" fontId="40" fillId="0" borderId="12" xfId="21" applyNumberFormat="1" applyFont="1" applyBorder="1"/>
    <xf numFmtId="0" fontId="106" fillId="0" borderId="11" xfId="21" applyFont="1" applyBorder="1"/>
    <xf numFmtId="0" fontId="106" fillId="0" borderId="13" xfId="21" applyFont="1" applyBorder="1" applyAlignment="1">
      <alignment horizontal="right"/>
    </xf>
    <xf numFmtId="172" fontId="40" fillId="0" borderId="0" xfId="21" applyNumberFormat="1" applyFont="1" applyBorder="1" applyAlignment="1">
      <alignment horizontal="left"/>
    </xf>
    <xf numFmtId="37" fontId="40" fillId="0" borderId="0" xfId="21" applyNumberFormat="1" applyFont="1" applyBorder="1" applyAlignment="1">
      <alignment horizontal="right"/>
    </xf>
    <xf numFmtId="39" fontId="40" fillId="0" borderId="0" xfId="21" quotePrefix="1" applyNumberFormat="1" applyFont="1" applyBorder="1" applyAlignment="1">
      <alignment horizontal="right"/>
    </xf>
    <xf numFmtId="39" fontId="40" fillId="0" borderId="0" xfId="21" applyNumberFormat="1" applyFont="1" applyBorder="1" applyAlignment="1">
      <alignment horizontal="right"/>
    </xf>
    <xf numFmtId="172" fontId="40" fillId="0" borderId="0" xfId="21" applyNumberFormat="1" applyFont="1" applyBorder="1" applyAlignment="1">
      <alignment horizontal="right"/>
    </xf>
    <xf numFmtId="39" fontId="40" fillId="0" borderId="15" xfId="21" applyNumberFormat="1" applyFont="1" applyBorder="1" applyAlignment="1">
      <alignment horizontal="right"/>
    </xf>
    <xf numFmtId="172" fontId="40" fillId="0" borderId="8" xfId="21" applyNumberFormat="1" applyFont="1" applyBorder="1"/>
    <xf numFmtId="37" fontId="40" fillId="0" borderId="0" xfId="21" applyNumberFormat="1" applyFont="1" applyBorder="1" applyAlignment="1">
      <alignment horizontal="left"/>
    </xf>
    <xf numFmtId="9" fontId="40" fillId="0" borderId="0" xfId="21" applyNumberFormat="1" applyFont="1" applyBorder="1" applyAlignment="1">
      <alignment horizontal="right"/>
    </xf>
    <xf numFmtId="9" fontId="40" fillId="0" borderId="15" xfId="21" applyNumberFormat="1" applyFont="1" applyBorder="1" applyAlignment="1">
      <alignment horizontal="right"/>
    </xf>
    <xf numFmtId="0" fontId="9" fillId="0" borderId="8" xfId="0" applyFont="1" applyBorder="1" applyAlignment="1">
      <alignment horizontal="left"/>
    </xf>
    <xf numFmtId="0" fontId="40" fillId="0" borderId="0" xfId="21" applyFont="1" applyBorder="1" applyAlignment="1">
      <alignment horizontal="left"/>
    </xf>
    <xf numFmtId="9" fontId="9" fillId="0" borderId="0" xfId="21" applyNumberFormat="1" applyFont="1" applyBorder="1" applyAlignment="1">
      <alignment horizontal="right"/>
    </xf>
    <xf numFmtId="9" fontId="9" fillId="0" borderId="15" xfId="21" applyNumberFormat="1" applyFont="1" applyBorder="1" applyAlignment="1">
      <alignment horizontal="right"/>
    </xf>
    <xf numFmtId="166" fontId="40" fillId="0" borderId="0" xfId="21" applyNumberFormat="1" applyFont="1" applyBorder="1" applyAlignment="1">
      <alignment horizontal="left"/>
    </xf>
    <xf numFmtId="166" fontId="9" fillId="0" borderId="0" xfId="21" quotePrefix="1" applyNumberFormat="1" applyFont="1" applyBorder="1" applyAlignment="1">
      <alignment horizontal="right"/>
    </xf>
    <xf numFmtId="166" fontId="9" fillId="0" borderId="15" xfId="21" quotePrefix="1" applyNumberFormat="1" applyFont="1" applyBorder="1" applyAlignment="1">
      <alignment horizontal="right"/>
    </xf>
    <xf numFmtId="37" fontId="40" fillId="0" borderId="4" xfId="21" applyNumberFormat="1" applyFont="1" applyBorder="1" applyAlignment="1">
      <alignment horizontal="left"/>
    </xf>
    <xf numFmtId="39" fontId="40" fillId="0" borderId="4" xfId="21" applyNumberFormat="1" applyFont="1" applyBorder="1" applyAlignment="1">
      <alignment horizontal="right"/>
    </xf>
    <xf numFmtId="167" fontId="40" fillId="0" borderId="4" xfId="21" applyNumberFormat="1" applyFont="1" applyBorder="1"/>
    <xf numFmtId="0" fontId="9" fillId="0" borderId="4" xfId="0" applyFont="1" applyBorder="1" applyAlignment="1">
      <alignment horizontal="left"/>
    </xf>
    <xf numFmtId="166" fontId="40" fillId="0" borderId="4" xfId="21" applyNumberFormat="1" applyFont="1" applyBorder="1" applyAlignment="1">
      <alignment horizontal="right"/>
    </xf>
    <xf numFmtId="165" fontId="40" fillId="0" borderId="4" xfId="21" applyNumberFormat="1" applyFont="1" applyBorder="1"/>
    <xf numFmtId="165" fontId="40" fillId="0" borderId="14" xfId="21" applyNumberFormat="1" applyFont="1" applyBorder="1"/>
    <xf numFmtId="167" fontId="40" fillId="0" borderId="0" xfId="21" applyNumberFormat="1" applyFont="1" applyBorder="1"/>
    <xf numFmtId="166" fontId="9" fillId="0" borderId="12" xfId="37" applyNumberFormat="1" applyFont="1" applyBorder="1"/>
    <xf numFmtId="0" fontId="40" fillId="0" borderId="12" xfId="21" applyFont="1" applyBorder="1"/>
    <xf numFmtId="167" fontId="40" fillId="0" borderId="12" xfId="21" applyNumberFormat="1" applyFont="1" applyBorder="1"/>
    <xf numFmtId="167" fontId="40" fillId="0" borderId="8" xfId="21" applyNumberFormat="1" applyFont="1" applyBorder="1"/>
    <xf numFmtId="236" fontId="40" fillId="0" borderId="0" xfId="21" applyNumberFormat="1" applyFont="1" applyBorder="1" applyAlignment="1">
      <alignment horizontal="right"/>
    </xf>
    <xf numFmtId="236" fontId="40" fillId="0" borderId="15" xfId="21" applyNumberFormat="1" applyFont="1" applyBorder="1" applyAlignment="1">
      <alignment horizontal="right"/>
    </xf>
    <xf numFmtId="6" fontId="40" fillId="0" borderId="0" xfId="12" applyNumberFormat="1" applyFont="1" applyBorder="1" applyAlignment="1">
      <alignment horizontal="right"/>
    </xf>
    <xf numFmtId="1" fontId="40" fillId="0" borderId="0" xfId="21" applyNumberFormat="1" applyFont="1" applyBorder="1" applyAlignment="1">
      <alignment horizontal="right"/>
    </xf>
    <xf numFmtId="1" fontId="40" fillId="0" borderId="15" xfId="21" applyNumberFormat="1" applyFont="1" applyBorder="1" applyAlignment="1">
      <alignment horizontal="right"/>
    </xf>
    <xf numFmtId="37" fontId="40" fillId="0" borderId="15" xfId="21" applyNumberFormat="1" applyFont="1" applyBorder="1" applyAlignment="1">
      <alignment horizontal="right"/>
    </xf>
    <xf numFmtId="167" fontId="40" fillId="0" borderId="9" xfId="21" applyNumberFormat="1" applyFont="1" applyBorder="1"/>
    <xf numFmtId="6" fontId="40" fillId="0" borderId="4" xfId="12" applyNumberFormat="1" applyFont="1" applyBorder="1" applyAlignment="1">
      <alignment horizontal="right"/>
    </xf>
    <xf numFmtId="1" fontId="40" fillId="0" borderId="4" xfId="21" applyNumberFormat="1" applyFont="1" applyBorder="1" applyAlignment="1">
      <alignment horizontal="right"/>
    </xf>
    <xf numFmtId="1" fontId="40" fillId="0" borderId="14" xfId="21" applyNumberFormat="1" applyFont="1" applyBorder="1" applyAlignment="1">
      <alignment horizontal="right"/>
    </xf>
    <xf numFmtId="37" fontId="40" fillId="0" borderId="4" xfId="21" applyNumberFormat="1" applyFont="1" applyBorder="1" applyAlignment="1">
      <alignment horizontal="right"/>
    </xf>
    <xf numFmtId="5" fontId="40" fillId="0" borderId="4" xfId="21" applyNumberFormat="1" applyFont="1" applyBorder="1" applyAlignment="1">
      <alignment horizontal="right"/>
    </xf>
    <xf numFmtId="172" fontId="9" fillId="0" borderId="0" xfId="0" applyNumberFormat="1" applyFont="1"/>
    <xf numFmtId="172" fontId="9" fillId="0" borderId="0" xfId="0" applyNumberFormat="1" applyFont="1" applyBorder="1"/>
    <xf numFmtId="9" fontId="40" fillId="0" borderId="0" xfId="12" applyNumberFormat="1" applyFont="1" applyBorder="1" applyAlignment="1">
      <alignment horizontal="right"/>
    </xf>
    <xf numFmtId="9" fontId="40" fillId="0" borderId="0" xfId="21" applyNumberFormat="1" applyFont="1" applyBorder="1"/>
    <xf numFmtId="9" fontId="12" fillId="0" borderId="0" xfId="21" applyNumberFormat="1" applyFont="1" applyBorder="1" applyAlignment="1">
      <alignment horizontal="right"/>
    </xf>
    <xf numFmtId="40" fontId="40" fillId="0" borderId="0" xfId="12" applyNumberFormat="1" applyFont="1" applyBorder="1" applyAlignment="1">
      <alignment horizontal="right"/>
    </xf>
    <xf numFmtId="37" fontId="9" fillId="0" borderId="0" xfId="0" applyNumberFormat="1" applyFont="1" applyBorder="1"/>
    <xf numFmtId="38" fontId="40" fillId="0" borderId="0" xfId="12" applyNumberFormat="1" applyFont="1" applyBorder="1" applyAlignment="1">
      <alignment horizontal="right"/>
    </xf>
    <xf numFmtId="178" fontId="9" fillId="0" borderId="0" xfId="23" applyFont="1" applyAlignment="1"/>
    <xf numFmtId="0" fontId="9" fillId="5" borderId="0" xfId="0" applyFont="1" applyFill="1"/>
    <xf numFmtId="0" fontId="9" fillId="5" borderId="0" xfId="0" applyFont="1" applyFill="1" applyBorder="1" applyAlignment="1">
      <alignment horizontal="left"/>
    </xf>
    <xf numFmtId="166" fontId="9" fillId="0" borderId="0" xfId="37" applyNumberFormat="1" applyFont="1" applyAlignment="1">
      <alignment horizontal="center"/>
    </xf>
    <xf numFmtId="0" fontId="9" fillId="0" borderId="20" xfId="0" applyFont="1" applyBorder="1" applyAlignment="1">
      <alignment horizontal="center"/>
    </xf>
    <xf numFmtId="9" fontId="12" fillId="0" borderId="27" xfId="0" applyNumberFormat="1" applyFont="1" applyBorder="1" applyAlignment="1">
      <alignment horizontal="center"/>
    </xf>
    <xf numFmtId="0" fontId="11" fillId="0" borderId="6" xfId="0" applyFont="1" applyBorder="1" applyAlignment="1">
      <alignment horizontal="centerContinuous"/>
    </xf>
    <xf numFmtId="0" fontId="11" fillId="0" borderId="5" xfId="0" applyFont="1" applyBorder="1" applyAlignment="1">
      <alignment horizontal="centerContinuous"/>
    </xf>
    <xf numFmtId="0" fontId="11" fillId="0" borderId="7" xfId="0" applyFont="1" applyBorder="1" applyAlignment="1">
      <alignment horizontal="centerContinuous"/>
    </xf>
    <xf numFmtId="0" fontId="11" fillId="0" borderId="5" xfId="0" applyFont="1" applyBorder="1" applyAlignment="1">
      <alignment horizontal="center"/>
    </xf>
    <xf numFmtId="0" fontId="11" fillId="0" borderId="0" xfId="0" applyFont="1" applyBorder="1" applyAlignment="1">
      <alignment horizontal="centerContinuous"/>
    </xf>
    <xf numFmtId="0" fontId="9" fillId="0" borderId="5" xfId="0" applyFont="1" applyBorder="1" applyAlignment="1">
      <alignment horizontal="centerContinuous"/>
    </xf>
    <xf numFmtId="0" fontId="9" fillId="0" borderId="7" xfId="0" applyFont="1" applyBorder="1"/>
    <xf numFmtId="0" fontId="11" fillId="0" borderId="6" xfId="0" applyFont="1" applyFill="1" applyBorder="1" applyAlignment="1">
      <alignment horizontal="centerContinuous"/>
    </xf>
    <xf numFmtId="180" fontId="9" fillId="0" borderId="0" xfId="0" applyNumberFormat="1" applyFont="1"/>
    <xf numFmtId="9" fontId="12" fillId="0" borderId="21" xfId="0" applyNumberFormat="1" applyFont="1" applyBorder="1" applyAlignment="1">
      <alignment horizontal="center"/>
    </xf>
    <xf numFmtId="0" fontId="11" fillId="6" borderId="4" xfId="0" applyFont="1" applyFill="1" applyBorder="1" applyAlignment="1">
      <alignment horizontal="center"/>
    </xf>
    <xf numFmtId="0" fontId="11" fillId="0" borderId="4" xfId="0" applyFont="1" applyBorder="1" applyAlignment="1">
      <alignment horizontal="centerContinuous"/>
    </xf>
    <xf numFmtId="0" fontId="11" fillId="0" borderId="4" xfId="0" applyFont="1" applyFill="1" applyBorder="1" applyAlignment="1">
      <alignment horizontal="center"/>
    </xf>
    <xf numFmtId="0" fontId="11" fillId="0" borderId="0" xfId="0" quotePrefix="1" applyFont="1" applyAlignment="1">
      <alignment horizontal="center"/>
    </xf>
    <xf numFmtId="0" fontId="11" fillId="0" borderId="0" xfId="0" quotePrefix="1" applyFont="1" applyBorder="1" applyAlignment="1">
      <alignment horizontal="centerContinuous"/>
    </xf>
    <xf numFmtId="0" fontId="9" fillId="5" borderId="0" xfId="0" applyFont="1" applyFill="1" applyBorder="1" applyAlignment="1">
      <alignment horizontal="center"/>
    </xf>
    <xf numFmtId="0" fontId="11" fillId="5" borderId="4" xfId="0" applyFont="1" applyFill="1" applyBorder="1" applyAlignment="1">
      <alignment horizontal="left"/>
    </xf>
    <xf numFmtId="0" fontId="9" fillId="5" borderId="4" xfId="0" applyFont="1" applyFill="1" applyBorder="1" applyAlignment="1">
      <alignment horizontal="left"/>
    </xf>
    <xf numFmtId="0" fontId="9" fillId="5" borderId="4" xfId="0" applyFont="1" applyFill="1" applyBorder="1"/>
    <xf numFmtId="0" fontId="9" fillId="5" borderId="4" xfId="0" applyFont="1" applyFill="1" applyBorder="1" applyAlignment="1">
      <alignment horizontal="center"/>
    </xf>
    <xf numFmtId="0" fontId="9" fillId="0" borderId="4" xfId="0" applyFont="1" applyFill="1" applyBorder="1"/>
    <xf numFmtId="0" fontId="58" fillId="0" borderId="0" xfId="0" quotePrefix="1" applyFont="1" applyAlignment="1">
      <alignment horizontal="left"/>
    </xf>
    <xf numFmtId="195" fontId="58" fillId="0" borderId="0" xfId="0" applyNumberFormat="1" applyFont="1" applyAlignment="1">
      <alignment horizontal="left"/>
    </xf>
    <xf numFmtId="165" fontId="9" fillId="0" borderId="0" xfId="0" applyNumberFormat="1" applyFont="1" applyAlignment="1">
      <alignment horizontal="center"/>
    </xf>
    <xf numFmtId="181" fontId="9" fillId="0" borderId="0" xfId="0" applyNumberFormat="1" applyFont="1" applyFill="1" applyAlignment="1">
      <alignment horizontal="center"/>
    </xf>
    <xf numFmtId="37" fontId="12" fillId="0" borderId="0" xfId="0" applyNumberFormat="1" applyFont="1" applyFill="1"/>
    <xf numFmtId="1" fontId="9" fillId="0" borderId="0" xfId="0" applyNumberFormat="1" applyFont="1" applyAlignment="1">
      <alignment horizontal="center"/>
    </xf>
    <xf numFmtId="1" fontId="9" fillId="0" borderId="0" xfId="0" applyNumberFormat="1" applyFont="1" applyBorder="1" applyAlignment="1">
      <alignment horizontal="center"/>
    </xf>
    <xf numFmtId="180" fontId="9" fillId="0" borderId="0" xfId="0" applyNumberFormat="1" applyFont="1" applyAlignment="1">
      <alignment horizontal="center"/>
    </xf>
    <xf numFmtId="176" fontId="9" fillId="0" borderId="0" xfId="0" applyNumberFormat="1" applyFont="1"/>
    <xf numFmtId="197" fontId="9" fillId="0" borderId="0" xfId="0" applyNumberFormat="1" applyFont="1" applyBorder="1" applyAlignment="1">
      <alignment horizontal="center"/>
    </xf>
    <xf numFmtId="165" fontId="9" fillId="0" borderId="0" xfId="0" applyNumberFormat="1" applyFont="1"/>
    <xf numFmtId="1" fontId="9" fillId="0" borderId="0" xfId="0" applyNumberFormat="1" applyFont="1" applyBorder="1"/>
    <xf numFmtId="177" fontId="9" fillId="0" borderId="0" xfId="0" applyNumberFormat="1" applyFont="1" applyAlignment="1">
      <alignment horizontal="center"/>
    </xf>
    <xf numFmtId="199" fontId="9" fillId="0" borderId="0" xfId="0" applyNumberFormat="1" applyFont="1" applyAlignment="1">
      <alignment horizontal="center"/>
    </xf>
    <xf numFmtId="0" fontId="12" fillId="0" borderId="0" xfId="0" applyFont="1" applyFill="1"/>
    <xf numFmtId="164" fontId="9" fillId="0" borderId="0" xfId="0" applyNumberFormat="1" applyFont="1" applyAlignment="1">
      <alignment horizontal="center"/>
    </xf>
    <xf numFmtId="164" fontId="9" fillId="0" borderId="0" xfId="0" applyNumberFormat="1" applyFont="1"/>
    <xf numFmtId="3" fontId="9" fillId="0" borderId="0" xfId="0" applyNumberFormat="1" applyFont="1" applyAlignment="1">
      <alignment horizontal="center"/>
    </xf>
    <xf numFmtId="165" fontId="9" fillId="0" borderId="4" xfId="0" applyNumberFormat="1" applyFont="1" applyBorder="1" applyAlignment="1">
      <alignment horizontal="center"/>
    </xf>
    <xf numFmtId="181" fontId="9" fillId="0" borderId="4" xfId="0" applyNumberFormat="1" applyFont="1" applyBorder="1" applyAlignment="1">
      <alignment horizontal="center"/>
    </xf>
    <xf numFmtId="37" fontId="9" fillId="0" borderId="0" xfId="0" applyNumberFormat="1" applyFont="1" applyFill="1"/>
    <xf numFmtId="1" fontId="9" fillId="0" borderId="4" xfId="0" applyNumberFormat="1" applyFont="1" applyBorder="1" applyAlignment="1">
      <alignment horizontal="center"/>
    </xf>
    <xf numFmtId="164" fontId="9" fillId="0" borderId="4" xfId="0" applyNumberFormat="1" applyFont="1" applyBorder="1" applyAlignment="1">
      <alignment horizontal="center"/>
    </xf>
    <xf numFmtId="176" fontId="9" fillId="0" borderId="4" xfId="0" applyNumberFormat="1" applyFont="1" applyBorder="1"/>
    <xf numFmtId="197" fontId="9" fillId="0" borderId="4" xfId="0" applyNumberFormat="1" applyFont="1" applyBorder="1" applyAlignment="1">
      <alignment horizontal="center"/>
    </xf>
    <xf numFmtId="37" fontId="9" fillId="0" borderId="4" xfId="0" applyNumberFormat="1" applyFont="1" applyBorder="1"/>
    <xf numFmtId="165" fontId="9" fillId="0" borderId="4" xfId="0" applyNumberFormat="1" applyFont="1" applyBorder="1"/>
    <xf numFmtId="1" fontId="9" fillId="0" borderId="4" xfId="0" applyNumberFormat="1" applyFont="1" applyBorder="1"/>
    <xf numFmtId="164" fontId="9" fillId="0" borderId="4" xfId="0" applyNumberFormat="1" applyFont="1" applyBorder="1"/>
    <xf numFmtId="3" fontId="9" fillId="0" borderId="4" xfId="0" applyNumberFormat="1" applyFont="1" applyBorder="1" applyAlignment="1">
      <alignment horizontal="center"/>
    </xf>
    <xf numFmtId="211" fontId="9" fillId="0" borderId="4" xfId="7" applyNumberFormat="1" applyFont="1" applyBorder="1"/>
    <xf numFmtId="1" fontId="12" fillId="0" borderId="4" xfId="0" applyNumberFormat="1" applyFont="1" applyBorder="1" applyAlignment="1">
      <alignment horizontal="center"/>
    </xf>
    <xf numFmtId="0" fontId="111" fillId="0" borderId="0" xfId="0" applyFont="1" applyFill="1" applyBorder="1"/>
    <xf numFmtId="0" fontId="111" fillId="0" borderId="0" xfId="0" applyFont="1"/>
    <xf numFmtId="164" fontId="9" fillId="0" borderId="0" xfId="0" applyNumberFormat="1" applyFont="1" applyBorder="1"/>
    <xf numFmtId="211" fontId="9" fillId="0" borderId="0" xfId="7" applyNumberFormat="1" applyFont="1"/>
    <xf numFmtId="211" fontId="9" fillId="0" borderId="0" xfId="7" applyNumberFormat="1" applyFont="1" applyAlignment="1">
      <alignment horizontal="center"/>
    </xf>
    <xf numFmtId="180" fontId="20" fillId="0" borderId="0" xfId="0" applyNumberFormat="1" applyFont="1" applyAlignment="1">
      <alignment horizontal="center"/>
    </xf>
    <xf numFmtId="180" fontId="12" fillId="0" borderId="0" xfId="0" applyNumberFormat="1" applyFont="1" applyAlignment="1">
      <alignment horizontal="center"/>
    </xf>
    <xf numFmtId="197" fontId="9" fillId="0" borderId="0" xfId="0" applyNumberFormat="1" applyFont="1" applyBorder="1"/>
    <xf numFmtId="170" fontId="40" fillId="0" borderId="0" xfId="0" applyNumberFormat="1" applyFont="1"/>
    <xf numFmtId="180" fontId="9" fillId="0" borderId="0" xfId="0" applyNumberFormat="1" applyFont="1" applyBorder="1"/>
    <xf numFmtId="177" fontId="12" fillId="0" borderId="0" xfId="0" applyNumberFormat="1" applyFont="1" applyAlignment="1">
      <alignment horizontal="center"/>
    </xf>
    <xf numFmtId="181" fontId="9" fillId="0" borderId="0" xfId="0" applyNumberFormat="1" applyFont="1" applyAlignment="1">
      <alignment horizontal="center"/>
    </xf>
    <xf numFmtId="176" fontId="9" fillId="0" borderId="0" xfId="0" applyNumberFormat="1" applyFont="1" applyAlignment="1">
      <alignment horizontal="center"/>
    </xf>
    <xf numFmtId="165" fontId="9" fillId="0" borderId="0" xfId="0" applyNumberFormat="1" applyFont="1" applyBorder="1" applyAlignment="1">
      <alignment horizontal="center"/>
    </xf>
    <xf numFmtId="164" fontId="9" fillId="0" borderId="0" xfId="0" applyNumberFormat="1" applyFont="1" applyFill="1" applyAlignment="1">
      <alignment horizontal="center"/>
    </xf>
    <xf numFmtId="4" fontId="9" fillId="0" borderId="0" xfId="0" applyNumberFormat="1" applyFont="1" applyAlignment="1">
      <alignment horizontal="center"/>
    </xf>
    <xf numFmtId="164" fontId="12" fillId="0" borderId="0" xfId="0" applyNumberFormat="1" applyFont="1" applyAlignment="1">
      <alignment horizontal="center"/>
    </xf>
    <xf numFmtId="164" fontId="9" fillId="0" borderId="4" xfId="0" applyNumberFormat="1" applyFont="1" applyFill="1" applyBorder="1" applyAlignment="1">
      <alignment horizontal="center"/>
    </xf>
    <xf numFmtId="4" fontId="9" fillId="0" borderId="4" xfId="0" applyNumberFormat="1" applyFont="1" applyBorder="1" applyAlignment="1">
      <alignment horizontal="center"/>
    </xf>
    <xf numFmtId="181" fontId="9" fillId="0" borderId="0" xfId="0" applyNumberFormat="1" applyFont="1" applyBorder="1" applyAlignment="1">
      <alignment horizontal="center"/>
    </xf>
    <xf numFmtId="180" fontId="9" fillId="0" borderId="0" xfId="0" applyNumberFormat="1" applyFont="1" applyFill="1" applyAlignment="1">
      <alignment horizontal="center"/>
    </xf>
    <xf numFmtId="183" fontId="9" fillId="0" borderId="0" xfId="0" applyNumberFormat="1" applyFont="1" applyBorder="1" applyAlignment="1">
      <alignment horizontal="center"/>
    </xf>
    <xf numFmtId="177" fontId="9" fillId="0" borderId="0" xfId="0" applyNumberFormat="1" applyFont="1" applyFill="1" applyAlignment="1">
      <alignment horizontal="center"/>
    </xf>
    <xf numFmtId="165" fontId="9" fillId="0" borderId="0" xfId="0" applyNumberFormat="1" applyFont="1" applyBorder="1"/>
    <xf numFmtId="216" fontId="9" fillId="0" borderId="0" xfId="37" applyNumberFormat="1" applyFont="1" applyAlignment="1">
      <alignment horizontal="center"/>
    </xf>
    <xf numFmtId="211" fontId="9" fillId="0" borderId="0" xfId="7" applyNumberFormat="1" applyFont="1" applyFill="1"/>
    <xf numFmtId="1" fontId="12" fillId="0" borderId="0" xfId="0" applyNumberFormat="1" applyFont="1" applyFill="1" applyBorder="1" applyAlignment="1">
      <alignment horizontal="center"/>
    </xf>
    <xf numFmtId="164" fontId="12" fillId="0" borderId="0" xfId="0" applyNumberFormat="1" applyFont="1" applyFill="1" applyAlignment="1">
      <alignment horizontal="center"/>
    </xf>
    <xf numFmtId="166" fontId="9" fillId="0" borderId="0" xfId="37" applyNumberFormat="1" applyFont="1" applyFill="1" applyAlignment="1">
      <alignment horizontal="center"/>
    </xf>
    <xf numFmtId="181" fontId="9" fillId="0" borderId="4" xfId="0" applyNumberFormat="1" applyFont="1" applyFill="1" applyBorder="1" applyAlignment="1">
      <alignment horizontal="center"/>
    </xf>
    <xf numFmtId="183" fontId="9" fillId="0" borderId="4" xfId="0" applyNumberFormat="1" applyFont="1" applyFill="1" applyBorder="1" applyAlignment="1">
      <alignment horizontal="center"/>
    </xf>
    <xf numFmtId="3" fontId="9" fillId="0" borderId="0" xfId="0" applyNumberFormat="1" applyFont="1" applyFill="1" applyAlignment="1">
      <alignment horizontal="center"/>
    </xf>
    <xf numFmtId="165" fontId="9" fillId="0" borderId="4" xfId="0" applyNumberFormat="1" applyFont="1" applyFill="1" applyBorder="1" applyAlignment="1">
      <alignment horizontal="center"/>
    </xf>
    <xf numFmtId="1" fontId="9" fillId="0" borderId="4" xfId="0" applyNumberFormat="1" applyFont="1" applyFill="1" applyBorder="1" applyAlignment="1">
      <alignment horizontal="center"/>
    </xf>
    <xf numFmtId="0" fontId="111" fillId="0" borderId="0" xfId="0" applyFont="1" applyFill="1"/>
    <xf numFmtId="37" fontId="9" fillId="0" borderId="4" xfId="0" applyNumberFormat="1" applyFont="1" applyFill="1" applyBorder="1"/>
    <xf numFmtId="164" fontId="9" fillId="0" borderId="4" xfId="0" applyNumberFormat="1" applyFont="1" applyFill="1" applyBorder="1"/>
    <xf numFmtId="199" fontId="9" fillId="0" borderId="0" xfId="0" applyNumberFormat="1" applyFont="1"/>
    <xf numFmtId="239" fontId="58" fillId="0" borderId="0" xfId="0" applyNumberFormat="1" applyFont="1" applyAlignment="1">
      <alignment horizontal="left"/>
    </xf>
    <xf numFmtId="0" fontId="109" fillId="0" borderId="0" xfId="0" applyFont="1" applyAlignment="1">
      <alignment horizontal="center"/>
    </xf>
    <xf numFmtId="166" fontId="9" fillId="0" borderId="0" xfId="0" applyNumberFormat="1" applyFont="1"/>
    <xf numFmtId="180" fontId="109" fillId="0" borderId="0" xfId="0" applyNumberFormat="1" applyFont="1"/>
    <xf numFmtId="166" fontId="109" fillId="0" borderId="0" xfId="0" applyNumberFormat="1" applyFont="1"/>
    <xf numFmtId="8" fontId="11" fillId="0" borderId="0" xfId="0" applyNumberFormat="1" applyFont="1"/>
    <xf numFmtId="39" fontId="9" fillId="0" borderId="0" xfId="0" applyNumberFormat="1" applyFont="1"/>
    <xf numFmtId="0" fontId="58" fillId="0" borderId="0" xfId="0" quotePrefix="1" applyFont="1" applyFill="1" applyAlignment="1">
      <alignment horizontal="left"/>
    </xf>
    <xf numFmtId="0" fontId="109" fillId="0" borderId="0" xfId="0" applyFont="1" applyFill="1" applyAlignment="1">
      <alignment horizontal="center"/>
    </xf>
    <xf numFmtId="1" fontId="9" fillId="0" borderId="0" xfId="0" applyNumberFormat="1" applyFont="1" applyFill="1" applyAlignment="1">
      <alignment horizontal="center"/>
    </xf>
    <xf numFmtId="165" fontId="9" fillId="0" borderId="0" xfId="0" applyNumberFormat="1" applyFont="1" applyFill="1" applyAlignment="1">
      <alignment horizontal="center"/>
    </xf>
    <xf numFmtId="1" fontId="9" fillId="0" borderId="0" xfId="0" applyNumberFormat="1" applyFont="1" applyFill="1" applyBorder="1" applyAlignment="1">
      <alignment horizontal="center"/>
    </xf>
    <xf numFmtId="176" fontId="9" fillId="0" borderId="0" xfId="0" applyNumberFormat="1" applyFont="1" applyFill="1" applyAlignment="1">
      <alignment horizontal="center"/>
    </xf>
    <xf numFmtId="197" fontId="9" fillId="0" borderId="0" xfId="0" applyNumberFormat="1" applyFont="1" applyFill="1" applyBorder="1" applyAlignment="1">
      <alignment horizontal="center"/>
    </xf>
    <xf numFmtId="37" fontId="9" fillId="0" borderId="0" xfId="0" applyNumberFormat="1" applyFont="1" applyFill="1" applyBorder="1"/>
    <xf numFmtId="165" fontId="9" fillId="0" borderId="0" xfId="0" applyNumberFormat="1" applyFont="1" applyFill="1" applyBorder="1" applyAlignment="1">
      <alignment horizontal="center"/>
    </xf>
    <xf numFmtId="180" fontId="9" fillId="0" borderId="0" xfId="0" applyNumberFormat="1" applyFont="1" applyFill="1"/>
    <xf numFmtId="180" fontId="12" fillId="0" borderId="0" xfId="0" applyNumberFormat="1" applyFont="1" applyFill="1" applyAlignment="1">
      <alignment horizontal="center"/>
    </xf>
    <xf numFmtId="4" fontId="9" fillId="0" borderId="0" xfId="0" applyNumberFormat="1" applyFont="1" applyFill="1" applyAlignment="1">
      <alignment horizontal="center"/>
    </xf>
    <xf numFmtId="164" fontId="9" fillId="0" borderId="0" xfId="0" applyNumberFormat="1" applyFont="1" applyFill="1"/>
    <xf numFmtId="4" fontId="9" fillId="0" borderId="4" xfId="0" applyNumberFormat="1" applyFont="1" applyFill="1" applyBorder="1" applyAlignment="1">
      <alignment horizontal="center"/>
    </xf>
    <xf numFmtId="197" fontId="9" fillId="0" borderId="4" xfId="0" applyNumberFormat="1" applyFont="1" applyFill="1" applyBorder="1" applyAlignment="1">
      <alignment horizontal="center"/>
    </xf>
    <xf numFmtId="3" fontId="9" fillId="0" borderId="4" xfId="0" applyNumberFormat="1" applyFont="1" applyFill="1" applyBorder="1" applyAlignment="1">
      <alignment horizontal="center"/>
    </xf>
    <xf numFmtId="211" fontId="9" fillId="0" borderId="4" xfId="7" applyNumberFormat="1" applyFont="1" applyFill="1" applyBorder="1"/>
    <xf numFmtId="1" fontId="12" fillId="0" borderId="4" xfId="0" applyNumberFormat="1" applyFont="1" applyFill="1" applyBorder="1" applyAlignment="1">
      <alignment horizontal="center"/>
    </xf>
    <xf numFmtId="166" fontId="9" fillId="0" borderId="4" xfId="37" applyNumberFormat="1" applyFont="1" applyFill="1" applyBorder="1" applyAlignment="1">
      <alignment horizontal="center"/>
    </xf>
    <xf numFmtId="181" fontId="9" fillId="0" borderId="0" xfId="28" applyNumberFormat="1" applyFont="1" applyFill="1" applyAlignment="1" applyProtection="1">
      <alignment horizontal="center"/>
    </xf>
    <xf numFmtId="180" fontId="20" fillId="0" borderId="0" xfId="0" applyNumberFormat="1" applyFont="1" applyFill="1" applyAlignment="1">
      <alignment horizontal="center"/>
    </xf>
    <xf numFmtId="43" fontId="76" fillId="0" borderId="0" xfId="7" applyFont="1" applyFill="1" applyAlignment="1">
      <alignment horizontal="center"/>
    </xf>
    <xf numFmtId="180" fontId="11" fillId="0" borderId="0" xfId="0" applyNumberFormat="1" applyFont="1" applyFill="1" applyAlignment="1">
      <alignment horizontal="center"/>
    </xf>
    <xf numFmtId="180" fontId="9" fillId="0" borderId="0" xfId="0" applyNumberFormat="1" applyFont="1" applyFill="1" applyBorder="1"/>
    <xf numFmtId="181" fontId="9" fillId="0" borderId="0" xfId="0" applyNumberFormat="1" applyFont="1" applyFill="1" applyBorder="1" applyAlignment="1">
      <alignment horizontal="center"/>
    </xf>
    <xf numFmtId="164" fontId="12" fillId="0" borderId="4" xfId="0" applyNumberFormat="1" applyFont="1" applyFill="1" applyBorder="1" applyAlignment="1">
      <alignment horizontal="center"/>
    </xf>
    <xf numFmtId="0" fontId="109" fillId="0" borderId="0" xfId="0" applyFont="1" applyFill="1" applyBorder="1"/>
    <xf numFmtId="180" fontId="9" fillId="0" borderId="4" xfId="0" applyNumberFormat="1" applyFont="1" applyFill="1" applyBorder="1"/>
    <xf numFmtId="8" fontId="9" fillId="0" borderId="6" xfId="0" applyNumberFormat="1" applyFont="1" applyFill="1" applyBorder="1" applyAlignment="1">
      <alignment horizontal="center"/>
    </xf>
    <xf numFmtId="8" fontId="9" fillId="0" borderId="7" xfId="0" applyNumberFormat="1" applyFont="1" applyFill="1" applyBorder="1" applyAlignment="1">
      <alignment horizontal="center"/>
    </xf>
    <xf numFmtId="8" fontId="9" fillId="0" borderId="0" xfId="0" applyNumberFormat="1" applyFont="1" applyFill="1" applyAlignment="1">
      <alignment horizontal="center"/>
    </xf>
    <xf numFmtId="165" fontId="9" fillId="0" borderId="0" xfId="0" applyNumberFormat="1" applyFont="1" applyFill="1"/>
    <xf numFmtId="192" fontId="9" fillId="0" borderId="0" xfId="0" applyNumberFormat="1" applyFont="1" applyFill="1" applyAlignment="1">
      <alignment horizontal="center"/>
    </xf>
    <xf numFmtId="0" fontId="12" fillId="0" borderId="0" xfId="0" applyFont="1" applyFill="1" applyAlignment="1">
      <alignment horizontal="right"/>
    </xf>
    <xf numFmtId="8" fontId="9" fillId="0" borderId="11" xfId="0" applyNumberFormat="1" applyFont="1" applyFill="1" applyBorder="1" applyAlignment="1">
      <alignment horizontal="center"/>
    </xf>
    <xf numFmtId="8" fontId="9" fillId="0" borderId="12" xfId="0" applyNumberFormat="1" applyFont="1" applyFill="1" applyBorder="1" applyAlignment="1">
      <alignment horizontal="center"/>
    </xf>
    <xf numFmtId="8" fontId="9" fillId="0" borderId="13" xfId="0" applyNumberFormat="1" applyFont="1" applyFill="1" applyBorder="1" applyAlignment="1">
      <alignment horizontal="center"/>
    </xf>
    <xf numFmtId="6" fontId="12" fillId="0" borderId="0" xfId="0" applyNumberFormat="1" applyFont="1" applyFill="1" applyAlignment="1">
      <alignment horizontal="center"/>
    </xf>
    <xf numFmtId="8" fontId="9" fillId="0" borderId="0" xfId="0" applyNumberFormat="1" applyFont="1" applyFill="1" applyBorder="1"/>
    <xf numFmtId="8" fontId="9" fillId="0" borderId="20" xfId="0" applyNumberFormat="1" applyFont="1" applyFill="1" applyBorder="1"/>
    <xf numFmtId="164" fontId="9" fillId="0" borderId="0" xfId="0" applyNumberFormat="1" applyFont="1" applyFill="1" applyBorder="1" applyAlignment="1">
      <alignment horizontal="center"/>
    </xf>
    <xf numFmtId="9" fontId="9" fillId="0" borderId="0" xfId="37" applyFont="1" applyFill="1"/>
    <xf numFmtId="8" fontId="9" fillId="0" borderId="8" xfId="0" applyNumberFormat="1" applyFont="1" applyFill="1" applyBorder="1" applyAlignment="1">
      <alignment horizontal="center"/>
    </xf>
    <xf numFmtId="8" fontId="9" fillId="0" borderId="0" xfId="0" applyNumberFormat="1" applyFont="1" applyFill="1" applyBorder="1" applyAlignment="1">
      <alignment horizontal="center"/>
    </xf>
    <xf numFmtId="8" fontId="9" fillId="0" borderId="15" xfId="0" applyNumberFormat="1" applyFont="1" applyFill="1" applyBorder="1" applyAlignment="1">
      <alignment horizontal="center"/>
    </xf>
    <xf numFmtId="8" fontId="9" fillId="0" borderId="27" xfId="0" applyNumberFormat="1" applyFont="1" applyFill="1" applyBorder="1"/>
    <xf numFmtId="8" fontId="9" fillId="0" borderId="9" xfId="0" applyNumberFormat="1" applyFont="1" applyFill="1" applyBorder="1" applyAlignment="1">
      <alignment horizontal="center"/>
    </xf>
    <xf numFmtId="8" fontId="9" fillId="0" borderId="4" xfId="0" applyNumberFormat="1" applyFont="1" applyFill="1" applyBorder="1" applyAlignment="1">
      <alignment horizontal="center"/>
    </xf>
    <xf numFmtId="8" fontId="9" fillId="0" borderId="14" xfId="0" applyNumberFormat="1" applyFont="1" applyFill="1" applyBorder="1" applyAlignment="1">
      <alignment horizontal="center"/>
    </xf>
    <xf numFmtId="8" fontId="9" fillId="0" borderId="21" xfId="0" applyNumberFormat="1" applyFont="1" applyFill="1" applyBorder="1"/>
    <xf numFmtId="8" fontId="12" fillId="0" borderId="0" xfId="0" applyNumberFormat="1" applyFont="1" applyFill="1" applyAlignment="1">
      <alignment horizontal="center"/>
    </xf>
    <xf numFmtId="8" fontId="9" fillId="0" borderId="0" xfId="0" applyNumberFormat="1" applyFont="1" applyFill="1"/>
    <xf numFmtId="193" fontId="58" fillId="0" borderId="0" xfId="0" applyNumberFormat="1" applyFont="1" applyFill="1" applyAlignment="1">
      <alignment horizontal="left"/>
    </xf>
    <xf numFmtId="166" fontId="9" fillId="0" borderId="0" xfId="37" applyNumberFormat="1" applyFont="1" applyFill="1" applyBorder="1"/>
    <xf numFmtId="8" fontId="12" fillId="0" borderId="0" xfId="0" applyNumberFormat="1" applyFont="1" applyFill="1"/>
    <xf numFmtId="195" fontId="23" fillId="0" borderId="0" xfId="0" applyNumberFormat="1" applyFont="1" applyFill="1" applyAlignment="1">
      <alignment horizontal="left"/>
    </xf>
    <xf numFmtId="37" fontId="135" fillId="0" borderId="0" xfId="0" applyNumberFormat="1" applyFont="1" applyFill="1"/>
    <xf numFmtId="164" fontId="135" fillId="0" borderId="0" xfId="0" applyNumberFormat="1" applyFont="1" applyFill="1" applyAlignment="1">
      <alignment horizontal="center"/>
    </xf>
    <xf numFmtId="181" fontId="12" fillId="0" borderId="4" xfId="0" applyNumberFormat="1" applyFont="1" applyFill="1" applyBorder="1" applyAlignment="1">
      <alignment horizontal="center"/>
    </xf>
    <xf numFmtId="1" fontId="9" fillId="5" borderId="0" xfId="0" applyNumberFormat="1" applyFont="1" applyFill="1" applyBorder="1" applyAlignment="1">
      <alignment horizontal="center"/>
    </xf>
    <xf numFmtId="180" fontId="9" fillId="5" borderId="4" xfId="0" applyNumberFormat="1" applyFont="1" applyFill="1" applyBorder="1" applyAlignment="1">
      <alignment horizontal="center"/>
    </xf>
    <xf numFmtId="170" fontId="9" fillId="5" borderId="4" xfId="0" applyNumberFormat="1" applyFont="1" applyFill="1" applyBorder="1"/>
    <xf numFmtId="181" fontId="9" fillId="0" borderId="0" xfId="0" applyNumberFormat="1" applyFont="1" applyFill="1"/>
    <xf numFmtId="181" fontId="9" fillId="0" borderId="4" xfId="0" applyNumberFormat="1" applyFont="1" applyBorder="1"/>
    <xf numFmtId="176" fontId="9" fillId="0" borderId="4" xfId="0" applyNumberFormat="1" applyFont="1" applyBorder="1" applyAlignment="1">
      <alignment horizontal="center"/>
    </xf>
    <xf numFmtId="197" fontId="9" fillId="0" borderId="4" xfId="0" applyNumberFormat="1" applyFont="1" applyBorder="1"/>
    <xf numFmtId="180" fontId="41" fillId="0" borderId="0" xfId="0" applyNumberFormat="1" applyFont="1" applyAlignment="1">
      <alignment horizontal="center"/>
    </xf>
    <xf numFmtId="177" fontId="12" fillId="0" borderId="0" xfId="0" applyNumberFormat="1" applyFont="1" applyFill="1" applyAlignment="1">
      <alignment horizontal="center"/>
    </xf>
    <xf numFmtId="183" fontId="9" fillId="0" borderId="0" xfId="0" applyNumberFormat="1" applyFont="1" applyAlignment="1">
      <alignment horizontal="center"/>
    </xf>
    <xf numFmtId="183" fontId="9" fillId="0" borderId="4" xfId="0" applyNumberFormat="1" applyFont="1" applyBorder="1" applyAlignment="1">
      <alignment horizontal="center"/>
    </xf>
    <xf numFmtId="10" fontId="9" fillId="0" borderId="0" xfId="37" applyNumberFormat="1" applyFont="1" applyAlignment="1">
      <alignment horizontal="center"/>
    </xf>
    <xf numFmtId="211" fontId="9" fillId="2" borderId="0" xfId="7" applyNumberFormat="1" applyFont="1" applyFill="1"/>
    <xf numFmtId="0" fontId="9" fillId="2" borderId="0" xfId="0" applyFont="1" applyFill="1"/>
    <xf numFmtId="1" fontId="9" fillId="2" borderId="0" xfId="0" applyNumberFormat="1" applyFont="1" applyFill="1" applyBorder="1" applyAlignment="1">
      <alignment horizontal="center"/>
    </xf>
    <xf numFmtId="0" fontId="111" fillId="2" borderId="0" xfId="0" applyFont="1" applyFill="1" applyBorder="1"/>
    <xf numFmtId="164" fontId="12" fillId="2" borderId="0" xfId="0" applyNumberFormat="1" applyFont="1" applyFill="1" applyAlignment="1">
      <alignment horizontal="center"/>
    </xf>
    <xf numFmtId="166" fontId="9" fillId="2" borderId="0" xfId="37" applyNumberFormat="1" applyFont="1" applyFill="1" applyAlignment="1">
      <alignment horizontal="center"/>
    </xf>
    <xf numFmtId="211" fontId="9" fillId="0" borderId="0" xfId="7" applyNumberFormat="1" applyFont="1" applyAlignment="1">
      <alignment horizontal="right"/>
    </xf>
    <xf numFmtId="181" fontId="9" fillId="0" borderId="0" xfId="28" applyNumberFormat="1" applyFont="1" applyAlignment="1" applyProtection="1">
      <alignment horizontal="center"/>
    </xf>
    <xf numFmtId="211" fontId="9" fillId="0" borderId="0" xfId="7" applyNumberFormat="1" applyFont="1" applyFill="1" applyAlignment="1">
      <alignment horizontal="right"/>
    </xf>
    <xf numFmtId="9" fontId="76" fillId="0" borderId="0" xfId="0" applyNumberFormat="1" applyFont="1" applyFill="1" applyAlignment="1">
      <alignment horizontal="center"/>
    </xf>
    <xf numFmtId="9" fontId="9" fillId="0" borderId="0" xfId="37" applyNumberFormat="1" applyFont="1" applyFill="1" applyAlignment="1">
      <alignment horizontal="center"/>
    </xf>
    <xf numFmtId="0" fontId="109" fillId="0" borderId="0" xfId="0" applyFont="1" applyFill="1"/>
    <xf numFmtId="8" fontId="9" fillId="0" borderId="3" xfId="0" applyNumberFormat="1" applyFont="1" applyFill="1" applyBorder="1" applyAlignment="1">
      <alignment horizontal="center"/>
    </xf>
    <xf numFmtId="171" fontId="9" fillId="0" borderId="0" xfId="0" applyNumberFormat="1" applyFont="1" applyFill="1" applyAlignment="1">
      <alignment horizontal="center"/>
    </xf>
    <xf numFmtId="8" fontId="9" fillId="0" borderId="20" xfId="0" applyNumberFormat="1" applyFont="1" applyFill="1" applyBorder="1" applyAlignment="1">
      <alignment horizontal="center"/>
    </xf>
    <xf numFmtId="8" fontId="9" fillId="0" borderId="27" xfId="0" applyNumberFormat="1" applyFont="1" applyFill="1" applyBorder="1" applyAlignment="1">
      <alignment horizontal="center"/>
    </xf>
    <xf numFmtId="8" fontId="9" fillId="0" borderId="21" xfId="0" applyNumberFormat="1" applyFont="1" applyFill="1" applyBorder="1" applyAlignment="1">
      <alignment horizontal="center"/>
    </xf>
    <xf numFmtId="183" fontId="9" fillId="0" borderId="0" xfId="0" applyNumberFormat="1" applyFont="1" applyFill="1" applyBorder="1" applyAlignment="1">
      <alignment horizontal="center"/>
    </xf>
    <xf numFmtId="171" fontId="9" fillId="0" borderId="4" xfId="0" applyNumberFormat="1" applyFont="1" applyFill="1" applyBorder="1" applyAlignment="1">
      <alignment horizontal="center"/>
    </xf>
    <xf numFmtId="181" fontId="9" fillId="0" borderId="0" xfId="28" applyNumberFormat="1" applyFont="1" applyFill="1" applyBorder="1" applyAlignment="1" applyProtection="1">
      <alignment horizontal="center"/>
    </xf>
    <xf numFmtId="180" fontId="9" fillId="0" borderId="0" xfId="0" applyNumberFormat="1" applyFont="1" applyFill="1" applyBorder="1" applyAlignment="1">
      <alignment horizontal="center"/>
    </xf>
    <xf numFmtId="176" fontId="9" fillId="0" borderId="0" xfId="0" applyNumberFormat="1" applyFont="1" applyFill="1" applyBorder="1" applyAlignment="1">
      <alignment horizontal="center"/>
    </xf>
    <xf numFmtId="177" fontId="9" fillId="0" borderId="0" xfId="0" applyNumberFormat="1" applyFont="1" applyFill="1" applyBorder="1" applyAlignment="1">
      <alignment horizontal="center"/>
    </xf>
    <xf numFmtId="211" fontId="9" fillId="0" borderId="0" xfId="7" applyNumberFormat="1" applyFont="1" applyFill="1" applyBorder="1"/>
    <xf numFmtId="180" fontId="11" fillId="0" borderId="0" xfId="0" applyNumberFormat="1" applyFont="1" applyFill="1" applyBorder="1" applyAlignment="1">
      <alignment horizontal="center"/>
    </xf>
    <xf numFmtId="166" fontId="9" fillId="0" borderId="0" xfId="37" applyNumberFormat="1" applyFont="1" applyFill="1" applyBorder="1" applyAlignment="1">
      <alignment horizontal="center"/>
    </xf>
    <xf numFmtId="8" fontId="12" fillId="0" borderId="0" xfId="0" applyNumberFormat="1" applyFont="1" applyFill="1" applyBorder="1" applyAlignment="1">
      <alignment horizontal="center"/>
    </xf>
    <xf numFmtId="37" fontId="43" fillId="0" borderId="0" xfId="0" applyNumberFormat="1" applyFont="1" applyFill="1"/>
    <xf numFmtId="165" fontId="9" fillId="0" borderId="0" xfId="0" applyNumberFormat="1" applyFont="1" applyFill="1" applyBorder="1"/>
    <xf numFmtId="1" fontId="9" fillId="0" borderId="0" xfId="0" applyNumberFormat="1" applyFont="1" applyFill="1" applyBorder="1"/>
    <xf numFmtId="197" fontId="9" fillId="0" borderId="0" xfId="0" applyNumberFormat="1" applyFont="1" applyFill="1" applyBorder="1"/>
    <xf numFmtId="170" fontId="40" fillId="0" borderId="0" xfId="0" applyNumberFormat="1" applyFont="1" applyFill="1" applyBorder="1"/>
    <xf numFmtId="180" fontId="9" fillId="0" borderId="4" xfId="0" applyNumberFormat="1" applyFont="1" applyFill="1" applyBorder="1" applyAlignment="1">
      <alignment horizontal="center"/>
    </xf>
    <xf numFmtId="170" fontId="40" fillId="0" borderId="4" xfId="0" applyNumberFormat="1" applyFont="1" applyBorder="1"/>
    <xf numFmtId="180" fontId="9" fillId="0" borderId="4" xfId="0" applyNumberFormat="1" applyFont="1" applyBorder="1"/>
    <xf numFmtId="177" fontId="9" fillId="0" borderId="4" xfId="0" applyNumberFormat="1" applyFont="1" applyBorder="1" applyAlignment="1">
      <alignment horizontal="center"/>
    </xf>
    <xf numFmtId="170" fontId="9" fillId="5" borderId="4" xfId="0" applyNumberFormat="1" applyFont="1" applyFill="1" applyBorder="1" applyAlignment="1">
      <alignment horizontal="center"/>
    </xf>
    <xf numFmtId="211" fontId="111" fillId="0" borderId="0" xfId="7" applyNumberFormat="1" applyFont="1" applyAlignment="1">
      <alignment horizontal="center"/>
    </xf>
    <xf numFmtId="211" fontId="9" fillId="0" borderId="0" xfId="7" applyNumberFormat="1" applyFont="1" applyBorder="1" applyAlignment="1">
      <alignment horizontal="center"/>
    </xf>
    <xf numFmtId="164" fontId="41" fillId="0" borderId="0" xfId="0" applyNumberFormat="1" applyFont="1" applyAlignment="1">
      <alignment horizontal="center"/>
    </xf>
    <xf numFmtId="211" fontId="9" fillId="0" borderId="0" xfId="7" applyNumberFormat="1" applyFont="1" applyFill="1" applyAlignment="1">
      <alignment horizontal="center"/>
    </xf>
    <xf numFmtId="180" fontId="20" fillId="0" borderId="0" xfId="0" applyNumberFormat="1" applyFont="1" applyAlignment="1">
      <alignment horizontal="left" indent="1"/>
    </xf>
    <xf numFmtId="1" fontId="9" fillId="0" borderId="0" xfId="0" applyNumberFormat="1" applyFont="1" applyBorder="1" applyAlignment="1"/>
    <xf numFmtId="0" fontId="9" fillId="0" borderId="17" xfId="0" applyFont="1" applyFill="1" applyBorder="1"/>
    <xf numFmtId="0" fontId="9" fillId="0" borderId="18" xfId="0" applyFont="1" applyFill="1" applyBorder="1"/>
    <xf numFmtId="0" fontId="9" fillId="0" borderId="19" xfId="0" applyFont="1" applyFill="1" applyBorder="1"/>
    <xf numFmtId="176" fontId="9" fillId="0" borderId="0" xfId="0" applyNumberFormat="1" applyFont="1" applyFill="1"/>
    <xf numFmtId="0" fontId="9" fillId="0" borderId="22" xfId="0" applyFont="1" applyFill="1" applyBorder="1"/>
    <xf numFmtId="0" fontId="109" fillId="0" borderId="0" xfId="0" applyFont="1" applyFill="1" applyBorder="1" applyAlignment="1">
      <alignment horizontal="center"/>
    </xf>
    <xf numFmtId="0" fontId="9" fillId="0" borderId="23" xfId="0" applyFont="1" applyFill="1" applyBorder="1"/>
    <xf numFmtId="0" fontId="9" fillId="0" borderId="22" xfId="0" quotePrefix="1" applyFont="1" applyFill="1" applyBorder="1"/>
    <xf numFmtId="5" fontId="9" fillId="0" borderId="0" xfId="0" applyNumberFormat="1" applyFont="1" applyFill="1" applyBorder="1"/>
    <xf numFmtId="9" fontId="9" fillId="0" borderId="0" xfId="37" applyFont="1" applyFill="1" applyBorder="1"/>
    <xf numFmtId="0" fontId="109" fillId="5" borderId="0" xfId="0" applyFont="1" applyFill="1" applyBorder="1" applyAlignment="1">
      <alignment horizontal="center"/>
    </xf>
    <xf numFmtId="0" fontId="109" fillId="0" borderId="23" xfId="0" applyFont="1" applyFill="1" applyBorder="1" applyAlignment="1">
      <alignment horizontal="center"/>
    </xf>
    <xf numFmtId="0" fontId="109" fillId="0" borderId="17" xfId="0" applyFont="1" applyFill="1" applyBorder="1" applyAlignment="1">
      <alignment horizontal="center"/>
    </xf>
    <xf numFmtId="0" fontId="109" fillId="0" borderId="18" xfId="0" applyFont="1" applyFill="1" applyBorder="1" applyAlignment="1">
      <alignment horizontal="center"/>
    </xf>
    <xf numFmtId="0" fontId="109" fillId="0" borderId="19" xfId="0" applyFont="1" applyFill="1" applyBorder="1" applyAlignment="1">
      <alignment horizontal="center"/>
    </xf>
    <xf numFmtId="177" fontId="9" fillId="5" borderId="0" xfId="0" applyNumberFormat="1" applyFont="1" applyFill="1" applyBorder="1"/>
    <xf numFmtId="177" fontId="9" fillId="7" borderId="0" xfId="0" applyNumberFormat="1" applyFont="1" applyFill="1" applyBorder="1"/>
    <xf numFmtId="177" fontId="9" fillId="0" borderId="0" xfId="0" applyNumberFormat="1" applyFont="1" applyFill="1" applyBorder="1"/>
    <xf numFmtId="177" fontId="9" fillId="0" borderId="23" xfId="0" applyNumberFormat="1" applyFont="1" applyFill="1" applyBorder="1"/>
    <xf numFmtId="177" fontId="9" fillId="0" borderId="22" xfId="0" applyNumberFormat="1" applyFont="1" applyFill="1" applyBorder="1"/>
    <xf numFmtId="0" fontId="9" fillId="2" borderId="0" xfId="0" applyFont="1" applyFill="1" applyBorder="1"/>
    <xf numFmtId="0" fontId="9" fillId="0" borderId="24" xfId="0" applyFont="1" applyFill="1" applyBorder="1"/>
    <xf numFmtId="192" fontId="9" fillId="5" borderId="25" xfId="0" applyNumberFormat="1" applyFont="1" applyFill="1" applyBorder="1"/>
    <xf numFmtId="192" fontId="9" fillId="0" borderId="25" xfId="0" applyNumberFormat="1" applyFont="1" applyFill="1" applyBorder="1"/>
    <xf numFmtId="192" fontId="9" fillId="0" borderId="26" xfId="0" applyNumberFormat="1" applyFont="1" applyFill="1" applyBorder="1"/>
    <xf numFmtId="192" fontId="9" fillId="0" borderId="24" xfId="0" applyNumberFormat="1" applyFont="1" applyFill="1" applyBorder="1"/>
    <xf numFmtId="9" fontId="9" fillId="0" borderId="0" xfId="0" applyNumberFormat="1" applyFont="1" applyFill="1" applyAlignment="1">
      <alignment horizontal="center"/>
    </xf>
    <xf numFmtId="177" fontId="9" fillId="7" borderId="0" xfId="0" applyNumberFormat="1" applyFont="1" applyFill="1"/>
    <xf numFmtId="8" fontId="12" fillId="0" borderId="20" xfId="0" applyNumberFormat="1" applyFont="1" applyFill="1" applyBorder="1" applyAlignment="1">
      <alignment horizontal="center"/>
    </xf>
    <xf numFmtId="8" fontId="12" fillId="0" borderId="27" xfId="0" applyNumberFormat="1" applyFont="1" applyFill="1" applyBorder="1" applyAlignment="1">
      <alignment horizontal="center"/>
    </xf>
    <xf numFmtId="192" fontId="9" fillId="0" borderId="0" xfId="0" applyNumberFormat="1" applyFont="1" applyFill="1" applyBorder="1"/>
    <xf numFmtId="8" fontId="12" fillId="0" borderId="21" xfId="0" applyNumberFormat="1" applyFont="1" applyFill="1" applyBorder="1" applyAlignment="1">
      <alignment horizontal="center"/>
    </xf>
    <xf numFmtId="180" fontId="9" fillId="0" borderId="4" xfId="0" applyNumberFormat="1" applyFont="1" applyBorder="1" applyAlignment="1">
      <alignment horizontal="center"/>
    </xf>
    <xf numFmtId="38" fontId="9" fillId="0" borderId="0" xfId="0" applyNumberFormat="1" applyFont="1" applyFill="1"/>
    <xf numFmtId="1" fontId="9" fillId="5" borderId="0" xfId="0" applyNumberFormat="1" applyFont="1" applyFill="1" applyBorder="1" applyAlignment="1"/>
    <xf numFmtId="0" fontId="9" fillId="5" borderId="4" xfId="0" applyFont="1" applyFill="1" applyBorder="1" applyAlignment="1"/>
    <xf numFmtId="181" fontId="9" fillId="0" borderId="0" xfId="0" applyNumberFormat="1" applyFont="1" applyFill="1" applyAlignment="1">
      <alignment horizontal="right"/>
    </xf>
    <xf numFmtId="4" fontId="9" fillId="0" borderId="0" xfId="0" applyNumberFormat="1" applyFont="1"/>
    <xf numFmtId="164" fontId="112" fillId="0" borderId="0" xfId="0" applyNumberFormat="1" applyFont="1" applyAlignment="1">
      <alignment horizontal="center"/>
    </xf>
    <xf numFmtId="3" fontId="9" fillId="0" borderId="0" xfId="0" applyNumberFormat="1" applyFont="1" applyAlignment="1">
      <alignment horizontal="right"/>
    </xf>
    <xf numFmtId="3" fontId="76" fillId="0" borderId="4" xfId="0" applyNumberFormat="1" applyFont="1" applyBorder="1" applyAlignment="1">
      <alignment horizontal="center"/>
    </xf>
    <xf numFmtId="211" fontId="9" fillId="0" borderId="4" xfId="7" applyNumberFormat="1" applyFont="1" applyBorder="1" applyAlignment="1">
      <alignment horizontal="center"/>
    </xf>
    <xf numFmtId="211" fontId="111" fillId="0" borderId="4" xfId="7" applyNumberFormat="1" applyFont="1" applyBorder="1" applyAlignment="1">
      <alignment horizontal="center"/>
    </xf>
    <xf numFmtId="177" fontId="20" fillId="0" borderId="0" xfId="0" applyNumberFormat="1" applyFont="1" applyAlignment="1">
      <alignment horizontal="center"/>
    </xf>
    <xf numFmtId="165" fontId="20" fillId="0" borderId="0" xfId="0" applyNumberFormat="1" applyFont="1"/>
    <xf numFmtId="164" fontId="111" fillId="2" borderId="0" xfId="0" applyNumberFormat="1" applyFont="1" applyFill="1" applyBorder="1" applyAlignment="1">
      <alignment horizontal="center"/>
    </xf>
    <xf numFmtId="211" fontId="9" fillId="0" borderId="4" xfId="7" applyNumberFormat="1" applyFont="1" applyFill="1" applyBorder="1" applyAlignment="1">
      <alignment horizontal="center"/>
    </xf>
    <xf numFmtId="164" fontId="12" fillId="0" borderId="4" xfId="0" applyNumberFormat="1" applyFont="1" applyBorder="1" applyAlignment="1">
      <alignment horizontal="center"/>
    </xf>
    <xf numFmtId="165" fontId="12" fillId="0" borderId="0" xfId="0" applyNumberFormat="1" applyFont="1" applyAlignment="1">
      <alignment horizontal="center"/>
    </xf>
    <xf numFmtId="1" fontId="9" fillId="0" borderId="0" xfId="0" applyNumberFormat="1" applyFont="1" applyAlignment="1"/>
    <xf numFmtId="211" fontId="111" fillId="0" borderId="0" xfId="7" applyNumberFormat="1" applyFont="1" applyFill="1" applyAlignment="1">
      <alignment horizontal="center"/>
    </xf>
    <xf numFmtId="211" fontId="111" fillId="0" borderId="4" xfId="7" applyNumberFormat="1" applyFont="1" applyFill="1" applyBorder="1" applyAlignment="1">
      <alignment horizontal="center"/>
    </xf>
    <xf numFmtId="9" fontId="76" fillId="0" borderId="0" xfId="0" applyNumberFormat="1" applyFont="1" applyAlignment="1">
      <alignment horizontal="center"/>
    </xf>
    <xf numFmtId="0" fontId="9" fillId="0" borderId="4" xfId="0" applyFont="1" applyBorder="1" applyAlignment="1"/>
    <xf numFmtId="165" fontId="41" fillId="0" borderId="0" xfId="0" applyNumberFormat="1" applyFont="1" applyFill="1" applyAlignment="1">
      <alignment horizontal="center"/>
    </xf>
    <xf numFmtId="1" fontId="20" fillId="0" borderId="0" xfId="0" applyNumberFormat="1" applyFont="1" applyFill="1" applyBorder="1" applyAlignment="1">
      <alignment horizontal="center"/>
    </xf>
    <xf numFmtId="181" fontId="41" fillId="0" borderId="4" xfId="0" applyNumberFormat="1" applyFont="1" applyFill="1" applyBorder="1" applyAlignment="1">
      <alignment horizontal="center"/>
    </xf>
    <xf numFmtId="37" fontId="40" fillId="0" borderId="0" xfId="0" applyNumberFormat="1" applyFont="1" applyFill="1"/>
    <xf numFmtId="164" fontId="113" fillId="7" borderId="0" xfId="0" applyNumberFormat="1" applyFont="1" applyFill="1" applyAlignment="1">
      <alignment horizontal="center"/>
    </xf>
    <xf numFmtId="37" fontId="38" fillId="0" borderId="0" xfId="0" applyNumberFormat="1" applyFont="1" applyFill="1"/>
    <xf numFmtId="181" fontId="41" fillId="6" borderId="4" xfId="0" applyNumberFormat="1" applyFont="1" applyFill="1" applyBorder="1" applyAlignment="1">
      <alignment horizontal="center"/>
    </xf>
    <xf numFmtId="181" fontId="38" fillId="0" borderId="4" xfId="0" applyNumberFormat="1" applyFont="1" applyFill="1" applyBorder="1" applyAlignment="1">
      <alignment horizontal="center"/>
    </xf>
    <xf numFmtId="1" fontId="12" fillId="6" borderId="4" xfId="0" applyNumberFormat="1" applyFont="1" applyFill="1" applyBorder="1" applyAlignment="1">
      <alignment horizontal="center"/>
    </xf>
    <xf numFmtId="164" fontId="9" fillId="7" borderId="4" xfId="0" applyNumberFormat="1" applyFont="1" applyFill="1" applyBorder="1" applyAlignment="1">
      <alignment horizontal="center"/>
    </xf>
    <xf numFmtId="164" fontId="9" fillId="6" borderId="0" xfId="0" applyNumberFormat="1" applyFont="1" applyFill="1" applyAlignment="1">
      <alignment horizontal="center"/>
    </xf>
    <xf numFmtId="37" fontId="41" fillId="0" borderId="0" xfId="0" applyNumberFormat="1" applyFont="1" applyFill="1"/>
    <xf numFmtId="44" fontId="9" fillId="0" borderId="0" xfId="12" applyFont="1"/>
    <xf numFmtId="164" fontId="9" fillId="0" borderId="9" xfId="0" applyNumberFormat="1" applyFont="1" applyFill="1" applyBorder="1" applyAlignment="1">
      <alignment horizontal="center"/>
    </xf>
    <xf numFmtId="183" fontId="135" fillId="0" borderId="0" xfId="0" applyNumberFormat="1" applyFont="1" applyBorder="1" applyAlignment="1">
      <alignment horizontal="center"/>
    </xf>
    <xf numFmtId="0" fontId="11" fillId="0" borderId="0" xfId="0" applyFont="1" applyFill="1" applyAlignment="1">
      <alignment horizontal="left"/>
    </xf>
    <xf numFmtId="0" fontId="9" fillId="0" borderId="7" xfId="0" applyFont="1" applyBorder="1" applyAlignment="1">
      <alignment horizontal="centerContinuous"/>
    </xf>
    <xf numFmtId="178" fontId="11" fillId="0" borderId="0" xfId="25" applyFont="1" applyBorder="1" applyAlignment="1">
      <alignment horizontal="center"/>
    </xf>
    <xf numFmtId="178" fontId="11" fillId="0" borderId="4" xfId="25" applyFont="1" applyBorder="1" applyAlignment="1">
      <alignment horizontal="center"/>
    </xf>
    <xf numFmtId="0" fontId="11" fillId="0" borderId="0" xfId="0" quotePrefix="1" applyFont="1" applyBorder="1" applyAlignment="1">
      <alignment horizontal="center"/>
    </xf>
    <xf numFmtId="0" fontId="57" fillId="0" borderId="0" xfId="0" applyFont="1" applyAlignment="1">
      <alignment horizontal="left"/>
    </xf>
    <xf numFmtId="193" fontId="58" fillId="0" borderId="0" xfId="0" quotePrefix="1" applyNumberFormat="1" applyFont="1"/>
    <xf numFmtId="193" fontId="23" fillId="0" borderId="0" xfId="0" quotePrefix="1" applyNumberFormat="1" applyFont="1" applyAlignment="1">
      <alignment horizontal="left"/>
    </xf>
    <xf numFmtId="0" fontId="38" fillId="0" borderId="0" xfId="0" quotePrefix="1" applyFont="1" applyAlignment="1">
      <alignment horizontal="right"/>
    </xf>
    <xf numFmtId="170" fontId="12" fillId="0" borderId="0" xfId="0" applyNumberFormat="1" applyFont="1"/>
    <xf numFmtId="177" fontId="9" fillId="0" borderId="0" xfId="0" applyNumberFormat="1" applyFont="1"/>
    <xf numFmtId="3" fontId="9" fillId="0" borderId="0" xfId="0" applyNumberFormat="1" applyFont="1"/>
    <xf numFmtId="0" fontId="40" fillId="0" borderId="0" xfId="0" applyFont="1"/>
    <xf numFmtId="4" fontId="9" fillId="0" borderId="4" xfId="0" applyNumberFormat="1" applyFont="1" applyBorder="1"/>
    <xf numFmtId="3" fontId="9" fillId="0" borderId="4" xfId="0" applyNumberFormat="1" applyFont="1" applyBorder="1"/>
    <xf numFmtId="193" fontId="58" fillId="0" borderId="0" xfId="0" applyNumberFormat="1" applyFont="1" applyAlignment="1">
      <alignment horizontal="left"/>
    </xf>
    <xf numFmtId="197" fontId="9" fillId="0" borderId="0" xfId="0" applyNumberFormat="1" applyFont="1"/>
    <xf numFmtId="180" fontId="12" fillId="0" borderId="0" xfId="0" applyNumberFormat="1" applyFont="1"/>
    <xf numFmtId="164" fontId="12" fillId="0" borderId="0" xfId="0" applyNumberFormat="1" applyFont="1"/>
    <xf numFmtId="164" fontId="12" fillId="0" borderId="4" xfId="0" applyNumberFormat="1" applyFont="1" applyBorder="1"/>
    <xf numFmtId="164" fontId="12" fillId="0" borderId="0" xfId="0" applyNumberFormat="1" applyFont="1" applyBorder="1"/>
    <xf numFmtId="164" fontId="9" fillId="0" borderId="0" xfId="0" applyNumberFormat="1" applyFont="1" applyBorder="1" applyAlignment="1">
      <alignment horizontal="center"/>
    </xf>
    <xf numFmtId="197" fontId="9" fillId="0" borderId="0" xfId="0" applyNumberFormat="1" applyFont="1" applyAlignment="1">
      <alignment horizontal="center"/>
    </xf>
    <xf numFmtId="180" fontId="11" fillId="0" borderId="0" xfId="0" applyNumberFormat="1" applyFont="1" applyAlignment="1">
      <alignment horizontal="center"/>
    </xf>
    <xf numFmtId="164" fontId="11" fillId="0" borderId="0" xfId="0" applyNumberFormat="1" applyFont="1" applyAlignment="1">
      <alignment horizontal="center"/>
    </xf>
    <xf numFmtId="164" fontId="11" fillId="0" borderId="4" xfId="0" applyNumberFormat="1" applyFont="1" applyBorder="1" applyAlignment="1">
      <alignment horizontal="center"/>
    </xf>
    <xf numFmtId="166" fontId="9" fillId="0" borderId="0" xfId="0" applyNumberFormat="1" applyFont="1" applyFill="1" applyAlignment="1">
      <alignment horizontal="center"/>
    </xf>
    <xf numFmtId="166" fontId="9" fillId="0" borderId="4" xfId="0" applyNumberFormat="1" applyFont="1" applyFill="1" applyBorder="1" applyAlignment="1">
      <alignment horizontal="center"/>
    </xf>
    <xf numFmtId="166" fontId="9" fillId="0" borderId="0" xfId="0" applyNumberFormat="1" applyFont="1" applyFill="1" applyBorder="1" applyAlignment="1">
      <alignment horizontal="center"/>
    </xf>
    <xf numFmtId="196" fontId="82" fillId="0" borderId="0" xfId="0" applyNumberFormat="1" applyFont="1" applyAlignment="1">
      <alignment horizontal="center"/>
    </xf>
    <xf numFmtId="199" fontId="12" fillId="0" borderId="4" xfId="0" applyNumberFormat="1" applyFont="1" applyBorder="1" applyAlignment="1">
      <alignment horizontal="center"/>
    </xf>
    <xf numFmtId="170" fontId="9" fillId="0" borderId="0" xfId="0" applyNumberFormat="1" applyFont="1" applyFill="1"/>
    <xf numFmtId="10" fontId="9" fillId="0" borderId="0" xfId="0" applyNumberFormat="1" applyFont="1" applyAlignment="1">
      <alignment horizontal="center"/>
    </xf>
    <xf numFmtId="10" fontId="9" fillId="0" borderId="0" xfId="0" applyNumberFormat="1" applyFont="1"/>
    <xf numFmtId="199" fontId="12" fillId="0" borderId="0" xfId="0" applyNumberFormat="1" applyFont="1" applyAlignment="1">
      <alignment horizontal="center"/>
    </xf>
    <xf numFmtId="9" fontId="9" fillId="0" borderId="0" xfId="37" applyFont="1" applyBorder="1" applyAlignment="1">
      <alignment horizontal="center"/>
    </xf>
    <xf numFmtId="181" fontId="82" fillId="0" borderId="0" xfId="0" applyNumberFormat="1" applyFont="1" applyFill="1" applyAlignment="1">
      <alignment horizontal="center"/>
    </xf>
    <xf numFmtId="9" fontId="9" fillId="0" borderId="4" xfId="37" applyFont="1" applyBorder="1" applyAlignment="1">
      <alignment horizontal="center"/>
    </xf>
    <xf numFmtId="180" fontId="83" fillId="0" borderId="0" xfId="0" applyNumberFormat="1" applyFont="1" applyFill="1" applyAlignment="1">
      <alignment horizontal="center"/>
    </xf>
    <xf numFmtId="166" fontId="11" fillId="0" borderId="0" xfId="37" applyNumberFormat="1" applyFont="1" applyAlignment="1">
      <alignment horizontal="center"/>
    </xf>
    <xf numFmtId="192" fontId="9" fillId="0" borderId="0" xfId="0" applyNumberFormat="1" applyFont="1"/>
    <xf numFmtId="170" fontId="12" fillId="0" borderId="0" xfId="0" applyNumberFormat="1" applyFont="1" applyFill="1"/>
    <xf numFmtId="170" fontId="9" fillId="0" borderId="0" xfId="0" applyNumberFormat="1" applyFont="1" applyFill="1" applyBorder="1"/>
    <xf numFmtId="164" fontId="11" fillId="0" borderId="0" xfId="0" applyNumberFormat="1" applyFont="1" applyFill="1" applyAlignment="1">
      <alignment horizontal="center"/>
    </xf>
    <xf numFmtId="8" fontId="9" fillId="0" borderId="0" xfId="0" applyNumberFormat="1" applyFont="1"/>
    <xf numFmtId="164" fontId="11" fillId="0" borderId="0" xfId="0" applyNumberFormat="1" applyFont="1" applyBorder="1" applyAlignment="1">
      <alignment horizontal="center"/>
    </xf>
    <xf numFmtId="199" fontId="9" fillId="0" borderId="0" xfId="0" applyNumberFormat="1" applyFont="1" applyFill="1" applyAlignment="1">
      <alignment horizontal="center"/>
    </xf>
    <xf numFmtId="166" fontId="11" fillId="0" borderId="0" xfId="37" applyNumberFormat="1" applyFont="1"/>
    <xf numFmtId="0" fontId="11" fillId="0" borderId="0" xfId="0" applyFont="1" applyFill="1" applyBorder="1" applyAlignment="1">
      <alignment horizontal="center"/>
    </xf>
    <xf numFmtId="9" fontId="9" fillId="0" borderId="0" xfId="0" applyNumberFormat="1" applyFont="1" applyFill="1"/>
    <xf numFmtId="0" fontId="58" fillId="0" borderId="0" xfId="0" applyFont="1" applyFill="1" applyAlignment="1">
      <alignment horizontal="center"/>
    </xf>
    <xf numFmtId="0" fontId="58" fillId="0" borderId="9" xfId="0" applyFont="1" applyFill="1" applyBorder="1" applyAlignment="1">
      <alignment horizontal="center"/>
    </xf>
    <xf numFmtId="0" fontId="58" fillId="0" borderId="14" xfId="0" applyFont="1" applyFill="1" applyBorder="1" applyAlignment="1">
      <alignment horizontal="center"/>
    </xf>
    <xf numFmtId="0" fontId="58" fillId="0" borderId="0" xfId="0" applyFont="1" applyFill="1" applyBorder="1" applyAlignment="1">
      <alignment horizontal="center"/>
    </xf>
    <xf numFmtId="1" fontId="9" fillId="0" borderId="0" xfId="0" applyNumberFormat="1" applyFont="1" applyFill="1"/>
    <xf numFmtId="170" fontId="40" fillId="0" borderId="0" xfId="0" applyNumberFormat="1" applyFont="1" applyFill="1"/>
    <xf numFmtId="177" fontId="9" fillId="0" borderId="0" xfId="0" applyNumberFormat="1" applyFont="1" applyFill="1"/>
    <xf numFmtId="166" fontId="9" fillId="0" borderId="0" xfId="37" applyNumberFormat="1" applyFont="1" applyFill="1"/>
    <xf numFmtId="4" fontId="9" fillId="0" borderId="0" xfId="0" applyNumberFormat="1" applyFont="1" applyFill="1"/>
    <xf numFmtId="3" fontId="9" fillId="0" borderId="0" xfId="0" applyNumberFormat="1" applyFont="1" applyFill="1"/>
    <xf numFmtId="164" fontId="20" fillId="0" borderId="0" xfId="0" applyNumberFormat="1" applyFont="1" applyFill="1" applyBorder="1" applyAlignment="1">
      <alignment horizontal="center"/>
    </xf>
    <xf numFmtId="165" fontId="9" fillId="0" borderId="4" xfId="0" applyNumberFormat="1" applyFont="1" applyFill="1" applyBorder="1"/>
    <xf numFmtId="1" fontId="9" fillId="0" borderId="4" xfId="0" applyNumberFormat="1" applyFont="1" applyFill="1" applyBorder="1"/>
    <xf numFmtId="164" fontId="38" fillId="0" borderId="4" xfId="0" applyNumberFormat="1" applyFont="1" applyFill="1" applyBorder="1"/>
    <xf numFmtId="4" fontId="9" fillId="0" borderId="4" xfId="0" applyNumberFormat="1" applyFont="1" applyFill="1" applyBorder="1"/>
    <xf numFmtId="197" fontId="9" fillId="0" borderId="4" xfId="0" applyNumberFormat="1" applyFont="1" applyFill="1" applyBorder="1"/>
    <xf numFmtId="170" fontId="40" fillId="0" borderId="4" xfId="0" applyNumberFormat="1" applyFont="1" applyFill="1" applyBorder="1"/>
    <xf numFmtId="3" fontId="9" fillId="0" borderId="4" xfId="0" applyNumberFormat="1" applyFont="1" applyFill="1" applyBorder="1"/>
    <xf numFmtId="164" fontId="20" fillId="0" borderId="4" xfId="0" applyNumberFormat="1" applyFont="1" applyFill="1" applyBorder="1" applyAlignment="1">
      <alignment horizontal="center"/>
    </xf>
    <xf numFmtId="166" fontId="9" fillId="0" borderId="4" xfId="37" applyNumberFormat="1" applyFont="1" applyFill="1" applyBorder="1"/>
    <xf numFmtId="166" fontId="11" fillId="0" borderId="0" xfId="37" applyNumberFormat="1" applyFont="1" applyFill="1"/>
    <xf numFmtId="9" fontId="38" fillId="0" borderId="0" xfId="37" applyFont="1" applyBorder="1" applyAlignment="1">
      <alignment horizontal="center"/>
    </xf>
    <xf numFmtId="9" fontId="76" fillId="0" borderId="0" xfId="0" applyNumberFormat="1" applyFont="1" applyFill="1"/>
    <xf numFmtId="171" fontId="12" fillId="0" borderId="0" xfId="0" applyNumberFormat="1" applyFont="1" applyFill="1" applyAlignment="1">
      <alignment horizontal="center"/>
    </xf>
    <xf numFmtId="165" fontId="12" fillId="0" borderId="0" xfId="0" applyNumberFormat="1" applyFont="1" applyFill="1" applyAlignment="1">
      <alignment horizontal="center"/>
    </xf>
    <xf numFmtId="164" fontId="11" fillId="0" borderId="0" xfId="0" applyNumberFormat="1" applyFont="1" applyFill="1" applyBorder="1" applyAlignment="1">
      <alignment horizontal="center"/>
    </xf>
    <xf numFmtId="164" fontId="11" fillId="0" borderId="4" xfId="0" applyNumberFormat="1" applyFont="1" applyFill="1" applyBorder="1" applyAlignment="1">
      <alignment horizontal="center"/>
    </xf>
    <xf numFmtId="165" fontId="20" fillId="0" borderId="0" xfId="0" applyNumberFormat="1" applyFont="1" applyFill="1" applyAlignment="1">
      <alignment horizontal="center"/>
    </xf>
    <xf numFmtId="10" fontId="9" fillId="0" borderId="0" xfId="0" applyNumberFormat="1" applyFont="1" applyFill="1"/>
    <xf numFmtId="164" fontId="114" fillId="0" borderId="0" xfId="0" applyNumberFormat="1" applyFont="1" applyFill="1" applyAlignment="1">
      <alignment horizontal="center"/>
    </xf>
    <xf numFmtId="164" fontId="114" fillId="0" borderId="4" xfId="0" applyNumberFormat="1" applyFont="1" applyFill="1" applyBorder="1" applyAlignment="1">
      <alignment horizontal="center"/>
    </xf>
    <xf numFmtId="9" fontId="114" fillId="0" borderId="0" xfId="37" applyFont="1" applyFill="1" applyBorder="1" applyAlignment="1">
      <alignment horizontal="center"/>
    </xf>
    <xf numFmtId="164" fontId="92" fillId="0" borderId="0" xfId="0" applyNumberFormat="1" applyFont="1" applyFill="1" applyBorder="1" applyAlignment="1">
      <alignment horizontal="center"/>
    </xf>
    <xf numFmtId="9" fontId="114" fillId="0" borderId="4" xfId="37" applyFont="1" applyFill="1" applyBorder="1" applyAlignment="1">
      <alignment horizontal="center"/>
    </xf>
    <xf numFmtId="165" fontId="12" fillId="0" borderId="4" xfId="0" applyNumberFormat="1" applyFont="1" applyFill="1" applyBorder="1" applyAlignment="1">
      <alignment horizontal="center"/>
    </xf>
    <xf numFmtId="165" fontId="20" fillId="0" borderId="0" xfId="0" applyNumberFormat="1" applyFont="1" applyFill="1" applyBorder="1" applyAlignment="1">
      <alignment horizontal="center"/>
    </xf>
    <xf numFmtId="9" fontId="38" fillId="0" borderId="0" xfId="37" applyFont="1" applyFill="1" applyBorder="1" applyAlignment="1">
      <alignment horizontal="center"/>
    </xf>
    <xf numFmtId="166" fontId="11" fillId="0" borderId="4" xfId="37" applyNumberFormat="1" applyFont="1" applyFill="1" applyBorder="1"/>
    <xf numFmtId="170" fontId="135" fillId="0" borderId="0" xfId="0" applyNumberFormat="1" applyFont="1" applyFill="1"/>
    <xf numFmtId="164" fontId="136" fillId="0" borderId="0" xfId="0" applyNumberFormat="1" applyFont="1" applyFill="1" applyBorder="1" applyAlignment="1">
      <alignment horizontal="center"/>
    </xf>
    <xf numFmtId="166" fontId="12" fillId="0" borderId="4" xfId="0" applyNumberFormat="1" applyFont="1" applyFill="1" applyBorder="1" applyAlignment="1">
      <alignment horizontal="center"/>
    </xf>
    <xf numFmtId="166" fontId="11" fillId="0" borderId="0" xfId="37" applyNumberFormat="1" applyFont="1" applyFill="1" applyBorder="1"/>
    <xf numFmtId="0" fontId="11" fillId="0" borderId="15" xfId="0" applyFont="1" applyFill="1" applyBorder="1" applyAlignment="1">
      <alignment horizontal="center"/>
    </xf>
    <xf numFmtId="0" fontId="9" fillId="0" borderId="6" xfId="0" applyFont="1" applyBorder="1"/>
    <xf numFmtId="0" fontId="11" fillId="0" borderId="8" xfId="0" applyFont="1" applyBorder="1" applyAlignment="1">
      <alignment horizontal="center"/>
    </xf>
    <xf numFmtId="0" fontId="11" fillId="0" borderId="11" xfId="0" applyFont="1" applyFill="1" applyBorder="1" applyAlignment="1">
      <alignment horizontal="center"/>
    </xf>
    <xf numFmtId="0" fontId="11" fillId="0" borderId="9" xfId="0" applyFont="1" applyBorder="1" applyAlignment="1">
      <alignment horizontal="center"/>
    </xf>
    <xf numFmtId="0" fontId="11" fillId="0" borderId="14" xfId="0" applyFont="1" applyBorder="1" applyAlignment="1">
      <alignment horizontal="center"/>
    </xf>
    <xf numFmtId="0" fontId="11" fillId="0" borderId="21" xfId="0" applyFont="1" applyFill="1" applyBorder="1" applyAlignment="1">
      <alignment horizontal="center"/>
    </xf>
    <xf numFmtId="0" fontId="11" fillId="0" borderId="9" xfId="0" applyFont="1" applyFill="1" applyBorder="1" applyAlignment="1">
      <alignment horizontal="center"/>
    </xf>
    <xf numFmtId="0" fontId="9" fillId="0" borderId="21" xfId="0" applyFont="1" applyBorder="1"/>
    <xf numFmtId="180" fontId="12" fillId="0" borderId="8" xfId="0" applyNumberFormat="1" applyFont="1" applyBorder="1"/>
    <xf numFmtId="180" fontId="12" fillId="0" borderId="0" xfId="0" applyNumberFormat="1" applyFont="1" applyBorder="1"/>
    <xf numFmtId="180" fontId="9" fillId="0" borderId="0" xfId="0" applyNumberFormat="1" applyFont="1" applyBorder="1" applyAlignment="1">
      <alignment horizontal="center"/>
    </xf>
    <xf numFmtId="164" fontId="12" fillId="0" borderId="8" xfId="0" applyNumberFormat="1" applyFont="1" applyBorder="1"/>
    <xf numFmtId="164" fontId="12" fillId="0" borderId="9" xfId="0" applyNumberFormat="1" applyFont="1" applyBorder="1"/>
    <xf numFmtId="180" fontId="9" fillId="0" borderId="8" xfId="0" applyNumberFormat="1" applyFont="1" applyBorder="1"/>
    <xf numFmtId="180" fontId="12" fillId="0" borderId="8" xfId="0" applyNumberFormat="1" applyFont="1" applyBorder="1" applyAlignment="1">
      <alignment horizontal="center"/>
    </xf>
    <xf numFmtId="180" fontId="11" fillId="0" borderId="0" xfId="0" applyNumberFormat="1" applyFont="1" applyBorder="1" applyAlignment="1">
      <alignment horizontal="center"/>
    </xf>
    <xf numFmtId="164" fontId="12" fillId="0" borderId="8" xfId="0" applyNumberFormat="1" applyFont="1" applyBorder="1" applyAlignment="1">
      <alignment horizontal="center"/>
    </xf>
    <xf numFmtId="164" fontId="12" fillId="0" borderId="9" xfId="0" applyNumberFormat="1" applyFont="1" applyBorder="1" applyAlignment="1">
      <alignment horizontal="center"/>
    </xf>
    <xf numFmtId="180" fontId="9" fillId="0" borderId="8" xfId="0" applyNumberFormat="1" applyFont="1" applyBorder="1" applyAlignment="1">
      <alignment horizontal="center"/>
    </xf>
    <xf numFmtId="166" fontId="9" fillId="0" borderId="0" xfId="37" applyNumberFormat="1" applyFont="1" applyBorder="1" applyAlignment="1">
      <alignment horizontal="center"/>
    </xf>
    <xf numFmtId="166" fontId="9" fillId="0" borderId="15" xfId="37" applyNumberFormat="1" applyFont="1" applyBorder="1" applyAlignment="1">
      <alignment horizontal="center"/>
    </xf>
    <xf numFmtId="164" fontId="9" fillId="0" borderId="8" xfId="0" applyNumberFormat="1" applyFont="1" applyBorder="1" applyAlignment="1">
      <alignment horizontal="center"/>
    </xf>
    <xf numFmtId="166" fontId="12" fillId="0" borderId="0" xfId="37" applyNumberFormat="1" applyFont="1" applyBorder="1" applyAlignment="1">
      <alignment horizontal="center"/>
    </xf>
    <xf numFmtId="166" fontId="12" fillId="0" borderId="15" xfId="37" applyNumberFormat="1" applyFont="1" applyBorder="1" applyAlignment="1">
      <alignment horizontal="center"/>
    </xf>
    <xf numFmtId="180" fontId="11" fillId="0" borderId="8" xfId="0" applyNumberFormat="1" applyFont="1" applyBorder="1" applyAlignment="1">
      <alignment horizontal="center"/>
    </xf>
    <xf numFmtId="10" fontId="9" fillId="0" borderId="8" xfId="0" applyNumberFormat="1" applyFont="1" applyBorder="1" applyAlignment="1">
      <alignment horizontal="center"/>
    </xf>
    <xf numFmtId="10" fontId="9" fillId="0" borderId="0" xfId="0" applyNumberFormat="1" applyFont="1" applyBorder="1"/>
    <xf numFmtId="164" fontId="12" fillId="0" borderId="0" xfId="0" applyNumberFormat="1" applyFont="1" applyBorder="1" applyAlignment="1">
      <alignment horizontal="center"/>
    </xf>
    <xf numFmtId="164" fontId="12" fillId="0" borderId="9" xfId="0" applyNumberFormat="1" applyFont="1" applyFill="1" applyBorder="1" applyAlignment="1">
      <alignment horizontal="center"/>
    </xf>
    <xf numFmtId="180" fontId="20" fillId="0" borderId="8" xfId="0" applyNumberFormat="1" applyFont="1" applyFill="1" applyBorder="1" applyAlignment="1">
      <alignment horizontal="center"/>
    </xf>
    <xf numFmtId="180" fontId="20" fillId="0" borderId="0" xfId="0" applyNumberFormat="1" applyFont="1" applyFill="1" applyBorder="1" applyAlignment="1">
      <alignment horizontal="center"/>
    </xf>
    <xf numFmtId="166" fontId="11" fillId="0" borderId="0" xfId="37" applyNumberFormat="1" applyFont="1" applyBorder="1" applyAlignment="1">
      <alignment horizontal="center"/>
    </xf>
    <xf numFmtId="166" fontId="11" fillId="0" borderId="15" xfId="37" applyNumberFormat="1" applyFont="1" applyBorder="1" applyAlignment="1">
      <alignment horizontal="center"/>
    </xf>
    <xf numFmtId="0" fontId="9" fillId="0" borderId="8" xfId="0" applyFont="1" applyFill="1" applyBorder="1"/>
    <xf numFmtId="180" fontId="12" fillId="0" borderId="8" xfId="0" applyNumberFormat="1" applyFont="1" applyFill="1" applyBorder="1" applyAlignment="1">
      <alignment horizontal="center"/>
    </xf>
    <xf numFmtId="180" fontId="12" fillId="0" borderId="0" xfId="0" applyNumberFormat="1" applyFont="1" applyBorder="1" applyAlignment="1">
      <alignment horizontal="center"/>
    </xf>
    <xf numFmtId="0" fontId="9" fillId="0" borderId="8" xfId="0" applyFont="1" applyFill="1" applyBorder="1" applyAlignment="1">
      <alignment horizontal="center"/>
    </xf>
    <xf numFmtId="164" fontId="12" fillId="0" borderId="8" xfId="0" applyNumberFormat="1" applyFont="1" applyFill="1" applyBorder="1" applyAlignment="1">
      <alignment horizontal="center"/>
    </xf>
    <xf numFmtId="164" fontId="12" fillId="0" borderId="0" xfId="0" applyNumberFormat="1" applyFont="1" applyFill="1" applyBorder="1" applyAlignment="1">
      <alignment horizontal="center"/>
    </xf>
    <xf numFmtId="166" fontId="9" fillId="0" borderId="15" xfId="37" applyNumberFormat="1" applyFont="1" applyFill="1" applyBorder="1" applyAlignment="1">
      <alignment horizontal="center"/>
    </xf>
    <xf numFmtId="180" fontId="20" fillId="0" borderId="8" xfId="0" applyNumberFormat="1" applyFont="1" applyBorder="1" applyAlignment="1">
      <alignment horizontal="center"/>
    </xf>
    <xf numFmtId="180" fontId="20" fillId="0" borderId="0" xfId="0" applyNumberFormat="1" applyFont="1" applyBorder="1" applyAlignment="1">
      <alignment horizontal="center"/>
    </xf>
    <xf numFmtId="8" fontId="9" fillId="0" borderId="0" xfId="0" applyNumberFormat="1" applyFont="1" applyBorder="1"/>
    <xf numFmtId="166" fontId="11" fillId="0" borderId="0" xfId="37" applyNumberFormat="1" applyFont="1" applyBorder="1"/>
    <xf numFmtId="166" fontId="11" fillId="0" borderId="15" xfId="37" applyNumberFormat="1" applyFont="1" applyBorder="1"/>
    <xf numFmtId="180" fontId="9" fillId="0" borderId="8" xfId="0" applyNumberFormat="1" applyFont="1" applyFill="1" applyBorder="1"/>
    <xf numFmtId="9" fontId="9" fillId="0" borderId="0" xfId="0" applyNumberFormat="1" applyFont="1" applyFill="1" applyBorder="1"/>
    <xf numFmtId="0" fontId="9" fillId="0" borderId="15" xfId="0" applyFont="1" applyFill="1" applyBorder="1"/>
    <xf numFmtId="180" fontId="12" fillId="0" borderId="0" xfId="0" applyNumberFormat="1" applyFont="1" applyFill="1" applyBorder="1" applyAlignment="1">
      <alignment horizontal="center"/>
    </xf>
    <xf numFmtId="166" fontId="9" fillId="0" borderId="15" xfId="37" applyNumberFormat="1" applyFont="1" applyFill="1" applyBorder="1"/>
    <xf numFmtId="180" fontId="11" fillId="0" borderId="8" xfId="0" applyNumberFormat="1" applyFont="1" applyFill="1" applyBorder="1" applyAlignment="1">
      <alignment horizontal="center"/>
    </xf>
    <xf numFmtId="166" fontId="11" fillId="0" borderId="15" xfId="37" applyNumberFormat="1" applyFont="1" applyFill="1" applyBorder="1"/>
    <xf numFmtId="0" fontId="9" fillId="0" borderId="11" xfId="0" applyFont="1" applyFill="1" applyBorder="1"/>
    <xf numFmtId="0" fontId="9" fillId="0" borderId="13" xfId="0" applyFont="1" applyFill="1" applyBorder="1"/>
    <xf numFmtId="0" fontId="9" fillId="0" borderId="0" xfId="0" applyNumberFormat="1" applyFont="1" applyFill="1" applyBorder="1"/>
    <xf numFmtId="165" fontId="12" fillId="0" borderId="8" xfId="0" applyNumberFormat="1" applyFont="1" applyFill="1" applyBorder="1" applyAlignment="1">
      <alignment horizontal="center"/>
    </xf>
    <xf numFmtId="0" fontId="9" fillId="0" borderId="0" xfId="0" applyNumberFormat="1" applyFont="1" applyBorder="1"/>
    <xf numFmtId="171" fontId="12" fillId="0" borderId="8" xfId="0" applyNumberFormat="1" applyFont="1" applyFill="1" applyBorder="1" applyAlignment="1">
      <alignment horizontal="center"/>
    </xf>
    <xf numFmtId="165" fontId="12" fillId="2" borderId="8" xfId="0" applyNumberFormat="1" applyFont="1" applyFill="1" applyBorder="1" applyAlignment="1">
      <alignment horizontal="center"/>
    </xf>
    <xf numFmtId="0" fontId="9" fillId="0" borderId="0" xfId="37" applyNumberFormat="1" applyFont="1" applyFill="1" applyBorder="1"/>
    <xf numFmtId="165" fontId="9" fillId="2" borderId="9" xfId="0" applyNumberFormat="1" applyFont="1" applyFill="1" applyBorder="1" applyAlignment="1">
      <alignment horizontal="center"/>
    </xf>
    <xf numFmtId="165" fontId="20" fillId="0" borderId="8" xfId="0" applyNumberFormat="1" applyFont="1" applyFill="1" applyBorder="1" applyAlignment="1">
      <alignment horizontal="center"/>
    </xf>
    <xf numFmtId="0" fontId="11" fillId="0" borderId="0" xfId="37" applyNumberFormat="1" applyFont="1" applyFill="1" applyBorder="1"/>
    <xf numFmtId="165" fontId="9" fillId="0" borderId="8" xfId="0" applyNumberFormat="1" applyFont="1" applyFill="1" applyBorder="1" applyAlignment="1">
      <alignment horizontal="center"/>
    </xf>
    <xf numFmtId="166" fontId="9" fillId="0" borderId="8" xfId="37" applyNumberFormat="1" applyFont="1" applyFill="1" applyBorder="1"/>
    <xf numFmtId="165" fontId="9" fillId="0" borderId="9" xfId="0" applyNumberFormat="1" applyFont="1" applyFill="1" applyBorder="1" applyAlignment="1">
      <alignment horizontal="center"/>
    </xf>
    <xf numFmtId="166" fontId="11" fillId="0" borderId="8" xfId="37" applyNumberFormat="1" applyFont="1" applyFill="1" applyBorder="1"/>
    <xf numFmtId="165" fontId="12" fillId="0" borderId="0" xfId="0" applyNumberFormat="1" applyFont="1" applyFill="1" applyBorder="1" applyAlignment="1">
      <alignment horizontal="center"/>
    </xf>
    <xf numFmtId="171" fontId="12" fillId="0" borderId="11" xfId="0" applyNumberFormat="1" applyFont="1" applyFill="1" applyBorder="1" applyAlignment="1">
      <alignment horizontal="center"/>
    </xf>
    <xf numFmtId="171" fontId="12" fillId="0" borderId="12" xfId="0" applyNumberFormat="1" applyFont="1" applyFill="1" applyBorder="1" applyAlignment="1">
      <alignment horizontal="center"/>
    </xf>
    <xf numFmtId="171" fontId="12" fillId="0" borderId="13" xfId="0" applyNumberFormat="1" applyFont="1" applyFill="1" applyBorder="1" applyAlignment="1">
      <alignment horizontal="center"/>
    </xf>
    <xf numFmtId="0" fontId="11" fillId="4" borderId="0" xfId="0" applyFont="1" applyFill="1" applyAlignment="1">
      <alignment horizontal="left"/>
    </xf>
    <xf numFmtId="165" fontId="20" fillId="4" borderId="8" xfId="0" applyNumberFormat="1" applyFont="1" applyFill="1" applyBorder="1" applyAlignment="1">
      <alignment horizontal="center"/>
    </xf>
    <xf numFmtId="166" fontId="11" fillId="4" borderId="0" xfId="37" applyNumberFormat="1" applyFont="1" applyFill="1" applyBorder="1"/>
    <xf numFmtId="165" fontId="12" fillId="4" borderId="0" xfId="37" applyNumberFormat="1" applyFont="1" applyFill="1" applyBorder="1" applyAlignment="1">
      <alignment horizontal="center"/>
    </xf>
    <xf numFmtId="166" fontId="11" fillId="4" borderId="15" xfId="37" applyNumberFormat="1" applyFont="1" applyFill="1" applyBorder="1"/>
    <xf numFmtId="164" fontId="114" fillId="0" borderId="8" xfId="0" applyNumberFormat="1" applyFont="1" applyFill="1" applyBorder="1" applyAlignment="1">
      <alignment horizontal="center"/>
    </xf>
    <xf numFmtId="164" fontId="114" fillId="0" borderId="0" xfId="0" applyNumberFormat="1" applyFont="1" applyFill="1" applyBorder="1" applyAlignment="1">
      <alignment horizontal="center"/>
    </xf>
    <xf numFmtId="164" fontId="114" fillId="0" borderId="9" xfId="0" applyNumberFormat="1" applyFont="1" applyFill="1" applyBorder="1" applyAlignment="1">
      <alignment horizontal="center"/>
    </xf>
    <xf numFmtId="171" fontId="12" fillId="0" borderId="0" xfId="0" applyNumberFormat="1" applyFont="1" applyFill="1" applyBorder="1" applyAlignment="1">
      <alignment horizontal="center"/>
    </xf>
    <xf numFmtId="171" fontId="12" fillId="0" borderId="15" xfId="0" applyNumberFormat="1" applyFont="1" applyFill="1" applyBorder="1" applyAlignment="1">
      <alignment horizontal="center"/>
    </xf>
    <xf numFmtId="171" fontId="9" fillId="0" borderId="0" xfId="0" applyNumberFormat="1" applyFont="1" applyFill="1" applyBorder="1" applyAlignment="1">
      <alignment horizontal="center"/>
    </xf>
    <xf numFmtId="169" fontId="12" fillId="0" borderId="8" xfId="0" applyNumberFormat="1" applyFont="1" applyFill="1" applyBorder="1" applyAlignment="1">
      <alignment horizontal="center"/>
    </xf>
    <xf numFmtId="169" fontId="12" fillId="0" borderId="0" xfId="0" applyNumberFormat="1" applyFont="1" applyFill="1" applyBorder="1" applyAlignment="1">
      <alignment horizontal="center"/>
    </xf>
    <xf numFmtId="169" fontId="12" fillId="0" borderId="15" xfId="0" applyNumberFormat="1" applyFont="1" applyFill="1" applyBorder="1" applyAlignment="1">
      <alignment horizontal="center"/>
    </xf>
    <xf numFmtId="171" fontId="12" fillId="4" borderId="0" xfId="0" applyNumberFormat="1" applyFont="1" applyFill="1" applyBorder="1" applyAlignment="1">
      <alignment horizontal="center"/>
    </xf>
    <xf numFmtId="171" fontId="11" fillId="0" borderId="0" xfId="37" applyNumberFormat="1" applyFont="1" applyFill="1" applyBorder="1"/>
    <xf numFmtId="0" fontId="9" fillId="0" borderId="8" xfId="37" applyNumberFormat="1" applyFont="1" applyFill="1" applyBorder="1"/>
    <xf numFmtId="171" fontId="9" fillId="0" borderId="0" xfId="37" applyNumberFormat="1" applyFont="1" applyFill="1" applyBorder="1"/>
    <xf numFmtId="0" fontId="9" fillId="0" borderId="15" xfId="37" applyNumberFormat="1" applyFont="1" applyFill="1" applyBorder="1"/>
    <xf numFmtId="169" fontId="12" fillId="0" borderId="9" xfId="0" applyNumberFormat="1" applyFont="1" applyFill="1" applyBorder="1" applyAlignment="1">
      <alignment horizontal="center"/>
    </xf>
    <xf numFmtId="169" fontId="12" fillId="0" borderId="4" xfId="0" applyNumberFormat="1" applyFont="1" applyFill="1" applyBorder="1" applyAlignment="1">
      <alignment horizontal="center"/>
    </xf>
    <xf numFmtId="169" fontId="12" fillId="0" borderId="14" xfId="0" applyNumberFormat="1" applyFont="1" applyFill="1" applyBorder="1" applyAlignment="1">
      <alignment horizontal="center"/>
    </xf>
    <xf numFmtId="165" fontId="20" fillId="4" borderId="0" xfId="0" applyNumberFormat="1" applyFont="1" applyFill="1" applyBorder="1" applyAlignment="1">
      <alignment horizontal="center"/>
    </xf>
    <xf numFmtId="180" fontId="11" fillId="0" borderId="11" xfId="0" applyNumberFormat="1" applyFont="1" applyFill="1" applyBorder="1" applyAlignment="1">
      <alignment horizontal="center"/>
    </xf>
    <xf numFmtId="165" fontId="12" fillId="0" borderId="12" xfId="0" applyNumberFormat="1" applyFont="1" applyFill="1" applyBorder="1" applyAlignment="1">
      <alignment horizontal="center"/>
    </xf>
    <xf numFmtId="169" fontId="12" fillId="0" borderId="11" xfId="0" applyNumberFormat="1" applyFont="1" applyFill="1" applyBorder="1" applyAlignment="1">
      <alignment horizontal="center"/>
    </xf>
    <xf numFmtId="169" fontId="12" fillId="0" borderId="12" xfId="0" applyNumberFormat="1" applyFont="1" applyFill="1" applyBorder="1" applyAlignment="1">
      <alignment horizontal="center"/>
    </xf>
    <xf numFmtId="169" fontId="12" fillId="0" borderId="13" xfId="0" applyNumberFormat="1" applyFont="1" applyFill="1" applyBorder="1" applyAlignment="1">
      <alignment horizontal="center"/>
    </xf>
    <xf numFmtId="171" fontId="9" fillId="0" borderId="8" xfId="0" applyNumberFormat="1" applyFont="1" applyBorder="1"/>
    <xf numFmtId="10" fontId="9" fillId="0" borderId="15" xfId="0" applyNumberFormat="1" applyFont="1" applyFill="1" applyBorder="1"/>
    <xf numFmtId="165" fontId="9" fillId="0" borderId="8" xfId="0" applyNumberFormat="1" applyFont="1" applyFill="1" applyBorder="1"/>
    <xf numFmtId="164" fontId="9" fillId="0" borderId="8" xfId="0" applyNumberFormat="1" applyFont="1" applyBorder="1"/>
    <xf numFmtId="0" fontId="9" fillId="0" borderId="0" xfId="0" applyNumberFormat="1" applyFont="1" applyFill="1"/>
    <xf numFmtId="169" fontId="9" fillId="0" borderId="0" xfId="0" applyNumberFormat="1" applyFont="1"/>
    <xf numFmtId="164" fontId="9" fillId="0" borderId="8" xfId="0" applyNumberFormat="1" applyFont="1" applyFill="1" applyBorder="1" applyAlignment="1">
      <alignment horizontal="center"/>
    </xf>
    <xf numFmtId="165" fontId="11" fillId="4" borderId="9" xfId="0" applyNumberFormat="1" applyFont="1" applyFill="1" applyBorder="1" applyAlignment="1">
      <alignment horizontal="center"/>
    </xf>
    <xf numFmtId="166" fontId="11" fillId="4" borderId="4" xfId="37" applyNumberFormat="1" applyFont="1" applyFill="1" applyBorder="1"/>
    <xf numFmtId="165" fontId="11" fillId="4" borderId="4" xfId="0" applyNumberFormat="1" applyFont="1" applyFill="1" applyBorder="1" applyAlignment="1">
      <alignment horizontal="center"/>
    </xf>
    <xf numFmtId="180" fontId="11" fillId="0" borderId="6" xfId="0" applyNumberFormat="1" applyFont="1" applyFill="1" applyBorder="1" applyAlignment="1">
      <alignment horizontal="center"/>
    </xf>
    <xf numFmtId="180" fontId="11" fillId="0" borderId="5" xfId="0" applyNumberFormat="1" applyFont="1" applyFill="1" applyBorder="1" applyAlignment="1">
      <alignment horizontal="center"/>
    </xf>
    <xf numFmtId="9" fontId="114" fillId="0" borderId="5" xfId="37" applyFont="1" applyFill="1" applyBorder="1" applyAlignment="1">
      <alignment horizontal="center"/>
    </xf>
    <xf numFmtId="166" fontId="9" fillId="0" borderId="5" xfId="0" applyNumberFormat="1" applyFont="1" applyFill="1" applyBorder="1" applyAlignment="1">
      <alignment horizontal="center"/>
    </xf>
    <xf numFmtId="166" fontId="11" fillId="0" borderId="5" xfId="37" applyNumberFormat="1" applyFont="1" applyFill="1" applyBorder="1"/>
    <xf numFmtId="165" fontId="11" fillId="0" borderId="5" xfId="0" applyNumberFormat="1" applyFont="1" applyFill="1" applyBorder="1" applyAlignment="1">
      <alignment horizontal="center"/>
    </xf>
    <xf numFmtId="166" fontId="11" fillId="0" borderId="15" xfId="37" applyNumberFormat="1" applyFont="1" applyFill="1" applyBorder="1" applyAlignment="1">
      <alignment horizontal="center"/>
    </xf>
    <xf numFmtId="166" fontId="11" fillId="0" borderId="14" xfId="37" applyNumberFormat="1" applyFont="1" applyFill="1" applyBorder="1" applyAlignment="1">
      <alignment horizontal="center"/>
    </xf>
    <xf numFmtId="166" fontId="11" fillId="0" borderId="13" xfId="37" applyNumberFormat="1" applyFont="1" applyFill="1" applyBorder="1" applyAlignment="1">
      <alignment horizontal="center"/>
    </xf>
    <xf numFmtId="0" fontId="109" fillId="0" borderId="0" xfId="0" applyFont="1" applyAlignment="1">
      <alignment horizontal="left"/>
    </xf>
    <xf numFmtId="194" fontId="9" fillId="0" borderId="0" xfId="0" applyNumberFormat="1" applyFont="1"/>
    <xf numFmtId="189" fontId="9" fillId="0" borderId="0" xfId="0" applyNumberFormat="1" applyFont="1" applyFill="1"/>
    <xf numFmtId="190" fontId="9" fillId="0" borderId="0" xfId="0" applyNumberFormat="1" applyFont="1" applyFill="1"/>
    <xf numFmtId="195" fontId="20" fillId="0" borderId="0" xfId="0" applyNumberFormat="1" applyFont="1" applyFill="1" applyBorder="1" applyAlignment="1">
      <alignment horizontal="center"/>
    </xf>
    <xf numFmtId="0" fontId="58" fillId="0" borderId="0" xfId="0" applyFont="1" applyFill="1" applyAlignment="1">
      <alignment horizontal="left"/>
    </xf>
    <xf numFmtId="0" fontId="11" fillId="0" borderId="4" xfId="0" applyFont="1" applyFill="1" applyBorder="1"/>
    <xf numFmtId="190" fontId="9" fillId="0" borderId="4" xfId="0" applyNumberFormat="1" applyFont="1" applyFill="1" applyBorder="1"/>
    <xf numFmtId="0" fontId="11" fillId="0" borderId="4" xfId="0" applyFont="1" applyFill="1" applyBorder="1" applyAlignment="1">
      <alignment horizontal="left"/>
    </xf>
    <xf numFmtId="0" fontId="26" fillId="0" borderId="0" xfId="0" applyFont="1" applyFill="1" applyAlignment="1" applyProtection="1">
      <alignment horizontal="left"/>
    </xf>
    <xf numFmtId="2" fontId="11" fillId="0" borderId="0" xfId="0" applyNumberFormat="1" applyFont="1" applyFill="1"/>
    <xf numFmtId="171" fontId="11" fillId="0" borderId="0" xfId="0" applyNumberFormat="1" applyFont="1" applyFill="1"/>
    <xf numFmtId="193" fontId="20" fillId="0" borderId="4" xfId="0" applyNumberFormat="1" applyFont="1" applyFill="1" applyBorder="1" applyAlignment="1">
      <alignment horizontal="centerContinuous"/>
    </xf>
    <xf numFmtId="0" fontId="9" fillId="0" borderId="4" xfId="0" applyFont="1" applyFill="1" applyBorder="1" applyAlignment="1">
      <alignment horizontal="centerContinuous"/>
    </xf>
    <xf numFmtId="193" fontId="11" fillId="0" borderId="4" xfId="0" applyNumberFormat="1" applyFont="1" applyFill="1" applyBorder="1" applyAlignment="1">
      <alignment horizontal="centerContinuous"/>
    </xf>
    <xf numFmtId="193" fontId="11" fillId="0" borderId="4" xfId="0" applyNumberFormat="1" applyFont="1" applyBorder="1" applyAlignment="1">
      <alignment horizontal="centerContinuous"/>
    </xf>
    <xf numFmtId="0" fontId="83" fillId="0" borderId="0" xfId="0" applyFont="1" applyFill="1"/>
    <xf numFmtId="0" fontId="23" fillId="0" borderId="0" xfId="0" applyFont="1" applyFill="1"/>
    <xf numFmtId="0" fontId="23" fillId="0" borderId="0" xfId="0" applyFont="1" applyFill="1" applyAlignment="1">
      <alignment horizontal="centerContinuous"/>
    </xf>
    <xf numFmtId="0" fontId="9" fillId="0" borderId="0" xfId="0" applyFont="1" applyFill="1" applyAlignment="1">
      <alignment horizontal="centerContinuous"/>
    </xf>
    <xf numFmtId="0" fontId="9" fillId="0" borderId="0" xfId="0" applyFont="1" applyAlignment="1">
      <alignment horizontal="centerContinuous"/>
    </xf>
    <xf numFmtId="172" fontId="9" fillId="0" borderId="0" xfId="0" applyNumberFormat="1" applyFont="1" applyFill="1"/>
    <xf numFmtId="171" fontId="9" fillId="0" borderId="0" xfId="0" applyNumberFormat="1" applyFont="1" applyFill="1"/>
    <xf numFmtId="169" fontId="9" fillId="0" borderId="0" xfId="0" applyNumberFormat="1" applyFont="1" applyFill="1"/>
    <xf numFmtId="194" fontId="9" fillId="0" borderId="0" xfId="0" applyNumberFormat="1" applyFont="1" applyFill="1"/>
    <xf numFmtId="43" fontId="9" fillId="0" borderId="0" xfId="7" applyFont="1" applyFill="1"/>
    <xf numFmtId="43" fontId="9" fillId="0" borderId="0" xfId="0" applyNumberFormat="1" applyFont="1" applyFill="1"/>
    <xf numFmtId="172" fontId="12" fillId="0" borderId="0" xfId="0" applyNumberFormat="1" applyFont="1" applyFill="1"/>
    <xf numFmtId="190" fontId="9" fillId="0" borderId="0" xfId="37" applyNumberFormat="1" applyFont="1" applyFill="1"/>
    <xf numFmtId="194" fontId="12" fillId="0" borderId="0" xfId="0" applyNumberFormat="1" applyFont="1" applyFill="1" applyAlignment="1">
      <alignment horizontal="left"/>
    </xf>
    <xf numFmtId="171" fontId="12" fillId="0" borderId="0" xfId="0" applyNumberFormat="1" applyFont="1" applyFill="1"/>
    <xf numFmtId="262" fontId="12" fillId="0" borderId="0" xfId="0" applyNumberFormat="1" applyFont="1" applyFill="1" applyAlignment="1">
      <alignment horizontal="left"/>
    </xf>
    <xf numFmtId="194" fontId="9" fillId="0" borderId="0" xfId="0" applyNumberFormat="1" applyFont="1" applyFill="1" applyAlignment="1">
      <alignment horizontal="left"/>
    </xf>
    <xf numFmtId="181" fontId="12" fillId="0" borderId="0" xfId="0" applyNumberFormat="1" applyFont="1" applyFill="1"/>
    <xf numFmtId="169" fontId="12" fillId="0" borderId="0" xfId="0" applyNumberFormat="1" applyFont="1" applyFill="1"/>
    <xf numFmtId="169" fontId="135" fillId="0" borderId="0" xfId="0" applyNumberFormat="1" applyFont="1" applyFill="1"/>
    <xf numFmtId="169" fontId="135" fillId="0" borderId="0" xfId="0" applyNumberFormat="1" applyFont="1" applyFill="1" applyBorder="1"/>
    <xf numFmtId="181" fontId="12" fillId="0" borderId="4" xfId="0" applyNumberFormat="1" applyFont="1" applyFill="1" applyBorder="1"/>
    <xf numFmtId="169" fontId="12" fillId="0" borderId="4" xfId="0" applyNumberFormat="1" applyFont="1" applyFill="1" applyBorder="1"/>
    <xf numFmtId="169" fontId="9" fillId="0" borderId="4" xfId="0" applyNumberFormat="1" applyFont="1" applyFill="1" applyBorder="1"/>
    <xf numFmtId="6" fontId="9" fillId="0" borderId="0" xfId="0" applyNumberFormat="1" applyFont="1" applyFill="1"/>
    <xf numFmtId="194" fontId="9" fillId="0" borderId="0" xfId="0" applyNumberFormat="1" applyFont="1" applyAlignment="1">
      <alignment horizontal="left"/>
    </xf>
    <xf numFmtId="171" fontId="9" fillId="0" borderId="0" xfId="0" applyNumberFormat="1" applyFont="1" applyAlignment="1">
      <alignment horizontal="left"/>
    </xf>
    <xf numFmtId="166" fontId="23" fillId="0" borderId="0" xfId="37" applyNumberFormat="1" applyFont="1" applyFill="1" applyAlignment="1">
      <alignment horizontal="centerContinuous"/>
    </xf>
    <xf numFmtId="5" fontId="109" fillId="0" borderId="0" xfId="0" applyNumberFormat="1" applyFont="1" applyAlignment="1">
      <alignment horizontal="left"/>
    </xf>
    <xf numFmtId="184" fontId="9" fillId="0" borderId="0" xfId="0" applyNumberFormat="1" applyFont="1" applyFill="1"/>
    <xf numFmtId="210" fontId="9" fillId="0" borderId="0" xfId="0" applyNumberFormat="1" applyFont="1" applyFill="1"/>
    <xf numFmtId="189" fontId="9" fillId="0" borderId="0" xfId="0" applyNumberFormat="1" applyFont="1" applyAlignment="1">
      <alignment horizontal="left"/>
    </xf>
    <xf numFmtId="210" fontId="9" fillId="0" borderId="0" xfId="0" applyNumberFormat="1" applyFont="1"/>
    <xf numFmtId="189" fontId="9" fillId="0" borderId="0" xfId="0" applyNumberFormat="1" applyFont="1"/>
    <xf numFmtId="181" fontId="9" fillId="0" borderId="4" xfId="0" applyNumberFormat="1" applyFont="1" applyFill="1" applyBorder="1"/>
    <xf numFmtId="192" fontId="9" fillId="0" borderId="0" xfId="0" applyNumberFormat="1" applyFont="1" applyFill="1"/>
    <xf numFmtId="0" fontId="26" fillId="0" borderId="0" xfId="0" applyFont="1" applyFill="1" applyAlignment="1">
      <alignment horizontal="centerContinuous"/>
    </xf>
    <xf numFmtId="0" fontId="115" fillId="0" borderId="0" xfId="0" applyFont="1" applyFill="1" applyAlignment="1">
      <alignment horizontal="centerContinuous"/>
    </xf>
    <xf numFmtId="0" fontId="26" fillId="0" borderId="0" xfId="0" applyFont="1" applyAlignment="1">
      <alignment horizontal="centerContinuous"/>
    </xf>
    <xf numFmtId="169" fontId="116" fillId="0" borderId="0" xfId="0" applyNumberFormat="1" applyFont="1" applyFill="1"/>
    <xf numFmtId="9" fontId="26" fillId="0" borderId="0" xfId="0" applyNumberFormat="1" applyFont="1" applyFill="1"/>
    <xf numFmtId="8" fontId="47" fillId="0" borderId="0" xfId="0" applyNumberFormat="1" applyFont="1" applyFill="1"/>
    <xf numFmtId="40" fontId="12" fillId="0" borderId="0" xfId="0" applyNumberFormat="1" applyFont="1" applyFill="1"/>
    <xf numFmtId="166" fontId="26" fillId="0" borderId="0" xfId="0" applyNumberFormat="1" applyFont="1" applyFill="1"/>
    <xf numFmtId="169" fontId="116" fillId="0" borderId="0" xfId="0" applyNumberFormat="1" applyFont="1"/>
    <xf numFmtId="8" fontId="26" fillId="0" borderId="0" xfId="0" applyNumberFormat="1" applyFont="1" applyFill="1"/>
    <xf numFmtId="0" fontId="58" fillId="0" borderId="0" xfId="0" applyFont="1" applyAlignment="1">
      <alignment horizontal="center"/>
    </xf>
    <xf numFmtId="172" fontId="12" fillId="0" borderId="0" xfId="0" applyNumberFormat="1" applyFont="1" applyFill="1" applyBorder="1"/>
    <xf numFmtId="189" fontId="9" fillId="0" borderId="0" xfId="0" applyNumberFormat="1" applyFont="1" applyFill="1" applyBorder="1"/>
    <xf numFmtId="190" fontId="9" fillId="0" borderId="0" xfId="0" applyNumberFormat="1" applyFont="1" applyFill="1" applyBorder="1"/>
    <xf numFmtId="0" fontId="12" fillId="0" borderId="0" xfId="0" applyFont="1" applyFill="1" applyBorder="1"/>
    <xf numFmtId="172" fontId="116" fillId="0" borderId="0" xfId="0" applyNumberFormat="1" applyFont="1" applyFill="1"/>
    <xf numFmtId="189" fontId="116" fillId="0" borderId="0" xfId="0" applyNumberFormat="1" applyFont="1" applyFill="1"/>
    <xf numFmtId="190" fontId="116" fillId="0" borderId="0" xfId="0" applyNumberFormat="1" applyFont="1" applyFill="1"/>
    <xf numFmtId="0" fontId="116" fillId="0" borderId="0" xfId="0" applyFont="1" applyFill="1"/>
    <xf numFmtId="172" fontId="56" fillId="0" borderId="0" xfId="0" applyNumberFormat="1" applyFont="1" applyFill="1"/>
    <xf numFmtId="189" fontId="26" fillId="0" borderId="0" xfId="0" applyNumberFormat="1" applyFont="1" applyFill="1"/>
    <xf numFmtId="190" fontId="26" fillId="0" borderId="0" xfId="0" applyNumberFormat="1" applyFont="1" applyFill="1"/>
    <xf numFmtId="172" fontId="12" fillId="0" borderId="0" xfId="0" applyNumberFormat="1" applyFont="1"/>
    <xf numFmtId="166" fontId="26" fillId="0" borderId="0" xfId="0" applyNumberFormat="1" applyFont="1" applyAlignment="1">
      <alignment horizontal="left"/>
    </xf>
    <xf numFmtId="211" fontId="9" fillId="0" borderId="0" xfId="7" applyNumberFormat="1" applyFont="1" applyBorder="1" applyAlignment="1"/>
    <xf numFmtId="181" fontId="12" fillId="0" borderId="0" xfId="0" applyNumberFormat="1" applyFont="1" applyFill="1" applyBorder="1"/>
    <xf numFmtId="181" fontId="116" fillId="0" borderId="0" xfId="0" applyNumberFormat="1" applyFont="1" applyFill="1"/>
    <xf numFmtId="169" fontId="56" fillId="0" borderId="0" xfId="0" applyNumberFormat="1" applyFont="1" applyFill="1"/>
    <xf numFmtId="169" fontId="12" fillId="0" borderId="0" xfId="0" applyNumberFormat="1" applyFont="1" applyFill="1" applyBorder="1"/>
    <xf numFmtId="181" fontId="56" fillId="0" borderId="0" xfId="0" applyNumberFormat="1" applyFont="1" applyFill="1"/>
    <xf numFmtId="0" fontId="116" fillId="0" borderId="0" xfId="0" applyFont="1"/>
    <xf numFmtId="190" fontId="26" fillId="0" borderId="0" xfId="0" applyNumberFormat="1" applyFont="1" applyFill="1" applyBorder="1"/>
    <xf numFmtId="181" fontId="116" fillId="0" borderId="0" xfId="0" applyNumberFormat="1" applyFont="1" applyFill="1" applyBorder="1"/>
    <xf numFmtId="181" fontId="56" fillId="0" borderId="4" xfId="0" applyNumberFormat="1" applyFont="1" applyFill="1" applyBorder="1"/>
    <xf numFmtId="171" fontId="9" fillId="0" borderId="0" xfId="0" applyNumberFormat="1" applyFont="1" applyFill="1" applyBorder="1"/>
    <xf numFmtId="171" fontId="116" fillId="0" borderId="0" xfId="0" applyNumberFormat="1" applyFont="1" applyFill="1"/>
    <xf numFmtId="171" fontId="26" fillId="0" borderId="0" xfId="0" applyNumberFormat="1" applyFont="1" applyFill="1"/>
    <xf numFmtId="190" fontId="26" fillId="0" borderId="0" xfId="0" applyNumberFormat="1" applyFont="1" applyAlignment="1">
      <alignment horizontal="left"/>
    </xf>
    <xf numFmtId="169" fontId="26" fillId="0" borderId="0" xfId="0" applyNumberFormat="1" applyFont="1" applyFill="1"/>
    <xf numFmtId="9" fontId="26" fillId="0" borderId="0" xfId="37" applyFont="1" applyFill="1"/>
    <xf numFmtId="1" fontId="26" fillId="0" borderId="0" xfId="37" applyNumberFormat="1" applyFont="1" applyFill="1"/>
    <xf numFmtId="189" fontId="26" fillId="0" borderId="0" xfId="0" applyNumberFormat="1" applyFont="1" applyFill="1" applyAlignment="1">
      <alignment horizontal="centerContinuous"/>
    </xf>
    <xf numFmtId="190" fontId="26" fillId="0" borderId="0" xfId="0" applyNumberFormat="1" applyFont="1" applyFill="1" applyAlignment="1">
      <alignment horizontal="centerContinuous"/>
    </xf>
    <xf numFmtId="169" fontId="26" fillId="0" borderId="0" xfId="0" applyNumberFormat="1" applyFont="1" applyFill="1" applyAlignment="1">
      <alignment horizontal="centerContinuous"/>
    </xf>
    <xf numFmtId="211" fontId="26" fillId="0" borderId="0" xfId="7" applyNumberFormat="1" applyFont="1" applyFill="1"/>
    <xf numFmtId="190" fontId="9" fillId="0" borderId="0" xfId="0" applyNumberFormat="1" applyFont="1" applyAlignment="1">
      <alignment horizontal="left"/>
    </xf>
    <xf numFmtId="208" fontId="9" fillId="0" borderId="0" xfId="0" applyNumberFormat="1" applyFont="1" applyAlignment="1">
      <alignment horizontal="left"/>
    </xf>
    <xf numFmtId="210" fontId="9" fillId="0" borderId="0" xfId="0" applyNumberFormat="1" applyFont="1" applyAlignment="1">
      <alignment horizontal="left"/>
    </xf>
    <xf numFmtId="172" fontId="9" fillId="0" borderId="0" xfId="0" applyNumberFormat="1" applyFont="1" applyFill="1" applyAlignment="1">
      <alignment horizontal="center"/>
    </xf>
    <xf numFmtId="172" fontId="9" fillId="0" borderId="0" xfId="0" applyNumberFormat="1" applyFont="1" applyFill="1" applyBorder="1"/>
    <xf numFmtId="172" fontId="110" fillId="0" borderId="0" xfId="0" applyNumberFormat="1" applyFont="1" applyFill="1"/>
    <xf numFmtId="190" fontId="111" fillId="0" borderId="0" xfId="0" applyNumberFormat="1" applyFont="1" applyFill="1"/>
    <xf numFmtId="172" fontId="94" fillId="0" borderId="0" xfId="0" applyNumberFormat="1" applyFont="1" applyFill="1"/>
    <xf numFmtId="190" fontId="111" fillId="0" borderId="0" xfId="0" applyNumberFormat="1" applyFont="1"/>
    <xf numFmtId="169" fontId="110" fillId="0" borderId="0" xfId="0" applyNumberFormat="1" applyFont="1" applyFill="1"/>
    <xf numFmtId="169" fontId="94" fillId="0" borderId="0" xfId="0" applyNumberFormat="1" applyFont="1" applyFill="1"/>
    <xf numFmtId="181" fontId="9" fillId="0" borderId="0" xfId="0" applyNumberFormat="1" applyFont="1" applyFill="1" applyBorder="1"/>
    <xf numFmtId="169" fontId="110" fillId="0" borderId="4" xfId="0" applyNumberFormat="1" applyFont="1" applyFill="1" applyBorder="1"/>
    <xf numFmtId="169" fontId="94" fillId="0" borderId="4" xfId="0" applyNumberFormat="1" applyFont="1" applyFill="1" applyBorder="1"/>
    <xf numFmtId="172" fontId="9" fillId="0" borderId="0" xfId="0" applyNumberFormat="1" applyFont="1" applyFill="1" applyAlignment="1">
      <alignment horizontal="left"/>
    </xf>
    <xf numFmtId="210" fontId="9" fillId="0" borderId="0" xfId="0" applyNumberFormat="1" applyFont="1" applyFill="1" applyAlignment="1">
      <alignment horizontal="center"/>
    </xf>
    <xf numFmtId="172" fontId="9" fillId="0" borderId="0" xfId="0" applyNumberFormat="1" applyFont="1" applyFill="1" applyAlignment="1">
      <alignment horizontal="centerContinuous"/>
    </xf>
    <xf numFmtId="184" fontId="9" fillId="0" borderId="0" xfId="0" applyNumberFormat="1" applyFont="1" applyFill="1" applyAlignment="1">
      <alignment horizontal="centerContinuous"/>
    </xf>
    <xf numFmtId="0" fontId="58" fillId="0" borderId="0" xfId="0" applyFont="1" applyFill="1" applyAlignment="1">
      <alignment horizontal="centerContinuous"/>
    </xf>
    <xf numFmtId="209" fontId="9" fillId="0" borderId="0" xfId="0" applyNumberFormat="1" applyFont="1" applyFill="1"/>
    <xf numFmtId="213" fontId="9" fillId="0" borderId="0" xfId="0" applyNumberFormat="1" applyFont="1" applyFill="1"/>
    <xf numFmtId="167" fontId="12" fillId="0" borderId="0" xfId="31" applyNumberFormat="1" applyFont="1" applyFill="1" applyBorder="1"/>
    <xf numFmtId="181" fontId="135" fillId="0" borderId="0" xfId="0" applyNumberFormat="1" applyFont="1" applyFill="1"/>
    <xf numFmtId="181" fontId="135" fillId="0" borderId="0" xfId="0" applyNumberFormat="1" applyFont="1" applyFill="1" applyBorder="1"/>
    <xf numFmtId="169" fontId="50" fillId="0" borderId="0" xfId="0" applyNumberFormat="1" applyFont="1" applyFill="1"/>
    <xf numFmtId="208" fontId="9" fillId="0" borderId="0" xfId="0" applyNumberFormat="1" applyFont="1" applyFill="1"/>
    <xf numFmtId="214" fontId="9" fillId="0" borderId="0" xfId="0" applyNumberFormat="1" applyFont="1" applyFill="1"/>
    <xf numFmtId="182" fontId="9" fillId="0" borderId="0" xfId="7" applyNumberFormat="1" applyFont="1" applyFill="1" applyBorder="1"/>
    <xf numFmtId="171" fontId="9" fillId="0" borderId="0" xfId="0" applyNumberFormat="1" applyFont="1" applyFill="1" applyBorder="1" applyAlignment="1">
      <alignment horizontal="left"/>
    </xf>
    <xf numFmtId="244" fontId="9" fillId="0" borderId="0" xfId="0" applyNumberFormat="1" applyFont="1" applyFill="1"/>
    <xf numFmtId="202" fontId="9" fillId="0" borderId="0" xfId="0" applyNumberFormat="1" applyFont="1" applyFill="1"/>
    <xf numFmtId="0" fontId="58" fillId="0" borderId="4" xfId="0" applyFont="1" applyFill="1" applyBorder="1"/>
    <xf numFmtId="0" fontId="58" fillId="0" borderId="4" xfId="0" applyFont="1" applyFill="1" applyBorder="1" applyAlignment="1">
      <alignment horizontal="centerContinuous"/>
    </xf>
    <xf numFmtId="0" fontId="9" fillId="0" borderId="0" xfId="0" applyFont="1" applyFill="1" applyBorder="1" applyAlignment="1">
      <alignment horizontal="centerContinuous"/>
    </xf>
    <xf numFmtId="0" fontId="58" fillId="0" borderId="0" xfId="0" applyFont="1" applyFill="1" applyBorder="1" applyAlignment="1">
      <alignment horizontal="centerContinuous"/>
    </xf>
    <xf numFmtId="0" fontId="9" fillId="4" borderId="0" xfId="0" applyFont="1" applyFill="1" applyBorder="1"/>
    <xf numFmtId="0" fontId="117" fillId="0" borderId="0" xfId="0" applyFont="1" applyFill="1" applyAlignment="1">
      <alignment horizontal="right"/>
    </xf>
    <xf numFmtId="8" fontId="118" fillId="0" borderId="0" xfId="0" applyNumberFormat="1" applyFont="1" applyFill="1"/>
    <xf numFmtId="0" fontId="118" fillId="0" borderId="0" xfId="0" applyFont="1" applyFill="1"/>
    <xf numFmtId="0" fontId="118" fillId="0" borderId="0" xfId="0" applyFont="1" applyFill="1" applyAlignment="1">
      <alignment horizontal="right"/>
    </xf>
    <xf numFmtId="0" fontId="118" fillId="0" borderId="0" xfId="0" applyFont="1" applyFill="1" applyBorder="1"/>
    <xf numFmtId="0" fontId="117" fillId="0" borderId="0" xfId="0" applyFont="1" applyFill="1" applyAlignment="1">
      <alignment horizontal="center"/>
    </xf>
    <xf numFmtId="9" fontId="117" fillId="0" borderId="0" xfId="37" applyFont="1" applyFill="1" applyBorder="1" applyAlignment="1">
      <alignment horizontal="left"/>
    </xf>
    <xf numFmtId="0" fontId="109" fillId="0" borderId="0" xfId="0" applyFont="1" applyBorder="1" applyAlignment="1">
      <alignment horizontal="center"/>
    </xf>
    <xf numFmtId="0" fontId="12" fillId="0" borderId="0" xfId="0" applyFont="1" applyBorder="1"/>
    <xf numFmtId="40" fontId="9" fillId="0" borderId="0" xfId="0" applyNumberFormat="1" applyFont="1" applyFill="1"/>
    <xf numFmtId="2" fontId="117" fillId="0" borderId="0" xfId="0" applyNumberFormat="1" applyFont="1" applyFill="1"/>
    <xf numFmtId="2" fontId="117" fillId="0" borderId="0" xfId="0" applyNumberFormat="1" applyFont="1" applyFill="1" applyAlignment="1">
      <alignment horizontal="center"/>
    </xf>
    <xf numFmtId="2" fontId="41" fillId="0" borderId="0" xfId="0" applyNumberFormat="1" applyFont="1" applyFill="1" applyAlignment="1">
      <alignment horizontal="center"/>
    </xf>
    <xf numFmtId="2" fontId="119" fillId="0" borderId="0" xfId="0" applyNumberFormat="1" applyFont="1" applyFill="1" applyAlignment="1">
      <alignment horizontal="center"/>
    </xf>
    <xf numFmtId="1" fontId="119" fillId="0" borderId="0" xfId="0" applyNumberFormat="1" applyFont="1" applyFill="1" applyAlignment="1">
      <alignment horizontal="center"/>
    </xf>
    <xf numFmtId="8" fontId="118" fillId="0" borderId="0" xfId="0" applyNumberFormat="1" applyFont="1" applyFill="1" applyBorder="1"/>
    <xf numFmtId="39" fontId="9" fillId="0" borderId="0" xfId="0" applyNumberFormat="1" applyFont="1" applyFill="1" applyAlignment="1">
      <alignment horizontal="center"/>
    </xf>
    <xf numFmtId="43" fontId="9" fillId="0" borderId="0" xfId="7" applyNumberFormat="1" applyFont="1" applyFill="1"/>
    <xf numFmtId="166" fontId="9" fillId="0" borderId="0" xfId="7" applyNumberFormat="1" applyFont="1" applyFill="1" applyBorder="1" applyAlignment="1">
      <alignment horizontal="center"/>
    </xf>
    <xf numFmtId="9" fontId="117" fillId="0" borderId="0" xfId="0" applyNumberFormat="1" applyFont="1" applyFill="1" applyAlignment="1">
      <alignment horizontal="center"/>
    </xf>
    <xf numFmtId="43" fontId="118" fillId="0" borderId="0" xfId="0" applyNumberFormat="1" applyFont="1" applyFill="1" applyBorder="1"/>
    <xf numFmtId="40" fontId="9" fillId="0" borderId="0" xfId="0" applyNumberFormat="1" applyFont="1" applyBorder="1" applyAlignment="1">
      <alignment horizontal="center"/>
    </xf>
    <xf numFmtId="219" fontId="9" fillId="0" borderId="0" xfId="0" applyNumberFormat="1" applyFont="1" applyFill="1" applyBorder="1"/>
    <xf numFmtId="39" fontId="9" fillId="0" borderId="0" xfId="0" applyNumberFormat="1" applyFont="1" applyFill="1" applyBorder="1" applyAlignment="1">
      <alignment horizontal="center"/>
    </xf>
    <xf numFmtId="40" fontId="9" fillId="0" borderId="4" xfId="0" applyNumberFormat="1" applyFont="1" applyFill="1" applyBorder="1"/>
    <xf numFmtId="2" fontId="9" fillId="0" borderId="0" xfId="0" applyNumberFormat="1" applyFont="1" applyFill="1"/>
    <xf numFmtId="43" fontId="9" fillId="0" borderId="4" xfId="0" applyNumberFormat="1" applyFont="1" applyFill="1" applyBorder="1"/>
    <xf numFmtId="2" fontId="120" fillId="0" borderId="0" xfId="0" applyNumberFormat="1" applyFont="1" applyFill="1" applyAlignment="1">
      <alignment horizontal="right"/>
    </xf>
    <xf numFmtId="209" fontId="9" fillId="0" borderId="0" xfId="0" applyNumberFormat="1" applyFont="1" applyFill="1" applyBorder="1"/>
    <xf numFmtId="166" fontId="117" fillId="0" borderId="0" xfId="0" applyNumberFormat="1" applyFont="1" applyFill="1" applyAlignment="1">
      <alignment horizontal="center"/>
    </xf>
    <xf numFmtId="39" fontId="9" fillId="0" borderId="4" xfId="0" applyNumberFormat="1" applyFont="1" applyFill="1" applyBorder="1" applyAlignment="1">
      <alignment horizontal="center"/>
    </xf>
    <xf numFmtId="170" fontId="117" fillId="0" borderId="0" xfId="0" applyNumberFormat="1" applyFont="1" applyFill="1"/>
    <xf numFmtId="0" fontId="109" fillId="0" borderId="0" xfId="0" applyFont="1" applyBorder="1"/>
    <xf numFmtId="40" fontId="9" fillId="0" borderId="0" xfId="0" applyNumberFormat="1" applyFont="1" applyBorder="1"/>
    <xf numFmtId="8" fontId="9" fillId="0" borderId="0" xfId="0" applyNumberFormat="1" applyFont="1" applyFill="1" applyBorder="1" applyAlignment="1">
      <alignment horizontal="left"/>
    </xf>
    <xf numFmtId="219" fontId="9" fillId="0" borderId="0" xfId="0" applyNumberFormat="1" applyFont="1" applyFill="1" applyBorder="1" applyAlignment="1">
      <alignment horizontal="left"/>
    </xf>
    <xf numFmtId="0" fontId="117" fillId="0" borderId="0" xfId="0" applyFont="1" applyFill="1" applyBorder="1" applyAlignment="1">
      <alignment horizontal="left"/>
    </xf>
    <xf numFmtId="40" fontId="38" fillId="0" borderId="0" xfId="0" applyNumberFormat="1" applyFont="1" applyBorder="1"/>
    <xf numFmtId="0" fontId="117" fillId="0" borderId="0" xfId="0" applyFont="1" applyFill="1"/>
    <xf numFmtId="0" fontId="117" fillId="0" borderId="0" xfId="0" applyFont="1" applyFill="1" applyBorder="1" applyAlignment="1">
      <alignment horizontal="center"/>
    </xf>
    <xf numFmtId="9" fontId="117" fillId="0" borderId="0" xfId="0" applyNumberFormat="1" applyFont="1" applyFill="1" applyBorder="1" applyAlignment="1">
      <alignment horizontal="left"/>
    </xf>
    <xf numFmtId="40" fontId="9" fillId="0" borderId="0" xfId="0" applyNumberFormat="1" applyFont="1" applyFill="1" applyBorder="1"/>
    <xf numFmtId="2" fontId="117" fillId="0" borderId="0" xfId="0" applyNumberFormat="1" applyFont="1" applyFill="1" applyBorder="1" applyAlignment="1">
      <alignment horizontal="center"/>
    </xf>
    <xf numFmtId="2" fontId="120" fillId="0" borderId="0" xfId="0" applyNumberFormat="1" applyFont="1" applyFill="1"/>
    <xf numFmtId="2" fontId="120" fillId="0" borderId="0" xfId="0" applyNumberFormat="1" applyFont="1" applyFill="1" applyBorder="1" applyAlignment="1">
      <alignment horizontal="center"/>
    </xf>
    <xf numFmtId="2" fontId="117" fillId="0" borderId="0" xfId="0" applyNumberFormat="1" applyFont="1" applyFill="1" applyBorder="1" applyAlignment="1">
      <alignment horizontal="left"/>
    </xf>
    <xf numFmtId="2" fontId="9" fillId="0" borderId="0" xfId="0" applyNumberFormat="1" applyFont="1" applyBorder="1"/>
    <xf numFmtId="1" fontId="120" fillId="0" borderId="0" xfId="0" applyNumberFormat="1" applyFont="1" applyFill="1"/>
    <xf numFmtId="2" fontId="120" fillId="0" borderId="0" xfId="0" applyNumberFormat="1" applyFont="1" applyFill="1" applyBorder="1" applyAlignment="1">
      <alignment horizontal="left"/>
    </xf>
    <xf numFmtId="8" fontId="9" fillId="0" borderId="0" xfId="0" applyNumberFormat="1" applyFont="1" applyFill="1" applyBorder="1" applyAlignment="1">
      <alignment horizontal="right"/>
    </xf>
    <xf numFmtId="8" fontId="23" fillId="0" borderId="0" xfId="0" applyNumberFormat="1" applyFont="1" applyFill="1" applyAlignment="1">
      <alignment horizontal="centerContinuous"/>
    </xf>
    <xf numFmtId="8" fontId="9" fillId="0" borderId="0" xfId="0" applyNumberFormat="1" applyFont="1" applyFill="1" applyAlignment="1">
      <alignment horizontal="left"/>
    </xf>
    <xf numFmtId="167" fontId="12" fillId="0" borderId="0" xfId="0" applyNumberFormat="1" applyFont="1" applyFill="1"/>
    <xf numFmtId="169" fontId="12" fillId="0" borderId="0" xfId="16" applyNumberFormat="1" applyFont="1" applyFill="1"/>
    <xf numFmtId="190" fontId="9" fillId="0" borderId="0" xfId="16" applyNumberFormat="1" applyFont="1" applyFill="1" applyAlignment="1">
      <alignment horizontal="right"/>
    </xf>
    <xf numFmtId="208" fontId="9" fillId="0" borderId="0" xfId="16" applyNumberFormat="1" applyFont="1" applyFill="1" applyAlignment="1">
      <alignment horizontal="right"/>
    </xf>
    <xf numFmtId="39" fontId="9" fillId="0" borderId="0" xfId="0" applyNumberFormat="1" applyFont="1" applyFill="1"/>
    <xf numFmtId="208" fontId="9" fillId="0" borderId="0" xfId="16" applyNumberFormat="1" applyFont="1" applyFill="1" applyAlignment="1">
      <alignment horizontal="center"/>
    </xf>
    <xf numFmtId="167" fontId="9" fillId="0" borderId="0" xfId="0" applyNumberFormat="1" applyFont="1" applyFill="1"/>
    <xf numFmtId="167" fontId="12" fillId="0" borderId="0" xfId="0" applyNumberFormat="1" applyFont="1" applyFill="1" applyBorder="1"/>
    <xf numFmtId="190" fontId="9" fillId="0" borderId="0" xfId="16" applyNumberFormat="1" applyFont="1" applyFill="1" applyAlignment="1">
      <alignment horizontal="left"/>
    </xf>
    <xf numFmtId="167" fontId="135" fillId="0" borderId="0" xfId="0" applyNumberFormat="1" applyFont="1" applyFill="1" applyBorder="1"/>
    <xf numFmtId="190" fontId="9" fillId="0" borderId="0" xfId="16" applyNumberFormat="1" applyFont="1" applyFill="1" applyAlignment="1">
      <alignment horizontal="center"/>
    </xf>
    <xf numFmtId="2" fontId="9" fillId="0" borderId="0" xfId="0" applyNumberFormat="1" applyFont="1" applyFill="1" applyAlignment="1">
      <alignment horizontal="center"/>
    </xf>
    <xf numFmtId="167" fontId="12" fillId="0" borderId="4" xfId="0" applyNumberFormat="1" applyFont="1" applyFill="1" applyBorder="1"/>
    <xf numFmtId="169" fontId="12" fillId="0" borderId="4" xfId="16" applyNumberFormat="1" applyFont="1" applyFill="1" applyBorder="1"/>
    <xf numFmtId="201" fontId="12" fillId="0" borderId="0" xfId="0" applyNumberFormat="1" applyFont="1" applyFill="1"/>
    <xf numFmtId="201" fontId="9" fillId="0" borderId="0" xfId="0" applyNumberFormat="1" applyFont="1" applyFill="1"/>
    <xf numFmtId="167" fontId="9" fillId="0" borderId="0" xfId="0" applyNumberFormat="1" applyFont="1" applyFill="1" applyAlignment="1">
      <alignment horizontal="left"/>
    </xf>
    <xf numFmtId="43" fontId="26" fillId="0" borderId="0" xfId="0" applyNumberFormat="1" applyFont="1" applyFill="1"/>
    <xf numFmtId="39" fontId="26" fillId="0" borderId="0" xfId="0" applyNumberFormat="1" applyFont="1" applyFill="1"/>
    <xf numFmtId="40" fontId="12" fillId="0" borderId="4" xfId="0" applyNumberFormat="1" applyFont="1" applyFill="1" applyBorder="1"/>
    <xf numFmtId="40" fontId="50" fillId="0" borderId="0" xfId="0" applyNumberFormat="1" applyFont="1" applyFill="1"/>
    <xf numFmtId="0" fontId="23" fillId="0" borderId="0" xfId="0" applyFont="1" applyFill="1" applyAlignment="1">
      <alignment horizontal="center"/>
    </xf>
    <xf numFmtId="190" fontId="9" fillId="0" borderId="0" xfId="16" applyNumberFormat="1" applyFont="1" applyFill="1" applyBorder="1" applyAlignment="1">
      <alignment horizontal="right"/>
    </xf>
    <xf numFmtId="167" fontId="135" fillId="0" borderId="0" xfId="0" applyNumberFormat="1" applyFont="1" applyFill="1"/>
    <xf numFmtId="167" fontId="9" fillId="0" borderId="4" xfId="0" applyNumberFormat="1" applyFont="1" applyFill="1" applyBorder="1"/>
    <xf numFmtId="190" fontId="9" fillId="0" borderId="0" xfId="37" applyNumberFormat="1" applyFont="1" applyFill="1" applyBorder="1"/>
    <xf numFmtId="172" fontId="135" fillId="0" borderId="0" xfId="0" applyNumberFormat="1" applyFont="1" applyFill="1"/>
    <xf numFmtId="181" fontId="9" fillId="0" borderId="0" xfId="0" applyNumberFormat="1" applyFont="1" applyBorder="1"/>
    <xf numFmtId="0" fontId="9" fillId="0" borderId="0" xfId="17" applyFont="1" applyFill="1" applyBorder="1" applyAlignment="1">
      <alignment horizontal="left"/>
    </xf>
    <xf numFmtId="167" fontId="9" fillId="0" borderId="0" xfId="17" applyNumberFormat="1" applyFont="1" applyFill="1" applyBorder="1"/>
    <xf numFmtId="0" fontId="9" fillId="0" borderId="0" xfId="17" applyFont="1" applyFill="1" applyBorder="1"/>
    <xf numFmtId="0" fontId="9" fillId="4" borderId="0" xfId="17" applyFont="1" applyFill="1" applyBorder="1"/>
    <xf numFmtId="7" fontId="9" fillId="0" borderId="0" xfId="17" applyNumberFormat="1" applyFont="1" applyFill="1" applyBorder="1"/>
    <xf numFmtId="185" fontId="9" fillId="0" borderId="0" xfId="17" applyNumberFormat="1" applyFont="1" applyFill="1" applyBorder="1"/>
    <xf numFmtId="172" fontId="11" fillId="0" borderId="4" xfId="17" applyNumberFormat="1" applyFont="1" applyBorder="1" applyAlignment="1" applyProtection="1">
      <alignment horizontal="left"/>
    </xf>
    <xf numFmtId="167" fontId="9" fillId="0" borderId="4" xfId="17" applyNumberFormat="1" applyFont="1" applyFill="1" applyBorder="1"/>
    <xf numFmtId="0" fontId="9" fillId="0" borderId="4" xfId="17" applyFont="1" applyFill="1" applyBorder="1"/>
    <xf numFmtId="0" fontId="9" fillId="4" borderId="4" xfId="17" applyFont="1" applyFill="1" applyBorder="1"/>
    <xf numFmtId="9" fontId="9" fillId="0" borderId="4" xfId="17" applyNumberFormat="1" applyFont="1" applyFill="1" applyBorder="1"/>
    <xf numFmtId="0" fontId="26" fillId="0" borderId="0" xfId="0" applyFont="1" applyAlignment="1" applyProtection="1">
      <alignment horizontal="left"/>
    </xf>
    <xf numFmtId="185" fontId="109" fillId="0" borderId="0" xfId="17" applyNumberFormat="1" applyFont="1" applyFill="1" applyBorder="1" applyAlignment="1">
      <alignment horizontal="right"/>
    </xf>
    <xf numFmtId="185" fontId="121" fillId="0" borderId="0" xfId="17" applyNumberFormat="1" applyFont="1" applyFill="1" applyBorder="1" applyAlignment="1">
      <alignment horizontal="right"/>
    </xf>
    <xf numFmtId="185" fontId="109" fillId="0" borderId="11" xfId="17" applyNumberFormat="1" applyFont="1" applyFill="1" applyBorder="1" applyAlignment="1">
      <alignment horizontal="right"/>
    </xf>
    <xf numFmtId="178" fontId="9" fillId="0" borderId="5" xfId="34" quotePrefix="1" applyFont="1" applyFill="1" applyBorder="1" applyAlignment="1" applyProtection="1">
      <alignment horizontal="center"/>
    </xf>
    <xf numFmtId="178" fontId="11" fillId="0" borderId="5" xfId="34" applyFont="1" applyFill="1" applyBorder="1" applyAlignment="1">
      <alignment horizontal="center"/>
    </xf>
    <xf numFmtId="0" fontId="9" fillId="0" borderId="13" xfId="17" applyFont="1" applyFill="1" applyBorder="1"/>
    <xf numFmtId="0" fontId="11" fillId="0" borderId="0" xfId="17" applyFont="1" applyFill="1" applyBorder="1"/>
    <xf numFmtId="193" fontId="20" fillId="0" borderId="4" xfId="17" applyNumberFormat="1" applyFont="1" applyFill="1" applyBorder="1" applyAlignment="1">
      <alignment horizontal="center"/>
    </xf>
    <xf numFmtId="193" fontId="11" fillId="4" borderId="4" xfId="17" applyNumberFormat="1" applyFont="1" applyFill="1" applyBorder="1" applyAlignment="1">
      <alignment horizontal="center"/>
    </xf>
    <xf numFmtId="193" fontId="122" fillId="4" borderId="4" xfId="17" applyNumberFormat="1" applyFont="1" applyFill="1" applyBorder="1" applyAlignment="1">
      <alignment horizontal="center"/>
    </xf>
    <xf numFmtId="185" fontId="11" fillId="0" borderId="8" xfId="17" applyNumberFormat="1" applyFont="1" applyFill="1" applyBorder="1" applyAlignment="1">
      <alignment horizontal="right"/>
    </xf>
    <xf numFmtId="178" fontId="20" fillId="0" borderId="5" xfId="34" quotePrefix="1" applyFont="1" applyFill="1" applyBorder="1" applyAlignment="1" applyProtection="1">
      <alignment horizontal="center"/>
    </xf>
    <xf numFmtId="178" fontId="20" fillId="0" borderId="0" xfId="34" applyFont="1" applyFill="1" applyBorder="1"/>
    <xf numFmtId="0" fontId="11" fillId="0" borderId="15" xfId="17" applyFont="1" applyFill="1" applyBorder="1"/>
    <xf numFmtId="172" fontId="9" fillId="0" borderId="0" xfId="17" applyNumberFormat="1" applyFont="1" applyFill="1" applyBorder="1"/>
    <xf numFmtId="185" fontId="109" fillId="0" borderId="8" xfId="17" applyNumberFormat="1" applyFont="1" applyFill="1" applyBorder="1" applyAlignment="1">
      <alignment horizontal="right"/>
    </xf>
    <xf numFmtId="0" fontId="9" fillId="0" borderId="15" xfId="17" applyFont="1" applyFill="1" applyBorder="1"/>
    <xf numFmtId="172" fontId="9" fillId="4" borderId="0" xfId="17" applyNumberFormat="1" applyFont="1" applyFill="1" applyBorder="1"/>
    <xf numFmtId="172" fontId="9" fillId="0" borderId="8" xfId="17" applyNumberFormat="1" applyFont="1" applyFill="1" applyBorder="1"/>
    <xf numFmtId="178" fontId="9" fillId="0" borderId="15" xfId="34" applyFont="1" applyBorder="1" applyAlignment="1" applyProtection="1">
      <alignment horizontal="center"/>
    </xf>
    <xf numFmtId="166" fontId="9" fillId="4" borderId="0" xfId="37" applyNumberFormat="1" applyFont="1" applyFill="1" applyBorder="1"/>
    <xf numFmtId="167" fontId="9" fillId="0" borderId="8" xfId="17" applyNumberFormat="1" applyFont="1" applyFill="1" applyBorder="1"/>
    <xf numFmtId="178" fontId="9" fillId="0" borderId="15" xfId="34" applyFont="1" applyBorder="1" applyAlignment="1">
      <alignment horizontal="center"/>
    </xf>
    <xf numFmtId="166" fontId="9" fillId="3" borderId="0" xfId="37" applyNumberFormat="1" applyFont="1" applyFill="1" applyBorder="1"/>
    <xf numFmtId="167" fontId="9" fillId="4" borderId="0" xfId="17" applyNumberFormat="1" applyFont="1" applyFill="1" applyBorder="1"/>
    <xf numFmtId="10" fontId="9" fillId="0" borderId="0" xfId="17" applyNumberFormat="1" applyFont="1" applyFill="1" applyBorder="1"/>
    <xf numFmtId="166" fontId="9" fillId="0" borderId="0" xfId="17" applyNumberFormat="1" applyFont="1" applyFill="1" applyBorder="1"/>
    <xf numFmtId="167" fontId="110" fillId="2" borderId="0" xfId="17" applyNumberFormat="1" applyFont="1" applyFill="1" applyBorder="1"/>
    <xf numFmtId="167" fontId="9" fillId="3" borderId="0" xfId="17" applyNumberFormat="1" applyFont="1" applyFill="1" applyBorder="1"/>
    <xf numFmtId="166" fontId="110" fillId="2" borderId="0" xfId="37" applyNumberFormat="1" applyFont="1" applyFill="1" applyBorder="1"/>
    <xf numFmtId="166" fontId="12" fillId="3" borderId="0" xfId="37" applyNumberFormat="1" applyFont="1" applyFill="1" applyBorder="1"/>
    <xf numFmtId="166" fontId="9" fillId="0" borderId="0" xfId="0" applyNumberFormat="1" applyFont="1" applyFill="1"/>
    <xf numFmtId="43" fontId="9" fillId="0" borderId="0" xfId="7" applyFont="1" applyBorder="1"/>
    <xf numFmtId="167" fontId="110" fillId="0" borderId="0" xfId="17" applyNumberFormat="1" applyFont="1" applyFill="1" applyBorder="1"/>
    <xf numFmtId="166" fontId="12" fillId="0" borderId="0" xfId="37" applyNumberFormat="1" applyFont="1" applyFill="1" applyBorder="1"/>
    <xf numFmtId="37" fontId="9" fillId="0" borderId="15" xfId="34" applyNumberFormat="1" applyFont="1" applyBorder="1" applyAlignment="1" applyProtection="1">
      <alignment horizontal="center"/>
    </xf>
    <xf numFmtId="167" fontId="12" fillId="0" borderId="0" xfId="17" applyNumberFormat="1" applyFont="1" applyFill="1" applyBorder="1"/>
    <xf numFmtId="167" fontId="12" fillId="4" borderId="0" xfId="17" applyNumberFormat="1" applyFont="1" applyFill="1" applyBorder="1"/>
    <xf numFmtId="167" fontId="110" fillId="4" borderId="0" xfId="17" applyNumberFormat="1" applyFont="1" applyFill="1" applyBorder="1"/>
    <xf numFmtId="167" fontId="94" fillId="4" borderId="0" xfId="17" applyNumberFormat="1" applyFont="1" applyFill="1" applyBorder="1"/>
    <xf numFmtId="166" fontId="110" fillId="0" borderId="0" xfId="37" applyNumberFormat="1" applyFont="1" applyFill="1" applyBorder="1"/>
    <xf numFmtId="166" fontId="110" fillId="4" borderId="0" xfId="37" applyNumberFormat="1" applyFont="1" applyFill="1" applyBorder="1"/>
    <xf numFmtId="167" fontId="26" fillId="0" borderId="0" xfId="17" applyNumberFormat="1" applyFont="1" applyFill="1" applyBorder="1" applyAlignment="1">
      <alignment horizontal="center"/>
    </xf>
    <xf numFmtId="167" fontId="38" fillId="4" borderId="0" xfId="17" applyNumberFormat="1" applyFont="1" applyFill="1" applyBorder="1"/>
    <xf numFmtId="9" fontId="9" fillId="4" borderId="0" xfId="37" applyFont="1" applyFill="1" applyBorder="1"/>
    <xf numFmtId="167" fontId="9" fillId="0" borderId="15" xfId="17" applyNumberFormat="1" applyFont="1" applyFill="1" applyBorder="1"/>
    <xf numFmtId="10" fontId="9" fillId="4" borderId="0" xfId="37" applyNumberFormat="1" applyFont="1" applyFill="1" applyBorder="1"/>
    <xf numFmtId="166" fontId="9" fillId="0" borderId="0" xfId="37" applyNumberFormat="1" applyFont="1" applyFill="1" applyBorder="1" applyAlignment="1"/>
    <xf numFmtId="166" fontId="9" fillId="4" borderId="0" xfId="37" applyNumberFormat="1" applyFont="1" applyFill="1" applyBorder="1" applyAlignment="1"/>
    <xf numFmtId="166" fontId="12" fillId="0" borderId="0" xfId="37" applyNumberFormat="1" applyFont="1" applyFill="1" applyBorder="1" applyAlignment="1"/>
    <xf numFmtId="10" fontId="9" fillId="0" borderId="0" xfId="17" applyNumberFormat="1" applyFont="1"/>
    <xf numFmtId="39" fontId="9" fillId="4" borderId="0" xfId="17" applyNumberFormat="1" applyFont="1" applyFill="1" applyBorder="1"/>
    <xf numFmtId="39" fontId="118" fillId="4" borderId="0" xfId="17" applyNumberFormat="1" applyFont="1" applyFill="1" applyBorder="1"/>
    <xf numFmtId="39" fontId="118" fillId="0" borderId="0" xfId="17" applyNumberFormat="1" applyFont="1" applyFill="1" applyBorder="1"/>
    <xf numFmtId="37" fontId="118" fillId="0" borderId="0" xfId="17" applyNumberFormat="1" applyFont="1" applyFill="1" applyBorder="1"/>
    <xf numFmtId="7" fontId="9" fillId="4" borderId="0" xfId="17" applyNumberFormat="1" applyFont="1" applyFill="1" applyBorder="1"/>
    <xf numFmtId="7" fontId="9" fillId="3" borderId="0" xfId="17" applyNumberFormat="1" applyFont="1" applyFill="1" applyBorder="1"/>
    <xf numFmtId="7" fontId="9" fillId="0" borderId="8" xfId="17" applyNumberFormat="1" applyFont="1" applyFill="1" applyBorder="1"/>
    <xf numFmtId="198" fontId="9" fillId="0" borderId="0" xfId="37" applyNumberFormat="1" applyFont="1" applyFill="1" applyBorder="1"/>
    <xf numFmtId="198" fontId="9" fillId="4" borderId="0" xfId="37" applyNumberFormat="1" applyFont="1" applyFill="1" applyBorder="1"/>
    <xf numFmtId="219" fontId="9" fillId="4" borderId="0" xfId="7" applyNumberFormat="1" applyFont="1" applyFill="1" applyBorder="1"/>
    <xf numFmtId="182" fontId="9" fillId="4" borderId="0" xfId="7" applyNumberFormat="1" applyFont="1" applyFill="1" applyBorder="1"/>
    <xf numFmtId="43" fontId="9" fillId="0" borderId="0" xfId="7" applyFont="1" applyFill="1" applyBorder="1"/>
    <xf numFmtId="43" fontId="9" fillId="4" borderId="0" xfId="7" applyFont="1" applyFill="1" applyBorder="1"/>
    <xf numFmtId="43" fontId="9" fillId="4" borderId="0" xfId="7" applyNumberFormat="1" applyFont="1" applyFill="1" applyBorder="1"/>
    <xf numFmtId="7" fontId="50" fillId="4" borderId="0" xfId="17" applyNumberFormat="1" applyFont="1" applyFill="1" applyBorder="1"/>
    <xf numFmtId="7" fontId="50" fillId="0" borderId="0" xfId="17" applyNumberFormat="1" applyFont="1" applyFill="1" applyBorder="1"/>
    <xf numFmtId="7" fontId="41" fillId="0" borderId="0" xfId="17" applyNumberFormat="1" applyFont="1" applyFill="1" applyBorder="1"/>
    <xf numFmtId="13" fontId="41" fillId="0" borderId="0" xfId="17" applyNumberFormat="1" applyFont="1" applyFill="1" applyBorder="1"/>
    <xf numFmtId="39" fontId="9" fillId="0" borderId="0" xfId="17" applyNumberFormat="1" applyFont="1" applyFill="1" applyBorder="1"/>
    <xf numFmtId="0" fontId="110" fillId="0" borderId="0" xfId="17" applyFont="1" applyFill="1" applyBorder="1"/>
    <xf numFmtId="198" fontId="110" fillId="0" borderId="0" xfId="37" applyNumberFormat="1" applyFont="1" applyFill="1" applyBorder="1"/>
    <xf numFmtId="7" fontId="110" fillId="0" borderId="0" xfId="17" applyNumberFormat="1" applyFont="1" applyFill="1" applyBorder="1"/>
    <xf numFmtId="7" fontId="110" fillId="4" borderId="0" xfId="17" applyNumberFormat="1" applyFont="1" applyFill="1" applyBorder="1"/>
    <xf numFmtId="198" fontId="110" fillId="4" borderId="0" xfId="37" applyNumberFormat="1" applyFont="1" applyFill="1" applyBorder="1"/>
    <xf numFmtId="0" fontId="9" fillId="0" borderId="9" xfId="17" applyFont="1" applyFill="1" applyBorder="1"/>
    <xf numFmtId="178" fontId="9" fillId="0" borderId="4" xfId="34" applyFont="1" applyBorder="1" applyAlignment="1" applyProtection="1">
      <alignment horizontal="left"/>
    </xf>
    <xf numFmtId="178" fontId="9" fillId="0" borderId="14" xfId="34" applyFont="1" applyBorder="1" applyAlignment="1" applyProtection="1">
      <alignment horizontal="center"/>
    </xf>
    <xf numFmtId="40" fontId="9" fillId="0" borderId="0" xfId="17" applyNumberFormat="1" applyFont="1" applyFill="1" applyBorder="1"/>
    <xf numFmtId="7" fontId="83" fillId="4" borderId="0" xfId="17" applyNumberFormat="1" applyFont="1" applyFill="1" applyBorder="1"/>
    <xf numFmtId="0" fontId="9" fillId="4" borderId="0" xfId="17" applyFont="1" applyFill="1" applyBorder="1" applyAlignment="1">
      <alignment horizontal="right"/>
    </xf>
    <xf numFmtId="0" fontId="49" fillId="0" borderId="0" xfId="0" applyFont="1" applyFill="1"/>
    <xf numFmtId="8" fontId="9" fillId="4" borderId="0" xfId="0" applyNumberFormat="1" applyFont="1" applyFill="1"/>
    <xf numFmtId="211" fontId="9" fillId="4" borderId="0" xfId="7" applyNumberFormat="1" applyFont="1" applyFill="1"/>
    <xf numFmtId="211" fontId="9" fillId="0" borderId="0" xfId="7" applyNumberFormat="1" applyFont="1" applyBorder="1"/>
    <xf numFmtId="167" fontId="9" fillId="0" borderId="0" xfId="0" applyNumberFormat="1" applyFont="1"/>
    <xf numFmtId="167" fontId="9" fillId="4" borderId="0" xfId="0" applyNumberFormat="1" applyFont="1" applyFill="1"/>
    <xf numFmtId="167" fontId="9" fillId="6" borderId="0" xfId="0" applyNumberFormat="1" applyFont="1" applyFill="1"/>
    <xf numFmtId="167" fontId="9" fillId="0" borderId="0" xfId="0" applyNumberFormat="1" applyFont="1" applyBorder="1"/>
    <xf numFmtId="166" fontId="9" fillId="4" borderId="0" xfId="0" applyNumberFormat="1" applyFont="1" applyFill="1"/>
    <xf numFmtId="166" fontId="9" fillId="0" borderId="0" xfId="0" applyNumberFormat="1" applyFont="1" applyBorder="1"/>
    <xf numFmtId="0" fontId="38" fillId="5" borderId="0" xfId="0" applyFont="1" applyFill="1" applyBorder="1" applyAlignment="1">
      <alignment horizontal="center"/>
    </xf>
    <xf numFmtId="0" fontId="9" fillId="0" borderId="10" xfId="0" applyFont="1" applyBorder="1"/>
    <xf numFmtId="0" fontId="9" fillId="0" borderId="30" xfId="0" applyFont="1" applyBorder="1"/>
    <xf numFmtId="178" fontId="9" fillId="0" borderId="4" xfId="0" applyNumberFormat="1" applyFont="1" applyBorder="1"/>
    <xf numFmtId="175" fontId="9" fillId="5" borderId="0" xfId="0" applyNumberFormat="1" applyFont="1" applyFill="1"/>
    <xf numFmtId="7" fontId="9" fillId="0" borderId="0" xfId="0" applyNumberFormat="1" applyFont="1"/>
    <xf numFmtId="178" fontId="49" fillId="0" borderId="0" xfId="34" applyFont="1"/>
    <xf numFmtId="195" fontId="20" fillId="0" borderId="0" xfId="17" applyNumberFormat="1" applyFont="1" applyFill="1" applyBorder="1" applyAlignment="1">
      <alignment horizontal="center"/>
    </xf>
    <xf numFmtId="0" fontId="11" fillId="4" borderId="0" xfId="0" applyFont="1" applyFill="1"/>
    <xf numFmtId="0" fontId="56" fillId="0" borderId="0" xfId="0" applyFont="1" applyAlignment="1" applyProtection="1">
      <alignment horizontal="left"/>
    </xf>
    <xf numFmtId="0" fontId="83" fillId="0" borderId="0" xfId="0" applyFont="1" applyFill="1" applyAlignment="1">
      <alignment horizontal="center"/>
    </xf>
    <xf numFmtId="166" fontId="83" fillId="0" borderId="0" xfId="37" applyNumberFormat="1" applyFont="1"/>
    <xf numFmtId="193" fontId="20" fillId="0" borderId="4" xfId="0" applyNumberFormat="1" applyFont="1" applyBorder="1" applyAlignment="1">
      <alignment horizontal="center"/>
    </xf>
    <xf numFmtId="193" fontId="11" fillId="0" borderId="4" xfId="0" applyNumberFormat="1" applyFont="1" applyBorder="1" applyAlignment="1">
      <alignment horizontal="center"/>
    </xf>
    <xf numFmtId="193" fontId="11" fillId="0" borderId="4" xfId="0" applyNumberFormat="1" applyFont="1" applyFill="1" applyBorder="1" applyAlignment="1">
      <alignment horizontal="center"/>
    </xf>
    <xf numFmtId="193" fontId="20" fillId="0" borderId="0" xfId="0" applyNumberFormat="1" applyFont="1" applyBorder="1" applyAlignment="1">
      <alignment horizontal="center"/>
    </xf>
    <xf numFmtId="195" fontId="20" fillId="0" borderId="4" xfId="0" applyNumberFormat="1" applyFont="1" applyBorder="1" applyAlignment="1">
      <alignment horizontal="center"/>
    </xf>
    <xf numFmtId="37" fontId="58" fillId="0" borderId="0" xfId="30" applyFont="1" applyAlignment="1" applyProtection="1">
      <alignment horizontal="left"/>
    </xf>
    <xf numFmtId="0" fontId="109" fillId="0" borderId="0" xfId="0" applyFont="1"/>
    <xf numFmtId="37" fontId="9" fillId="0" borderId="0" xfId="30" applyFont="1" applyAlignment="1" applyProtection="1">
      <alignment horizontal="left"/>
    </xf>
    <xf numFmtId="167" fontId="12" fillId="0" borderId="4" xfId="0" applyNumberFormat="1" applyFont="1" applyBorder="1"/>
    <xf numFmtId="167" fontId="9" fillId="0" borderId="4" xfId="0" applyNumberFormat="1" applyFont="1" applyBorder="1"/>
    <xf numFmtId="37" fontId="9" fillId="0" borderId="0" xfId="30" applyFont="1"/>
    <xf numFmtId="171" fontId="12" fillId="0" borderId="0" xfId="0" applyNumberFormat="1" applyFont="1"/>
    <xf numFmtId="167" fontId="124" fillId="0" borderId="0" xfId="0" applyNumberFormat="1" applyFont="1" applyFill="1"/>
    <xf numFmtId="167" fontId="124" fillId="0" borderId="0" xfId="0" applyNumberFormat="1" applyFont="1"/>
    <xf numFmtId="184" fontId="9" fillId="0" borderId="0" xfId="0" applyNumberFormat="1" applyFont="1"/>
    <xf numFmtId="167" fontId="12" fillId="0" borderId="0" xfId="0" applyNumberFormat="1" applyFont="1" applyBorder="1"/>
    <xf numFmtId="171" fontId="9" fillId="0" borderId="5" xfId="0" applyNumberFormat="1" applyFont="1" applyBorder="1"/>
    <xf numFmtId="171" fontId="9" fillId="0" borderId="5" xfId="0" applyNumberFormat="1" applyFont="1" applyFill="1" applyBorder="1"/>
    <xf numFmtId="167" fontId="9" fillId="0" borderId="0" xfId="0" applyNumberFormat="1" applyFont="1" applyFill="1" applyBorder="1"/>
    <xf numFmtId="172" fontId="12" fillId="0" borderId="4" xfId="0" applyNumberFormat="1" applyFont="1" applyBorder="1"/>
    <xf numFmtId="0" fontId="82" fillId="0" borderId="0" xfId="0" applyFont="1"/>
    <xf numFmtId="204" fontId="82" fillId="0" borderId="0" xfId="0" applyNumberFormat="1" applyFont="1"/>
    <xf numFmtId="170" fontId="82" fillId="0" borderId="0" xfId="0" applyNumberFormat="1" applyFont="1"/>
    <xf numFmtId="203" fontId="82" fillId="0" borderId="0" xfId="0" applyNumberFormat="1" applyFont="1"/>
    <xf numFmtId="165" fontId="82" fillId="0" borderId="0" xfId="0" applyNumberFormat="1" applyFont="1"/>
    <xf numFmtId="170" fontId="82" fillId="0" borderId="0" xfId="0" applyNumberFormat="1" applyFont="1" applyFill="1"/>
    <xf numFmtId="165" fontId="82" fillId="0" borderId="0" xfId="0" applyNumberFormat="1" applyFont="1" applyFill="1"/>
    <xf numFmtId="166" fontId="12" fillId="0" borderId="0" xfId="37" applyNumberFormat="1" applyFont="1" applyFill="1"/>
    <xf numFmtId="166" fontId="12" fillId="0" borderId="0" xfId="37" applyNumberFormat="1" applyFont="1"/>
    <xf numFmtId="165" fontId="41" fillId="0" borderId="0" xfId="0" applyNumberFormat="1" applyFont="1" applyFill="1"/>
    <xf numFmtId="166" fontId="41" fillId="0" borderId="0" xfId="37" applyNumberFormat="1" applyFont="1"/>
    <xf numFmtId="44" fontId="9" fillId="4" borderId="0" xfId="12" applyFont="1" applyFill="1"/>
    <xf numFmtId="44" fontId="9" fillId="0" borderId="0" xfId="12" applyFont="1" applyFill="1"/>
    <xf numFmtId="0" fontId="118" fillId="0" borderId="34" xfId="0" applyFont="1" applyBorder="1"/>
    <xf numFmtId="0" fontId="9" fillId="0" borderId="34" xfId="0" applyFont="1" applyBorder="1"/>
    <xf numFmtId="0" fontId="125" fillId="0" borderId="34" xfId="0" applyFont="1" applyBorder="1" applyAlignment="1">
      <alignment horizontal="center"/>
    </xf>
    <xf numFmtId="0" fontId="9" fillId="0" borderId="34" xfId="0" applyFont="1" applyFill="1" applyBorder="1"/>
    <xf numFmtId="211" fontId="118" fillId="0" borderId="0" xfId="7" applyNumberFormat="1" applyFont="1" applyFill="1"/>
    <xf numFmtId="211" fontId="118" fillId="0" borderId="0" xfId="0" applyNumberFormat="1" applyFont="1" applyFill="1"/>
    <xf numFmtId="0" fontId="82" fillId="0" borderId="0" xfId="0" applyFont="1" applyFill="1"/>
    <xf numFmtId="211" fontId="126" fillId="0" borderId="0" xfId="7" applyNumberFormat="1" applyFont="1" applyFill="1"/>
    <xf numFmtId="211" fontId="82" fillId="0" borderId="0" xfId="7" applyNumberFormat="1" applyFont="1" applyFill="1"/>
    <xf numFmtId="211" fontId="126" fillId="0" borderId="0" xfId="0" applyNumberFormat="1" applyFont="1" applyFill="1"/>
    <xf numFmtId="0" fontId="126" fillId="0" borderId="0" xfId="0" applyFont="1" applyFill="1"/>
    <xf numFmtId="211" fontId="9" fillId="0" borderId="0" xfId="0" applyNumberFormat="1" applyFont="1" applyFill="1"/>
    <xf numFmtId="211" fontId="9" fillId="0" borderId="0" xfId="0" applyNumberFormat="1" applyFont="1"/>
    <xf numFmtId="165" fontId="118" fillId="0" borderId="0" xfId="0" applyNumberFormat="1" applyFont="1"/>
    <xf numFmtId="165" fontId="118" fillId="0" borderId="0" xfId="0" applyNumberFormat="1" applyFont="1" applyFill="1"/>
    <xf numFmtId="165" fontId="126" fillId="0" borderId="0" xfId="0" applyNumberFormat="1" applyFont="1"/>
    <xf numFmtId="165" fontId="126" fillId="0" borderId="0" xfId="0" applyNumberFormat="1" applyFont="1" applyFill="1"/>
    <xf numFmtId="7" fontId="9" fillId="0" borderId="0" xfId="0" applyNumberFormat="1" applyFont="1" applyFill="1"/>
    <xf numFmtId="245" fontId="9" fillId="0" borderId="0" xfId="0" applyNumberFormat="1" applyFont="1" applyFill="1"/>
    <xf numFmtId="0" fontId="9" fillId="0" borderId="0" xfId="0" applyFont="1" applyAlignment="1">
      <alignment horizontal="right"/>
    </xf>
    <xf numFmtId="0" fontId="9" fillId="0" borderId="0" xfId="0" applyFont="1" applyFill="1" applyAlignment="1">
      <alignment horizontal="right"/>
    </xf>
    <xf numFmtId="195" fontId="20" fillId="0" borderId="0" xfId="0" applyNumberFormat="1" applyFont="1" applyBorder="1" applyAlignment="1">
      <alignment horizontal="center"/>
    </xf>
    <xf numFmtId="6" fontId="26" fillId="0" borderId="0" xfId="0" quotePrefix="1" applyNumberFormat="1" applyFont="1"/>
    <xf numFmtId="0" fontId="58" fillId="0" borderId="0" xfId="0" applyFont="1" applyAlignment="1">
      <alignment horizontal="left"/>
    </xf>
    <xf numFmtId="0" fontId="23" fillId="0" borderId="0" xfId="0" applyFont="1" applyAlignment="1">
      <alignment horizontal="center"/>
    </xf>
    <xf numFmtId="188" fontId="9" fillId="0" borderId="0" xfId="0" applyNumberFormat="1" applyFont="1"/>
    <xf numFmtId="193" fontId="11" fillId="0" borderId="0" xfId="0" applyNumberFormat="1" applyFont="1" applyBorder="1" applyAlignment="1">
      <alignment horizontal="center"/>
    </xf>
    <xf numFmtId="0" fontId="58" fillId="0" borderId="0" xfId="0" applyFont="1" applyBorder="1" applyAlignment="1">
      <alignment horizontal="center"/>
    </xf>
    <xf numFmtId="190" fontId="9" fillId="0" borderId="0" xfId="37" applyNumberFormat="1" applyFont="1"/>
    <xf numFmtId="38" fontId="12" fillId="0" borderId="0" xfId="0" applyNumberFormat="1" applyFont="1"/>
    <xf numFmtId="171" fontId="12" fillId="4" borderId="0" xfId="0" applyNumberFormat="1" applyFont="1" applyFill="1"/>
    <xf numFmtId="169" fontId="12" fillId="0" borderId="0" xfId="0" applyNumberFormat="1" applyFont="1"/>
    <xf numFmtId="169" fontId="12" fillId="4" borderId="0" xfId="0" applyNumberFormat="1" applyFont="1" applyFill="1"/>
    <xf numFmtId="0" fontId="109" fillId="4" borderId="0" xfId="0" applyFont="1" applyFill="1" applyBorder="1"/>
    <xf numFmtId="165" fontId="12" fillId="0" borderId="0" xfId="0" applyNumberFormat="1" applyFont="1"/>
    <xf numFmtId="38" fontId="9" fillId="0" borderId="0" xfId="0" applyNumberFormat="1" applyFont="1"/>
    <xf numFmtId="190" fontId="12" fillId="0" borderId="0" xfId="37" applyNumberFormat="1" applyFont="1" applyAlignment="1">
      <alignment horizontal="right"/>
    </xf>
    <xf numFmtId="171" fontId="9" fillId="4" borderId="0" xfId="0" applyNumberFormat="1" applyFont="1" applyFill="1"/>
    <xf numFmtId="169" fontId="9" fillId="4" borderId="0" xfId="0" applyNumberFormat="1" applyFont="1" applyFill="1"/>
    <xf numFmtId="190" fontId="9" fillId="0" borderId="0" xfId="37" applyNumberFormat="1" applyFont="1" applyAlignment="1">
      <alignment horizontal="right"/>
    </xf>
    <xf numFmtId="0" fontId="58" fillId="0" borderId="4" xfId="0" applyFont="1" applyFill="1" applyBorder="1" applyAlignment="1">
      <alignment horizontal="center"/>
    </xf>
    <xf numFmtId="202" fontId="9" fillId="0" borderId="0" xfId="0" applyNumberFormat="1" applyFont="1"/>
    <xf numFmtId="171" fontId="43" fillId="0" borderId="0" xfId="0" applyNumberFormat="1" applyFont="1"/>
    <xf numFmtId="169" fontId="12" fillId="0" borderId="0" xfId="0" applyNumberFormat="1" applyFont="1" applyBorder="1"/>
    <xf numFmtId="169" fontId="9" fillId="0" borderId="0" xfId="0" applyNumberFormat="1" applyFont="1" applyBorder="1"/>
    <xf numFmtId="202" fontId="12" fillId="0" borderId="0" xfId="0" applyNumberFormat="1" applyFont="1"/>
    <xf numFmtId="169" fontId="12" fillId="0" borderId="4" xfId="0" applyNumberFormat="1" applyFont="1" applyBorder="1"/>
    <xf numFmtId="169" fontId="9" fillId="0" borderId="4" xfId="0" applyNumberFormat="1" applyFont="1" applyBorder="1"/>
    <xf numFmtId="173" fontId="9" fillId="0" borderId="0" xfId="0" applyNumberFormat="1" applyFont="1" applyFill="1"/>
    <xf numFmtId="174" fontId="9" fillId="0" borderId="0" xfId="0" applyNumberFormat="1" applyFont="1" applyFill="1"/>
    <xf numFmtId="0" fontId="9" fillId="0" borderId="5" xfId="0" applyFont="1" applyBorder="1"/>
    <xf numFmtId="0" fontId="109" fillId="0" borderId="4" xfId="0" applyFont="1" applyBorder="1"/>
    <xf numFmtId="0" fontId="58" fillId="0" borderId="4" xfId="0" applyFont="1" applyBorder="1" applyAlignment="1">
      <alignment horizontal="center"/>
    </xf>
    <xf numFmtId="0" fontId="109" fillId="0" borderId="4" xfId="0" applyFont="1" applyFill="1" applyBorder="1"/>
    <xf numFmtId="167" fontId="12" fillId="2" borderId="0" xfId="0" applyNumberFormat="1" applyFont="1" applyFill="1"/>
    <xf numFmtId="169" fontId="40" fillId="0" borderId="0" xfId="0" applyNumberFormat="1" applyFont="1"/>
    <xf numFmtId="169" fontId="94" fillId="0" borderId="0" xfId="0" applyNumberFormat="1" applyFont="1"/>
    <xf numFmtId="174" fontId="9" fillId="0" borderId="0" xfId="0" applyNumberFormat="1" applyFont="1"/>
    <xf numFmtId="182" fontId="9" fillId="0" borderId="0" xfId="7" applyNumberFormat="1" applyFont="1"/>
    <xf numFmtId="209" fontId="9" fillId="0" borderId="0" xfId="0" applyNumberFormat="1" applyFont="1"/>
    <xf numFmtId="209" fontId="9" fillId="0" borderId="0" xfId="0" applyNumberFormat="1" applyFont="1" applyBorder="1"/>
    <xf numFmtId="0" fontId="127" fillId="0" borderId="34" xfId="0" applyFont="1" applyBorder="1"/>
    <xf numFmtId="0" fontId="127" fillId="0" borderId="34" xfId="0" applyFont="1" applyFill="1" applyBorder="1"/>
    <xf numFmtId="0" fontId="127" fillId="0" borderId="0" xfId="0" applyFont="1" applyBorder="1"/>
    <xf numFmtId="169" fontId="118" fillId="0" borderId="0" xfId="0" applyNumberFormat="1" applyFont="1" applyFill="1" applyBorder="1"/>
    <xf numFmtId="169" fontId="82" fillId="0" borderId="0" xfId="0" applyNumberFormat="1" applyFont="1" applyFill="1" applyBorder="1"/>
    <xf numFmtId="0" fontId="82" fillId="0" borderId="0" xfId="0" applyFont="1" applyFill="1" applyBorder="1"/>
    <xf numFmtId="169" fontId="128" fillId="0" borderId="0" xfId="0" applyNumberFormat="1" applyFont="1" applyFill="1" applyBorder="1"/>
    <xf numFmtId="169" fontId="126" fillId="0" borderId="0" xfId="0" applyNumberFormat="1" applyFont="1" applyFill="1" applyBorder="1"/>
    <xf numFmtId="169" fontId="129" fillId="0" borderId="0" xfId="0" applyNumberFormat="1" applyFont="1" applyFill="1" applyBorder="1"/>
    <xf numFmtId="169" fontId="130" fillId="0" borderId="0" xfId="0" applyNumberFormat="1" applyFont="1" applyFill="1" applyBorder="1"/>
    <xf numFmtId="165" fontId="109" fillId="0" borderId="0" xfId="0" applyNumberFormat="1" applyFont="1" applyFill="1" applyBorder="1"/>
    <xf numFmtId="169" fontId="109" fillId="0" borderId="0" xfId="0" applyNumberFormat="1" applyFont="1" applyFill="1" applyBorder="1"/>
    <xf numFmtId="0" fontId="118" fillId="0" borderId="0" xfId="0" applyFont="1"/>
    <xf numFmtId="165" fontId="9" fillId="0" borderId="0" xfId="0" applyNumberFormat="1" applyFont="1" applyFill="1" applyBorder="1" applyAlignment="1"/>
    <xf numFmtId="165" fontId="109" fillId="0" borderId="0" xfId="0" applyNumberFormat="1" applyFont="1" applyFill="1"/>
    <xf numFmtId="244" fontId="9" fillId="0" borderId="0" xfId="0" applyNumberFormat="1" applyFont="1"/>
    <xf numFmtId="167" fontId="137" fillId="0" borderId="4" xfId="0" applyNumberFormat="1" applyFont="1" applyFill="1" applyBorder="1"/>
    <xf numFmtId="183" fontId="135" fillId="0" borderId="4" xfId="0" applyNumberFormat="1" applyFont="1" applyBorder="1" applyAlignment="1">
      <alignment horizontal="center"/>
    </xf>
    <xf numFmtId="169" fontId="138" fillId="0" borderId="0" xfId="45" applyFont="1" applyAlignment="1">
      <alignment horizontal="center"/>
    </xf>
    <xf numFmtId="4" fontId="40" fillId="0" borderId="0" xfId="21" applyNumberFormat="1" applyFont="1" applyFill="1" applyBorder="1"/>
    <xf numFmtId="166" fontId="9" fillId="0" borderId="0" xfId="7" applyNumberFormat="1" applyFont="1" applyBorder="1" applyAlignment="1">
      <alignment horizontal="right"/>
    </xf>
    <xf numFmtId="175" fontId="11" fillId="0" borderId="0" xfId="34" applyNumberFormat="1" applyFont="1" applyBorder="1" applyProtection="1"/>
    <xf numFmtId="166" fontId="12" fillId="0" borderId="0" xfId="37" applyNumberFormat="1" applyFont="1" applyBorder="1"/>
    <xf numFmtId="9" fontId="9" fillId="0" borderId="0" xfId="37" applyFont="1" applyAlignment="1">
      <alignment horizontal="left"/>
    </xf>
    <xf numFmtId="166" fontId="9" fillId="0" borderId="15" xfId="0" applyNumberFormat="1" applyFont="1" applyFill="1" applyBorder="1"/>
    <xf numFmtId="166" fontId="9" fillId="0" borderId="5" xfId="37" applyNumberFormat="1" applyFont="1" applyFill="1" applyBorder="1"/>
    <xf numFmtId="0" fontId="5" fillId="3" borderId="0" xfId="0" quotePrefix="1" applyFont="1" applyFill="1" applyAlignment="1">
      <alignment horizontal="center"/>
    </xf>
    <xf numFmtId="171" fontId="9" fillId="0" borderId="6" xfId="0" applyNumberFormat="1" applyFont="1" applyBorder="1" applyAlignment="1">
      <alignment horizontal="center"/>
    </xf>
    <xf numFmtId="166" fontId="11" fillId="4" borderId="14" xfId="37" applyNumberFormat="1" applyFont="1" applyFill="1" applyBorder="1"/>
    <xf numFmtId="166" fontId="11" fillId="0" borderId="7" xfId="37" applyNumberFormat="1" applyFont="1" applyFill="1" applyBorder="1" applyAlignment="1">
      <alignment horizontal="center"/>
    </xf>
    <xf numFmtId="171" fontId="9" fillId="0" borderId="3" xfId="0" applyNumberFormat="1" applyFont="1" applyBorder="1" applyAlignment="1">
      <alignment horizontal="center"/>
    </xf>
    <xf numFmtId="202" fontId="9" fillId="0" borderId="0" xfId="0" applyNumberFormat="1" applyFont="1" applyAlignment="1">
      <alignment horizontal="left"/>
    </xf>
    <xf numFmtId="266" fontId="26" fillId="0" borderId="0" xfId="0" applyNumberFormat="1" applyFont="1" applyAlignment="1">
      <alignment horizontal="left"/>
    </xf>
    <xf numFmtId="166" fontId="9" fillId="0" borderId="13" xfId="0" applyNumberFormat="1" applyFont="1" applyBorder="1"/>
    <xf numFmtId="40" fontId="135" fillId="0" borderId="0" xfId="0" applyNumberFormat="1" applyFont="1" applyFill="1"/>
    <xf numFmtId="171" fontId="135" fillId="0" borderId="0" xfId="0" applyNumberFormat="1" applyFont="1" applyFill="1"/>
    <xf numFmtId="267" fontId="12" fillId="0" borderId="0" xfId="0" applyNumberFormat="1" applyFont="1" applyFill="1" applyAlignment="1">
      <alignment horizontal="left"/>
    </xf>
    <xf numFmtId="267" fontId="135" fillId="0" borderId="0" xfId="0" applyNumberFormat="1" applyFont="1" applyFill="1" applyAlignment="1">
      <alignment horizontal="left"/>
    </xf>
    <xf numFmtId="0" fontId="58" fillId="4" borderId="0" xfId="0" quotePrefix="1" applyFont="1" applyFill="1" applyAlignment="1">
      <alignment horizontal="left"/>
    </xf>
    <xf numFmtId="165" fontId="9" fillId="4" borderId="0" xfId="0" applyNumberFormat="1" applyFont="1" applyFill="1" applyAlignment="1">
      <alignment horizontal="center"/>
    </xf>
    <xf numFmtId="1" fontId="9" fillId="4" borderId="0" xfId="0" applyNumberFormat="1" applyFont="1" applyFill="1" applyBorder="1" applyAlignment="1">
      <alignment horizontal="center"/>
    </xf>
    <xf numFmtId="180" fontId="9" fillId="4" borderId="0" xfId="0" applyNumberFormat="1" applyFont="1" applyFill="1" applyAlignment="1">
      <alignment horizontal="center"/>
    </xf>
    <xf numFmtId="176" fontId="9" fillId="4" borderId="0" xfId="0" applyNumberFormat="1" applyFont="1" applyFill="1" applyAlignment="1">
      <alignment horizontal="center"/>
    </xf>
    <xf numFmtId="197" fontId="9" fillId="4" borderId="0" xfId="0" applyNumberFormat="1" applyFont="1" applyFill="1" applyBorder="1" applyAlignment="1">
      <alignment horizontal="center"/>
    </xf>
    <xf numFmtId="37" fontId="9" fillId="4" borderId="0" xfId="0" applyNumberFormat="1" applyFont="1" applyFill="1" applyBorder="1"/>
    <xf numFmtId="165" fontId="9" fillId="4" borderId="0" xfId="0" applyNumberFormat="1" applyFont="1" applyFill="1" applyBorder="1" applyAlignment="1">
      <alignment horizontal="center"/>
    </xf>
    <xf numFmtId="180" fontId="9" fillId="4" borderId="0" xfId="0" applyNumberFormat="1" applyFont="1" applyFill="1"/>
    <xf numFmtId="177" fontId="9" fillId="4" borderId="0" xfId="0" applyNumberFormat="1" applyFont="1" applyFill="1" applyAlignment="1">
      <alignment horizontal="center"/>
    </xf>
    <xf numFmtId="0" fontId="109" fillId="4" borderId="0" xfId="0" applyFont="1" applyFill="1" applyAlignment="1">
      <alignment horizontal="center"/>
    </xf>
    <xf numFmtId="0" fontId="111" fillId="4" borderId="0" xfId="0" applyFont="1" applyFill="1" applyBorder="1"/>
    <xf numFmtId="180" fontId="11" fillId="4" borderId="0" xfId="0" applyNumberFormat="1" applyFont="1" applyFill="1" applyAlignment="1">
      <alignment horizontal="center"/>
    </xf>
    <xf numFmtId="166" fontId="9" fillId="4" borderId="0" xfId="37" applyNumberFormat="1" applyFont="1" applyFill="1" applyAlignment="1">
      <alignment horizontal="center"/>
    </xf>
    <xf numFmtId="9" fontId="9" fillId="4" borderId="0" xfId="37" applyFont="1" applyFill="1"/>
    <xf numFmtId="0" fontId="9" fillId="4" borderId="0" xfId="0" applyFont="1" applyFill="1" applyBorder="1" applyAlignment="1">
      <alignment horizontal="center"/>
    </xf>
    <xf numFmtId="181" fontId="11" fillId="4" borderId="0" xfId="28" applyNumberFormat="1" applyFont="1" applyFill="1" applyAlignment="1" applyProtection="1"/>
    <xf numFmtId="0" fontId="11" fillId="4" borderId="8" xfId="0" applyFont="1" applyFill="1" applyBorder="1"/>
    <xf numFmtId="166" fontId="11" fillId="4" borderId="15" xfId="0" applyNumberFormat="1" applyFont="1" applyFill="1" applyBorder="1"/>
    <xf numFmtId="166" fontId="135" fillId="0" borderId="0" xfId="37" applyNumberFormat="1" applyFont="1" applyFill="1"/>
    <xf numFmtId="166" fontId="9" fillId="0" borderId="0" xfId="37" applyNumberFormat="1" applyFont="1" applyAlignment="1">
      <alignment horizontal="left"/>
    </xf>
    <xf numFmtId="181" fontId="9" fillId="0" borderId="0" xfId="0" applyNumberFormat="1" applyFont="1" applyAlignment="1">
      <alignment horizontal="left"/>
    </xf>
    <xf numFmtId="0" fontId="9" fillId="0" borderId="3" xfId="0" applyFont="1" applyBorder="1" applyAlignment="1">
      <alignment horizontal="centerContinuous"/>
    </xf>
    <xf numFmtId="164" fontId="9" fillId="0" borderId="9" xfId="0" applyNumberFormat="1" applyFont="1" applyBorder="1" applyAlignment="1">
      <alignment horizontal="center"/>
    </xf>
    <xf numFmtId="164" fontId="11" fillId="0" borderId="8" xfId="0" applyNumberFormat="1" applyFont="1" applyBorder="1" applyAlignment="1">
      <alignment horizontal="center"/>
    </xf>
    <xf numFmtId="164" fontId="11" fillId="0" borderId="9" xfId="0" applyNumberFormat="1" applyFont="1" applyBorder="1" applyAlignment="1">
      <alignment horizontal="center"/>
    </xf>
    <xf numFmtId="10" fontId="9" fillId="0" borderId="8" xfId="0" applyNumberFormat="1" applyFont="1" applyBorder="1"/>
    <xf numFmtId="164" fontId="11" fillId="0" borderId="8" xfId="0" applyNumberFormat="1" applyFont="1" applyFill="1" applyBorder="1" applyAlignment="1">
      <alignment horizontal="center"/>
    </xf>
    <xf numFmtId="8" fontId="9" fillId="0" borderId="8" xfId="0" applyNumberFormat="1" applyFont="1" applyBorder="1"/>
    <xf numFmtId="164" fontId="20" fillId="0" borderId="8" xfId="0" applyNumberFormat="1" applyFont="1" applyFill="1" applyBorder="1" applyAlignment="1">
      <alignment horizontal="center"/>
    </xf>
    <xf numFmtId="164" fontId="20" fillId="0" borderId="9" xfId="0" applyNumberFormat="1" applyFont="1" applyFill="1" applyBorder="1" applyAlignment="1">
      <alignment horizontal="center"/>
    </xf>
    <xf numFmtId="164" fontId="11" fillId="0" borderId="9" xfId="0" applyNumberFormat="1" applyFont="1" applyFill="1" applyBorder="1" applyAlignment="1">
      <alignment horizontal="center"/>
    </xf>
    <xf numFmtId="164" fontId="92" fillId="0" borderId="8" xfId="0" applyNumberFormat="1" applyFont="1" applyFill="1" applyBorder="1" applyAlignment="1">
      <alignment horizontal="center"/>
    </xf>
    <xf numFmtId="164" fontId="136" fillId="0" borderId="8" xfId="0" applyNumberFormat="1" applyFont="1" applyFill="1" applyBorder="1" applyAlignment="1">
      <alignment horizontal="center"/>
    </xf>
    <xf numFmtId="165" fontId="11" fillId="4" borderId="0" xfId="0" applyNumberFormat="1" applyFont="1" applyFill="1" applyBorder="1" applyAlignment="1">
      <alignment horizontal="center"/>
    </xf>
    <xf numFmtId="166" fontId="20" fillId="4" borderId="15" xfId="37" applyNumberFormat="1" applyFont="1" applyFill="1" applyBorder="1"/>
    <xf numFmtId="5" fontId="9" fillId="5" borderId="0" xfId="34" applyNumberFormat="1" applyFont="1" applyFill="1" applyBorder="1" applyProtection="1"/>
    <xf numFmtId="5" fontId="12" fillId="5" borderId="0" xfId="34" applyNumberFormat="1" applyFont="1" applyFill="1" applyBorder="1" applyProtection="1"/>
    <xf numFmtId="5" fontId="11" fillId="0" borderId="0" xfId="0" applyNumberFormat="1" applyFont="1"/>
    <xf numFmtId="164" fontId="139" fillId="0" borderId="0" xfId="0" applyNumberFormat="1" applyFont="1" applyFill="1" applyBorder="1" applyAlignment="1">
      <alignment horizontal="center"/>
    </xf>
    <xf numFmtId="167" fontId="137" fillId="0" borderId="0" xfId="0" applyNumberFormat="1" applyFont="1" applyFill="1" applyBorder="1"/>
    <xf numFmtId="8" fontId="9" fillId="0" borderId="0" xfId="0" applyNumberFormat="1" applyFont="1" applyAlignment="1">
      <alignment horizontal="left"/>
    </xf>
    <xf numFmtId="169" fontId="9" fillId="0" borderId="0" xfId="0" applyNumberFormat="1" applyFont="1" applyAlignment="1">
      <alignment horizontal="left"/>
    </xf>
    <xf numFmtId="181" fontId="11" fillId="0" borderId="0" xfId="28" applyNumberFormat="1" applyFont="1" applyFill="1" applyAlignment="1" applyProtection="1"/>
    <xf numFmtId="167" fontId="143" fillId="0" borderId="0" xfId="0" applyNumberFormat="1" applyFont="1" applyFill="1" applyBorder="1"/>
    <xf numFmtId="267" fontId="144" fillId="0" borderId="0" xfId="0" applyNumberFormat="1" applyFont="1" applyFill="1" applyAlignment="1">
      <alignment horizontal="left"/>
    </xf>
    <xf numFmtId="169" fontId="144" fillId="0" borderId="4" xfId="0" applyNumberFormat="1" applyFont="1" applyFill="1" applyBorder="1"/>
    <xf numFmtId="181" fontId="144" fillId="0" borderId="4" xfId="0" applyNumberFormat="1" applyFont="1" applyFill="1" applyBorder="1"/>
    <xf numFmtId="167" fontId="144" fillId="0" borderId="4" xfId="0" applyNumberFormat="1" applyFont="1" applyFill="1" applyBorder="1"/>
    <xf numFmtId="40" fontId="144" fillId="0" borderId="4" xfId="0" applyNumberFormat="1" applyFont="1" applyFill="1" applyBorder="1"/>
    <xf numFmtId="167" fontId="144" fillId="0" borderId="0" xfId="0" applyNumberFormat="1" applyFont="1" applyFill="1"/>
    <xf numFmtId="0" fontId="144" fillId="0" borderId="0" xfId="0" applyFont="1"/>
    <xf numFmtId="171" fontId="145" fillId="0" borderId="0" xfId="0" applyNumberFormat="1" applyFont="1" applyFill="1"/>
    <xf numFmtId="170" fontId="145" fillId="0" borderId="0" xfId="0" applyNumberFormat="1" applyFont="1" applyFill="1"/>
    <xf numFmtId="164" fontId="145" fillId="0" borderId="0" xfId="0" applyNumberFormat="1" applyFont="1" applyFill="1" applyBorder="1" applyAlignment="1">
      <alignment horizontal="center"/>
    </xf>
    <xf numFmtId="193" fontId="58" fillId="4" borderId="0" xfId="0" applyNumberFormat="1" applyFont="1" applyFill="1" applyAlignment="1">
      <alignment horizontal="left"/>
    </xf>
    <xf numFmtId="164" fontId="146" fillId="0" borderId="0" xfId="0" applyNumberFormat="1" applyFont="1" applyFill="1" applyBorder="1" applyAlignment="1">
      <alignment horizontal="center"/>
    </xf>
    <xf numFmtId="0" fontId="0" fillId="0" borderId="7" xfId="0" applyBorder="1"/>
    <xf numFmtId="169" fontId="147" fillId="0" borderId="0" xfId="0" applyNumberFormat="1" applyFont="1" applyFill="1"/>
    <xf numFmtId="164" fontId="147" fillId="0" borderId="0" xfId="0" applyNumberFormat="1" applyFont="1" applyFill="1" applyBorder="1" applyAlignment="1">
      <alignment horizontal="center"/>
    </xf>
    <xf numFmtId="40" fontId="147" fillId="0" borderId="0" xfId="0" applyNumberFormat="1" applyFont="1" applyFill="1"/>
    <xf numFmtId="169" fontId="147" fillId="0" borderId="0" xfId="0" applyNumberFormat="1" applyFont="1" applyFill="1" applyBorder="1"/>
    <xf numFmtId="167" fontId="147" fillId="0" borderId="0" xfId="0" applyNumberFormat="1" applyFont="1" applyFill="1" applyBorder="1"/>
    <xf numFmtId="167" fontId="147" fillId="0" borderId="0" xfId="0" applyNumberFormat="1" applyFont="1" applyFill="1"/>
    <xf numFmtId="169" fontId="148" fillId="0" borderId="0" xfId="0" applyNumberFormat="1" applyFont="1" applyFill="1" applyBorder="1"/>
    <xf numFmtId="169" fontId="148" fillId="0" borderId="0" xfId="0" applyNumberFormat="1" applyFont="1" applyFill="1"/>
    <xf numFmtId="0" fontId="148" fillId="0" borderId="0" xfId="0" applyFont="1"/>
    <xf numFmtId="181" fontId="148" fillId="0" borderId="0" xfId="0" applyNumberFormat="1" applyFont="1" applyFill="1" applyBorder="1"/>
    <xf numFmtId="181" fontId="12" fillId="0" borderId="0" xfId="0" applyNumberFormat="1" applyFont="1" applyFill="1" applyBorder="1" applyAlignment="1">
      <alignment horizontal="center"/>
    </xf>
    <xf numFmtId="172" fontId="40" fillId="0" borderId="0" xfId="21" applyNumberFormat="1" applyFont="1" applyBorder="1"/>
    <xf numFmtId="267" fontId="9" fillId="0" borderId="0" xfId="0" applyNumberFormat="1" applyFont="1" applyFill="1" applyAlignment="1">
      <alignment horizontal="left"/>
    </xf>
    <xf numFmtId="0" fontId="58" fillId="0" borderId="13" xfId="0" applyFont="1" applyBorder="1" applyAlignment="1">
      <alignment horizontal="center"/>
    </xf>
    <xf numFmtId="4" fontId="9" fillId="0" borderId="15" xfId="0" applyNumberFormat="1" applyFont="1" applyBorder="1"/>
    <xf numFmtId="0" fontId="151" fillId="0" borderId="0" xfId="0" applyFont="1"/>
    <xf numFmtId="0" fontId="152" fillId="0" borderId="0" xfId="0" applyFont="1" applyFill="1"/>
    <xf numFmtId="0" fontId="151" fillId="0" borderId="0" xfId="0" applyFont="1" applyFill="1" applyAlignment="1">
      <alignment horizontal="center"/>
    </xf>
    <xf numFmtId="0" fontId="151" fillId="0" borderId="0" xfId="0" applyFont="1" applyAlignment="1">
      <alignment horizontal="center"/>
    </xf>
    <xf numFmtId="37" fontId="9" fillId="0" borderId="0" xfId="0" applyNumberFormat="1" applyFont="1" applyFill="1" applyAlignment="1">
      <alignment horizontal="center"/>
    </xf>
    <xf numFmtId="166" fontId="12" fillId="0" borderId="0" xfId="0" applyNumberFormat="1" applyFont="1" applyFill="1" applyBorder="1" applyAlignment="1">
      <alignment horizontal="center"/>
    </xf>
    <xf numFmtId="171" fontId="12" fillId="0" borderId="3" xfId="0" applyNumberFormat="1" applyFont="1" applyFill="1" applyBorder="1" applyAlignment="1">
      <alignment horizontal="center"/>
    </xf>
    <xf numFmtId="189" fontId="151" fillId="0" borderId="0" xfId="0" applyNumberFormat="1" applyFont="1" applyFill="1"/>
    <xf numFmtId="181" fontId="152" fillId="0" borderId="0" xfId="0" applyNumberFormat="1" applyFont="1" applyFill="1"/>
    <xf numFmtId="181" fontId="152" fillId="0" borderId="4" xfId="0" applyNumberFormat="1" applyFont="1" applyFill="1" applyBorder="1"/>
    <xf numFmtId="167" fontId="151" fillId="0" borderId="0" xfId="0" applyNumberFormat="1" applyFont="1" applyFill="1" applyBorder="1"/>
    <xf numFmtId="166" fontId="150" fillId="0" borderId="8" xfId="0" applyNumberFormat="1" applyFont="1" applyFill="1" applyBorder="1"/>
    <xf numFmtId="6" fontId="5" fillId="0" borderId="0" xfId="0" applyNumberFormat="1" applyFont="1" applyFill="1" applyBorder="1"/>
    <xf numFmtId="164" fontId="146" fillId="0" borderId="4" xfId="0" applyNumberFormat="1" applyFont="1" applyFill="1" applyBorder="1" applyAlignment="1">
      <alignment horizontal="center"/>
    </xf>
    <xf numFmtId="0" fontId="153" fillId="0" borderId="0" xfId="0" applyFont="1"/>
    <xf numFmtId="267" fontId="153" fillId="0" borderId="0" xfId="0" applyNumberFormat="1" applyFont="1" applyFill="1" applyAlignment="1">
      <alignment horizontal="left"/>
    </xf>
    <xf numFmtId="40" fontId="153" fillId="0" borderId="4" xfId="0" applyNumberFormat="1" applyFont="1" applyFill="1" applyBorder="1"/>
    <xf numFmtId="169" fontId="29" fillId="0" borderId="5" xfId="22" applyNumberFormat="1" applyFont="1" applyFill="1" applyBorder="1" applyAlignment="1">
      <alignment horizontal="centerContinuous"/>
    </xf>
    <xf numFmtId="37" fontId="28" fillId="0" borderId="7" xfId="22" applyNumberFormat="1" applyFont="1" applyFill="1" applyBorder="1" applyAlignment="1">
      <alignment horizontal="centerContinuous"/>
    </xf>
    <xf numFmtId="0" fontId="151" fillId="0" borderId="4" xfId="0" applyFont="1" applyBorder="1" applyAlignment="1">
      <alignment horizontal="center"/>
    </xf>
    <xf numFmtId="171" fontId="154" fillId="0" borderId="0" xfId="0" applyNumberFormat="1" applyFont="1" applyFill="1"/>
    <xf numFmtId="267" fontId="154" fillId="0" borderId="0" xfId="0" applyNumberFormat="1" applyFont="1" applyFill="1" applyAlignment="1">
      <alignment horizontal="left"/>
    </xf>
    <xf numFmtId="0" fontId="9" fillId="0" borderId="0" xfId="15" applyFont="1"/>
    <xf numFmtId="0" fontId="11" fillId="0" borderId="0" xfId="15" applyFont="1"/>
    <xf numFmtId="0" fontId="26" fillId="0" borderId="0" xfId="15" applyFont="1"/>
    <xf numFmtId="0" fontId="156" fillId="0" borderId="0" xfId="15" applyFont="1"/>
    <xf numFmtId="0" fontId="55" fillId="0" borderId="0" xfId="15" applyFont="1"/>
    <xf numFmtId="0" fontId="158" fillId="0" borderId="0" xfId="15" applyFont="1" applyAlignment="1">
      <alignment horizontal="center"/>
    </xf>
    <xf numFmtId="175" fontId="9" fillId="10" borderId="5" xfId="8" applyNumberFormat="1" applyFont="1" applyFill="1" applyBorder="1"/>
    <xf numFmtId="175" fontId="9" fillId="10" borderId="7" xfId="8" applyNumberFormat="1" applyFont="1" applyFill="1" applyBorder="1"/>
    <xf numFmtId="175" fontId="40" fillId="10" borderId="6" xfId="8" applyNumberFormat="1" applyFont="1" applyFill="1" applyBorder="1"/>
    <xf numFmtId="0" fontId="9" fillId="10" borderId="5" xfId="15" applyFont="1" applyFill="1" applyBorder="1"/>
    <xf numFmtId="175" fontId="107" fillId="10" borderId="5" xfId="8" applyNumberFormat="1" applyFont="1" applyFill="1" applyBorder="1" applyAlignment="1">
      <alignment horizontal="center"/>
    </xf>
    <xf numFmtId="166" fontId="107" fillId="10" borderId="7" xfId="38" applyNumberFormat="1" applyFont="1" applyFill="1" applyBorder="1"/>
    <xf numFmtId="175" fontId="107" fillId="10" borderId="6" xfId="8" applyNumberFormat="1" applyFont="1" applyFill="1" applyBorder="1"/>
    <xf numFmtId="175" fontId="40" fillId="0" borderId="0" xfId="8" applyNumberFormat="1" applyFont="1"/>
    <xf numFmtId="0" fontId="40" fillId="0" borderId="0" xfId="15" applyFont="1"/>
    <xf numFmtId="0" fontId="9" fillId="11" borderId="0" xfId="15" applyFont="1" applyFill="1"/>
    <xf numFmtId="0" fontId="40" fillId="11" borderId="0" xfId="15" applyFont="1" applyFill="1"/>
    <xf numFmtId="0" fontId="11" fillId="11" borderId="0" xfId="15" applyFont="1" applyFill="1"/>
    <xf numFmtId="0" fontId="107" fillId="11" borderId="4" xfId="15" applyFont="1" applyFill="1" applyBorder="1"/>
    <xf numFmtId="195" fontId="20" fillId="11" borderId="4" xfId="17" applyNumberFormat="1" applyFont="1" applyFill="1" applyBorder="1" applyAlignment="1">
      <alignment horizontal="center"/>
    </xf>
    <xf numFmtId="195" fontId="20" fillId="12" borderId="4" xfId="17" applyNumberFormat="1" applyFont="1" applyFill="1" applyBorder="1" applyAlignment="1">
      <alignment horizontal="center"/>
    </xf>
    <xf numFmtId="17" fontId="11" fillId="11" borderId="0" xfId="15" applyNumberFormat="1" applyFont="1" applyFill="1"/>
    <xf numFmtId="0" fontId="107" fillId="11" borderId="0" xfId="15" applyFont="1" applyFill="1"/>
    <xf numFmtId="17" fontId="11" fillId="12" borderId="0" xfId="15" applyNumberFormat="1" applyFont="1" applyFill="1"/>
    <xf numFmtId="175" fontId="9" fillId="11" borderId="0" xfId="8" applyNumberFormat="1" applyFont="1" applyFill="1"/>
    <xf numFmtId="175" fontId="9" fillId="12" borderId="0" xfId="8" applyNumberFormat="1" applyFont="1" applyFill="1"/>
    <xf numFmtId="166" fontId="9" fillId="11" borderId="0" xfId="38" applyNumberFormat="1" applyFont="1" applyFill="1"/>
    <xf numFmtId="166" fontId="155" fillId="12" borderId="0" xfId="38" applyNumberFormat="1" applyFont="1" applyFill="1"/>
    <xf numFmtId="0" fontId="26" fillId="11" borderId="0" xfId="15" applyFont="1" applyFill="1"/>
    <xf numFmtId="0" fontId="91" fillId="11" borderId="0" xfId="15" applyFont="1" applyFill="1"/>
    <xf numFmtId="9" fontId="160" fillId="11" borderId="0" xfId="15" applyNumberFormat="1" applyFont="1" applyFill="1"/>
    <xf numFmtId="9" fontId="155" fillId="12" borderId="0" xfId="38" applyNumberFormat="1" applyFont="1" applyFill="1"/>
    <xf numFmtId="175" fontId="9" fillId="11" borderId="4" xfId="8" applyNumberFormat="1" applyFont="1" applyFill="1" applyBorder="1"/>
    <xf numFmtId="175" fontId="9" fillId="12" borderId="4" xfId="8" applyNumberFormat="1" applyFont="1" applyFill="1" applyBorder="1"/>
    <xf numFmtId="175" fontId="9" fillId="11" borderId="0" xfId="15" applyNumberFormat="1" applyFont="1" applyFill="1"/>
    <xf numFmtId="175" fontId="9" fillId="12" borderId="0" xfId="15" applyNumberFormat="1" applyFont="1" applyFill="1"/>
    <xf numFmtId="0" fontId="156" fillId="11" borderId="0" xfId="15" applyFont="1" applyFill="1"/>
    <xf numFmtId="9" fontId="156" fillId="11" borderId="0" xfId="38" applyFont="1" applyFill="1"/>
    <xf numFmtId="166" fontId="156" fillId="11" borderId="0" xfId="38" applyNumberFormat="1" applyFont="1" applyFill="1"/>
    <xf numFmtId="166" fontId="157" fillId="12" borderId="0" xfId="38" applyNumberFormat="1" applyFont="1" applyFill="1"/>
    <xf numFmtId="0" fontId="9" fillId="12" borderId="0" xfId="15" applyFont="1" applyFill="1"/>
    <xf numFmtId="175" fontId="40" fillId="11" borderId="0" xfId="8" quotePrefix="1" applyNumberFormat="1" applyFont="1" applyFill="1"/>
    <xf numFmtId="166" fontId="161" fillId="12" borderId="0" xfId="38" applyNumberFormat="1" applyFont="1" applyFill="1"/>
    <xf numFmtId="166" fontId="9" fillId="12" borderId="0" xfId="38" applyNumberFormat="1" applyFont="1" applyFill="1"/>
    <xf numFmtId="9" fontId="55" fillId="11" borderId="0" xfId="38" applyFont="1" applyFill="1"/>
    <xf numFmtId="9" fontId="157" fillId="12" borderId="0" xfId="38" applyFont="1" applyFill="1"/>
    <xf numFmtId="0" fontId="9" fillId="11" borderId="4" xfId="15" applyFont="1" applyFill="1" applyBorder="1"/>
    <xf numFmtId="0" fontId="9" fillId="12" borderId="4" xfId="15" applyFont="1" applyFill="1" applyBorder="1"/>
    <xf numFmtId="175" fontId="11" fillId="11" borderId="0" xfId="15" applyNumberFormat="1" applyFont="1" applyFill="1"/>
    <xf numFmtId="175" fontId="11" fillId="12" borderId="0" xfId="15" applyNumberFormat="1" applyFont="1" applyFill="1"/>
    <xf numFmtId="0" fontId="55" fillId="11" borderId="0" xfId="15" applyFont="1" applyFill="1"/>
    <xf numFmtId="0" fontId="158" fillId="11" borderId="0" xfId="15" applyFont="1" applyFill="1" applyAlignment="1">
      <alignment horizontal="center"/>
    </xf>
    <xf numFmtId="175" fontId="158" fillId="11" borderId="0" xfId="8" applyNumberFormat="1" applyFont="1" applyFill="1" applyAlignment="1">
      <alignment horizontal="center"/>
    </xf>
    <xf numFmtId="0" fontId="159" fillId="11" borderId="0" xfId="15" applyFont="1" applyFill="1" applyAlignment="1">
      <alignment horizontal="center"/>
    </xf>
    <xf numFmtId="175" fontId="40" fillId="11" borderId="0" xfId="8" applyNumberFormat="1" applyFont="1" applyFill="1"/>
    <xf numFmtId="43" fontId="24" fillId="11" borderId="0" xfId="8" applyNumberFormat="1" applyFont="1" applyFill="1"/>
    <xf numFmtId="166" fontId="161" fillId="11" borderId="0" xfId="15" applyNumberFormat="1" applyFont="1" applyFill="1"/>
    <xf numFmtId="166" fontId="161" fillId="11" borderId="0" xfId="38" applyNumberFormat="1" applyFont="1" applyFill="1" applyAlignment="1">
      <alignment horizontal="right"/>
    </xf>
    <xf numFmtId="175" fontId="40" fillId="11" borderId="4" xfId="8" applyNumberFormat="1" applyFont="1" applyFill="1" applyBorder="1"/>
    <xf numFmtId="175" fontId="107" fillId="11" borderId="0" xfId="8" applyNumberFormat="1" applyFont="1" applyFill="1"/>
    <xf numFmtId="175" fontId="91" fillId="11" borderId="0" xfId="8" applyNumberFormat="1" applyFont="1" applyFill="1"/>
    <xf numFmtId="166" fontId="160" fillId="11" borderId="0" xfId="38" applyNumberFormat="1" applyFont="1" applyFill="1"/>
    <xf numFmtId="166" fontId="9" fillId="11" borderId="0" xfId="38" applyNumberFormat="1" applyFont="1" applyFill="1" applyAlignment="1">
      <alignment horizontal="right"/>
    </xf>
    <xf numFmtId="166" fontId="91" fillId="11" borderId="0" xfId="38" applyNumberFormat="1" applyFont="1" applyFill="1"/>
    <xf numFmtId="175" fontId="91" fillId="11" borderId="0" xfId="8" applyNumberFormat="1" applyFont="1" applyFill="1" applyAlignment="1">
      <alignment horizontal="center"/>
    </xf>
    <xf numFmtId="166" fontId="40" fillId="11" borderId="0" xfId="38" applyNumberFormat="1" applyFont="1" applyFill="1"/>
    <xf numFmtId="44" fontId="161" fillId="11" borderId="0" xfId="13" applyFont="1" applyFill="1"/>
    <xf numFmtId="9" fontId="40" fillId="11" borderId="0" xfId="38" applyFont="1" applyFill="1"/>
    <xf numFmtId="9" fontId="91" fillId="11" borderId="0" xfId="38" applyFont="1" applyFill="1" applyAlignment="1">
      <alignment horizontal="center"/>
    </xf>
    <xf numFmtId="175" fontId="40" fillId="11" borderId="0" xfId="8" applyNumberFormat="1" applyFont="1" applyFill="1" applyBorder="1"/>
    <xf numFmtId="175" fontId="40" fillId="11" borderId="4" xfId="8" applyNumberFormat="1" applyFont="1" applyFill="1" applyBorder="1" applyAlignment="1">
      <alignment horizontal="center"/>
    </xf>
    <xf numFmtId="175" fontId="107" fillId="13" borderId="6" xfId="8" applyNumberFormat="1" applyFont="1" applyFill="1" applyBorder="1"/>
    <xf numFmtId="44" fontId="107" fillId="13" borderId="7" xfId="13" applyFont="1" applyFill="1" applyBorder="1"/>
    <xf numFmtId="9" fontId="9" fillId="11" borderId="0" xfId="38" applyFont="1" applyFill="1"/>
    <xf numFmtId="0" fontId="0" fillId="0" borderId="0" xfId="0"/>
    <xf numFmtId="170" fontId="161" fillId="0" borderId="0" xfId="15" applyNumberFormat="1" applyFont="1" applyFill="1" applyAlignment="1">
      <alignment horizontal="right"/>
    </xf>
    <xf numFmtId="0" fontId="1" fillId="0" borderId="0" xfId="0" applyFont="1"/>
    <xf numFmtId="5" fontId="162" fillId="3" borderId="0" xfId="0" applyNumberFormat="1" applyFont="1" applyFill="1" applyAlignment="1" applyProtection="1">
      <alignment horizontal="center"/>
    </xf>
    <xf numFmtId="188" fontId="163" fillId="3" borderId="0" xfId="0" applyNumberFormat="1" applyFont="1" applyFill="1" applyAlignment="1" applyProtection="1">
      <alignment horizontal="center"/>
    </xf>
    <xf numFmtId="37" fontId="163" fillId="3" borderId="0" xfId="0" applyNumberFormat="1" applyFont="1" applyFill="1" applyAlignment="1" applyProtection="1">
      <alignment horizontal="center"/>
    </xf>
    <xf numFmtId="0" fontId="163" fillId="3" borderId="0" xfId="0" applyFont="1" applyFill="1" applyAlignment="1">
      <alignment horizontal="center"/>
    </xf>
    <xf numFmtId="39" fontId="163" fillId="3" borderId="0" xfId="0" applyNumberFormat="1" applyFont="1" applyFill="1" applyAlignment="1" applyProtection="1">
      <alignment horizontal="center"/>
    </xf>
    <xf numFmtId="7" fontId="162" fillId="3" borderId="0" xfId="0" applyNumberFormat="1" applyFont="1" applyFill="1" applyAlignment="1" applyProtection="1">
      <alignment horizontal="center"/>
    </xf>
    <xf numFmtId="167" fontId="163" fillId="3" borderId="0" xfId="0" applyNumberFormat="1" applyFont="1" applyFill="1" applyAlignment="1" applyProtection="1">
      <alignment horizontal="center"/>
    </xf>
    <xf numFmtId="0" fontId="161" fillId="0" borderId="0" xfId="0" applyFont="1"/>
    <xf numFmtId="169" fontId="163" fillId="0" borderId="0" xfId="0" applyNumberFormat="1" applyFont="1" applyFill="1" applyBorder="1"/>
    <xf numFmtId="0" fontId="161" fillId="0" borderId="0" xfId="0" applyFont="1" applyFill="1"/>
    <xf numFmtId="170" fontId="161" fillId="0" borderId="0" xfId="0" applyNumberFormat="1" applyFont="1" applyFill="1"/>
    <xf numFmtId="164" fontId="161" fillId="0" borderId="0" xfId="0" applyNumberFormat="1" applyFont="1" applyFill="1" applyBorder="1" applyAlignment="1">
      <alignment horizontal="center"/>
    </xf>
    <xf numFmtId="0" fontId="161" fillId="0" borderId="0" xfId="0" applyFont="1" applyAlignment="1">
      <alignment horizontal="right"/>
    </xf>
    <xf numFmtId="164" fontId="161" fillId="0" borderId="0" xfId="0" applyNumberFormat="1" applyFont="1" applyFill="1" applyBorder="1" applyAlignment="1">
      <alignment horizontal="right"/>
    </xf>
    <xf numFmtId="164" fontId="9" fillId="0" borderId="0" xfId="0" applyNumberFormat="1" applyFont="1" applyFill="1" applyBorder="1" applyAlignment="1">
      <alignment horizontal="right"/>
    </xf>
    <xf numFmtId="164" fontId="9" fillId="0" borderId="4" xfId="0" applyNumberFormat="1" applyFont="1" applyFill="1" applyBorder="1" applyAlignment="1">
      <alignment horizontal="right"/>
    </xf>
    <xf numFmtId="180" fontId="11" fillId="0" borderId="0" xfId="0" applyNumberFormat="1" applyFont="1" applyFill="1" applyAlignment="1">
      <alignment horizontal="right"/>
    </xf>
    <xf numFmtId="0" fontId="161" fillId="0" borderId="0" xfId="0" applyFont="1" applyAlignment="1">
      <alignment horizontal="center"/>
    </xf>
    <xf numFmtId="166" fontId="161" fillId="0" borderId="0" xfId="37" applyNumberFormat="1" applyFont="1" applyFill="1" applyBorder="1"/>
    <xf numFmtId="166" fontId="161" fillId="0" borderId="4" xfId="37" applyNumberFormat="1" applyFont="1" applyFill="1" applyBorder="1"/>
    <xf numFmtId="169" fontId="0" fillId="0" borderId="0" xfId="0" applyNumberFormat="1"/>
    <xf numFmtId="242" fontId="9" fillId="0" borderId="0" xfId="0" applyNumberFormat="1" applyFont="1"/>
    <xf numFmtId="166" fontId="163" fillId="0" borderId="0" xfId="37" applyNumberFormat="1" applyFont="1" applyBorder="1"/>
    <xf numFmtId="0" fontId="0" fillId="0" borderId="0" xfId="0"/>
    <xf numFmtId="0" fontId="161" fillId="0" borderId="0" xfId="0" applyFont="1" applyFill="1" applyAlignment="1">
      <alignment horizontal="center"/>
    </xf>
    <xf numFmtId="165" fontId="149" fillId="0" borderId="0" xfId="0" applyNumberFormat="1" applyFont="1" applyFill="1" applyAlignment="1">
      <alignment horizontal="center"/>
    </xf>
    <xf numFmtId="165" fontId="161" fillId="0" borderId="0" xfId="0" applyNumberFormat="1" applyFont="1" applyFill="1" applyAlignment="1">
      <alignment horizontal="center"/>
    </xf>
    <xf numFmtId="181" fontId="161" fillId="0" borderId="0" xfId="0" applyNumberFormat="1" applyFont="1" applyFill="1" applyBorder="1" applyAlignment="1">
      <alignment horizontal="center"/>
    </xf>
    <xf numFmtId="166" fontId="161" fillId="0" borderId="0" xfId="0" applyNumberFormat="1" applyFont="1" applyFill="1" applyAlignment="1">
      <alignment horizontal="center"/>
    </xf>
    <xf numFmtId="171" fontId="1" fillId="0" borderId="0" xfId="0" applyNumberFormat="1" applyFont="1" applyFill="1"/>
    <xf numFmtId="169" fontId="1" fillId="0" borderId="0" xfId="0" applyNumberFormat="1" applyFont="1" applyFill="1"/>
    <xf numFmtId="169" fontId="1" fillId="0" borderId="0" xfId="0" applyNumberFormat="1" applyFont="1" applyFill="1" applyBorder="1"/>
    <xf numFmtId="169" fontId="1" fillId="0" borderId="4" xfId="0" applyNumberFormat="1" applyFont="1" applyFill="1" applyBorder="1"/>
    <xf numFmtId="1" fontId="161" fillId="0" borderId="0" xfId="0" applyNumberFormat="1" applyFont="1" applyBorder="1" applyAlignment="1">
      <alignment horizontal="center"/>
    </xf>
    <xf numFmtId="166" fontId="1" fillId="0" borderId="0" xfId="37" applyNumberFormat="1" applyFont="1" applyFill="1" applyBorder="1"/>
    <xf numFmtId="166" fontId="1" fillId="0" borderId="4" xfId="37" applyNumberFormat="1" applyFont="1" applyFill="1" applyBorder="1"/>
    <xf numFmtId="43" fontId="9" fillId="0" borderId="0" xfId="7" applyFont="1" applyAlignment="1">
      <alignment horizontal="left"/>
    </xf>
    <xf numFmtId="10" fontId="9" fillId="0" borderId="0" xfId="37" applyNumberFormat="1" applyFont="1" applyBorder="1"/>
    <xf numFmtId="267" fontId="1" fillId="0" borderId="0" xfId="0" applyNumberFormat="1" applyFont="1" applyFill="1" applyAlignment="1">
      <alignment horizontal="left"/>
    </xf>
    <xf numFmtId="10" fontId="9" fillId="0" borderId="0" xfId="37" applyNumberFormat="1" applyFont="1"/>
    <xf numFmtId="175" fontId="9" fillId="0" borderId="0" xfId="0" applyNumberFormat="1" applyFont="1"/>
    <xf numFmtId="43" fontId="1" fillId="0" borderId="0" xfId="7" applyFont="1"/>
    <xf numFmtId="9" fontId="9" fillId="0" borderId="0" xfId="37" applyFont="1" applyFill="1" applyAlignment="1">
      <alignment horizontal="center"/>
    </xf>
    <xf numFmtId="165" fontId="1" fillId="0" borderId="0" xfId="0" applyNumberFormat="1" applyFont="1"/>
    <xf numFmtId="9" fontId="9" fillId="0" borderId="4" xfId="37" applyFont="1" applyFill="1" applyBorder="1" applyAlignment="1">
      <alignment horizontal="center"/>
    </xf>
    <xf numFmtId="180" fontId="1" fillId="0" borderId="4" xfId="0" applyNumberFormat="1" applyFont="1" applyBorder="1" applyAlignment="1">
      <alignment horizontal="center"/>
    </xf>
    <xf numFmtId="0" fontId="1" fillId="0" borderId="4" xfId="0" applyFont="1" applyBorder="1"/>
    <xf numFmtId="9" fontId="1" fillId="0" borderId="4" xfId="37" applyFont="1" applyBorder="1"/>
    <xf numFmtId="189" fontId="161" fillId="0" borderId="0" xfId="0" applyNumberFormat="1" applyFont="1" applyFill="1"/>
    <xf numFmtId="9" fontId="1" fillId="0" borderId="0" xfId="37" applyFont="1"/>
    <xf numFmtId="166" fontId="1" fillId="0" borderId="0" xfId="37" applyNumberFormat="1" applyFont="1"/>
    <xf numFmtId="0" fontId="0" fillId="0" borderId="0" xfId="0"/>
    <xf numFmtId="0" fontId="1" fillId="0" borderId="0" xfId="46"/>
    <xf numFmtId="0" fontId="1" fillId="0" borderId="0" xfId="46" applyFont="1"/>
    <xf numFmtId="197" fontId="1" fillId="0" borderId="0" xfId="0" applyNumberFormat="1" applyFont="1" applyFill="1" applyBorder="1" applyAlignment="1">
      <alignment horizontal="center"/>
    </xf>
    <xf numFmtId="172" fontId="1" fillId="0" borderId="0" xfId="0" applyNumberFormat="1" applyFont="1"/>
    <xf numFmtId="167" fontId="1" fillId="0" borderId="0" xfId="0" applyNumberFormat="1" applyFont="1" applyBorder="1"/>
    <xf numFmtId="167" fontId="1" fillId="0" borderId="4" xfId="0" applyNumberFormat="1" applyFont="1" applyBorder="1"/>
    <xf numFmtId="172" fontId="164" fillId="0" borderId="0" xfId="0" applyNumberFormat="1" applyFont="1" applyFill="1"/>
    <xf numFmtId="181" fontId="164" fillId="0" borderId="0" xfId="0" applyNumberFormat="1" applyFont="1" applyFill="1"/>
    <xf numFmtId="165" fontId="1" fillId="0" borderId="0" xfId="0" applyNumberFormat="1" applyFont="1" applyBorder="1"/>
    <xf numFmtId="165" fontId="1" fillId="0" borderId="4" xfId="0" applyNumberFormat="1" applyFont="1" applyBorder="1"/>
    <xf numFmtId="167" fontId="1" fillId="0" borderId="0" xfId="0" applyNumberFormat="1" applyFont="1" applyFill="1" applyBorder="1"/>
    <xf numFmtId="167" fontId="1" fillId="0" borderId="4" xfId="0" applyNumberFormat="1" applyFont="1" applyFill="1" applyBorder="1"/>
    <xf numFmtId="40" fontId="1" fillId="0" borderId="0" xfId="0" applyNumberFormat="1" applyFont="1" applyFill="1"/>
    <xf numFmtId="167" fontId="1" fillId="0" borderId="0" xfId="17" applyNumberFormat="1" applyFont="1" applyFill="1" applyBorder="1"/>
    <xf numFmtId="166" fontId="1" fillId="0" borderId="0" xfId="37" applyNumberFormat="1" applyFont="1" applyFill="1" applyBorder="1" applyAlignment="1"/>
    <xf numFmtId="0" fontId="11" fillId="0" borderId="0" xfId="0" quotePrefix="1" applyFont="1"/>
    <xf numFmtId="4" fontId="9" fillId="0" borderId="0" xfId="0" applyNumberFormat="1" applyFont="1" applyBorder="1"/>
    <xf numFmtId="0" fontId="58" fillId="0" borderId="12" xfId="0" applyFont="1" applyBorder="1" applyAlignment="1">
      <alignment horizontal="center"/>
    </xf>
    <xf numFmtId="169" fontId="165" fillId="0" borderId="0" xfId="45" applyFont="1" applyAlignment="1">
      <alignment horizontal="center"/>
    </xf>
    <xf numFmtId="167" fontId="12" fillId="11" borderId="0" xfId="17" applyNumberFormat="1" applyFont="1" applyFill="1" applyBorder="1"/>
    <xf numFmtId="188" fontId="9" fillId="0" borderId="8" xfId="37" applyNumberFormat="1" applyFont="1" applyFill="1" applyBorder="1" applyAlignment="1">
      <alignment horizontal="right"/>
    </xf>
    <xf numFmtId="188" fontId="9" fillId="0" borderId="0" xfId="37" applyNumberFormat="1" applyFont="1" applyFill="1" applyBorder="1" applyAlignment="1">
      <alignment horizontal="right"/>
    </xf>
    <xf numFmtId="188" fontId="1" fillId="0" borderId="15" xfId="37" applyNumberFormat="1" applyFont="1" applyFill="1" applyBorder="1" applyAlignment="1">
      <alignment horizontal="right"/>
    </xf>
    <xf numFmtId="166" fontId="40" fillId="0" borderId="0" xfId="37" applyNumberFormat="1" applyFont="1" applyFill="1" applyBorder="1" applyAlignment="1">
      <alignment horizontal="right"/>
    </xf>
    <xf numFmtId="6" fontId="0" fillId="0" borderId="0" xfId="0" applyNumberFormat="1"/>
    <xf numFmtId="5" fontId="11" fillId="0" borderId="0" xfId="0" applyNumberFormat="1" applyFont="1" applyFill="1"/>
    <xf numFmtId="0" fontId="0" fillId="0" borderId="0" xfId="0" applyFill="1" applyAlignment="1">
      <alignment horizontal="center"/>
    </xf>
    <xf numFmtId="189" fontId="160" fillId="0" borderId="0" xfId="0" applyNumberFormat="1" applyFont="1" applyFill="1"/>
    <xf numFmtId="178" fontId="11" fillId="12" borderId="0" xfId="34" applyNumberFormat="1" applyFont="1" applyFill="1" applyAlignment="1" applyProtection="1">
      <alignment horizontal="left"/>
    </xf>
    <xf numFmtId="188" fontId="11" fillId="12" borderId="0" xfId="35" applyNumberFormat="1" applyFont="1" applyFill="1" applyProtection="1"/>
    <xf numFmtId="166" fontId="11" fillId="12" borderId="0" xfId="37" applyNumberFormat="1" applyFont="1" applyFill="1"/>
    <xf numFmtId="166" fontId="11" fillId="12" borderId="0" xfId="0" applyNumberFormat="1" applyFont="1" applyFill="1"/>
    <xf numFmtId="188" fontId="11" fillId="12" borderId="0" xfId="35" applyNumberFormat="1" applyFont="1" applyFill="1" applyBorder="1" applyProtection="1"/>
    <xf numFmtId="188" fontId="136" fillId="12" borderId="0" xfId="0" applyNumberFormat="1" applyFont="1" applyFill="1"/>
    <xf numFmtId="188" fontId="20" fillId="12" borderId="0" xfId="35" applyNumberFormat="1" applyFont="1" applyFill="1" applyBorder="1" applyProtection="1"/>
    <xf numFmtId="166" fontId="163" fillId="0" borderId="8" xfId="0" applyNumberFormat="1" applyFont="1" applyFill="1" applyBorder="1"/>
    <xf numFmtId="166" fontId="5" fillId="0" borderId="8" xfId="0" applyNumberFormat="1" applyFont="1" applyFill="1" applyBorder="1"/>
    <xf numFmtId="166" fontId="5" fillId="0" borderId="0" xfId="0" applyNumberFormat="1" applyFont="1" applyFill="1" applyBorder="1"/>
    <xf numFmtId="166" fontId="5" fillId="0" borderId="0" xfId="0" applyNumberFormat="1" applyFont="1" applyFill="1" applyBorder="1" applyAlignment="1">
      <alignment horizontal="left"/>
    </xf>
    <xf numFmtId="169" fontId="161" fillId="0" borderId="0" xfId="0" applyNumberFormat="1" applyFont="1" applyFill="1" applyBorder="1"/>
    <xf numFmtId="167" fontId="161" fillId="0" borderId="0" xfId="0" applyNumberFormat="1" applyFont="1" applyBorder="1"/>
    <xf numFmtId="267" fontId="161" fillId="0" borderId="0" xfId="0" applyNumberFormat="1" applyFont="1" applyFill="1" applyAlignment="1">
      <alignment horizontal="left"/>
    </xf>
    <xf numFmtId="181" fontId="161" fillId="0" borderId="0" xfId="0" applyNumberFormat="1" applyFont="1" applyFill="1"/>
    <xf numFmtId="165" fontId="161" fillId="0" borderId="0" xfId="0" applyNumberFormat="1" applyFont="1" applyBorder="1"/>
    <xf numFmtId="189" fontId="1" fillId="0" borderId="0" xfId="0" applyNumberFormat="1" applyFont="1" applyFill="1"/>
    <xf numFmtId="167" fontId="161" fillId="0" borderId="0" xfId="0" applyNumberFormat="1" applyFont="1" applyFill="1" applyBorder="1"/>
    <xf numFmtId="181" fontId="1" fillId="0" borderId="0" xfId="0" applyNumberFormat="1" applyFont="1" applyFill="1" applyBorder="1" applyAlignment="1">
      <alignment horizontal="center"/>
    </xf>
    <xf numFmtId="165" fontId="1" fillId="0" borderId="0" xfId="0" applyNumberFormat="1" applyFont="1" applyFill="1" applyAlignment="1">
      <alignment horizontal="center"/>
    </xf>
    <xf numFmtId="178" fontId="9" fillId="0" borderId="15" xfId="34" applyFont="1" applyFill="1" applyBorder="1" applyAlignment="1">
      <alignment horizontal="center"/>
    </xf>
    <xf numFmtId="178" fontId="9" fillId="0" borderId="15" xfId="34" applyFont="1" applyFill="1" applyBorder="1" applyAlignment="1" applyProtection="1">
      <alignment horizontal="center"/>
    </xf>
    <xf numFmtId="167" fontId="9" fillId="0" borderId="0" xfId="34" applyNumberFormat="1" applyFont="1" applyFill="1" applyBorder="1" applyAlignment="1" applyProtection="1">
      <alignment horizontal="right"/>
    </xf>
    <xf numFmtId="6" fontId="163" fillId="0" borderId="0" xfId="0" applyNumberFormat="1" applyFont="1" applyBorder="1"/>
    <xf numFmtId="269" fontId="26" fillId="0" borderId="0" xfId="0" applyNumberFormat="1" applyFont="1" applyAlignment="1">
      <alignment horizontal="left"/>
    </xf>
    <xf numFmtId="166" fontId="1" fillId="0" borderId="0" xfId="37" applyNumberFormat="1" applyFont="1" applyAlignment="1">
      <alignment horizontal="left"/>
    </xf>
    <xf numFmtId="270" fontId="83" fillId="0" borderId="0" xfId="0" applyNumberFormat="1" applyFont="1" applyBorder="1" applyAlignment="1">
      <alignment horizontal="center"/>
    </xf>
    <xf numFmtId="213" fontId="9" fillId="0" borderId="0" xfId="0" applyNumberFormat="1" applyFont="1"/>
    <xf numFmtId="242" fontId="11" fillId="0" borderId="31" xfId="13" applyNumberFormat="1" applyFont="1" applyBorder="1" applyAlignment="1">
      <alignment horizontal="center"/>
    </xf>
    <xf numFmtId="242" fontId="11" fillId="0" borderId="29" xfId="13" applyNumberFormat="1" applyFont="1" applyBorder="1" applyAlignment="1">
      <alignment horizontal="center"/>
    </xf>
    <xf numFmtId="39" fontId="0" fillId="0" borderId="0" xfId="13" applyNumberFormat="1" applyFont="1" applyAlignment="1">
      <alignment horizontal="center"/>
    </xf>
    <xf numFmtId="181" fontId="161" fillId="0" borderId="4" xfId="0" applyNumberFormat="1" applyFont="1" applyFill="1" applyBorder="1"/>
    <xf numFmtId="165" fontId="161" fillId="0" borderId="4" xfId="0" applyNumberFormat="1" applyFont="1" applyBorder="1"/>
    <xf numFmtId="169" fontId="161" fillId="0" borderId="4" xfId="0" applyNumberFormat="1" applyFont="1" applyFill="1" applyBorder="1"/>
    <xf numFmtId="181" fontId="1" fillId="0" borderId="4" xfId="0" applyNumberFormat="1" applyFont="1" applyFill="1" applyBorder="1" applyAlignment="1">
      <alignment horizontal="center"/>
    </xf>
    <xf numFmtId="164" fontId="161" fillId="0" borderId="4" xfId="0" applyNumberFormat="1" applyFont="1" applyFill="1" applyBorder="1" applyAlignment="1">
      <alignment horizontal="center"/>
    </xf>
    <xf numFmtId="165" fontId="1" fillId="0" borderId="4" xfId="0" applyNumberFormat="1" applyFont="1" applyFill="1" applyBorder="1" applyAlignment="1">
      <alignment horizontal="center"/>
    </xf>
    <xf numFmtId="6" fontId="163" fillId="0" borderId="0" xfId="0" applyNumberFormat="1" applyFont="1" applyFill="1" applyBorder="1"/>
    <xf numFmtId="6" fontId="166" fillId="0" borderId="0" xfId="0" applyNumberFormat="1" applyFont="1" applyBorder="1"/>
    <xf numFmtId="164" fontId="167" fillId="0" borderId="4" xfId="0" applyNumberFormat="1" applyFont="1" applyFill="1" applyBorder="1" applyAlignment="1">
      <alignment horizontal="center"/>
    </xf>
    <xf numFmtId="166" fontId="1" fillId="0" borderId="4" xfId="0" applyNumberFormat="1" applyFont="1" applyFill="1" applyBorder="1" applyAlignment="1">
      <alignment horizontal="center"/>
    </xf>
    <xf numFmtId="166" fontId="109" fillId="0" borderId="0" xfId="37" applyNumberFormat="1" applyFont="1" applyAlignment="1">
      <alignment horizontal="left"/>
    </xf>
    <xf numFmtId="43" fontId="109" fillId="0" borderId="0" xfId="7" applyFont="1" applyAlignment="1">
      <alignment horizontal="left"/>
    </xf>
    <xf numFmtId="8" fontId="1" fillId="0" borderId="0" xfId="0" applyNumberFormat="1" applyFont="1"/>
    <xf numFmtId="0" fontId="0" fillId="0" borderId="0" xfId="0"/>
    <xf numFmtId="9" fontId="26" fillId="0" borderId="0" xfId="37" applyFont="1" applyAlignment="1">
      <alignment horizontal="left"/>
    </xf>
    <xf numFmtId="7" fontId="11" fillId="0" borderId="0" xfId="13" applyNumberFormat="1" applyFont="1" applyFill="1" applyBorder="1" applyAlignment="1">
      <alignment horizontal="center"/>
    </xf>
    <xf numFmtId="10" fontId="0" fillId="0" borderId="0" xfId="37" applyNumberFormat="1" applyFont="1"/>
    <xf numFmtId="43" fontId="26" fillId="0" borderId="0" xfId="7" applyFont="1" applyAlignment="1">
      <alignment horizontal="left"/>
    </xf>
    <xf numFmtId="43" fontId="5" fillId="0" borderId="0" xfId="7" applyFont="1" applyBorder="1" applyAlignment="1">
      <alignment horizontal="left"/>
    </xf>
    <xf numFmtId="167" fontId="161" fillId="0" borderId="0" xfId="0" applyNumberFormat="1" applyFont="1"/>
    <xf numFmtId="167" fontId="161" fillId="0" borderId="4" xfId="0" applyNumberFormat="1" applyFont="1" applyBorder="1"/>
    <xf numFmtId="172" fontId="161" fillId="0" borderId="0" xfId="0" applyNumberFormat="1" applyFont="1"/>
    <xf numFmtId="167" fontId="161" fillId="0" borderId="0" xfId="0" applyNumberFormat="1" applyFont="1" applyFill="1"/>
    <xf numFmtId="171" fontId="9" fillId="0" borderId="0" xfId="7" applyNumberFormat="1" applyFont="1" applyAlignment="1">
      <alignment horizontal="left"/>
    </xf>
    <xf numFmtId="172" fontId="40" fillId="0" borderId="0" xfId="21" applyNumberFormat="1" applyFont="1" applyFill="1" applyBorder="1" applyAlignment="1">
      <alignment horizontal="right"/>
    </xf>
    <xf numFmtId="167" fontId="161" fillId="0" borderId="4" xfId="0" applyNumberFormat="1" applyFont="1" applyFill="1" applyBorder="1"/>
    <xf numFmtId="40" fontId="161" fillId="0" borderId="0" xfId="0" applyNumberFormat="1" applyFont="1" applyFill="1"/>
    <xf numFmtId="40" fontId="161" fillId="0" borderId="4" xfId="0" applyNumberFormat="1" applyFont="1" applyFill="1" applyBorder="1"/>
    <xf numFmtId="0" fontId="0" fillId="0" borderId="0" xfId="0"/>
    <xf numFmtId="0" fontId="0" fillId="0" borderId="0" xfId="0"/>
    <xf numFmtId="0" fontId="1" fillId="0" borderId="0" xfId="0" applyFont="1" applyAlignment="1">
      <alignment horizontal="center"/>
    </xf>
    <xf numFmtId="166" fontId="11" fillId="0" borderId="0" xfId="0" applyNumberFormat="1" applyFont="1"/>
    <xf numFmtId="0" fontId="11" fillId="0" borderId="4" xfId="37" applyNumberFormat="1" applyFont="1" applyBorder="1" applyAlignment="1">
      <alignment horizontal="center"/>
    </xf>
    <xf numFmtId="0" fontId="11" fillId="0" borderId="0" xfId="37" applyNumberFormat="1" applyFont="1" applyBorder="1" applyAlignment="1">
      <alignment horizontal="center"/>
    </xf>
    <xf numFmtId="0" fontId="11" fillId="0" borderId="5" xfId="37" applyNumberFormat="1" applyFont="1" applyBorder="1" applyAlignment="1">
      <alignment horizontal="center"/>
    </xf>
    <xf numFmtId="0" fontId="20" fillId="0" borderId="5" xfId="37" applyNumberFormat="1" applyFont="1" applyBorder="1" applyAlignment="1">
      <alignment horizontal="center"/>
    </xf>
    <xf numFmtId="0" fontId="11" fillId="0" borderId="6" xfId="0" applyFont="1" applyBorder="1" applyAlignment="1">
      <alignment horizontal="center"/>
    </xf>
    <xf numFmtId="0" fontId="11" fillId="0" borderId="5" xfId="0" applyFont="1" applyBorder="1" applyAlignment="1">
      <alignment horizontal="center"/>
    </xf>
    <xf numFmtId="0" fontId="9" fillId="0" borderId="7" xfId="0" applyFont="1" applyBorder="1" applyAlignment="1">
      <alignment horizontal="center"/>
    </xf>
    <xf numFmtId="0" fontId="11" fillId="0" borderId="6" xfId="0" applyFont="1" applyFill="1" applyBorder="1" applyAlignment="1">
      <alignment horizontal="center"/>
    </xf>
    <xf numFmtId="0" fontId="9" fillId="0" borderId="5" xfId="0" applyFont="1" applyBorder="1" applyAlignment="1"/>
    <xf numFmtId="0" fontId="9" fillId="0" borderId="7" xfId="0" applyFont="1" applyBorder="1" applyAlignment="1"/>
    <xf numFmtId="0" fontId="58" fillId="0" borderId="11" xfId="0" applyFont="1" applyFill="1" applyBorder="1" applyAlignment="1">
      <alignment horizontal="center"/>
    </xf>
    <xf numFmtId="0" fontId="58" fillId="0" borderId="12" xfId="0" applyFont="1" applyFill="1" applyBorder="1" applyAlignment="1">
      <alignment horizontal="center"/>
    </xf>
    <xf numFmtId="0" fontId="58" fillId="0" borderId="13" xfId="0" applyFont="1" applyFill="1" applyBorder="1" applyAlignment="1">
      <alignment horizontal="center"/>
    </xf>
    <xf numFmtId="195" fontId="20" fillId="0" borderId="4" xfId="0" applyNumberFormat="1" applyFont="1" applyFill="1" applyBorder="1" applyAlignment="1">
      <alignment horizontal="center"/>
    </xf>
    <xf numFmtId="195" fontId="11" fillId="0" borderId="4" xfId="0" applyNumberFormat="1" applyFont="1" applyFill="1" applyBorder="1" applyAlignment="1">
      <alignment horizontal="center"/>
    </xf>
    <xf numFmtId="185" fontId="121" fillId="4" borderId="0" xfId="17" applyNumberFormat="1" applyFont="1" applyFill="1" applyBorder="1" applyAlignment="1">
      <alignment horizontal="center"/>
    </xf>
    <xf numFmtId="0" fontId="10" fillId="0" borderId="6" xfId="0" applyFont="1" applyBorder="1" applyAlignment="1">
      <alignment horizontal="center"/>
    </xf>
    <xf numFmtId="0" fontId="10" fillId="0" borderId="5" xfId="0" applyFont="1" applyBorder="1" applyAlignment="1">
      <alignment horizontal="center"/>
    </xf>
    <xf numFmtId="0" fontId="10" fillId="0" borderId="7" xfId="0" applyFont="1" applyBorder="1" applyAlignment="1">
      <alignment horizontal="center"/>
    </xf>
    <xf numFmtId="0" fontId="11" fillId="11" borderId="0" xfId="15" applyFont="1" applyFill="1" applyAlignment="1">
      <alignment horizontal="center"/>
    </xf>
    <xf numFmtId="0" fontId="11" fillId="12" borderId="0" xfId="15" applyFont="1" applyFill="1" applyAlignment="1">
      <alignment horizontal="center"/>
    </xf>
    <xf numFmtId="0" fontId="1" fillId="14" borderId="0" xfId="49" applyFont="1" applyFill="1" applyAlignment="1">
      <alignment vertical="top"/>
    </xf>
    <xf numFmtId="0" fontId="1" fillId="14" borderId="0" xfId="46" applyFill="1" applyAlignment="1">
      <alignment vertical="top"/>
    </xf>
    <xf numFmtId="0" fontId="1" fillId="14" borderId="0" xfId="46" applyFill="1"/>
    <xf numFmtId="0" fontId="68" fillId="14" borderId="0" xfId="49" applyFont="1" applyFill="1" applyAlignment="1">
      <alignment horizontal="left" vertical="top"/>
    </xf>
    <xf numFmtId="0" fontId="1" fillId="14" borderId="0" xfId="46" applyFont="1" applyFill="1" applyAlignment="1">
      <alignment vertical="top"/>
    </xf>
    <xf numFmtId="0" fontId="26" fillId="14" borderId="0" xfId="49" applyFont="1" applyFill="1" applyAlignment="1">
      <alignment vertical="top"/>
    </xf>
    <xf numFmtId="0" fontId="0" fillId="14" borderId="0" xfId="0" applyFill="1" applyAlignment="1">
      <alignment vertical="top"/>
    </xf>
    <xf numFmtId="0" fontId="168" fillId="14" borderId="0" xfId="0" applyFont="1" applyFill="1" applyAlignment="1">
      <alignment vertical="top"/>
    </xf>
    <xf numFmtId="0" fontId="169" fillId="14" borderId="0" xfId="0" applyFont="1" applyFill="1" applyAlignment="1">
      <alignment vertical="top"/>
    </xf>
    <xf numFmtId="0" fontId="169" fillId="14" borderId="0" xfId="0" applyFont="1" applyFill="1" applyAlignment="1">
      <alignment vertical="top"/>
    </xf>
    <xf numFmtId="0" fontId="168" fillId="14" borderId="0" xfId="0" applyFont="1" applyFill="1" applyAlignment="1">
      <alignment vertical="top"/>
    </xf>
    <xf numFmtId="0" fontId="0" fillId="14" borderId="0" xfId="0" applyFill="1" applyAlignment="1">
      <alignment vertical="top"/>
    </xf>
    <xf numFmtId="0" fontId="0" fillId="14" borderId="39" xfId="0" applyFill="1" applyBorder="1" applyAlignment="1">
      <alignment vertical="top"/>
    </xf>
    <xf numFmtId="0" fontId="168" fillId="14" borderId="35" xfId="0" applyFont="1" applyFill="1" applyBorder="1" applyAlignment="1">
      <alignment vertical="top"/>
    </xf>
    <xf numFmtId="0" fontId="168" fillId="14" borderId="36" xfId="0" applyFont="1" applyFill="1" applyBorder="1" applyAlignment="1">
      <alignment vertical="top"/>
    </xf>
    <xf numFmtId="0" fontId="168" fillId="14" borderId="37" xfId="0" applyFont="1" applyFill="1" applyBorder="1" applyAlignment="1">
      <alignment vertical="top"/>
    </xf>
    <xf numFmtId="0" fontId="168" fillId="14" borderId="38" xfId="0" applyFont="1" applyFill="1" applyBorder="1" applyAlignment="1">
      <alignment vertical="top"/>
    </xf>
    <xf numFmtId="9" fontId="168" fillId="14" borderId="35" xfId="0" applyNumberFormat="1" applyFont="1" applyFill="1" applyBorder="1" applyAlignment="1">
      <alignment vertical="top"/>
    </xf>
    <xf numFmtId="3" fontId="168" fillId="14" borderId="35" xfId="0" applyNumberFormat="1" applyFont="1" applyFill="1" applyBorder="1" applyAlignment="1">
      <alignment vertical="top"/>
    </xf>
    <xf numFmtId="0" fontId="0" fillId="14" borderId="40" xfId="0" applyFill="1" applyBorder="1" applyAlignment="1">
      <alignment vertical="top"/>
    </xf>
    <xf numFmtId="2" fontId="1" fillId="0" borderId="0" xfId="46" applyNumberFormat="1" applyAlignment="1">
      <alignment horizontal="left"/>
    </xf>
    <xf numFmtId="0" fontId="1" fillId="0" borderId="0" xfId="46" applyNumberFormat="1" applyAlignment="1">
      <alignment horizontal="left"/>
    </xf>
    <xf numFmtId="1" fontId="1" fillId="0" borderId="0" xfId="46" applyNumberFormat="1" applyAlignment="1">
      <alignment horizontal="left"/>
    </xf>
    <xf numFmtId="276" fontId="1" fillId="0" borderId="0" xfId="46" applyNumberFormat="1" applyAlignment="1">
      <alignment horizontal="left"/>
    </xf>
    <xf numFmtId="49" fontId="1" fillId="0" borderId="0" xfId="46" applyNumberFormat="1"/>
  </cellXfs>
  <cellStyles count="50">
    <cellStyle name=" 1" xfId="1"/>
    <cellStyle name="****************************************** 3" xfId="2"/>
    <cellStyle name="_FY Guidancev2 " xfId="47"/>
    <cellStyle name="_SUMMARY " xfId="3"/>
    <cellStyle name="0_Capex &amp; Depreciation " xfId="4"/>
    <cellStyle name="0_Valuing BP " xfId="5"/>
    <cellStyle name="c_HardInc " xfId="6"/>
    <cellStyle name="Comma" xfId="7" builtinId="3"/>
    <cellStyle name="Comma 3" xfId="8"/>
    <cellStyle name="Comma 4" xfId="9"/>
    <cellStyle name="Comma_A&amp;F" xfId="10"/>
    <cellStyle name="Comma_Lease Module TPG example 30062004 capex" xfId="11"/>
    <cellStyle name="Currency" xfId="12" builtinId="4"/>
    <cellStyle name="Currency 2" xfId="13"/>
    <cellStyle name="Hyperlink 4" xfId="14"/>
    <cellStyle name="Normal" xfId="0" builtinId="0"/>
    <cellStyle name="Normal 2" xfId="15"/>
    <cellStyle name="Normal 6" xfId="46"/>
    <cellStyle name="Normal_A&amp;F" xfId="16"/>
    <cellStyle name="Normal_ABSANUAL" xfId="17"/>
    <cellStyle name="Normal_Analysis V5" xfId="18"/>
    <cellStyle name="Normal_AXP_interactive_final" xfId="19"/>
    <cellStyle name="Normal_dabr" xfId="20"/>
    <cellStyle name="Normal_DHQTR" xfId="21"/>
    <cellStyle name="Normal_DisclaimerSheet Samples" xfId="49"/>
    <cellStyle name="Normal_EXPANS" xfId="22"/>
    <cellStyle name="Normal_GAPQOR1" xfId="23"/>
    <cellStyle name="Normal_GM Demo" xfId="24"/>
    <cellStyle name="Normal_GPSDIFF" xfId="25"/>
    <cellStyle name="Normal_hd roic" xfId="26"/>
    <cellStyle name="Normal_Lease1" xfId="27"/>
    <cellStyle name="Normal_NEWSPACE" xfId="28"/>
    <cellStyle name="Normal_QtrlyDIV" xfId="29"/>
    <cellStyle name="Normal_ROSTBS" xfId="30"/>
    <cellStyle name="Normal_ROSTQORF" xfId="31"/>
    <cellStyle name="Normal_RSH" xfId="32"/>
    <cellStyle name="Normal_Sheet1_1" xfId="33"/>
    <cellStyle name="Normal_STORESUM" xfId="34"/>
    <cellStyle name="Normal_Total" xfId="35"/>
    <cellStyle name="p " xfId="36"/>
    <cellStyle name="Percent" xfId="37" builtinId="5"/>
    <cellStyle name="Percent 3" xfId="38"/>
    <cellStyle name="Percent 4" xfId="39"/>
    <cellStyle name="RRSInstruction" xfId="40"/>
    <cellStyle name="RRSInstruction 2" xfId="48"/>
    <cellStyle name="s_HardInc " xfId="41"/>
    <cellStyle name="s_Valuation " xfId="42"/>
    <cellStyle name="ssp " xfId="43"/>
    <cellStyle name="Style 32" xfId="44"/>
    <cellStyle name="Underline" xfId="4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color rgb="FF008000"/>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(28)</v>
        <stp/>
        <stp>94d778a4-38d4-4041-85e5-804713255a7e</stp>
        <tr r="E11" s="63"/>
      </tp>
      <tp t="s">
        <v>(23)</v>
        <stp/>
        <stp>63a4f6e5-bbb6-45e4-97d9-1452e0e2f9f5</stp>
        <tr r="E19" s="63"/>
      </tp>
      <tp t="s">
        <v xml:space="preserve">$759 </v>
        <stp/>
        <stp>9c83845f-b9d0-4205-b13c-6bfb3f8977e8</stp>
        <tr r="E4" s="63"/>
      </tp>
      <tp>
        <v>455</v>
        <stp/>
        <stp>bc8916d7-77bf-418f-8668-2ff21aafc17f</stp>
        <tr r="E8" s="63"/>
      </tp>
      <tp t="s">
        <v>(33)</v>
        <stp/>
        <stp>42f59274-d241-432e-bb2f-64506392b0d0</stp>
        <tr r="E15" s="63"/>
      </tp>
      <tp t="s">
        <v>($0.33)</v>
        <stp/>
        <stp>e86e7836-107b-42ca-9a1a-c62170db732a</stp>
        <tr r="E21" s="63"/>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externalLinks/externalLink1.xml" Type="http://schemas.openxmlformats.org/officeDocument/2006/relationships/externalLink"/>
<Relationship Id="rId27" Target="externalLinks/externalLink2.xml" Type="http://schemas.openxmlformats.org/officeDocument/2006/relationships/externalLink"/>
<Relationship Id="rId28" Target="externalLinks/externalLink3.xml" Type="http://schemas.openxmlformats.org/officeDocument/2006/relationships/externalLink"/>
<Relationship Id="rId29" Target="externalLinks/externalLink4.xml" Type="http://schemas.openxmlformats.org/officeDocument/2006/relationships/externalLink"/>
<Relationship Id="rId3" Target="worksheets/sheet3.xml" Type="http://schemas.openxmlformats.org/officeDocument/2006/relationships/worksheet"/>
<Relationship Id="rId30" Target="externalLinks/externalLink5.xml" Type="http://schemas.openxmlformats.org/officeDocument/2006/relationships/externalLink"/>
<Relationship Id="rId31" Target="externalLinks/externalLink6.xml" Type="http://schemas.openxmlformats.org/officeDocument/2006/relationships/externalLink"/>
<Relationship Id="rId32" Target="externalLinks/externalLink7.xml" Type="http://schemas.openxmlformats.org/officeDocument/2006/relationships/externalLink"/>
<Relationship Id="rId33" Target="externalLinks/externalLink8.xml" Type="http://schemas.openxmlformats.org/officeDocument/2006/relationships/externalLink"/>
<Relationship Id="rId34" Target="externalLinks/externalLink9.xml" Type="http://schemas.openxmlformats.org/officeDocument/2006/relationships/externalLink"/>
<Relationship Id="rId35" Target="externalLinks/externalLink10.xml" Type="http://schemas.openxmlformats.org/officeDocument/2006/relationships/externalLink"/>
<Relationship Id="rId36" Target="externalLinks/externalLink11.xml" Type="http://schemas.openxmlformats.org/officeDocument/2006/relationships/externalLink"/>
<Relationship Id="rId37" Target="externalLinks/externalLink12.xml" Type="http://schemas.openxmlformats.org/officeDocument/2006/relationships/externalLink"/>
<Relationship Id="rId38" Target="externalLinks/externalLink13.xml" Type="http://schemas.openxmlformats.org/officeDocument/2006/relationships/externalLink"/>
<Relationship Id="rId39" Target="externalLinks/externalLink14.xml" Type="http://schemas.openxmlformats.org/officeDocument/2006/relationships/externalLink"/>
<Relationship Id="rId4" Target="worksheets/sheet4.xml" Type="http://schemas.openxmlformats.org/officeDocument/2006/relationships/worksheet"/>
<Relationship Id="rId40" Target="externalLinks/externalLink15.xml" Type="http://schemas.openxmlformats.org/officeDocument/2006/relationships/externalLink"/>
<Relationship Id="rId41" Target="externalLinks/externalLink16.xml" Type="http://schemas.openxmlformats.org/officeDocument/2006/relationships/externalLink"/>
<Relationship Id="rId42" Target="theme/theme1.xml" Type="http://schemas.openxmlformats.org/officeDocument/2006/relationships/theme"/>
<Relationship Id="rId43" Target="styles.xml" Type="http://schemas.openxmlformats.org/officeDocument/2006/relationships/styles"/>
<Relationship Id="rId44" Target="sharedStrings.xml" Type="http://schemas.openxmlformats.org/officeDocument/2006/relationships/sharedStrings"/>
<Relationship Id="rId45" Target="calcChain.xml" Type="http://schemas.openxmlformats.org/officeDocument/2006/relationships/calcChain"/>
<Relationship Id="rId46" Target="../customXml/item1.xml" Type="http://schemas.openxmlformats.org/officeDocument/2006/relationships/customXml"/>
<Relationship Id="rId47" Target="../customXml/item2.xml" Type="http://schemas.openxmlformats.org/officeDocument/2006/relationships/customXml"/>
<Relationship Id="rId48" Target="volatileDependencies.xml" Type="http://schemas.openxmlformats.org/officeDocument/2006/relationships/volatileDependencies"/>
<Relationship Id="rId49"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 vs. Forward Sales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0.10859326565967334"/>
          <c:y val="0.11114175749429807"/>
          <c:w val="0.87846389337922159"/>
          <c:h val="0.6589097787243956"/>
        </c:manualLayout>
      </c:layout>
      <c:barChart>
        <c:barDir val="col"/>
        <c:grouping val="clustered"/>
        <c:varyColors val="0"/>
        <c:ser>
          <c:idx val="0"/>
          <c:order val="0"/>
          <c:tx>
            <c:strRef>
              <c:f>'Inv to Sales'!$B$3</c:f>
              <c:strCache>
                <c:ptCount val="1"/>
                <c:pt idx="0">
                  <c:v>Inventory Growth</c:v>
                </c:pt>
              </c:strCache>
            </c:strRef>
          </c:tx>
          <c:spPr>
            <a:solidFill>
              <a:srgbClr val="137CB1"/>
            </a:solidFill>
            <a:ln w="25400">
              <a:noFill/>
            </a:ln>
            <a:effectLst/>
          </c:spPr>
          <c:invertIfNegative val="0"/>
          <c:cat>
            <c:strRef>
              <c:f>'Inv to Sales'!$I$2:$T$2</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to Sales'!$I$3:$T$3</c:f>
              <c:numCache>
                <c:formatCode>0.0%</c:formatCode>
                <c:ptCount val="12"/>
                <c:pt idx="0">
                  <c:v>-9.263084690942458E-2</c:v>
                </c:pt>
                <c:pt idx="1">
                  <c:v>-0.13014446764698928</c:v>
                </c:pt>
                <c:pt idx="2">
                  <c:v>-2.5910788254078221E-2</c:v>
                </c:pt>
                <c:pt idx="3">
                  <c:v>-5.2285837055169877E-2</c:v>
                </c:pt>
                <c:pt idx="4">
                  <c:v>-1.2113241346469961E-2</c:v>
                </c:pt>
                <c:pt idx="5">
                  <c:v>-5.3159304497532478E-2</c:v>
                </c:pt>
                <c:pt idx="6">
                  <c:v>-0.14196039837683561</c:v>
                </c:pt>
                <c:pt idx="7">
                  <c:v>-8.4510912500772792E-2</c:v>
                </c:pt>
                <c:pt idx="8">
                  <c:v>-8.4728333597298811E-2</c:v>
                </c:pt>
                <c:pt idx="9">
                  <c:v>3.94152369393721E-2</c:v>
                </c:pt>
                <c:pt idx="10">
                  <c:v>0.10527641403788855</c:v>
                </c:pt>
                <c:pt idx="11" formatCode="0.00%">
                  <c:v>6.1526532347828233E-2</c:v>
                </c:pt>
              </c:numCache>
            </c:numRef>
          </c:val>
        </c:ser>
        <c:ser>
          <c:idx val="1"/>
          <c:order val="1"/>
          <c:tx>
            <c:strRef>
              <c:f>'Inv to Sales'!$B$4</c:f>
              <c:strCache>
                <c:ptCount val="1"/>
                <c:pt idx="0">
                  <c:v>Forward Sales Growth</c:v>
                </c:pt>
              </c:strCache>
            </c:strRef>
          </c:tx>
          <c:spPr>
            <a:solidFill>
              <a:srgbClr val="EACC80"/>
            </a:solidFill>
            <a:ln w="25400">
              <a:noFill/>
            </a:ln>
            <a:effectLst/>
          </c:spPr>
          <c:invertIfNegative val="0"/>
          <c:cat>
            <c:strRef>
              <c:f>'Inv to Sales'!$I$2:$T$2</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to Sales'!$I$4:$T$4</c:f>
              <c:numCache>
                <c:formatCode>0.0%</c:formatCode>
                <c:ptCount val="12"/>
                <c:pt idx="0">
                  <c:v>-8.1797205270574547E-2</c:v>
                </c:pt>
                <c:pt idx="1">
                  <c:v>-3.6075365378137936E-2</c:v>
                </c:pt>
                <c:pt idx="2">
                  <c:v>-5.9077624461387757E-3</c:v>
                </c:pt>
                <c:pt idx="3">
                  <c:v>-3.3744372179041693E-2</c:v>
                </c:pt>
                <c:pt idx="4">
                  <c:v>-4.2306017931999292E-2</c:v>
                </c:pt>
                <c:pt idx="5">
                  <c:v>-6.4693616459436387E-2</c:v>
                </c:pt>
                <c:pt idx="6">
                  <c:v>-6.8797678200785306E-2</c:v>
                </c:pt>
                <c:pt idx="7">
                  <c:v>-3.5571998138538619E-2</c:v>
                </c:pt>
                <c:pt idx="8">
                  <c:v>-4.9019357474844316E-3</c:v>
                </c:pt>
                <c:pt idx="9">
                  <c:v>4.5486739017735589E-2</c:v>
                </c:pt>
                <c:pt idx="10">
                  <c:v>0.15129351395215762</c:v>
                </c:pt>
                <c:pt idx="11" formatCode="0.00%">
                  <c:v>5.7390088496579006E-2</c:v>
                </c:pt>
              </c:numCache>
            </c:numRef>
          </c:val>
        </c:ser>
        <c:dLbls>
          <c:showLegendKey val="0"/>
          <c:showVal val="0"/>
          <c:showCatName val="0"/>
          <c:showSerName val="0"/>
          <c:showPercent val="0"/>
          <c:showBubbleSize val="0"/>
        </c:dLbls>
        <c:gapWidth val="60"/>
        <c:axId val="675261056"/>
        <c:axId val="675279232"/>
      </c:barChart>
      <c:lineChart>
        <c:grouping val="standard"/>
        <c:varyColors val="0"/>
        <c:ser>
          <c:idx val="2"/>
          <c:order val="2"/>
          <c:tx>
            <c:strRef>
              <c:f>'Inv to Sales'!$B$5</c:f>
              <c:strCache>
                <c:ptCount val="1"/>
                <c:pt idx="0">
                  <c:v>Spread</c:v>
                </c:pt>
              </c:strCache>
            </c:strRef>
          </c:tx>
          <c:spPr>
            <a:effectLst/>
          </c:spPr>
          <c:marker>
            <c:symbol val="none"/>
          </c:marker>
          <c:cat>
            <c:strRef>
              <c:f>'Inv to Sales'!$I$2:$T$2</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to Sales'!$I$5:$T$5</c:f>
              <c:numCache>
                <c:formatCode>0.0%</c:formatCode>
                <c:ptCount val="12"/>
                <c:pt idx="0">
                  <c:v>1.0833641638850033E-2</c:v>
                </c:pt>
                <c:pt idx="1">
                  <c:v>9.4069102268851346E-2</c:v>
                </c:pt>
                <c:pt idx="2">
                  <c:v>2.0003025807939445E-2</c:v>
                </c:pt>
                <c:pt idx="3">
                  <c:v>1.8541464876128184E-2</c:v>
                </c:pt>
                <c:pt idx="4">
                  <c:v>-3.0192776585529331E-2</c:v>
                </c:pt>
                <c:pt idx="5">
                  <c:v>-1.1534311961903909E-2</c:v>
                </c:pt>
                <c:pt idx="6">
                  <c:v>7.31627201760503E-2</c:v>
                </c:pt>
                <c:pt idx="7">
                  <c:v>4.8938914362234173E-2</c:v>
                </c:pt>
                <c:pt idx="8">
                  <c:v>7.9826397849814379E-2</c:v>
                </c:pt>
                <c:pt idx="9">
                  <c:v>6.0715020783634888E-3</c:v>
                </c:pt>
                <c:pt idx="10">
                  <c:v>4.6017099914269069E-2</c:v>
                </c:pt>
                <c:pt idx="11">
                  <c:v>-4.1364438512492274E-3</c:v>
                </c:pt>
              </c:numCache>
            </c:numRef>
          </c:val>
          <c:smooth val="0"/>
        </c:ser>
        <c:dLbls>
          <c:showLegendKey val="0"/>
          <c:showVal val="0"/>
          <c:showCatName val="0"/>
          <c:showSerName val="0"/>
          <c:showPercent val="0"/>
          <c:showBubbleSize val="0"/>
        </c:dLbls>
        <c:marker val="1"/>
        <c:smooth val="0"/>
        <c:axId val="675261056"/>
        <c:axId val="675279232"/>
      </c:lineChart>
      <c:catAx>
        <c:axId val="675261056"/>
        <c:scaling>
          <c:orientation val="minMax"/>
        </c:scaling>
        <c:delete val="0"/>
        <c:axPos val="b"/>
        <c:majorTickMark val="none"/>
        <c:minorTickMark val="none"/>
        <c:tickLblPos val="low"/>
        <c:spPr>
          <a:ln w="12700">
            <a:solidFill>
              <a:srgbClr val="808080"/>
            </a:solidFill>
            <a:prstDash val="solid"/>
          </a:ln>
        </c:spPr>
        <c:txPr>
          <a:bodyPr rot="-2700000" vert="horz"/>
          <a:lstStyle/>
          <a:p>
            <a:pPr>
              <a:defRPr sz="1200" b="0" i="0">
                <a:solidFill>
                  <a:srgbClr val="808080"/>
                </a:solidFill>
                <a:latin typeface="Arial"/>
                <a:ea typeface="Arial"/>
                <a:cs typeface="Arial"/>
              </a:defRPr>
            </a:pPr>
            <a:endParaRPr lang="en-US"/>
          </a:p>
        </c:txPr>
        <c:crossAx val="675279232"/>
        <c:crosses val="autoZero"/>
        <c:auto val="1"/>
        <c:lblAlgn val="ctr"/>
        <c:lblOffset val="100"/>
        <c:tickLblSkip val="1"/>
        <c:tickMarkSkip val="1"/>
        <c:noMultiLvlLbl val="0"/>
      </c:catAx>
      <c:valAx>
        <c:axId val="675279232"/>
        <c:scaling>
          <c:orientation val="minMax"/>
        </c:scaling>
        <c:delete val="0"/>
        <c:axPos val="l"/>
        <c:majorGridlines>
          <c:spPr>
            <a:ln w="12700">
              <a:solidFill>
                <a:srgbClr val="C0C0C0"/>
              </a:solidFill>
              <a:prstDash val="solid"/>
            </a:ln>
          </c:spPr>
        </c:majorGridlines>
        <c:numFmt formatCode="0%" sourceLinked="0"/>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675261056"/>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b"/>
      <c:overlay val="0"/>
    </c:legend>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Gross</a:t>
            </a:r>
            <a:r>
              <a:rPr lang="en-US" baseline="0"/>
              <a:t> Margin vs. Inverse Prior Quarter Ending Inventory (y/y change) </a:t>
            </a:r>
            <a:endParaRPr lang="en-US"/>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0.10119826428835182"/>
          <c:y val="9.7352482630952267E-2"/>
          <c:w val="0.78373346623665185"/>
          <c:h val="0.71077856652320748"/>
        </c:manualLayout>
      </c:layout>
      <c:lineChart>
        <c:grouping val="standard"/>
        <c:varyColors val="0"/>
        <c:ser>
          <c:idx val="2"/>
          <c:order val="0"/>
          <c:tx>
            <c:strRef>
              <c:f>'Inv to Sales'!$B$9</c:f>
              <c:strCache>
                <c:ptCount val="1"/>
                <c:pt idx="0">
                  <c:v>Inverse Inv. Growth (left)</c:v>
                </c:pt>
              </c:strCache>
            </c:strRef>
          </c:tx>
          <c:spPr>
            <a:ln w="25400">
              <a:solidFill>
                <a:srgbClr val="1275A6"/>
              </a:solidFill>
              <a:prstDash val="solid"/>
            </a:ln>
            <a:effectLst/>
          </c:spPr>
          <c:marker>
            <c:symbol val="none"/>
          </c:marker>
          <c:cat>
            <c:strRef>
              <c:f>'Inv to Sales'!$E$2:$U$2</c:f>
              <c:strCache>
                <c:ptCount val="17"/>
                <c:pt idx="0">
                  <c:v>1Q14</c:v>
                </c:pt>
                <c:pt idx="1">
                  <c:v>2Q14</c:v>
                </c:pt>
                <c:pt idx="2">
                  <c:v>3Q14</c:v>
                </c:pt>
                <c:pt idx="3">
                  <c:v>4Q14</c:v>
                </c:pt>
                <c:pt idx="4">
                  <c:v>1Q15</c:v>
                </c:pt>
                <c:pt idx="5">
                  <c:v>2Q15</c:v>
                </c:pt>
                <c:pt idx="6">
                  <c:v>3Q15</c:v>
                </c:pt>
                <c:pt idx="7">
                  <c:v>4Q15</c:v>
                </c:pt>
                <c:pt idx="8">
                  <c:v>1Q16</c:v>
                </c:pt>
                <c:pt idx="9">
                  <c:v>2Q16</c:v>
                </c:pt>
                <c:pt idx="10">
                  <c:v>3Q16</c:v>
                </c:pt>
                <c:pt idx="11">
                  <c:v>4Q16</c:v>
                </c:pt>
                <c:pt idx="12">
                  <c:v>1Q17</c:v>
                </c:pt>
                <c:pt idx="13">
                  <c:v>2Q17</c:v>
                </c:pt>
                <c:pt idx="14">
                  <c:v>3Q17</c:v>
                </c:pt>
                <c:pt idx="15">
                  <c:v>4Q17</c:v>
                </c:pt>
                <c:pt idx="16">
                  <c:v>1Q18e</c:v>
                </c:pt>
              </c:strCache>
            </c:strRef>
          </c:cat>
          <c:val>
            <c:numRef>
              <c:f>'Inv to Sales'!$D$9:$T$9</c:f>
              <c:numCache>
                <c:formatCode>0.0%</c:formatCode>
                <c:ptCount val="17"/>
                <c:pt idx="0" formatCode="0%">
                  <c:v>-0.2417779568205134</c:v>
                </c:pt>
                <c:pt idx="1">
                  <c:v>5.9734426443974531E-2</c:v>
                </c:pt>
                <c:pt idx="2">
                  <c:v>0.13142578411733219</c:v>
                </c:pt>
                <c:pt idx="3">
                  <c:v>0.19689809167353756</c:v>
                </c:pt>
                <c:pt idx="4">
                  <c:v>0.13089220508796817</c:v>
                </c:pt>
                <c:pt idx="5">
                  <c:v>9.263084690942458E-2</c:v>
                </c:pt>
                <c:pt idx="6">
                  <c:v>0.13014446764698928</c:v>
                </c:pt>
                <c:pt idx="7">
                  <c:v>2.5910788254078221E-2</c:v>
                </c:pt>
                <c:pt idx="8">
                  <c:v>5.2285837055169877E-2</c:v>
                </c:pt>
                <c:pt idx="9">
                  <c:v>1.2113241346469961E-2</c:v>
                </c:pt>
                <c:pt idx="10">
                  <c:v>5.3159304497532478E-2</c:v>
                </c:pt>
                <c:pt idx="11">
                  <c:v>0.14196039837683561</c:v>
                </c:pt>
                <c:pt idx="12">
                  <c:v>8.4510912500772792E-2</c:v>
                </c:pt>
                <c:pt idx="13">
                  <c:v>8.4728333597298811E-2</c:v>
                </c:pt>
                <c:pt idx="14">
                  <c:v>-3.94152369393721E-2</c:v>
                </c:pt>
                <c:pt idx="15">
                  <c:v>-0.10527641403788855</c:v>
                </c:pt>
                <c:pt idx="16">
                  <c:v>-6.1526532347828233E-2</c:v>
                </c:pt>
              </c:numCache>
            </c:numRef>
          </c:val>
          <c:smooth val="0"/>
        </c:ser>
        <c:dLbls>
          <c:showLegendKey val="0"/>
          <c:showVal val="0"/>
          <c:showCatName val="0"/>
          <c:showSerName val="0"/>
          <c:showPercent val="0"/>
          <c:showBubbleSize val="0"/>
        </c:dLbls>
        <c:marker val="1"/>
        <c:smooth val="0"/>
        <c:axId val="673736960"/>
        <c:axId val="673738752"/>
      </c:lineChart>
      <c:lineChart>
        <c:grouping val="standard"/>
        <c:varyColors val="0"/>
        <c:ser>
          <c:idx val="3"/>
          <c:order val="1"/>
          <c:tx>
            <c:strRef>
              <c:f>'Inv to Sales'!$B$8</c:f>
              <c:strCache>
                <c:ptCount val="1"/>
                <c:pt idx="0">
                  <c:v>Gross margin y/y  (right)</c:v>
                </c:pt>
              </c:strCache>
            </c:strRef>
          </c:tx>
          <c:spPr>
            <a:ln w="38100">
              <a:solidFill>
                <a:srgbClr val="EACC80"/>
              </a:solidFill>
              <a:prstDash val="solid"/>
            </a:ln>
            <a:effectLst/>
          </c:spPr>
          <c:marker>
            <c:symbol val="none"/>
          </c:marker>
          <c:cat>
            <c:strRef>
              <c:f>'Inv to Sales'!$E$2:$U$2</c:f>
              <c:strCache>
                <c:ptCount val="17"/>
                <c:pt idx="0">
                  <c:v>1Q14</c:v>
                </c:pt>
                <c:pt idx="1">
                  <c:v>2Q14</c:v>
                </c:pt>
                <c:pt idx="2">
                  <c:v>3Q14</c:v>
                </c:pt>
                <c:pt idx="3">
                  <c:v>4Q14</c:v>
                </c:pt>
                <c:pt idx="4">
                  <c:v>1Q15</c:v>
                </c:pt>
                <c:pt idx="5">
                  <c:v>2Q15</c:v>
                </c:pt>
                <c:pt idx="6">
                  <c:v>3Q15</c:v>
                </c:pt>
                <c:pt idx="7">
                  <c:v>4Q15</c:v>
                </c:pt>
                <c:pt idx="8">
                  <c:v>1Q16</c:v>
                </c:pt>
                <c:pt idx="9">
                  <c:v>2Q16</c:v>
                </c:pt>
                <c:pt idx="10">
                  <c:v>3Q16</c:v>
                </c:pt>
                <c:pt idx="11">
                  <c:v>4Q16</c:v>
                </c:pt>
                <c:pt idx="12">
                  <c:v>1Q17</c:v>
                </c:pt>
                <c:pt idx="13">
                  <c:v>2Q17</c:v>
                </c:pt>
                <c:pt idx="14">
                  <c:v>3Q17</c:v>
                </c:pt>
                <c:pt idx="15">
                  <c:v>4Q17</c:v>
                </c:pt>
                <c:pt idx="16">
                  <c:v>1Q18e</c:v>
                </c:pt>
              </c:strCache>
            </c:strRef>
          </c:cat>
          <c:val>
            <c:numRef>
              <c:f>'Inv to Sales'!$D$8:$T$8</c:f>
              <c:numCache>
                <c:formatCode>0.0%</c:formatCode>
                <c:ptCount val="17"/>
                <c:pt idx="0">
                  <c:v>-3.7365158401360149E-2</c:v>
                </c:pt>
                <c:pt idx="1">
                  <c:v>-1.7933878862828934E-2</c:v>
                </c:pt>
                <c:pt idx="2">
                  <c:v>-7.9028619434607355E-3</c:v>
                </c:pt>
                <c:pt idx="3">
                  <c:v>1.8599581154129508E-2</c:v>
                </c:pt>
                <c:pt idx="4">
                  <c:v>-4.150308980207313E-3</c:v>
                </c:pt>
                <c:pt idx="5">
                  <c:v>-5.9277408224964743E-4</c:v>
                </c:pt>
                <c:pt idx="6">
                  <c:v>1.2066464040489252E-2</c:v>
                </c:pt>
                <c:pt idx="7">
                  <c:v>-2.2747031748760094E-3</c:v>
                </c:pt>
                <c:pt idx="8">
                  <c:v>3.0706380858658375E-3</c:v>
                </c:pt>
                <c:pt idx="9">
                  <c:v>-1.1076476273245248E-2</c:v>
                </c:pt>
                <c:pt idx="10">
                  <c:v>-1.2688791261127789E-2</c:v>
                </c:pt>
                <c:pt idx="11">
                  <c:v>-1.3376787833080358E-2</c:v>
                </c:pt>
                <c:pt idx="12">
                  <c:v>-1.7625580102924161E-2</c:v>
                </c:pt>
                <c:pt idx="13">
                  <c:v>-1.7801717317157965E-2</c:v>
                </c:pt>
                <c:pt idx="14">
                  <c:v>-8.5481888265782398E-3</c:v>
                </c:pt>
                <c:pt idx="15">
                  <c:v>-8.9272857191510721E-3</c:v>
                </c:pt>
                <c:pt idx="16">
                  <c:v>-4.4270207639098662E-3</c:v>
                </c:pt>
              </c:numCache>
            </c:numRef>
          </c:val>
          <c:smooth val="0"/>
        </c:ser>
        <c:dLbls>
          <c:showLegendKey val="0"/>
          <c:showVal val="0"/>
          <c:showCatName val="0"/>
          <c:showSerName val="0"/>
          <c:showPercent val="0"/>
          <c:showBubbleSize val="0"/>
        </c:dLbls>
        <c:marker val="1"/>
        <c:smooth val="0"/>
        <c:axId val="673741824"/>
        <c:axId val="673740288"/>
      </c:lineChart>
      <c:catAx>
        <c:axId val="673736960"/>
        <c:scaling>
          <c:orientation val="minMax"/>
        </c:scaling>
        <c:delete val="0"/>
        <c:axPos val="b"/>
        <c:majorTickMark val="out"/>
        <c:minorTickMark val="none"/>
        <c:tickLblPos val="low"/>
        <c:spPr>
          <a:ln w="3175">
            <a:solidFill>
              <a:srgbClr val="808080"/>
            </a:solidFill>
            <a:prstDash val="solid"/>
          </a:ln>
        </c:spPr>
        <c:txPr>
          <a:bodyPr rot="-2700000" vert="horz"/>
          <a:lstStyle/>
          <a:p>
            <a:pPr>
              <a:defRPr sz="1200" b="0" i="0">
                <a:solidFill>
                  <a:srgbClr val="808080"/>
                </a:solidFill>
                <a:latin typeface="Arial"/>
                <a:ea typeface="Arial"/>
                <a:cs typeface="Arial"/>
              </a:defRPr>
            </a:pPr>
            <a:endParaRPr lang="en-US"/>
          </a:p>
        </c:txPr>
        <c:crossAx val="673738752"/>
        <c:crosses val="autoZero"/>
        <c:auto val="1"/>
        <c:lblAlgn val="ctr"/>
        <c:lblOffset val="100"/>
        <c:tickLblSkip val="1"/>
        <c:tickMarkSkip val="1"/>
        <c:noMultiLvlLbl val="0"/>
      </c:catAx>
      <c:valAx>
        <c:axId val="673738752"/>
        <c:scaling>
          <c:orientation val="minMax"/>
          <c:max val="0.25"/>
          <c:min val="-0.25"/>
        </c:scaling>
        <c:delete val="0"/>
        <c:axPos val="l"/>
        <c:majorGridlines>
          <c:spPr>
            <a:ln w="3175">
              <a:solidFill>
                <a:srgbClr val="C0C0C0"/>
              </a:solidFill>
              <a:prstDash val="solid"/>
            </a:ln>
          </c:spPr>
        </c:majorGridlines>
        <c:numFmt formatCode="0%" sourceLinked="1"/>
        <c:majorTickMark val="none"/>
        <c:minorTickMark val="none"/>
        <c:tickLblPos val="nextTo"/>
        <c:spPr>
          <a:ln w="9525">
            <a:noFill/>
          </a:ln>
        </c:spPr>
        <c:txPr>
          <a:bodyPr rot="0" vert="horz"/>
          <a:lstStyle/>
          <a:p>
            <a:pPr>
              <a:defRPr sz="1400" b="0" i="0">
                <a:solidFill>
                  <a:schemeClr val="bg1">
                    <a:lumMod val="50000"/>
                  </a:schemeClr>
                </a:solidFill>
                <a:latin typeface="Arial"/>
                <a:ea typeface="Arial"/>
                <a:cs typeface="Arial"/>
              </a:defRPr>
            </a:pPr>
            <a:endParaRPr lang="en-US"/>
          </a:p>
        </c:txPr>
        <c:crossAx val="673736960"/>
        <c:crosses val="autoZero"/>
        <c:crossBetween val="between"/>
      </c:valAx>
      <c:valAx>
        <c:axId val="673740288"/>
        <c:scaling>
          <c:orientation val="minMax"/>
          <c:max val="5.000000000000001E-2"/>
        </c:scaling>
        <c:delete val="0"/>
        <c:axPos val="r"/>
        <c:numFmt formatCode="0.0%" sourceLinked="1"/>
        <c:majorTickMark val="out"/>
        <c:minorTickMark val="none"/>
        <c:tickLblPos val="nextTo"/>
        <c:txPr>
          <a:bodyPr/>
          <a:lstStyle/>
          <a:p>
            <a:pPr>
              <a:defRPr sz="1400">
                <a:solidFill>
                  <a:schemeClr val="bg1">
                    <a:lumMod val="50000"/>
                  </a:schemeClr>
                </a:solidFill>
              </a:defRPr>
            </a:pPr>
            <a:endParaRPr lang="en-US"/>
          </a:p>
        </c:txPr>
        <c:crossAx val="673741824"/>
        <c:crosses val="max"/>
        <c:crossBetween val="between"/>
      </c:valAx>
      <c:catAx>
        <c:axId val="673741824"/>
        <c:scaling>
          <c:orientation val="minMax"/>
        </c:scaling>
        <c:delete val="1"/>
        <c:axPos val="b"/>
        <c:majorTickMark val="out"/>
        <c:minorTickMark val="none"/>
        <c:tickLblPos val="nextTo"/>
        <c:crossAx val="673740288"/>
        <c:crosses val="autoZero"/>
        <c:auto val="1"/>
        <c:lblAlgn val="ctr"/>
        <c:lblOffset val="100"/>
        <c:noMultiLvlLbl val="0"/>
      </c:catAx>
      <c:spPr>
        <a:noFill/>
        <a:ln w="25400">
          <a:noFill/>
        </a:ln>
        <a:extLst>
          <a:ext uri="{909E8E84-426E-40DD-AFC4-6F175D3DCCD1}">
            <a14:hiddenFill xmlns:a14="http://schemas.microsoft.com/office/drawing/2010/main">
              <a:solidFill>
                <a:sysClr val="window" lastClr="FFFFFF"/>
              </a:solidFill>
            </a14:hiddenFill>
          </a:ext>
        </a:extLst>
      </c:spPr>
    </c:plotArea>
    <c:legend>
      <c:legendPos val="b"/>
      <c:overlay val="0"/>
    </c:legend>
    <c:plotVisOnly val="1"/>
    <c:dispBlanksAs val="gap"/>
    <c:showDLblsOverMax val="0"/>
  </c:chart>
  <c:spPr>
    <a:solidFill>
      <a:srgbClr val="FFFFFF"/>
    </a:solidFill>
    <a:ln w="9525">
      <a:noFill/>
    </a:ln>
  </c:spPr>
  <c:txPr>
    <a:bodyPr/>
    <a:lstStyle/>
    <a:p>
      <a:pPr>
        <a:defRPr sz="1025" b="0" i="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 Id="rId2" Target="../media/image5.jpeg"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 Id="rId2" Target="../media/image5.jpeg" Type="http://schemas.openxmlformats.org/officeDocument/2006/relationships/image"/>
</Relationships>

</file>

<file path=xl/drawings/_rels/drawing4.xml.rels><?xml version="1.0" encoding="UTF-8" standalone="yes"?>
<Relationships xmlns="http://schemas.openxmlformats.org/package/2006/relationships">
<Relationship Id="rId1" Target="../media/image4.png" Type="http://schemas.openxmlformats.org/officeDocument/2006/relationships/image"/>
<Relationship Id="rId2" Target="../media/image6.png" Type="http://schemas.openxmlformats.org/officeDocument/2006/relationships/image"/>
<Relationship Id="rId3" Target="../media/image7.jpeg" Type="http://schemas.openxmlformats.org/officeDocument/2006/relationships/image"/>
</Relationships>

</file>

<file path=xl/drawings/_rels/drawing5.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_rels/drawing6.xml.rels><?xml version="1.0" encoding="UTF-8" standalone="yes"?>
<Relationships xmlns="http://schemas.openxmlformats.org/package/2006/relationships">
<Relationship Id="rId1" Target="../media/image8.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164</xdr:row>
      <xdr:rowOff>0</xdr:rowOff>
    </xdr:from>
    <xdr:to>
      <xdr:col>7</xdr:col>
      <xdr:colOff>390525</xdr:colOff>
      <xdr:row>187</xdr:row>
      <xdr:rowOff>104775</xdr:rowOff>
    </xdr:to>
    <xdr:pic>
      <xdr:nvPicPr>
        <xdr:cNvPr id="11241473" name="Picture 1" descr="C:\Users\robertcy\AppData\Local\Temp\MercuryPriceRatingHistoryChart\ANF.N_2018_03_12_18_36_11.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1841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9</xdr:row>
      <xdr:rowOff>0</xdr:rowOff>
    </xdr:from>
    <xdr:to>
      <xdr:col>10</xdr:col>
      <xdr:colOff>209550</xdr:colOff>
      <xdr:row>10</xdr:row>
      <xdr:rowOff>104775</xdr:rowOff>
    </xdr:to>
    <xdr:pic>
      <xdr:nvPicPr>
        <xdr:cNvPr id="8518419" name="Picture 969" descr="Abercrombie &amp; Fitch"/>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76425" y="1457325"/>
          <a:ext cx="128587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47625</xdr:colOff>
      <xdr:row>232</xdr:row>
      <xdr:rowOff>9525</xdr:rowOff>
    </xdr:from>
    <xdr:to>
      <xdr:col>10</xdr:col>
      <xdr:colOff>38100</xdr:colOff>
      <xdr:row>233</xdr:row>
      <xdr:rowOff>123824</xdr:rowOff>
    </xdr:to>
    <xdr:pic>
      <xdr:nvPicPr>
        <xdr:cNvPr id="8518420" name="Picture 971" descr="holliste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35803" b="34567"/>
        <a:stretch>
          <a:fillRect/>
        </a:stretch>
      </xdr:blipFill>
      <xdr:spPr bwMode="auto">
        <a:xfrm>
          <a:off x="1924050" y="9048750"/>
          <a:ext cx="106680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47625</xdr:colOff>
      <xdr:row>0</xdr:row>
      <xdr:rowOff>19050</xdr:rowOff>
    </xdr:from>
    <xdr:to>
      <xdr:col>19</xdr:col>
      <xdr:colOff>628650</xdr:colOff>
      <xdr:row>1</xdr:row>
      <xdr:rowOff>104775</xdr:rowOff>
    </xdr:to>
    <xdr:pic>
      <xdr:nvPicPr>
        <xdr:cNvPr id="11124868" name="Picture 452" descr="Abercrombie &amp; Fitch"/>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95475" y="19050"/>
          <a:ext cx="12954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9525</xdr:colOff>
      <xdr:row>99</xdr:row>
      <xdr:rowOff>19050</xdr:rowOff>
    </xdr:from>
    <xdr:to>
      <xdr:col>19</xdr:col>
      <xdr:colOff>476250</xdr:colOff>
      <xdr:row>101</xdr:row>
      <xdr:rowOff>0</xdr:rowOff>
    </xdr:to>
    <xdr:pic>
      <xdr:nvPicPr>
        <xdr:cNvPr id="11124869" name="Picture 454" descr="holliste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35803" b="34567"/>
        <a:stretch>
          <a:fillRect/>
        </a:stretch>
      </xdr:blipFill>
      <xdr:spPr bwMode="auto">
        <a:xfrm>
          <a:off x="1895475" y="7848600"/>
          <a:ext cx="11430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66675</xdr:colOff>
      <xdr:row>6</xdr:row>
      <xdr:rowOff>0</xdr:rowOff>
    </xdr:from>
    <xdr:to>
      <xdr:col>41</xdr:col>
      <xdr:colOff>38100</xdr:colOff>
      <xdr:row>6</xdr:row>
      <xdr:rowOff>142875</xdr:rowOff>
    </xdr:to>
    <xdr:pic>
      <xdr:nvPicPr>
        <xdr:cNvPr id="9262964" name="Picture 136" descr="Abercrombie &amp; Fitch"/>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971550"/>
          <a:ext cx="790575"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104775</xdr:colOff>
      <xdr:row>16</xdr:row>
      <xdr:rowOff>9525</xdr:rowOff>
    </xdr:from>
    <xdr:to>
      <xdr:col>1</xdr:col>
      <xdr:colOff>257175</xdr:colOff>
      <xdr:row>16</xdr:row>
      <xdr:rowOff>152400</xdr:rowOff>
    </xdr:to>
    <xdr:pic>
      <xdr:nvPicPr>
        <xdr:cNvPr id="9262965" name="Picture 137" descr="abercrombie"/>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2590800"/>
          <a:ext cx="59055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85725</xdr:colOff>
      <xdr:row>25</xdr:row>
      <xdr:rowOff>9525</xdr:rowOff>
    </xdr:from>
    <xdr:to>
      <xdr:col>1</xdr:col>
      <xdr:colOff>295275</xdr:colOff>
      <xdr:row>26</xdr:row>
      <xdr:rowOff>28575</xdr:rowOff>
    </xdr:to>
    <xdr:pic>
      <xdr:nvPicPr>
        <xdr:cNvPr id="9262966" name="Picture 138" descr="holliste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t="35803" b="34567"/>
        <a:stretch>
          <a:fillRect/>
        </a:stretch>
      </xdr:blipFill>
      <xdr:spPr bwMode="auto">
        <a:xfrm>
          <a:off x="85725" y="2600325"/>
          <a:ext cx="6477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514350</xdr:colOff>
      <xdr:row>14</xdr:row>
      <xdr:rowOff>85725</xdr:rowOff>
    </xdr:from>
    <xdr:to>
      <xdr:col>27</xdr:col>
      <xdr:colOff>550926</xdr:colOff>
      <xdr:row>34</xdr:row>
      <xdr:rowOff>161011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95249</xdr:colOff>
      <xdr:row>12</xdr:row>
      <xdr:rowOff>161923</xdr:rowOff>
    </xdr:from>
    <xdr:to>
      <xdr:col>14</xdr:col>
      <xdr:colOff>276225</xdr:colOff>
      <xdr:row>40</xdr:row>
      <xdr:rowOff>9524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19050</xdr:colOff>
      <xdr:row>1</xdr:row>
      <xdr:rowOff>66675</xdr:rowOff>
    </xdr:from>
    <xdr:to>
      <xdr:col>4</xdr:col>
      <xdr:colOff>685800</xdr:colOff>
      <xdr:row>1</xdr:row>
      <xdr:rowOff>381000</xdr:rowOff>
    </xdr:to>
    <xdr:sp macro="" textlink="">
      <xdr:nvSpPr>
        <xdr:cNvPr id="90128" name="Text Box 16"/>
        <xdr:cNvSpPr txBox="1">
          <a:spLocks noChangeArrowheads="1"/>
        </xdr:cNvSpPr>
      </xdr:nvSpPr>
      <xdr:spPr bwMode="auto">
        <a:xfrm>
          <a:off x="161925" y="638175"/>
          <a:ext cx="245745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Instruction:</a:t>
          </a:r>
        </a:p>
      </xdr:txBody>
    </xdr:sp>
    <xdr:clientData/>
  </xdr:twoCellAnchor>
  <xdr:twoCellAnchor>
    <xdr:from>
      <xdr:col>2</xdr:col>
      <xdr:colOff>66675</xdr:colOff>
      <xdr:row>0</xdr:row>
      <xdr:rowOff>19050</xdr:rowOff>
    </xdr:from>
    <xdr:to>
      <xdr:col>4</xdr:col>
      <xdr:colOff>57150</xdr:colOff>
      <xdr:row>0</xdr:row>
      <xdr:rowOff>447675</xdr:rowOff>
    </xdr:to>
    <xdr:pic>
      <xdr:nvPicPr>
        <xdr:cNvPr id="11125893" name="Picture 17"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RETAIL/Softlines/Apparel/Earnings/At%20a%20Glance.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RETAIL/Apparel/Earnings/Bull%20Bear%20Base%20Charts_2.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RETAIL/Softlines/Apparel/Analyses/GPS/2009_10%20Note/GPS_analyst%20meeting%20charts_SMU_2009_10_15.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RETAIL/Softlines/Apparel/Valuation/Softlines%20Playbook.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RETAIL/Softlines/Apparel/ANALYSES/Industry/INDUSTRY%20STATS/Summary_Industry_2011.xls" TargetMode="External" Type="http://schemas.microsoft.com/office/2006/relationships/xlExternalLinkPath/xlAlternateStartup"/>
</Relationships>

</file>

<file path=xl/externalLinks/_rels/externalLink10.xml.rels><?xml version="1.0" encoding="UTF-8" standalone="yes"?>
<Relationships xmlns="http://schemas.openxmlformats.org/package/2006/relationships">
<Relationship Id="rId1" Target="RETAIL/Softlines/Apparel/Analyses/GPS/2010_01%20Note/GPS_Rosk%20Reward%20View%20Analyses_021010.xls"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RETAIL/Softlines/Apparel/MODELS/WORKING%20MODELS/M_working2.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RETAIL/Greenberger/Companies/JWN/Model/JWN_Model2.xls"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4.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16.xml.rels><?xml version="1.0" encoding="UTF-8" standalone="yes"?>
<Relationships xmlns="http://schemas.openxmlformats.org/package/2006/relationships">
<Relationship Id="rId1" Target="RETAIL/Greenberger/Companies/M/Models/M_Model.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Interims"/>
      <sheetName val="Financial Statements"/>
      <sheetName val="FX"/>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WP Detail "/>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ommodity Index"/>
      <sheetName val="Prices_Quarterly"/>
      <sheetName val="Inflation_Monthly"/>
      <sheetName val="Inflation_Quarterly"/>
      <sheetName val="Prices_Monthly"/>
      <sheetName val="Exposure"/>
      <sheetName val="Chart 6"/>
      <sheetName val="Front page benchmarks_9x3"/>
      <sheetName val="Front page benchmarks_6x5"/>
      <sheetName val="Benchmarks_All_gray2"/>
      <sheetName val="Sector yardstick_OLD"/>
      <sheetName val="Front page benchmarks_6x3"/>
      <sheetName val="Benchmarks_All_gray1"/>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ables"/>
      <sheetName val="URBN Sales"/>
      <sheetName val="JWN Variance Chart"/>
      <sheetName val="JCP Variance Chart"/>
      <sheetName val="COH Variance Chart Data"/>
      <sheetName val="TJX Variance Chart Data"/>
      <sheetName val="SKS Variance Chart Data"/>
      <sheetName val="KSS Variance Chart Data"/>
      <sheetName val="M Variance Chart Data"/>
      <sheetName val="LTD Variance Chart Data"/>
      <sheetName val="VS. Consensus"/>
    </sheetNames>
    <sheetDataSet>
      <sheetData sheetId="0"/>
      <sheetData sheetId="1">
        <row r="1">
          <cell r="A1" t="str">
            <v>COH</v>
          </cell>
        </row>
        <row r="2">
          <cell r="A2" t="str">
            <v>As a % of Sales</v>
          </cell>
          <cell r="B2" t="str">
            <v>3Q10</v>
          </cell>
          <cell r="C2" t="str">
            <v>3Q09</v>
          </cell>
          <cell r="D2" t="str">
            <v>MS Estimate</v>
          </cell>
          <cell r="F2" t="str">
            <v>y/y∆ (bp)</v>
          </cell>
          <cell r="G2" t="str">
            <v>∆ vs 
Est. (bp)</v>
          </cell>
          <cell r="J2" t="str">
            <v>FQ1</v>
          </cell>
          <cell r="K2" t="str">
            <v>FQ2</v>
          </cell>
          <cell r="L2" t="str">
            <v>FQ3</v>
          </cell>
          <cell r="M2" t="str">
            <v>FY1</v>
          </cell>
          <cell r="N2" t="str">
            <v>FY2</v>
          </cell>
        </row>
        <row r="3">
          <cell r="A3" t="str">
            <v>Gross Income</v>
          </cell>
          <cell r="B3">
            <v>0.74116245487364618</v>
          </cell>
          <cell r="C3">
            <v>0.7096030889032745</v>
          </cell>
          <cell r="D3">
            <v>0.72560308890327452</v>
          </cell>
          <cell r="F3">
            <v>315.59365970371675</v>
          </cell>
          <cell r="G3">
            <v>155.59365970371664</v>
          </cell>
          <cell r="I3" t="str">
            <v>Consensus</v>
          </cell>
          <cell r="J3">
            <v>0.72</v>
          </cell>
          <cell r="K3">
            <v>0.42599999999999999</v>
          </cell>
          <cell r="M3">
            <v>2.081</v>
          </cell>
          <cell r="N3">
            <v>2.2749999999999999</v>
          </cell>
        </row>
        <row r="4">
          <cell r="A4" t="str">
            <v>SG&amp;A Expense</v>
          </cell>
          <cell r="B4">
            <v>0.44097833935018049</v>
          </cell>
          <cell r="C4">
            <v>0.44101067790723286</v>
          </cell>
          <cell r="D4">
            <v>0.43692237117798643</v>
          </cell>
          <cell r="F4">
            <v>-0.32338557052369321</v>
          </cell>
          <cell r="G4">
            <v>40.559681721940578</v>
          </cell>
          <cell r="I4" t="str">
            <v>MS Est.</v>
          </cell>
          <cell r="J4">
            <v>0.7264395435116795</v>
          </cell>
          <cell r="K4">
            <v>0.44398364879993413</v>
          </cell>
          <cell r="L4">
            <v>0.52239948825870619</v>
          </cell>
          <cell r="M4">
            <v>2.1327424509456789</v>
          </cell>
          <cell r="N4">
            <v>2.3543180587690742</v>
          </cell>
        </row>
        <row r="5">
          <cell r="A5" t="str">
            <v>Operating Income</v>
          </cell>
          <cell r="B5">
            <v>0.30018411552346569</v>
          </cell>
          <cell r="C5">
            <v>0.26859241099604159</v>
          </cell>
          <cell r="D5">
            <v>0.28868071772528814</v>
          </cell>
          <cell r="F5">
            <v>315.91704527424105</v>
          </cell>
          <cell r="G5">
            <v>115.03397798177551</v>
          </cell>
          <cell r="I5" t="str">
            <v>MS/C</v>
          </cell>
          <cell r="J5">
            <v>6.4395435116795241E-3</v>
          </cell>
          <cell r="K5">
            <v>1.7983648799934138E-2</v>
          </cell>
          <cell r="L5">
            <v>0.52239948825870619</v>
          </cell>
          <cell r="M5">
            <v>5.1742450945678975E-2</v>
          </cell>
          <cell r="N5">
            <v>7.9318058769074273E-2</v>
          </cell>
        </row>
        <row r="6">
          <cell r="A6" t="str">
            <v>Interest Expense</v>
          </cell>
          <cell r="B6">
            <v>-1.2515042117930205E-4</v>
          </cell>
          <cell r="C6">
            <v>1.6352699344135126E-4</v>
          </cell>
          <cell r="D6">
            <v>-1.7061939941546975E-3</v>
          </cell>
          <cell r="F6">
            <v>-2.8867741462065335</v>
          </cell>
          <cell r="G6">
            <v>15.810435729753955</v>
          </cell>
          <cell r="I6" t="str">
            <v>M Guidance</v>
          </cell>
          <cell r="J6">
            <v>0.67</v>
          </cell>
          <cell r="K6" t="str">
            <v>NA</v>
          </cell>
          <cell r="L6" t="str">
            <v>NA</v>
          </cell>
          <cell r="M6">
            <v>2.25</v>
          </cell>
          <cell r="N6" t="str">
            <v>NA</v>
          </cell>
        </row>
        <row r="7">
          <cell r="A7" t="str">
            <v>Earnings b4 Taxes</v>
          </cell>
          <cell r="B7">
            <v>0.30030926594464497</v>
          </cell>
          <cell r="C7">
            <v>0.26842888400260023</v>
          </cell>
          <cell r="D7">
            <v>0.29038691171944286</v>
          </cell>
          <cell r="F7">
            <v>318.80381942044733</v>
          </cell>
          <cell r="G7">
            <v>99.223542252021019</v>
          </cell>
          <cell r="I7" t="str">
            <v>N Guidance</v>
          </cell>
        </row>
        <row r="8">
          <cell r="A8" t="str">
            <v>Net Income</v>
          </cell>
          <cell r="B8">
            <v>0.19009265944645004</v>
          </cell>
          <cell r="C8">
            <v>0.16642588105235703</v>
          </cell>
          <cell r="D8">
            <v>0.182943754383249</v>
          </cell>
          <cell r="F8">
            <v>236.66778394093006</v>
          </cell>
          <cell r="G8">
            <v>71.48905063201039</v>
          </cell>
        </row>
        <row r="10">
          <cell r="A10" t="str">
            <v>EPS</v>
          </cell>
          <cell r="B10">
            <v>0.50314371257485024</v>
          </cell>
          <cell r="C10">
            <v>0.38320548925642983</v>
          </cell>
          <cell r="D10">
            <v>0.46802614782621577</v>
          </cell>
          <cell r="F10">
            <v>0.11993822331842041</v>
          </cell>
          <cell r="G10">
            <v>3.5117564748634478E-2</v>
          </cell>
        </row>
        <row r="12">
          <cell r="A12" t="str">
            <v>EPS Upsides/Downsides</v>
          </cell>
        </row>
        <row r="13">
          <cell r="A13" t="str">
            <v>Revenues</v>
          </cell>
          <cell r="B13">
            <v>1.3795699767058796E-2</v>
          </cell>
        </row>
        <row r="14">
          <cell r="A14" t="str">
            <v>Operating Margin</v>
          </cell>
          <cell r="B14">
            <v>1.8744559330757776E-2</v>
          </cell>
        </row>
        <row r="15">
          <cell r="A15" t="str">
            <v>Interest Expense</v>
          </cell>
          <cell r="B15">
            <v>-2.5705300518566792E-3</v>
          </cell>
        </row>
        <row r="16">
          <cell r="A16" t="str">
            <v>Tax Rate</v>
          </cell>
          <cell r="B16">
            <v>2.376385526818688E-3</v>
          </cell>
        </row>
        <row r="17">
          <cell r="A17" t="str">
            <v>Share Count</v>
          </cell>
          <cell r="B17">
            <v>3.11827661271602E-3</v>
          </cell>
        </row>
        <row r="18">
          <cell r="A18" t="str">
            <v>Total</v>
          </cell>
          <cell r="B18">
            <v>3.5464391185494604E-2</v>
          </cell>
        </row>
        <row r="20">
          <cell r="A20" t="str">
            <v>M</v>
          </cell>
        </row>
        <row r="21">
          <cell r="A21" t="str">
            <v>As a % of Sales</v>
          </cell>
          <cell r="B21" t="str">
            <v>4Q09</v>
          </cell>
          <cell r="C21" t="str">
            <v>4Q08</v>
          </cell>
          <cell r="D21" t="str">
            <v>MS Est.</v>
          </cell>
          <cell r="F21" t="str">
            <v>y/y∆ (bp)</v>
          </cell>
          <cell r="G21" t="str">
            <v>∆ vs MS
Est. (bp)</v>
          </cell>
          <cell r="J21" t="str">
            <v>FQ1</v>
          </cell>
          <cell r="K21" t="str">
            <v>FQ2</v>
          </cell>
          <cell r="M21" t="str">
            <v>FY1</v>
          </cell>
          <cell r="N21" t="str">
            <v>FY2</v>
          </cell>
        </row>
        <row r="22">
          <cell r="A22" t="str">
            <v>Same Store Sales</v>
          </cell>
          <cell r="B22">
            <v>-8.0000000000000002E-3</v>
          </cell>
          <cell r="C22">
            <v>-7.0000000000000007E-2</v>
          </cell>
          <cell r="D22">
            <v>-5.8421857088268997E-3</v>
          </cell>
          <cell r="F22">
            <v>620.00000000000011</v>
          </cell>
          <cell r="G22">
            <v>-21.578142911731003</v>
          </cell>
        </row>
        <row r="23">
          <cell r="A23" t="str">
            <v>Gross Income</v>
          </cell>
          <cell r="B23">
            <v>0.41686839087781885</v>
          </cell>
          <cell r="C23">
            <v>0.39349634484497104</v>
          </cell>
          <cell r="D23">
            <v>0.4229823306319937</v>
          </cell>
          <cell r="F23">
            <v>233.72046032847814</v>
          </cell>
          <cell r="G23">
            <v>-61.139397541748465</v>
          </cell>
          <cell r="I23" t="str">
            <v>Consensus</v>
          </cell>
          <cell r="J23">
            <v>-7.0000000000000007E-2</v>
          </cell>
          <cell r="K23">
            <v>1.1399999999999999</v>
          </cell>
          <cell r="M23">
            <v>1.1499999999999999</v>
          </cell>
          <cell r="N23">
            <v>1.47</v>
          </cell>
          <cell r="P23" t="str">
            <v>Bloomberg as of 8/11/09</v>
          </cell>
        </row>
        <row r="24">
          <cell r="A24" t="str">
            <v>SG&amp;A Expense</v>
          </cell>
          <cell r="B24">
            <v>0.2818193400433176</v>
          </cell>
          <cell r="C24">
            <v>0.28434585328963952</v>
          </cell>
          <cell r="D24">
            <v>0.29238058846006876</v>
          </cell>
          <cell r="F24">
            <v>-25.265132463219153</v>
          </cell>
          <cell r="G24">
            <v>-105.61248416751157</v>
          </cell>
          <cell r="I24" t="str">
            <v>MS Est.</v>
          </cell>
          <cell r="J24">
            <v>1.3152087854175281</v>
          </cell>
          <cell r="K24">
            <v>1.22</v>
          </cell>
          <cell r="M24">
            <v>1.25</v>
          </cell>
          <cell r="N24">
            <v>1.36</v>
          </cell>
        </row>
        <row r="25">
          <cell r="A25" t="str">
            <v>Operating Income</v>
          </cell>
          <cell r="B25">
            <v>0.13504905083450122</v>
          </cell>
          <cell r="C25">
            <v>0.10915049155533149</v>
          </cell>
          <cell r="D25">
            <v>0.13060174217192488</v>
          </cell>
          <cell r="F25">
            <v>258.98559279169729</v>
          </cell>
          <cell r="G25">
            <v>44.473086625763379</v>
          </cell>
          <cell r="I25" t="str">
            <v>MS/C</v>
          </cell>
          <cell r="K25">
            <v>8.0000000000000071E-2</v>
          </cell>
          <cell r="M25">
            <v>0.10000000000000009</v>
          </cell>
          <cell r="N25">
            <v>-0.10999999999999988</v>
          </cell>
        </row>
        <row r="26">
          <cell r="A26" t="str">
            <v>Interest Expense</v>
          </cell>
          <cell r="B26">
            <v>1.7709262326411009E-2</v>
          </cell>
          <cell r="C26">
            <v>1.8023695487774136E-2</v>
          </cell>
          <cell r="D26">
            <v>1.6762872564004581E-2</v>
          </cell>
          <cell r="F26">
            <v>-3.1443316136312709</v>
          </cell>
          <cell r="G26">
            <v>9.4638976240642858</v>
          </cell>
          <cell r="I26" t="str">
            <v>MG</v>
          </cell>
        </row>
        <row r="27">
          <cell r="A27" t="str">
            <v>Earnings b4 Taxes</v>
          </cell>
          <cell r="B27">
            <v>9.3642502229583383E-2</v>
          </cell>
          <cell r="C27">
            <v>6.3524073607259895E-2</v>
          </cell>
          <cell r="D27">
            <v>8.9001269302226765E-2</v>
          </cell>
          <cell r="F27">
            <v>301.18428622323489</v>
          </cell>
          <cell r="G27">
            <v>46.412329273566172</v>
          </cell>
          <cell r="I27" t="str">
            <v>NMG</v>
          </cell>
        </row>
        <row r="28">
          <cell r="A28" t="str">
            <v>Tax Rate</v>
          </cell>
          <cell r="B28">
            <v>0.37893593919652552</v>
          </cell>
          <cell r="C28">
            <v>0.38035961272475793</v>
          </cell>
          <cell r="D28">
            <v>0.40020087706019697</v>
          </cell>
          <cell r="F28">
            <v>-14.236735282324165</v>
          </cell>
          <cell r="G28">
            <v>-212.64937863671452</v>
          </cell>
        </row>
        <row r="29">
          <cell r="A29" t="str">
            <v>Net Income</v>
          </cell>
          <cell r="B29">
            <v>5.6695120397502866E-2</v>
          </cell>
          <cell r="C29">
            <v>5.6000000000000001E-2</v>
          </cell>
          <cell r="D29">
            <v>5.6070438993390141E-2</v>
          </cell>
          <cell r="F29">
            <v>6.9512039750286441</v>
          </cell>
          <cell r="G29">
            <v>6.2468140411272435</v>
          </cell>
        </row>
        <row r="31">
          <cell r="A31" t="str">
            <v>EPS</v>
          </cell>
          <cell r="B31">
            <v>1.3487385050695591</v>
          </cell>
          <cell r="C31">
            <v>1.2932312985703269</v>
          </cell>
          <cell r="D31">
            <v>1.3152087854175281</v>
          </cell>
          <cell r="F31">
            <v>5.5507206499232131E-2</v>
          </cell>
          <cell r="G31">
            <v>3.3529719652030998E-2</v>
          </cell>
        </row>
        <row r="33">
          <cell r="A33" t="str">
            <v>EPS Upsides/Downsides</v>
          </cell>
        </row>
        <row r="34">
          <cell r="A34" t="str">
            <v>Sales Variance</v>
          </cell>
          <cell r="B34">
            <v>-3.436359757770527E-4</v>
          </cell>
        </row>
        <row r="35">
          <cell r="A35" t="str">
            <v>Gross Margin</v>
          </cell>
          <cell r="B35">
            <v>-7.028610225707739E-2</v>
          </cell>
        </row>
        <row r="36">
          <cell r="A36" t="str">
            <v>SG&amp;A</v>
          </cell>
          <cell r="B36">
            <v>0.12141254510649906</v>
          </cell>
        </row>
        <row r="37">
          <cell r="A37" t="str">
            <v>Operating Margin</v>
          </cell>
          <cell r="B37">
            <v>5.1126442849421666E-2</v>
          </cell>
        </row>
        <row r="38">
          <cell r="A38" t="str">
            <v>Interest Expense</v>
          </cell>
          <cell r="B38">
            <v>-1.0827872995755723E-2</v>
          </cell>
        </row>
        <row r="39">
          <cell r="A39" t="str">
            <v>Tax Rate</v>
          </cell>
          <cell r="B39">
            <v>1.3911813251584314E-4</v>
          </cell>
        </row>
        <row r="40">
          <cell r="A40" t="str">
            <v>Shares</v>
          </cell>
          <cell r="B40">
            <v>-6.7117318972655937E-3</v>
          </cell>
        </row>
        <row r="41">
          <cell r="A41" t="str">
            <v>Total</v>
          </cell>
          <cell r="B41">
            <v>3.3382320113139144E-2</v>
          </cell>
        </row>
        <row r="43">
          <cell r="A43" t="str">
            <v>JCP</v>
          </cell>
        </row>
        <row r="44">
          <cell r="A44" t="str">
            <v>As a % of Sales</v>
          </cell>
          <cell r="B44" t="str">
            <v>2Q09</v>
          </cell>
          <cell r="C44" t="str">
            <v>2Q08</v>
          </cell>
          <cell r="D44" t="str">
            <v>MS Est.</v>
          </cell>
          <cell r="F44" t="str">
            <v>y/y∆ (bp)</v>
          </cell>
          <cell r="G44" t="str">
            <v>∆ vs MS
Est. (bp)</v>
          </cell>
          <cell r="J44" t="str">
            <v>FQ1</v>
          </cell>
          <cell r="K44" t="str">
            <v>FQ2</v>
          </cell>
          <cell r="L44" t="str">
            <v>FY1</v>
          </cell>
          <cell r="M44" t="str">
            <v>FY2</v>
          </cell>
        </row>
        <row r="45">
          <cell r="A45" t="str">
            <v>Gross Income</v>
          </cell>
          <cell r="B45">
            <v>0.39052747901801327</v>
          </cell>
          <cell r="C45">
            <v>0.40880043961122103</v>
          </cell>
          <cell r="D45">
            <v>0.37998198198198196</v>
          </cell>
          <cell r="F45">
            <v>-182.72960593207765</v>
          </cell>
          <cell r="G45">
            <v>105.45497036031304</v>
          </cell>
          <cell r="I45" t="str">
            <v>Consensus</v>
          </cell>
          <cell r="J45">
            <v>-0.01</v>
          </cell>
          <cell r="K45">
            <v>0.13</v>
          </cell>
          <cell r="L45">
            <v>0.88</v>
          </cell>
          <cell r="M45">
            <v>1.36</v>
          </cell>
          <cell r="N45" t="str">
            <v>Bloomberg</v>
          </cell>
          <cell r="O45">
            <v>40038</v>
          </cell>
        </row>
        <row r="46">
          <cell r="A46" t="str">
            <v>SG&amp;A Expense</v>
          </cell>
          <cell r="B46">
            <v>0.3160165321976135</v>
          </cell>
          <cell r="C46">
            <v>0.33123431892985855</v>
          </cell>
          <cell r="D46">
            <v>0.27389189189189189</v>
          </cell>
          <cell r="F46">
            <v>-152.17786732245054</v>
          </cell>
          <cell r="G46">
            <v>421.24640305721607</v>
          </cell>
          <cell r="I46" t="str">
            <v>MS Est.</v>
          </cell>
          <cell r="J46">
            <v>0.8553594903233469</v>
          </cell>
          <cell r="K46">
            <v>0.13</v>
          </cell>
          <cell r="L46">
            <v>0.87</v>
          </cell>
          <cell r="M46">
            <v>1.33</v>
          </cell>
        </row>
        <row r="47">
          <cell r="A47" t="str">
            <v>Operating Income</v>
          </cell>
          <cell r="B47">
            <v>2.7892927545231563E-2</v>
          </cell>
          <cell r="C47">
            <v>3.1873435876103265E-2</v>
          </cell>
          <cell r="D47">
            <v>6.9661501885608032E-2</v>
          </cell>
          <cell r="F47">
            <v>-39.805083308717023</v>
          </cell>
          <cell r="G47">
            <v>-417.68574340376466</v>
          </cell>
          <cell r="I47" t="str">
            <v>MS/C</v>
          </cell>
          <cell r="J47">
            <v>0.86535949032334691</v>
          </cell>
          <cell r="K47">
            <v>0</v>
          </cell>
          <cell r="L47">
            <v>-1.0000000000000009E-2</v>
          </cell>
          <cell r="M47">
            <v>-3.0000000000000027E-2</v>
          </cell>
        </row>
        <row r="48">
          <cell r="A48" t="str">
            <v>Interest Expense</v>
          </cell>
          <cell r="B48">
            <v>0</v>
          </cell>
          <cell r="C48">
            <v>0</v>
          </cell>
          <cell r="D48">
            <v>0</v>
          </cell>
          <cell r="F48">
            <v>0</v>
          </cell>
          <cell r="G48">
            <v>0</v>
          </cell>
          <cell r="I48" t="str">
            <v>MG</v>
          </cell>
        </row>
        <row r="49">
          <cell r="A49" t="str">
            <v>Earnings b4 Taxes</v>
          </cell>
          <cell r="B49">
            <v>138.16690201280809</v>
          </cell>
          <cell r="C49">
            <v>77.36492887791303</v>
          </cell>
          <cell r="D49">
            <v>20.474558308592531</v>
          </cell>
          <cell r="F49">
            <v>608019.73134895065</v>
          </cell>
          <cell r="G49">
            <v>1176923.4370421555</v>
          </cell>
          <cell r="I49" t="str">
            <v>MGN</v>
          </cell>
        </row>
        <row r="50">
          <cell r="A50" t="str">
            <v>Tax Rate</v>
          </cell>
          <cell r="B50">
            <v>0</v>
          </cell>
          <cell r="C50">
            <v>0</v>
          </cell>
          <cell r="D50">
            <v>0</v>
          </cell>
          <cell r="F50">
            <v>0</v>
          </cell>
          <cell r="G50">
            <v>0</v>
          </cell>
        </row>
        <row r="51">
          <cell r="A51" t="str">
            <v>Net Income</v>
          </cell>
          <cell r="B51">
            <v>85.658406517953949</v>
          </cell>
          <cell r="C51">
            <v>47.152740872066616</v>
          </cell>
          <cell r="D51">
            <v>10.820352277453523</v>
          </cell>
          <cell r="F51">
            <v>385056.65645887336</v>
          </cell>
          <cell r="G51">
            <v>748380.54240500426</v>
          </cell>
        </row>
        <row r="53">
          <cell r="A53" t="str">
            <v>EPS</v>
          </cell>
          <cell r="B53">
            <v>0.14074219483202524</v>
          </cell>
          <cell r="C53">
            <v>0.19354741634065173</v>
          </cell>
          <cell r="D53">
            <v>0.8553594903233469</v>
          </cell>
          <cell r="F53">
            <v>-5.2805221508626488E-2</v>
          </cell>
          <cell r="G53">
            <v>-0.71461729549132169</v>
          </cell>
        </row>
        <row r="55">
          <cell r="A55" t="str">
            <v>EPS Upsides/Downsides</v>
          </cell>
        </row>
        <row r="56">
          <cell r="A56" t="str">
            <v>Gross Margin</v>
          </cell>
          <cell r="B56">
            <v>-9.617582778843134E-2</v>
          </cell>
        </row>
        <row r="57">
          <cell r="A57" t="str">
            <v>Operating Expenses</v>
          </cell>
          <cell r="B57">
            <v>0.14882953124199277</v>
          </cell>
        </row>
        <row r="58">
          <cell r="A58" t="str">
            <v>Real Estate + Other Exp. (Inc.)</v>
          </cell>
          <cell r="B58">
            <v>-5.5156676128457718E-2</v>
          </cell>
        </row>
        <row r="59">
          <cell r="A59" t="str">
            <v>Operating Income</v>
          </cell>
          <cell r="B59">
            <v>-2.5029726748962895E-3</v>
          </cell>
        </row>
        <row r="60">
          <cell r="A60" t="str">
            <v>LIFO Charge</v>
          </cell>
          <cell r="B60">
            <v>0</v>
          </cell>
        </row>
        <row r="61">
          <cell r="A61" t="str">
            <v>Interest Expense</v>
          </cell>
          <cell r="B61">
            <v>2.3887504428639367E-3</v>
          </cell>
        </row>
        <row r="62">
          <cell r="A62" t="str">
            <v>Tax Rate</v>
          </cell>
          <cell r="B62">
            <v>4.3826380109566214E-3</v>
          </cell>
        </row>
        <row r="63">
          <cell r="A63" t="str">
            <v>Shares</v>
          </cell>
          <cell r="B63">
            <v>1.3564864172863622E-3</v>
          </cell>
        </row>
        <row r="64">
          <cell r="A64" t="str">
            <v>Total</v>
          </cell>
          <cell r="B64">
            <v>5.6249021962106304E-3</v>
          </cell>
        </row>
        <row r="66">
          <cell r="A66" t="str">
            <v>KSS</v>
          </cell>
        </row>
        <row r="67">
          <cell r="A67" t="str">
            <v>As a % of Sales</v>
          </cell>
          <cell r="B67" t="str">
            <v>4Q09</v>
          </cell>
          <cell r="C67" t="str">
            <v>4Q08</v>
          </cell>
          <cell r="D67" t="str">
            <v>MS Est.</v>
          </cell>
          <cell r="F67" t="str">
            <v>y/y∆ (bp)</v>
          </cell>
          <cell r="G67" t="str">
            <v>∆ vs MS
Est. (bp)</v>
          </cell>
          <cell r="J67" t="str">
            <v>FQ1</v>
          </cell>
          <cell r="K67" t="str">
            <v>FQ2</v>
          </cell>
          <cell r="L67" t="str">
            <v>FY1</v>
          </cell>
          <cell r="M67" t="str">
            <v>FY2</v>
          </cell>
        </row>
        <row r="68">
          <cell r="A68" t="str">
            <v>Gross Income</v>
          </cell>
          <cell r="B68">
            <v>0.36430834213305174</v>
          </cell>
          <cell r="C68">
            <v>0.34804202483285579</v>
          </cell>
          <cell r="D68">
            <v>0.35754202483285574</v>
          </cell>
          <cell r="F68">
            <v>162.66317300195954</v>
          </cell>
          <cell r="G68">
            <v>67.663173001960004</v>
          </cell>
          <cell r="I68" t="str">
            <v>Consensus</v>
          </cell>
          <cell r="J68">
            <v>0.60699999999999998</v>
          </cell>
          <cell r="K68">
            <v>1.232</v>
          </cell>
          <cell r="L68">
            <v>3.0419999999999998</v>
          </cell>
          <cell r="M68">
            <v>3.4220000000000002</v>
          </cell>
          <cell r="N68" t="str">
            <v>Bloomberg</v>
          </cell>
          <cell r="O68">
            <v>40128</v>
          </cell>
        </row>
        <row r="69">
          <cell r="A69" t="str">
            <v>SG&amp;A Expense</v>
          </cell>
          <cell r="B69">
            <v>0.20943329813445971</v>
          </cell>
          <cell r="C69">
            <v>0.21050620821394461</v>
          </cell>
          <cell r="D69">
            <v>0.20550620821394461</v>
          </cell>
          <cell r="F69">
            <v>-10.72910079484901</v>
          </cell>
          <cell r="G69">
            <v>39.270899205151032</v>
          </cell>
          <cell r="I69" t="str">
            <v>MS Est.</v>
          </cell>
          <cell r="J69">
            <v>1.37</v>
          </cell>
          <cell r="K69">
            <v>1.27</v>
          </cell>
          <cell r="L69">
            <v>3.08</v>
          </cell>
          <cell r="M69">
            <v>3.59</v>
          </cell>
        </row>
        <row r="70">
          <cell r="A70" t="str">
            <v>Operating Income</v>
          </cell>
          <cell r="B70">
            <v>0.12706793382611756</v>
          </cell>
          <cell r="C70">
            <v>0.10945558739255014</v>
          </cell>
          <cell r="D70">
            <v>0.12398231433098438</v>
          </cell>
          <cell r="F70">
            <v>176.12346433567419</v>
          </cell>
          <cell r="G70">
            <v>30.856194951331823</v>
          </cell>
          <cell r="I70" t="str">
            <v>MS/C</v>
          </cell>
          <cell r="J70">
            <v>0.76300000000000012</v>
          </cell>
          <cell r="K70">
            <v>3.8000000000000034E-2</v>
          </cell>
          <cell r="L70">
            <v>3.8000000000000256E-2</v>
          </cell>
          <cell r="M70">
            <v>0.16799999999999971</v>
          </cell>
        </row>
        <row r="71">
          <cell r="A71" t="str">
            <v>Interest Expense</v>
          </cell>
          <cell r="B71">
            <v>5.4558254135867656E-3</v>
          </cell>
          <cell r="C71">
            <v>5.7306590257879654E-3</v>
          </cell>
          <cell r="D71">
            <v>5.8271922900633606E-3</v>
          </cell>
          <cell r="F71">
            <v>-2.7483361220119984</v>
          </cell>
          <cell r="G71">
            <v>-3.7136687647659499</v>
          </cell>
          <cell r="I71" t="str">
            <v>MG</v>
          </cell>
        </row>
        <row r="72">
          <cell r="A72" t="str">
            <v>Earnings b4 Taxes</v>
          </cell>
          <cell r="B72">
            <v>0.1216121084125308</v>
          </cell>
          <cell r="C72">
            <v>0.10372492836676218</v>
          </cell>
          <cell r="D72">
            <v>0.11815512204092102</v>
          </cell>
          <cell r="F72">
            <v>178.87180045768613</v>
          </cell>
          <cell r="G72">
            <v>34.5698637160978</v>
          </cell>
        </row>
        <row r="73">
          <cell r="A73" t="str">
            <v>Net Income</v>
          </cell>
          <cell r="B73">
            <v>7.5853572685674053E-2</v>
          </cell>
          <cell r="C73">
            <v>6.4183381088825209E-2</v>
          </cell>
          <cell r="D73">
            <v>7.3610641031493798E-2</v>
          </cell>
          <cell r="F73">
            <v>116.70191596848845</v>
          </cell>
          <cell r="G73">
            <v>22.429316541802553</v>
          </cell>
        </row>
        <row r="75">
          <cell r="A75" t="str">
            <v>EPS</v>
          </cell>
          <cell r="B75">
            <v>1.4</v>
          </cell>
          <cell r="C75">
            <v>1.1000000000000001</v>
          </cell>
          <cell r="D75">
            <v>1.37</v>
          </cell>
          <cell r="F75">
            <v>0.29999999999999982</v>
          </cell>
          <cell r="G75">
            <v>2.9999999999999805E-2</v>
          </cell>
        </row>
        <row r="77">
          <cell r="A77" t="str">
            <v>EPS Upsides/Downsides</v>
          </cell>
        </row>
        <row r="78">
          <cell r="A78" t="str">
            <v>Reported Sales Variance</v>
          </cell>
          <cell r="B78">
            <v>0</v>
          </cell>
        </row>
        <row r="79">
          <cell r="A79" t="str">
            <v>Gross Margin</v>
          </cell>
          <cell r="B79">
            <v>7.7857794189564164E-2</v>
          </cell>
        </row>
        <row r="80">
          <cell r="A80" t="str">
            <v>SG&amp;A Expenses</v>
          </cell>
          <cell r="B80">
            <v>-4.5187735843620652E-2</v>
          </cell>
        </row>
        <row r="81">
          <cell r="A81" t="str">
            <v>Preopening Expense</v>
          </cell>
          <cell r="B81">
            <v>2.835153269306672E-3</v>
          </cell>
        </row>
        <row r="82">
          <cell r="A82" t="str">
            <v>Depreciation/Amortization</v>
          </cell>
          <cell r="B82">
            <v>0</v>
          </cell>
        </row>
        <row r="83">
          <cell r="A83" t="str">
            <v>Interest Expense, Net</v>
          </cell>
          <cell r="B83">
            <v>4.2731968594937973E-3</v>
          </cell>
        </row>
        <row r="84">
          <cell r="A84" t="str">
            <v>Tax Rate</v>
          </cell>
          <cell r="B84">
            <v>1.6461038961039123E-3</v>
          </cell>
        </row>
        <row r="85">
          <cell r="A85" t="str">
            <v>Shares</v>
          </cell>
          <cell r="B85">
            <v>-8.4967320261439827E-3</v>
          </cell>
        </row>
        <row r="86">
          <cell r="A86" t="str">
            <v>Total</v>
          </cell>
          <cell r="B86">
            <v>3.2927780344703908E-2</v>
          </cell>
        </row>
        <row r="88">
          <cell r="A88" t="str">
            <v>JWN</v>
          </cell>
        </row>
        <row r="89">
          <cell r="A89" t="str">
            <v>As a % of Sales</v>
          </cell>
          <cell r="B89" t="str">
            <v>3Q08</v>
          </cell>
          <cell r="C89" t="str">
            <v>3Q07</v>
          </cell>
          <cell r="D89" t="str">
            <v>MS Est.</v>
          </cell>
          <cell r="F89" t="str">
            <v>y/y∆ (bp)</v>
          </cell>
          <cell r="G89" t="str">
            <v>∆ vs MS
Est. (bp)</v>
          </cell>
          <cell r="J89" t="str">
            <v>FQ1</v>
          </cell>
          <cell r="K89" t="str">
            <v>FQ2</v>
          </cell>
          <cell r="L89" t="str">
            <v>FY1</v>
          </cell>
          <cell r="M89" t="str">
            <v>FY2</v>
          </cell>
        </row>
        <row r="90">
          <cell r="A90" t="str">
            <v>Gross Income</v>
          </cell>
          <cell r="B90">
            <v>0</v>
          </cell>
          <cell r="C90">
            <v>0</v>
          </cell>
          <cell r="D90">
            <v>0</v>
          </cell>
          <cell r="F90">
            <v>0</v>
          </cell>
          <cell r="G90">
            <v>0</v>
          </cell>
          <cell r="I90" t="str">
            <v>Consensus</v>
          </cell>
          <cell r="J90">
            <v>0.38200000000000001</v>
          </cell>
          <cell r="K90">
            <v>0.59599999999999997</v>
          </cell>
          <cell r="L90">
            <v>1.806</v>
          </cell>
          <cell r="M90">
            <v>2.1389999999999998</v>
          </cell>
          <cell r="N90" t="str">
            <v>Bloomberg</v>
          </cell>
          <cell r="O90">
            <v>40128</v>
          </cell>
        </row>
        <row r="91">
          <cell r="A91" t="str">
            <v>SG&amp;A Expense</v>
          </cell>
          <cell r="B91">
            <v>0</v>
          </cell>
          <cell r="C91">
            <v>0</v>
          </cell>
          <cell r="D91">
            <v>0</v>
          </cell>
          <cell r="F91">
            <v>0</v>
          </cell>
          <cell r="G91">
            <v>0</v>
          </cell>
          <cell r="I91" t="str">
            <v>MS Est.</v>
          </cell>
          <cell r="J91">
            <v>0</v>
          </cell>
          <cell r="K91">
            <v>0.2</v>
          </cell>
          <cell r="L91">
            <v>1.8</v>
          </cell>
          <cell r="M91">
            <v>1.07</v>
          </cell>
        </row>
        <row r="92">
          <cell r="A92" t="str">
            <v>Operating Income</v>
          </cell>
          <cell r="B92">
            <v>0</v>
          </cell>
          <cell r="C92">
            <v>0</v>
          </cell>
          <cell r="D92">
            <v>0</v>
          </cell>
          <cell r="F92">
            <v>0</v>
          </cell>
          <cell r="G92">
            <v>0</v>
          </cell>
          <cell r="I92" t="str">
            <v>MS/C</v>
          </cell>
          <cell r="J92">
            <v>-0.38200000000000001</v>
          </cell>
          <cell r="K92">
            <v>-0.39599999999999996</v>
          </cell>
          <cell r="L92">
            <v>-6.0000000000000053E-3</v>
          </cell>
          <cell r="M92">
            <v>-1.0689999999999997</v>
          </cell>
        </row>
        <row r="93">
          <cell r="A93" t="str">
            <v>Interest Expense</v>
          </cell>
          <cell r="B93">
            <v>0</v>
          </cell>
          <cell r="C93">
            <v>0</v>
          </cell>
          <cell r="D93">
            <v>0</v>
          </cell>
          <cell r="F93">
            <v>0</v>
          </cell>
          <cell r="G93">
            <v>0</v>
          </cell>
          <cell r="I93" t="str">
            <v>MG</v>
          </cell>
        </row>
        <row r="94">
          <cell r="A94" t="str">
            <v>Service &amp; Other</v>
          </cell>
          <cell r="B94">
            <v>0</v>
          </cell>
          <cell r="C94">
            <v>0</v>
          </cell>
          <cell r="D94">
            <v>0</v>
          </cell>
          <cell r="F94">
            <v>0</v>
          </cell>
          <cell r="G94">
            <v>0</v>
          </cell>
          <cell r="I94" t="str">
            <v>New</v>
          </cell>
        </row>
        <row r="95">
          <cell r="A95" t="str">
            <v>Earnings b4 Taxes</v>
          </cell>
          <cell r="B95">
            <v>0</v>
          </cell>
          <cell r="C95">
            <v>0</v>
          </cell>
          <cell r="D95">
            <v>0</v>
          </cell>
          <cell r="F95">
            <v>0</v>
          </cell>
          <cell r="G95">
            <v>0</v>
          </cell>
        </row>
        <row r="96">
          <cell r="A96" t="str">
            <v>Tax Rate</v>
          </cell>
          <cell r="B96">
            <v>0</v>
          </cell>
          <cell r="C96">
            <v>0</v>
          </cell>
          <cell r="D96">
            <v>0</v>
          </cell>
          <cell r="F96">
            <v>0</v>
          </cell>
          <cell r="G96">
            <v>0</v>
          </cell>
        </row>
        <row r="97">
          <cell r="A97" t="str">
            <v>Net Income</v>
          </cell>
          <cell r="B97">
            <v>0</v>
          </cell>
          <cell r="C97">
            <v>0</v>
          </cell>
          <cell r="D97">
            <v>0</v>
          </cell>
          <cell r="F97">
            <v>0</v>
          </cell>
          <cell r="G97">
            <v>0</v>
          </cell>
        </row>
        <row r="99">
          <cell r="A99" t="str">
            <v>EPS</v>
          </cell>
          <cell r="B99">
            <v>0</v>
          </cell>
          <cell r="C99">
            <v>0</v>
          </cell>
          <cell r="D99">
            <v>0</v>
          </cell>
          <cell r="F99">
            <v>0</v>
          </cell>
          <cell r="G99">
            <v>0</v>
          </cell>
        </row>
        <row r="101">
          <cell r="A101" t="str">
            <v>EPS Upsides/Downsides</v>
          </cell>
        </row>
        <row r="102">
          <cell r="A102">
            <v>0</v>
          </cell>
          <cell r="B102">
            <v>0</v>
          </cell>
        </row>
        <row r="103">
          <cell r="A103" t="str">
            <v>Source: Company data, Morgan Stanley Research  E = Morgan Stanley Research Estimate</v>
          </cell>
          <cell r="B103">
            <v>0</v>
          </cell>
        </row>
        <row r="104">
          <cell r="A104" t="str">
            <v>EPS Upsides/Downsides</v>
          </cell>
          <cell r="B104">
            <v>0</v>
          </cell>
        </row>
        <row r="105">
          <cell r="A105" t="str">
            <v>Reported Sales Variance</v>
          </cell>
          <cell r="B105">
            <v>-2.1583430631226738E-3</v>
          </cell>
        </row>
        <row r="106">
          <cell r="A106" t="str">
            <v>Gross Margin</v>
          </cell>
          <cell r="B106">
            <v>9.3948964248107891E-2</v>
          </cell>
        </row>
        <row r="107">
          <cell r="A107" t="str">
            <v>Total SG&amp;A</v>
          </cell>
          <cell r="B107">
            <v>-0.13372107319019222</v>
          </cell>
        </row>
        <row r="108">
          <cell r="A108" t="str">
            <v>Operating Margin</v>
          </cell>
          <cell r="B108">
            <v>0</v>
          </cell>
        </row>
        <row r="109">
          <cell r="A109" t="str">
            <v>Tax Rate</v>
          </cell>
          <cell r="B109">
            <v>9.3948964248107891E-2</v>
          </cell>
        </row>
        <row r="110">
          <cell r="A110" t="str">
            <v>Shares</v>
          </cell>
          <cell r="B110">
            <v>-0.13372107319019222</v>
          </cell>
        </row>
        <row r="111">
          <cell r="A111" t="str">
            <v>Total</v>
          </cell>
          <cell r="B111">
            <v>-4.1930452005207008E-2</v>
          </cell>
        </row>
        <row r="113">
          <cell r="A113" t="str">
            <v>SKS</v>
          </cell>
        </row>
        <row r="114">
          <cell r="A114" t="str">
            <v>As a % of Sales</v>
          </cell>
          <cell r="B114" t="str">
            <v>3Q09</v>
          </cell>
          <cell r="C114" t="str">
            <v>3Q08</v>
          </cell>
          <cell r="D114" t="str">
            <v>MS Est.</v>
          </cell>
          <cell r="F114" t="str">
            <v>y/y∆ (bp)</v>
          </cell>
          <cell r="G114" t="str">
            <v>∆ vs MS
Est. (bp)</v>
          </cell>
          <cell r="J114" t="str">
            <v>FQ1</v>
          </cell>
          <cell r="K114" t="str">
            <v>FQ2</v>
          </cell>
          <cell r="L114" t="str">
            <v>FY1</v>
          </cell>
          <cell r="M114" t="str">
            <v>FY2</v>
          </cell>
        </row>
        <row r="115">
          <cell r="A115" t="str">
            <v>Gross Income</v>
          </cell>
          <cell r="B115">
            <v>0.3907231769028765</v>
          </cell>
          <cell r="C115">
            <v>0.33156390807654762</v>
          </cell>
          <cell r="D115">
            <v>0.39027636388805009</v>
          </cell>
          <cell r="F115">
            <v>591.59268826328878</v>
          </cell>
          <cell r="G115">
            <v>4.4681301482640823</v>
          </cell>
          <cell r="I115" t="str">
            <v>Consensus</v>
          </cell>
          <cell r="J115">
            <v>-0.113</v>
          </cell>
          <cell r="K115">
            <v>-3.7999999999999999E-2</v>
          </cell>
          <cell r="L115">
            <v>-0.57499999999999996</v>
          </cell>
          <cell r="M115">
            <v>-0.34899999999999998</v>
          </cell>
          <cell r="N115" t="str">
            <v>Bloomberg</v>
          </cell>
          <cell r="O115">
            <v>40133</v>
          </cell>
        </row>
        <row r="116">
          <cell r="A116" t="str">
            <v>SG&amp;A Expense</v>
          </cell>
          <cell r="B116">
            <v>0.2428184106076488</v>
          </cell>
          <cell r="C116">
            <v>0.272497270340676</v>
          </cell>
          <cell r="D116">
            <v>0.2548642423756452</v>
          </cell>
          <cell r="F116">
            <v>-296.78859733027195</v>
          </cell>
          <cell r="G116">
            <v>-120.45831767996395</v>
          </cell>
          <cell r="I116" t="str">
            <v>MS Est.</v>
          </cell>
          <cell r="J116">
            <v>-1.5781525121147805E-2</v>
          </cell>
          <cell r="K116">
            <v>-7.0000000000000007E-2</v>
          </cell>
          <cell r="L116">
            <v>-0.59</v>
          </cell>
          <cell r="M116">
            <v>-0.35</v>
          </cell>
        </row>
        <row r="117">
          <cell r="A117" t="str">
            <v>Other Operating Expenses</v>
          </cell>
          <cell r="B117">
            <v>0.1287210309271713</v>
          </cell>
          <cell r="C117">
            <v>0.14260560872785277</v>
          </cell>
          <cell r="D117">
            <v>0.11997295045879695</v>
          </cell>
          <cell r="F117">
            <v>-138.84577800681475</v>
          </cell>
          <cell r="G117">
            <v>87.480804683743443</v>
          </cell>
          <cell r="I117" t="str">
            <v>MS/C</v>
          </cell>
          <cell r="J117">
            <v>9.7218474878852199E-2</v>
          </cell>
          <cell r="K117">
            <v>-3.2000000000000008E-2</v>
          </cell>
          <cell r="L117">
            <v>-1.5000000000000013E-2</v>
          </cell>
          <cell r="M117">
            <v>-1.0000000000000009E-3</v>
          </cell>
        </row>
        <row r="118">
          <cell r="A118" t="str">
            <v>Operating Income</v>
          </cell>
          <cell r="B118">
            <v>1.8221202599182782E-2</v>
          </cell>
          <cell r="C118">
            <v>-8.4795773424491586E-2</v>
          </cell>
          <cell r="D118">
            <v>1.4627638389771777E-2</v>
          </cell>
          <cell r="F118">
            <v>1030.1697602367437</v>
          </cell>
          <cell r="G118">
            <v>35.935642094110044</v>
          </cell>
        </row>
        <row r="119">
          <cell r="A119" t="str">
            <v>Interest Expense</v>
          </cell>
          <cell r="B119">
            <v>2.0676050365587218E-2</v>
          </cell>
          <cell r="C119">
            <v>2.2905626388730099E-2</v>
          </cell>
          <cell r="D119">
            <v>2.0468421239228773E-2</v>
          </cell>
          <cell r="F119">
            <v>-22.295760231428805</v>
          </cell>
          <cell r="G119">
            <v>2.0762912635844537</v>
          </cell>
        </row>
        <row r="120">
          <cell r="A120" t="str">
            <v>Earnings b4 Taxes</v>
          </cell>
          <cell r="B120">
            <v>5.6698146463637996E-5</v>
          </cell>
          <cell r="C120">
            <v>5.6698146463637996E-5</v>
          </cell>
          <cell r="D120">
            <v>5.6698146463637996E-5</v>
          </cell>
          <cell r="F120">
            <v>0</v>
          </cell>
          <cell r="G120">
            <v>0</v>
          </cell>
        </row>
        <row r="121">
          <cell r="A121" t="str">
            <v>Net Income</v>
          </cell>
          <cell r="B121">
            <v>-1.5571584659782067E-3</v>
          </cell>
          <cell r="C121">
            <v>-6.6810020735004902E-2</v>
          </cell>
          <cell r="D121">
            <v>-3.6564382174707932E-3</v>
          </cell>
          <cell r="F121">
            <v>652.52862269026696</v>
          </cell>
          <cell r="G121">
            <v>20.992797514925869</v>
          </cell>
        </row>
        <row r="123">
          <cell r="A123" t="str">
            <v>EPS</v>
          </cell>
          <cell r="B123">
            <v>-6.6533490389486675E-3</v>
          </cell>
          <cell r="C123">
            <v>-0.25767632111798916</v>
          </cell>
          <cell r="D123">
            <v>-1.5781525121147805E-2</v>
          </cell>
          <cell r="F123">
            <v>0.25102297207904051</v>
          </cell>
          <cell r="G123">
            <v>9.1281760821991381E-3</v>
          </cell>
        </row>
        <row r="125">
          <cell r="A125" t="str">
            <v>EPS Upsides/Downsides</v>
          </cell>
        </row>
        <row r="126">
          <cell r="A126" t="str">
            <v>Reported Sales Variance</v>
          </cell>
          <cell r="B126">
            <v>7.3141706523534907E-4</v>
          </cell>
        </row>
        <row r="127">
          <cell r="A127" t="str">
            <v>Gross Margin</v>
          </cell>
          <cell r="B127">
            <v>9.0502516031737673E-2</v>
          </cell>
        </row>
        <row r="128">
          <cell r="A128" t="str">
            <v>SG&amp;A Expenses</v>
          </cell>
          <cell r="B128">
            <v>9.135785673203356E-2</v>
          </cell>
        </row>
        <row r="129">
          <cell r="A129" t="str">
            <v>Other Operating Expenses</v>
          </cell>
          <cell r="B129">
            <v>0.14148159111000269</v>
          </cell>
        </row>
        <row r="130">
          <cell r="A130" t="str">
            <v>Operating Margin</v>
          </cell>
          <cell r="B130">
            <v>0.3233419638737739</v>
          </cell>
        </row>
        <row r="131">
          <cell r="A131" t="str">
            <v>Interest Expense, Net</v>
          </cell>
          <cell r="B131">
            <v>-2.9209222303217691E-2</v>
          </cell>
        </row>
        <row r="132">
          <cell r="A132" t="str">
            <v>Other (Income)</v>
          </cell>
          <cell r="B132">
            <v>-1.1491989190871084E-3</v>
          </cell>
        </row>
        <row r="133">
          <cell r="A133" t="str">
            <v>Tax Rate</v>
          </cell>
          <cell r="B133">
            <v>0.11636249147294966</v>
          </cell>
        </row>
        <row r="134">
          <cell r="A134" t="str">
            <v>Shares</v>
          </cell>
          <cell r="B134">
            <v>0</v>
          </cell>
        </row>
        <row r="135">
          <cell r="A135" t="str">
            <v>Total</v>
          </cell>
          <cell r="B135">
            <v>0.40934603412441872</v>
          </cell>
        </row>
        <row r="137">
          <cell r="A137" t="str">
            <v>LTD</v>
          </cell>
        </row>
        <row r="138">
          <cell r="A138" t="str">
            <v>As a % of Sales</v>
          </cell>
          <cell r="B138" t="str">
            <v>4Q09</v>
          </cell>
          <cell r="C138" t="str">
            <v>4Q08</v>
          </cell>
          <cell r="D138" t="str">
            <v>MS Est.</v>
          </cell>
          <cell r="F138" t="str">
            <v>y/y∆ (bp)</v>
          </cell>
          <cell r="G138" t="str">
            <v>∆ vs MS
Est. (bp)</v>
          </cell>
          <cell r="J138" t="str">
            <v>FQ1</v>
          </cell>
          <cell r="K138" t="str">
            <v>FQ2</v>
          </cell>
          <cell r="L138" t="str">
            <v>FQ3</v>
          </cell>
          <cell r="M138" t="str">
            <v>FY1</v>
          </cell>
          <cell r="N138" t="str">
            <v>FY2</v>
          </cell>
        </row>
        <row r="139">
          <cell r="A139" t="str">
            <v>Gross Income</v>
          </cell>
          <cell r="B139">
            <v>0.35943311437115333</v>
          </cell>
          <cell r="C139">
            <v>0.31784386724838393</v>
          </cell>
          <cell r="D139">
            <v>0.35784386724838391</v>
          </cell>
          <cell r="F139">
            <v>415.89247122769399</v>
          </cell>
          <cell r="G139">
            <v>15.892471227694216</v>
          </cell>
          <cell r="I139" t="str">
            <v>Consensus</v>
          </cell>
          <cell r="J139">
            <v>0.98499999999999999</v>
          </cell>
          <cell r="K139">
            <v>7.5999999999999998E-2</v>
          </cell>
          <cell r="M139">
            <v>0.98299999999999998</v>
          </cell>
          <cell r="N139">
            <v>1.202</v>
          </cell>
          <cell r="O139" t="str">
            <v>Bloomberg 2/24</v>
          </cell>
        </row>
        <row r="140">
          <cell r="A140" t="str">
            <v>SG&amp;A Expense</v>
          </cell>
          <cell r="B140">
            <v>0.26366684338267576</v>
          </cell>
          <cell r="C140">
            <v>0.28004500251269832</v>
          </cell>
          <cell r="D140">
            <v>0.26902521392184064</v>
          </cell>
          <cell r="F140">
            <v>-163.78159130022553</v>
          </cell>
          <cell r="G140">
            <v>-53.583705391648806</v>
          </cell>
          <cell r="I140" t="str">
            <v>MS Est.</v>
          </cell>
          <cell r="J140">
            <v>0.225114276362679</v>
          </cell>
          <cell r="K140" t="str">
            <v>none</v>
          </cell>
          <cell r="M140">
            <v>1.1010266280936629</v>
          </cell>
          <cell r="N140">
            <v>1.2665067931582552</v>
          </cell>
        </row>
        <row r="141">
          <cell r="A141" t="str">
            <v>Operating Income</v>
          </cell>
          <cell r="B141">
            <v>9.5766270988477592E-2</v>
          </cell>
          <cell r="C141">
            <v>3.779886473568559E-2</v>
          </cell>
          <cell r="D141">
            <v>8.8818653326543262E-2</v>
          </cell>
          <cell r="F141">
            <v>579.67406252792</v>
          </cell>
          <cell r="G141">
            <v>69.476176619343306</v>
          </cell>
          <cell r="I141" t="str">
            <v>MS/C</v>
          </cell>
          <cell r="J141">
            <v>-0.75988572363732099</v>
          </cell>
          <cell r="K141" t="e">
            <v>#VALUE!</v>
          </cell>
          <cell r="L141">
            <v>0</v>
          </cell>
          <cell r="M141">
            <v>0</v>
          </cell>
          <cell r="N141">
            <v>0</v>
          </cell>
        </row>
        <row r="142">
          <cell r="A142" t="str">
            <v>Interest Expense</v>
          </cell>
          <cell r="B142">
            <v>3.1643210377647633E-2</v>
          </cell>
          <cell r="C142">
            <v>3.5762043127987642E-2</v>
          </cell>
          <cell r="D142">
            <v>3.1378458603900941E-2</v>
          </cell>
          <cell r="F142">
            <v>-41.188327503400082</v>
          </cell>
          <cell r="G142">
            <v>2.6475177374669228</v>
          </cell>
          <cell r="I142" t="str">
            <v>MGT Guid</v>
          </cell>
          <cell r="J142" t="str">
            <v>$0.00-$(0.04)</v>
          </cell>
        </row>
        <row r="143">
          <cell r="A143" t="str">
            <v>Other Expense (Income)</v>
          </cell>
          <cell r="B143">
            <v>-7.3910090208000262E-3</v>
          </cell>
          <cell r="C143">
            <v>1.628761729547883E-4</v>
          </cell>
          <cell r="D143">
            <v>-3.6241263266891016E-3</v>
          </cell>
          <cell r="F143">
            <v>-75.538851937548145</v>
          </cell>
          <cell r="G143">
            <v>-37.668826941109245</v>
          </cell>
        </row>
        <row r="144">
          <cell r="A144" t="str">
            <v>Tax Rate</v>
          </cell>
          <cell r="B144">
            <v>0.40006660295948787</v>
          </cell>
          <cell r="C144">
            <v>0.195484070522735</v>
          </cell>
          <cell r="D144">
            <v>0.38</v>
          </cell>
          <cell r="F144">
            <v>2045.8253243675288</v>
          </cell>
          <cell r="G144">
            <v>200.66602959487867</v>
          </cell>
        </row>
        <row r="145">
          <cell r="A145" t="str">
            <v>Net Income</v>
          </cell>
          <cell r="B145">
            <v>4.2903678730295505E-2</v>
          </cell>
          <cell r="C145">
            <v>1.5076189532220727E-3</v>
          </cell>
          <cell r="D145">
            <v>3.7859879050585479E-2</v>
          </cell>
          <cell r="F145">
            <v>413.9605977707343</v>
          </cell>
          <cell r="G145">
            <v>50.437996797100261</v>
          </cell>
        </row>
        <row r="147">
          <cell r="A147" t="str">
            <v>EPS</v>
          </cell>
          <cell r="B147">
            <v>0.24893510925268417</v>
          </cell>
          <cell r="C147">
            <v>8.04553257961238E-3</v>
          </cell>
          <cell r="D147">
            <v>0.225114276362679</v>
          </cell>
          <cell r="F147">
            <v>0.24088957667307179</v>
          </cell>
          <cell r="G147">
            <v>2.3820832890005167E-2</v>
          </cell>
        </row>
        <row r="149">
          <cell r="A149" t="str">
            <v>EPS Upsides/Downsides</v>
          </cell>
        </row>
        <row r="150">
          <cell r="A150" t="str">
            <v>Gross Margin</v>
          </cell>
          <cell r="B150">
            <v>5.555265989990261E-3</v>
          </cell>
        </row>
        <row r="151">
          <cell r="A151" t="str">
            <v>SG&amp;A</v>
          </cell>
          <cell r="B151">
            <v>1.8634632007562379E-2</v>
          </cell>
        </row>
        <row r="152">
          <cell r="A152" t="str">
            <v>Operating Margin</v>
          </cell>
          <cell r="B152">
            <v>2.418989799755264E-2</v>
          </cell>
        </row>
        <row r="153">
          <cell r="A153" t="str">
            <v>Interest Expense, Net</v>
          </cell>
          <cell r="B153">
            <v>-9.2361681188376816E-4</v>
          </cell>
        </row>
        <row r="154">
          <cell r="A154" t="str">
            <v>Other expense (income)</v>
          </cell>
          <cell r="B154">
            <v>1.3112471077827939E-2</v>
          </cell>
        </row>
        <row r="155">
          <cell r="A155" t="str">
            <v>Tax Rate</v>
          </cell>
          <cell r="B155">
            <v>-8.3263942709177457E-3</v>
          </cell>
        </row>
        <row r="156">
          <cell r="A156" t="str">
            <v>Shares</v>
          </cell>
          <cell r="B156">
            <v>-6.1742795380068938E-3</v>
          </cell>
        </row>
        <row r="157">
          <cell r="A157" t="str">
            <v>Total</v>
          </cell>
          <cell r="B157">
            <v>2.1878078454572167E-2</v>
          </cell>
        </row>
        <row r="159">
          <cell r="A159" t="str">
            <v>GPS</v>
          </cell>
          <cell r="J159" t="str">
            <v>4Q09</v>
          </cell>
          <cell r="K159" t="str">
            <v>1Q10</v>
          </cell>
        </row>
        <row r="160">
          <cell r="A160" t="str">
            <v>As a % of Sales</v>
          </cell>
          <cell r="B160" t="str">
            <v>4Q09</v>
          </cell>
          <cell r="C160" t="str">
            <v>4Q08</v>
          </cell>
          <cell r="D160" t="str">
            <v>MS Est.</v>
          </cell>
          <cell r="F160" t="str">
            <v>y/y∆ (bp)</v>
          </cell>
          <cell r="G160" t="str">
            <v>∆ vs MS
Est. (bp)</v>
          </cell>
          <cell r="J160" t="str">
            <v>FQ1</v>
          </cell>
          <cell r="K160" t="str">
            <v>FQ2</v>
          </cell>
          <cell r="L160" t="str">
            <v>FQ3</v>
          </cell>
          <cell r="M160" t="str">
            <v>FY1</v>
          </cell>
          <cell r="N160" t="str">
            <v>FY2</v>
          </cell>
        </row>
        <row r="161">
          <cell r="A161" t="str">
            <v>Gross Income</v>
          </cell>
          <cell r="B161">
            <v>0.3922743753062225</v>
          </cell>
          <cell r="C161">
            <v>0.34027437530622245</v>
          </cell>
          <cell r="D161">
            <v>0.42196995226060091</v>
          </cell>
          <cell r="F161">
            <v>520.00000000000045</v>
          </cell>
          <cell r="G161">
            <v>-296.95576954378413</v>
          </cell>
          <cell r="I161" t="str">
            <v>Consensus</v>
          </cell>
          <cell r="J161">
            <v>0.5</v>
          </cell>
          <cell r="K161">
            <v>0.35399999999999998</v>
          </cell>
          <cell r="M161">
            <v>1.5029999999999999</v>
          </cell>
          <cell r="N161">
            <v>1.6339999999999999</v>
          </cell>
        </row>
        <row r="162">
          <cell r="A162" t="str">
            <v>SG&amp;A Expense</v>
          </cell>
          <cell r="B162">
            <v>0.25777315041646254</v>
          </cell>
          <cell r="C162">
            <v>0.24277315041646252</v>
          </cell>
          <cell r="D162">
            <v>0.2828268744734625</v>
          </cell>
          <cell r="F162">
            <v>150.00000000000014</v>
          </cell>
          <cell r="G162">
            <v>-250.5372405699996</v>
          </cell>
          <cell r="I162" t="str">
            <v>MS Est.</v>
          </cell>
          <cell r="J162">
            <v>0.50455187729779205</v>
          </cell>
          <cell r="K162">
            <v>0.43607954545454547</v>
          </cell>
          <cell r="M162">
            <v>1.5717170524816499</v>
          </cell>
          <cell r="N162">
            <v>1.6307831306006146</v>
          </cell>
        </row>
        <row r="163">
          <cell r="A163" t="str">
            <v>Operating Income</v>
          </cell>
          <cell r="B163">
            <v>0.13450122488975996</v>
          </cell>
          <cell r="C163">
            <v>9.7501224889759916E-2</v>
          </cell>
          <cell r="D163">
            <v>0.13914307778713844</v>
          </cell>
          <cell r="F163">
            <v>370.00000000000045</v>
          </cell>
          <cell r="G163">
            <v>-46.418528973784788</v>
          </cell>
          <cell r="I163" t="str">
            <v>MS/C</v>
          </cell>
          <cell r="J163">
            <v>4.5518772977920507E-3</v>
          </cell>
          <cell r="K163">
            <v>8.2079545454545488E-2</v>
          </cell>
          <cell r="M163">
            <v>6.8717052481650054E-2</v>
          </cell>
          <cell r="N163">
            <v>-3.2168693993852582E-3</v>
          </cell>
        </row>
        <row r="164">
          <cell r="A164" t="str">
            <v>Interest Expense</v>
          </cell>
          <cell r="B164">
            <v>0</v>
          </cell>
          <cell r="C164">
            <v>0</v>
          </cell>
          <cell r="D164">
            <v>0</v>
          </cell>
          <cell r="F164">
            <v>0</v>
          </cell>
          <cell r="G164">
            <v>0</v>
          </cell>
          <cell r="I164" t="str">
            <v>Guidance</v>
          </cell>
          <cell r="J164" t="str">
            <v>$0.33-$0.35</v>
          </cell>
        </row>
        <row r="165">
          <cell r="A165" t="str">
            <v>Earnings b4 Taxes</v>
          </cell>
          <cell r="B165">
            <v>0.13450122488975996</v>
          </cell>
          <cell r="C165">
            <v>9.8236158745712884E-2</v>
          </cell>
          <cell r="D165">
            <v>0.13949061485667194</v>
          </cell>
          <cell r="F165">
            <v>362.6506614404708</v>
          </cell>
          <cell r="G165">
            <v>-49.893899669119776</v>
          </cell>
        </row>
        <row r="166">
          <cell r="A166" t="str">
            <v>Tax Rate</v>
          </cell>
          <cell r="B166">
            <v>0.39</v>
          </cell>
          <cell r="C166">
            <v>0.3940149625935162</v>
          </cell>
          <cell r="D166">
            <v>0.39</v>
          </cell>
          <cell r="F166">
            <v>-40.149625935161914</v>
          </cell>
          <cell r="G166">
            <v>0</v>
          </cell>
        </row>
        <row r="167">
          <cell r="A167" t="str">
            <v>Net Income</v>
          </cell>
          <cell r="B167">
            <v>0.39</v>
          </cell>
          <cell r="C167">
            <v>0.3940149625935162</v>
          </cell>
          <cell r="D167">
            <v>8.5089275062569872E-2</v>
          </cell>
          <cell r="F167">
            <v>-40.149625935161914</v>
          </cell>
          <cell r="G167">
            <v>3049.1072493743018</v>
          </cell>
        </row>
        <row r="169">
          <cell r="A169" t="str">
            <v>EPS</v>
          </cell>
          <cell r="B169">
            <v>0.50455187729779205</v>
          </cell>
          <cell r="C169">
            <v>0.34219263456090654</v>
          </cell>
          <cell r="D169">
            <v>0.43995659234339185</v>
          </cell>
          <cell r="F169">
            <v>0.16235924273688551</v>
          </cell>
          <cell r="G169">
            <v>6.4595284954400201E-2</v>
          </cell>
        </row>
        <row r="171">
          <cell r="A171" t="str">
            <v>EPS Upsides/Downsides</v>
          </cell>
        </row>
        <row r="172">
          <cell r="A172" t="str">
            <v>Sales</v>
          </cell>
          <cell r="B172">
            <v>0</v>
          </cell>
        </row>
        <row r="173">
          <cell r="A173" t="str">
            <v>Gross Margin</v>
          </cell>
          <cell r="B173">
            <v>0</v>
          </cell>
        </row>
        <row r="174">
          <cell r="A174" t="str">
            <v>SG&amp;A Expenses</v>
          </cell>
          <cell r="B174">
            <v>0</v>
          </cell>
        </row>
        <row r="175">
          <cell r="A175" t="str">
            <v>Operating Margin</v>
          </cell>
          <cell r="B175" t="e">
            <v>#REF!</v>
          </cell>
        </row>
        <row r="176">
          <cell r="A176" t="str">
            <v>Interest Expense</v>
          </cell>
          <cell r="B176">
            <v>0</v>
          </cell>
        </row>
        <row r="177">
          <cell r="A177" t="str">
            <v>Interest Income</v>
          </cell>
          <cell r="B177">
            <v>0</v>
          </cell>
        </row>
        <row r="178">
          <cell r="A178" t="str">
            <v>Tax Rate</v>
          </cell>
          <cell r="B178">
            <v>0</v>
          </cell>
        </row>
        <row r="179">
          <cell r="A179" t="str">
            <v>Shares</v>
          </cell>
          <cell r="B179">
            <v>0</v>
          </cell>
        </row>
        <row r="180">
          <cell r="A180" t="str">
            <v>Total</v>
          </cell>
          <cell r="B180">
            <v>0</v>
          </cell>
        </row>
        <row r="182">
          <cell r="A182" t="str">
            <v>ROST</v>
          </cell>
        </row>
        <row r="183">
          <cell r="A183" t="str">
            <v>As a % of Sales</v>
          </cell>
          <cell r="B183" t="str">
            <v>2Q09</v>
          </cell>
          <cell r="C183" t="str">
            <v>2Q08</v>
          </cell>
          <cell r="D183" t="str">
            <v>MS Est.</v>
          </cell>
          <cell r="F183" t="str">
            <v>y/y∆ (bp)</v>
          </cell>
          <cell r="G183" t="str">
            <v>∆ vs MS
Est. (bp)</v>
          </cell>
          <cell r="J183" t="str">
            <v>FQ1</v>
          </cell>
          <cell r="K183" t="str">
            <v>FQ2</v>
          </cell>
          <cell r="L183" t="str">
            <v>FY1</v>
          </cell>
          <cell r="M183" t="str">
            <v>FY2</v>
          </cell>
        </row>
        <row r="184">
          <cell r="A184" t="str">
            <v>Gross Income</v>
          </cell>
          <cell r="B184">
            <v>0</v>
          </cell>
          <cell r="C184">
            <v>0</v>
          </cell>
          <cell r="D184">
            <v>0</v>
          </cell>
          <cell r="F184">
            <v>0</v>
          </cell>
          <cell r="G184">
            <v>0</v>
          </cell>
          <cell r="I184" t="str">
            <v>Consensus</v>
          </cell>
          <cell r="J184">
            <v>0.82</v>
          </cell>
          <cell r="K184">
            <v>0.56000000000000005</v>
          </cell>
          <cell r="L184">
            <v>3</v>
          </cell>
          <cell r="M184">
            <v>3.27</v>
          </cell>
          <cell r="N184" t="str">
            <v>Bloomberg</v>
          </cell>
          <cell r="O184">
            <v>40045</v>
          </cell>
        </row>
        <row r="185">
          <cell r="A185" t="str">
            <v>SG&amp;A Expense</v>
          </cell>
          <cell r="B185">
            <v>0</v>
          </cell>
          <cell r="C185">
            <v>0</v>
          </cell>
          <cell r="D185">
            <v>0</v>
          </cell>
          <cell r="F185">
            <v>0</v>
          </cell>
          <cell r="G185">
            <v>0</v>
          </cell>
          <cell r="I185" t="str">
            <v>MS Est.</v>
          </cell>
          <cell r="J185">
            <v>0</v>
          </cell>
          <cell r="K185">
            <v>0.56000000000000005</v>
          </cell>
          <cell r="L185">
            <v>3.03</v>
          </cell>
          <cell r="M185">
            <v>3.43</v>
          </cell>
        </row>
        <row r="186">
          <cell r="A186" t="str">
            <v>Operating Income</v>
          </cell>
          <cell r="B186">
            <v>0</v>
          </cell>
          <cell r="C186">
            <v>0</v>
          </cell>
          <cell r="D186">
            <v>0</v>
          </cell>
          <cell r="F186">
            <v>0</v>
          </cell>
          <cell r="G186">
            <v>0</v>
          </cell>
          <cell r="I186" t="str">
            <v>MS/C</v>
          </cell>
          <cell r="J186">
            <v>-0.82</v>
          </cell>
          <cell r="K186">
            <v>0</v>
          </cell>
          <cell r="L186">
            <v>2.9999999999999805E-2</v>
          </cell>
          <cell r="M186">
            <v>0.16000000000000014</v>
          </cell>
        </row>
        <row r="187">
          <cell r="A187" t="str">
            <v>Interest Expense</v>
          </cell>
          <cell r="B187">
            <v>0</v>
          </cell>
          <cell r="C187">
            <v>0</v>
          </cell>
          <cell r="D187">
            <v>0</v>
          </cell>
          <cell r="F187">
            <v>0</v>
          </cell>
          <cell r="G187">
            <v>0</v>
          </cell>
          <cell r="I187" t="str">
            <v>Guidance</v>
          </cell>
          <cell r="J187" t="str">
            <v>0.81-0.82</v>
          </cell>
        </row>
        <row r="188">
          <cell r="A188" t="str">
            <v>Earnings b4 Taxes</v>
          </cell>
          <cell r="B188">
            <v>0</v>
          </cell>
          <cell r="C188">
            <v>0</v>
          </cell>
          <cell r="D188">
            <v>0</v>
          </cell>
          <cell r="F188">
            <v>0</v>
          </cell>
          <cell r="G188">
            <v>0</v>
          </cell>
          <cell r="I188" t="str">
            <v>N Guidance</v>
          </cell>
        </row>
        <row r="189">
          <cell r="A189" t="str">
            <v>Tax Rate</v>
          </cell>
          <cell r="B189">
            <v>0</v>
          </cell>
          <cell r="C189">
            <v>0</v>
          </cell>
          <cell r="D189">
            <v>0</v>
          </cell>
          <cell r="F189">
            <v>0</v>
          </cell>
          <cell r="G189">
            <v>0</v>
          </cell>
        </row>
        <row r="190">
          <cell r="A190" t="str">
            <v>Net Income</v>
          </cell>
          <cell r="B190">
            <v>0</v>
          </cell>
          <cell r="C190">
            <v>0</v>
          </cell>
          <cell r="D190">
            <v>0</v>
          </cell>
          <cell r="F190">
            <v>0</v>
          </cell>
          <cell r="G190">
            <v>0</v>
          </cell>
        </row>
        <row r="192">
          <cell r="A192" t="str">
            <v>EPS</v>
          </cell>
          <cell r="B192">
            <v>0</v>
          </cell>
          <cell r="C192">
            <v>0</v>
          </cell>
          <cell r="D192">
            <v>0</v>
          </cell>
          <cell r="F192">
            <v>0</v>
          </cell>
          <cell r="G192">
            <v>0</v>
          </cell>
        </row>
        <row r="194">
          <cell r="A194" t="str">
            <v>EPS Upsides/Downsides</v>
          </cell>
        </row>
        <row r="195">
          <cell r="A195" t="str">
            <v>Gross Margin</v>
          </cell>
          <cell r="B195">
            <v>-9.3079415940881156E-3</v>
          </cell>
        </row>
        <row r="196">
          <cell r="A196" t="str">
            <v>SG&amp;A</v>
          </cell>
          <cell r="B196">
            <v>-4.1553199556378624E-3</v>
          </cell>
        </row>
        <row r="197">
          <cell r="A197" t="str">
            <v>Interest Expense, Net</v>
          </cell>
          <cell r="B197">
            <v>1.4972157034199365E-3</v>
          </cell>
        </row>
        <row r="198">
          <cell r="A198" t="str">
            <v>Tax Rate</v>
          </cell>
          <cell r="B198">
            <v>6.994656953981741E-3</v>
          </cell>
        </row>
        <row r="199">
          <cell r="A199" t="str">
            <v>Shares</v>
          </cell>
          <cell r="B199">
            <v>4.7205651805766191E-3</v>
          </cell>
        </row>
        <row r="200">
          <cell r="A200" t="str">
            <v>Total</v>
          </cell>
          <cell r="B200">
            <v>-2.508237117476806E-4</v>
          </cell>
        </row>
        <row r="202">
          <cell r="A202" t="str">
            <v>TJX</v>
          </cell>
        </row>
        <row r="203">
          <cell r="A203" t="str">
            <v>As a % of Sales</v>
          </cell>
          <cell r="B203" t="str">
            <v>3Q09</v>
          </cell>
          <cell r="C203" t="str">
            <v>3Q08</v>
          </cell>
          <cell r="D203" t="str">
            <v>MS Est.</v>
          </cell>
          <cell r="F203" t="str">
            <v>y/y∆ (bp)</v>
          </cell>
          <cell r="G203" t="str">
            <v>∆ vs MS
Est. (bp)</v>
          </cell>
          <cell r="J203" t="str">
            <v>FQ1</v>
          </cell>
          <cell r="K203" t="str">
            <v>FQ2</v>
          </cell>
          <cell r="L203" t="str">
            <v>FY1</v>
          </cell>
          <cell r="M203" t="str">
            <v>FY2</v>
          </cell>
        </row>
        <row r="204">
          <cell r="A204" t="str">
            <v>Gross Income</v>
          </cell>
          <cell r="B204">
            <v>0</v>
          </cell>
          <cell r="C204">
            <v>0</v>
          </cell>
          <cell r="D204">
            <v>0</v>
          </cell>
          <cell r="F204">
            <v>0</v>
          </cell>
          <cell r="G204">
            <v>0</v>
          </cell>
          <cell r="I204" t="str">
            <v>Consensus</v>
          </cell>
          <cell r="J204">
            <v>0.78400000000000003</v>
          </cell>
          <cell r="K204">
            <v>0.70599999999999996</v>
          </cell>
          <cell r="L204">
            <v>2.5819999999999999</v>
          </cell>
          <cell r="M204">
            <v>2.8839999999999999</v>
          </cell>
          <cell r="N204" t="str">
            <v>Bloomberg</v>
          </cell>
          <cell r="O204">
            <v>40133</v>
          </cell>
        </row>
        <row r="205">
          <cell r="A205" t="str">
            <v>SG&amp;A Expense</v>
          </cell>
          <cell r="B205">
            <v>0</v>
          </cell>
          <cell r="C205">
            <v>0</v>
          </cell>
          <cell r="D205">
            <v>0</v>
          </cell>
          <cell r="F205">
            <v>0</v>
          </cell>
          <cell r="G205">
            <v>0</v>
          </cell>
          <cell r="I205" t="str">
            <v>MS Est.</v>
          </cell>
          <cell r="J205">
            <v>0</v>
          </cell>
          <cell r="K205">
            <v>0.81</v>
          </cell>
          <cell r="L205">
            <v>2.7</v>
          </cell>
          <cell r="M205">
            <v>3.13</v>
          </cell>
        </row>
        <row r="206">
          <cell r="A206" t="str">
            <v>Operating Income</v>
          </cell>
          <cell r="B206">
            <v>0</v>
          </cell>
          <cell r="C206">
            <v>0</v>
          </cell>
          <cell r="D206">
            <v>0</v>
          </cell>
          <cell r="F206">
            <v>0</v>
          </cell>
          <cell r="G206">
            <v>0</v>
          </cell>
          <cell r="I206" t="str">
            <v>MS/C</v>
          </cell>
          <cell r="J206">
            <v>-0.78400000000000003</v>
          </cell>
          <cell r="K206">
            <v>0.10400000000000009</v>
          </cell>
          <cell r="L206">
            <v>0.11800000000000033</v>
          </cell>
          <cell r="M206">
            <v>0.246</v>
          </cell>
        </row>
        <row r="207">
          <cell r="A207" t="str">
            <v>Interest Expense</v>
          </cell>
          <cell r="B207">
            <v>0</v>
          </cell>
          <cell r="C207">
            <v>0</v>
          </cell>
          <cell r="D207">
            <v>0</v>
          </cell>
          <cell r="F207">
            <v>0</v>
          </cell>
          <cell r="G207">
            <v>0</v>
          </cell>
          <cell r="I207" t="str">
            <v>Mgt</v>
          </cell>
        </row>
        <row r="208">
          <cell r="A208" t="str">
            <v>Earnings b4 Taxes</v>
          </cell>
          <cell r="B208">
            <v>0</v>
          </cell>
          <cell r="C208">
            <v>0</v>
          </cell>
          <cell r="D208">
            <v>0</v>
          </cell>
          <cell r="F208">
            <v>0</v>
          </cell>
          <cell r="G208">
            <v>0</v>
          </cell>
          <cell r="I208" t="str">
            <v>New Guide</v>
          </cell>
        </row>
        <row r="209">
          <cell r="A209" t="str">
            <v>Tax Rate</v>
          </cell>
          <cell r="B209">
            <v>0</v>
          </cell>
          <cell r="C209">
            <v>0</v>
          </cell>
          <cell r="D209">
            <v>0</v>
          </cell>
          <cell r="F209">
            <v>0</v>
          </cell>
          <cell r="G209">
            <v>0</v>
          </cell>
        </row>
        <row r="210">
          <cell r="A210" t="str">
            <v>Net Income</v>
          </cell>
          <cell r="B210">
            <v>0</v>
          </cell>
          <cell r="C210">
            <v>0</v>
          </cell>
          <cell r="D210">
            <v>0</v>
          </cell>
          <cell r="F210">
            <v>0</v>
          </cell>
          <cell r="G210">
            <v>0</v>
          </cell>
        </row>
        <row r="212">
          <cell r="A212" t="str">
            <v>EPS</v>
          </cell>
          <cell r="B212">
            <v>0</v>
          </cell>
          <cell r="C212">
            <v>0</v>
          </cell>
          <cell r="D212">
            <v>0</v>
          </cell>
          <cell r="F212">
            <v>0</v>
          </cell>
          <cell r="G212">
            <v>0</v>
          </cell>
        </row>
        <row r="214">
          <cell r="A214" t="str">
            <v>EPS Upsides/Downsides</v>
          </cell>
        </row>
        <row r="215">
          <cell r="A215" t="str">
            <v>Reported Sales Variance</v>
          </cell>
          <cell r="B215">
            <v>-9.2385306540772958E-3</v>
          </cell>
        </row>
        <row r="216">
          <cell r="A216" t="str">
            <v>Gross Margin</v>
          </cell>
          <cell r="B216">
            <v>0.12327703340832144</v>
          </cell>
        </row>
        <row r="217">
          <cell r="A217" t="str">
            <v>SG&amp;A</v>
          </cell>
          <cell r="B217">
            <v>-9.2623490996430774E-2</v>
          </cell>
        </row>
        <row r="218">
          <cell r="A218" t="str">
            <v>Interest Expense, Net</v>
          </cell>
          <cell r="B218">
            <v>-1.7995738165169045E-3</v>
          </cell>
        </row>
        <row r="219">
          <cell r="A219" t="str">
            <v>Tax Rate</v>
          </cell>
          <cell r="B219">
            <v>1.0237504860645822E-2</v>
          </cell>
        </row>
        <row r="220">
          <cell r="A220" t="str">
            <v>Shares</v>
          </cell>
          <cell r="B220">
            <v>4.3935790474023406E-3</v>
          </cell>
        </row>
        <row r="221">
          <cell r="A221" t="str">
            <v>Total</v>
          </cell>
          <cell r="B221">
            <v>3.4246521849344624E-2</v>
          </cell>
        </row>
        <row r="223">
          <cell r="A223" t="str">
            <v>URBN</v>
          </cell>
        </row>
        <row r="224">
          <cell r="A224" t="str">
            <v>As a % of Sales</v>
          </cell>
          <cell r="B224" t="str">
            <v>4Q09</v>
          </cell>
          <cell r="C224" t="str">
            <v>4Q08</v>
          </cell>
          <cell r="D224" t="str">
            <v>MS Estimate</v>
          </cell>
          <cell r="F224" t="str">
            <v>y/y∆ (bp)</v>
          </cell>
          <cell r="G224" t="str">
            <v>∆ vs 
Est. (bp)</v>
          </cell>
          <cell r="J224" t="str">
            <v>FQ1</v>
          </cell>
          <cell r="K224" t="str">
            <v>FQ2</v>
          </cell>
          <cell r="L224" t="str">
            <v>FY1</v>
          </cell>
          <cell r="M224" t="str">
            <v>FY2</v>
          </cell>
        </row>
        <row r="225">
          <cell r="A225" t="str">
            <v>Gross Income</v>
          </cell>
          <cell r="B225">
            <v>0.41744081917711845</v>
          </cell>
          <cell r="C225">
            <v>0.34028633398808855</v>
          </cell>
          <cell r="D225">
            <v>0.39338633398808853</v>
          </cell>
          <cell r="F225">
            <v>771.54485189029901</v>
          </cell>
          <cell r="G225">
            <v>240.54485189029919</v>
          </cell>
          <cell r="I225" t="str">
            <v>Consensus</v>
          </cell>
          <cell r="J225">
            <v>0.40300000000000002</v>
          </cell>
          <cell r="K225">
            <v>0.25900000000000001</v>
          </cell>
          <cell r="L225">
            <v>1.234</v>
          </cell>
          <cell r="M225">
            <v>1.5580000000000001</v>
          </cell>
          <cell r="N225" t="str">
            <v>updated 3/3/2010</v>
          </cell>
        </row>
        <row r="226">
          <cell r="A226" t="str">
            <v>SG&amp;A Expense</v>
          </cell>
          <cell r="B226">
            <v>0.21580375637433241</v>
          </cell>
          <cell r="C226">
            <v>0.21590779368522153</v>
          </cell>
          <cell r="D226">
            <v>0.21140779368522153</v>
          </cell>
          <cell r="F226">
            <v>-1.0403731088912127</v>
          </cell>
          <cell r="G226">
            <v>43.959626891108826</v>
          </cell>
          <cell r="I226" t="str">
            <v>MS Est.</v>
          </cell>
          <cell r="J226">
            <v>0.40309878685263067</v>
          </cell>
          <cell r="K226">
            <v>0.38</v>
          </cell>
          <cell r="L226">
            <v>1.21</v>
          </cell>
          <cell r="M226">
            <v>1.5</v>
          </cell>
          <cell r="N226" t="str">
            <v>updated 3/3/2010</v>
          </cell>
        </row>
        <row r="227">
          <cell r="A227" t="str">
            <v>Operating Income</v>
          </cell>
          <cell r="B227">
            <v>0.20163706280278604</v>
          </cell>
          <cell r="C227">
            <v>0.12437854030286699</v>
          </cell>
          <cell r="D227">
            <v>0.18197854030286698</v>
          </cell>
          <cell r="F227">
            <v>772.58522499919047</v>
          </cell>
          <cell r="G227">
            <v>196.58522499919061</v>
          </cell>
          <cell r="I227" t="str">
            <v>MS/C</v>
          </cell>
          <cell r="J227">
            <v>9.8786852630650124E-5</v>
          </cell>
          <cell r="K227">
            <v>-0.25900000000000001</v>
          </cell>
          <cell r="L227">
            <v>-1.234</v>
          </cell>
          <cell r="M227">
            <v>-1.5580000000000001</v>
          </cell>
        </row>
        <row r="228">
          <cell r="A228" t="str">
            <v>Other Expenses (Income)</v>
          </cell>
          <cell r="B228">
            <v>-9.7707194478099143E-4</v>
          </cell>
          <cell r="C228">
            <v>-5.8120997169725901E-3</v>
          </cell>
          <cell r="D228">
            <v>-5.8120997169725901E-3</v>
          </cell>
          <cell r="F228">
            <v>48.350277721915987</v>
          </cell>
          <cell r="G228">
            <v>48.350277721915987</v>
          </cell>
          <cell r="I228" t="str">
            <v>Guidance</v>
          </cell>
          <cell r="J228" t="str">
            <v>NA</v>
          </cell>
          <cell r="K228" t="str">
            <v>NA</v>
          </cell>
          <cell r="L228" t="str">
            <v>NA</v>
          </cell>
          <cell r="M228" t="str">
            <v>NA</v>
          </cell>
        </row>
        <row r="229">
          <cell r="A229" t="str">
            <v>Income Before Taxes</v>
          </cell>
          <cell r="B229">
            <v>0.20261413474756704</v>
          </cell>
          <cell r="C229">
            <v>0.1301906400198396</v>
          </cell>
          <cell r="D229">
            <v>0.18779064001983956</v>
          </cell>
          <cell r="F229">
            <v>724.23494727727439</v>
          </cell>
          <cell r="G229">
            <v>148.23494727727481</v>
          </cell>
        </row>
        <row r="230">
          <cell r="A230" t="str">
            <v>Tax Rate</v>
          </cell>
          <cell r="B230">
            <v>0.34856630072880074</v>
          </cell>
          <cell r="C230">
            <v>0.38704703161141057</v>
          </cell>
          <cell r="D230">
            <v>0.374</v>
          </cell>
          <cell r="F230">
            <v>-384.80730882609839</v>
          </cell>
          <cell r="G230">
            <v>-254.33699271199262</v>
          </cell>
        </row>
        <row r="231">
          <cell r="A231" t="str">
            <v>Net Income</v>
          </cell>
          <cell r="B231">
            <v>0.13198967532324082</v>
          </cell>
          <cell r="C231">
            <v>7.9800739256570954E-2</v>
          </cell>
          <cell r="D231">
            <v>0.11755694065241959</v>
          </cell>
          <cell r="F231">
            <v>521.88936066669874</v>
          </cell>
          <cell r="G231">
            <v>144.32734670821233</v>
          </cell>
        </row>
        <row r="233">
          <cell r="A233" t="str">
            <v>EPS</v>
          </cell>
          <cell r="B233">
            <v>0.45049458331518716</v>
          </cell>
          <cell r="C233">
            <v>0.2383991529512581</v>
          </cell>
          <cell r="D233">
            <v>0.40309878685263067</v>
          </cell>
          <cell r="F233">
            <v>0.21209543036392906</v>
          </cell>
          <cell r="G233">
            <v>4.7395796462556483E-2</v>
          </cell>
        </row>
        <row r="235">
          <cell r="A235" t="str">
            <v>EPS Upsides/Downsides</v>
          </cell>
        </row>
        <row r="236">
          <cell r="A236" t="str">
            <v>Sales</v>
          </cell>
          <cell r="B236" t="e">
            <v>#REF!</v>
          </cell>
        </row>
        <row r="237">
          <cell r="A237" t="str">
            <v>Gross Margin</v>
          </cell>
          <cell r="B237">
            <v>5.3483017340296916E-2</v>
          </cell>
        </row>
        <row r="238">
          <cell r="A238" t="str">
            <v>SG&amp;A</v>
          </cell>
          <cell r="B238">
            <v>-9.7740336939839308E-3</v>
          </cell>
        </row>
        <row r="239">
          <cell r="A239" t="str">
            <v>Other Expenses (Income)</v>
          </cell>
          <cell r="B239">
            <v>-1.0750256018734979E-2</v>
          </cell>
        </row>
        <row r="240">
          <cell r="A240" t="str">
            <v>Tax Rate</v>
          </cell>
          <cell r="B240">
            <v>1.7588503278478228E-2</v>
          </cell>
        </row>
        <row r="241">
          <cell r="A241" t="str">
            <v>Shares</v>
          </cell>
          <cell r="B241">
            <v>-2.0935642207525196E-3</v>
          </cell>
        </row>
        <row r="242">
          <cell r="A242" t="str">
            <v>Total</v>
          </cell>
          <cell r="B242">
            <v>4.8453666685303709E-2</v>
          </cell>
        </row>
        <row r="243">
          <cell r="A243" t="str">
            <v>AEO</v>
          </cell>
        </row>
        <row r="244">
          <cell r="A244" t="str">
            <v>AEO</v>
          </cell>
          <cell r="B244" t="str">
            <v>3Q09</v>
          </cell>
          <cell r="C244" t="str">
            <v>3Q08</v>
          </cell>
          <cell r="D244" t="str">
            <v>MS Estimate</v>
          </cell>
          <cell r="F244" t="str">
            <v>y/y∆ (bp)</v>
          </cell>
          <cell r="G244" t="str">
            <v>∆ vs 
Est. (bp)</v>
          </cell>
          <cell r="J244" t="str">
            <v>FQ1</v>
          </cell>
          <cell r="K244" t="str">
            <v>FQ2</v>
          </cell>
          <cell r="M244" t="str">
            <v>FY1</v>
          </cell>
          <cell r="N244" t="str">
            <v>FY2</v>
          </cell>
        </row>
        <row r="245">
          <cell r="A245" t="str">
            <v>As a % of Sales</v>
          </cell>
          <cell r="B245" t="str">
            <v>4Q09</v>
          </cell>
          <cell r="C245" t="str">
            <v>4Q08</v>
          </cell>
          <cell r="D245" t="str">
            <v>MS Estimate</v>
          </cell>
          <cell r="F245" t="str">
            <v>y/y∆ (bp)</v>
          </cell>
          <cell r="G245" t="str">
            <v>∆ vs 
Est. (bp)</v>
          </cell>
          <cell r="I245" t="str">
            <v>Consensus</v>
          </cell>
          <cell r="J245" t="str">
            <v>FQ1</v>
          </cell>
          <cell r="K245" t="str">
            <v>FQ2</v>
          </cell>
          <cell r="M245" t="str">
            <v>FY1</v>
          </cell>
          <cell r="N245" t="str">
            <v>FY2</v>
          </cell>
          <cell r="O245" t="str">
            <v>updated 11/23/2009</v>
          </cell>
        </row>
        <row r="246">
          <cell r="A246" t="str">
            <v>Gross Income</v>
          </cell>
          <cell r="B246">
            <v>0.38593867923135189</v>
          </cell>
          <cell r="C246">
            <v>0.34406978028044605</v>
          </cell>
          <cell r="D246">
            <v>0.38593867923135189</v>
          </cell>
          <cell r="F246">
            <v>418.68898950905844</v>
          </cell>
          <cell r="G246">
            <v>0</v>
          </cell>
          <cell r="I246" t="str">
            <v>Consensus</v>
          </cell>
          <cell r="J246">
            <v>0.20516677394692481</v>
          </cell>
          <cell r="K246">
            <v>0.34</v>
          </cell>
          <cell r="M246">
            <v>0.77</v>
          </cell>
          <cell r="N246">
            <v>0.97</v>
          </cell>
        </row>
        <row r="247">
          <cell r="A247" t="str">
            <v>SG&amp;A</v>
          </cell>
          <cell r="B247">
            <v>0.26707126698025407</v>
          </cell>
          <cell r="C247">
            <v>0.27777851385668545</v>
          </cell>
          <cell r="D247">
            <v>0.26707126698025407</v>
          </cell>
          <cell r="F247">
            <v>-107.07246876431375</v>
          </cell>
          <cell r="G247">
            <v>0</v>
          </cell>
          <cell r="I247" t="str">
            <v>MS Est.</v>
          </cell>
          <cell r="J247">
            <v>-4.8332260530751792E-3</v>
          </cell>
          <cell r="K247">
            <v>1.8000000000000016E-2</v>
          </cell>
          <cell r="M247">
            <v>2.200000000000002E-2</v>
          </cell>
          <cell r="N247">
            <v>-6.2000000000000055E-2</v>
          </cell>
        </row>
        <row r="248">
          <cell r="A248" t="str">
            <v>Operating Income</v>
          </cell>
          <cell r="B248">
            <v>0.11886741225109779</v>
          </cell>
          <cell r="C248">
            <v>6.6291266423760653E-2</v>
          </cell>
          <cell r="D248">
            <v>0.11886741225109779</v>
          </cell>
          <cell r="F248">
            <v>525.76145827337132</v>
          </cell>
          <cell r="G248">
            <v>0</v>
          </cell>
          <cell r="I248" t="str">
            <v>MS/C</v>
          </cell>
          <cell r="J248" t="str">
            <v>0.20-0.21 op.</v>
          </cell>
        </row>
        <row r="249">
          <cell r="A249" t="str">
            <v>Interest and Other Income, net</v>
          </cell>
          <cell r="B249">
            <v>-4.7111590699647102E-4</v>
          </cell>
          <cell r="C249">
            <v>3.207463840123661E-3</v>
          </cell>
          <cell r="D249">
            <v>-4.7111590699647102E-4</v>
          </cell>
          <cell r="F249">
            <v>-36.78579747120132</v>
          </cell>
          <cell r="G249">
            <v>0</v>
          </cell>
          <cell r="I249" t="str">
            <v>M Guidance</v>
          </cell>
        </row>
        <row r="250">
          <cell r="A250" t="str">
            <v>Income Before Taxes</v>
          </cell>
          <cell r="B250">
            <v>0.11839629634410131</v>
          </cell>
          <cell r="C250">
            <v>6.9498730263884312E-2</v>
          </cell>
          <cell r="D250">
            <v>0.11839629634410131</v>
          </cell>
          <cell r="F250">
            <v>488.97566080217001</v>
          </cell>
          <cell r="G250">
            <v>0</v>
          </cell>
        </row>
        <row r="251">
          <cell r="A251" t="str">
            <v>Tax Rate</v>
          </cell>
          <cell r="B251">
            <v>0.38</v>
          </cell>
          <cell r="C251">
            <v>0.3856064818492333</v>
          </cell>
          <cell r="D251">
            <v>0.38</v>
          </cell>
          <cell r="F251">
            <v>-56.064818492332911</v>
          </cell>
          <cell r="G251">
            <v>0</v>
          </cell>
        </row>
        <row r="252">
          <cell r="A252" t="str">
            <v>Net Income</v>
          </cell>
          <cell r="B252">
            <v>7.340570373334282E-2</v>
          </cell>
          <cell r="C252">
            <v>4.2699569393839044E-2</v>
          </cell>
          <cell r="D252">
            <v>7.340570373334282E-2</v>
          </cell>
          <cell r="F252">
            <v>307.06134339503774</v>
          </cell>
          <cell r="G252">
            <v>0</v>
          </cell>
        </row>
        <row r="253">
          <cell r="A253" t="str">
            <v>EPS</v>
          </cell>
          <cell r="B253">
            <v>0.20516677394692481</v>
          </cell>
          <cell r="C253">
            <v>0.30139292156616848</v>
          </cell>
          <cell r="D253">
            <v>0.20516677394692481</v>
          </cell>
          <cell r="F253">
            <v>-9.6226147619243668E-2</v>
          </cell>
          <cell r="G253">
            <v>0</v>
          </cell>
        </row>
        <row r="254">
          <cell r="A254" t="str">
            <v>EPS</v>
          </cell>
          <cell r="B254">
            <v>0.33751528617009335</v>
          </cell>
          <cell r="C254">
            <v>0.18721951927964575</v>
          </cell>
          <cell r="D254">
            <v>0.33751528617009335</v>
          </cell>
          <cell r="F254">
            <v>0.1502957668904476</v>
          </cell>
          <cell r="G254">
            <v>0</v>
          </cell>
        </row>
        <row r="255">
          <cell r="A255" t="str">
            <v>EPS Upsides/Downsides</v>
          </cell>
        </row>
        <row r="256">
          <cell r="A256" t="str">
            <v>EPS Upsides/Downsides</v>
          </cell>
          <cell r="B256">
            <v>0</v>
          </cell>
        </row>
        <row r="257">
          <cell r="A257" t="str">
            <v>Gross Margin</v>
          </cell>
          <cell r="B257">
            <v>0</v>
          </cell>
        </row>
        <row r="258">
          <cell r="A258" t="str">
            <v>SG&amp;A</v>
          </cell>
          <cell r="B258">
            <v>0</v>
          </cell>
        </row>
        <row r="259">
          <cell r="A259" t="str">
            <v>Interest and Other Income, net</v>
          </cell>
          <cell r="B259">
            <v>0</v>
          </cell>
        </row>
        <row r="260">
          <cell r="A260" t="str">
            <v>Tax Rate</v>
          </cell>
          <cell r="B260">
            <v>0</v>
          </cell>
        </row>
        <row r="261">
          <cell r="A261" t="str">
            <v>Shares</v>
          </cell>
          <cell r="B261">
            <v>0</v>
          </cell>
        </row>
        <row r="262">
          <cell r="A262" t="str">
            <v>Total</v>
          </cell>
          <cell r="B262">
            <v>0</v>
          </cell>
        </row>
        <row r="263">
          <cell r="A263" t="str">
            <v>ANF</v>
          </cell>
          <cell r="I263" t="str">
            <v>From Bloomberg</v>
          </cell>
        </row>
        <row r="264">
          <cell r="A264" t="str">
            <v>ANF</v>
          </cell>
          <cell r="B264" t="str">
            <v>3Q09</v>
          </cell>
          <cell r="C264" t="str">
            <v>3Q08</v>
          </cell>
          <cell r="D264" t="str">
            <v>MS Est.</v>
          </cell>
          <cell r="F264" t="str">
            <v>y/y∆ (bp)</v>
          </cell>
          <cell r="G264" t="str">
            <v>∆ vs MS
Est. (bp)</v>
          </cell>
          <cell r="I264" t="str">
            <v>From Bloomberg</v>
          </cell>
          <cell r="J264" t="str">
            <v>FQ1</v>
          </cell>
          <cell r="K264" t="str">
            <v>FQ2</v>
          </cell>
          <cell r="M264" t="str">
            <v>FY1</v>
          </cell>
          <cell r="N264" t="str">
            <v>FY2</v>
          </cell>
          <cell r="O264" t="str">
            <v>FY3</v>
          </cell>
        </row>
        <row r="265">
          <cell r="A265" t="str">
            <v>As a % of Sales</v>
          </cell>
          <cell r="B265" t="str">
            <v>4Q09</v>
          </cell>
          <cell r="C265" t="str">
            <v>4Q08</v>
          </cell>
          <cell r="D265" t="str">
            <v>MS Est.</v>
          </cell>
          <cell r="F265" t="str">
            <v>y/y∆ (bp)</v>
          </cell>
          <cell r="G265" t="str">
            <v>∆ vs MS
Est. (bp)</v>
          </cell>
          <cell r="I265" t="str">
            <v>Consensus</v>
          </cell>
          <cell r="J265" t="str">
            <v>FQ1</v>
          </cell>
          <cell r="K265" t="str">
            <v>FQ2</v>
          </cell>
          <cell r="M265" t="str">
            <v>FY1</v>
          </cell>
          <cell r="N265" t="str">
            <v>FY2</v>
          </cell>
          <cell r="O265" t="str">
            <v>FY3</v>
          </cell>
          <cell r="P265">
            <v>40129</v>
          </cell>
        </row>
        <row r="266">
          <cell r="A266" t="str">
            <v>Gross Income</v>
          </cell>
          <cell r="B266">
            <v>0.63520055214206117</v>
          </cell>
          <cell r="C266">
            <v>0.64625120691184512</v>
          </cell>
          <cell r="D266">
            <v>0.6389308385648651</v>
          </cell>
          <cell r="F266">
            <v>-110.50654769783952</v>
          </cell>
          <cell r="G266">
            <v>-37.302864228039297</v>
          </cell>
          <cell r="I266" t="str">
            <v>Consensus</v>
          </cell>
          <cell r="J266">
            <v>0.86899999999999999</v>
          </cell>
          <cell r="K266">
            <v>-0.30550645974206669</v>
          </cell>
          <cell r="M266">
            <v>0.89300000000000002</v>
          </cell>
          <cell r="N266">
            <v>1.6679999999999999</v>
          </cell>
          <cell r="O266">
            <v>2.238</v>
          </cell>
          <cell r="P266">
            <v>40225</v>
          </cell>
        </row>
        <row r="267">
          <cell r="A267" t="str">
            <v>SG&amp;A Expense</v>
          </cell>
          <cell r="B267">
            <v>0.50553157028219287</v>
          </cell>
          <cell r="C267">
            <v>0.49192146483158294</v>
          </cell>
          <cell r="D267">
            <v>0.50634691694515288</v>
          </cell>
          <cell r="F267">
            <v>136.10105450609922</v>
          </cell>
          <cell r="G267">
            <v>-8.1534666296001479</v>
          </cell>
          <cell r="I267" t="str">
            <v>MS Est.</v>
          </cell>
          <cell r="J267">
            <v>0.91479700159346322</v>
          </cell>
          <cell r="K267">
            <v>-1.3135064597420667</v>
          </cell>
        </row>
        <row r="268">
          <cell r="A268" t="str">
            <v>Other Operating Expense</v>
          </cell>
          <cell r="B268">
            <v>-7.7650319287258102E-3</v>
          </cell>
          <cell r="C268">
            <v>-5.5372656653843921E-3</v>
          </cell>
          <cell r="D268">
            <v>-6.4792049741721819E-3</v>
          </cell>
          <cell r="F268">
            <v>-22.277662633414181</v>
          </cell>
          <cell r="G268">
            <v>-12.858269545536283</v>
          </cell>
          <cell r="I268" t="str">
            <v>MS/C</v>
          </cell>
          <cell r="J268">
            <v>4.5797001593463227E-2</v>
          </cell>
        </row>
        <row r="269">
          <cell r="A269" t="str">
            <v>Operating Income</v>
          </cell>
          <cell r="B269">
            <v>0.13743401378859399</v>
          </cell>
          <cell r="C269">
            <v>0.15986700774564663</v>
          </cell>
          <cell r="D269">
            <v>0.1390631265938844</v>
          </cell>
          <cell r="F269">
            <v>-224.32993957052645</v>
          </cell>
          <cell r="G269">
            <v>-16.291128052904057</v>
          </cell>
          <cell r="I269" t="str">
            <v>Guidance</v>
          </cell>
        </row>
        <row r="270">
          <cell r="A270" t="str">
            <v>Interest Expense (Income)</v>
          </cell>
          <cell r="B270">
            <v>1.1677462710645722E-3</v>
          </cell>
          <cell r="C270">
            <v>-1.4467648645149055E-3</v>
          </cell>
          <cell r="D270">
            <v>4.1688385501705005E-4</v>
          </cell>
          <cell r="F270">
            <v>26.145111355794779</v>
          </cell>
          <cell r="G270">
            <v>7.5086241604752209</v>
          </cell>
          <cell r="I270" t="str">
            <v>P Guidance</v>
          </cell>
        </row>
        <row r="271">
          <cell r="A271" t="str">
            <v>Earnings Before Taxes</v>
          </cell>
          <cell r="B271">
            <v>0.13626626751752943</v>
          </cell>
          <cell r="C271">
            <v>0.16131377261016155</v>
          </cell>
          <cell r="D271">
            <v>0.13864624273886736</v>
          </cell>
          <cell r="F271">
            <v>-250.47505092632122</v>
          </cell>
          <cell r="G271">
            <v>-23.799752213379264</v>
          </cell>
          <cell r="I271" t="str">
            <v>Consensus Comp</v>
          </cell>
        </row>
        <row r="272">
          <cell r="A272" t="str">
            <v>Tax Rate</v>
          </cell>
          <cell r="B272">
            <v>0.36083845574860479</v>
          </cell>
          <cell r="C272">
            <v>0.44367265418599672</v>
          </cell>
          <cell r="D272">
            <v>0.38500000000000001</v>
          </cell>
          <cell r="F272">
            <v>-828.34198437391922</v>
          </cell>
          <cell r="G272">
            <v>-241.61544251395216</v>
          </cell>
          <cell r="I272" t="str">
            <v>Consensus Comp</v>
          </cell>
        </row>
        <row r="273">
          <cell r="A273" t="str">
            <v>Net Income</v>
          </cell>
          <cell r="B273">
            <v>5.0704547372784445E-2</v>
          </cell>
          <cell r="C273">
            <v>6.974548561442645E-2</v>
          </cell>
          <cell r="D273">
            <v>7.2438837812268814E-2</v>
          </cell>
          <cell r="F273">
            <v>-190.40938241642004</v>
          </cell>
          <cell r="G273">
            <v>-217.34290439484369</v>
          </cell>
          <cell r="I273" t="str">
            <v>MS Est.</v>
          </cell>
        </row>
        <row r="274">
          <cell r="A274" t="str">
            <v>EPS</v>
          </cell>
          <cell r="B274">
            <v>0.29675419812915488</v>
          </cell>
          <cell r="C274">
            <v>0.71954597662320108</v>
          </cell>
          <cell r="D274">
            <v>0.20607553553155786</v>
          </cell>
          <cell r="F274">
            <v>-0.4227917784940462</v>
          </cell>
          <cell r="G274">
            <v>9.0678662597597021E-2</v>
          </cell>
        </row>
        <row r="275">
          <cell r="A275" t="str">
            <v>EPS</v>
          </cell>
          <cell r="B275">
            <v>0.91479700159346322</v>
          </cell>
          <cell r="C275">
            <v>0.9973146910195102</v>
          </cell>
          <cell r="D275">
            <v>0.91348144252652552</v>
          </cell>
          <cell r="F275">
            <v>-8.2517689426046981E-2</v>
          </cell>
          <cell r="G275">
            <v>1.3155590669376993E-3</v>
          </cell>
        </row>
        <row r="276">
          <cell r="A276" t="str">
            <v>EPS Upsides/Downsides</v>
          </cell>
        </row>
        <row r="277">
          <cell r="A277" t="str">
            <v>EPS Upsides/Downsides</v>
          </cell>
          <cell r="B277">
            <v>3.9594538117740255E-3</v>
          </cell>
          <cell r="I277" t="str">
            <v>running tally</v>
          </cell>
        </row>
        <row r="278">
          <cell r="A278" t="str">
            <v>Gross Margin</v>
          </cell>
          <cell r="B278">
            <v>-9.3823838608346158E-2</v>
          </cell>
          <cell r="I278">
            <v>-9.3823838608346158E-2</v>
          </cell>
        </row>
        <row r="279">
          <cell r="A279" t="str">
            <v>Stores and Distribution</v>
          </cell>
          <cell r="B279">
            <v>7.3388432416435279E-2</v>
          </cell>
          <cell r="I279">
            <v>-2.0435406191910879E-2</v>
          </cell>
        </row>
        <row r="280">
          <cell r="A280" t="str">
            <v>Marketing, General and Administrative Expenses</v>
          </cell>
          <cell r="B280">
            <v>-1.3406211970566307E-2</v>
          </cell>
          <cell r="I280">
            <v>-3.3841618162477188E-2</v>
          </cell>
        </row>
        <row r="281">
          <cell r="A281" t="str">
            <v>Other Operating Expense (Income)</v>
          </cell>
          <cell r="B281">
            <v>7.9346580895232471E-3</v>
          </cell>
          <cell r="I281">
            <v>-2.5906960072953941E-2</v>
          </cell>
        </row>
        <row r="282">
          <cell r="A282" t="str">
            <v>Operating Margin</v>
          </cell>
          <cell r="B282">
            <v>-1.1770010098571454E-2</v>
          </cell>
        </row>
        <row r="283">
          <cell r="A283" t="str">
            <v>Interest Expense, Net</v>
          </cell>
          <cell r="B283">
            <v>-4.9958905404242308E-3</v>
          </cell>
          <cell r="I283">
            <v>-3.090285061337817E-2</v>
          </cell>
        </row>
        <row r="284">
          <cell r="A284" t="str">
            <v>Tax Rate</v>
          </cell>
          <cell r="B284">
            <v>3.4581098368381503E-2</v>
          </cell>
          <cell r="I284">
            <v>3.6782477550033332E-3</v>
          </cell>
        </row>
        <row r="285">
          <cell r="A285" t="str">
            <v>Shares</v>
          </cell>
          <cell r="B285">
            <v>-3.5496818885781822E-3</v>
          </cell>
          <cell r="I285">
            <v>1.28565866425151E-4</v>
          </cell>
        </row>
        <row r="286">
          <cell r="A286" t="str">
            <v>Total</v>
          </cell>
          <cell r="B286">
            <v>1.28565866425151E-4</v>
          </cell>
        </row>
        <row r="287">
          <cell r="A287" t="str">
            <v>ARO</v>
          </cell>
        </row>
        <row r="288">
          <cell r="A288" t="str">
            <v>ARO</v>
          </cell>
          <cell r="B288" t="str">
            <v>3Q09</v>
          </cell>
          <cell r="C288" t="str">
            <v>3Q08</v>
          </cell>
          <cell r="D288" t="str">
            <v>MS Est.</v>
          </cell>
          <cell r="F288" t="str">
            <v>y/y∆ (bp)</v>
          </cell>
          <cell r="G288" t="str">
            <v>∆ vs MS
Est. (bp)</v>
          </cell>
          <cell r="J288" t="str">
            <v>FQ1</v>
          </cell>
          <cell r="K288" t="str">
            <v>FQ2</v>
          </cell>
          <cell r="L288" t="str">
            <v>FQ3</v>
          </cell>
          <cell r="M288" t="str">
            <v>FY1</v>
          </cell>
          <cell r="N288" t="str">
            <v>FY2</v>
          </cell>
        </row>
        <row r="289">
          <cell r="A289" t="str">
            <v>As a % of Sales</v>
          </cell>
          <cell r="B289" t="str">
            <v>3Q09</v>
          </cell>
          <cell r="C289" t="str">
            <v>3Q08</v>
          </cell>
          <cell r="D289" t="str">
            <v>MS Est.</v>
          </cell>
          <cell r="F289" t="str">
            <v>y/y∆ (bp)</v>
          </cell>
          <cell r="G289" t="str">
            <v>∆ vs MS
Est. (bp)</v>
          </cell>
          <cell r="I289" t="str">
            <v>Consensus</v>
          </cell>
          <cell r="J289" t="str">
            <v>FQ1</v>
          </cell>
          <cell r="K289" t="str">
            <v>FQ2</v>
          </cell>
          <cell r="L289" t="str">
            <v>FQ3</v>
          </cell>
          <cell r="M289" t="str">
            <v>FY1</v>
          </cell>
          <cell r="N289" t="str">
            <v>FY2</v>
          </cell>
        </row>
        <row r="290">
          <cell r="A290" t="str">
            <v>Gross Income</v>
          </cell>
          <cell r="B290">
            <v>0.39257147284965077</v>
          </cell>
          <cell r="C290">
            <v>0.35982922472756235</v>
          </cell>
          <cell r="D290">
            <v>0.39528365206998789</v>
          </cell>
          <cell r="F290">
            <v>327.42248122088426</v>
          </cell>
          <cell r="G290">
            <v>-27.121792203371186</v>
          </cell>
          <cell r="I290" t="str">
            <v>Consensus</v>
          </cell>
          <cell r="J290">
            <v>0.30712970000000001</v>
          </cell>
          <cell r="K290">
            <v>0.59615390000000001</v>
          </cell>
          <cell r="M290">
            <v>2.1453759999999997</v>
          </cell>
          <cell r="N290">
            <v>2.394126</v>
          </cell>
          <cell r="O290" t="str">
            <v>linked to working2</v>
          </cell>
        </row>
        <row r="291">
          <cell r="A291" t="str">
            <v>SG&amp;A Expense</v>
          </cell>
          <cell r="B291">
            <v>0.20646029325265305</v>
          </cell>
          <cell r="C291">
            <v>0.21385080398392656</v>
          </cell>
          <cell r="D291">
            <v>0.2117429985550526</v>
          </cell>
          <cell r="F291">
            <v>-73.905107312735026</v>
          </cell>
          <cell r="G291">
            <v>-52.827053023995482</v>
          </cell>
          <cell r="I291" t="str">
            <v>MS Est.</v>
          </cell>
          <cell r="J291">
            <v>0.92113662102337024</v>
          </cell>
          <cell r="K291">
            <v>1.3135602997739202</v>
          </cell>
          <cell r="M291">
            <v>3.2066781689519406</v>
          </cell>
          <cell r="N291">
            <v>3.5479305986742777</v>
          </cell>
          <cell r="O291" t="str">
            <v>linked to working2</v>
          </cell>
        </row>
        <row r="292">
          <cell r="A292" t="str">
            <v>Operating Income</v>
          </cell>
          <cell r="B292">
            <v>0.18611117959699769</v>
          </cell>
          <cell r="C292">
            <v>0.14597842074363579</v>
          </cell>
          <cell r="D292">
            <v>0.18354065351493529</v>
          </cell>
          <cell r="F292">
            <v>401.32758853361901</v>
          </cell>
          <cell r="G292">
            <v>25.705260820624019</v>
          </cell>
          <cell r="I292" t="str">
            <v>MS/C</v>
          </cell>
          <cell r="J292">
            <v>0.61400692102337029</v>
          </cell>
          <cell r="K292">
            <v>0.71740639977392018</v>
          </cell>
          <cell r="M292">
            <v>1.0613021689519408</v>
          </cell>
          <cell r="N292">
            <v>1.1538045986742778</v>
          </cell>
        </row>
        <row r="293">
          <cell r="A293" t="str">
            <v>Interest Expense (Income), Net</v>
          </cell>
          <cell r="B293">
            <v>-4.7548772713344299E-5</v>
          </cell>
          <cell r="C293">
            <v>-4.3565120519794122E-4</v>
          </cell>
          <cell r="D293">
            <v>-2.9837499988074993E-4</v>
          </cell>
          <cell r="F293">
            <v>3.8810243248459693</v>
          </cell>
          <cell r="G293">
            <v>2.5082622716740564</v>
          </cell>
          <cell r="I293" t="str">
            <v>M Guidance</v>
          </cell>
          <cell r="J293" t="str">
            <v>$0.61-$0.62</v>
          </cell>
        </row>
        <row r="294">
          <cell r="A294" t="str">
            <v>Income Before Taxes</v>
          </cell>
          <cell r="B294">
            <v>0.18615872836971104</v>
          </cell>
          <cell r="C294">
            <v>0.14641407194883371</v>
          </cell>
          <cell r="D294">
            <v>0.18383902851481601</v>
          </cell>
          <cell r="F294">
            <v>397.44656420877322</v>
          </cell>
          <cell r="G294">
            <v>23.196998548950244</v>
          </cell>
        </row>
        <row r="295">
          <cell r="A295" t="str">
            <v>Tax Provision (Benefit)</v>
          </cell>
          <cell r="B295">
            <v>0.40752828546562242</v>
          </cell>
          <cell r="C295">
            <v>0.39575215721835749</v>
          </cell>
          <cell r="D295">
            <v>0.39900000000000002</v>
          </cell>
          <cell r="F295">
            <v>117.76128247264927</v>
          </cell>
          <cell r="G295">
            <v>85.282854656223989</v>
          </cell>
        </row>
        <row r="296">
          <cell r="A296" t="str">
            <v>Net Income (Pre-Extraordinary)</v>
          </cell>
          <cell r="B296">
            <v>0.11029378097274217</v>
          </cell>
          <cell r="C296">
            <v>8.8470387127958974E-2</v>
          </cell>
          <cell r="D296">
            <v>0.11048725613740441</v>
          </cell>
          <cell r="F296">
            <v>218.23393844783197</v>
          </cell>
          <cell r="G296">
            <v>-1.9347516466224068</v>
          </cell>
        </row>
        <row r="297">
          <cell r="A297" t="str">
            <v>Diluted EPS (Pre-Extraordinary)</v>
          </cell>
          <cell r="B297">
            <v>0.92113662102337024</v>
          </cell>
          <cell r="C297">
            <v>0.6304289980190988</v>
          </cell>
          <cell r="D297">
            <v>0.92709190651576245</v>
          </cell>
          <cell r="F297">
            <v>0.29070762300427144</v>
          </cell>
          <cell r="G297">
            <v>-5.9552854923922149E-3</v>
          </cell>
        </row>
        <row r="298">
          <cell r="A298" t="str">
            <v>EPS Upsides/Downsides</v>
          </cell>
        </row>
        <row r="299">
          <cell r="A299" t="str">
            <v>EPS Upsides/Downsides</v>
          </cell>
          <cell r="B299">
            <v>-1.3419303182105114E-2</v>
          </cell>
        </row>
        <row r="300">
          <cell r="A300" t="str">
            <v>SG&amp;A</v>
          </cell>
          <cell r="B300">
            <v>-1.3419303182105114E-2</v>
          </cell>
        </row>
        <row r="301">
          <cell r="A301" t="str">
            <v>Operating Income</v>
          </cell>
          <cell r="B301">
            <v>2.613773586311971E-2</v>
          </cell>
        </row>
        <row r="302">
          <cell r="A302" t="str">
            <v>Tax Rate</v>
          </cell>
          <cell r="B302">
            <v>-1.2410206745309426E-3</v>
          </cell>
        </row>
        <row r="303">
          <cell r="A303" t="str">
            <v>Shares</v>
          </cell>
          <cell r="B303">
            <v>-1.3259225485726153E-2</v>
          </cell>
        </row>
        <row r="304">
          <cell r="A304" t="str">
            <v>EPS</v>
          </cell>
          <cell r="B304">
            <v>-4.3937840004031337E-3</v>
          </cell>
        </row>
        <row r="305">
          <cell r="A305" t="str">
            <v>Total</v>
          </cell>
          <cell r="B305">
            <v>-6.1755974796456337E-3</v>
          </cell>
        </row>
        <row r="306">
          <cell r="A306" t="str">
            <v>TGT</v>
          </cell>
        </row>
        <row r="307">
          <cell r="A307" t="str">
            <v>TGT</v>
          </cell>
          <cell r="B307" t="str">
            <v>4Q07</v>
          </cell>
          <cell r="C307" t="str">
            <v>4Q06</v>
          </cell>
          <cell r="D307" t="str">
            <v>MS Est.</v>
          </cell>
          <cell r="F307" t="str">
            <v>y/y∆ (bp)</v>
          </cell>
          <cell r="G307" t="str">
            <v>∆ vs MS
Est. (bp)</v>
          </cell>
        </row>
        <row r="308">
          <cell r="A308" t="str">
            <v>As a % of Sales</v>
          </cell>
          <cell r="B308" t="str">
            <v>4Q07</v>
          </cell>
          <cell r="C308" t="str">
            <v>4Q06</v>
          </cell>
          <cell r="D308" t="str">
            <v>MS Est.</v>
          </cell>
          <cell r="F308" t="str">
            <v>y/y∆ (bp)</v>
          </cell>
          <cell r="G308" t="str">
            <v>∆ vs MS
Est. (bp)</v>
          </cell>
        </row>
        <row r="309">
          <cell r="A309" t="str">
            <v>Gross Income</v>
          </cell>
          <cell r="B309">
            <v>0.30149999999999999</v>
          </cell>
          <cell r="C309">
            <v>0.30722922829415122</v>
          </cell>
          <cell r="D309">
            <v>0.30149999999999999</v>
          </cell>
          <cell r="F309">
            <v>-57.29228294151234</v>
          </cell>
          <cell r="G309">
            <v>0</v>
          </cell>
        </row>
        <row r="310">
          <cell r="A310" t="str">
            <v>SG&amp;A Expense</v>
          </cell>
          <cell r="B310">
            <v>0.20180000000000001</v>
          </cell>
          <cell r="C310">
            <v>0.19731174425242617</v>
          </cell>
          <cell r="D310">
            <v>0.20180000000000001</v>
          </cell>
          <cell r="F310">
            <v>44.882557475738324</v>
          </cell>
          <cell r="G310">
            <v>0</v>
          </cell>
        </row>
        <row r="311">
          <cell r="A311" t="str">
            <v>Operating Income</v>
          </cell>
          <cell r="B311">
            <v>7.8299999999999981E-2</v>
          </cell>
          <cell r="C311">
            <v>8.9054958742020865E-2</v>
          </cell>
          <cell r="D311">
            <v>7.8299999999999981E-2</v>
          </cell>
          <cell r="F311">
            <v>-107.54958742020884</v>
          </cell>
          <cell r="G311">
            <v>0</v>
          </cell>
        </row>
        <row r="312">
          <cell r="A312" t="str">
            <v>Interest Expense (Income)</v>
          </cell>
          <cell r="B312">
            <v>8.9523397104446754E-3</v>
          </cell>
          <cell r="C312">
            <v>7.8883180237687475E-3</v>
          </cell>
          <cell r="D312">
            <v>8.9523397104446754E-3</v>
          </cell>
          <cell r="F312">
            <v>10.64021686675928</v>
          </cell>
          <cell r="G312">
            <v>0</v>
          </cell>
        </row>
        <row r="313">
          <cell r="A313" t="str">
            <v>Earnings Before Taxes</v>
          </cell>
          <cell r="B313">
            <v>8.2896011892450883E-2</v>
          </cell>
          <cell r="C313">
            <v>9.367377653225388E-2</v>
          </cell>
          <cell r="D313">
            <v>6.0257749178857754E-2</v>
          </cell>
          <cell r="F313">
            <v>-18.254847645429173</v>
          </cell>
          <cell r="G313">
            <v>-20.000000000000018</v>
          </cell>
        </row>
        <row r="314">
          <cell r="A314" t="str">
            <v>Tax Rate</v>
          </cell>
          <cell r="B314">
            <v>0.38100000000000001</v>
          </cell>
          <cell r="C314">
            <v>0.38282548476454292</v>
          </cell>
          <cell r="D314">
            <v>0.38300000000000001</v>
          </cell>
          <cell r="F314">
            <v>-18.254847645429173</v>
          </cell>
          <cell r="G314">
            <v>-20.000000000000018</v>
          </cell>
        </row>
        <row r="315">
          <cell r="A315" t="str">
            <v>Net Income</v>
          </cell>
          <cell r="B315">
            <v>5.1312631361427101E-2</v>
          </cell>
          <cell r="C315">
            <v>5.781306762156832E-2</v>
          </cell>
          <cell r="D315">
            <v>3.7179031243355233E-2</v>
          </cell>
          <cell r="F315">
            <v>-65.004362601412197</v>
          </cell>
          <cell r="G315">
            <v>141.33600118071868</v>
          </cell>
        </row>
        <row r="316">
          <cell r="A316" t="str">
            <v>EPS</v>
          </cell>
          <cell r="B316">
            <v>1.1961704077679793</v>
          </cell>
          <cell r="C316">
            <v>1.287266004159926</v>
          </cell>
          <cell r="D316">
            <v>1.1961704077679793</v>
          </cell>
          <cell r="F316">
            <v>-9.1095596391946643E-2</v>
          </cell>
          <cell r="G316">
            <v>0</v>
          </cell>
        </row>
        <row r="317">
          <cell r="A317" t="str">
            <v>EPS</v>
          </cell>
          <cell r="B317">
            <v>1.1961704077679793</v>
          </cell>
          <cell r="C317">
            <v>1.287266004159926</v>
          </cell>
          <cell r="D317">
            <v>1.1961704077679793</v>
          </cell>
          <cell r="F317">
            <v>-9.1095596391946643E-2</v>
          </cell>
          <cell r="G317">
            <v>0</v>
          </cell>
        </row>
        <row r="318">
          <cell r="A318" t="str">
            <v>EPS Upsides/Downsides</v>
          </cell>
        </row>
        <row r="319">
          <cell r="A319" t="str">
            <v>EPS Upsides/Downsides</v>
          </cell>
          <cell r="B319">
            <v>2.2495220971553489E-4</v>
          </cell>
        </row>
        <row r="320">
          <cell r="A320" t="str">
            <v>Gross Income</v>
          </cell>
          <cell r="B320">
            <v>2.2495220971553489E-4</v>
          </cell>
        </row>
        <row r="321">
          <cell r="A321" t="str">
            <v>SG&amp;A Expense</v>
          </cell>
          <cell r="B321">
            <v>1.5056502792900478E-4</v>
          </cell>
        </row>
        <row r="322">
          <cell r="A322" t="str">
            <v>Operating Income</v>
          </cell>
          <cell r="B322">
            <v>5.8420424612691138E-5</v>
          </cell>
        </row>
        <row r="323">
          <cell r="A323" t="str">
            <v>Interest Expense (Income)</v>
          </cell>
          <cell r="B323">
            <v>6.6794315090834546E-6</v>
          </cell>
        </row>
        <row r="324">
          <cell r="A324" t="str">
            <v>Earnings Before Taxes</v>
          </cell>
        </row>
        <row r="325">
          <cell r="A325" t="str">
            <v>Tax Rate</v>
          </cell>
          <cell r="B325">
            <v>6.6794315090834546E-6</v>
          </cell>
        </row>
        <row r="326">
          <cell r="A326" t="str">
            <v>Total</v>
          </cell>
          <cell r="B326">
            <v>6.6794315090834546E-6</v>
          </cell>
        </row>
        <row r="327">
          <cell r="A327" t="str">
            <v>shares</v>
          </cell>
          <cell r="B327">
            <v>829.63621578113214</v>
          </cell>
        </row>
        <row r="328">
          <cell r="A328" t="str">
            <v>shares</v>
          </cell>
          <cell r="B328">
            <v>829.63621578113214</v>
          </cell>
        </row>
      </sheetData>
      <sheetData sheetId="2"/>
      <sheetData sheetId="3"/>
      <sheetData sheetId="4"/>
      <sheetData sheetId="5">
        <row r="1">
          <cell r="A1" t="str">
            <v>COH</v>
          </cell>
        </row>
        <row r="2">
          <cell r="B2" t="str">
            <v>3Q10</v>
          </cell>
          <cell r="C2" t="str">
            <v>MS Estimate</v>
          </cell>
          <cell r="D2" t="str">
            <v>FC Consensus</v>
          </cell>
          <cell r="E2" t="str">
            <v>Management Guidance</v>
          </cell>
          <cell r="F2" t="str">
            <v>3Q09</v>
          </cell>
          <cell r="H2" t="str">
            <v>y/y∆ (bp)</v>
          </cell>
          <cell r="I2" t="str">
            <v>∆ vs 
Est. (bp)</v>
          </cell>
        </row>
        <row r="3">
          <cell r="A3" t="str">
            <v>Sales</v>
          </cell>
          <cell r="B3">
            <v>0</v>
          </cell>
          <cell r="C3">
            <v>0</v>
          </cell>
          <cell r="D3">
            <v>659.173</v>
          </cell>
          <cell r="E3">
            <v>655</v>
          </cell>
          <cell r="F3">
            <v>0</v>
          </cell>
          <cell r="H3">
            <v>0</v>
          </cell>
          <cell r="I3">
            <v>0</v>
          </cell>
        </row>
        <row r="4">
          <cell r="A4" t="str">
            <v>EPS</v>
          </cell>
          <cell r="B4">
            <v>1.9105951722867136</v>
          </cell>
          <cell r="C4">
            <v>0.43855628046027123</v>
          </cell>
          <cell r="D4">
            <v>0.36</v>
          </cell>
          <cell r="F4">
            <v>0</v>
          </cell>
          <cell r="H4" t="e">
            <v>#DIV/0!</v>
          </cell>
          <cell r="I4">
            <v>1.4720388918264424</v>
          </cell>
        </row>
        <row r="5">
          <cell r="A5" t="str">
            <v>Operating Margin</v>
          </cell>
          <cell r="B5">
            <v>0</v>
          </cell>
          <cell r="C5">
            <v>0</v>
          </cell>
          <cell r="F5">
            <v>0</v>
          </cell>
          <cell r="H5">
            <v>0</v>
          </cell>
          <cell r="I5">
            <v>0</v>
          </cell>
        </row>
        <row r="6">
          <cell r="A6" t="str">
            <v>SG&amp;A Ratio</v>
          </cell>
          <cell r="B6">
            <v>0</v>
          </cell>
          <cell r="C6">
            <v>0</v>
          </cell>
          <cell r="F6">
            <v>0</v>
          </cell>
          <cell r="H6">
            <v>0</v>
          </cell>
          <cell r="I6">
            <v>0</v>
          </cell>
        </row>
        <row r="7">
          <cell r="A7" t="str">
            <v>Gross Margin</v>
          </cell>
          <cell r="B7">
            <v>-1.2409999999999997</v>
          </cell>
          <cell r="C7">
            <v>0</v>
          </cell>
          <cell r="F7">
            <v>0</v>
          </cell>
          <cell r="H7">
            <v>-12409.999999999996</v>
          </cell>
          <cell r="I7">
            <v>-12409.999999999996</v>
          </cell>
        </row>
        <row r="17">
          <cell r="B17" t="str">
            <v>Floating rate note, no commission after</v>
          </cell>
          <cell r="D17" t="str">
            <v>50K</v>
          </cell>
        </row>
        <row r="18">
          <cell r="B18" t="str">
            <v>Floating Rate Taxable MARS</v>
          </cell>
          <cell r="D18" t="str">
            <v>250K</v>
          </cell>
        </row>
      </sheetData>
      <sheetData sheetId="6">
        <row r="1">
          <cell r="A1" t="str">
            <v>TJX</v>
          </cell>
        </row>
        <row r="2">
          <cell r="A2" t="str">
            <v>FY08</v>
          </cell>
          <cell r="B2" t="str">
            <v>MS Estimate</v>
          </cell>
          <cell r="C2" t="str">
            <v>FC Consensus</v>
          </cell>
          <cell r="D2" t="str">
            <v>Management Guidance</v>
          </cell>
        </row>
        <row r="3">
          <cell r="A3" t="str">
            <v>Sales</v>
          </cell>
          <cell r="B3">
            <v>18626.920587592856</v>
          </cell>
          <cell r="C3">
            <v>18779.7</v>
          </cell>
          <cell r="D3">
            <v>18800</v>
          </cell>
        </row>
        <row r="4">
          <cell r="A4" t="str">
            <v>EPS</v>
          </cell>
          <cell r="B4">
            <v>1.859054126788775</v>
          </cell>
          <cell r="C4">
            <v>1.86</v>
          </cell>
          <cell r="D4">
            <v>1.84</v>
          </cell>
        </row>
        <row r="25">
          <cell r="A25" t="str">
            <v>Segment Profit Margin</v>
          </cell>
        </row>
        <row r="26">
          <cell r="B26" t="str">
            <v>1Q10</v>
          </cell>
          <cell r="C26" t="str">
            <v>1Q09</v>
          </cell>
          <cell r="D26" t="str">
            <v xml:space="preserve">y/y ∆ bps </v>
          </cell>
        </row>
        <row r="27">
          <cell r="A27" t="str">
            <v>Marmaxx</v>
          </cell>
          <cell r="B27">
            <v>0.14292234211059399</v>
          </cell>
          <cell r="C27">
            <v>0.11253751732714293</v>
          </cell>
          <cell r="D27">
            <v>303.84824783451057</v>
          </cell>
        </row>
        <row r="28">
          <cell r="A28" t="str">
            <v>Winners/HomeSense</v>
          </cell>
          <cell r="B28">
            <v>9.7944497097286837E-2</v>
          </cell>
          <cell r="C28">
            <v>4.6515850334361418E-2</v>
          </cell>
          <cell r="D28">
            <v>514.28646762925416</v>
          </cell>
        </row>
        <row r="29">
          <cell r="A29" t="str">
            <v>TK Maxx</v>
          </cell>
          <cell r="B29">
            <v>1.1338405403307196E-2</v>
          </cell>
          <cell r="C29">
            <v>2.2098094327688129E-2</v>
          </cell>
          <cell r="D29">
            <v>-107.59688924380933</v>
          </cell>
        </row>
        <row r="30">
          <cell r="A30" t="str">
            <v>HomeGoods</v>
          </cell>
          <cell r="B30">
            <v>8.8813479222594902E-2</v>
          </cell>
          <cell r="C30">
            <v>3.9737684839051282E-2</v>
          </cell>
          <cell r="D30">
            <v>490.75794383543621</v>
          </cell>
        </row>
        <row r="31">
          <cell r="A31" t="str">
            <v>AJ Wright</v>
          </cell>
          <cell r="B31">
            <v>4.6295989667847801E-2</v>
          </cell>
          <cell r="C31">
            <v>2.4599484932606441E-2</v>
          </cell>
          <cell r="D31">
            <v>216.96504735241359</v>
          </cell>
        </row>
        <row r="33">
          <cell r="A33" t="str">
            <v>Total (Pre-Corp. Expenses)</v>
          </cell>
          <cell r="B33">
            <v>0.11543015704050999</v>
          </cell>
          <cell r="C33">
            <v>8.7197167623898078E-2</v>
          </cell>
          <cell r="D33">
            <v>282.32989416611912</v>
          </cell>
        </row>
        <row r="46">
          <cell r="A46" t="str">
            <v>KSS Guidance</v>
          </cell>
        </row>
        <row r="47">
          <cell r="A47" t="str">
            <v>3Q09</v>
          </cell>
          <cell r="B47" t="str">
            <v>KSS</v>
          </cell>
          <cell r="C47" t="str">
            <v>MS Estimate</v>
          </cell>
        </row>
        <row r="48">
          <cell r="A48" t="str">
            <v>EPS</v>
          </cell>
          <cell r="B48" t="str">
            <v>$0.40-$0.44</v>
          </cell>
          <cell r="C48">
            <v>0.49</v>
          </cell>
        </row>
        <row r="49">
          <cell r="A49" t="str">
            <v>SSS</v>
          </cell>
          <cell r="B49" t="str">
            <v>(5)%-(3)%</v>
          </cell>
          <cell r="C49">
            <v>-1.2999999999999999E-2</v>
          </cell>
        </row>
        <row r="50">
          <cell r="A50" t="str">
            <v>Gross Margin</v>
          </cell>
          <cell r="B50" t="str">
            <v>+10-20 bps</v>
          </cell>
          <cell r="C50" t="str">
            <v>+30 bps</v>
          </cell>
        </row>
        <row r="51">
          <cell r="A51" t="str">
            <v>SG&amp;A</v>
          </cell>
          <cell r="B51" t="str">
            <v>+3-4%</v>
          </cell>
          <cell r="C51" t="str">
            <v>+2.8%</v>
          </cell>
        </row>
        <row r="53">
          <cell r="A53" t="str">
            <v>4Q09</v>
          </cell>
          <cell r="B53" t="str">
            <v>KSS</v>
          </cell>
          <cell r="C53" t="str">
            <v>MS Estimate</v>
          </cell>
        </row>
        <row r="54">
          <cell r="A54" t="str">
            <v>EPS</v>
          </cell>
          <cell r="B54" t="str">
            <v>$0.99-$1.06</v>
          </cell>
          <cell r="C54">
            <v>1.19</v>
          </cell>
        </row>
        <row r="55">
          <cell r="A55" t="str">
            <v>SSS</v>
          </cell>
          <cell r="B55" t="str">
            <v>(5)%-(3)%</v>
          </cell>
          <cell r="C55">
            <v>1.4999999999999999E-2</v>
          </cell>
        </row>
        <row r="56">
          <cell r="A56" t="str">
            <v>Gross Margin</v>
          </cell>
          <cell r="B56" t="str">
            <v>+20-30 bps</v>
          </cell>
          <cell r="C56" t="str">
            <v>+30 bps</v>
          </cell>
        </row>
        <row r="57">
          <cell r="A57" t="str">
            <v>SG&amp;A</v>
          </cell>
          <cell r="B57" t="str">
            <v>+3-4%</v>
          </cell>
          <cell r="C57" t="str">
            <v>+2.4%</v>
          </cell>
        </row>
        <row r="72">
          <cell r="B72" t="str">
            <v>1Q07</v>
          </cell>
          <cell r="C72" t="str">
            <v>2Q07</v>
          </cell>
          <cell r="D72" t="str">
            <v>3Q07</v>
          </cell>
          <cell r="E72" t="str">
            <v>4Q07</v>
          </cell>
        </row>
        <row r="73">
          <cell r="A73" t="str">
            <v>Comp Growth</v>
          </cell>
          <cell r="B73">
            <v>0.02</v>
          </cell>
          <cell r="C73">
            <v>0</v>
          </cell>
          <cell r="D73">
            <v>0.01</v>
          </cell>
          <cell r="E73">
            <v>0.04</v>
          </cell>
        </row>
        <row r="74">
          <cell r="A74" t="str">
            <v>Y/Y Operating Margin Expansion</v>
          </cell>
          <cell r="B74">
            <v>-4.8252690757108478</v>
          </cell>
          <cell r="C74">
            <v>0</v>
          </cell>
          <cell r="D74">
            <v>6.3212983778726528</v>
          </cell>
          <cell r="E74">
            <v>-35.848527742219083</v>
          </cell>
        </row>
      </sheetData>
      <sheetData sheetId="7"/>
      <sheetData sheetId="8"/>
      <sheetData sheetId="9">
        <row r="1">
          <cell r="A1" t="str">
            <v>FD</v>
          </cell>
        </row>
        <row r="2">
          <cell r="A2" t="str">
            <v>FY07</v>
          </cell>
          <cell r="B2" t="str">
            <v>MS Estimate</v>
          </cell>
          <cell r="C2" t="str">
            <v>FC Consensus</v>
          </cell>
          <cell r="D2" t="str">
            <v>Management Guidance</v>
          </cell>
        </row>
        <row r="3">
          <cell r="A3" t="str">
            <v>Sales</v>
          </cell>
          <cell r="B3">
            <v>18626.920587592856</v>
          </cell>
          <cell r="C3">
            <v>18779.7</v>
          </cell>
          <cell r="D3">
            <v>18800</v>
          </cell>
        </row>
        <row r="4">
          <cell r="A4" t="str">
            <v>EPS</v>
          </cell>
          <cell r="B4">
            <v>2.5210916050242727</v>
          </cell>
          <cell r="C4">
            <v>2.84</v>
          </cell>
          <cell r="D4">
            <v>1.84</v>
          </cell>
        </row>
        <row r="26">
          <cell r="A26" t="str">
            <v>FD</v>
          </cell>
        </row>
        <row r="27">
          <cell r="B27" t="str">
            <v>+ or- from 0</v>
          </cell>
          <cell r="C27" t="str">
            <v>N +1</v>
          </cell>
        </row>
        <row r="28">
          <cell r="A28" t="str">
            <v>Management Guidance</v>
          </cell>
          <cell r="B28">
            <v>2.4500000000000002</v>
          </cell>
          <cell r="C28">
            <v>0.15</v>
          </cell>
        </row>
        <row r="30">
          <cell r="B30" t="str">
            <v>Actual</v>
          </cell>
          <cell r="C30" t="str">
            <v>Axis</v>
          </cell>
        </row>
        <row r="31">
          <cell r="A31" t="str">
            <v>Morgan Stanley Estimate</v>
          </cell>
          <cell r="B31">
            <v>2.9</v>
          </cell>
          <cell r="C31">
            <v>50</v>
          </cell>
        </row>
        <row r="32">
          <cell r="A32" t="str">
            <v>Consensus</v>
          </cell>
          <cell r="B32">
            <v>2.84</v>
          </cell>
          <cell r="C32">
            <v>50</v>
          </cell>
        </row>
        <row r="50">
          <cell r="B50" t="str">
            <v>1Q06</v>
          </cell>
          <cell r="C50" t="str">
            <v>2Q06</v>
          </cell>
          <cell r="D50" t="str">
            <v>3Q06</v>
          </cell>
          <cell r="E50" t="str">
            <v>4Q06</v>
          </cell>
        </row>
        <row r="51">
          <cell r="A51" t="str">
            <v>FD Legacy Comp Growth</v>
          </cell>
          <cell r="B51">
            <v>0</v>
          </cell>
          <cell r="C51">
            <v>4.5999999999999999E-2</v>
          </cell>
          <cell r="D51">
            <v>5.8999999999999997E-2</v>
          </cell>
          <cell r="E51">
            <v>6.0999999999999999E-2</v>
          </cell>
        </row>
        <row r="52">
          <cell r="A52" t="str">
            <v>Operating Margin Expansion</v>
          </cell>
          <cell r="B52">
            <v>0</v>
          </cell>
          <cell r="C52">
            <v>0</v>
          </cell>
          <cell r="D52">
            <v>0</v>
          </cell>
          <cell r="E52">
            <v>0</v>
          </cell>
        </row>
      </sheetData>
      <sheetData sheetId="10">
        <row r="1">
          <cell r="A1" t="str">
            <v>LTD</v>
          </cell>
        </row>
        <row r="2">
          <cell r="A2" t="str">
            <v>FY08</v>
          </cell>
          <cell r="B2" t="str">
            <v>MS Estimate</v>
          </cell>
          <cell r="C2" t="str">
            <v>FC Consensus</v>
          </cell>
          <cell r="D2" t="str">
            <v>Management Guidance</v>
          </cell>
        </row>
        <row r="3">
          <cell r="A3" t="str">
            <v>Sales</v>
          </cell>
          <cell r="B3">
            <v>9042.7010000000009</v>
          </cell>
          <cell r="C3">
            <v>9635.4</v>
          </cell>
          <cell r="D3">
            <v>0</v>
          </cell>
        </row>
        <row r="4">
          <cell r="A4" t="str">
            <v>EPS</v>
          </cell>
          <cell r="B4">
            <v>0</v>
          </cell>
          <cell r="C4">
            <v>0</v>
          </cell>
          <cell r="D4">
            <v>0</v>
          </cell>
        </row>
        <row r="25">
          <cell r="A25" t="str">
            <v>Segment Profit Margin</v>
          </cell>
        </row>
        <row r="26">
          <cell r="F26" t="str">
            <v>bps ∆</v>
          </cell>
        </row>
        <row r="27">
          <cell r="B27" t="str">
            <v>1Q10</v>
          </cell>
          <cell r="C27" t="str">
            <v>1Q09</v>
          </cell>
          <cell r="D27" t="str">
            <v>MS Est.</v>
          </cell>
          <cell r="F27" t="str">
            <v>1Q09</v>
          </cell>
          <cell r="G27" t="str">
            <v>MS Est.</v>
          </cell>
        </row>
        <row r="28">
          <cell r="A28" t="str">
            <v>Victoria's Secret</v>
          </cell>
          <cell r="B28">
            <v>0.13238659563759983</v>
          </cell>
          <cell r="C28">
            <v>7.7521804896170138E-2</v>
          </cell>
          <cell r="D28">
            <v>0.14252180489617014</v>
          </cell>
          <cell r="F28">
            <v>548.64790741429692</v>
          </cell>
          <cell r="G28">
            <v>-101.3520925857031</v>
          </cell>
        </row>
        <row r="29">
          <cell r="A29" t="str">
            <v>Bath &amp; Body Works</v>
          </cell>
          <cell r="B29">
            <v>8.7683705624808289E-2</v>
          </cell>
          <cell r="C29">
            <v>9.8268193902651124E-3</v>
          </cell>
          <cell r="D29">
            <v>2.2326819390265113E-2</v>
          </cell>
          <cell r="F29">
            <v>778.56886234543174</v>
          </cell>
          <cell r="G29">
            <v>653.56886234543174</v>
          </cell>
        </row>
        <row r="30">
          <cell r="A30" t="str">
            <v>Apparel Total</v>
          </cell>
          <cell r="B30" t="str">
            <v>NA</v>
          </cell>
          <cell r="C30" t="str">
            <v>NA</v>
          </cell>
          <cell r="D30" t="str">
            <v>NA</v>
          </cell>
          <cell r="F30" t="str">
            <v>NA</v>
          </cell>
          <cell r="G30" t="str">
            <v>NA</v>
          </cell>
        </row>
        <row r="31">
          <cell r="A31" t="str">
            <v>Other</v>
          </cell>
          <cell r="B31">
            <v>-8.4426574604243854E-2</v>
          </cell>
          <cell r="C31">
            <v>-0.13145813191874914</v>
          </cell>
          <cell r="D31">
            <v>-7.6458131918749145E-2</v>
          </cell>
          <cell r="F31">
            <v>470.31557314505284</v>
          </cell>
          <cell r="G31">
            <v>-79.684426854947091</v>
          </cell>
        </row>
        <row r="32">
          <cell r="A32" t="str">
            <v>Total</v>
          </cell>
          <cell r="B32">
            <v>9.5766270988477564E-2</v>
          </cell>
          <cell r="C32">
            <v>3.779886473568559E-2</v>
          </cell>
          <cell r="D32">
            <v>8.881865332654329E-2</v>
          </cell>
          <cell r="F32">
            <v>579.67406252791977</v>
          </cell>
          <cell r="G32">
            <v>69.476176619342738</v>
          </cell>
        </row>
        <row r="37">
          <cell r="A37" t="str">
            <v>TJX</v>
          </cell>
        </row>
        <row r="38">
          <cell r="B38" t="str">
            <v>+ or- from 0</v>
          </cell>
          <cell r="C38" t="str">
            <v>N +1</v>
          </cell>
        </row>
        <row r="39">
          <cell r="A39" t="str">
            <v>Management Guidance</v>
          </cell>
          <cell r="B39">
            <v>1.75</v>
          </cell>
          <cell r="C39">
            <v>0.05</v>
          </cell>
        </row>
        <row r="41">
          <cell r="B41" t="str">
            <v>Actual</v>
          </cell>
          <cell r="C41" t="str">
            <v>Axis</v>
          </cell>
        </row>
        <row r="42">
          <cell r="A42" t="str">
            <v>Morgan Stanley Estimate</v>
          </cell>
          <cell r="B42">
            <v>1.98</v>
          </cell>
          <cell r="C42">
            <v>50</v>
          </cell>
        </row>
        <row r="43">
          <cell r="A43" t="str">
            <v>Consensus</v>
          </cell>
          <cell r="B43">
            <v>1.9</v>
          </cell>
          <cell r="C43">
            <v>50</v>
          </cell>
        </row>
        <row r="58">
          <cell r="X58" t="str">
            <v>2/24/12010</v>
          </cell>
        </row>
        <row r="60">
          <cell r="X60" t="str">
            <v>LTD Guidance</v>
          </cell>
        </row>
        <row r="61">
          <cell r="Y61" t="str">
            <v>1Q10 (Mgmt Guidance)</v>
          </cell>
          <cell r="Z61" t="str">
            <v>FY10 (Mgmt Guidance)</v>
          </cell>
          <cell r="AA61" t="str">
            <v>FY10 (MS estimate)</v>
          </cell>
        </row>
        <row r="62">
          <cell r="X62" t="str">
            <v>Comps</v>
          </cell>
          <cell r="Y62" t="str">
            <v>+2 to +4%</v>
          </cell>
          <cell r="Z62" t="str">
            <v>flat to +LSD</v>
          </cell>
          <cell r="AA62">
            <v>-1.2E-2</v>
          </cell>
        </row>
        <row r="63">
          <cell r="X63" t="str">
            <v>Gross margin rate</v>
          </cell>
          <cell r="Y63" t="str">
            <v>Up from 31.8% LY</v>
          </cell>
          <cell r="Z63" t="str">
            <v>Up from 35.1% LY</v>
          </cell>
          <cell r="AA63">
            <v>0.35899999999999999</v>
          </cell>
        </row>
        <row r="64">
          <cell r="X64" t="str">
            <v>SG&amp;A expense</v>
          </cell>
          <cell r="Y64" t="str">
            <v>About flat as % of sales</v>
          </cell>
          <cell r="Z64" t="str">
            <v>About flat as % of sales</v>
          </cell>
          <cell r="AA64" t="str">
            <v>Flat y/y as % of sales</v>
          </cell>
        </row>
        <row r="65">
          <cell r="X65" t="str">
            <v>Interest expense</v>
          </cell>
          <cell r="Y65" t="str">
            <v>Approx. $61 million</v>
          </cell>
          <cell r="Z65" t="str">
            <v>Approx. $215 million</v>
          </cell>
          <cell r="AA65" t="str">
            <v>$244 million</v>
          </cell>
        </row>
        <row r="66">
          <cell r="X66" t="str">
            <v>Interest income and other income</v>
          </cell>
          <cell r="Y66" t="str">
            <v>About $7 million</v>
          </cell>
          <cell r="Z66" t="str">
            <v>About $40 million</v>
          </cell>
          <cell r="AA66" t="str">
            <v>$14 million</v>
          </cell>
        </row>
        <row r="67">
          <cell r="X67" t="str">
            <v xml:space="preserve">Tax rate </v>
          </cell>
          <cell r="Y67" t="str">
            <v xml:space="preserve">About 38% </v>
          </cell>
          <cell r="Z67" t="str">
            <v xml:space="preserve">About 38% </v>
          </cell>
          <cell r="AA67">
            <v>0.39</v>
          </cell>
        </row>
        <row r="68">
          <cell r="X68" t="str">
            <v>Weighted avg. shares outstanding</v>
          </cell>
          <cell r="Y68" t="str">
            <v>Approx. 330 million</v>
          </cell>
          <cell r="Z68" t="str">
            <v>Approx. 330 million</v>
          </cell>
          <cell r="AA68" t="str">
            <v>318 million</v>
          </cell>
        </row>
        <row r="69">
          <cell r="X69" t="str">
            <v>Earnings per share</v>
          </cell>
          <cell r="Y69" t="str">
            <v>$0.05 - $0.10</v>
          </cell>
          <cell r="Z69" t="str">
            <v>$1.40 - $1.60</v>
          </cell>
          <cell r="AA69">
            <v>1.41</v>
          </cell>
        </row>
        <row r="70">
          <cell r="X70" t="str">
            <v>Capital expenditures</v>
          </cell>
          <cell r="Y70" t="str">
            <v>N/A</v>
          </cell>
          <cell r="Z70" t="str">
            <v>$250 - $300 million</v>
          </cell>
          <cell r="AA70" t="str">
            <v>$225 million</v>
          </cell>
        </row>
        <row r="71">
          <cell r="X71" t="str">
            <v>Depreciation and amortization</v>
          </cell>
          <cell r="Y71" t="str">
            <v>N/A</v>
          </cell>
          <cell r="Z71" t="str">
            <v>About $350 million</v>
          </cell>
          <cell r="AA71" t="str">
            <v>$340 million</v>
          </cell>
        </row>
        <row r="72">
          <cell r="X72" t="str">
            <v>Free cash flow</v>
          </cell>
          <cell r="Y72" t="str">
            <v>N/A</v>
          </cell>
          <cell r="Z72" t="str">
            <v>$500 - $600 million</v>
          </cell>
          <cell r="AA72" t="str">
            <v>$529 million</v>
          </cell>
        </row>
      </sheetData>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ive Risk Reward Chart"/>
      <sheetName val="LIZ Drivers"/>
      <sheetName val="UA Driver"/>
      <sheetName val="UA Drivers"/>
      <sheetName val="Sheet1"/>
      <sheetName val="MW-Cache"/>
      <sheetName val="__FDSCACHE__"/>
      <sheetName val="Scenario Inputs2"/>
      <sheetName val="Scenario Inputs"/>
      <sheetName val="LIZ"/>
      <sheetName val="R5010 (2)"/>
    </sheetNames>
    <sheetDataSet>
      <sheetData sheetId="0"/>
      <sheetData sheetId="1"/>
      <sheetData sheetId="2"/>
      <sheetData sheetId="3"/>
      <sheetData sheetId="4"/>
      <sheetData sheetId="5"/>
      <sheetData sheetId="6"/>
      <sheetData sheetId="7"/>
      <sheetData sheetId="8">
        <row r="1">
          <cell r="B1">
            <v>39782</v>
          </cell>
          <cell r="C1" t="str">
            <v>Bear</v>
          </cell>
          <cell r="D1" t="str">
            <v>Base</v>
          </cell>
          <cell r="E1" t="str">
            <v>Bull</v>
          </cell>
          <cell r="G1" t="str">
            <v>SOTP</v>
          </cell>
          <cell r="K1" t="str">
            <v>P/E as of today</v>
          </cell>
        </row>
        <row r="2">
          <cell r="A2" t="str">
            <v>LIZ.N</v>
          </cell>
          <cell r="B2" t="str">
            <v>LIZ</v>
          </cell>
          <cell r="K2" t="str">
            <v>LIZ</v>
          </cell>
          <cell r="L2" t="e">
            <v>#VALUE!</v>
          </cell>
        </row>
        <row r="3">
          <cell r="B3" t="str">
            <v>Current Price</v>
          </cell>
          <cell r="D3" t="str">
            <v>#Calc</v>
          </cell>
          <cell r="K3" t="str">
            <v>JNY</v>
          </cell>
          <cell r="L3" t="e">
            <v>#VALUE!</v>
          </cell>
        </row>
        <row r="4">
          <cell r="B4" t="str">
            <v>Net Debt</v>
          </cell>
          <cell r="D4">
            <v>798.01300000000015</v>
          </cell>
          <cell r="K4" t="str">
            <v>WRC</v>
          </cell>
          <cell r="L4" t="e">
            <v>#VALUE!</v>
          </cell>
        </row>
        <row r="5">
          <cell r="B5" t="str">
            <v>Shares</v>
          </cell>
          <cell r="D5">
            <v>93.703999999999994</v>
          </cell>
          <cell r="K5" t="str">
            <v>PVH</v>
          </cell>
          <cell r="L5" t="e">
            <v>#VALUE!</v>
          </cell>
        </row>
        <row r="7">
          <cell r="B7" t="str">
            <v>Revenue</v>
          </cell>
          <cell r="C7">
            <v>-6.6357108530112452E-2</v>
          </cell>
          <cell r="D7">
            <v>-3.3845973767718252E-2</v>
          </cell>
          <cell r="E7">
            <v>-1.4128768261478464E-2</v>
          </cell>
          <cell r="K7" t="str">
            <v>GES</v>
          </cell>
          <cell r="L7" t="e">
            <v>#VALUE!</v>
          </cell>
        </row>
        <row r="8">
          <cell r="B8" t="str">
            <v>Gross Margin</v>
          </cell>
          <cell r="C8">
            <v>-128.72476703079562</v>
          </cell>
          <cell r="D8">
            <v>-90.996036928954197</v>
          </cell>
          <cell r="E8">
            <v>-39.295245448067732</v>
          </cell>
          <cell r="K8" t="str">
            <v>UA</v>
          </cell>
          <cell r="L8" t="e">
            <v>#VALUE!</v>
          </cell>
        </row>
        <row r="9">
          <cell r="B9" t="str">
            <v>Expense Ratio</v>
          </cell>
          <cell r="C9">
            <v>-16.156522960027452</v>
          </cell>
          <cell r="D9">
            <v>-39.565286944746589</v>
          </cell>
          <cell r="E9">
            <v>-82.030885314070545</v>
          </cell>
          <cell r="G9" t="e">
            <v>#VALUE!</v>
          </cell>
          <cell r="K9" t="str">
            <v>RL</v>
          </cell>
          <cell r="L9" t="e">
            <v>#VALUE!</v>
          </cell>
        </row>
        <row r="10">
          <cell r="B10" t="str">
            <v>Operating Margin</v>
          </cell>
          <cell r="C10">
            <v>-112.56824407076829</v>
          </cell>
          <cell r="D10">
            <v>-51.430749984207672</v>
          </cell>
          <cell r="E10">
            <v>42.735639866002749</v>
          </cell>
        </row>
        <row r="12">
          <cell r="B12" t="str">
            <v>P/E Valuation</v>
          </cell>
          <cell r="J12" t="str">
            <v>Liz Claiborne: Base Case Assumptions</v>
          </cell>
        </row>
        <row r="13">
          <cell r="B13" t="str">
            <v>EPS</v>
          </cell>
          <cell r="C13">
            <v>0.39172173589738984</v>
          </cell>
          <cell r="D13">
            <v>0.59632293685253845</v>
          </cell>
          <cell r="E13">
            <v>0.94772161341348582</v>
          </cell>
          <cell r="J13">
            <v>0.59632293685253845</v>
          </cell>
        </row>
        <row r="14">
          <cell r="B14" t="str">
            <v>P/E</v>
          </cell>
          <cell r="C14">
            <v>7</v>
          </cell>
          <cell r="D14">
            <v>9</v>
          </cell>
          <cell r="E14">
            <v>11</v>
          </cell>
        </row>
        <row r="15">
          <cell r="B15" t="str">
            <v>Scenario Price</v>
          </cell>
          <cell r="C15">
            <v>2.7420521512817291</v>
          </cell>
          <cell r="D15">
            <v>5.3669064316728461</v>
          </cell>
          <cell r="E15">
            <v>10.424937747548345</v>
          </cell>
        </row>
        <row r="16">
          <cell r="B16" t="str">
            <v>Ups/Downs</v>
          </cell>
          <cell r="C16" t="e">
            <v>#VALUE!</v>
          </cell>
          <cell r="D16" t="e">
            <v>#VALUE!</v>
          </cell>
          <cell r="E16" t="e">
            <v>#VALUE!</v>
          </cell>
        </row>
        <row r="18">
          <cell r="B18" t="str">
            <v>EBITDA Valuation</v>
          </cell>
        </row>
        <row r="19">
          <cell r="B19" t="str">
            <v>EBITDA</v>
          </cell>
          <cell r="C19">
            <v>286.15685640708614</v>
          </cell>
          <cell r="D19">
            <v>317.84754729244861</v>
          </cell>
          <cell r="E19">
            <v>365.73937752847428</v>
          </cell>
          <cell r="J19">
            <v>317.84754729244861</v>
          </cell>
        </row>
        <row r="20">
          <cell r="B20" t="str">
            <v>EV/EBITDA</v>
          </cell>
          <cell r="C20">
            <v>11</v>
          </cell>
          <cell r="D20">
            <v>0</v>
          </cell>
          <cell r="E20">
            <v>9</v>
          </cell>
          <cell r="G20">
            <v>3.7973007645817578</v>
          </cell>
        </row>
        <row r="21">
          <cell r="B21" t="str">
            <v>EV</v>
          </cell>
          <cell r="C21">
            <v>3147.7254204779474</v>
          </cell>
          <cell r="D21">
            <v>0</v>
          </cell>
          <cell r="E21">
            <v>3291.6543977562687</v>
          </cell>
        </row>
        <row r="22">
          <cell r="B22" t="str">
            <v>Implied Equity</v>
          </cell>
          <cell r="C22">
            <v>25.075903061533634</v>
          </cell>
          <cell r="D22">
            <v>-8.516317339708019</v>
          </cell>
          <cell r="E22">
            <v>26.611899147915448</v>
          </cell>
        </row>
        <row r="23">
          <cell r="B23" t="str">
            <v>Ups/Downs</v>
          </cell>
          <cell r="C23" t="e">
            <v>#VALUE!</v>
          </cell>
          <cell r="D23" t="e">
            <v>#VALUE!</v>
          </cell>
          <cell r="E23" t="e">
            <v>#VALUE!</v>
          </cell>
        </row>
        <row r="25">
          <cell r="B25" t="str">
            <v>Residual Income</v>
          </cell>
        </row>
        <row r="26">
          <cell r="B26" t="str">
            <v>Val-Cur</v>
          </cell>
          <cell r="J26">
            <v>23.757622379140592</v>
          </cell>
        </row>
        <row r="28">
          <cell r="B28" t="str">
            <v>FCF Valuation</v>
          </cell>
        </row>
        <row r="29">
          <cell r="B29" t="str">
            <v>FCF Per Share</v>
          </cell>
          <cell r="C29">
            <v>1.6651496506062415</v>
          </cell>
          <cell r="D29">
            <v>1.7526412115393128</v>
          </cell>
          <cell r="E29">
            <v>2.0397844788766752</v>
          </cell>
          <cell r="J29">
            <v>1.7526412115393128</v>
          </cell>
        </row>
        <row r="30">
          <cell r="B30" t="str">
            <v>Yield</v>
          </cell>
          <cell r="C30">
            <v>0.11971761675992125</v>
          </cell>
          <cell r="D30">
            <v>-1.1129962159385136</v>
          </cell>
          <cell r="E30">
            <v>0.11014895708475064</v>
          </cell>
        </row>
        <row r="32">
          <cell r="C32" t="str">
            <v>Trough</v>
          </cell>
          <cell r="D32" t="str">
            <v>5-Yr.</v>
          </cell>
          <cell r="E32" t="str">
            <v>Peak</v>
          </cell>
          <cell r="G32" t="str">
            <v>New Trough</v>
          </cell>
        </row>
        <row r="33">
          <cell r="B33" t="str">
            <v>P/E</v>
          </cell>
          <cell r="C33">
            <v>4.1204470316534083</v>
          </cell>
          <cell r="D33">
            <v>12.532633475042442</v>
          </cell>
          <cell r="E33">
            <v>20.621219484196743</v>
          </cell>
          <cell r="G33">
            <v>3.1204470316534083</v>
          </cell>
        </row>
        <row r="34">
          <cell r="B34" t="str">
            <v>EV/EBITDA</v>
          </cell>
          <cell r="C34">
            <v>299.1585</v>
          </cell>
          <cell r="D34">
            <v>323.00270076643244</v>
          </cell>
          <cell r="E34">
            <v>315.34630000000004</v>
          </cell>
          <cell r="G34">
            <v>298.6585</v>
          </cell>
        </row>
        <row r="36">
          <cell r="B36" t="str">
            <v>Recession</v>
          </cell>
          <cell r="C36" t="str">
            <v>Trough</v>
          </cell>
          <cell r="D36" t="str">
            <v>Mean</v>
          </cell>
          <cell r="E36" t="str">
            <v>Peak</v>
          </cell>
          <cell r="G36" t="str">
            <v>Average</v>
          </cell>
        </row>
        <row r="37">
          <cell r="B37" t="str">
            <v>P/E</v>
          </cell>
          <cell r="C37">
            <v>38.83488257972796</v>
          </cell>
          <cell r="D37">
            <v>0</v>
          </cell>
          <cell r="E37">
            <v>119.38721139465103</v>
          </cell>
          <cell r="G37">
            <v>19.41744128986398</v>
          </cell>
        </row>
        <row r="38">
          <cell r="B38" t="str">
            <v>EV/EBITDA</v>
          </cell>
          <cell r="C38">
            <v>11.594471180832928</v>
          </cell>
          <cell r="D38">
            <v>0</v>
          </cell>
          <cell r="E38">
            <v>11.010880043757094</v>
          </cell>
          <cell r="G38">
            <v>5.7972355904164639</v>
          </cell>
        </row>
        <row r="40">
          <cell r="B40" t="str">
            <v>Price Targets</v>
          </cell>
          <cell r="C40">
            <v>2.5</v>
          </cell>
          <cell r="D40">
            <v>5</v>
          </cell>
          <cell r="E40">
            <v>10.5</v>
          </cell>
          <cell r="O40">
            <v>2.5</v>
          </cell>
          <cell r="P40">
            <v>5</v>
          </cell>
          <cell r="Q40">
            <v>10.5</v>
          </cell>
        </row>
        <row r="41">
          <cell r="B41" t="str">
            <v>Ups/Downs</v>
          </cell>
          <cell r="C41" t="e">
            <v>#VALUE!</v>
          </cell>
          <cell r="D41" t="e">
            <v>#VALUE!</v>
          </cell>
          <cell r="E41" t="e">
            <v>#VALUE!</v>
          </cell>
        </row>
        <row r="42">
          <cell r="C42">
            <v>6.3820813881384062</v>
          </cell>
          <cell r="D42">
            <v>8.3847185660685462</v>
          </cell>
          <cell r="E42">
            <v>11.079202849644105</v>
          </cell>
        </row>
        <row r="43">
          <cell r="A43" t="str">
            <v>JNY.N</v>
          </cell>
          <cell r="B43" t="str">
            <v>JNY</v>
          </cell>
        </row>
        <row r="44">
          <cell r="B44" t="str">
            <v>Current Price</v>
          </cell>
          <cell r="D44" t="str">
            <v>#Calc</v>
          </cell>
        </row>
        <row r="45">
          <cell r="B45" t="str">
            <v>Net Debt</v>
          </cell>
          <cell r="D45">
            <v>582.83067580048032</v>
          </cell>
        </row>
        <row r="46">
          <cell r="B46" t="str">
            <v>Shares</v>
          </cell>
          <cell r="D46">
            <v>83</v>
          </cell>
        </row>
        <row r="48">
          <cell r="B48" t="str">
            <v>Revenue</v>
          </cell>
          <cell r="C48">
            <v>-2.307901574014426E-2</v>
          </cell>
          <cell r="D48">
            <v>1.7273526849326259E-5</v>
          </cell>
          <cell r="E48">
            <v>3.4790577670898548E-2</v>
          </cell>
          <cell r="G48" t="e">
            <v>#VALUE!</v>
          </cell>
        </row>
        <row r="49">
          <cell r="B49" t="str">
            <v>Gross Margin</v>
          </cell>
          <cell r="C49">
            <v>-117.78645744805694</v>
          </cell>
          <cell r="D49">
            <v>-59.059756967107525</v>
          </cell>
          <cell r="E49">
            <v>28.286142070195751</v>
          </cell>
        </row>
        <row r="50">
          <cell r="B50" t="str">
            <v>Expense Ratio</v>
          </cell>
          <cell r="C50">
            <v>-17.859818164190354</v>
          </cell>
          <cell r="D50">
            <v>-16.397089142762276</v>
          </cell>
          <cell r="E50">
            <v>-45.122434328145332</v>
          </cell>
        </row>
        <row r="51">
          <cell r="B51" t="str">
            <v>Operating Margin</v>
          </cell>
          <cell r="C51">
            <v>-99.926639283867488</v>
          </cell>
          <cell r="D51">
            <v>-42.662667824345732</v>
          </cell>
          <cell r="E51">
            <v>73.408576398340188</v>
          </cell>
        </row>
        <row r="53">
          <cell r="B53" t="str">
            <v>P/E Valuation</v>
          </cell>
          <cell r="J53" t="str">
            <v>Jones New York: Base Case Assumptions</v>
          </cell>
        </row>
        <row r="54">
          <cell r="B54" t="str">
            <v>EPS</v>
          </cell>
          <cell r="C54">
            <v>0.61728823323972237</v>
          </cell>
          <cell r="D54">
            <v>0.79672999545315148</v>
          </cell>
          <cell r="E54">
            <v>1.1656862274518387</v>
          </cell>
          <cell r="J54">
            <v>0.79672999545315148</v>
          </cell>
        </row>
        <row r="55">
          <cell r="B55" t="str">
            <v>P/E</v>
          </cell>
          <cell r="C55">
            <v>7</v>
          </cell>
          <cell r="D55">
            <v>9</v>
          </cell>
          <cell r="E55">
            <v>11</v>
          </cell>
        </row>
        <row r="56">
          <cell r="B56" t="str">
            <v>Scenario Price</v>
          </cell>
          <cell r="C56">
            <v>4.3210176326780569</v>
          </cell>
          <cell r="D56">
            <v>7.1705699590783638</v>
          </cell>
          <cell r="E56">
            <v>12.822548501970225</v>
          </cell>
        </row>
        <row r="57">
          <cell r="B57" t="str">
            <v>Ups/Downs</v>
          </cell>
          <cell r="C57" t="e">
            <v>#VALUE!</v>
          </cell>
          <cell r="D57" t="e">
            <v>#VALUE!</v>
          </cell>
          <cell r="E57" t="e">
            <v>#VALUE!</v>
          </cell>
        </row>
        <row r="59">
          <cell r="B59" t="str">
            <v>EBITDA Valuation</v>
          </cell>
        </row>
        <row r="60">
          <cell r="B60" t="str">
            <v>EBITDA</v>
          </cell>
          <cell r="C60">
            <v>221.06983294688666</v>
          </cell>
          <cell r="D60">
            <v>245.04954641820538</v>
          </cell>
          <cell r="E60">
            <v>294.16843447832446</v>
          </cell>
          <cell r="J60">
            <v>245.04954641820538</v>
          </cell>
        </row>
        <row r="61">
          <cell r="B61" t="str">
            <v>EV/EBITDA</v>
          </cell>
          <cell r="C61">
            <v>11</v>
          </cell>
          <cell r="D61">
            <v>0</v>
          </cell>
          <cell r="E61">
            <v>9</v>
          </cell>
          <cell r="G61">
            <v>4.3145065738565203</v>
          </cell>
        </row>
        <row r="62">
          <cell r="B62" t="str">
            <v>EV</v>
          </cell>
          <cell r="C62">
            <v>2431.7681624157531</v>
          </cell>
          <cell r="D62">
            <v>0</v>
          </cell>
          <cell r="E62">
            <v>2647.51591030492</v>
          </cell>
        </row>
        <row r="63">
          <cell r="B63" t="str">
            <v>Implied Equity</v>
          </cell>
          <cell r="C63">
            <v>22.276355260424975</v>
          </cell>
          <cell r="D63">
            <v>-7.022056334945546</v>
          </cell>
          <cell r="E63">
            <v>24.875725716920964</v>
          </cell>
        </row>
        <row r="64">
          <cell r="B64" t="str">
            <v>Ups/Downs</v>
          </cell>
          <cell r="C64" t="e">
            <v>#VALUE!</v>
          </cell>
          <cell r="D64" t="e">
            <v>#VALUE!</v>
          </cell>
          <cell r="E64" t="e">
            <v>#VALUE!</v>
          </cell>
        </row>
        <row r="66">
          <cell r="B66" t="str">
            <v>Residual Income</v>
          </cell>
        </row>
        <row r="67">
          <cell r="B67" t="str">
            <v>Val-Cur</v>
          </cell>
          <cell r="J67">
            <v>11.026665131182027</v>
          </cell>
        </row>
        <row r="69">
          <cell r="B69" t="str">
            <v>FCF Valuation</v>
          </cell>
        </row>
        <row r="70">
          <cell r="B70" t="str">
            <v>FCF Per Share</v>
          </cell>
          <cell r="C70">
            <v>1.4983974074057604</v>
          </cell>
          <cell r="D70">
            <v>1.6912537539147832</v>
          </cell>
          <cell r="E70">
            <v>2.0737124321978539</v>
          </cell>
          <cell r="J70">
            <v>1.6912537539147832</v>
          </cell>
        </row>
        <row r="71">
          <cell r="B71" t="str">
            <v>Yield</v>
          </cell>
          <cell r="C71">
            <v>0.11267258713316833</v>
          </cell>
          <cell r="D71">
            <v>22.775738775349954</v>
          </cell>
          <cell r="E71">
            <v>0.11001630579463952</v>
          </cell>
        </row>
        <row r="73">
          <cell r="C73" t="str">
            <v>Trough</v>
          </cell>
          <cell r="D73" t="str">
            <v>5-Yr.</v>
          </cell>
          <cell r="E73" t="str">
            <v>Peak</v>
          </cell>
          <cell r="G73" t="str">
            <v>New Trough</v>
          </cell>
        </row>
        <row r="74">
          <cell r="B74" t="str">
            <v>P/E</v>
          </cell>
          <cell r="C74">
            <v>6.4271182083309695</v>
          </cell>
          <cell r="D74">
            <v>12.392891578887301</v>
          </cell>
          <cell r="E74">
            <v>24.731174680467745</v>
          </cell>
          <cell r="G74">
            <v>5.4271182083309695</v>
          </cell>
          <cell r="J74">
            <v>9.4100048936091358</v>
          </cell>
        </row>
        <row r="75">
          <cell r="B75" t="str">
            <v>EV/EBITDA</v>
          </cell>
          <cell r="C75">
            <v>239.84399999999999</v>
          </cell>
          <cell r="D75">
            <v>255.64028263804386</v>
          </cell>
          <cell r="E75">
            <v>253.69650000000001</v>
          </cell>
          <cell r="G75">
            <v>239.34399999999999</v>
          </cell>
        </row>
        <row r="77">
          <cell r="B77" t="str">
            <v>Recession</v>
          </cell>
          <cell r="C77" t="str">
            <v>Trough</v>
          </cell>
          <cell r="D77" t="str">
            <v>Mean</v>
          </cell>
          <cell r="E77" t="str">
            <v>Peak</v>
          </cell>
          <cell r="G77" t="str">
            <v>Average</v>
          </cell>
        </row>
        <row r="78">
          <cell r="B78" t="str">
            <v>P/E</v>
          </cell>
          <cell r="C78">
            <v>32.655768648507156</v>
          </cell>
          <cell r="D78">
            <v>0</v>
          </cell>
          <cell r="E78">
            <v>132.64806136481181</v>
          </cell>
          <cell r="G78">
            <v>16.327884324253578</v>
          </cell>
        </row>
        <row r="79">
          <cell r="B79" t="str">
            <v>EV/EBITDA</v>
          </cell>
          <cell r="C79">
            <v>11.977090922263137</v>
          </cell>
          <cell r="D79">
            <v>0</v>
          </cell>
          <cell r="E79">
            <v>10.060946589376625</v>
          </cell>
          <cell r="G79">
            <v>5.9885454611315687</v>
          </cell>
        </row>
        <row r="81">
          <cell r="B81" t="str">
            <v>Price Targets</v>
          </cell>
          <cell r="C81">
            <v>4</v>
          </cell>
          <cell r="D81">
            <v>7</v>
          </cell>
          <cell r="E81">
            <v>13</v>
          </cell>
          <cell r="O81">
            <v>4</v>
          </cell>
          <cell r="P81">
            <v>7</v>
          </cell>
          <cell r="Q81">
            <v>13</v>
          </cell>
        </row>
        <row r="82">
          <cell r="B82" t="str">
            <v>Ups/Downs</v>
          </cell>
          <cell r="C82" t="e">
            <v>#VALUE!</v>
          </cell>
          <cell r="D82" t="e">
            <v>#VALUE!</v>
          </cell>
          <cell r="E82" t="e">
            <v>#VALUE!</v>
          </cell>
        </row>
        <row r="84">
          <cell r="A84" t="str">
            <v>WRC.N</v>
          </cell>
          <cell r="B84" t="str">
            <v>WRC</v>
          </cell>
        </row>
        <row r="85">
          <cell r="B85" t="str">
            <v>Current Price</v>
          </cell>
          <cell r="D85" t="str">
            <v>#Calc</v>
          </cell>
        </row>
        <row r="86">
          <cell r="B86" t="str">
            <v>Net Debt</v>
          </cell>
          <cell r="D86">
            <v>146.34019599656796</v>
          </cell>
        </row>
        <row r="87">
          <cell r="B87" t="str">
            <v>Shares</v>
          </cell>
          <cell r="D87">
            <v>46.780639000000001</v>
          </cell>
        </row>
        <row r="89">
          <cell r="B89" t="str">
            <v>Revenue</v>
          </cell>
          <cell r="C89">
            <v>-0.11976989950304207</v>
          </cell>
          <cell r="D89">
            <v>-2.5755049553264464E-2</v>
          </cell>
          <cell r="E89">
            <v>2.641037255466161E-3</v>
          </cell>
        </row>
        <row r="90">
          <cell r="B90" t="str">
            <v>Gross Margin</v>
          </cell>
          <cell r="C90">
            <v>-119.65735385759734</v>
          </cell>
          <cell r="D90">
            <v>-57.860654104995859</v>
          </cell>
          <cell r="E90">
            <v>-14.807151827720411</v>
          </cell>
        </row>
        <row r="91">
          <cell r="B91" t="str">
            <v>Expense Ratio</v>
          </cell>
          <cell r="C91">
            <v>77.998922105267937</v>
          </cell>
          <cell r="D91">
            <v>34.705478862581685</v>
          </cell>
          <cell r="E91">
            <v>31.128711896627472</v>
          </cell>
        </row>
        <row r="92">
          <cell r="B92" t="str">
            <v>Operating Margin</v>
          </cell>
          <cell r="C92">
            <v>-179.68581022683421</v>
          </cell>
          <cell r="D92">
            <v>-68.16021575468082</v>
          </cell>
          <cell r="E92">
            <v>-19.916157281824887</v>
          </cell>
        </row>
        <row r="94">
          <cell r="B94" t="str">
            <v>P/E Valuation</v>
          </cell>
          <cell r="J94" t="str">
            <v>Warnaco: Base Case Assumptions</v>
          </cell>
        </row>
        <row r="95">
          <cell r="B95" t="str">
            <v>EPS</v>
          </cell>
          <cell r="C95">
            <v>1.87</v>
          </cell>
          <cell r="D95">
            <v>2.4700000000000002</v>
          </cell>
          <cell r="E95">
            <v>2.74</v>
          </cell>
          <cell r="G95" t="e">
            <v>#VALUE!</v>
          </cell>
          <cell r="J95">
            <v>2.4618117734226126</v>
          </cell>
        </row>
        <row r="96">
          <cell r="B96" t="str">
            <v>P/E</v>
          </cell>
          <cell r="C96">
            <v>7</v>
          </cell>
          <cell r="D96">
            <v>9</v>
          </cell>
          <cell r="E96">
            <v>11</v>
          </cell>
        </row>
        <row r="97">
          <cell r="B97" t="str">
            <v>Scenario Price</v>
          </cell>
          <cell r="C97">
            <v>13.09</v>
          </cell>
          <cell r="D97">
            <v>22.23</v>
          </cell>
          <cell r="E97">
            <v>30.14</v>
          </cell>
        </row>
        <row r="98">
          <cell r="B98" t="str">
            <v>Ups/Downs</v>
          </cell>
          <cell r="C98" t="e">
            <v>#VALUE!</v>
          </cell>
          <cell r="D98" t="e">
            <v>#VALUE!</v>
          </cell>
          <cell r="E98" t="e">
            <v>#VALUE!</v>
          </cell>
        </row>
        <row r="100">
          <cell r="B100" t="str">
            <v>EBITDA Valuation</v>
          </cell>
        </row>
        <row r="101">
          <cell r="B101" t="str">
            <v>EBITDA</v>
          </cell>
          <cell r="C101">
            <v>273.64127016791991</v>
          </cell>
          <cell r="D101">
            <v>319.82543010478742</v>
          </cell>
          <cell r="E101">
            <v>339.57970290961413</v>
          </cell>
          <cell r="J101">
            <v>267.61990748481674</v>
          </cell>
        </row>
        <row r="102">
          <cell r="B102" t="str">
            <v>EV/EBITDA</v>
          </cell>
          <cell r="C102">
            <v>14</v>
          </cell>
          <cell r="D102">
            <v>0</v>
          </cell>
          <cell r="E102">
            <v>9</v>
          </cell>
          <cell r="G102">
            <v>4.8720627293441439</v>
          </cell>
        </row>
        <row r="103">
          <cell r="B103" t="str">
            <v>EV</v>
          </cell>
          <cell r="C103">
            <v>3830.9777823508789</v>
          </cell>
          <cell r="D103">
            <v>0</v>
          </cell>
          <cell r="E103">
            <v>3056.2173261865273</v>
          </cell>
        </row>
        <row r="104">
          <cell r="B104" t="str">
            <v>Implied Equity</v>
          </cell>
          <cell r="C104">
            <v>78.764156820395527</v>
          </cell>
          <cell r="D104">
            <v>-3.1282213993820811</v>
          </cell>
          <cell r="E104">
            <v>62.202594756988233</v>
          </cell>
        </row>
        <row r="105">
          <cell r="B105" t="str">
            <v>Ups/Downs</v>
          </cell>
          <cell r="C105" t="e">
            <v>#VALUE!</v>
          </cell>
          <cell r="D105" t="e">
            <v>#VALUE!</v>
          </cell>
          <cell r="E105" t="e">
            <v>#VALUE!</v>
          </cell>
        </row>
        <row r="107">
          <cell r="B107" t="str">
            <v>Residual Income</v>
          </cell>
        </row>
        <row r="108">
          <cell r="B108" t="str">
            <v>Val-Cur</v>
          </cell>
          <cell r="J108">
            <v>47.247361694811161</v>
          </cell>
        </row>
        <row r="110">
          <cell r="B110" t="str">
            <v>FCF Valuation</v>
          </cell>
        </row>
        <row r="111">
          <cell r="B111" t="str">
            <v>FCF Per Share</v>
          </cell>
          <cell r="C111">
            <v>3.979414945933359</v>
          </cell>
          <cell r="D111">
            <v>3.8835532092131673</v>
          </cell>
          <cell r="E111">
            <v>3.935765790688011</v>
          </cell>
          <cell r="J111">
            <v>3.4887129180590786</v>
          </cell>
        </row>
        <row r="112">
          <cell r="B112" t="str">
            <v>Yield</v>
          </cell>
          <cell r="C112">
            <v>8.6646376901905423E-2</v>
          </cell>
          <cell r="D112">
            <v>0.40661692195380583</v>
          </cell>
          <cell r="E112">
            <v>8.5242694361047575E-2</v>
          </cell>
        </row>
        <row r="114">
          <cell r="C114" t="str">
            <v>Trough</v>
          </cell>
          <cell r="D114" t="str">
            <v>5-Yr.</v>
          </cell>
          <cell r="E114" t="str">
            <v>Peak</v>
          </cell>
        </row>
        <row r="115">
          <cell r="B115" t="str">
            <v>P/E</v>
          </cell>
          <cell r="C115">
            <v>5.8995804573471604</v>
          </cell>
          <cell r="D115">
            <v>15.225137406424947</v>
          </cell>
          <cell r="E115">
            <v>19.74418957856701</v>
          </cell>
          <cell r="G115">
            <v>4.8995804573471604</v>
          </cell>
          <cell r="J115">
            <v>10.562358931886054</v>
          </cell>
        </row>
        <row r="116">
          <cell r="B116" t="str">
            <v>EV/EBITDA</v>
          </cell>
          <cell r="C116">
            <v>274.86070000000001</v>
          </cell>
          <cell r="D116">
            <v>271.92733993753131</v>
          </cell>
          <cell r="E116">
            <v>268.14100000000002</v>
          </cell>
          <cell r="G116">
            <v>274.36070000000001</v>
          </cell>
        </row>
        <row r="118">
          <cell r="B118" t="str">
            <v>Recession</v>
          </cell>
          <cell r="C118" t="str">
            <v>Trough</v>
          </cell>
          <cell r="D118" t="str">
            <v>Mean</v>
          </cell>
          <cell r="E118" t="str">
            <v>Peak</v>
          </cell>
          <cell r="G118" t="str">
            <v>Average</v>
          </cell>
        </row>
        <row r="119">
          <cell r="B119" t="str">
            <v>P/E</v>
          </cell>
          <cell r="C119">
            <v>33.220998804772435</v>
          </cell>
          <cell r="D119">
            <v>0</v>
          </cell>
          <cell r="E119">
            <v>134.16903974985749</v>
          </cell>
          <cell r="G119">
            <v>16.610499402386218</v>
          </cell>
        </row>
        <row r="120">
          <cell r="B120" t="str">
            <v>EV/EBITDA</v>
          </cell>
          <cell r="C120" t="str">
            <v>-</v>
          </cell>
          <cell r="D120">
            <v>0</v>
          </cell>
          <cell r="E120" t="str">
            <v>-</v>
          </cell>
          <cell r="G120">
            <v>0</v>
          </cell>
        </row>
        <row r="122">
          <cell r="B122" t="str">
            <v>Price Targets</v>
          </cell>
          <cell r="C122">
            <v>13.3143286066726</v>
          </cell>
          <cell r="D122">
            <v>22</v>
          </cell>
          <cell r="E122">
            <v>30.153107432493702</v>
          </cell>
          <cell r="O122">
            <v>13.3143286066726</v>
          </cell>
          <cell r="P122">
            <v>22</v>
          </cell>
          <cell r="Q122">
            <v>30.153107432493702</v>
          </cell>
        </row>
        <row r="123">
          <cell r="B123" t="str">
            <v>Ups/Downs</v>
          </cell>
          <cell r="C123" t="e">
            <v>#VALUE!</v>
          </cell>
          <cell r="D123" t="e">
            <v>#VALUE!</v>
          </cell>
          <cell r="E123" t="e">
            <v>#VALUE!</v>
          </cell>
        </row>
        <row r="124">
          <cell r="C124">
            <v>7.1199618217500529</v>
          </cell>
          <cell r="D124">
            <v>8.9068825910931171</v>
          </cell>
          <cell r="E124">
            <v>11.004783734486752</v>
          </cell>
        </row>
        <row r="125">
          <cell r="A125" t="str">
            <v>PVH.N</v>
          </cell>
          <cell r="B125" t="str">
            <v>PVH</v>
          </cell>
        </row>
        <row r="126">
          <cell r="B126" t="str">
            <v>Current Price</v>
          </cell>
          <cell r="D126" t="str">
            <v>#Calc</v>
          </cell>
        </row>
        <row r="127">
          <cell r="B127" t="str">
            <v>Net Debt</v>
          </cell>
          <cell r="D127">
            <v>202.00699999999949</v>
          </cell>
        </row>
        <row r="128">
          <cell r="B128" t="str">
            <v>Shares</v>
          </cell>
          <cell r="D128">
            <v>52.293999999999997</v>
          </cell>
        </row>
        <row r="130">
          <cell r="B130" t="str">
            <v>Revenue</v>
          </cell>
          <cell r="C130">
            <v>-6.8117249220791765E-2</v>
          </cell>
          <cell r="D130">
            <v>-3.1739824302132846E-2</v>
          </cell>
          <cell r="E130">
            <v>-1.1084924771722404E-2</v>
          </cell>
          <cell r="H130">
            <v>-7.6285701523983507E-2</v>
          </cell>
          <cell r="I130">
            <v>-3.4224458929715929E-2</v>
          </cell>
          <cell r="J130">
            <v>-5.6435284573952416E-4</v>
          </cell>
          <cell r="L130">
            <v>-7.3434977884946129E-2</v>
          </cell>
          <cell r="M130">
            <v>-1.8574336102211375E-2</v>
          </cell>
          <cell r="N130">
            <v>-1.4657847626209475E-2</v>
          </cell>
        </row>
        <row r="131">
          <cell r="B131" t="str">
            <v>Gross Margin</v>
          </cell>
          <cell r="C131">
            <v>-115.21074728246039</v>
          </cell>
          <cell r="D131">
            <v>-74.588543265898807</v>
          </cell>
          <cell r="E131">
            <v>-42.450498013919535</v>
          </cell>
          <cell r="H131">
            <v>-166.11433040271356</v>
          </cell>
          <cell r="I131">
            <v>-96.33603105782818</v>
          </cell>
          <cell r="J131">
            <v>-128.25676583740182</v>
          </cell>
        </row>
        <row r="132">
          <cell r="B132" t="str">
            <v>Expense Ratio</v>
          </cell>
          <cell r="C132">
            <v>71.983136258124134</v>
          </cell>
          <cell r="D132">
            <v>50.455743705470901</v>
          </cell>
          <cell r="E132">
            <v>31.931965238854442</v>
          </cell>
        </row>
        <row r="133">
          <cell r="B133" t="str">
            <v>Operating Margin</v>
          </cell>
          <cell r="C133">
            <v>-187.19388354058384</v>
          </cell>
          <cell r="D133">
            <v>-125.04428697136902</v>
          </cell>
          <cell r="E133">
            <v>-61.293027348627291</v>
          </cell>
        </row>
        <row r="135">
          <cell r="B135" t="str">
            <v>P/E Valuation</v>
          </cell>
          <cell r="J135" t="str">
            <v>Phillips-Van Heusen: Base Case Assumptions</v>
          </cell>
        </row>
        <row r="136">
          <cell r="B136" t="str">
            <v>EPS</v>
          </cell>
          <cell r="C136">
            <v>2.6975367948907065</v>
          </cell>
          <cell r="D136">
            <v>3.0202804920565067</v>
          </cell>
          <cell r="E136">
            <v>3.3219712718979792</v>
          </cell>
          <cell r="J136">
            <v>2.5625646500915376</v>
          </cell>
        </row>
        <row r="137">
          <cell r="B137" t="str">
            <v>P/E</v>
          </cell>
          <cell r="C137">
            <v>5</v>
          </cell>
          <cell r="D137">
            <v>8</v>
          </cell>
          <cell r="E137">
            <v>11</v>
          </cell>
        </row>
        <row r="138">
          <cell r="B138" t="str">
            <v>Scenario Price</v>
          </cell>
          <cell r="C138">
            <v>13.487683974453532</v>
          </cell>
          <cell r="D138">
            <v>24.162243936452054</v>
          </cell>
          <cell r="E138">
            <v>36.541683990877772</v>
          </cell>
        </row>
        <row r="139">
          <cell r="B139" t="str">
            <v>Ups/Downs</v>
          </cell>
          <cell r="C139" t="e">
            <v>#VALUE!</v>
          </cell>
          <cell r="D139" t="e">
            <v>#VALUE!</v>
          </cell>
          <cell r="E139" t="e">
            <v>#VALUE!</v>
          </cell>
        </row>
        <row r="141">
          <cell r="B141" t="str">
            <v>EBITDA Valuation</v>
          </cell>
        </row>
        <row r="142">
          <cell r="B142" t="str">
            <v>EBITDA</v>
          </cell>
          <cell r="C142">
            <v>302.38773729897332</v>
          </cell>
          <cell r="D142">
            <v>329.01846757906344</v>
          </cell>
          <cell r="E142">
            <v>353.74714620418871</v>
          </cell>
          <cell r="J142">
            <v>296.11657850148913</v>
          </cell>
        </row>
        <row r="143">
          <cell r="B143" t="str">
            <v>EV/EBITDA</v>
          </cell>
          <cell r="C143">
            <v>11</v>
          </cell>
          <cell r="D143">
            <v>0</v>
          </cell>
          <cell r="E143">
            <v>8</v>
          </cell>
          <cell r="G143">
            <v>4.5459145076988214</v>
          </cell>
        </row>
        <row r="144">
          <cell r="B144" t="str">
            <v>EV</v>
          </cell>
          <cell r="C144">
            <v>3326.2651102887066</v>
          </cell>
          <cell r="D144">
            <v>0</v>
          </cell>
          <cell r="E144">
            <v>2829.9771696335097</v>
          </cell>
        </row>
        <row r="145">
          <cell r="B145" t="str">
            <v>Implied Equity</v>
          </cell>
          <cell r="C145">
            <v>59.744102770656426</v>
          </cell>
          <cell r="D145">
            <v>-3.8629097028339676</v>
          </cell>
          <cell r="E145">
            <v>50.253760845097148</v>
          </cell>
        </row>
        <row r="146">
          <cell r="B146" t="str">
            <v>Ups/Downs</v>
          </cell>
          <cell r="C146" t="e">
            <v>#VALUE!</v>
          </cell>
          <cell r="D146" t="e">
            <v>#VALUE!</v>
          </cell>
          <cell r="E146" t="e">
            <v>#VALUE!</v>
          </cell>
        </row>
        <row r="148">
          <cell r="B148" t="str">
            <v>Residual Income</v>
          </cell>
        </row>
        <row r="149">
          <cell r="B149" t="str">
            <v>Val-Cur</v>
          </cell>
          <cell r="J149">
            <v>28.280014890537061</v>
          </cell>
        </row>
        <row r="151">
          <cell r="B151" t="str">
            <v>FCF Valuation</v>
          </cell>
        </row>
        <row r="152">
          <cell r="B152" t="str">
            <v>FCF Per Share</v>
          </cell>
          <cell r="C152">
            <v>3.1023693610209668</v>
          </cell>
          <cell r="D152">
            <v>3.5516863295785646</v>
          </cell>
          <cell r="E152">
            <v>3.943845867944578</v>
          </cell>
          <cell r="J152">
            <v>3.28539002263462</v>
          </cell>
        </row>
        <row r="153">
          <cell r="B153" t="str">
            <v>Yield</v>
          </cell>
          <cell r="C153">
            <v>8.4727397730142831E-2</v>
          </cell>
          <cell r="D153">
            <v>0.34993131190446175</v>
          </cell>
          <cell r="E153">
            <v>9.0876793716481663E-2</v>
          </cell>
        </row>
        <row r="155">
          <cell r="C155" t="str">
            <v>Trough</v>
          </cell>
          <cell r="D155" t="str">
            <v>5-Yr.</v>
          </cell>
          <cell r="E155" t="str">
            <v>Peak</v>
          </cell>
        </row>
        <row r="156">
          <cell r="B156" t="str">
            <v>P/E</v>
          </cell>
          <cell r="C156">
            <v>5.2061818093456127</v>
          </cell>
          <cell r="D156">
            <v>15.259176673924259</v>
          </cell>
          <cell r="E156">
            <v>20.669431279620856</v>
          </cell>
          <cell r="J156">
            <v>10.232679241634935</v>
          </cell>
        </row>
        <row r="157">
          <cell r="B157" t="str">
            <v>EV/EBITDA</v>
          </cell>
          <cell r="C157">
            <v>295.50900000000001</v>
          </cell>
          <cell r="D157">
            <v>328.76022298543529</v>
          </cell>
          <cell r="E157">
            <v>326.46520000000004</v>
          </cell>
        </row>
        <row r="159">
          <cell r="B159" t="str">
            <v>Recession</v>
          </cell>
          <cell r="C159" t="str">
            <v>Trough</v>
          </cell>
          <cell r="D159" t="str">
            <v>Mean</v>
          </cell>
          <cell r="E159" t="str">
            <v>Peak</v>
          </cell>
          <cell r="G159" t="str">
            <v>Average</v>
          </cell>
          <cell r="O159">
            <v>11</v>
          </cell>
          <cell r="P159">
            <v>22</v>
          </cell>
          <cell r="Q159">
            <v>31</v>
          </cell>
        </row>
        <row r="160">
          <cell r="B160" t="str">
            <v>P/E</v>
          </cell>
          <cell r="C160">
            <v>27.942809263417701</v>
          </cell>
          <cell r="D160">
            <v>0</v>
          </cell>
          <cell r="E160">
            <v>133.11565080531253</v>
          </cell>
          <cell r="G160">
            <v>13.97140463170885</v>
          </cell>
        </row>
        <row r="161">
          <cell r="B161" t="str">
            <v>EV/EBITDA</v>
          </cell>
          <cell r="C161">
            <v>10.881526792662877</v>
          </cell>
          <cell r="D161">
            <v>0</v>
          </cell>
          <cell r="E161">
            <v>9.0106642080704216</v>
          </cell>
          <cell r="G161">
            <v>5.4407633963314384</v>
          </cell>
        </row>
        <row r="163">
          <cell r="B163" t="str">
            <v>Price Targets</v>
          </cell>
          <cell r="C163">
            <v>11</v>
          </cell>
          <cell r="D163">
            <v>22</v>
          </cell>
          <cell r="E163">
            <v>31</v>
          </cell>
        </row>
        <row r="164">
          <cell r="B164" t="str">
            <v>Ups/Downs</v>
          </cell>
          <cell r="C164" t="e">
            <v>#VALUE!</v>
          </cell>
          <cell r="D164" t="e">
            <v>#VALUE!</v>
          </cell>
          <cell r="E164" t="e">
            <v>#VALUE!</v>
          </cell>
        </row>
        <row r="165">
          <cell r="C165">
            <v>4.077794238371335</v>
          </cell>
          <cell r="D165">
            <v>7.284091678856031</v>
          </cell>
          <cell r="E165">
            <v>9.3318085746986075</v>
          </cell>
        </row>
        <row r="166">
          <cell r="A166" t="str">
            <v>GES.N</v>
          </cell>
          <cell r="B166" t="str">
            <v>GES</v>
          </cell>
        </row>
        <row r="167">
          <cell r="B167" t="str">
            <v>Current Price</v>
          </cell>
          <cell r="D167" t="str">
            <v>#Calc</v>
          </cell>
        </row>
        <row r="168">
          <cell r="B168" t="str">
            <v>Net Debt</v>
          </cell>
          <cell r="D168">
            <v>-235.60499999999982</v>
          </cell>
        </row>
        <row r="169">
          <cell r="B169" t="str">
            <v>Shares</v>
          </cell>
          <cell r="D169">
            <v>93.893000000000001</v>
          </cell>
        </row>
        <row r="171">
          <cell r="B171" t="str">
            <v>Revenue</v>
          </cell>
          <cell r="C171">
            <v>5.0019061343269389E-3</v>
          </cell>
          <cell r="D171">
            <v>6.2067972955618389E-2</v>
          </cell>
          <cell r="E171">
            <v>8.6505074929410508E-2</v>
          </cell>
        </row>
        <row r="172">
          <cell r="B172" t="str">
            <v>Gross Margin</v>
          </cell>
          <cell r="C172">
            <v>-132.46959365692589</v>
          </cell>
          <cell r="D172">
            <v>-92.045492314125624</v>
          </cell>
          <cell r="E172">
            <v>-56.354346649143963</v>
          </cell>
        </row>
        <row r="173">
          <cell r="B173" t="str">
            <v>Expense Ratio</v>
          </cell>
          <cell r="C173">
            <v>43.820169861799044</v>
          </cell>
          <cell r="D173">
            <v>20.392820435544689</v>
          </cell>
          <cell r="E173">
            <v>9.2980880347370842E-2</v>
          </cell>
        </row>
        <row r="174">
          <cell r="B174" t="str">
            <v>Operating Margin</v>
          </cell>
          <cell r="C174">
            <v>-176.28976351872521</v>
          </cell>
          <cell r="D174">
            <v>-112.43831274967059</v>
          </cell>
          <cell r="E174">
            <v>-56.447327529490224</v>
          </cell>
        </row>
        <row r="176">
          <cell r="B176" t="str">
            <v>P/E Valuation</v>
          </cell>
          <cell r="J176" t="str">
            <v>Guess?: Base Case Assumptions</v>
          </cell>
        </row>
        <row r="177">
          <cell r="B177" t="str">
            <v>EPS</v>
          </cell>
          <cell r="C177">
            <v>2.2579131220645636</v>
          </cell>
          <cell r="D177">
            <v>2.5106239184555692</v>
          </cell>
          <cell r="E177">
            <v>2.6827665053331833</v>
          </cell>
          <cell r="J177">
            <v>2.5106239184555692</v>
          </cell>
        </row>
        <row r="178">
          <cell r="B178" t="str">
            <v>P/E</v>
          </cell>
          <cell r="C178">
            <v>6</v>
          </cell>
          <cell r="D178">
            <v>9</v>
          </cell>
          <cell r="E178">
            <v>12</v>
          </cell>
        </row>
        <row r="179">
          <cell r="B179" t="str">
            <v>Scenario Price</v>
          </cell>
          <cell r="C179">
            <v>13.547478732387383</v>
          </cell>
          <cell r="D179">
            <v>22.595615266100122</v>
          </cell>
          <cell r="E179">
            <v>32.193198063998196</v>
          </cell>
        </row>
        <row r="180">
          <cell r="B180" t="str">
            <v>Ups/Downs</v>
          </cell>
          <cell r="C180" t="e">
            <v>#VALUE!</v>
          </cell>
          <cell r="D180" t="e">
            <v>#VALUE!</v>
          </cell>
          <cell r="E180" t="e">
            <v>#VALUE!</v>
          </cell>
        </row>
        <row r="182">
          <cell r="B182" t="str">
            <v>EBITDA Valuation</v>
          </cell>
        </row>
        <row r="183">
          <cell r="B183" t="str">
            <v>EBITDA</v>
          </cell>
          <cell r="C183">
            <v>395.95327325664459</v>
          </cell>
          <cell r="D183">
            <v>432.95762994659856</v>
          </cell>
          <cell r="E183">
            <v>458.02811179010723</v>
          </cell>
          <cell r="J183">
            <v>432.95762994659856</v>
          </cell>
        </row>
        <row r="184">
          <cell r="B184" t="str">
            <v>EV/EBITDA</v>
          </cell>
          <cell r="C184">
            <v>12</v>
          </cell>
          <cell r="D184">
            <v>0</v>
          </cell>
          <cell r="E184">
            <v>9</v>
          </cell>
          <cell r="G184">
            <v>4.642892656853105</v>
          </cell>
        </row>
        <row r="185">
          <cell r="B185" t="str">
            <v>EV</v>
          </cell>
          <cell r="C185">
            <v>4751.4392790797356</v>
          </cell>
          <cell r="D185">
            <v>0</v>
          </cell>
          <cell r="E185">
            <v>4122.2530061109646</v>
          </cell>
        </row>
        <row r="186">
          <cell r="B186" t="str">
            <v>Implied Equity</v>
          </cell>
          <cell r="C186">
            <v>53.114122235733603</v>
          </cell>
          <cell r="D186">
            <v>2.5092924925180773</v>
          </cell>
          <cell r="E186">
            <v>46.413023400157243</v>
          </cell>
        </row>
        <row r="187">
          <cell r="B187" t="str">
            <v>Ups/Downs</v>
          </cell>
          <cell r="C187" t="e">
            <v>#VALUE!</v>
          </cell>
          <cell r="D187" t="e">
            <v>#VALUE!</v>
          </cell>
          <cell r="E187" t="e">
            <v>#VALUE!</v>
          </cell>
        </row>
        <row r="189">
          <cell r="B189" t="str">
            <v>Residual Income</v>
          </cell>
        </row>
        <row r="190">
          <cell r="B190" t="str">
            <v>Val-Cur</v>
          </cell>
          <cell r="J190">
            <v>44.100114552712384</v>
          </cell>
        </row>
        <row r="192">
          <cell r="B192" t="str">
            <v>FCF Valuation</v>
          </cell>
        </row>
        <row r="193">
          <cell r="B193" t="str">
            <v>FCF Per Share</v>
          </cell>
          <cell r="C193">
            <v>1.9620268022792264</v>
          </cell>
          <cell r="D193">
            <v>2.0333858335373303</v>
          </cell>
          <cell r="E193">
            <v>2.1215188246551513</v>
          </cell>
          <cell r="J193">
            <v>2.0333858335373303</v>
          </cell>
        </row>
        <row r="194">
          <cell r="B194" t="str">
            <v>Yield</v>
          </cell>
          <cell r="C194">
            <v>5.8865276974596217E-2</v>
          </cell>
          <cell r="D194">
            <v>0.16199110174697171</v>
          </cell>
          <cell r="E194">
            <v>5.3978394715806746E-2</v>
          </cell>
        </row>
        <row r="196">
          <cell r="C196" t="str">
            <v>Trough</v>
          </cell>
          <cell r="D196" t="str">
            <v>5-Yr.</v>
          </cell>
          <cell r="E196" t="str">
            <v>Peak</v>
          </cell>
          <cell r="O196">
            <v>10</v>
          </cell>
          <cell r="P196">
            <v>22</v>
          </cell>
          <cell r="Q196">
            <v>28</v>
          </cell>
        </row>
        <row r="197">
          <cell r="B197" t="str">
            <v>P/E</v>
          </cell>
          <cell r="C197">
            <v>2.7960526315789473</v>
          </cell>
          <cell r="D197">
            <v>21.424835061443098</v>
          </cell>
          <cell r="E197">
            <v>48.75</v>
          </cell>
          <cell r="J197">
            <v>12.110443846511023</v>
          </cell>
        </row>
        <row r="198">
          <cell r="B198" t="str">
            <v>EV/EBITDA</v>
          </cell>
          <cell r="C198">
            <v>418.6037</v>
          </cell>
          <cell r="D198">
            <v>418.89366514622878</v>
          </cell>
          <cell r="E198">
            <v>412.87130000000002</v>
          </cell>
        </row>
        <row r="200">
          <cell r="B200" t="str">
            <v>Recession</v>
          </cell>
          <cell r="C200" t="str">
            <v>Trough</v>
          </cell>
          <cell r="D200" t="str">
            <v>Mean</v>
          </cell>
          <cell r="E200" t="str">
            <v>Peak</v>
          </cell>
          <cell r="G200" t="str">
            <v>Average</v>
          </cell>
        </row>
        <row r="201">
          <cell r="B201" t="str">
            <v>P/E</v>
          </cell>
          <cell r="C201">
            <v>13.053715703642743</v>
          </cell>
          <cell r="D201">
            <v>0</v>
          </cell>
          <cell r="E201">
            <v>309.44987810540982</v>
          </cell>
          <cell r="G201">
            <v>6.5268578518213713</v>
          </cell>
        </row>
        <row r="202">
          <cell r="B202" t="str">
            <v>EV/EBITDA</v>
          </cell>
          <cell r="C202">
            <v>11.247450128851238</v>
          </cell>
          <cell r="D202">
            <v>0</v>
          </cell>
          <cell r="E202">
            <v>11.620803986217455</v>
          </cell>
          <cell r="G202">
            <v>5.6237250644256189</v>
          </cell>
        </row>
        <row r="204">
          <cell r="B204" t="str">
            <v>Price Targets</v>
          </cell>
          <cell r="C204">
            <v>10</v>
          </cell>
          <cell r="D204">
            <v>22</v>
          </cell>
          <cell r="E204">
            <v>28</v>
          </cell>
        </row>
        <row r="205">
          <cell r="B205" t="str">
            <v>Ups/Downs</v>
          </cell>
          <cell r="C205" t="e">
            <v>#VALUE!</v>
          </cell>
          <cell r="D205" t="e">
            <v>#VALUE!</v>
          </cell>
          <cell r="E205" t="e">
            <v>#VALUE!</v>
          </cell>
        </row>
        <row r="206">
          <cell r="C206">
            <v>4.4288683662267392</v>
          </cell>
          <cell r="D206">
            <v>8.762762052204728</v>
          </cell>
          <cell r="E206">
            <v>10.436987320490857</v>
          </cell>
        </row>
        <row r="207">
          <cell r="A207" t="str">
            <v>UA.N</v>
          </cell>
          <cell r="B207" t="str">
            <v>UA</v>
          </cell>
        </row>
        <row r="208">
          <cell r="B208" t="str">
            <v>Current Price</v>
          </cell>
          <cell r="D208" t="str">
            <v>#Calc</v>
          </cell>
        </row>
        <row r="209">
          <cell r="B209" t="str">
            <v>Net Debt</v>
          </cell>
          <cell r="D209">
            <v>-2.5880000000000081</v>
          </cell>
        </row>
        <row r="210">
          <cell r="B210" t="str">
            <v>Shares</v>
          </cell>
          <cell r="D210">
            <v>49.933999999999997</v>
          </cell>
        </row>
        <row r="212">
          <cell r="B212" t="str">
            <v>Revenue</v>
          </cell>
          <cell r="C212">
            <v>0.14236773121139379</v>
          </cell>
          <cell r="D212">
            <v>0.18755186841098626</v>
          </cell>
          <cell r="E212">
            <v>0.22117037202345236</v>
          </cell>
        </row>
        <row r="213">
          <cell r="B213" t="str">
            <v>Gross Margin</v>
          </cell>
          <cell r="C213">
            <v>-166.35202649946334</v>
          </cell>
          <cell r="D213">
            <v>-81.868290295997738</v>
          </cell>
          <cell r="E213">
            <v>-11.871325705416492</v>
          </cell>
        </row>
        <row r="214">
          <cell r="B214" t="str">
            <v>Expense Ratio</v>
          </cell>
          <cell r="C214">
            <v>31.875640145483942</v>
          </cell>
          <cell r="D214">
            <v>-18.306369319854298</v>
          </cell>
          <cell r="E214">
            <v>-146.78806714331915</v>
          </cell>
        </row>
        <row r="215">
          <cell r="B215" t="str">
            <v>Operating Margin</v>
          </cell>
          <cell r="C215">
            <v>-198.22766664494756</v>
          </cell>
          <cell r="D215">
            <v>-63.561920976143718</v>
          </cell>
          <cell r="E215">
            <v>134.91674143790212</v>
          </cell>
        </row>
        <row r="217">
          <cell r="B217" t="str">
            <v>P/E Valuation</v>
          </cell>
          <cell r="J217" t="str">
            <v>Under Armour: Base Case Assumptions</v>
          </cell>
        </row>
        <row r="218">
          <cell r="B218" t="str">
            <v>EPS</v>
          </cell>
          <cell r="C218">
            <v>0.99906466248783032</v>
          </cell>
          <cell r="D218">
            <v>1.2018850185316137</v>
          </cell>
          <cell r="E218">
            <v>1.5504235836780593</v>
          </cell>
          <cell r="J218">
            <v>1.2018850185316137</v>
          </cell>
        </row>
        <row r="219">
          <cell r="B219" t="str">
            <v>P/E</v>
          </cell>
          <cell r="C219">
            <v>14</v>
          </cell>
          <cell r="D219">
            <v>18</v>
          </cell>
          <cell r="E219">
            <v>20</v>
          </cell>
        </row>
        <row r="220">
          <cell r="B220" t="str">
            <v>Scenario Price</v>
          </cell>
          <cell r="C220">
            <v>13.986905274829624</v>
          </cell>
          <cell r="D220">
            <v>21.633930333569047</v>
          </cell>
          <cell r="E220">
            <v>31.008471673561186</v>
          </cell>
        </row>
        <row r="221">
          <cell r="B221" t="str">
            <v>Ups/Downs</v>
          </cell>
          <cell r="C221" t="e">
            <v>#VALUE!</v>
          </cell>
          <cell r="D221" t="e">
            <v>#VALUE!</v>
          </cell>
          <cell r="E221" t="e">
            <v>#VALUE!</v>
          </cell>
        </row>
        <row r="223">
          <cell r="B223" t="str">
            <v>EBITDA Valuation</v>
          </cell>
        </row>
        <row r="224">
          <cell r="B224" t="str">
            <v>EBITDA</v>
          </cell>
          <cell r="C224">
            <v>119.58353719373952</v>
          </cell>
          <cell r="D224">
            <v>137.30870701109214</v>
          </cell>
          <cell r="E224">
            <v>167.54865976843155</v>
          </cell>
          <cell r="J224">
            <v>137.30870701109214</v>
          </cell>
        </row>
        <row r="225">
          <cell r="B225" t="str">
            <v>EV/EBITDA</v>
          </cell>
          <cell r="C225">
            <v>20</v>
          </cell>
          <cell r="D225">
            <v>0</v>
          </cell>
          <cell r="E225">
            <v>18</v>
          </cell>
          <cell r="I225" t="str">
            <v>LULU</v>
          </cell>
          <cell r="J225">
            <v>5.9734860572920985</v>
          </cell>
        </row>
        <row r="226">
          <cell r="B226" t="str">
            <v>EV</v>
          </cell>
          <cell r="C226">
            <v>2391.6707438747903</v>
          </cell>
          <cell r="D226">
            <v>0</v>
          </cell>
          <cell r="E226">
            <v>3015.8758758317681</v>
          </cell>
          <cell r="I226" t="str">
            <v>JCG</v>
          </cell>
          <cell r="J226">
            <v>0</v>
          </cell>
        </row>
        <row r="227">
          <cell r="B227" t="str">
            <v>Implied Equity</v>
          </cell>
          <cell r="C227">
            <v>47.948466853742751</v>
          </cell>
          <cell r="D227">
            <v>5.1828413505827856E-2</v>
          </cell>
          <cell r="E227">
            <v>60.449070289417399</v>
          </cell>
          <cell r="I227" t="str">
            <v>HIBB</v>
          </cell>
          <cell r="J227">
            <v>3.6649423212155883</v>
          </cell>
        </row>
        <row r="228">
          <cell r="B228" t="str">
            <v>Ups/Downs</v>
          </cell>
          <cell r="C228" t="e">
            <v>#VALUE!</v>
          </cell>
          <cell r="D228" t="e">
            <v>#VALUE!</v>
          </cell>
          <cell r="E228" t="e">
            <v>#VALUE!</v>
          </cell>
        </row>
        <row r="230">
          <cell r="B230" t="str">
            <v>Residual Income</v>
          </cell>
        </row>
        <row r="231">
          <cell r="B231" t="str">
            <v>Val-Cur</v>
          </cell>
          <cell r="J231">
            <v>28.532794139999851</v>
          </cell>
        </row>
        <row r="233">
          <cell r="B233" t="str">
            <v>FCF Valuation</v>
          </cell>
        </row>
        <row r="234">
          <cell r="B234" t="str">
            <v>FCF Per Share</v>
          </cell>
          <cell r="C234">
            <v>0.4343387735004669</v>
          </cell>
          <cell r="D234">
            <v>0.42456773940421655</v>
          </cell>
          <cell r="E234">
            <v>0.60593286020249848</v>
          </cell>
          <cell r="J234">
            <v>0.42456773940421655</v>
          </cell>
        </row>
        <row r="235">
          <cell r="B235" t="str">
            <v>Yield</v>
          </cell>
          <cell r="C235">
            <v>1.4025548198816596E-2</v>
          </cell>
          <cell r="D235">
            <v>3.9156364723598631E-2</v>
          </cell>
          <cell r="E235">
            <v>1.325058266813635E-2</v>
          </cell>
        </row>
        <row r="237">
          <cell r="C237" t="str">
            <v>Trough</v>
          </cell>
          <cell r="D237" t="str">
            <v>5-Yr.</v>
          </cell>
          <cell r="E237" t="str">
            <v>Peak</v>
          </cell>
          <cell r="O237">
            <v>14</v>
          </cell>
          <cell r="P237">
            <v>22</v>
          </cell>
          <cell r="Q237">
            <v>31</v>
          </cell>
        </row>
        <row r="238">
          <cell r="B238" t="str">
            <v>P/E</v>
          </cell>
          <cell r="C238">
            <v>12.428356703450484</v>
          </cell>
          <cell r="D238">
            <v>44.41327296284517</v>
          </cell>
          <cell r="E238">
            <v>87.068181818181827</v>
          </cell>
          <cell r="J238">
            <v>28.420814833147826</v>
          </cell>
        </row>
        <row r="239">
          <cell r="B239" t="str">
            <v>EV/EBITDA</v>
          </cell>
          <cell r="C239">
            <v>140.03810000000001</v>
          </cell>
          <cell r="D239">
            <v>117.12529688969684</v>
          </cell>
          <cell r="E239">
            <v>118.35556000000001</v>
          </cell>
        </row>
        <row r="241">
          <cell r="B241" t="str">
            <v>Price Targets</v>
          </cell>
          <cell r="C241">
            <v>14</v>
          </cell>
          <cell r="D241">
            <v>22</v>
          </cell>
          <cell r="E241">
            <v>31</v>
          </cell>
        </row>
        <row r="242">
          <cell r="B242" t="str">
            <v>Ups/Downs</v>
          </cell>
          <cell r="C242" t="e">
            <v>#VALUE!</v>
          </cell>
          <cell r="D242" t="e">
            <v>#VALUE!</v>
          </cell>
          <cell r="E242" t="e">
            <v>#VALUE!</v>
          </cell>
        </row>
        <row r="243">
          <cell r="C243">
            <v>14.013106984624766</v>
          </cell>
          <cell r="D243">
            <v>18.304579606856397</v>
          </cell>
          <cell r="E243">
            <v>19.994535897382903</v>
          </cell>
        </row>
        <row r="244">
          <cell r="A244" t="str">
            <v>RL.N</v>
          </cell>
          <cell r="B244" t="str">
            <v>RL</v>
          </cell>
        </row>
        <row r="245">
          <cell r="B245" t="str">
            <v>Current Price</v>
          </cell>
          <cell r="D245" t="str">
            <v>#Calc</v>
          </cell>
        </row>
        <row r="246">
          <cell r="B246" t="str">
            <v>Net Debt</v>
          </cell>
          <cell r="D246">
            <v>-240.9999999999996</v>
          </cell>
        </row>
        <row r="247">
          <cell r="B247" t="str">
            <v>Shares</v>
          </cell>
          <cell r="D247">
            <v>102.1</v>
          </cell>
        </row>
        <row r="249">
          <cell r="B249" t="str">
            <v>Revenue</v>
          </cell>
          <cell r="C249">
            <v>-1.2219431833004668E-2</v>
          </cell>
          <cell r="D249">
            <v>9.7264391571743047E-3</v>
          </cell>
          <cell r="E249">
            <v>4.8279300510463141E-2</v>
          </cell>
        </row>
        <row r="250">
          <cell r="B250" t="str">
            <v>Gross Margin</v>
          </cell>
          <cell r="C250">
            <v>-52.400778001017166</v>
          </cell>
          <cell r="D250">
            <v>39.903577506641419</v>
          </cell>
          <cell r="E250">
            <v>72.31350123189317</v>
          </cell>
        </row>
        <row r="251">
          <cell r="B251" t="str">
            <v>Expense Ratio</v>
          </cell>
          <cell r="C251">
            <v>162.99489485176565</v>
          </cell>
          <cell r="D251">
            <v>139.69425994722619</v>
          </cell>
          <cell r="E251">
            <v>121.14643072228759</v>
          </cell>
        </row>
        <row r="252">
          <cell r="B252" t="str">
            <v>Operating Margin</v>
          </cell>
          <cell r="C252">
            <v>-191.34202325536199</v>
          </cell>
          <cell r="D252">
            <v>-74.157682659594656</v>
          </cell>
          <cell r="E252">
            <v>-20.585567856334919</v>
          </cell>
        </row>
        <row r="254">
          <cell r="B254" t="str">
            <v>P/E Valuation</v>
          </cell>
          <cell r="J254" t="str">
            <v>Ralph Lauren: Base Case Assumptions</v>
          </cell>
        </row>
        <row r="255">
          <cell r="B255" t="str">
            <v>EPS</v>
          </cell>
          <cell r="C255">
            <v>3.3923540743442406</v>
          </cell>
          <cell r="D255">
            <v>3.8195556979500398</v>
          </cell>
          <cell r="E255">
            <v>4.1322311197207835</v>
          </cell>
          <cell r="J255">
            <v>3.8195556979500398</v>
          </cell>
        </row>
        <row r="256">
          <cell r="B256" t="str">
            <v>P/E</v>
          </cell>
          <cell r="C256">
            <v>8</v>
          </cell>
          <cell r="D256">
            <v>11</v>
          </cell>
          <cell r="E256">
            <v>15</v>
          </cell>
          <cell r="G256" t="e">
            <v>#VALUE!</v>
          </cell>
        </row>
        <row r="257">
          <cell r="B257" t="str">
            <v>Scenario Price</v>
          </cell>
          <cell r="C257">
            <v>27.138832594753925</v>
          </cell>
          <cell r="D257">
            <v>42.015112677450439</v>
          </cell>
          <cell r="E257">
            <v>61.983466795811751</v>
          </cell>
        </row>
        <row r="258">
          <cell r="B258" t="str">
            <v>Ups/Downs</v>
          </cell>
          <cell r="C258" t="e">
            <v>#VALUE!</v>
          </cell>
          <cell r="D258" t="e">
            <v>#VALUE!</v>
          </cell>
          <cell r="E258" t="e">
            <v>#VALUE!</v>
          </cell>
        </row>
        <row r="260">
          <cell r="B260" t="str">
            <v>EBITDA Valuation</v>
          </cell>
        </row>
        <row r="261">
          <cell r="B261" t="str">
            <v>EBITDA</v>
          </cell>
          <cell r="C261">
            <v>772.82752298635683</v>
          </cell>
          <cell r="D261">
            <v>843.29338043227006</v>
          </cell>
          <cell r="E261">
            <v>895.18188415629652</v>
          </cell>
          <cell r="J261">
            <v>843.29338043227006</v>
          </cell>
        </row>
        <row r="262">
          <cell r="B262" t="str">
            <v>EV/EBITDA</v>
          </cell>
          <cell r="C262">
            <v>15</v>
          </cell>
          <cell r="D262">
            <v>0</v>
          </cell>
          <cell r="E262">
            <v>11</v>
          </cell>
          <cell r="G262">
            <v>6.2532186038063315</v>
          </cell>
        </row>
        <row r="263">
          <cell r="B263" t="str">
            <v>EV</v>
          </cell>
          <cell r="C263">
            <v>11592.412844795352</v>
          </cell>
          <cell r="D263">
            <v>0</v>
          </cell>
          <cell r="E263">
            <v>9847.000725719261</v>
          </cell>
        </row>
        <row r="264">
          <cell r="B264" t="str">
            <v>Implied Equity</v>
          </cell>
          <cell r="C264">
            <v>115.9002237492199</v>
          </cell>
          <cell r="D264">
            <v>2.360430950048968</v>
          </cell>
          <cell r="E264">
            <v>98.805100153959472</v>
          </cell>
        </row>
        <row r="265">
          <cell r="B265" t="str">
            <v>Ups/Downs</v>
          </cell>
          <cell r="C265" t="e">
            <v>#VALUE!</v>
          </cell>
          <cell r="D265" t="e">
            <v>#VALUE!</v>
          </cell>
          <cell r="E265" t="e">
            <v>#VALUE!</v>
          </cell>
        </row>
        <row r="267">
          <cell r="B267" t="str">
            <v>Residual Income</v>
          </cell>
        </row>
        <row r="268">
          <cell r="B268" t="str">
            <v>Val-Cur</v>
          </cell>
          <cell r="J268">
            <v>58.077356023997737</v>
          </cell>
        </row>
        <row r="270">
          <cell r="B270" t="str">
            <v>FCF Valuation</v>
          </cell>
        </row>
        <row r="271">
          <cell r="B271" t="str">
            <v>FCF Per Share</v>
          </cell>
          <cell r="C271">
            <v>5.3375916719245931</v>
          </cell>
          <cell r="D271">
            <v>5.6935077768655109</v>
          </cell>
          <cell r="E271">
            <v>5.7274157838770998</v>
          </cell>
          <cell r="J271">
            <v>5.6935077768655109</v>
          </cell>
        </row>
        <row r="272">
          <cell r="B272" t="str">
            <v>Yield</v>
          </cell>
          <cell r="C272">
            <v>7.4631248392592789E-2</v>
          </cell>
          <cell r="D272">
            <v>0.25660565759637294</v>
          </cell>
          <cell r="E272">
            <v>7.1241580076601946E-2</v>
          </cell>
        </row>
        <row r="273">
          <cell r="O273">
            <v>25.684165401014301</v>
          </cell>
          <cell r="P273">
            <v>43</v>
          </cell>
          <cell r="Q273">
            <v>71.837292762706198</v>
          </cell>
        </row>
        <row r="274">
          <cell r="C274" t="str">
            <v>Trough</v>
          </cell>
          <cell r="D274" t="str">
            <v>5-Yr.</v>
          </cell>
          <cell r="E274" t="str">
            <v>Peak</v>
          </cell>
        </row>
        <row r="275">
          <cell r="B275" t="str">
            <v>P/E</v>
          </cell>
          <cell r="C275">
            <v>7.8445747800586503</v>
          </cell>
          <cell r="D275">
            <v>16.682633413664135</v>
          </cell>
          <cell r="E275">
            <v>26.298497977869165</v>
          </cell>
          <cell r="J275">
            <v>12.263604096861393</v>
          </cell>
        </row>
        <row r="276">
          <cell r="B276" t="str">
            <v>EV/EBITDA</v>
          </cell>
          <cell r="C276">
            <v>860.82420000000002</v>
          </cell>
          <cell r="D276">
            <v>862.34718055699659</v>
          </cell>
          <cell r="E276">
            <v>821.79550000000006</v>
          </cell>
        </row>
        <row r="278">
          <cell r="B278" t="str">
            <v>Recession</v>
          </cell>
          <cell r="C278" t="str">
            <v>Trough</v>
          </cell>
          <cell r="D278" t="str">
            <v>Mean</v>
          </cell>
          <cell r="E278" t="str">
            <v>Peak</v>
          </cell>
          <cell r="G278" t="str">
            <v>Average</v>
          </cell>
        </row>
        <row r="279">
          <cell r="B279" t="str">
            <v>P/E</v>
          </cell>
          <cell r="C279">
            <v>33.450534727436931</v>
          </cell>
          <cell r="D279">
            <v>0</v>
          </cell>
          <cell r="E279">
            <v>170.30555199737367</v>
          </cell>
          <cell r="G279">
            <v>16.725267363718466</v>
          </cell>
        </row>
        <row r="280">
          <cell r="B280" t="str">
            <v>EV/EBITDA</v>
          </cell>
          <cell r="C280">
            <v>13.227056805898966</v>
          </cell>
          <cell r="D280">
            <v>0</v>
          </cell>
          <cell r="E280">
            <v>10.280584766378455</v>
          </cell>
          <cell r="G280">
            <v>6.6135284029494832</v>
          </cell>
        </row>
        <row r="283">
          <cell r="B283" t="str">
            <v>Price Targets</v>
          </cell>
          <cell r="C283">
            <v>25.684165401014301</v>
          </cell>
          <cell r="D283">
            <v>43</v>
          </cell>
          <cell r="E283">
            <v>71.837292762706198</v>
          </cell>
        </row>
        <row r="284">
          <cell r="B284" t="str">
            <v>Ups/Downs</v>
          </cell>
          <cell r="C284" t="e">
            <v>#VALUE!</v>
          </cell>
          <cell r="D284" t="e">
            <v>#VALUE!</v>
          </cell>
          <cell r="E284" t="e">
            <v>#VALUE!</v>
          </cell>
        </row>
        <row r="285">
          <cell r="C285">
            <v>7.571192404489552</v>
          </cell>
          <cell r="D285">
            <v>11.257853897268248</v>
          </cell>
          <cell r="E285">
            <v>17.384626048593397</v>
          </cell>
        </row>
      </sheetData>
      <sheetData sheetId="9">
        <row r="1">
          <cell r="R1" t="str">
            <v>SmartCharts</v>
          </cell>
          <cell r="BN1" t="str">
            <v>.</v>
          </cell>
        </row>
        <row r="2">
          <cell r="BN2" t="str">
            <v>.</v>
          </cell>
        </row>
        <row r="3">
          <cell r="BN3" t="str">
            <v>.</v>
          </cell>
        </row>
        <row r="9">
          <cell r="D9" t="str">
            <v>Input values in white cells:</v>
          </cell>
        </row>
        <row r="10">
          <cell r="AF10">
            <v>6130.6740333953476</v>
          </cell>
        </row>
        <row r="11">
          <cell r="C11" t="str">
            <v>Base case:</v>
          </cell>
          <cell r="D11">
            <v>22</v>
          </cell>
          <cell r="AF11">
            <v>0.1</v>
          </cell>
        </row>
        <row r="13">
          <cell r="C13" t="str">
            <v>Current price:</v>
          </cell>
          <cell r="D13">
            <v>14.15</v>
          </cell>
          <cell r="AE13">
            <v>-4.9399999999999977</v>
          </cell>
        </row>
        <row r="14">
          <cell r="AE14">
            <v>6170.7696480537052</v>
          </cell>
        </row>
        <row r="15">
          <cell r="C15" t="str">
            <v>Price target:</v>
          </cell>
          <cell r="D15">
            <v>22</v>
          </cell>
        </row>
        <row r="17">
          <cell r="AE17" t="str">
            <v>Bear</v>
          </cell>
          <cell r="AG17" t="str">
            <v>Base</v>
          </cell>
          <cell r="AJ17" t="str">
            <v>Bull</v>
          </cell>
        </row>
        <row r="18">
          <cell r="E18" t="str">
            <v>Input your Bull/Bear data below:</v>
          </cell>
          <cell r="AD18">
            <v>6165.9792177678301</v>
          </cell>
          <cell r="AE18">
            <v>6165.9792177678301</v>
          </cell>
          <cell r="AG18">
            <v>40</v>
          </cell>
          <cell r="AJ18">
            <v>6130.6740333953476</v>
          </cell>
          <cell r="AL18">
            <v>6130.6740333953476</v>
          </cell>
        </row>
        <row r="19">
          <cell r="E19" t="str">
            <v>(Input "to Bear" values as negatives)</v>
          </cell>
          <cell r="AE19" t="str">
            <v>bear_labels</v>
          </cell>
          <cell r="AF19" t="str">
            <v>-bear</v>
          </cell>
          <cell r="AG19" t="str">
            <v>-space1</v>
          </cell>
          <cell r="AH19" t="str">
            <v>+space1</v>
          </cell>
          <cell r="AI19" t="str">
            <v>+bull</v>
          </cell>
          <cell r="AJ19" t="str">
            <v>bull_labels</v>
          </cell>
        </row>
        <row r="20">
          <cell r="D20" t="str">
            <v>to Bear</v>
          </cell>
          <cell r="E20" t="str">
            <v>to Bull</v>
          </cell>
        </row>
        <row r="21">
          <cell r="C21" t="str">
            <v>Global Expansion</v>
          </cell>
          <cell r="D21">
            <v>6170.7696480537052</v>
          </cell>
          <cell r="E21">
            <v>6125.839446330172</v>
          </cell>
          <cell r="AE21">
            <v>-613.06740333953474</v>
          </cell>
          <cell r="AF21">
            <v>6170.7696480537052</v>
          </cell>
          <cell r="AG21">
            <v>0</v>
          </cell>
          <cell r="AH21">
            <v>0</v>
          </cell>
          <cell r="AI21">
            <v>6125.839446330172</v>
          </cell>
          <cell r="AJ21">
            <v>613.06740333953474</v>
          </cell>
          <cell r="AK21">
            <v>6738.9068496697064</v>
          </cell>
        </row>
        <row r="22">
          <cell r="C22" t="str">
            <v>Margin Strength</v>
          </cell>
          <cell r="D22">
            <v>0.14956971412449871</v>
          </cell>
          <cell r="E22">
            <v>-0.10541293482405914</v>
          </cell>
          <cell r="AE22">
            <v>-613.06740333953474</v>
          </cell>
          <cell r="AF22">
            <v>0.14956971412449871</v>
          </cell>
          <cell r="AG22">
            <v>6170.7696480537052</v>
          </cell>
          <cell r="AH22">
            <v>6125.839446330172</v>
          </cell>
          <cell r="AI22">
            <v>-0.10541293482405914</v>
          </cell>
          <cell r="AJ22">
            <v>613.06740333953474</v>
          </cell>
          <cell r="AK22">
            <v>6738.8014367348824</v>
          </cell>
        </row>
        <row r="23">
          <cell r="C23" t="str">
            <v>Multiple</v>
          </cell>
          <cell r="D23">
            <v>-4.9399999999999977</v>
          </cell>
          <cell r="E23">
            <v>4.9400000000000013</v>
          </cell>
          <cell r="AE23">
            <v>-613.06740333953474</v>
          </cell>
          <cell r="AF23">
            <v>-4.9399999999999977</v>
          </cell>
          <cell r="AG23">
            <v>6170.9192177678297</v>
          </cell>
          <cell r="AH23">
            <v>6125.734033395348</v>
          </cell>
          <cell r="AI23">
            <v>4.9400000000000013</v>
          </cell>
          <cell r="AJ23">
            <v>613.06740333953474</v>
          </cell>
          <cell r="AK23">
            <v>6743.741436734882</v>
          </cell>
          <cell r="AN23" t="str">
            <v/>
          </cell>
        </row>
        <row r="24">
          <cell r="AE24">
            <v>-613.06740333953474</v>
          </cell>
          <cell r="AF24">
            <v>0</v>
          </cell>
          <cell r="AG24">
            <v>6165.9792177678301</v>
          </cell>
          <cell r="AH24">
            <v>6130.6740333953476</v>
          </cell>
          <cell r="AI24">
            <v>0</v>
          </cell>
          <cell r="AJ24" t="str">
            <v/>
          </cell>
          <cell r="AK24">
            <v>6130.6740333953476</v>
          </cell>
          <cell r="AN24" t="str">
            <v/>
          </cell>
        </row>
        <row r="25">
          <cell r="AE25">
            <v>-613.06740333953474</v>
          </cell>
          <cell r="AF25">
            <v>0</v>
          </cell>
          <cell r="AG25">
            <v>6165.9792177678301</v>
          </cell>
          <cell r="AH25">
            <v>6130.6740333953476</v>
          </cell>
          <cell r="AI25">
            <v>0</v>
          </cell>
          <cell r="AJ25" t="str">
            <v/>
          </cell>
          <cell r="AK25">
            <v>6130.6740333953476</v>
          </cell>
          <cell r="AN25" t="str">
            <v>Current
14.15</v>
          </cell>
        </row>
        <row r="26">
          <cell r="AE26">
            <v>-613.06740333953474</v>
          </cell>
          <cell r="AF26">
            <v>0</v>
          </cell>
          <cell r="AG26">
            <v>6165.9792177678301</v>
          </cell>
          <cell r="AH26">
            <v>6130.6740333953476</v>
          </cell>
          <cell r="AI26">
            <v>0</v>
          </cell>
          <cell r="AJ26" t="str">
            <v/>
          </cell>
          <cell r="AK26">
            <v>6130.6740333953476</v>
          </cell>
          <cell r="AN26" t="str">
            <v/>
          </cell>
        </row>
        <row r="27">
          <cell r="D27">
            <v>6187.9792177678301</v>
          </cell>
          <cell r="E27">
            <v>6152.6740333953476</v>
          </cell>
          <cell r="AG27">
            <v>0</v>
          </cell>
          <cell r="AH27">
            <v>6130.6740333953476</v>
          </cell>
          <cell r="AN27" t="str">
            <v/>
          </cell>
        </row>
        <row r="28">
          <cell r="D28" t="str">
            <v>BEAR</v>
          </cell>
          <cell r="E28" t="str">
            <v>BULL</v>
          </cell>
          <cell r="AN28" t="str">
            <v/>
          </cell>
        </row>
        <row r="30">
          <cell r="C30" t="str">
            <v>Select currency here:</v>
          </cell>
          <cell r="AE30" t="str">
            <v>-space1</v>
          </cell>
          <cell r="AF30" t="str">
            <v>-bear</v>
          </cell>
          <cell r="AG30" t="str">
            <v>bear_labels</v>
          </cell>
          <cell r="AH30" t="str">
            <v>+space1</v>
          </cell>
          <cell r="AI30" t="str">
            <v>+bull</v>
          </cell>
          <cell r="AJ30" t="str">
            <v>bull_labels</v>
          </cell>
          <cell r="AK30" t="str">
            <v>Bear 6187.98</v>
          </cell>
          <cell r="AL30" t="str">
            <v>Target  22.00</v>
          </cell>
          <cell r="AM30" t="str">
            <v>Bull 6152.67</v>
          </cell>
          <cell r="AN30" t="str">
            <v>Current
14.15</v>
          </cell>
          <cell r="AP30" t="str">
            <v/>
          </cell>
        </row>
        <row r="32">
          <cell r="E32" t="str">
            <v/>
          </cell>
          <cell r="AD32" t="str">
            <v>Global Expansion</v>
          </cell>
          <cell r="AE32">
            <v>0</v>
          </cell>
          <cell r="AF32">
            <v>6170.7696480537052</v>
          </cell>
          <cell r="AH32">
            <v>0</v>
          </cell>
          <cell r="AI32">
            <v>6125.839446330172</v>
          </cell>
          <cell r="AJ32">
            <v>613.06740333953474</v>
          </cell>
          <cell r="AK32">
            <v>6165.9792177678301</v>
          </cell>
          <cell r="AL32">
            <v>0</v>
          </cell>
          <cell r="AM32">
            <v>6130.6740333953476</v>
          </cell>
          <cell r="AN32">
            <v>-7.85</v>
          </cell>
          <cell r="AP32">
            <v>0</v>
          </cell>
        </row>
        <row r="33">
          <cell r="D33" t="str">
            <v>other currency</v>
          </cell>
          <cell r="AD33" t="str">
            <v>Margin Strength</v>
          </cell>
          <cell r="AE33">
            <v>6170.7696480537052</v>
          </cell>
          <cell r="AF33">
            <v>0.14956971412449871</v>
          </cell>
          <cell r="AH33">
            <v>6125.839446330172</v>
          </cell>
          <cell r="AI33">
            <v>-0.10541293482405914</v>
          </cell>
          <cell r="AJ33">
            <v>613.06740333953474</v>
          </cell>
          <cell r="AK33">
            <v>6165.9792177678301</v>
          </cell>
          <cell r="AL33">
            <v>0</v>
          </cell>
          <cell r="AM33">
            <v>6130.6740333953476</v>
          </cell>
          <cell r="AN33">
            <v>-7.85</v>
          </cell>
        </row>
        <row r="34">
          <cell r="AD34" t="str">
            <v>Multiple</v>
          </cell>
          <cell r="AE34">
            <v>6170.9192177678297</v>
          </cell>
          <cell r="AF34">
            <v>-4.9399999999999977</v>
          </cell>
          <cell r="AH34">
            <v>6125.734033395348</v>
          </cell>
          <cell r="AI34">
            <v>4.9400000000000013</v>
          </cell>
          <cell r="AJ34">
            <v>613.06740333953474</v>
          </cell>
          <cell r="AK34">
            <v>6165.9792177678301</v>
          </cell>
          <cell r="AL34">
            <v>0</v>
          </cell>
          <cell r="AM34">
            <v>6130.6740333953476</v>
          </cell>
          <cell r="AN34">
            <v>-7.85</v>
          </cell>
        </row>
        <row r="35">
          <cell r="AD35" t="str">
            <v/>
          </cell>
          <cell r="AE35">
            <v>6165.9792177678301</v>
          </cell>
          <cell r="AF35" t="str">
            <v/>
          </cell>
          <cell r="AH35">
            <v>6130.6740333953476</v>
          </cell>
          <cell r="AI35">
            <v>0</v>
          </cell>
          <cell r="AJ35" t="str">
            <v/>
          </cell>
          <cell r="AK35">
            <v>6165.9792177678301</v>
          </cell>
          <cell r="AL35">
            <v>0</v>
          </cell>
          <cell r="AM35">
            <v>6130.6740333953476</v>
          </cell>
          <cell r="AN35">
            <v>-7.85</v>
          </cell>
        </row>
        <row r="36">
          <cell r="AD36" t="str">
            <v/>
          </cell>
          <cell r="AE36">
            <v>6165.9792177678301</v>
          </cell>
          <cell r="AF36" t="str">
            <v/>
          </cell>
          <cell r="AH36">
            <v>6130.6740333953476</v>
          </cell>
          <cell r="AI36">
            <v>0</v>
          </cell>
          <cell r="AJ36" t="str">
            <v/>
          </cell>
          <cell r="AK36">
            <v>6165.9792177678301</v>
          </cell>
          <cell r="AL36">
            <v>0</v>
          </cell>
          <cell r="AM36">
            <v>6130.6740333953476</v>
          </cell>
          <cell r="AN36">
            <v>-7.85</v>
          </cell>
        </row>
        <row r="37">
          <cell r="AD37" t="str">
            <v/>
          </cell>
          <cell r="AE37">
            <v>6165.9792177678301</v>
          </cell>
          <cell r="AF37" t="str">
            <v/>
          </cell>
          <cell r="AH37">
            <v>6130.6740333953476</v>
          </cell>
          <cell r="AI37">
            <v>0</v>
          </cell>
          <cell r="AJ37" t="str">
            <v/>
          </cell>
          <cell r="AK37">
            <v>6165.9792177678301</v>
          </cell>
          <cell r="AL37">
            <v>0</v>
          </cell>
          <cell r="AM37">
            <v>6130.6740333953476</v>
          </cell>
          <cell r="AN37">
            <v>-7.85</v>
          </cell>
        </row>
        <row r="38">
          <cell r="H38" t="str">
            <v>click here for link to SmartChart FAQ</v>
          </cell>
          <cell r="AK38">
            <v>6165.9792177678301</v>
          </cell>
          <cell r="AL38">
            <v>0</v>
          </cell>
          <cell r="AM38">
            <v>6130.6740333953476</v>
          </cell>
          <cell r="AN38">
            <v>-7.85</v>
          </cell>
        </row>
        <row r="39">
          <cell r="AK39">
            <v>6165.9792177678301</v>
          </cell>
          <cell r="AL39">
            <v>0</v>
          </cell>
          <cell r="AM39">
            <v>6130.6740333953476</v>
          </cell>
          <cell r="AN39">
            <v>-7.85</v>
          </cell>
        </row>
        <row r="40">
          <cell r="G40" t="str">
            <v>Do not change the width of the exhibit or font sizes (they are optimized for export to Word).</v>
          </cell>
        </row>
        <row r="41">
          <cell r="AC41">
            <v>1</v>
          </cell>
          <cell r="AD41" t="str">
            <v>U.S. Dollars</v>
          </cell>
          <cell r="AE41">
            <v>1</v>
          </cell>
          <cell r="AG41" t="str">
            <v>All values are in U.S. Dollars</v>
          </cell>
        </row>
        <row r="42">
          <cell r="G42" t="str">
            <v>Do not delete any rows or columns (some gray cells are used for calculations).</v>
          </cell>
          <cell r="AC42">
            <v>2</v>
          </cell>
          <cell r="AD42" t="str">
            <v>Euros</v>
          </cell>
        </row>
        <row r="43">
          <cell r="AC43">
            <v>3</v>
          </cell>
          <cell r="AD43" t="str">
            <v>Japanese Yen</v>
          </cell>
        </row>
        <row r="44">
          <cell r="G44" t="str">
            <v>You can move the worksheet into another workbook (please use MOVE; do not COPY)</v>
          </cell>
          <cell r="AC44">
            <v>4</v>
          </cell>
          <cell r="AD44" t="str">
            <v>Other (input below)</v>
          </cell>
        </row>
        <row r="46">
          <cell r="G46" t="str">
            <v>Color palette may be affected after moving the worksheet to another workbook. See instructions in FAQ on the intranet</v>
          </cell>
        </row>
        <row r="49">
          <cell r="L49" t="str">
            <v>Bear</v>
          </cell>
          <cell r="M49" t="str">
            <v>Base</v>
          </cell>
          <cell r="N49" t="str">
            <v>Bull</v>
          </cell>
          <cell r="AK49" t="str">
            <v>s</v>
          </cell>
        </row>
        <row r="50">
          <cell r="J50" t="str">
            <v>Revenues</v>
          </cell>
          <cell r="L50">
            <v>212.3175238670191</v>
          </cell>
          <cell r="M50">
            <v>2022.5584557033394</v>
          </cell>
          <cell r="N50">
            <v>225.49813096701911</v>
          </cell>
        </row>
        <row r="51">
          <cell r="J51" t="str">
            <v>Gross Margin</v>
          </cell>
          <cell r="L51">
            <v>-23.812190517260888</v>
          </cell>
          <cell r="M51">
            <v>-23.812726947840115</v>
          </cell>
          <cell r="N51">
            <v>-23.813105010484797</v>
          </cell>
        </row>
        <row r="52">
          <cell r="J52" t="str">
            <v>Gross Profit</v>
          </cell>
          <cell r="L52">
            <v>-5055.7453284745443</v>
          </cell>
          <cell r="M52">
            <v>-48162.632241708801</v>
          </cell>
          <cell r="N52">
            <v>-5369.8106723856799</v>
          </cell>
        </row>
        <row r="53">
          <cell r="J53" t="str">
            <v>Expense Ratio</v>
          </cell>
          <cell r="L53">
            <v>6.6772102905653528</v>
          </cell>
          <cell r="M53">
            <v>0.90403084684786683</v>
          </cell>
          <cell r="N53">
            <v>7.2977144793772037</v>
          </cell>
        </row>
        <row r="54">
          <cell r="J54" t="str">
            <v>Expenses</v>
          </cell>
          <cell r="L54">
            <v>1417.6887552322148</v>
          </cell>
          <cell r="M54">
            <v>1828.4552335088038</v>
          </cell>
          <cell r="N54">
            <v>1645.6209754305123</v>
          </cell>
        </row>
        <row r="55">
          <cell r="J55" t="str">
            <v>Operating Margin</v>
          </cell>
          <cell r="L55">
            <v>2</v>
          </cell>
          <cell r="M55">
            <v>2</v>
          </cell>
          <cell r="N55">
            <v>2</v>
          </cell>
        </row>
        <row r="56">
          <cell r="J56" t="str">
            <v>Operating Profit</v>
          </cell>
          <cell r="L56">
            <v>-6473.4340837067593</v>
          </cell>
          <cell r="M56">
            <v>-49991.087475217602</v>
          </cell>
          <cell r="N56">
            <v>-7015.4316478161927</v>
          </cell>
        </row>
        <row r="57">
          <cell r="J57" t="str">
            <v>Other Expenses</v>
          </cell>
          <cell r="L57">
            <v>21</v>
          </cell>
          <cell r="M57">
            <v>21</v>
          </cell>
          <cell r="N57">
            <v>21</v>
          </cell>
        </row>
        <row r="58">
          <cell r="J58" t="str">
            <v>PBT</v>
          </cell>
          <cell r="L58">
            <v>-6494.4340837067593</v>
          </cell>
          <cell r="M58">
            <v>-50012.087475217602</v>
          </cell>
          <cell r="N58">
            <v>-7036.4316478161927</v>
          </cell>
        </row>
        <row r="59">
          <cell r="J59" t="str">
            <v>Taxes</v>
          </cell>
          <cell r="L59">
            <v>-1883.3858842749623</v>
          </cell>
          <cell r="M59">
            <v>-14503.505367813121</v>
          </cell>
          <cell r="N59">
            <v>-2040.5651778666981</v>
          </cell>
        </row>
        <row r="60">
          <cell r="J60" t="str">
            <v>Net Income</v>
          </cell>
          <cell r="L60">
            <v>-4611.048199431797</v>
          </cell>
          <cell r="M60">
            <v>-35508.58210740448</v>
          </cell>
          <cell r="N60">
            <v>-4995.8664699494948</v>
          </cell>
        </row>
        <row r="61">
          <cell r="J61" t="str">
            <v>EPS</v>
          </cell>
          <cell r="L61">
            <v>1.87</v>
          </cell>
          <cell r="M61">
            <v>2.4700000000000002</v>
          </cell>
          <cell r="N61">
            <v>2.74</v>
          </cell>
        </row>
        <row r="62">
          <cell r="L62">
            <v>-101.34818620303524</v>
          </cell>
          <cell r="M62">
            <v>-768.52777903632079</v>
          </cell>
          <cell r="N62">
            <v>-110.52020819742835</v>
          </cell>
        </row>
        <row r="63">
          <cell r="J63" t="str">
            <v>Tax Rate</v>
          </cell>
          <cell r="L63">
            <v>0.29000000000000031</v>
          </cell>
          <cell r="M63">
            <v>0.29000000000000031</v>
          </cell>
          <cell r="N63">
            <v>0.29000000000000031</v>
          </cell>
        </row>
        <row r="64">
          <cell r="J64" t="str">
            <v>Shares</v>
          </cell>
          <cell r="L64">
            <v>46.352354977810265</v>
          </cell>
          <cell r="M64">
            <v>46.352354977810265</v>
          </cell>
          <cell r="N64">
            <v>46.352354977810265</v>
          </cell>
        </row>
        <row r="66">
          <cell r="J66" t="str">
            <v>Revenues</v>
          </cell>
          <cell r="L66">
            <v>685.6410720059672</v>
          </cell>
          <cell r="M66">
            <v>0</v>
          </cell>
          <cell r="N66">
            <v>680.64882737001915</v>
          </cell>
        </row>
        <row r="67">
          <cell r="J67" t="str">
            <v>Gross Margin</v>
          </cell>
          <cell r="L67">
            <v>1.6618857124944302E-2</v>
          </cell>
          <cell r="M67">
            <v>0</v>
          </cell>
          <cell r="N67">
            <v>-1.1712548313784349E-2</v>
          </cell>
        </row>
        <row r="68">
          <cell r="J68" t="str">
            <v>Expenses</v>
          </cell>
          <cell r="L68">
            <v>-178.85565820979414</v>
          </cell>
          <cell r="M68">
            <v>0</v>
          </cell>
          <cell r="N68">
            <v>-198.0791530264415</v>
          </cell>
        </row>
        <row r="69">
          <cell r="J69" t="str">
            <v>Operating Profit</v>
          </cell>
          <cell r="L69">
            <v>506.80203265329806</v>
          </cell>
          <cell r="M69">
            <v>0</v>
          </cell>
          <cell r="N69">
            <v>482.55796179526385</v>
          </cell>
        </row>
        <row r="70">
          <cell r="J70" t="str">
            <v>Other</v>
          </cell>
          <cell r="L70">
            <v>-507.40203265329808</v>
          </cell>
          <cell r="M70">
            <v>0</v>
          </cell>
          <cell r="N70">
            <v>-482.28796179526387</v>
          </cell>
        </row>
        <row r="71">
          <cell r="J71" t="str">
            <v>TOTAL</v>
          </cell>
          <cell r="L71">
            <v>-0.60000000000002274</v>
          </cell>
          <cell r="M71">
            <v>0</v>
          </cell>
          <cell r="N71">
            <v>0.26999999999998181</v>
          </cell>
        </row>
        <row r="72">
          <cell r="L72">
            <v>-0.60000000000000009</v>
          </cell>
          <cell r="N72">
            <v>0.27</v>
          </cell>
        </row>
        <row r="74">
          <cell r="J74" t="str">
            <v>Multiple</v>
          </cell>
          <cell r="L74">
            <v>7</v>
          </cell>
          <cell r="M74">
            <v>9</v>
          </cell>
          <cell r="N74">
            <v>11</v>
          </cell>
        </row>
        <row r="75">
          <cell r="J75" t="str">
            <v>Target</v>
          </cell>
          <cell r="L75">
            <v>13.3143286066726</v>
          </cell>
          <cell r="M75">
            <v>22</v>
          </cell>
          <cell r="N75">
            <v>30.153107432493702</v>
          </cell>
        </row>
        <row r="77">
          <cell r="J77" t="str">
            <v>Drivers</v>
          </cell>
        </row>
        <row r="78">
          <cell r="J78" t="str">
            <v>Revenues</v>
          </cell>
          <cell r="L78">
            <v>6170.7696480537052</v>
          </cell>
          <cell r="N78">
            <v>6125.839446330172</v>
          </cell>
        </row>
        <row r="79">
          <cell r="J79" t="str">
            <v>Gross Margin</v>
          </cell>
          <cell r="L79">
            <v>0.14956971412449871</v>
          </cell>
          <cell r="N79">
            <v>-0.10541293482405914</v>
          </cell>
        </row>
        <row r="80">
          <cell r="J80" t="str">
            <v>Expenses</v>
          </cell>
          <cell r="L80">
            <v>-1609.7009238881474</v>
          </cell>
          <cell r="N80">
            <v>-1782.7123772379734</v>
          </cell>
        </row>
        <row r="81">
          <cell r="J81" t="str">
            <v>Operating Profit</v>
          </cell>
          <cell r="L81">
            <v>4561.2182938796823</v>
          </cell>
          <cell r="N81">
            <v>4343.0216561573743</v>
          </cell>
        </row>
        <row r="82">
          <cell r="J82" t="str">
            <v>Other</v>
          </cell>
          <cell r="L82">
            <v>-4566.6182938796828</v>
          </cell>
          <cell r="N82">
            <v>-4340.5916561573749</v>
          </cell>
        </row>
        <row r="83">
          <cell r="J83" t="str">
            <v>TOTAL</v>
          </cell>
          <cell r="L83">
            <v>-5.4000000000005457</v>
          </cell>
          <cell r="N83">
            <v>2.4299999999993815</v>
          </cell>
        </row>
        <row r="84">
          <cell r="J84" t="str">
            <v>Multiple</v>
          </cell>
          <cell r="L84">
            <v>-4.9399999999999977</v>
          </cell>
          <cell r="N84">
            <v>4.9400000000000013</v>
          </cell>
        </row>
        <row r="85">
          <cell r="J85" t="str">
            <v>TOTAL</v>
          </cell>
          <cell r="L85">
            <v>-10.340000000000543</v>
          </cell>
          <cell r="N85">
            <v>7.3699999999993828</v>
          </cell>
        </row>
        <row r="86">
          <cell r="J86" t="str">
            <v>Check</v>
          </cell>
          <cell r="L86">
            <v>-8.6856713933274001</v>
          </cell>
          <cell r="N86">
            <v>8.1531074324937016</v>
          </cell>
        </row>
      </sheetData>
      <sheetData sheetId="1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000"/>
      <sheetName val="traffic"/>
      <sheetName val="SGA core info"/>
      <sheetName val="Sensitivity 2"/>
      <sheetName val="Sensitivity 2 summary table"/>
      <sheetName val="2 year comp"/>
      <sheetName val="Sensitivity 1 scrap "/>
      <sheetName val="Overlaps Summary"/>
      <sheetName val="Merchandise margins at Gap"/>
      <sheetName val="operating margins at Gap"/>
    </sheetNames>
    <sheetDataSet>
      <sheetData sheetId="0">
        <row r="1">
          <cell r="N1" t="str">
            <v>SmartCharts</v>
          </cell>
          <cell r="AW1" t="str">
            <v>.</v>
          </cell>
        </row>
        <row r="2">
          <cell r="AW2" t="str">
            <v>.</v>
          </cell>
        </row>
        <row r="3">
          <cell r="AW3" t="str">
            <v>.</v>
          </cell>
        </row>
        <row r="4">
          <cell r="AW4" t="str">
            <v>.</v>
          </cell>
        </row>
        <row r="5">
          <cell r="C5" t="str">
            <v>Define value axis here:</v>
          </cell>
        </row>
        <row r="6">
          <cell r="C6" t="str">
            <v>Gap, Inc. SG&amp;A per Sqaure Foot</v>
          </cell>
        </row>
        <row r="10">
          <cell r="C10" t="str">
            <v>Input your data here:</v>
          </cell>
          <cell r="AW10" t="str">
            <v>.</v>
          </cell>
        </row>
        <row r="11">
          <cell r="C11" t="str">
            <v>Q104</v>
          </cell>
          <cell r="D11">
            <v>113.55540448674371</v>
          </cell>
        </row>
        <row r="12">
          <cell r="C12" t="str">
            <v>Q204</v>
          </cell>
          <cell r="D12">
            <v>116.44808743169398</v>
          </cell>
          <cell r="AW12" t="str">
            <v>.</v>
          </cell>
        </row>
        <row r="13">
          <cell r="C13" t="str">
            <v>Q304</v>
          </cell>
          <cell r="D13">
            <v>117.67918088737201</v>
          </cell>
          <cell r="AW13" t="str">
            <v>.</v>
          </cell>
        </row>
        <row r="14">
          <cell r="C14" t="str">
            <v>Q404</v>
          </cell>
          <cell r="D14">
            <v>117.21691678035471</v>
          </cell>
          <cell r="AW14" t="str">
            <v>.</v>
          </cell>
        </row>
        <row r="15">
          <cell r="C15" t="str">
            <v>Q105</v>
          </cell>
          <cell r="D15">
            <v>117.46766507828454</v>
          </cell>
          <cell r="AW15" t="str">
            <v>.</v>
          </cell>
        </row>
        <row r="16">
          <cell r="C16" t="str">
            <v>Q205</v>
          </cell>
          <cell r="D16">
            <v>116.88346883468836</v>
          </cell>
          <cell r="AW16" t="str">
            <v>.</v>
          </cell>
        </row>
        <row r="17">
          <cell r="C17" t="str">
            <v>Q305</v>
          </cell>
          <cell r="D17">
            <v>113.89784946236558</v>
          </cell>
          <cell r="AW17" t="str">
            <v>.</v>
          </cell>
        </row>
        <row r="18">
          <cell r="C18" t="str">
            <v>Q405</v>
          </cell>
          <cell r="D18">
            <v>111.6</v>
          </cell>
          <cell r="AW18" t="str">
            <v>.</v>
          </cell>
        </row>
        <row r="19">
          <cell r="C19" t="str">
            <v>Q106</v>
          </cell>
          <cell r="D19">
            <v>110.34391534391536</v>
          </cell>
          <cell r="AW19" t="str">
            <v>.</v>
          </cell>
        </row>
        <row r="20">
          <cell r="C20" t="str">
            <v>Q206</v>
          </cell>
          <cell r="D20">
            <v>111.0761154855643</v>
          </cell>
          <cell r="AW20" t="str">
            <v>.</v>
          </cell>
        </row>
        <row r="21">
          <cell r="C21" t="str">
            <v>Q306</v>
          </cell>
          <cell r="D21">
            <v>114.17374265186153</v>
          </cell>
          <cell r="AW21" t="str">
            <v>.</v>
          </cell>
        </row>
        <row r="22">
          <cell r="C22" t="str">
            <v>Q406</v>
          </cell>
          <cell r="D22">
            <v>116.05962410887879</v>
          </cell>
          <cell r="AW22" t="str">
            <v>.</v>
          </cell>
        </row>
        <row r="23">
          <cell r="C23" t="str">
            <v>Q107</v>
          </cell>
          <cell r="D23">
            <v>116.37709137709138</v>
          </cell>
          <cell r="AW23" t="str">
            <v>.</v>
          </cell>
        </row>
        <row r="24">
          <cell r="C24" t="str">
            <v>Q207</v>
          </cell>
          <cell r="D24">
            <v>114.25463851567497</v>
          </cell>
          <cell r="AW24" t="str">
            <v>.</v>
          </cell>
        </row>
        <row r="25">
          <cell r="C25" t="str">
            <v>Q307</v>
          </cell>
          <cell r="D25">
            <v>111.47040101845958</v>
          </cell>
          <cell r="AW25" t="str">
            <v>.</v>
          </cell>
        </row>
        <row r="26">
          <cell r="C26" t="str">
            <v>Q407</v>
          </cell>
          <cell r="D26">
            <v>110.20925808497147</v>
          </cell>
          <cell r="AW26" t="str">
            <v>.</v>
          </cell>
        </row>
        <row r="27">
          <cell r="C27" t="str">
            <v>Q108</v>
          </cell>
          <cell r="D27">
            <v>107.58686039166139</v>
          </cell>
          <cell r="AW27" t="str">
            <v>.</v>
          </cell>
        </row>
        <row r="28">
          <cell r="C28" t="str">
            <v>Q208</v>
          </cell>
          <cell r="D28">
            <v>105.94833018273472</v>
          </cell>
          <cell r="AW28" t="str">
            <v>.</v>
          </cell>
        </row>
        <row r="29">
          <cell r="C29" t="str">
            <v>Q308</v>
          </cell>
          <cell r="D29">
            <v>103.60201511335012</v>
          </cell>
          <cell r="AW29" t="str">
            <v>.</v>
          </cell>
        </row>
        <row r="30">
          <cell r="C30" t="str">
            <v>Q408</v>
          </cell>
          <cell r="D30">
            <v>98.273471959672349</v>
          </cell>
          <cell r="AW30" t="str">
            <v>.</v>
          </cell>
        </row>
        <row r="31">
          <cell r="C31" t="str">
            <v>Q109</v>
          </cell>
          <cell r="D31">
            <v>96.616161616161619</v>
          </cell>
          <cell r="AW31" t="str">
            <v>.</v>
          </cell>
        </row>
        <row r="32">
          <cell r="C32" t="str">
            <v>Q209</v>
          </cell>
          <cell r="D32">
            <v>95.423514538558791</v>
          </cell>
          <cell r="AW32" t="str">
            <v>.</v>
          </cell>
        </row>
        <row r="33">
          <cell r="C33" t="str">
            <v>Q309E</v>
          </cell>
          <cell r="D33">
            <v>96.496514758303874</v>
          </cell>
          <cell r="AW33" t="str">
            <v>.</v>
          </cell>
        </row>
        <row r="34">
          <cell r="C34" t="str">
            <v>Q409E</v>
          </cell>
          <cell r="D34">
            <v>98.614359976164863</v>
          </cell>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
      <sheetData sheetId="2"/>
      <sheetData sheetId="3"/>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S vs Street"/>
      <sheetName val="Quarterly Data -ModelLinked"/>
      <sheetName val="Summary Cheat Sheet"/>
      <sheetName val="Coverage Universe Comp"/>
      <sheetName val="EBITDA"/>
      <sheetName val="__FDSCACHE__"/>
      <sheetName val="MS vs Consensus Estimates"/>
      <sheetName val="Revenue Growth"/>
      <sheetName val="Operating Margin"/>
      <sheetName val="EPS"/>
      <sheetName val="EPS Growth"/>
      <sheetName val="Relative Risk Reward Chart"/>
      <sheetName val="Earnings Snapshot"/>
      <sheetName val="For 2010 report - Q data"/>
      <sheetName val="For 2010 Report - misc calc"/>
      <sheetName val="GPS Report"/>
      <sheetName val="CHSG&amp;A Growth less Sales Growth"/>
    </sheetNames>
    <sheetDataSet>
      <sheetData sheetId="0"/>
      <sheetData sheetId="1"/>
      <sheetData sheetId="2"/>
      <sheetData sheetId="3"/>
      <sheetData sheetId="4">
        <row r="1">
          <cell r="C1" t="str">
            <v>KSS.N</v>
          </cell>
          <cell r="D1" t="str">
            <v>JCP.N</v>
          </cell>
          <cell r="E1" t="str">
            <v>M.N</v>
          </cell>
          <cell r="F1" t="str">
            <v>JWN.N</v>
          </cell>
          <cell r="G1" t="str">
            <v>SKS.N</v>
          </cell>
          <cell r="H1" t="str">
            <v>ROST.O</v>
          </cell>
          <cell r="I1" t="str">
            <v>TJX.N</v>
          </cell>
          <cell r="M1" t="str">
            <v>ANF.N</v>
          </cell>
          <cell r="N1" t="str">
            <v>ARO.N</v>
          </cell>
          <cell r="O1" t="str">
            <v>AEO.N</v>
          </cell>
          <cell r="P1" t="str">
            <v>COH.N</v>
          </cell>
          <cell r="Q1" t="str">
            <v>GPS.N</v>
          </cell>
          <cell r="R1" t="str">
            <v>LTD.N</v>
          </cell>
          <cell r="S1" t="str">
            <v>URBN.O</v>
          </cell>
        </row>
        <row r="2">
          <cell r="C2" t="str">
            <v>Base Case - Dept Stores</v>
          </cell>
          <cell r="M2" t="str">
            <v>Base Case - Specialty</v>
          </cell>
        </row>
        <row r="3">
          <cell r="B3">
            <v>40284</v>
          </cell>
          <cell r="C3" t="str">
            <v>KSS</v>
          </cell>
          <cell r="D3" t="str">
            <v>JCP</v>
          </cell>
          <cell r="E3" t="str">
            <v>M</v>
          </cell>
          <cell r="F3" t="str">
            <v>JWN</v>
          </cell>
          <cell r="G3" t="str">
            <v>SKS</v>
          </cell>
          <cell r="H3" t="str">
            <v>ROST</v>
          </cell>
          <cell r="I3" t="str">
            <v>TJX</v>
          </cell>
          <cell r="J3" t="str">
            <v>Average</v>
          </cell>
          <cell r="K3" t="str">
            <v>Total</v>
          </cell>
          <cell r="M3" t="str">
            <v>ANF</v>
          </cell>
          <cell r="N3" t="str">
            <v>ARO</v>
          </cell>
          <cell r="O3" t="str">
            <v>AEO</v>
          </cell>
          <cell r="P3" t="str">
            <v>COH</v>
          </cell>
          <cell r="Q3" t="str">
            <v>GPS</v>
          </cell>
          <cell r="R3" t="str">
            <v>LTD</v>
          </cell>
          <cell r="S3" t="str">
            <v>URBN</v>
          </cell>
          <cell r="T3" t="str">
            <v>Average</v>
          </cell>
          <cell r="U3" t="str">
            <v>Total</v>
          </cell>
        </row>
        <row r="4">
          <cell r="B4" t="str">
            <v>Current Price</v>
          </cell>
          <cell r="C4" t="str">
            <v>#Calc</v>
          </cell>
          <cell r="D4" t="str">
            <v>#Calc</v>
          </cell>
          <cell r="E4" t="str">
            <v>#Calc</v>
          </cell>
          <cell r="F4" t="str">
            <v>#Calc</v>
          </cell>
          <cell r="G4" t="str">
            <v>#Calc</v>
          </cell>
          <cell r="H4" t="str">
            <v>#Calc</v>
          </cell>
          <cell r="I4" t="str">
            <v>#Calc</v>
          </cell>
          <cell r="M4" t="str">
            <v>#Calc</v>
          </cell>
          <cell r="N4" t="str">
            <v>#Calc</v>
          </cell>
          <cell r="O4" t="str">
            <v>#Calc</v>
          </cell>
          <cell r="P4" t="str">
            <v>#Calc</v>
          </cell>
          <cell r="Q4" t="str">
            <v>#Calc</v>
          </cell>
          <cell r="R4" t="str">
            <v>#Calc</v>
          </cell>
          <cell r="S4" t="str">
            <v>#Calc</v>
          </cell>
        </row>
        <row r="5">
          <cell r="B5" t="str">
            <v>Market Cap ($M)</v>
          </cell>
          <cell r="C5" t="e">
            <v>#VALUE!</v>
          </cell>
          <cell r="D5" t="e">
            <v>#VALUE!</v>
          </cell>
          <cell r="E5" t="e">
            <v>#VALUE!</v>
          </cell>
          <cell r="F5" t="e">
            <v>#VALUE!</v>
          </cell>
          <cell r="G5" t="e">
            <v>#VALUE!</v>
          </cell>
          <cell r="H5" t="e">
            <v>#VALUE!</v>
          </cell>
          <cell r="I5" t="e">
            <v>#VALUE!</v>
          </cell>
          <cell r="J5" t="e">
            <v>#VALUE!</v>
          </cell>
          <cell r="K5" t="e">
            <v>#VALUE!</v>
          </cell>
          <cell r="M5" t="e">
            <v>#VALUE!</v>
          </cell>
          <cell r="N5" t="e">
            <v>#VALUE!</v>
          </cell>
          <cell r="O5" t="e">
            <v>#VALUE!</v>
          </cell>
          <cell r="P5" t="e">
            <v>#VALUE!</v>
          </cell>
          <cell r="Q5" t="e">
            <v>#VALUE!</v>
          </cell>
          <cell r="R5" t="e">
            <v>#VALUE!</v>
          </cell>
          <cell r="S5" t="e">
            <v>#VALUE!</v>
          </cell>
          <cell r="T5" t="e">
            <v>#VALUE!</v>
          </cell>
          <cell r="U5" t="e">
            <v>#VALUE!</v>
          </cell>
        </row>
        <row r="6">
          <cell r="B6" t="str">
            <v>Shares Outstanding (Last Reported)</v>
          </cell>
          <cell r="C6">
            <v>307</v>
          </cell>
          <cell r="D6">
            <v>232.85</v>
          </cell>
          <cell r="E6">
            <v>422.35</v>
          </cell>
          <cell r="F6">
            <v>219.65</v>
          </cell>
          <cell r="G6">
            <v>146.84450000000001</v>
          </cell>
          <cell r="H6">
            <v>125.05625000000001</v>
          </cell>
          <cell r="I6">
            <v>427.38150000000002</v>
          </cell>
          <cell r="M6">
            <v>88.354749999999996</v>
          </cell>
          <cell r="N6">
            <v>101.02475</v>
          </cell>
          <cell r="O6">
            <v>209.096</v>
          </cell>
          <cell r="P6">
            <v>321.38099999999997</v>
          </cell>
          <cell r="Q6">
            <v>698.5</v>
          </cell>
          <cell r="R6">
            <v>326.76499999999999</v>
          </cell>
          <cell r="S6">
            <v>171.22537274999999</v>
          </cell>
        </row>
        <row r="7">
          <cell r="B7" t="str">
            <v>EV ($M)</v>
          </cell>
          <cell r="C7" t="e">
            <v>#VALUE!</v>
          </cell>
          <cell r="D7" t="e">
            <v>#VALUE!</v>
          </cell>
          <cell r="E7" t="e">
            <v>#VALUE!</v>
          </cell>
          <cell r="F7" t="e">
            <v>#VALUE!</v>
          </cell>
          <cell r="G7" t="e">
            <v>#VALUE!</v>
          </cell>
          <cell r="H7" t="e">
            <v>#VALUE!</v>
          </cell>
          <cell r="I7" t="e">
            <v>#VALUE!</v>
          </cell>
          <cell r="J7" t="e">
            <v>#VALUE!</v>
          </cell>
          <cell r="K7" t="e">
            <v>#VALUE!</v>
          </cell>
          <cell r="M7" t="e">
            <v>#VALUE!</v>
          </cell>
          <cell r="N7" t="e">
            <v>#VALUE!</v>
          </cell>
          <cell r="O7" t="e">
            <v>#VALUE!</v>
          </cell>
          <cell r="P7" t="e">
            <v>#VALUE!</v>
          </cell>
          <cell r="Q7" t="e">
            <v>#VALUE!</v>
          </cell>
          <cell r="R7" t="e">
            <v>#VALUE!</v>
          </cell>
          <cell r="S7" t="e">
            <v>#VALUE!</v>
          </cell>
          <cell r="T7" t="e">
            <v>#VALUE!</v>
          </cell>
          <cell r="U7" t="e">
            <v>#VALUE!</v>
          </cell>
        </row>
        <row r="9">
          <cell r="B9" t="str">
            <v>P/E (CY2010)</v>
          </cell>
          <cell r="C9" t="e">
            <v>#VALUE!</v>
          </cell>
          <cell r="D9" t="e">
            <v>#VALUE!</v>
          </cell>
          <cell r="E9" t="e">
            <v>#VALUE!</v>
          </cell>
          <cell r="F9" t="e">
            <v>#VALUE!</v>
          </cell>
          <cell r="G9" t="e">
            <v>#VALUE!</v>
          </cell>
          <cell r="H9" t="e">
            <v>#VALUE!</v>
          </cell>
          <cell r="I9" t="e">
            <v>#VALUE!</v>
          </cell>
          <cell r="J9" t="e">
            <v>#VALUE!</v>
          </cell>
          <cell r="M9" t="e">
            <v>#VALUE!</v>
          </cell>
          <cell r="N9" t="e">
            <v>#VALUE!</v>
          </cell>
          <cell r="O9" t="e">
            <v>#VALUE!</v>
          </cell>
          <cell r="P9" t="e">
            <v>#VALUE!</v>
          </cell>
          <cell r="Q9" t="e">
            <v>#VALUE!</v>
          </cell>
          <cell r="R9" t="e">
            <v>#VALUE!</v>
          </cell>
          <cell r="S9" t="e">
            <v>#VALUE!</v>
          </cell>
          <cell r="T9" t="e">
            <v>#VALUE!</v>
          </cell>
        </row>
        <row r="10">
          <cell r="B10" t="str">
            <v>EV/EBITDA (CY2009)</v>
          </cell>
          <cell r="C10" t="e">
            <v>#VALUE!</v>
          </cell>
          <cell r="D10" t="e">
            <v>#VALUE!</v>
          </cell>
          <cell r="E10" t="e">
            <v>#VALUE!</v>
          </cell>
          <cell r="F10" t="e">
            <v>#VALUE!</v>
          </cell>
          <cell r="G10" t="e">
            <v>#VALUE!</v>
          </cell>
          <cell r="H10" t="e">
            <v>#VALUE!</v>
          </cell>
          <cell r="I10" t="e">
            <v>#VALUE!</v>
          </cell>
          <cell r="J10" t="e">
            <v>#VALUE!</v>
          </cell>
          <cell r="M10" t="e">
            <v>#VALUE!</v>
          </cell>
          <cell r="N10" t="e">
            <v>#VALUE!</v>
          </cell>
          <cell r="O10" t="e">
            <v>#VALUE!</v>
          </cell>
          <cell r="P10" t="e">
            <v>#VALUE!</v>
          </cell>
          <cell r="Q10" t="e">
            <v>#VALUE!</v>
          </cell>
          <cell r="R10" t="e">
            <v>#VALUE!</v>
          </cell>
          <cell r="S10" t="e">
            <v>#VALUE!</v>
          </cell>
          <cell r="T10" t="e">
            <v>#VALUE!</v>
          </cell>
        </row>
        <row r="11">
          <cell r="D11" t="str">
            <v xml:space="preserve"> </v>
          </cell>
        </row>
        <row r="12">
          <cell r="B12" t="str">
            <v>Targets</v>
          </cell>
        </row>
        <row r="13">
          <cell r="A13" t="str">
            <v>mscalc:targetPrice</v>
          </cell>
          <cell r="B13" t="str">
            <v>Price</v>
          </cell>
          <cell r="C13">
            <v>68</v>
          </cell>
          <cell r="D13">
            <v>24</v>
          </cell>
          <cell r="E13">
            <v>19</v>
          </cell>
          <cell r="F13" t="str">
            <v>NA</v>
          </cell>
          <cell r="G13" t="str">
            <v>NA</v>
          </cell>
          <cell r="H13" t="str">
            <v>NA</v>
          </cell>
          <cell r="I13" t="str">
            <v>NA</v>
          </cell>
          <cell r="M13" t="str">
            <v>NA</v>
          </cell>
          <cell r="N13" t="str">
            <v>NA</v>
          </cell>
          <cell r="O13" t="str">
            <v>NA</v>
          </cell>
          <cell r="P13">
            <v>42</v>
          </cell>
          <cell r="Q13">
            <v>16</v>
          </cell>
          <cell r="R13" t="str">
            <v>NA</v>
          </cell>
          <cell r="S13" t="str">
            <v>NA</v>
          </cell>
        </row>
        <row r="14">
          <cell r="A14" t="str">
            <v>mstag:met_12monthIntrinsicValueEstimate</v>
          </cell>
          <cell r="B14" t="str">
            <v>Upside/Downside</v>
          </cell>
          <cell r="C14" t="str">
            <v>NA</v>
          </cell>
          <cell r="D14" t="str">
            <v>NA</v>
          </cell>
          <cell r="E14" t="str">
            <v>NA</v>
          </cell>
          <cell r="F14" t="str">
            <v>NA</v>
          </cell>
          <cell r="G14" t="str">
            <v>NA</v>
          </cell>
          <cell r="H14" t="str">
            <v>NA</v>
          </cell>
          <cell r="I14" t="str">
            <v>NA</v>
          </cell>
          <cell r="J14" t="e">
            <v>#DIV/0!</v>
          </cell>
          <cell r="M14" t="str">
            <v>NA</v>
          </cell>
          <cell r="N14" t="str">
            <v>NA</v>
          </cell>
          <cell r="O14" t="str">
            <v>NA</v>
          </cell>
          <cell r="P14" t="str">
            <v>NA</v>
          </cell>
          <cell r="Q14" t="str">
            <v>NA</v>
          </cell>
          <cell r="R14" t="str">
            <v>NA</v>
          </cell>
          <cell r="S14" t="str">
            <v>NA</v>
          </cell>
          <cell r="T14" t="e">
            <v>#DIV/0!</v>
          </cell>
        </row>
        <row r="15">
          <cell r="B15" t="str">
            <v>P/E (FY2)</v>
          </cell>
          <cell r="C15">
            <v>14.870279459655178</v>
          </cell>
          <cell r="D15">
            <v>12.352957473773571</v>
          </cell>
          <cell r="E15">
            <v>9.1099989074795964</v>
          </cell>
          <cell r="F15" t="str">
            <v>NA</v>
          </cell>
          <cell r="G15" t="str">
            <v>NA</v>
          </cell>
          <cell r="H15" t="str">
            <v>NA</v>
          </cell>
          <cell r="I15" t="str">
            <v>NA</v>
          </cell>
          <cell r="J15">
            <v>12.111078613636115</v>
          </cell>
          <cell r="M15" t="str">
            <v>NA</v>
          </cell>
          <cell r="N15" t="str">
            <v>NA</v>
          </cell>
          <cell r="O15" t="str">
            <v>NA</v>
          </cell>
          <cell r="P15">
            <v>17.331798540137708</v>
          </cell>
          <cell r="Q15">
            <v>9.0673458792338248</v>
          </cell>
          <cell r="R15" t="str">
            <v>NA</v>
          </cell>
          <cell r="S15" t="str">
            <v>NA</v>
          </cell>
          <cell r="T15">
            <v>13.199572209685766</v>
          </cell>
        </row>
        <row r="16">
          <cell r="B16" t="str">
            <v>EV/EBITDA</v>
          </cell>
          <cell r="C16">
            <v>6.8730446650247607</v>
          </cell>
          <cell r="D16">
            <v>4.1445790823667163</v>
          </cell>
          <cell r="E16">
            <v>4.9543727752284275</v>
          </cell>
          <cell r="F16" t="str">
            <v>NA</v>
          </cell>
          <cell r="G16" t="str">
            <v>NA</v>
          </cell>
          <cell r="H16" t="str">
            <v>NA</v>
          </cell>
          <cell r="I16" t="str">
            <v>NA</v>
          </cell>
          <cell r="J16">
            <v>5.3239988408733012</v>
          </cell>
          <cell r="M16" t="str">
            <v>NA</v>
          </cell>
          <cell r="N16" t="str">
            <v>NA</v>
          </cell>
          <cell r="O16" t="str">
            <v>NA</v>
          </cell>
          <cell r="P16">
            <v>9.3913558314434322</v>
          </cell>
          <cell r="Q16">
            <v>3.6693619326464884</v>
          </cell>
          <cell r="R16" t="str">
            <v>NA</v>
          </cell>
          <cell r="S16" t="str">
            <v>NA</v>
          </cell>
          <cell r="T16">
            <v>6.5303588820449603</v>
          </cell>
        </row>
        <row r="18">
          <cell r="B18" t="str">
            <v>FY Reference</v>
          </cell>
        </row>
        <row r="19">
          <cell r="B19" t="str">
            <v>FY(10)</v>
          </cell>
          <cell r="C19">
            <v>1999</v>
          </cell>
          <cell r="D19">
            <v>1999</v>
          </cell>
          <cell r="E19">
            <v>1999</v>
          </cell>
          <cell r="F19">
            <v>1999</v>
          </cell>
          <cell r="G19">
            <v>1999</v>
          </cell>
          <cell r="H19">
            <v>1999</v>
          </cell>
          <cell r="I19">
            <v>2000</v>
          </cell>
          <cell r="M19">
            <v>1999</v>
          </cell>
          <cell r="N19">
            <v>1999</v>
          </cell>
          <cell r="O19">
            <v>1999</v>
          </cell>
          <cell r="P19">
            <v>1999</v>
          </cell>
          <cell r="Q19">
            <v>1999</v>
          </cell>
          <cell r="R19">
            <v>1999</v>
          </cell>
          <cell r="S19">
            <v>1999</v>
          </cell>
        </row>
        <row r="20">
          <cell r="B20" t="str">
            <v>FY(9)</v>
          </cell>
          <cell r="C20">
            <v>2000</v>
          </cell>
          <cell r="D20">
            <v>2000</v>
          </cell>
          <cell r="E20">
            <v>2000</v>
          </cell>
          <cell r="F20">
            <v>2000</v>
          </cell>
          <cell r="G20">
            <v>2000</v>
          </cell>
          <cell r="H20">
            <v>2000</v>
          </cell>
          <cell r="I20">
            <v>2001</v>
          </cell>
          <cell r="M20">
            <v>2000</v>
          </cell>
          <cell r="N20">
            <v>2000</v>
          </cell>
          <cell r="O20">
            <v>2000</v>
          </cell>
          <cell r="P20">
            <v>2000</v>
          </cell>
          <cell r="Q20">
            <v>2000</v>
          </cell>
          <cell r="R20">
            <v>2000</v>
          </cell>
          <cell r="S20">
            <v>2000</v>
          </cell>
        </row>
        <row r="21">
          <cell r="B21" t="str">
            <v>FY(8)</v>
          </cell>
          <cell r="C21">
            <v>2001</v>
          </cell>
          <cell r="D21">
            <v>2001</v>
          </cell>
          <cell r="E21">
            <v>2001</v>
          </cell>
          <cell r="F21">
            <v>2001</v>
          </cell>
          <cell r="G21">
            <v>2001</v>
          </cell>
          <cell r="H21">
            <v>2001</v>
          </cell>
          <cell r="I21">
            <v>2002</v>
          </cell>
          <cell r="M21">
            <v>2001</v>
          </cell>
          <cell r="N21">
            <v>2001</v>
          </cell>
          <cell r="O21">
            <v>2001</v>
          </cell>
          <cell r="P21">
            <v>2001</v>
          </cell>
          <cell r="Q21">
            <v>2001</v>
          </cell>
          <cell r="R21">
            <v>2001</v>
          </cell>
          <cell r="S21">
            <v>2001</v>
          </cell>
        </row>
        <row r="22">
          <cell r="B22" t="str">
            <v>FY(7)</v>
          </cell>
          <cell r="C22">
            <v>2002</v>
          </cell>
          <cell r="D22">
            <v>2002</v>
          </cell>
          <cell r="E22">
            <v>2002</v>
          </cell>
          <cell r="F22">
            <v>2002</v>
          </cell>
          <cell r="G22">
            <v>2002</v>
          </cell>
          <cell r="H22">
            <v>2002</v>
          </cell>
          <cell r="I22">
            <v>2003</v>
          </cell>
          <cell r="M22">
            <v>2002</v>
          </cell>
          <cell r="N22">
            <v>2002</v>
          </cell>
          <cell r="O22">
            <v>2002</v>
          </cell>
          <cell r="P22">
            <v>2002</v>
          </cell>
          <cell r="Q22">
            <v>2002</v>
          </cell>
          <cell r="R22">
            <v>2002</v>
          </cell>
          <cell r="S22">
            <v>2002</v>
          </cell>
        </row>
        <row r="23">
          <cell r="B23" t="str">
            <v>FY(6)</v>
          </cell>
          <cell r="C23">
            <v>2003</v>
          </cell>
          <cell r="D23">
            <v>2003</v>
          </cell>
          <cell r="E23">
            <v>2003</v>
          </cell>
          <cell r="F23">
            <v>2003</v>
          </cell>
          <cell r="G23">
            <v>2003</v>
          </cell>
          <cell r="H23">
            <v>2003</v>
          </cell>
          <cell r="I23">
            <v>2004</v>
          </cell>
          <cell r="M23">
            <v>2003</v>
          </cell>
          <cell r="N23">
            <v>2003</v>
          </cell>
          <cell r="O23">
            <v>2003</v>
          </cell>
          <cell r="P23">
            <v>2003</v>
          </cell>
          <cell r="Q23">
            <v>2003</v>
          </cell>
          <cell r="R23">
            <v>2003</v>
          </cell>
          <cell r="S23">
            <v>2003</v>
          </cell>
        </row>
        <row r="24">
          <cell r="B24" t="str">
            <v>FY(5)</v>
          </cell>
          <cell r="C24">
            <v>2004</v>
          </cell>
          <cell r="D24">
            <v>2004</v>
          </cell>
          <cell r="E24">
            <v>2004</v>
          </cell>
          <cell r="F24">
            <v>2004</v>
          </cell>
          <cell r="G24">
            <v>2004</v>
          </cell>
          <cell r="H24">
            <v>2004</v>
          </cell>
          <cell r="I24">
            <v>2005</v>
          </cell>
          <cell r="M24">
            <v>2004</v>
          </cell>
          <cell r="N24">
            <v>2004</v>
          </cell>
          <cell r="O24">
            <v>2004</v>
          </cell>
          <cell r="P24">
            <v>2004</v>
          </cell>
          <cell r="Q24">
            <v>2004</v>
          </cell>
          <cell r="R24">
            <v>2004</v>
          </cell>
          <cell r="S24">
            <v>2004</v>
          </cell>
        </row>
        <row r="25">
          <cell r="B25" t="str">
            <v>FY(4)</v>
          </cell>
          <cell r="C25">
            <v>2005</v>
          </cell>
          <cell r="D25">
            <v>2005</v>
          </cell>
          <cell r="E25">
            <v>2005</v>
          </cell>
          <cell r="F25">
            <v>2005</v>
          </cell>
          <cell r="G25">
            <v>2005</v>
          </cell>
          <cell r="H25">
            <v>2005</v>
          </cell>
          <cell r="I25">
            <v>2006</v>
          </cell>
          <cell r="M25">
            <v>2005</v>
          </cell>
          <cell r="N25">
            <v>2005</v>
          </cell>
          <cell r="O25">
            <v>2005</v>
          </cell>
          <cell r="P25">
            <v>2005</v>
          </cell>
          <cell r="Q25">
            <v>2005</v>
          </cell>
          <cell r="R25">
            <v>2005</v>
          </cell>
          <cell r="S25">
            <v>2005</v>
          </cell>
        </row>
        <row r="26">
          <cell r="B26" t="str">
            <v>FY(3)</v>
          </cell>
          <cell r="C26">
            <v>2006</v>
          </cell>
          <cell r="D26">
            <v>2006</v>
          </cell>
          <cell r="E26">
            <v>2006</v>
          </cell>
          <cell r="F26">
            <v>2006</v>
          </cell>
          <cell r="G26">
            <v>2006</v>
          </cell>
          <cell r="H26">
            <v>2006</v>
          </cell>
          <cell r="I26">
            <v>2007</v>
          </cell>
          <cell r="M26">
            <v>2006</v>
          </cell>
          <cell r="N26">
            <v>2006</v>
          </cell>
          <cell r="O26">
            <v>2006</v>
          </cell>
          <cell r="P26">
            <v>2006</v>
          </cell>
          <cell r="Q26">
            <v>2006</v>
          </cell>
          <cell r="R26">
            <v>2006</v>
          </cell>
          <cell r="S26">
            <v>2006</v>
          </cell>
        </row>
        <row r="27">
          <cell r="B27" t="str">
            <v>FY(2)</v>
          </cell>
          <cell r="C27">
            <v>2007</v>
          </cell>
          <cell r="D27">
            <v>2007</v>
          </cell>
          <cell r="E27">
            <v>2007</v>
          </cell>
          <cell r="F27">
            <v>2007</v>
          </cell>
          <cell r="G27">
            <v>2007</v>
          </cell>
          <cell r="H27">
            <v>2007</v>
          </cell>
          <cell r="I27">
            <v>2008</v>
          </cell>
          <cell r="M27">
            <v>2007</v>
          </cell>
          <cell r="N27">
            <v>2007</v>
          </cell>
          <cell r="O27">
            <v>2007</v>
          </cell>
          <cell r="P27">
            <v>2007</v>
          </cell>
          <cell r="Q27">
            <v>2007</v>
          </cell>
          <cell r="R27">
            <v>2007</v>
          </cell>
          <cell r="S27">
            <v>2007</v>
          </cell>
        </row>
        <row r="28">
          <cell r="B28" t="str">
            <v>FY(1)</v>
          </cell>
          <cell r="C28">
            <v>2008</v>
          </cell>
          <cell r="D28">
            <v>2008</v>
          </cell>
          <cell r="E28">
            <v>2008</v>
          </cell>
          <cell r="F28">
            <v>2008</v>
          </cell>
          <cell r="G28">
            <v>2008</v>
          </cell>
          <cell r="H28">
            <v>2008</v>
          </cell>
          <cell r="I28">
            <v>2009</v>
          </cell>
          <cell r="M28">
            <v>2008</v>
          </cell>
          <cell r="N28">
            <v>2008</v>
          </cell>
          <cell r="O28">
            <v>2008</v>
          </cell>
          <cell r="P28">
            <v>2008</v>
          </cell>
          <cell r="Q28">
            <v>2008</v>
          </cell>
          <cell r="R28">
            <v>2008</v>
          </cell>
          <cell r="S28">
            <v>2008</v>
          </cell>
        </row>
        <row r="29">
          <cell r="A29" t="str">
            <v>mscalc:lastActualYearCalc</v>
          </cell>
          <cell r="B29" t="str">
            <v>FY0</v>
          </cell>
          <cell r="C29">
            <v>2009</v>
          </cell>
          <cell r="D29">
            <v>2009</v>
          </cell>
          <cell r="E29">
            <v>2009</v>
          </cell>
          <cell r="F29">
            <v>2009</v>
          </cell>
          <cell r="G29">
            <v>2009</v>
          </cell>
          <cell r="H29">
            <v>2009</v>
          </cell>
          <cell r="I29">
            <v>2010</v>
          </cell>
          <cell r="M29">
            <v>2009</v>
          </cell>
          <cell r="N29">
            <v>2009</v>
          </cell>
          <cell r="O29">
            <v>2009</v>
          </cell>
          <cell r="P29">
            <v>2009</v>
          </cell>
          <cell r="Q29">
            <v>2009</v>
          </cell>
          <cell r="R29">
            <v>2009</v>
          </cell>
          <cell r="S29">
            <v>2009</v>
          </cell>
        </row>
        <row r="30">
          <cell r="B30" t="str">
            <v>FY1</v>
          </cell>
          <cell r="C30">
            <v>2010</v>
          </cell>
          <cell r="D30">
            <v>2010</v>
          </cell>
          <cell r="E30">
            <v>2010</v>
          </cell>
          <cell r="F30">
            <v>2010</v>
          </cell>
          <cell r="G30">
            <v>2010</v>
          </cell>
          <cell r="H30">
            <v>2010</v>
          </cell>
          <cell r="I30">
            <v>2011</v>
          </cell>
          <cell r="M30">
            <v>2010</v>
          </cell>
          <cell r="N30">
            <v>2010</v>
          </cell>
          <cell r="O30">
            <v>2010</v>
          </cell>
          <cell r="P30">
            <v>2010</v>
          </cell>
          <cell r="Q30">
            <v>2010</v>
          </cell>
          <cell r="R30">
            <v>2010</v>
          </cell>
          <cell r="S30">
            <v>2010</v>
          </cell>
        </row>
        <row r="31">
          <cell r="B31" t="str">
            <v>FY2</v>
          </cell>
          <cell r="C31">
            <v>2011</v>
          </cell>
          <cell r="D31">
            <v>2011</v>
          </cell>
          <cell r="E31">
            <v>2011</v>
          </cell>
          <cell r="F31">
            <v>2011</v>
          </cell>
          <cell r="G31">
            <v>2011</v>
          </cell>
          <cell r="H31">
            <v>2011</v>
          </cell>
          <cell r="I31">
            <v>2012</v>
          </cell>
          <cell r="M31">
            <v>2011</v>
          </cell>
          <cell r="N31">
            <v>2011</v>
          </cell>
          <cell r="O31">
            <v>2011</v>
          </cell>
          <cell r="P31">
            <v>2011</v>
          </cell>
          <cell r="Q31">
            <v>2011</v>
          </cell>
          <cell r="R31">
            <v>2011</v>
          </cell>
          <cell r="S31">
            <v>2011</v>
          </cell>
        </row>
        <row r="32">
          <cell r="B32" t="str">
            <v>FQ(3)</v>
          </cell>
          <cell r="C32" t="str">
            <v>2009Q1</v>
          </cell>
          <cell r="D32" t="str">
            <v>2009Q1</v>
          </cell>
          <cell r="E32" t="str">
            <v>2009Q1</v>
          </cell>
          <cell r="F32" t="str">
            <v>2009Q1</v>
          </cell>
          <cell r="G32" t="str">
            <v>2009Q1</v>
          </cell>
          <cell r="H32" t="str">
            <v>2009Q1</v>
          </cell>
          <cell r="I32" t="str">
            <v>2010Q1</v>
          </cell>
          <cell r="M32" t="str">
            <v>2009Q1</v>
          </cell>
          <cell r="N32" t="str">
            <v>2009Q1</v>
          </cell>
          <cell r="O32" t="str">
            <v>2009Q1</v>
          </cell>
          <cell r="P32" t="str">
            <v>2009Q3</v>
          </cell>
          <cell r="Q32" t="str">
            <v>2009Q1</v>
          </cell>
          <cell r="R32" t="str">
            <v>2009Q1</v>
          </cell>
          <cell r="S32" t="str">
            <v>2009Q1</v>
          </cell>
        </row>
        <row r="33">
          <cell r="B33" t="str">
            <v>FQ(2)</v>
          </cell>
          <cell r="C33" t="str">
            <v>2009Q2</v>
          </cell>
          <cell r="D33" t="str">
            <v>2009Q2</v>
          </cell>
          <cell r="E33" t="str">
            <v>2009Q2</v>
          </cell>
          <cell r="F33" t="str">
            <v>2009Q2</v>
          </cell>
          <cell r="G33" t="str">
            <v>2009Q2</v>
          </cell>
          <cell r="H33" t="str">
            <v>2009Q2</v>
          </cell>
          <cell r="I33" t="str">
            <v>2010Q2</v>
          </cell>
          <cell r="M33" t="str">
            <v>2009Q2</v>
          </cell>
          <cell r="N33" t="str">
            <v>2009Q2</v>
          </cell>
          <cell r="O33" t="str">
            <v>2009Q2</v>
          </cell>
          <cell r="P33" t="str">
            <v>2009Q4</v>
          </cell>
          <cell r="Q33" t="str">
            <v>2009Q2</v>
          </cell>
          <cell r="R33" t="str">
            <v>2009Q2</v>
          </cell>
          <cell r="S33" t="str">
            <v>2009Q2</v>
          </cell>
        </row>
        <row r="34">
          <cell r="B34" t="str">
            <v>FQ(1)</v>
          </cell>
          <cell r="C34" t="str">
            <v>2009Q3</v>
          </cell>
          <cell r="D34" t="str">
            <v>2009Q3</v>
          </cell>
          <cell r="E34" t="str">
            <v>2009Q3</v>
          </cell>
          <cell r="F34" t="str">
            <v>2009Q3</v>
          </cell>
          <cell r="G34" t="str">
            <v>2009Q3</v>
          </cell>
          <cell r="H34" t="str">
            <v>2009Q3</v>
          </cell>
          <cell r="I34" t="str">
            <v>2010Q3</v>
          </cell>
          <cell r="M34" t="str">
            <v>2009Q3</v>
          </cell>
          <cell r="N34" t="str">
            <v>2009Q3</v>
          </cell>
          <cell r="O34" t="str">
            <v>2009Q3</v>
          </cell>
          <cell r="P34" t="str">
            <v>2010Q1</v>
          </cell>
          <cell r="Q34" t="str">
            <v>2009Q3</v>
          </cell>
          <cell r="R34" t="str">
            <v>2009Q3</v>
          </cell>
          <cell r="S34" t="str">
            <v>2009Q3</v>
          </cell>
        </row>
        <row r="35">
          <cell r="A35" t="str">
            <v>mscalc:lastActualPeriodCalc</v>
          </cell>
          <cell r="B35" t="str">
            <v>Last Reported Q</v>
          </cell>
          <cell r="C35" t="str">
            <v>2009FY</v>
          </cell>
          <cell r="D35" t="str">
            <v>2009FY</v>
          </cell>
          <cell r="E35" t="str">
            <v>2009FY</v>
          </cell>
          <cell r="F35" t="str">
            <v>2009FY</v>
          </cell>
          <cell r="G35" t="str">
            <v>2009FY</v>
          </cell>
          <cell r="H35" t="str">
            <v>2009FY</v>
          </cell>
          <cell r="I35" t="str">
            <v>2010FY</v>
          </cell>
          <cell r="M35" t="str">
            <v>2009FY</v>
          </cell>
          <cell r="N35" t="str">
            <v>2009FY</v>
          </cell>
          <cell r="O35" t="str">
            <v>2009FY</v>
          </cell>
          <cell r="P35" t="str">
            <v>2010Q2</v>
          </cell>
          <cell r="Q35" t="str">
            <v>2009FY</v>
          </cell>
          <cell r="R35" t="str">
            <v>2009FY</v>
          </cell>
          <cell r="S35" t="str">
            <v>2009FY</v>
          </cell>
        </row>
        <row r="36">
          <cell r="C36" t="str">
            <v>2009Q4</v>
          </cell>
          <cell r="D36" t="str">
            <v>2009Q4</v>
          </cell>
          <cell r="E36" t="str">
            <v>2009Q4</v>
          </cell>
          <cell r="F36" t="str">
            <v>2009Q4</v>
          </cell>
          <cell r="G36" t="str">
            <v>2009Q4</v>
          </cell>
          <cell r="H36" t="str">
            <v>2009Q4</v>
          </cell>
          <cell r="I36" t="str">
            <v>2010Q4</v>
          </cell>
          <cell r="M36" t="str">
            <v>2009Q4</v>
          </cell>
          <cell r="N36" t="str">
            <v>2009Q4</v>
          </cell>
          <cell r="O36" t="str">
            <v>2009Q4</v>
          </cell>
          <cell r="P36" t="str">
            <v>2010Q2</v>
          </cell>
          <cell r="Q36" t="str">
            <v>2009Q4</v>
          </cell>
          <cell r="R36" t="str">
            <v>2009Q4</v>
          </cell>
          <cell r="S36" t="str">
            <v>2009Q4</v>
          </cell>
        </row>
        <row r="38">
          <cell r="A38" t="str">
            <v>mstag:numberOfStores</v>
          </cell>
          <cell r="B38" t="str">
            <v>Number of Stores</v>
          </cell>
        </row>
        <row r="39">
          <cell r="B39" t="str">
            <v>FY(5)</v>
          </cell>
          <cell r="C39">
            <v>542</v>
          </cell>
          <cell r="D39">
            <v>1017</v>
          </cell>
          <cell r="E39">
            <v>459</v>
          </cell>
          <cell r="F39">
            <v>181</v>
          </cell>
          <cell r="G39">
            <v>386</v>
          </cell>
          <cell r="H39">
            <v>649</v>
          </cell>
          <cell r="I39">
            <v>2224</v>
          </cell>
          <cell r="J39">
            <v>779.71428571428567</v>
          </cell>
          <cell r="K39">
            <v>5458</v>
          </cell>
          <cell r="M39">
            <v>788</v>
          </cell>
          <cell r="N39">
            <v>561</v>
          </cell>
          <cell r="O39">
            <v>846</v>
          </cell>
          <cell r="P39">
            <v>350</v>
          </cell>
          <cell r="Q39">
            <v>2994</v>
          </cell>
          <cell r="R39">
            <v>3779</v>
          </cell>
          <cell r="S39">
            <v>142</v>
          </cell>
          <cell r="T39">
            <v>1351.4285714285713</v>
          </cell>
          <cell r="U39">
            <v>9460</v>
          </cell>
        </row>
        <row r="40">
          <cell r="B40" t="str">
            <v>FY(4)</v>
          </cell>
          <cell r="C40">
            <v>637</v>
          </cell>
          <cell r="D40">
            <v>1019</v>
          </cell>
          <cell r="E40">
            <v>868</v>
          </cell>
          <cell r="F40">
            <v>187</v>
          </cell>
          <cell r="G40">
            <v>163</v>
          </cell>
          <cell r="H40">
            <v>734</v>
          </cell>
          <cell r="I40">
            <v>2381</v>
          </cell>
          <cell r="J40">
            <v>855.57142857142856</v>
          </cell>
          <cell r="K40">
            <v>5989</v>
          </cell>
          <cell r="M40">
            <v>851</v>
          </cell>
          <cell r="N40">
            <v>671</v>
          </cell>
          <cell r="O40">
            <v>869</v>
          </cell>
          <cell r="P40">
            <v>378</v>
          </cell>
          <cell r="Q40">
            <v>3053</v>
          </cell>
          <cell r="R40">
            <v>3590</v>
          </cell>
          <cell r="S40">
            <v>175</v>
          </cell>
          <cell r="T40">
            <v>1369.5714285714287</v>
          </cell>
          <cell r="U40">
            <v>9587</v>
          </cell>
        </row>
        <row r="41">
          <cell r="B41" t="str">
            <v>FY(3)</v>
          </cell>
          <cell r="C41">
            <v>732</v>
          </cell>
          <cell r="D41">
            <v>1033</v>
          </cell>
          <cell r="E41">
            <v>858</v>
          </cell>
          <cell r="F41">
            <v>191</v>
          </cell>
          <cell r="G41">
            <v>166</v>
          </cell>
          <cell r="H41">
            <v>797</v>
          </cell>
          <cell r="I41">
            <v>2466</v>
          </cell>
          <cell r="J41">
            <v>891.85714285714289</v>
          </cell>
          <cell r="K41">
            <v>6243</v>
          </cell>
          <cell r="M41">
            <v>930</v>
          </cell>
          <cell r="N41">
            <v>742</v>
          </cell>
          <cell r="O41">
            <v>911</v>
          </cell>
          <cell r="P41">
            <v>422</v>
          </cell>
          <cell r="Q41">
            <v>3131</v>
          </cell>
          <cell r="R41">
            <v>3766</v>
          </cell>
          <cell r="S41">
            <v>207</v>
          </cell>
          <cell r="T41">
            <v>1444.1428571428571</v>
          </cell>
          <cell r="U41">
            <v>10109</v>
          </cell>
        </row>
        <row r="42">
          <cell r="B42" t="str">
            <v>FY(2)</v>
          </cell>
          <cell r="C42">
            <v>817</v>
          </cell>
          <cell r="D42">
            <v>1067</v>
          </cell>
          <cell r="E42">
            <v>853</v>
          </cell>
          <cell r="F42">
            <v>156</v>
          </cell>
          <cell r="G42">
            <v>177</v>
          </cell>
          <cell r="H42">
            <v>890</v>
          </cell>
          <cell r="I42">
            <v>2563</v>
          </cell>
          <cell r="J42">
            <v>931.85714285714289</v>
          </cell>
          <cell r="K42">
            <v>6523</v>
          </cell>
          <cell r="M42">
            <v>1035</v>
          </cell>
          <cell r="N42">
            <v>828</v>
          </cell>
          <cell r="O42">
            <v>987</v>
          </cell>
          <cell r="P42">
            <v>489</v>
          </cell>
          <cell r="Q42">
            <v>3167</v>
          </cell>
          <cell r="R42">
            <v>2926</v>
          </cell>
          <cell r="S42">
            <v>245</v>
          </cell>
          <cell r="T42">
            <v>1382.4285714285713</v>
          </cell>
          <cell r="U42">
            <v>9677</v>
          </cell>
        </row>
        <row r="43">
          <cell r="B43" t="str">
            <v>FY(1)</v>
          </cell>
          <cell r="C43">
            <v>929</v>
          </cell>
          <cell r="D43">
            <v>1093</v>
          </cell>
          <cell r="E43">
            <v>847</v>
          </cell>
          <cell r="F43">
            <v>169</v>
          </cell>
          <cell r="G43">
            <v>181</v>
          </cell>
          <cell r="H43">
            <v>956</v>
          </cell>
          <cell r="I43">
            <v>2652</v>
          </cell>
          <cell r="J43">
            <v>975.28571428571433</v>
          </cell>
          <cell r="K43">
            <v>6827</v>
          </cell>
          <cell r="M43">
            <v>1097</v>
          </cell>
          <cell r="N43">
            <v>914</v>
          </cell>
          <cell r="O43">
            <v>1098</v>
          </cell>
          <cell r="P43">
            <v>548</v>
          </cell>
          <cell r="Q43">
            <v>3149</v>
          </cell>
          <cell r="R43">
            <v>3014</v>
          </cell>
          <cell r="S43">
            <v>294</v>
          </cell>
          <cell r="T43">
            <v>1444.8571428571429</v>
          </cell>
          <cell r="U43">
            <v>10114</v>
          </cell>
        </row>
        <row r="44">
          <cell r="B44" t="str">
            <v>FY0</v>
          </cell>
          <cell r="C44">
            <v>1004</v>
          </cell>
          <cell r="D44">
            <v>1108</v>
          </cell>
          <cell r="E44">
            <v>850</v>
          </cell>
          <cell r="F44">
            <v>184</v>
          </cell>
          <cell r="G44">
            <v>108</v>
          </cell>
          <cell r="H44">
            <v>1005</v>
          </cell>
          <cell r="I44">
            <v>2743</v>
          </cell>
          <cell r="J44">
            <v>1000.2857142857143</v>
          </cell>
          <cell r="K44">
            <v>7002</v>
          </cell>
          <cell r="M44">
            <v>1096</v>
          </cell>
          <cell r="N44">
            <v>953</v>
          </cell>
          <cell r="O44">
            <v>1103</v>
          </cell>
          <cell r="P44">
            <v>624</v>
          </cell>
          <cell r="Q44">
            <v>3095</v>
          </cell>
          <cell r="R44">
            <v>2971</v>
          </cell>
          <cell r="S44">
            <v>327</v>
          </cell>
          <cell r="T44">
            <v>1452.7142857142858</v>
          </cell>
          <cell r="U44">
            <v>10169</v>
          </cell>
        </row>
        <row r="45">
          <cell r="B45" t="str">
            <v>FY1</v>
          </cell>
          <cell r="C45">
            <v>1058</v>
          </cell>
          <cell r="D45">
            <v>1110</v>
          </cell>
          <cell r="E45">
            <v>852</v>
          </cell>
          <cell r="F45">
            <v>203</v>
          </cell>
          <cell r="G45">
            <v>110</v>
          </cell>
          <cell r="H45">
            <v>1051</v>
          </cell>
          <cell r="I45">
            <v>2871</v>
          </cell>
          <cell r="J45">
            <v>1036.4285714285713</v>
          </cell>
          <cell r="K45">
            <v>7255</v>
          </cell>
          <cell r="M45">
            <v>1135</v>
          </cell>
          <cell r="N45">
            <v>1005</v>
          </cell>
          <cell r="O45">
            <v>1093.00001</v>
          </cell>
          <cell r="P45">
            <v>680</v>
          </cell>
          <cell r="Q45">
            <v>3050</v>
          </cell>
          <cell r="R45">
            <v>2945</v>
          </cell>
          <cell r="S45">
            <v>377</v>
          </cell>
          <cell r="T45">
            <v>1469.2857157142857</v>
          </cell>
          <cell r="U45">
            <v>10285.00001</v>
          </cell>
        </row>
        <row r="46">
          <cell r="B46" t="str">
            <v>FY2</v>
          </cell>
          <cell r="C46">
            <v>1088</v>
          </cell>
          <cell r="D46">
            <v>1115</v>
          </cell>
          <cell r="E46">
            <v>852</v>
          </cell>
          <cell r="F46">
            <v>219</v>
          </cell>
          <cell r="G46">
            <v>115</v>
          </cell>
          <cell r="H46">
            <v>1106</v>
          </cell>
          <cell r="I46">
            <v>3000.1950000000002</v>
          </cell>
          <cell r="J46">
            <v>1070.7421428571429</v>
          </cell>
          <cell r="K46">
            <v>7495.1949999999997</v>
          </cell>
          <cell r="M46">
            <v>1209</v>
          </cell>
          <cell r="N46">
            <v>1093</v>
          </cell>
          <cell r="O46">
            <v>1183.00001</v>
          </cell>
          <cell r="P46">
            <v>721</v>
          </cell>
          <cell r="Q46">
            <v>3073</v>
          </cell>
          <cell r="R46">
            <v>2977</v>
          </cell>
          <cell r="S46">
            <v>428</v>
          </cell>
          <cell r="T46">
            <v>1526.2857157142857</v>
          </cell>
          <cell r="U46">
            <v>10684.00001</v>
          </cell>
        </row>
        <row r="48">
          <cell r="A48" t="str">
            <v>mstag:floorspace</v>
          </cell>
          <cell r="B48" t="str">
            <v>Avg Selling Sq Ft (in thousands)</v>
          </cell>
        </row>
        <row r="49">
          <cell r="B49" t="str">
            <v>FY(5)</v>
          </cell>
          <cell r="C49">
            <v>49200.978000000003</v>
          </cell>
          <cell r="D49">
            <v>101300</v>
          </cell>
          <cell r="E49">
            <v>156400</v>
          </cell>
          <cell r="F49">
            <v>19304.5</v>
          </cell>
          <cell r="G49">
            <v>7500</v>
          </cell>
          <cell r="H49">
            <v>15253</v>
          </cell>
          <cell r="I49">
            <v>65507.999999999993</v>
          </cell>
          <cell r="J49">
            <v>59209.496857142854</v>
          </cell>
          <cell r="K49">
            <v>414466.478</v>
          </cell>
          <cell r="M49">
            <v>5590</v>
          </cell>
          <cell r="N49">
            <v>1978.4060000000002</v>
          </cell>
          <cell r="O49">
            <v>4540.0950000000003</v>
          </cell>
          <cell r="P49">
            <v>782.26300000000003</v>
          </cell>
          <cell r="Q49">
            <v>36600</v>
          </cell>
          <cell r="R49">
            <v>10311</v>
          </cell>
          <cell r="S49">
            <v>1749.8590000000002</v>
          </cell>
          <cell r="T49">
            <v>8793.0889999999999</v>
          </cell>
          <cell r="U49">
            <v>61551.623</v>
          </cell>
        </row>
        <row r="50">
          <cell r="B50" t="str">
            <v>FY(4)</v>
          </cell>
          <cell r="C50">
            <v>56625</v>
          </cell>
          <cell r="D50">
            <v>101400</v>
          </cell>
          <cell r="E50">
            <v>156400</v>
          </cell>
          <cell r="F50">
            <v>19770.5</v>
          </cell>
          <cell r="G50">
            <v>7500</v>
          </cell>
          <cell r="H50">
            <v>17319</v>
          </cell>
          <cell r="I50">
            <v>70575</v>
          </cell>
          <cell r="J50">
            <v>61369.928571428572</v>
          </cell>
          <cell r="K50">
            <v>429589.5</v>
          </cell>
          <cell r="M50">
            <v>6025</v>
          </cell>
          <cell r="N50">
            <v>2373.4749999999999</v>
          </cell>
          <cell r="O50">
            <v>4772.4870000000001</v>
          </cell>
          <cell r="P50">
            <v>904.83600000000001</v>
          </cell>
          <cell r="Q50">
            <v>37800</v>
          </cell>
          <cell r="R50">
            <v>10311</v>
          </cell>
          <cell r="S50">
            <v>2113.5439999999999</v>
          </cell>
          <cell r="T50">
            <v>9185.7631428571422</v>
          </cell>
          <cell r="U50">
            <v>64300.341999999997</v>
          </cell>
        </row>
        <row r="51">
          <cell r="B51" t="str">
            <v>FY(3)</v>
          </cell>
          <cell r="C51">
            <v>62357</v>
          </cell>
          <cell r="D51">
            <v>103100</v>
          </cell>
          <cell r="E51">
            <v>156400</v>
          </cell>
          <cell r="F51">
            <v>20120</v>
          </cell>
          <cell r="G51">
            <v>7500</v>
          </cell>
          <cell r="H51">
            <v>18642</v>
          </cell>
          <cell r="I51">
            <v>73987</v>
          </cell>
          <cell r="J51">
            <v>63158</v>
          </cell>
          <cell r="K51">
            <v>442106</v>
          </cell>
          <cell r="M51">
            <v>6693</v>
          </cell>
          <cell r="N51">
            <v>2626</v>
          </cell>
          <cell r="O51">
            <v>5173.0650000000005</v>
          </cell>
          <cell r="P51">
            <v>1038.7150000000001</v>
          </cell>
          <cell r="Q51">
            <v>39000</v>
          </cell>
          <cell r="R51">
            <v>10311</v>
          </cell>
          <cell r="S51">
            <v>2497.6379999999999</v>
          </cell>
          <cell r="T51">
            <v>9619.9168571428581</v>
          </cell>
          <cell r="U51">
            <v>67339.418000000005</v>
          </cell>
        </row>
        <row r="52">
          <cell r="B52" t="str">
            <v>FY(2)</v>
          </cell>
          <cell r="C52">
            <v>69889</v>
          </cell>
          <cell r="D52">
            <v>106600</v>
          </cell>
          <cell r="E52">
            <v>154961</v>
          </cell>
          <cell r="F52">
            <v>20336</v>
          </cell>
          <cell r="G52">
            <v>7539</v>
          </cell>
          <cell r="H52">
            <v>21100</v>
          </cell>
          <cell r="I52">
            <v>76420</v>
          </cell>
          <cell r="J52">
            <v>65263.571428571428</v>
          </cell>
          <cell r="K52">
            <v>456845</v>
          </cell>
          <cell r="M52">
            <v>7337</v>
          </cell>
          <cell r="N52">
            <v>2935.2140000000004</v>
          </cell>
          <cell r="O52">
            <v>5709.9319999999998</v>
          </cell>
          <cell r="P52">
            <v>1223.971</v>
          </cell>
          <cell r="Q52">
            <v>39600</v>
          </cell>
          <cell r="R52">
            <v>10311</v>
          </cell>
          <cell r="S52">
            <v>2886.54</v>
          </cell>
          <cell r="T52">
            <v>10000.522428571427</v>
          </cell>
          <cell r="U52">
            <v>70003.656999999992</v>
          </cell>
        </row>
        <row r="53">
          <cell r="B53" t="str">
            <v>FY(1)</v>
          </cell>
          <cell r="C53">
            <v>74992</v>
          </cell>
          <cell r="D53">
            <v>109197.56326148099</v>
          </cell>
          <cell r="E53">
            <v>154091</v>
          </cell>
          <cell r="F53">
            <v>21189</v>
          </cell>
          <cell r="G53">
            <v>7519.0955555555602</v>
          </cell>
          <cell r="H53">
            <v>22500</v>
          </cell>
          <cell r="I53">
            <v>79073.679282091311</v>
          </cell>
          <cell r="J53">
            <v>66937.476871303981</v>
          </cell>
          <cell r="K53">
            <v>468562.33809912787</v>
          </cell>
          <cell r="M53">
            <v>7760</v>
          </cell>
          <cell r="N53">
            <v>3284.614</v>
          </cell>
          <cell r="O53">
            <v>6328.1669999999995</v>
          </cell>
          <cell r="P53">
            <v>1466.11089781022</v>
          </cell>
          <cell r="Q53">
            <v>39500</v>
          </cell>
          <cell r="R53">
            <v>10898.300000000001</v>
          </cell>
          <cell r="S53">
            <v>3360.65564146934</v>
          </cell>
          <cell r="T53">
            <v>10371.121077039936</v>
          </cell>
          <cell r="U53">
            <v>72597.847539279552</v>
          </cell>
        </row>
        <row r="54">
          <cell r="B54" t="str">
            <v>FY0</v>
          </cell>
          <cell r="C54">
            <v>78396</v>
          </cell>
          <cell r="D54">
            <v>110696.15745079701</v>
          </cell>
          <cell r="E54">
            <v>154400</v>
          </cell>
          <cell r="F54">
            <v>22324.5</v>
          </cell>
          <cell r="G54">
            <v>7493.0555555555602</v>
          </cell>
          <cell r="H54">
            <v>23700</v>
          </cell>
          <cell r="I54">
            <v>81786.991806476799</v>
          </cell>
          <cell r="J54">
            <v>68399.529258975628</v>
          </cell>
          <cell r="K54">
            <v>478796.70481282938</v>
          </cell>
          <cell r="M54">
            <v>7847</v>
          </cell>
          <cell r="N54">
            <v>3428.3760000000002</v>
          </cell>
          <cell r="O54">
            <v>6403.8589999999995</v>
          </cell>
          <cell r="P54">
            <v>1690.6890000000001</v>
          </cell>
          <cell r="Q54">
            <v>38800</v>
          </cell>
          <cell r="R54">
            <v>10933</v>
          </cell>
          <cell r="S54">
            <v>3725.8392204614397</v>
          </cell>
          <cell r="T54">
            <v>10404.10903149449</v>
          </cell>
          <cell r="U54">
            <v>72828.763220461435</v>
          </cell>
        </row>
        <row r="55">
          <cell r="B55" t="str">
            <v>FY1</v>
          </cell>
          <cell r="C55">
            <v>80394.312948484498</v>
          </cell>
          <cell r="D55">
            <v>110895.97000937199</v>
          </cell>
          <cell r="E55">
            <v>154944.94117647098</v>
          </cell>
          <cell r="F55">
            <v>23264.098000000002</v>
          </cell>
          <cell r="G55">
            <v>7551.3888888888896</v>
          </cell>
          <cell r="H55">
            <v>24784.776119402999</v>
          </cell>
          <cell r="I55">
            <v>85603.5193133047</v>
          </cell>
          <cell r="J55">
            <v>69634.143779417718</v>
          </cell>
          <cell r="K55">
            <v>487439.00645592407</v>
          </cell>
          <cell r="M55">
            <v>8152.8011747302498</v>
          </cell>
          <cell r="N55">
            <v>3618.09221262458</v>
          </cell>
          <cell r="O55">
            <v>6280.8787298091502</v>
          </cell>
          <cell r="P55">
            <v>1842.77425430213</v>
          </cell>
          <cell r="Q55">
            <v>37816.534659180201</v>
          </cell>
          <cell r="R55">
            <v>10859.0659181791</v>
          </cell>
          <cell r="S55">
            <v>4200.5989247116004</v>
          </cell>
          <cell r="T55">
            <v>10395.820839076714</v>
          </cell>
          <cell r="U55">
            <v>72770.745873537002</v>
          </cell>
        </row>
        <row r="56">
          <cell r="B56" t="str">
            <v>FY2</v>
          </cell>
          <cell r="C56">
            <v>83743.799999999988</v>
          </cell>
          <cell r="D56">
            <v>111395.50140581101</v>
          </cell>
          <cell r="E56">
            <v>154854.22437271001</v>
          </cell>
          <cell r="F56">
            <v>24215.196</v>
          </cell>
          <cell r="G56">
            <v>7861.1111111111095</v>
          </cell>
          <cell r="H56">
            <v>26081.791044776099</v>
          </cell>
          <cell r="I56">
            <v>89455.677682403402</v>
          </cell>
          <cell r="J56">
            <v>71086.757373830231</v>
          </cell>
          <cell r="K56">
            <v>497607.3016168116</v>
          </cell>
          <cell r="M56">
            <v>8723.3097210784999</v>
          </cell>
          <cell r="N56">
            <v>3975.45267116279</v>
          </cell>
          <cell r="O56">
            <v>6672.4837929733894</v>
          </cell>
          <cell r="P56">
            <v>1947.45216540507</v>
          </cell>
          <cell r="Q56">
            <v>36516.200309858395</v>
          </cell>
          <cell r="R56">
            <v>11000.1225990071</v>
          </cell>
          <cell r="S56">
            <v>4686.6820919247102</v>
          </cell>
          <cell r="T56">
            <v>10503.100478772851</v>
          </cell>
          <cell r="U56">
            <v>73521.70335140996</v>
          </cell>
        </row>
        <row r="58">
          <cell r="B58" t="str">
            <v>Square Footage Growth</v>
          </cell>
        </row>
        <row r="59">
          <cell r="B59" t="str">
            <v>FY(4)</v>
          </cell>
          <cell r="C59">
            <v>0.15089175666386145</v>
          </cell>
          <cell r="D59">
            <v>9.8716683119448589E-4</v>
          </cell>
          <cell r="E59">
            <v>0</v>
          </cell>
          <cell r="F59">
            <v>2.4139449351187503E-2</v>
          </cell>
          <cell r="G59">
            <v>0</v>
          </cell>
          <cell r="H59">
            <v>0.13544876417753882</v>
          </cell>
          <cell r="I59">
            <v>7.7349331379373609E-2</v>
          </cell>
          <cell r="J59">
            <v>3.6487925568735591E-2</v>
          </cell>
          <cell r="K59">
            <v>3.6487925568735591E-2</v>
          </cell>
          <cell r="M59">
            <v>7.7817531305903298E-2</v>
          </cell>
          <cell r="N59">
            <v>0.19969055896514654</v>
          </cell>
          <cell r="O59">
            <v>5.1186594113118655E-2</v>
          </cell>
          <cell r="P59">
            <v>0.15669026912943607</v>
          </cell>
          <cell r="Q59">
            <v>3.2786885245901676E-2</v>
          </cell>
          <cell r="R59">
            <v>0</v>
          </cell>
          <cell r="S59">
            <v>0.20783674570351085</v>
          </cell>
          <cell r="T59">
            <v>4.4657132761551921E-2</v>
          </cell>
          <cell r="U59">
            <v>4.4657132761551921E-2</v>
          </cell>
        </row>
        <row r="60">
          <cell r="B60" t="str">
            <v>FY(3)</v>
          </cell>
          <cell r="C60">
            <v>0.10122737306843277</v>
          </cell>
          <cell r="D60">
            <v>1.6765285996055201E-2</v>
          </cell>
          <cell r="E60">
            <v>0</v>
          </cell>
          <cell r="F60">
            <v>1.7677853367390917E-2</v>
          </cell>
          <cell r="G60">
            <v>0</v>
          </cell>
          <cell r="H60">
            <v>7.6390091806686211E-2</v>
          </cell>
          <cell r="I60">
            <v>4.8345731491321375E-2</v>
          </cell>
          <cell r="J60">
            <v>2.9135954207446968E-2</v>
          </cell>
          <cell r="K60">
            <v>2.9135954207446968E-2</v>
          </cell>
          <cell r="M60">
            <v>0.11087136929460573</v>
          </cell>
          <cell r="N60">
            <v>0.10639463234287283</v>
          </cell>
          <cell r="O60">
            <v>8.3934854091797462E-2</v>
          </cell>
          <cell r="P60">
            <v>0.14795940921890827</v>
          </cell>
          <cell r="Q60">
            <v>3.1746031746031855E-2</v>
          </cell>
          <cell r="R60">
            <v>0</v>
          </cell>
          <cell r="S60">
            <v>0.18172983387145014</v>
          </cell>
          <cell r="T60">
            <v>4.7263761054334941E-2</v>
          </cell>
          <cell r="U60">
            <v>4.7263761054334719E-2</v>
          </cell>
        </row>
        <row r="61">
          <cell r="B61" t="str">
            <v>FY(2)</v>
          </cell>
          <cell r="C61">
            <v>0.1207883637763203</v>
          </cell>
          <cell r="D61">
            <v>3.3947623666343407E-2</v>
          </cell>
          <cell r="E61">
            <v>-9.200767263427112E-3</v>
          </cell>
          <cell r="F61">
            <v>1.0735586481113391E-2</v>
          </cell>
          <cell r="G61">
            <v>5.2000000000000934E-3</v>
          </cell>
          <cell r="H61">
            <v>0.13185280549297285</v>
          </cell>
          <cell r="I61">
            <v>3.2884155324583997E-2</v>
          </cell>
          <cell r="J61">
            <v>3.3338158722116429E-2</v>
          </cell>
          <cell r="K61">
            <v>3.3338158722116429E-2</v>
          </cell>
          <cell r="M61">
            <v>9.6219931271477765E-2</v>
          </cell>
          <cell r="N61">
            <v>0.1177509520182789</v>
          </cell>
          <cell r="O61">
            <v>0.1037812206109916</v>
          </cell>
          <cell r="P61">
            <v>0.17835113577834139</v>
          </cell>
          <cell r="Q61">
            <v>1.538461538461533E-2</v>
          </cell>
          <cell r="R61">
            <v>0</v>
          </cell>
          <cell r="S61">
            <v>0.15570791283604746</v>
          </cell>
          <cell r="T61">
            <v>3.9564330656970847E-2</v>
          </cell>
          <cell r="U61">
            <v>3.956433065697107E-2</v>
          </cell>
        </row>
        <row r="62">
          <cell r="B62" t="str">
            <v>FY(1)</v>
          </cell>
          <cell r="C62">
            <v>7.3015782168867727E-2</v>
          </cell>
          <cell r="D62">
            <v>2.4367385192129332E-2</v>
          </cell>
          <cell r="E62">
            <v>-5.614315860119623E-3</v>
          </cell>
          <cell r="F62">
            <v>4.1945318646734897E-2</v>
          </cell>
          <cell r="G62">
            <v>-2.6401969020347638E-3</v>
          </cell>
          <cell r="H62">
            <v>6.6350710900473953E-2</v>
          </cell>
          <cell r="I62">
            <v>3.4724931720639951E-2</v>
          </cell>
          <cell r="J62">
            <v>2.5648388620052476E-2</v>
          </cell>
          <cell r="K62">
            <v>2.5648388620052476E-2</v>
          </cell>
          <cell r="M62">
            <v>5.7652991685975152E-2</v>
          </cell>
          <cell r="N62">
            <v>0.11903731721094246</v>
          </cell>
          <cell r="O62">
            <v>0.10827361867006458</v>
          </cell>
          <cell r="P62">
            <v>0.19783140107912689</v>
          </cell>
          <cell r="Q62">
            <v>-2.525252525252486E-3</v>
          </cell>
          <cell r="R62">
            <v>5.6958587915818093E-2</v>
          </cell>
          <cell r="S62">
            <v>0.16425050110836503</v>
          </cell>
          <cell r="T62">
            <v>3.7057928834768772E-2</v>
          </cell>
          <cell r="U62">
            <v>3.7057928834768772E-2</v>
          </cell>
        </row>
        <row r="63">
          <cell r="B63" t="str">
            <v>FY0</v>
          </cell>
          <cell r="C63">
            <v>4.5391508427565563E-2</v>
          </cell>
          <cell r="D63">
            <v>1.3723696248858053E-2</v>
          </cell>
          <cell r="E63">
            <v>2.0053085514404323E-3</v>
          </cell>
          <cell r="F63">
            <v>5.3589126433526868E-2</v>
          </cell>
          <cell r="G63">
            <v>-3.4631824808716294E-3</v>
          </cell>
          <cell r="H63">
            <v>5.3333333333333233E-2</v>
          </cell>
          <cell r="I63">
            <v>3.4313725490196179E-2</v>
          </cell>
          <cell r="J63">
            <v>2.1842060023903098E-2</v>
          </cell>
          <cell r="K63">
            <v>2.1842060023903098E-2</v>
          </cell>
          <cell r="M63">
            <v>1.1211340206185527E-2</v>
          </cell>
          <cell r="N63">
            <v>4.3768308848467496E-2</v>
          </cell>
          <cell r="O63">
            <v>1.196112555183837E-2</v>
          </cell>
          <cell r="P63">
            <v>0.15317947811806687</v>
          </cell>
          <cell r="Q63">
            <v>-1.7721518987341756E-2</v>
          </cell>
          <cell r="R63">
            <v>3.1839828230089129E-3</v>
          </cell>
          <cell r="S63">
            <v>0.10866438515325982</v>
          </cell>
          <cell r="T63">
            <v>3.1807510691959084E-3</v>
          </cell>
          <cell r="U63">
            <v>3.1807510691959084E-3</v>
          </cell>
        </row>
        <row r="64">
          <cell r="B64" t="str">
            <v>FY1</v>
          </cell>
          <cell r="C64">
            <v>2.5489986076898008E-2</v>
          </cell>
          <cell r="D64">
            <v>1.8050541516203555E-3</v>
          </cell>
          <cell r="E64">
            <v>3.5294117647084455E-3</v>
          </cell>
          <cell r="F64">
            <v>4.2088199063808895E-2</v>
          </cell>
          <cell r="G64">
            <v>7.7849860982386332E-3</v>
          </cell>
          <cell r="H64">
            <v>4.5771144278607512E-2</v>
          </cell>
          <cell r="I64">
            <v>4.6664236237695444E-2</v>
          </cell>
          <cell r="J64">
            <v>1.8050044113133712E-2</v>
          </cell>
          <cell r="K64">
            <v>1.8050044113133934E-2</v>
          </cell>
          <cell r="M64">
            <v>3.897045682811906E-2</v>
          </cell>
          <cell r="N64">
            <v>5.5337049560660656E-2</v>
          </cell>
          <cell r="O64">
            <v>-1.9204087752533128E-2</v>
          </cell>
          <cell r="P64">
            <v>8.9954600936144935E-2</v>
          </cell>
          <cell r="Q64">
            <v>-2.5347044866489643E-2</v>
          </cell>
          <cell r="R64">
            <v>-6.7624697540382694E-3</v>
          </cell>
          <cell r="S64">
            <v>0.12742356182276771</v>
          </cell>
          <cell r="T64">
            <v>-7.9662683202252893E-4</v>
          </cell>
          <cell r="U64">
            <v>-7.9662683202252893E-4</v>
          </cell>
        </row>
        <row r="65">
          <cell r="A65" t="str">
            <v>mstag:comparableStoreSalesGrowth</v>
          </cell>
          <cell r="B65" t="str">
            <v>FY2</v>
          </cell>
          <cell r="C65">
            <v>4.16632337372147E-2</v>
          </cell>
          <cell r="D65">
            <v>4.5045045045082333E-3</v>
          </cell>
          <cell r="E65">
            <v>-5.8547767401873063E-4</v>
          </cell>
          <cell r="F65">
            <v>4.0882651027346784E-2</v>
          </cell>
          <cell r="G65">
            <v>4.1015265771564779E-2</v>
          </cell>
          <cell r="H65">
            <v>5.2331113225497994E-2</v>
          </cell>
          <cell r="I65">
            <v>4.4999999999999929E-2</v>
          </cell>
          <cell r="J65">
            <v>2.0860651335270264E-2</v>
          </cell>
          <cell r="K65">
            <v>2.0860651335270264E-2</v>
          </cell>
          <cell r="M65">
            <v>6.997699736828511E-2</v>
          </cell>
          <cell r="N65">
            <v>9.877041201196457E-2</v>
          </cell>
          <cell r="O65">
            <v>6.2348769974760909E-2</v>
          </cell>
          <cell r="P65">
            <v>5.6804522235189392E-2</v>
          </cell>
          <cell r="Q65">
            <v>-3.4385338610240401E-2</v>
          </cell>
          <cell r="R65">
            <v>1.2989761908697606E-2</v>
          </cell>
          <cell r="S65">
            <v>0.11571758597411974</v>
          </cell>
          <cell r="T65">
            <v>1.0319496782099646E-2</v>
          </cell>
          <cell r="U65">
            <v>1.0319496782099646E-2</v>
          </cell>
        </row>
        <row r="66">
          <cell r="B66" t="str">
            <v>4-Yr. Compounded</v>
          </cell>
          <cell r="C66">
            <v>6.5577468319250709E-2</v>
          </cell>
          <cell r="D66">
            <v>1.8390348330118655E-2</v>
          </cell>
          <cell r="E66">
            <v>-2.3340200577479653E-3</v>
          </cell>
          <cell r="F66">
            <v>3.696610404122036E-2</v>
          </cell>
          <cell r="G66">
            <v>1.7085791092168456E-3</v>
          </cell>
          <cell r="H66">
            <v>7.3799318905135358E-2</v>
          </cell>
          <cell r="I66">
            <v>3.7132038387335253E-2</v>
          </cell>
          <cell r="J66">
            <v>2.4704085493136851E-2</v>
          </cell>
          <cell r="K66">
            <v>2.4704085493136851E-2</v>
          </cell>
          <cell r="M66">
            <v>5.0561561442880043E-2</v>
          </cell>
          <cell r="N66">
            <v>8.3418450725379456E-2</v>
          </cell>
          <cell r="O66">
            <v>4.9707060147659243E-2</v>
          </cell>
          <cell r="P66">
            <v>0.15410130787375076</v>
          </cell>
          <cell r="Q66">
            <v>-7.6742053354557083E-3</v>
          </cell>
          <cell r="R66">
            <v>1.3031431848396169E-2</v>
          </cell>
          <cell r="S66">
            <v>0.13879468332198019</v>
          </cell>
          <cell r="T66">
            <v>1.9581312682365848E-2</v>
          </cell>
          <cell r="U66">
            <v>1.9581312682365848E-2</v>
          </cell>
        </row>
        <row r="67">
          <cell r="B67" t="str">
            <v>FY(4)</v>
          </cell>
          <cell r="C67">
            <v>5.4574854495884903E-3</v>
          </cell>
          <cell r="D67">
            <v>4.9000000000000002E-2</v>
          </cell>
          <cell r="E67">
            <v>2.5999999999999999E-2</v>
          </cell>
          <cell r="F67">
            <v>9.6205540192385405E-2</v>
          </cell>
          <cell r="G67">
            <v>5.2999999999999999E-2</v>
          </cell>
          <cell r="H67">
            <v>-0.01</v>
          </cell>
          <cell r="I67">
            <v>0.05</v>
          </cell>
          <cell r="J67">
            <v>3.8523289377424837E-2</v>
          </cell>
          <cell r="M67">
            <v>0.02</v>
          </cell>
          <cell r="N67">
            <v>8.6999999999999994E-2</v>
          </cell>
          <cell r="O67">
            <v>0.214</v>
          </cell>
          <cell r="P67">
            <v>0.182</v>
          </cell>
          <cell r="Q67">
            <v>0</v>
          </cell>
          <cell r="R67">
            <v>0.04</v>
          </cell>
          <cell r="S67">
            <v>0.216</v>
          </cell>
          <cell r="T67">
            <v>0.10842857142857143</v>
          </cell>
        </row>
        <row r="68">
          <cell r="A68" t="str">
            <v>mstag:comparableStoreSalesGrowth</v>
          </cell>
          <cell r="B68" t="str">
            <v>Comp Store Sales</v>
          </cell>
          <cell r="C68">
            <v>3.68908761248153E-2</v>
          </cell>
          <cell r="D68">
            <v>2.9000000000000001E-2</v>
          </cell>
          <cell r="E68">
            <v>1.2999999999999999E-2</v>
          </cell>
          <cell r="F68">
            <v>6.01637300954651E-2</v>
          </cell>
          <cell r="G68">
            <v>0.04</v>
          </cell>
          <cell r="H68">
            <v>0.06</v>
          </cell>
          <cell r="I68">
            <v>0.02</v>
          </cell>
          <cell r="J68">
            <v>3.700780088861149E-2</v>
          </cell>
          <cell r="M68">
            <v>0.26</v>
          </cell>
          <cell r="N68">
            <v>3.5000000000000003E-2</v>
          </cell>
          <cell r="O68">
            <v>0.155</v>
          </cell>
          <cell r="P68">
            <v>0.20699999999999999</v>
          </cell>
          <cell r="Q68">
            <v>-0.05</v>
          </cell>
          <cell r="R68">
            <v>-0.01</v>
          </cell>
          <cell r="S68">
            <v>0.109</v>
          </cell>
          <cell r="T68">
            <v>0.10085714285714285</v>
          </cell>
          <cell r="W68">
            <v>5.2356020942408377E-2</v>
          </cell>
        </row>
        <row r="69">
          <cell r="B69" t="str">
            <v>FY(5)</v>
          </cell>
          <cell r="C69">
            <v>5.4574854495884903E-3</v>
          </cell>
          <cell r="D69">
            <v>4.9000000000000002E-2</v>
          </cell>
          <cell r="E69">
            <v>2.5999999999999999E-2</v>
          </cell>
          <cell r="F69">
            <v>9.6205540192385405E-2</v>
          </cell>
          <cell r="G69">
            <v>5.2999999999999999E-2</v>
          </cell>
          <cell r="H69">
            <v>-0.01</v>
          </cell>
          <cell r="I69">
            <v>0.05</v>
          </cell>
          <cell r="J69">
            <v>3.8523289377424837E-2</v>
          </cell>
          <cell r="M69">
            <v>0.02</v>
          </cell>
          <cell r="N69">
            <v>8.6999999999999994E-2</v>
          </cell>
          <cell r="O69">
            <v>0.214</v>
          </cell>
          <cell r="P69">
            <v>0.16900000000000001</v>
          </cell>
          <cell r="Q69">
            <v>0</v>
          </cell>
          <cell r="R69">
            <v>0.04</v>
          </cell>
          <cell r="S69">
            <v>0.216</v>
          </cell>
          <cell r="T69">
            <v>0.10657142857142857</v>
          </cell>
        </row>
        <row r="70">
          <cell r="B70" t="str">
            <v>FY(4)</v>
          </cell>
          <cell r="C70">
            <v>3.68908761248153E-2</v>
          </cell>
          <cell r="D70">
            <v>2.9000000000000001E-2</v>
          </cell>
          <cell r="E70">
            <v>1.2999999999999999E-2</v>
          </cell>
          <cell r="F70">
            <v>6.01637300954651E-2</v>
          </cell>
          <cell r="G70">
            <v>0.04</v>
          </cell>
          <cell r="H70">
            <v>0.06</v>
          </cell>
          <cell r="I70">
            <v>0.02</v>
          </cell>
          <cell r="J70">
            <v>3.700780088861149E-2</v>
          </cell>
          <cell r="M70">
            <v>0.26</v>
          </cell>
          <cell r="N70">
            <v>3.5000000000000003E-2</v>
          </cell>
          <cell r="O70">
            <v>0.155</v>
          </cell>
          <cell r="P70">
            <v>0.182</v>
          </cell>
          <cell r="Q70">
            <v>-0.05</v>
          </cell>
          <cell r="R70">
            <v>-0.01</v>
          </cell>
          <cell r="S70">
            <v>0.109</v>
          </cell>
          <cell r="T70">
            <v>9.7285714285714295E-2</v>
          </cell>
        </row>
        <row r="71">
          <cell r="B71" t="str">
            <v>FY(3)</v>
          </cell>
          <cell r="C71">
            <v>5.8999999999999997E-2</v>
          </cell>
          <cell r="D71">
            <v>3.6999999999999998E-2</v>
          </cell>
          <cell r="E71">
            <v>4.3999999999999997E-2</v>
          </cell>
          <cell r="F71">
            <v>7.4999999999999997E-2</v>
          </cell>
          <cell r="G71">
            <v>4.9000000000000002E-2</v>
          </cell>
          <cell r="H71">
            <v>0.04</v>
          </cell>
          <cell r="I71">
            <v>0.04</v>
          </cell>
          <cell r="J71">
            <v>4.9142857142857141E-2</v>
          </cell>
          <cell r="M71">
            <v>0.01</v>
          </cell>
          <cell r="N71">
            <v>2.0075199121431499E-2</v>
          </cell>
          <cell r="O71">
            <v>0.12</v>
          </cell>
          <cell r="P71">
            <v>0.20699999999999999</v>
          </cell>
          <cell r="Q71">
            <v>-7.0000000000000007E-2</v>
          </cell>
          <cell r="R71">
            <v>7.0000000000000007E-2</v>
          </cell>
          <cell r="S71">
            <v>-6.2E-2</v>
          </cell>
          <cell r="T71">
            <v>4.2153599874490209E-2</v>
          </cell>
        </row>
        <row r="72">
          <cell r="B72" t="str">
            <v>FY(2)</v>
          </cell>
          <cell r="C72">
            <v>-7.9988102247825297E-3</v>
          </cell>
          <cell r="D72">
            <v>-1.0999999999999999E-2</v>
          </cell>
          <cell r="E72">
            <v>-1.2999999999999999E-2</v>
          </cell>
          <cell r="F72">
            <v>3.9E-2</v>
          </cell>
          <cell r="G72">
            <v>0.117894805327276</v>
          </cell>
          <cell r="H72">
            <v>0.01</v>
          </cell>
          <cell r="I72">
            <v>0.04</v>
          </cell>
          <cell r="J72">
            <v>2.4985142157499068E-2</v>
          </cell>
          <cell r="M72">
            <v>-0.01</v>
          </cell>
          <cell r="N72">
            <v>3.3000000000000002E-2</v>
          </cell>
          <cell r="O72">
            <v>0.01</v>
          </cell>
          <cell r="P72">
            <v>0.223</v>
          </cell>
          <cell r="Q72">
            <v>-0.04</v>
          </cell>
          <cell r="R72">
            <v>-0.02</v>
          </cell>
          <cell r="S72">
            <v>5.5E-2</v>
          </cell>
          <cell r="T72">
            <v>3.5857142857142858E-2</v>
          </cell>
        </row>
        <row r="73">
          <cell r="B73" t="str">
            <v>FY(1)</v>
          </cell>
          <cell r="C73">
            <v>-6.9000000000000006E-2</v>
          </cell>
          <cell r="D73">
            <v>-8.5000000000000006E-2</v>
          </cell>
          <cell r="E73">
            <v>-4.4999999999999998E-2</v>
          </cell>
          <cell r="F73">
            <v>-9.0392473766734996E-2</v>
          </cell>
          <cell r="G73">
            <v>-6.0999999999999999E-2</v>
          </cell>
          <cell r="H73">
            <v>0.02</v>
          </cell>
          <cell r="I73">
            <v>-7.2019165762476399E-3</v>
          </cell>
          <cell r="J73">
            <v>-4.8227770048997518E-2</v>
          </cell>
          <cell r="M73">
            <v>-0.13</v>
          </cell>
          <cell r="N73">
            <v>0.08</v>
          </cell>
          <cell r="O73">
            <v>-9.97396193878715E-2</v>
          </cell>
          <cell r="P73">
            <v>9.8000000000000004E-2</v>
          </cell>
          <cell r="Q73">
            <v>-0.12</v>
          </cell>
          <cell r="R73">
            <v>-8.4306869759510406E-2</v>
          </cell>
          <cell r="S73">
            <v>7.8E-2</v>
          </cell>
          <cell r="T73">
            <v>-2.5435212735340273E-2</v>
          </cell>
        </row>
        <row r="74">
          <cell r="B74" t="str">
            <v>FY0</v>
          </cell>
          <cell r="C74">
            <v>6.5541130581591696E-3</v>
          </cell>
          <cell r="D74">
            <v>-6.3078925007644296E-2</v>
          </cell>
          <cell r="E74">
            <v>-5.2999999999999999E-2</v>
          </cell>
          <cell r="F74">
            <v>-3.4224630661177001E-2</v>
          </cell>
          <cell r="G74">
            <v>-0.14699999999999999</v>
          </cell>
          <cell r="H74">
            <v>6.1429424489502199E-2</v>
          </cell>
          <cell r="I74">
            <v>5.67421533164396E-2</v>
          </cell>
          <cell r="J74">
            <v>-2.4653980686388625E-2</v>
          </cell>
          <cell r="M74">
            <v>-0.23</v>
          </cell>
          <cell r="N74">
            <v>0.102299627147601</v>
          </cell>
          <cell r="O74">
            <v>-3.6220023152869797E-2</v>
          </cell>
          <cell r="P74">
            <v>-6.8000000000000005E-2</v>
          </cell>
          <cell r="Q74">
            <v>-2.9938719447770702E-2</v>
          </cell>
          <cell r="R74">
            <v>-3.8209678879894897E-2</v>
          </cell>
          <cell r="S74">
            <v>-2.3256719605994101E-2</v>
          </cell>
          <cell r="T74">
            <v>-4.6189359134132642E-2</v>
          </cell>
        </row>
        <row r="75">
          <cell r="B75" t="str">
            <v>FY1</v>
          </cell>
          <cell r="C75">
            <v>5.2404169492854501E-2</v>
          </cell>
          <cell r="D75">
            <v>1.86033499008923E-2</v>
          </cell>
          <cell r="E75">
            <v>4.3679773152782701E-2</v>
          </cell>
          <cell r="F75">
            <v>3.97315603069179E-2</v>
          </cell>
          <cell r="G75">
            <v>4.2591937598611899E-2</v>
          </cell>
          <cell r="H75">
            <v>5.2923780943401597E-2</v>
          </cell>
          <cell r="I75">
            <v>3.8739178634559598E-2</v>
          </cell>
          <cell r="J75">
            <v>4.1239107147145793E-2</v>
          </cell>
          <cell r="M75">
            <v>-4.3817488406315802E-2</v>
          </cell>
          <cell r="N75">
            <v>3.6299681250220303E-2</v>
          </cell>
          <cell r="O75">
            <v>3.3506756084832397E-2</v>
          </cell>
          <cell r="P75">
            <v>2.1792814193442801E-2</v>
          </cell>
          <cell r="Q75">
            <v>6.4617414056954703E-3</v>
          </cell>
          <cell r="R75">
            <v>6.9899914522689399E-2</v>
          </cell>
          <cell r="S75">
            <v>6.5643552140244005E-2</v>
          </cell>
          <cell r="T75">
            <v>2.7112424455829794E-2</v>
          </cell>
        </row>
        <row r="76">
          <cell r="B76" t="str">
            <v>FY2</v>
          </cell>
          <cell r="C76">
            <v>0.04</v>
          </cell>
          <cell r="D76">
            <v>0.02</v>
          </cell>
          <cell r="E76">
            <v>0.01</v>
          </cell>
          <cell r="F76">
            <v>0.02</v>
          </cell>
          <cell r="G76">
            <v>0.02</v>
          </cell>
          <cell r="H76">
            <v>0.02</v>
          </cell>
          <cell r="I76">
            <v>0.02</v>
          </cell>
          <cell r="J76">
            <v>2.1428571428571429E-2</v>
          </cell>
          <cell r="M76">
            <v>1.04505589012915E-2</v>
          </cell>
          <cell r="N76">
            <v>0.03</v>
          </cell>
          <cell r="O76">
            <v>0.04</v>
          </cell>
          <cell r="P76">
            <v>0.04</v>
          </cell>
          <cell r="Q76">
            <v>-3.10077885527596E-2</v>
          </cell>
          <cell r="R76">
            <v>1.82099005897415E-2</v>
          </cell>
          <cell r="S76">
            <v>5.1020186507036699E-2</v>
          </cell>
          <cell r="T76">
            <v>2.2667551063615732E-2</v>
          </cell>
        </row>
        <row r="77">
          <cell r="B77" t="str">
            <v>FQ(3)</v>
          </cell>
          <cell r="C77">
            <v>-4.2000000000000003E-2</v>
          </cell>
          <cell r="D77">
            <v>-7.4999999999999997E-2</v>
          </cell>
          <cell r="E77">
            <v>-0.09</v>
          </cell>
          <cell r="F77">
            <v>-0.13200000000000001</v>
          </cell>
          <cell r="G77">
            <v>-0.27600000000000002</v>
          </cell>
          <cell r="H77">
            <v>0.03</v>
          </cell>
          <cell r="I77">
            <v>-3.9548952924792102E-2</v>
          </cell>
          <cell r="J77">
            <v>-8.9221278989256012E-2</v>
          </cell>
          <cell r="M77">
            <v>-0.3</v>
          </cell>
          <cell r="N77">
            <v>0.11</v>
          </cell>
          <cell r="O77">
            <v>-0.1</v>
          </cell>
          <cell r="P77">
            <v>-4.2000000000000003E-2</v>
          </cell>
          <cell r="Q77">
            <v>-0.08</v>
          </cell>
          <cell r="R77">
            <v>-7.0000000000000007E-2</v>
          </cell>
          <cell r="S77">
            <v>-9.6000000000000002E-2</v>
          </cell>
          <cell r="T77">
            <v>-8.2571428571428587E-2</v>
          </cell>
        </row>
        <row r="78">
          <cell r="B78" t="str">
            <v>FQ(2)</v>
          </cell>
          <cell r="C78">
            <v>-2.3E-2</v>
          </cell>
          <cell r="D78">
            <v>-9.5000000000000001E-2</v>
          </cell>
          <cell r="E78">
            <v>-9.5000000000000001E-2</v>
          </cell>
          <cell r="F78">
            <v>-9.8000000000000004E-2</v>
          </cell>
          <cell r="G78">
            <v>-0.155</v>
          </cell>
          <cell r="H78">
            <v>0.03</v>
          </cell>
          <cell r="I78">
            <v>-5.3891204011856202E-3</v>
          </cell>
          <cell r="J78">
            <v>-6.3055588628740791E-2</v>
          </cell>
          <cell r="M78">
            <v>-0.3</v>
          </cell>
          <cell r="N78">
            <v>0.12</v>
          </cell>
          <cell r="O78">
            <v>-0.1</v>
          </cell>
          <cell r="P78">
            <v>-6.0999999999999999E-2</v>
          </cell>
          <cell r="Q78">
            <v>-0.08</v>
          </cell>
          <cell r="R78">
            <v>-0.09</v>
          </cell>
          <cell r="S78">
            <v>-0.06</v>
          </cell>
          <cell r="T78">
            <v>-8.1571428571428559E-2</v>
          </cell>
        </row>
        <row r="79">
          <cell r="A79" t="str">
            <v>mstag:revenueNet</v>
          </cell>
          <cell r="B79" t="str">
            <v>FQ(1)</v>
          </cell>
          <cell r="C79">
            <v>2.4E-2</v>
          </cell>
          <cell r="D79">
            <v>-4.5999999999999999E-2</v>
          </cell>
          <cell r="E79">
            <v>-3.5999999999999997E-2</v>
          </cell>
          <cell r="F79">
            <v>-1.2E-2</v>
          </cell>
          <cell r="G79">
            <v>-0.10100000000000001</v>
          </cell>
          <cell r="H79">
            <v>0.08</v>
          </cell>
          <cell r="I79">
            <v>7.6835872094774701E-2</v>
          </cell>
          <cell r="J79">
            <v>-2.0234468436036118E-3</v>
          </cell>
          <cell r="M79">
            <v>-0.22</v>
          </cell>
          <cell r="N79">
            <v>0.1</v>
          </cell>
          <cell r="O79">
            <v>-0.04</v>
          </cell>
          <cell r="P79">
            <v>-1.0999999999999999E-2</v>
          </cell>
          <cell r="Q79">
            <v>0</v>
          </cell>
          <cell r="R79">
            <v>-0.02</v>
          </cell>
          <cell r="S79">
            <v>-0.02</v>
          </cell>
          <cell r="T79">
            <v>-3.0142857142857141E-2</v>
          </cell>
        </row>
        <row r="80">
          <cell r="B80" t="str">
            <v>Last Reported Q</v>
          </cell>
          <cell r="C80">
            <v>6.5541130581591696E-3</v>
          </cell>
          <cell r="D80">
            <v>-6.3078925007644296E-2</v>
          </cell>
          <cell r="E80">
            <v>-5.2999999999999999E-2</v>
          </cell>
          <cell r="F80">
            <v>-3.4224630661177001E-2</v>
          </cell>
          <cell r="G80">
            <v>-0.14699999999999999</v>
          </cell>
          <cell r="H80">
            <v>6.1429424489502199E-2</v>
          </cell>
          <cell r="I80">
            <v>5.67421533164396E-2</v>
          </cell>
          <cell r="J80">
            <v>-2.4653980686388625E-2</v>
          </cell>
          <cell r="K80">
            <v>29178.162</v>
          </cell>
          <cell r="M80">
            <v>-0.23</v>
          </cell>
          <cell r="N80">
            <v>0.102299627147601</v>
          </cell>
          <cell r="O80">
            <v>-3.6220023152869797E-2</v>
          </cell>
          <cell r="P80">
            <v>3.2000000000000001E-2</v>
          </cell>
          <cell r="Q80">
            <v>-2.9938719447770702E-2</v>
          </cell>
          <cell r="R80">
            <v>-3.8209678879894897E-2</v>
          </cell>
          <cell r="S80">
            <v>-2.3256719605994101E-2</v>
          </cell>
          <cell r="T80">
            <v>-3.1903644848418358E-2</v>
          </cell>
          <cell r="U80">
            <v>11475.175999999999</v>
          </cell>
        </row>
        <row r="81">
          <cell r="B81" t="str">
            <v>FY(9)</v>
          </cell>
          <cell r="C81">
            <v>4556.9799999999996</v>
          </cell>
          <cell r="D81">
            <v>31743</v>
          </cell>
          <cell r="E81">
            <v>16029</v>
          </cell>
          <cell r="F81">
            <v>5149</v>
          </cell>
          <cell r="G81" t="str">
            <v>NA</v>
          </cell>
          <cell r="H81">
            <v>2468.6379999999999</v>
          </cell>
          <cell r="I81">
            <v>8795.3469999999998</v>
          </cell>
          <cell r="K81">
            <v>68741.964999999997</v>
          </cell>
          <cell r="M81">
            <v>1030.8579999999999</v>
          </cell>
          <cell r="N81" t="str">
            <v>NA</v>
          </cell>
          <cell r="O81">
            <v>832.10400000000004</v>
          </cell>
          <cell r="P81">
            <v>549</v>
          </cell>
          <cell r="Q81" t="str">
            <v>NA</v>
          </cell>
          <cell r="R81">
            <v>9766</v>
          </cell>
          <cell r="S81">
            <v>278.113</v>
          </cell>
          <cell r="U81">
            <v>12456.074999999999</v>
          </cell>
        </row>
        <row r="82">
          <cell r="A82" t="str">
            <v>mstag:revenueNet</v>
          </cell>
          <cell r="B82" t="str">
            <v>Revenue</v>
          </cell>
          <cell r="C82">
            <v>6152.2</v>
          </cell>
          <cell r="D82">
            <v>31846</v>
          </cell>
          <cell r="E82">
            <v>16638</v>
          </cell>
          <cell r="F82">
            <v>5528.5370000000003</v>
          </cell>
          <cell r="G82" t="str">
            <v>NA</v>
          </cell>
          <cell r="H82">
            <v>2709.0390000000002</v>
          </cell>
          <cell r="I82">
            <v>9579.0059999999994</v>
          </cell>
          <cell r="K82">
            <v>72452.781999999992</v>
          </cell>
          <cell r="M82">
            <v>1237.604</v>
          </cell>
          <cell r="N82" t="str">
            <v>NA</v>
          </cell>
          <cell r="O82">
            <v>1058.454</v>
          </cell>
          <cell r="P82">
            <v>600.49099999999999</v>
          </cell>
          <cell r="Q82">
            <v>13673.38</v>
          </cell>
          <cell r="R82">
            <v>9080</v>
          </cell>
          <cell r="S82">
            <v>295.33300000000003</v>
          </cell>
          <cell r="U82">
            <v>25945.261999999999</v>
          </cell>
        </row>
        <row r="83">
          <cell r="B83" t="str">
            <v>FY(10)</v>
          </cell>
          <cell r="C83">
            <v>4556.9799999999996</v>
          </cell>
          <cell r="D83">
            <v>31743</v>
          </cell>
          <cell r="E83">
            <v>16029</v>
          </cell>
          <cell r="F83">
            <v>5149</v>
          </cell>
          <cell r="G83" t="str">
            <v>NA</v>
          </cell>
          <cell r="H83">
            <v>2468.6379999999999</v>
          </cell>
          <cell r="I83">
            <v>8795.3469999999998</v>
          </cell>
          <cell r="K83">
            <v>68741.964999999997</v>
          </cell>
          <cell r="M83">
            <v>1030.8579999999999</v>
          </cell>
          <cell r="N83">
            <v>232.10029573498414</v>
          </cell>
          <cell r="O83">
            <v>832.10400000000004</v>
          </cell>
          <cell r="P83">
            <v>507.78100000000001</v>
          </cell>
          <cell r="Q83">
            <v>11635</v>
          </cell>
          <cell r="R83">
            <v>9766</v>
          </cell>
          <cell r="S83">
            <v>278.113</v>
          </cell>
          <cell r="U83">
            <v>24281.956295734984</v>
          </cell>
        </row>
        <row r="84">
          <cell r="B84" t="str">
            <v>FY(9)</v>
          </cell>
          <cell r="C84">
            <v>6152.2</v>
          </cell>
          <cell r="D84">
            <v>31846</v>
          </cell>
          <cell r="E84">
            <v>16638</v>
          </cell>
          <cell r="F84">
            <v>5528.5370000000003</v>
          </cell>
          <cell r="G84" t="str">
            <v>NA</v>
          </cell>
          <cell r="H84">
            <v>2709.0390000000002</v>
          </cell>
          <cell r="I84">
            <v>9579.0059999999994</v>
          </cell>
          <cell r="K84">
            <v>72452.781999999992</v>
          </cell>
          <cell r="M84">
            <v>1237.604</v>
          </cell>
          <cell r="N84">
            <v>309.60581176788753</v>
          </cell>
          <cell r="O84">
            <v>1058.454</v>
          </cell>
          <cell r="P84">
            <v>549</v>
          </cell>
          <cell r="Q84">
            <v>13673.38</v>
          </cell>
          <cell r="R84">
            <v>9080</v>
          </cell>
          <cell r="S84">
            <v>295.33300000000003</v>
          </cell>
          <cell r="U84">
            <v>26203.376811767885</v>
          </cell>
        </row>
        <row r="85">
          <cell r="B85" t="str">
            <v>FY(8)</v>
          </cell>
          <cell r="C85">
            <v>7488.6459999999997</v>
          </cell>
          <cell r="D85">
            <v>17840</v>
          </cell>
          <cell r="E85">
            <v>15785</v>
          </cell>
          <cell r="F85">
            <v>5634.13</v>
          </cell>
          <cell r="G85" t="str">
            <v>NA</v>
          </cell>
          <cell r="H85">
            <v>2986.596</v>
          </cell>
          <cell r="I85">
            <v>10708.998</v>
          </cell>
          <cell r="K85">
            <v>60443.369999999995</v>
          </cell>
          <cell r="M85">
            <v>1364.8530000000001</v>
          </cell>
          <cell r="N85">
            <v>412.99283302035195</v>
          </cell>
          <cell r="O85">
            <v>1271.248</v>
          </cell>
          <cell r="P85">
            <v>600.49099999999999</v>
          </cell>
          <cell r="Q85">
            <v>13847.873</v>
          </cell>
          <cell r="R85">
            <v>8423</v>
          </cell>
          <cell r="S85">
            <v>348.95800000000003</v>
          </cell>
          <cell r="U85">
            <v>26269.41583302035</v>
          </cell>
        </row>
        <row r="86">
          <cell r="B86" t="str">
            <v>FY(7)</v>
          </cell>
          <cell r="C86">
            <v>9120.2870000000003</v>
          </cell>
          <cell r="D86">
            <v>17384</v>
          </cell>
          <cell r="E86">
            <v>15571</v>
          </cell>
          <cell r="F86">
            <v>5944.6559999999999</v>
          </cell>
          <cell r="G86" t="str">
            <v>NA</v>
          </cell>
          <cell r="H86">
            <v>3531.3490000000002</v>
          </cell>
          <cell r="I86">
            <v>11981.207</v>
          </cell>
          <cell r="K86">
            <v>63532.499000000003</v>
          </cell>
          <cell r="M86">
            <v>1595.7570000000001</v>
          </cell>
          <cell r="N86">
            <v>550.904</v>
          </cell>
          <cell r="O86">
            <v>1382.923</v>
          </cell>
          <cell r="P86">
            <v>719.4</v>
          </cell>
          <cell r="Q86">
            <v>14455.105</v>
          </cell>
          <cell r="R86">
            <v>8444.6380000000008</v>
          </cell>
          <cell r="S86">
            <v>422.75400000000002</v>
          </cell>
          <cell r="U86">
            <v>27571.481</v>
          </cell>
        </row>
        <row r="87">
          <cell r="B87" t="str">
            <v>FY(6)</v>
          </cell>
          <cell r="C87">
            <v>10282.093999999999</v>
          </cell>
          <cell r="D87">
            <v>17513</v>
          </cell>
          <cell r="E87">
            <v>15412</v>
          </cell>
          <cell r="F87">
            <v>6448.5720000000001</v>
          </cell>
          <cell r="G87">
            <v>2441.989</v>
          </cell>
          <cell r="H87">
            <v>3920.5830000000001</v>
          </cell>
          <cell r="I87">
            <v>13327.938</v>
          </cell>
          <cell r="K87">
            <v>69346.175999999992</v>
          </cell>
          <cell r="M87">
            <v>1707.809</v>
          </cell>
          <cell r="N87">
            <v>734.86800000000005</v>
          </cell>
          <cell r="O87">
            <v>1435.4359999999999</v>
          </cell>
          <cell r="P87">
            <v>926.40599999999995</v>
          </cell>
          <cell r="Q87">
            <v>15853.771000000001</v>
          </cell>
          <cell r="R87">
            <v>8933.973</v>
          </cell>
          <cell r="S87">
            <v>548.36099999999999</v>
          </cell>
          <cell r="U87">
            <v>30140.624</v>
          </cell>
        </row>
        <row r="88">
          <cell r="B88" t="str">
            <v>FY(5)</v>
          </cell>
          <cell r="C88">
            <v>11700.7</v>
          </cell>
          <cell r="D88">
            <v>18096</v>
          </cell>
          <cell r="E88">
            <v>15776</v>
          </cell>
          <cell r="F88">
            <v>7131.4129999999996</v>
          </cell>
          <cell r="G88">
            <v>2766.9769999999999</v>
          </cell>
          <cell r="H88">
            <v>4239.99</v>
          </cell>
          <cell r="I88">
            <v>14913.483</v>
          </cell>
          <cell r="K88">
            <v>74624.562999999995</v>
          </cell>
          <cell r="M88">
            <v>2021.2539999999999</v>
          </cell>
          <cell r="N88">
            <v>964.21199999999999</v>
          </cell>
          <cell r="O88">
            <v>1881.241</v>
          </cell>
          <cell r="P88">
            <v>1272.3</v>
          </cell>
          <cell r="Q88">
            <v>16267</v>
          </cell>
          <cell r="R88">
            <v>9408.3119999999999</v>
          </cell>
          <cell r="S88">
            <v>827.75</v>
          </cell>
          <cell r="U88">
            <v>32642.069000000003</v>
          </cell>
        </row>
        <row r="89">
          <cell r="B89" t="str">
            <v>FY(4)</v>
          </cell>
          <cell r="C89">
            <v>13402.2</v>
          </cell>
          <cell r="D89">
            <v>18781</v>
          </cell>
          <cell r="E89">
            <v>22390</v>
          </cell>
          <cell r="F89">
            <v>7722.6120000000001</v>
          </cell>
          <cell r="G89">
            <v>2778.3330000000001</v>
          </cell>
          <cell r="H89">
            <v>4944.1790000000001</v>
          </cell>
          <cell r="I89">
            <v>15955.942999999999</v>
          </cell>
          <cell r="K89">
            <v>85974.266999999993</v>
          </cell>
          <cell r="M89">
            <v>2768.1640000000002</v>
          </cell>
          <cell r="N89">
            <v>1204.347</v>
          </cell>
          <cell r="O89">
            <v>2321.962</v>
          </cell>
          <cell r="P89">
            <v>1651.704</v>
          </cell>
          <cell r="Q89">
            <v>16023</v>
          </cell>
          <cell r="R89">
            <v>9669.5</v>
          </cell>
          <cell r="S89">
            <v>1092.107</v>
          </cell>
          <cell r="U89">
            <v>34730.784</v>
          </cell>
        </row>
        <row r="90">
          <cell r="B90" t="str">
            <v>FY(3)</v>
          </cell>
          <cell r="C90">
            <v>15585.300999999999</v>
          </cell>
          <cell r="D90">
            <v>19903.088</v>
          </cell>
          <cell r="E90">
            <v>26970</v>
          </cell>
          <cell r="F90">
            <v>8560.6980000000003</v>
          </cell>
          <cell r="G90">
            <v>2940.0030000000002</v>
          </cell>
          <cell r="H90">
            <v>5570.21</v>
          </cell>
          <cell r="I90">
            <v>17404.636999999999</v>
          </cell>
          <cell r="K90">
            <v>96933.937000000005</v>
          </cell>
          <cell r="M90">
            <v>3284.1759999999999</v>
          </cell>
          <cell r="N90">
            <v>1413.2080000000001</v>
          </cell>
          <cell r="O90">
            <v>2794.4090000000001</v>
          </cell>
          <cell r="P90">
            <v>2035.085</v>
          </cell>
          <cell r="Q90">
            <v>15923</v>
          </cell>
          <cell r="R90">
            <v>10670.652</v>
          </cell>
          <cell r="S90">
            <v>1224.7170000000001</v>
          </cell>
          <cell r="U90">
            <v>37345.246999999996</v>
          </cell>
        </row>
        <row r="91">
          <cell r="B91" t="str">
            <v>FY(2)</v>
          </cell>
          <cell r="C91">
            <v>16473.7</v>
          </cell>
          <cell r="D91">
            <v>19860.93</v>
          </cell>
          <cell r="E91">
            <v>26313</v>
          </cell>
          <cell r="F91">
            <v>8827.8140000000003</v>
          </cell>
          <cell r="G91">
            <v>3264.6329999999998</v>
          </cell>
          <cell r="H91">
            <v>5975.2120000000004</v>
          </cell>
          <cell r="I91">
            <v>18336.725999999999</v>
          </cell>
          <cell r="K91">
            <v>99052.014999999999</v>
          </cell>
          <cell r="M91">
            <v>3699.6559999999999</v>
          </cell>
          <cell r="N91">
            <v>1583.183</v>
          </cell>
          <cell r="O91">
            <v>3055.4189999999999</v>
          </cell>
          <cell r="P91">
            <v>2612.4560000000001</v>
          </cell>
          <cell r="Q91">
            <v>15763</v>
          </cell>
          <cell r="R91">
            <v>10086.293</v>
          </cell>
          <cell r="S91">
            <v>1507.7239999999999</v>
          </cell>
          <cell r="U91">
            <v>38307.731</v>
          </cell>
        </row>
        <row r="92">
          <cell r="B92" t="str">
            <v>FY(1)</v>
          </cell>
          <cell r="C92">
            <v>16388.900000000001</v>
          </cell>
          <cell r="D92">
            <v>18486.4729787059</v>
          </cell>
          <cell r="E92">
            <v>24892</v>
          </cell>
          <cell r="F92">
            <v>8291</v>
          </cell>
          <cell r="G92">
            <v>3036.8879999999999</v>
          </cell>
          <cell r="H92">
            <v>6486.1390000000001</v>
          </cell>
          <cell r="I92">
            <v>18999.505000000001</v>
          </cell>
          <cell r="K92">
            <v>96580.904978705905</v>
          </cell>
          <cell r="M92">
            <v>3484.0569999999998</v>
          </cell>
          <cell r="N92">
            <v>1885.5309999999999</v>
          </cell>
          <cell r="O92">
            <v>2988.817</v>
          </cell>
          <cell r="P92">
            <v>3180.7570000000001</v>
          </cell>
          <cell r="Q92">
            <v>14526</v>
          </cell>
          <cell r="R92">
            <v>9042.7009999999991</v>
          </cell>
          <cell r="S92">
            <v>1834.6179999999999</v>
          </cell>
          <cell r="U92">
            <v>36942.481</v>
          </cell>
        </row>
        <row r="93">
          <cell r="B93" t="str">
            <v>FY0</v>
          </cell>
          <cell r="C93">
            <v>17177</v>
          </cell>
          <cell r="D93">
            <v>17557.479531695401</v>
          </cell>
          <cell r="E93">
            <v>23489</v>
          </cell>
          <cell r="F93">
            <v>8258</v>
          </cell>
          <cell r="G93">
            <v>2625.71</v>
          </cell>
          <cell r="H93">
            <v>7184.2129999999997</v>
          </cell>
          <cell r="I93">
            <v>20288.444</v>
          </cell>
          <cell r="K93">
            <v>96579.84653169541</v>
          </cell>
          <cell r="M93">
            <v>2928.625</v>
          </cell>
          <cell r="N93">
            <v>2230.105</v>
          </cell>
          <cell r="O93">
            <v>2990.558</v>
          </cell>
          <cell r="P93">
            <v>3230.4679999999998</v>
          </cell>
          <cell r="Q93">
            <v>14197</v>
          </cell>
          <cell r="R93">
            <v>8632.5365000000002</v>
          </cell>
          <cell r="S93">
            <v>1937.8150000000001</v>
          </cell>
          <cell r="U93">
            <v>36147.107500000006</v>
          </cell>
        </row>
        <row r="94">
          <cell r="B94" t="str">
            <v>FY1</v>
          </cell>
          <cell r="C94">
            <v>18498.109536433902</v>
          </cell>
          <cell r="D94">
            <v>17806.182108049401</v>
          </cell>
          <cell r="E94">
            <v>24544.575112720999</v>
          </cell>
          <cell r="F94">
            <v>8931.4666703660005</v>
          </cell>
          <cell r="G94">
            <v>2737.49293223829</v>
          </cell>
          <cell r="H94">
            <v>7803.8611769138997</v>
          </cell>
          <cell r="I94">
            <v>22056.154446994798</v>
          </cell>
          <cell r="K94">
            <v>102377.8419837173</v>
          </cell>
          <cell r="M94">
            <v>3162.7476001191799</v>
          </cell>
          <cell r="N94">
            <v>2430.26432838644</v>
          </cell>
          <cell r="O94">
            <v>2988.9123471029702</v>
          </cell>
          <cell r="P94">
            <v>3476.1003261498299</v>
          </cell>
          <cell r="Q94">
            <v>14057.709404797301</v>
          </cell>
          <cell r="R94">
            <v>9110.7464272638808</v>
          </cell>
          <cell r="S94">
            <v>2261.5106702375401</v>
          </cell>
          <cell r="U94">
            <v>37487.991104057146</v>
          </cell>
        </row>
        <row r="95">
          <cell r="B95" t="str">
            <v>FY2</v>
          </cell>
          <cell r="C95">
            <v>20039.552621656901</v>
          </cell>
          <cell r="D95">
            <v>18198.430040241499</v>
          </cell>
          <cell r="E95">
            <v>24750.731353234001</v>
          </cell>
          <cell r="F95">
            <v>9352.2268005773403</v>
          </cell>
          <cell r="G95">
            <v>2932.27969354073</v>
          </cell>
          <cell r="H95">
            <v>8161.2515621648599</v>
          </cell>
          <cell r="I95">
            <v>23509.655025051801</v>
          </cell>
          <cell r="K95">
            <v>106944.12709646713</v>
          </cell>
          <cell r="M95">
            <v>3416.94856393808</v>
          </cell>
          <cell r="N95">
            <v>2750.6661824206799</v>
          </cell>
          <cell r="O95">
            <v>3305.3180742735199</v>
          </cell>
          <cell r="P95">
            <v>3717.3890173600098</v>
          </cell>
          <cell r="Q95">
            <v>13508.772793591699</v>
          </cell>
          <cell r="R95">
            <v>9454.1724434505995</v>
          </cell>
          <cell r="S95">
            <v>2580.1207421026002</v>
          </cell>
          <cell r="U95">
            <v>38733.387817137183</v>
          </cell>
        </row>
        <row r="96">
          <cell r="B96" t="str">
            <v>FQ(3)</v>
          </cell>
          <cell r="C96">
            <v>3638</v>
          </cell>
          <cell r="D96">
            <v>3884.4351206486299</v>
          </cell>
          <cell r="E96">
            <v>5199</v>
          </cell>
          <cell r="F96">
            <v>1706</v>
          </cell>
          <cell r="G96">
            <v>621.26599999999996</v>
          </cell>
          <cell r="H96">
            <v>1691.5989999999999</v>
          </cell>
          <cell r="I96">
            <v>4354.2240000000002</v>
          </cell>
          <cell r="K96">
            <v>21094.524120648632</v>
          </cell>
          <cell r="M96">
            <v>601.72900000000004</v>
          </cell>
          <cell r="N96">
            <v>408.024</v>
          </cell>
          <cell r="O96">
            <v>612</v>
          </cell>
          <cell r="P96">
            <v>739.93899999999996</v>
          </cell>
          <cell r="Q96">
            <v>3127</v>
          </cell>
          <cell r="R96">
            <v>1725.2370000000001</v>
          </cell>
          <cell r="S96">
            <v>384.79599999999999</v>
          </cell>
          <cell r="U96">
            <v>7598.7250000000004</v>
          </cell>
        </row>
        <row r="97">
          <cell r="B97" t="str">
            <v>FQ(2)</v>
          </cell>
          <cell r="C97">
            <v>3806</v>
          </cell>
          <cell r="D97">
            <v>3942.65022008711</v>
          </cell>
          <cell r="E97">
            <v>5164</v>
          </cell>
          <cell r="F97">
            <v>2145</v>
          </cell>
          <cell r="G97">
            <v>561.69600000000003</v>
          </cell>
          <cell r="H97">
            <v>1768.636</v>
          </cell>
          <cell r="I97">
            <v>4747.5280000000002</v>
          </cell>
          <cell r="K97">
            <v>22135.510220087112</v>
          </cell>
          <cell r="M97">
            <v>637.221</v>
          </cell>
          <cell r="N97">
            <v>453.02</v>
          </cell>
          <cell r="O97">
            <v>657.596</v>
          </cell>
          <cell r="P97">
            <v>777.74400000000003</v>
          </cell>
          <cell r="Q97">
            <v>3245</v>
          </cell>
          <cell r="R97">
            <v>2066.61</v>
          </cell>
          <cell r="S97">
            <v>458.62599999999998</v>
          </cell>
          <cell r="U97">
            <v>8295.8170000000009</v>
          </cell>
        </row>
        <row r="98">
          <cell r="B98" t="str">
            <v>FQ(1)</v>
          </cell>
          <cell r="C98">
            <v>4051</v>
          </cell>
          <cell r="D98">
            <v>4180.3941909596297</v>
          </cell>
          <cell r="E98">
            <v>5277</v>
          </cell>
          <cell r="F98">
            <v>1868</v>
          </cell>
          <cell r="G98">
            <v>631.43399999999997</v>
          </cell>
          <cell r="H98">
            <v>1744.1389999999999</v>
          </cell>
          <cell r="I98">
            <v>5244.9459999999999</v>
          </cell>
          <cell r="K98">
            <v>22996.913190959629</v>
          </cell>
          <cell r="M98">
            <v>753.68399999999997</v>
          </cell>
          <cell r="N98">
            <v>567.83799999999997</v>
          </cell>
          <cell r="O98">
            <v>748.96199999999999</v>
          </cell>
          <cell r="P98">
            <v>761.43700000000001</v>
          </cell>
          <cell r="Q98">
            <v>3589</v>
          </cell>
          <cell r="R98">
            <v>1777.2895000000001</v>
          </cell>
          <cell r="S98">
            <v>505.9</v>
          </cell>
          <cell r="U98">
            <v>8704.1105000000007</v>
          </cell>
        </row>
        <row r="99">
          <cell r="B99" t="str">
            <v>Last Reported Q</v>
          </cell>
          <cell r="C99">
            <v>17177</v>
          </cell>
          <cell r="D99">
            <v>17557.479531695401</v>
          </cell>
          <cell r="E99">
            <v>23489</v>
          </cell>
          <cell r="F99">
            <v>8258</v>
          </cell>
          <cell r="G99">
            <v>2625.71</v>
          </cell>
          <cell r="H99">
            <v>7184.2129999999997</v>
          </cell>
          <cell r="I99">
            <v>20288.444</v>
          </cell>
          <cell r="K99">
            <v>96579.84653169541</v>
          </cell>
          <cell r="M99">
            <v>2928.625</v>
          </cell>
          <cell r="N99">
            <v>2230.105</v>
          </cell>
          <cell r="O99">
            <v>2990.558</v>
          </cell>
          <cell r="P99">
            <v>1065.0050000000001</v>
          </cell>
          <cell r="Q99">
            <v>14197</v>
          </cell>
          <cell r="R99">
            <v>8632.5365000000002</v>
          </cell>
          <cell r="S99">
            <v>1937.8150000000001</v>
          </cell>
          <cell r="U99">
            <v>33981.644500000002</v>
          </cell>
          <cell r="AA99" t="str">
            <v>Avg</v>
          </cell>
        </row>
        <row r="100">
          <cell r="B100" t="str">
            <v>LTM</v>
          </cell>
          <cell r="C100">
            <v>28672</v>
          </cell>
          <cell r="D100">
            <v>29564.959063390772</v>
          </cell>
          <cell r="E100">
            <v>39129</v>
          </cell>
          <cell r="F100">
            <v>13977</v>
          </cell>
          <cell r="G100">
            <v>4440.1059999999998</v>
          </cell>
          <cell r="H100">
            <v>12388.587</v>
          </cell>
          <cell r="I100">
            <v>34635.142</v>
          </cell>
          <cell r="K100">
            <v>162806.79406339076</v>
          </cell>
          <cell r="M100">
            <v>4921.259</v>
          </cell>
          <cell r="N100">
            <v>3658.9870000000001</v>
          </cell>
          <cell r="O100">
            <v>5009.116</v>
          </cell>
          <cell r="P100">
            <v>3344.125</v>
          </cell>
          <cell r="Q100">
            <v>24158</v>
          </cell>
          <cell r="R100">
            <v>14201.673000000001</v>
          </cell>
          <cell r="S100">
            <v>3287.1370000000002</v>
          </cell>
          <cell r="U100">
            <v>58580.297000000006</v>
          </cell>
          <cell r="X100" t="str">
            <v>% Chg Sales</v>
          </cell>
          <cell r="Y100" t="str">
            <v>GM</v>
          </cell>
          <cell r="Z100" t="str">
            <v>SG&amp;A</v>
          </cell>
          <cell r="AA100" t="str">
            <v>% Chg EPS</v>
          </cell>
          <cell r="AB100" t="str">
            <v>Y/Y Stock Return</v>
          </cell>
        </row>
        <row r="101">
          <cell r="B101" t="str">
            <v>FY1</v>
          </cell>
          <cell r="C101">
            <v>4.3222849199793689E-2</v>
          </cell>
          <cell r="D101">
            <v>-5.2735424999238778E-2</v>
          </cell>
          <cell r="E101">
            <v>-6.3459608302113168E-2</v>
          </cell>
          <cell r="F101">
            <v>-2.5871558510100034E-2</v>
          </cell>
          <cell r="G101">
            <v>-0.15055978898799161</v>
          </cell>
          <cell r="H101">
            <v>9.870750403746964E-2</v>
          </cell>
          <cell r="I101">
            <v>5.1592050593949557E-2</v>
          </cell>
          <cell r="K101">
            <v>-9.2860793391353891E-3</v>
          </cell>
          <cell r="M101">
            <v>-0.16119630832569265</v>
          </cell>
          <cell r="N101">
            <v>0.15716657972563697</v>
          </cell>
          <cell r="O101">
            <v>-1.2369922577250447E-2</v>
          </cell>
          <cell r="P101">
            <v>8.0404128485095816E-2</v>
          </cell>
          <cell r="Q101">
            <v>-1.7904211109190493E-2</v>
          </cell>
          <cell r="R101">
            <v>-6.1916819776748011E-2</v>
          </cell>
          <cell r="S101">
            <v>5.6907951718232486E-2</v>
          </cell>
          <cell r="U101">
            <v>-2.070623056639842E-2</v>
          </cell>
          <cell r="W101" t="str">
            <v>Dept Stores</v>
          </cell>
          <cell r="X101">
            <v>-3.5409089577638664E-2</v>
          </cell>
          <cell r="Y101">
            <v>157.63350500292728</v>
          </cell>
          <cell r="Z101">
            <v>140.95424200297856</v>
          </cell>
          <cell r="AA101">
            <v>-0.27193440625115911</v>
          </cell>
          <cell r="AB101">
            <v>0.55000000000000004</v>
          </cell>
        </row>
        <row r="102">
          <cell r="B102" t="str">
            <v>Revenue Growth</v>
          </cell>
          <cell r="C102">
            <v>6.2837928325937487E-2</v>
          </cell>
          <cell r="D102">
            <v>-2.2980410921283889E-3</v>
          </cell>
          <cell r="E102">
            <v>-1.7603372549021334E-2</v>
          </cell>
          <cell r="F102">
            <v>1.0432109608290219E-2</v>
          </cell>
          <cell r="G102">
            <v>1.6315182620068924E-2</v>
          </cell>
          <cell r="H102">
            <v>4.2812256217959366E-2</v>
          </cell>
          <cell r="I102">
            <v>6.590000000000007E-2</v>
          </cell>
          <cell r="K102">
            <v>2.4788718789983566E-2</v>
          </cell>
          <cell r="M102">
            <v>0.11024888457662718</v>
          </cell>
          <cell r="N102">
            <v>0.10712689289907362</v>
          </cell>
          <cell r="O102">
            <v>7.1732264728360029E-2</v>
          </cell>
          <cell r="P102">
            <v>7.0465151392704151E-2</v>
          </cell>
          <cell r="Q102">
            <v>-1.1298021641825362E-2</v>
          </cell>
          <cell r="R102">
            <v>7.6674865314052543E-3</v>
          </cell>
          <cell r="S102">
            <v>0.16454681980554886</v>
          </cell>
          <cell r="U102">
            <v>3.4225307407317107E-2</v>
          </cell>
          <cell r="W102" t="str">
            <v>Off-Price</v>
          </cell>
          <cell r="X102">
            <v>6.358301225388252E-2</v>
          </cell>
          <cell r="Y102">
            <v>182.45939169460684</v>
          </cell>
          <cell r="Z102">
            <v>-27.013836931441965</v>
          </cell>
          <cell r="AA102">
            <v>0.40811766300825936</v>
          </cell>
          <cell r="AB102">
            <v>0.61</v>
          </cell>
        </row>
        <row r="103">
          <cell r="B103" t="str">
            <v>FY(5)</v>
          </cell>
          <cell r="C103">
            <v>0.13796858888860597</v>
          </cell>
          <cell r="D103">
            <v>3.3289556329583636E-2</v>
          </cell>
          <cell r="E103">
            <v>2.361796003114458E-2</v>
          </cell>
          <cell r="F103">
            <v>0.10589026531765477</v>
          </cell>
          <cell r="G103">
            <v>0.13308331855712696</v>
          </cell>
          <cell r="H103">
            <v>8.1469261076732691E-2</v>
          </cell>
          <cell r="I103">
            <v>0.11896401378817933</v>
          </cell>
          <cell r="K103">
            <v>7.6116482616143122E-2</v>
          </cell>
          <cell r="M103">
            <v>0.18353633222450516</v>
          </cell>
          <cell r="N103">
            <v>0.31208870164437674</v>
          </cell>
          <cell r="O103">
            <v>0.31057114354105653</v>
          </cell>
          <cell r="P103">
            <v>0.37337193411959779</v>
          </cell>
          <cell r="Q103">
            <v>2.6065028944848523E-2</v>
          </cell>
          <cell r="R103">
            <v>5.3093847496517022E-2</v>
          </cell>
          <cell r="S103">
            <v>0.50949830494874737</v>
          </cell>
          <cell r="U103">
            <v>8.2992475537334798E-2</v>
          </cell>
          <cell r="W103" t="str">
            <v>Specialty</v>
          </cell>
          <cell r="X103">
            <v>-2.070623056639842E-2</v>
          </cell>
          <cell r="Y103">
            <v>78.241077287845656</v>
          </cell>
          <cell r="Z103">
            <v>115.90085133750428</v>
          </cell>
          <cell r="AA103">
            <v>-1.7056810027645159E-2</v>
          </cell>
          <cell r="AB103">
            <v>0.76</v>
          </cell>
        </row>
        <row r="104">
          <cell r="B104" t="str">
            <v>FY(4)</v>
          </cell>
          <cell r="C104">
            <v>0.14541865016622935</v>
          </cell>
          <cell r="D104">
            <v>3.7853669319186656E-2</v>
          </cell>
          <cell r="E104">
            <v>0.41924442190669375</v>
          </cell>
          <cell r="F104">
            <v>8.2900681814389365E-2</v>
          </cell>
          <cell r="G104">
            <v>4.1041179597807176E-3</v>
          </cell>
          <cell r="H104">
            <v>0.16608270302524297</v>
          </cell>
          <cell r="I104">
            <v>6.990050546877602E-2</v>
          </cell>
          <cell r="K104">
            <v>0.15209072648103805</v>
          </cell>
          <cell r="M104">
            <v>0.36952802567119236</v>
          </cell>
          <cell r="N104">
            <v>0.24904792721932512</v>
          </cell>
          <cell r="O104">
            <v>0.23427141977024735</v>
          </cell>
          <cell r="P104">
            <v>0.29820325394954028</v>
          </cell>
          <cell r="Q104">
            <v>-1.4999692629249384E-2</v>
          </cell>
          <cell r="R104">
            <v>2.7761409272991866E-2</v>
          </cell>
          <cell r="S104">
            <v>0.31936816671700385</v>
          </cell>
          <cell r="U104">
            <v>6.3988437742717785E-2</v>
          </cell>
        </row>
        <row r="105">
          <cell r="A105" t="str">
            <v>mstag:costOfSalesWithoutDepreciation</v>
          </cell>
          <cell r="B105" t="str">
            <v>FY(3)</v>
          </cell>
          <cell r="C105">
            <v>0.16289124173643121</v>
          </cell>
          <cell r="D105">
            <v>5.9745913423140395E-2</v>
          </cell>
          <cell r="E105">
            <v>0.20455560518088434</v>
          </cell>
          <cell r="F105">
            <v>0.10852364459071628</v>
          </cell>
          <cell r="G105">
            <v>5.8189569068934466E-2</v>
          </cell>
          <cell r="H105">
            <v>0.12661980887018864</v>
          </cell>
          <cell r="I105">
            <v>9.07933802470966E-2</v>
          </cell>
          <cell r="K105">
            <v>0.12747616679302443</v>
          </cell>
          <cell r="M105">
            <v>0.18640947573915412</v>
          </cell>
          <cell r="N105">
            <v>0.17342260992886604</v>
          </cell>
          <cell r="O105">
            <v>0.20346887675164371</v>
          </cell>
          <cell r="P105">
            <v>0.23211241239350389</v>
          </cell>
          <cell r="Q105">
            <v>-6.2410285215003247E-3</v>
          </cell>
          <cell r="R105">
            <v>0.10353710119447745</v>
          </cell>
          <cell r="S105">
            <v>0.12142583098542548</v>
          </cell>
          <cell r="U105">
            <v>7.5277972417783445E-2</v>
          </cell>
        </row>
        <row r="106">
          <cell r="B106" t="str">
            <v>FY(2)</v>
          </cell>
          <cell r="C106">
            <v>5.7002363958193802E-2</v>
          </cell>
          <cell r="D106">
            <v>-2.1181637743851178E-3</v>
          </cell>
          <cell r="E106">
            <v>-2.4360400444938812E-2</v>
          </cell>
          <cell r="F106">
            <v>3.1202595863094373E-2</v>
          </cell>
          <cell r="G106">
            <v>0.11041825467525013</v>
          </cell>
          <cell r="H106">
            <v>7.270856933580605E-2</v>
          </cell>
          <cell r="I106">
            <v>5.3554061483729987E-2</v>
          </cell>
          <cell r="K106">
            <v>2.1850737373846574E-2</v>
          </cell>
          <cell r="M106">
            <v>0.12650966330671687</v>
          </cell>
          <cell r="N106">
            <v>0.12027599617324558</v>
          </cell>
          <cell r="O106">
            <v>9.3404365645830545E-2</v>
          </cell>
          <cell r="P106">
            <v>0.283708542886415</v>
          </cell>
          <cell r="Q106">
            <v>-1.0048357721534895E-2</v>
          </cell>
          <cell r="R106">
            <v>-5.476319535113694E-2</v>
          </cell>
          <cell r="S106">
            <v>0.23107950653089637</v>
          </cell>
          <cell r="U106">
            <v>2.577259697867329E-2</v>
          </cell>
        </row>
        <row r="107">
          <cell r="B107" t="str">
            <v>FY(1)</v>
          </cell>
          <cell r="C107">
            <v>-5.147598900064887E-3</v>
          </cell>
          <cell r="D107">
            <v>-6.9204061506389691E-2</v>
          </cell>
          <cell r="E107">
            <v>-5.4003724394785846E-2</v>
          </cell>
          <cell r="F107">
            <v>-6.0809391770148324E-2</v>
          </cell>
          <cell r="G107">
            <v>-6.9761287103328296E-2</v>
          </cell>
          <cell r="H107">
            <v>8.5507761063540411E-2</v>
          </cell>
          <cell r="I107">
            <v>3.6144893041429649E-2</v>
          </cell>
          <cell r="K107">
            <v>-2.4947599716109714E-2</v>
          </cell>
          <cell r="M107">
            <v>-5.8275418038866378E-2</v>
          </cell>
          <cell r="N107">
            <v>0.1909747641302364</v>
          </cell>
          <cell r="O107">
            <v>-2.1797992353912776E-2</v>
          </cell>
          <cell r="P107">
            <v>0.21753514700343279</v>
          </cell>
          <cell r="Q107">
            <v>-7.8474909598426734E-2</v>
          </cell>
          <cell r="R107">
            <v>-0.10346635775899038</v>
          </cell>
          <cell r="S107">
            <v>0.21681289148411786</v>
          </cell>
          <cell r="U107">
            <v>-3.5639020228057872E-2</v>
          </cell>
          <cell r="X107" t="str">
            <v>2010 vs. 2009</v>
          </cell>
          <cell r="Y107" t="str">
            <v>2008 vs. 2007</v>
          </cell>
          <cell r="AE107" t="str">
            <v>2009 vs. 2008</v>
          </cell>
          <cell r="AL107" t="str">
            <v>2008 vs. 2007</v>
          </cell>
        </row>
        <row r="108">
          <cell r="B108" t="str">
            <v>FY0</v>
          </cell>
          <cell r="C108">
            <v>4.8087425025474362E-2</v>
          </cell>
          <cell r="D108">
            <v>-5.0252606220807183E-2</v>
          </cell>
          <cell r="E108">
            <v>-5.6363490278000916E-2</v>
          </cell>
          <cell r="F108">
            <v>-3.9802195151369402E-3</v>
          </cell>
          <cell r="G108">
            <v>-0.13539452228728877</v>
          </cell>
          <cell r="H108">
            <v>0.10762550725477826</v>
          </cell>
          <cell r="I108">
            <v>6.7840662164619481E-2</v>
          </cell>
          <cell r="K108">
            <v>-1.095917470150809E-5</v>
          </cell>
          <cell r="L108" t="str">
            <v>GM</v>
          </cell>
          <cell r="M108">
            <v>-0.1594210427670959</v>
          </cell>
          <cell r="N108">
            <v>0.1827463987598188</v>
          </cell>
          <cell r="O108">
            <v>5.8250471674914372E-4</v>
          </cell>
          <cell r="P108">
            <v>1.5628669527411265E-2</v>
          </cell>
          <cell r="Q108">
            <v>-2.2649043095139709E-2</v>
          </cell>
          <cell r="R108">
            <v>-4.5358626808516544E-2</v>
          </cell>
          <cell r="S108">
            <v>5.6249856918443086E-2</v>
          </cell>
          <cell r="T108" t="str">
            <v>SG&amp;A</v>
          </cell>
          <cell r="U108">
            <v>-2.1530051000093753E-2</v>
          </cell>
          <cell r="V108" t="str">
            <v>Y/Y Stock Return</v>
          </cell>
          <cell r="X108" t="str">
            <v>% Chg Sales</v>
          </cell>
          <cell r="Y108" t="str">
            <v>GM</v>
          </cell>
          <cell r="Z108" t="str">
            <v>SG&amp;A</v>
          </cell>
          <cell r="AA108" t="str">
            <v>% Chg NI</v>
          </cell>
          <cell r="AB108" t="str">
            <v>Y/Y Stock Return</v>
          </cell>
          <cell r="AC108" t="str">
            <v>Y/Y Stock Return</v>
          </cell>
          <cell r="AE108" t="str">
            <v>% Chg Sales</v>
          </cell>
          <cell r="AF108" t="str">
            <v>GM</v>
          </cell>
          <cell r="AG108" t="str">
            <v>SG&amp;A</v>
          </cell>
          <cell r="AH108" t="str">
            <v>% Chg NI</v>
          </cell>
          <cell r="AI108" t="str">
            <v>Y/Y Stock Return</v>
          </cell>
          <cell r="AL108" t="str">
            <v>% Chg Sales</v>
          </cell>
          <cell r="AM108" t="str">
            <v>GM</v>
          </cell>
          <cell r="AN108" t="str">
            <v>SG&amp;A</v>
          </cell>
          <cell r="AO108" t="str">
            <v>% Chg NI</v>
          </cell>
          <cell r="AP108" t="str">
            <v>Y/Y Stock Return</v>
          </cell>
        </row>
        <row r="109">
          <cell r="A109" t="str">
            <v>mstag:costOfSalesWithDepreciation</v>
          </cell>
          <cell r="B109" t="str">
            <v>FY1</v>
          </cell>
          <cell r="C109">
            <v>7.6911540806537948E-2</v>
          </cell>
          <cell r="D109">
            <v>1.4165050052032502E-2</v>
          </cell>
          <cell r="E109">
            <v>4.4939125238239175E-2</v>
          </cell>
          <cell r="F109">
            <v>8.1553241749334093E-2</v>
          </cell>
          <cell r="G109">
            <v>4.2572459349391245E-2</v>
          </cell>
          <cell r="H109">
            <v>8.6251364890475912E-2</v>
          </cell>
          <cell r="I109">
            <v>8.7128931474232285E-2</v>
          </cell>
          <cell r="K109">
            <v>6.003318145798775E-2</v>
          </cell>
          <cell r="L109">
            <v>57.00435109266364</v>
          </cell>
          <cell r="M109">
            <v>7.9942840110693636E-2</v>
          </cell>
          <cell r="N109">
            <v>8.975332030843397E-2</v>
          </cell>
          <cell r="O109">
            <v>-5.5028288935698999E-4</v>
          </cell>
          <cell r="P109">
            <v>7.6036142797213824E-2</v>
          </cell>
          <cell r="Q109">
            <v>-9.811269648707488E-3</v>
          </cell>
          <cell r="R109">
            <v>5.5396224187859611E-2</v>
          </cell>
          <cell r="S109">
            <v>0.16704157529874619</v>
          </cell>
          <cell r="T109">
            <v>137.26157467508881</v>
          </cell>
          <cell r="U109">
            <v>3.709518400765921E-2</v>
          </cell>
          <cell r="V109">
            <v>0.55000000000000004</v>
          </cell>
          <cell r="W109" t="str">
            <v>Dept Stores</v>
          </cell>
          <cell r="X109">
            <v>4.9620645014408327E-2</v>
          </cell>
          <cell r="Y109">
            <v>48.304398643647801</v>
          </cell>
          <cell r="Z109">
            <v>-60.114503171233572</v>
          </cell>
          <cell r="AA109">
            <v>0.30030313020429822</v>
          </cell>
          <cell r="AB109">
            <v>0.55000000000000004</v>
          </cell>
          <cell r="AC109">
            <v>0.55000000000000004</v>
          </cell>
          <cell r="AD109" t="str">
            <v>Dept Stores</v>
          </cell>
          <cell r="AE109">
            <v>-2.31697200211336E-2</v>
          </cell>
          <cell r="AF109">
            <v>114.94818829006145</v>
          </cell>
          <cell r="AG109">
            <v>141.27383060223303</v>
          </cell>
          <cell r="AH109">
            <v>-6.0407618341568714E-2</v>
          </cell>
          <cell r="AI109">
            <v>0.55000000000000004</v>
          </cell>
          <cell r="AK109" t="str">
            <v>Dept Stores</v>
          </cell>
          <cell r="AL109">
            <v>-4.7807622171526565E-2</v>
          </cell>
          <cell r="AM109">
            <v>-108.66064553076941</v>
          </cell>
          <cell r="AN109">
            <v>179.20699165687495</v>
          </cell>
          <cell r="AO109">
            <v>-0.37489659665696418</v>
          </cell>
          <cell r="AP109">
            <v>0.55000000000000004</v>
          </cell>
        </row>
        <row r="110">
          <cell r="B110" t="str">
            <v>FY2</v>
          </cell>
          <cell r="C110">
            <v>8.3329763086707365E-2</v>
          </cell>
          <cell r="D110">
            <v>2.2028749892138766E-2</v>
          </cell>
          <cell r="E110">
            <v>8.3992588816970137E-3</v>
          </cell>
          <cell r="F110">
            <v>4.7109858407398342E-2</v>
          </cell>
          <cell r="G110">
            <v>7.115516500828889E-2</v>
          </cell>
          <cell r="H110">
            <v>4.5796609799803267E-2</v>
          </cell>
          <cell r="I110">
            <v>6.5900000000002068E-2</v>
          </cell>
          <cell r="K110">
            <v>4.4602279402178313E-2</v>
          </cell>
          <cell r="L110" t="e">
            <v>#REF!</v>
          </cell>
          <cell r="M110">
            <v>8.0373458763930872E-2</v>
          </cell>
          <cell r="N110">
            <v>0.13183827384199343</v>
          </cell>
          <cell r="O110">
            <v>0.10585982137523331</v>
          </cell>
          <cell r="P110">
            <v>6.9413615422726949E-2</v>
          </cell>
          <cell r="Q110">
            <v>-3.9048794892450389E-2</v>
          </cell>
          <cell r="R110">
            <v>3.769460811235148E-2</v>
          </cell>
          <cell r="S110">
            <v>0.14088373583998814</v>
          </cell>
          <cell r="T110" t="e">
            <v>#REF!</v>
          </cell>
          <cell r="U110">
            <v>3.3221217686035365E-2</v>
          </cell>
          <cell r="V110">
            <v>0.76</v>
          </cell>
          <cell r="W110" t="str">
            <v>Specialty</v>
          </cell>
          <cell r="X110">
            <v>3.709518400765921E-2</v>
          </cell>
          <cell r="Y110">
            <v>94.718936271333448</v>
          </cell>
          <cell r="Z110">
            <v>-64.14043276116</v>
          </cell>
          <cell r="AA110">
            <v>0.15150826686137386</v>
          </cell>
          <cell r="AB110">
            <v>0.76</v>
          </cell>
          <cell r="AC110">
            <v>0.76</v>
          </cell>
          <cell r="AD110" t="str">
            <v>Specialty</v>
          </cell>
          <cell r="AE110">
            <v>-2.1530051000093753E-2</v>
          </cell>
          <cell r="AF110">
            <v>40.030898769839546</v>
          </cell>
          <cell r="AG110">
            <v>144.76387005440017</v>
          </cell>
          <cell r="AH110">
            <v>-3.4655015148206236E-2</v>
          </cell>
          <cell r="AI110">
            <v>0.76</v>
          </cell>
          <cell r="AK110" t="str">
            <v>Specialty</v>
          </cell>
          <cell r="AL110">
            <v>-3.5639020228057872E-2</v>
          </cell>
          <cell r="AM110">
            <v>0</v>
          </cell>
          <cell r="AN110">
            <v>62.129127811416666</v>
          </cell>
          <cell r="AO110">
            <v>-7.2139784257026163E-2</v>
          </cell>
          <cell r="AP110">
            <v>0.76</v>
          </cell>
        </row>
        <row r="111">
          <cell r="B111" t="str">
            <v>10-Yr. Compounded</v>
          </cell>
          <cell r="C111">
            <v>0.14189722963753648</v>
          </cell>
          <cell r="D111">
            <v>-5.749986698751286E-2</v>
          </cell>
          <cell r="E111">
            <v>3.8952780979517598E-2</v>
          </cell>
          <cell r="F111">
            <v>4.8371481992315113E-2</v>
          </cell>
          <cell r="G111" t="str">
            <v>NA</v>
          </cell>
          <cell r="H111">
            <v>0.11273610285110758</v>
          </cell>
          <cell r="I111">
            <v>8.7175298300664394E-2</v>
          </cell>
          <cell r="K111">
            <v>3.458566556673115E-2</v>
          </cell>
          <cell r="L111" t="e">
            <v>#REF!</v>
          </cell>
          <cell r="M111">
            <v>0.11006009826696972</v>
          </cell>
          <cell r="N111">
            <v>0.25390594587671522</v>
          </cell>
          <cell r="O111">
            <v>0.1364686551863461</v>
          </cell>
          <cell r="P111">
            <v>0.20325839306934901</v>
          </cell>
          <cell r="Q111">
            <v>2.0100638670918158E-2</v>
          </cell>
          <cell r="R111">
            <v>-1.226107165265633E-2</v>
          </cell>
          <cell r="S111">
            <v>0.21425276852939179</v>
          </cell>
          <cell r="T111" t="e">
            <v>#REF!</v>
          </cell>
          <cell r="U111">
            <v>4.0588417934013465E-2</v>
          </cell>
          <cell r="V111">
            <v>0.61</v>
          </cell>
          <cell r="W111" t="str">
            <v>Off-Price</v>
          </cell>
          <cell r="X111">
            <v>8.6899444196777198E-2</v>
          </cell>
          <cell r="Y111">
            <v>53.999551334442401</v>
          </cell>
          <cell r="Z111">
            <v>-26.34788368614624</v>
          </cell>
          <cell r="AA111">
            <v>0.16785798184105638</v>
          </cell>
          <cell r="AB111">
            <v>0.61</v>
          </cell>
          <cell r="AC111">
            <v>0.61</v>
          </cell>
          <cell r="AD111" t="str">
            <v>Off-Price</v>
          </cell>
          <cell r="AE111">
            <v>7.7965971744720308E-2</v>
          </cell>
          <cell r="AF111">
            <v>219.75066107665336</v>
          </cell>
          <cell r="AG111">
            <v>-20.315851925331586</v>
          </cell>
          <cell r="AH111">
            <v>0.39582196945041037</v>
          </cell>
          <cell r="AI111">
            <v>0.61</v>
          </cell>
          <cell r="AK111" t="str">
            <v>Off-Price</v>
          </cell>
          <cell r="AL111">
            <v>4.8276941147184615E-2</v>
          </cell>
          <cell r="AM111">
            <v>-216.83583107443198</v>
          </cell>
          <cell r="AN111">
            <v>17.44038581543747</v>
          </cell>
          <cell r="AO111">
            <v>1.9813150853928985E-2</v>
          </cell>
          <cell r="AP111">
            <v>0.61</v>
          </cell>
        </row>
        <row r="112">
          <cell r="B112" t="str">
            <v>5-Yr. Compounded</v>
          </cell>
          <cell r="C112">
            <v>6.6572177277572031E-2</v>
          </cell>
          <cell r="D112">
            <v>-1.0603386337421306E-2</v>
          </cell>
          <cell r="E112">
            <v>1.8545149635570857E-2</v>
          </cell>
          <cell r="F112">
            <v>2.9512711519935175E-2</v>
          </cell>
          <cell r="G112">
            <v>-2.9573372874684978E-3</v>
          </cell>
          <cell r="H112">
            <v>9.5577412654757277E-2</v>
          </cell>
          <cell r="I112">
            <v>6.6894468863567313E-2</v>
          </cell>
          <cell r="K112">
            <v>3.554147519379014E-2</v>
          </cell>
          <cell r="M112">
            <v>2.7009695794492306E-2</v>
          </cell>
          <cell r="N112">
            <v>0.150748388636057</v>
          </cell>
          <cell r="O112">
            <v>5.1796240644010894E-2</v>
          </cell>
          <cell r="P112">
            <v>0.1604649194425094</v>
          </cell>
          <cell r="Q112">
            <v>-2.5831357941118904E-2</v>
          </cell>
          <cell r="R112">
            <v>-1.1833814857948877E-2</v>
          </cell>
          <cell r="S112">
            <v>0.15671585931487209</v>
          </cell>
          <cell r="U112">
            <v>1.5396158985442998E-2</v>
          </cell>
        </row>
        <row r="113">
          <cell r="B113" t="str">
            <v>FY2</v>
          </cell>
          <cell r="C113">
            <v>6867.7744825180016</v>
          </cell>
          <cell r="D113">
            <v>7056.233101154201</v>
          </cell>
          <cell r="E113">
            <v>9364.9520392895975</v>
          </cell>
          <cell r="F113">
            <v>2869.9035458410099</v>
          </cell>
          <cell r="G113">
            <v>972.76116919244009</v>
          </cell>
          <cell r="H113">
            <v>1872.43915372229</v>
          </cell>
          <cell r="I113">
            <v>5542.9003991096997</v>
          </cell>
          <cell r="K113">
            <v>34546.963890827239</v>
          </cell>
          <cell r="M113">
            <v>2161.51789129181</v>
          </cell>
          <cell r="N113">
            <v>889.90785494402007</v>
          </cell>
          <cell r="O113">
            <v>1256.3330848648402</v>
          </cell>
          <cell r="P113">
            <v>2702.2788492776199</v>
          </cell>
          <cell r="Q113">
            <v>5740.2146486659603</v>
          </cell>
          <cell r="R113">
            <v>3045.5004101906898</v>
          </cell>
          <cell r="S113">
            <v>913.91993482507019</v>
          </cell>
          <cell r="U113">
            <v>16709.67267406001</v>
          </cell>
        </row>
        <row r="114">
          <cell r="A114" t="str">
            <v>mstag:costOfSalesWithoutDepreciation</v>
          </cell>
          <cell r="B114" t="str">
            <v>Gross Profit</v>
          </cell>
          <cell r="C114">
            <v>1822</v>
          </cell>
          <cell r="D114">
            <v>1996</v>
          </cell>
          <cell r="E114">
            <v>3122</v>
          </cell>
          <cell r="F114">
            <v>736</v>
          </cell>
          <cell r="G114">
            <v>173.73799999999994</v>
          </cell>
          <cell r="H114">
            <v>412.76600000000008</v>
          </cell>
          <cell r="I114">
            <v>1219.3129999999992</v>
          </cell>
          <cell r="K114">
            <v>9481.8169999999991</v>
          </cell>
          <cell r="M114">
            <v>642.61400000000003</v>
          </cell>
          <cell r="N114">
            <v>243.51700000000005</v>
          </cell>
          <cell r="O114">
            <v>311.62400000000002</v>
          </cell>
          <cell r="P114">
            <v>558.19299999999998</v>
          </cell>
          <cell r="Q114">
            <v>1389</v>
          </cell>
          <cell r="R114">
            <v>1024.6599999999999</v>
          </cell>
          <cell r="S114">
            <v>172.892</v>
          </cell>
          <cell r="U114">
            <v>4342.5</v>
          </cell>
        </row>
        <row r="115">
          <cell r="B115" t="str">
            <v>FY(5)</v>
          </cell>
          <cell r="C115">
            <v>4113.6750000000011</v>
          </cell>
          <cell r="D115">
            <v>6774</v>
          </cell>
          <cell r="E115">
            <v>6430</v>
          </cell>
          <cell r="F115">
            <v>2572.0249999999996</v>
          </cell>
          <cell r="G115">
            <v>1085.6799999999998</v>
          </cell>
          <cell r="H115">
            <v>953.38599999999997</v>
          </cell>
          <cell r="I115">
            <v>3566.2219999999998</v>
          </cell>
          <cell r="K115">
            <v>25494.988000000005</v>
          </cell>
          <cell r="M115">
            <v>1341.2249999999999</v>
          </cell>
          <cell r="N115">
            <v>324.60699999999997</v>
          </cell>
          <cell r="O115">
            <v>877.80799999999999</v>
          </cell>
          <cell r="P115">
            <v>955.01900000000001</v>
          </cell>
          <cell r="Q115">
            <v>6381</v>
          </cell>
          <cell r="R115">
            <v>3455.0739999999996</v>
          </cell>
          <cell r="S115">
            <v>338.75</v>
          </cell>
          <cell r="U115">
            <v>13673.483</v>
          </cell>
        </row>
        <row r="116">
          <cell r="B116" t="str">
            <v>FY(4)</v>
          </cell>
          <cell r="C116">
            <v>4760.6000000000004</v>
          </cell>
          <cell r="D116">
            <v>7190</v>
          </cell>
          <cell r="E116">
            <v>9118</v>
          </cell>
          <cell r="F116">
            <v>2834.5889999999999</v>
          </cell>
          <cell r="G116">
            <v>1023.5</v>
          </cell>
          <cell r="H116">
            <v>1091.5880000000002</v>
          </cell>
          <cell r="I116">
            <v>3748.271999999999</v>
          </cell>
          <cell r="K116">
            <v>29766.548999999999</v>
          </cell>
          <cell r="M116">
            <v>1854.1850000000002</v>
          </cell>
          <cell r="N116">
            <v>362.47500000000002</v>
          </cell>
          <cell r="O116">
            <v>1075.961</v>
          </cell>
          <cell r="P116">
            <v>1267.5509999999999</v>
          </cell>
          <cell r="Q116">
            <v>5870</v>
          </cell>
          <cell r="R116">
            <v>3450.1480000000001</v>
          </cell>
          <cell r="S116">
            <v>448.60599999999999</v>
          </cell>
          <cell r="U116">
            <v>14328.925999999999</v>
          </cell>
        </row>
        <row r="117">
          <cell r="B117" t="str">
            <v>FY(3)</v>
          </cell>
          <cell r="C117">
            <v>5667.5829999999987</v>
          </cell>
          <cell r="D117">
            <v>7809</v>
          </cell>
          <cell r="E117">
            <v>10951</v>
          </cell>
          <cell r="F117">
            <v>3206.7490000000007</v>
          </cell>
          <cell r="G117">
            <v>1135.7090000000001</v>
          </cell>
          <cell r="H117">
            <v>1252.683</v>
          </cell>
          <cell r="I117">
            <v>4190.9339999999993</v>
          </cell>
          <cell r="K117">
            <v>34213.657999999996</v>
          </cell>
          <cell r="M117">
            <v>2200.6669999999999</v>
          </cell>
          <cell r="N117">
            <v>448.01700000000005</v>
          </cell>
          <cell r="O117">
            <v>1340.4290000000001</v>
          </cell>
          <cell r="P117">
            <v>1581.571412546203</v>
          </cell>
          <cell r="Q117">
            <v>5657</v>
          </cell>
          <cell r="R117">
            <v>4013.5119999999997</v>
          </cell>
          <cell r="S117">
            <v>451.92100000000005</v>
          </cell>
          <cell r="U117">
            <v>15693.117412546204</v>
          </cell>
        </row>
        <row r="118">
          <cell r="A118" t="str">
            <v>mstag:costOfSalesWithDepreciation</v>
          </cell>
          <cell r="B118" t="str">
            <v>FY(2)</v>
          </cell>
          <cell r="C118">
            <v>6014.1</v>
          </cell>
          <cell r="D118">
            <v>7665</v>
          </cell>
          <cell r="E118">
            <v>10636</v>
          </cell>
          <cell r="F118">
            <v>3301.6360000000004</v>
          </cell>
          <cell r="G118">
            <v>1273.6319999999998</v>
          </cell>
          <cell r="H118">
            <v>1356.9920000000002</v>
          </cell>
          <cell r="I118">
            <v>4491.1141962548991</v>
          </cell>
          <cell r="K118">
            <v>34738.474196254901</v>
          </cell>
          <cell r="M118">
            <v>2488.1660000000002</v>
          </cell>
          <cell r="N118">
            <v>545.50299999999993</v>
          </cell>
          <cell r="O118">
            <v>1423.1379999999999</v>
          </cell>
          <cell r="P118">
            <v>2022.9860000000001</v>
          </cell>
          <cell r="Q118">
            <v>5694</v>
          </cell>
          <cell r="R118">
            <v>3463.5389999999998</v>
          </cell>
          <cell r="S118">
            <v>576.77199999999993</v>
          </cell>
          <cell r="U118">
            <v>16214.103999999999</v>
          </cell>
        </row>
        <row r="119">
          <cell r="B119" t="str">
            <v>FY(1)</v>
          </cell>
          <cell r="C119">
            <v>6055.2870000000021</v>
          </cell>
          <cell r="D119">
            <v>6916</v>
          </cell>
          <cell r="E119">
            <v>9883</v>
          </cell>
          <cell r="F119">
            <v>2861.5169999999998</v>
          </cell>
          <cell r="G119">
            <v>974.39399999999978</v>
          </cell>
          <cell r="H119">
            <v>1529.5630000000001</v>
          </cell>
          <cell r="I119">
            <v>4577.4170000000013</v>
          </cell>
          <cell r="K119">
            <v>32797.178000000007</v>
          </cell>
          <cell r="M119">
            <v>2331.0949999999998</v>
          </cell>
          <cell r="N119">
            <v>654.18200000000002</v>
          </cell>
          <cell r="O119">
            <v>1174.0509999999999</v>
          </cell>
          <cell r="P119">
            <v>2407.1030000000001</v>
          </cell>
          <cell r="Q119">
            <v>5447</v>
          </cell>
          <cell r="R119">
            <v>3006.3959999999988</v>
          </cell>
          <cell r="S119">
            <v>713.47799999999984</v>
          </cell>
          <cell r="U119">
            <v>15733.304999999998</v>
          </cell>
        </row>
        <row r="120">
          <cell r="B120" t="str">
            <v>FY0</v>
          </cell>
          <cell r="C120">
            <v>6497</v>
          </cell>
          <cell r="D120">
            <v>6910</v>
          </cell>
          <cell r="E120">
            <v>9516</v>
          </cell>
          <cell r="F120">
            <v>2930</v>
          </cell>
          <cell r="G120">
            <v>957.61300000000006</v>
          </cell>
          <cell r="H120">
            <v>1856.9349999999995</v>
          </cell>
          <cell r="I120">
            <v>5320.0149999999994</v>
          </cell>
          <cell r="K120">
            <v>33987.563000000002</v>
          </cell>
          <cell r="M120">
            <v>1883.596</v>
          </cell>
          <cell r="N120">
            <v>849.54700000000003</v>
          </cell>
          <cell r="O120">
            <v>1158.087</v>
          </cell>
          <cell r="P120">
            <v>2322.6099999999997</v>
          </cell>
          <cell r="Q120">
            <v>5724</v>
          </cell>
          <cell r="R120">
            <v>3028.0910000000003</v>
          </cell>
          <cell r="S120">
            <v>786.14499999999998</v>
          </cell>
          <cell r="U120">
            <v>15752.076000000001</v>
          </cell>
        </row>
        <row r="121">
          <cell r="B121" t="str">
            <v>FY1</v>
          </cell>
          <cell r="C121">
            <v>7101.2509991962015</v>
          </cell>
          <cell r="D121">
            <v>7052.195963943901</v>
          </cell>
          <cell r="E121">
            <v>9999.5034685626979</v>
          </cell>
          <cell r="F121">
            <v>3248.4832725953502</v>
          </cell>
          <cell r="G121">
            <v>1042.28930686739</v>
          </cell>
          <cell r="H121">
            <v>2065.3716729641901</v>
          </cell>
          <cell r="I121">
            <v>5885.310704664098</v>
          </cell>
          <cell r="J121">
            <v>0.33274507332440401</v>
          </cell>
          <cell r="K121">
            <v>36394.405388793828</v>
          </cell>
          <cell r="M121">
            <v>2032.8679729421399</v>
          </cell>
          <cell r="N121">
            <v>929.96868914735001</v>
          </cell>
          <cell r="O121">
            <v>1266.9787359654401</v>
          </cell>
          <cell r="P121">
            <v>2515.6925399197899</v>
          </cell>
          <cell r="Q121">
            <v>5761.9927510824509</v>
          </cell>
          <cell r="R121">
            <v>3280.7318835615306</v>
          </cell>
          <cell r="S121">
            <v>934.6473444801602</v>
          </cell>
          <cell r="T121">
            <v>0.45872835288662239</v>
          </cell>
          <cell r="U121">
            <v>16722.87991709886</v>
          </cell>
        </row>
        <row r="122">
          <cell r="B122" t="str">
            <v>FY2</v>
          </cell>
          <cell r="C122">
            <v>7753.115220443502</v>
          </cell>
          <cell r="D122">
            <v>7243.9438851044997</v>
          </cell>
          <cell r="E122">
            <v>10108.242618236802</v>
          </cell>
          <cell r="F122">
            <v>3410.8710864067007</v>
          </cell>
          <cell r="G122">
            <v>1152.43096073528</v>
          </cell>
          <cell r="H122">
            <v>2159.9586935625002</v>
          </cell>
          <cell r="I122">
            <v>6237.8881975639015</v>
          </cell>
          <cell r="J122">
            <v>0.33578685815822862</v>
          </cell>
          <cell r="K122">
            <v>38066.45066205319</v>
          </cell>
          <cell r="M122">
            <v>2223.0728258744202</v>
          </cell>
          <cell r="N122">
            <v>1021.1927511121598</v>
          </cell>
          <cell r="O122">
            <v>1425.8441936296099</v>
          </cell>
          <cell r="P122">
            <v>2690.3158544076095</v>
          </cell>
          <cell r="Q122">
            <v>5577.5201963543695</v>
          </cell>
          <cell r="R122">
            <v>3451.6686484513293</v>
          </cell>
          <cell r="S122">
            <v>1074.0643162897602</v>
          </cell>
          <cell r="T122">
            <v>0.48614174132266724</v>
          </cell>
          <cell r="U122">
            <v>17463.678786119261</v>
          </cell>
        </row>
        <row r="123">
          <cell r="B123" t="str">
            <v>FQ(3)</v>
          </cell>
          <cell r="C123">
            <v>1368</v>
          </cell>
          <cell r="D123">
            <v>1574</v>
          </cell>
          <cell r="E123">
            <v>1980</v>
          </cell>
          <cell r="F123">
            <v>599</v>
          </cell>
          <cell r="G123">
            <v>238.40799999999996</v>
          </cell>
          <cell r="H123">
            <v>422.88999999999987</v>
          </cell>
          <cell r="I123">
            <v>1080.8780000000002</v>
          </cell>
          <cell r="J123">
            <v>0.3337732364602749</v>
          </cell>
          <cell r="K123">
            <v>7263.1760000000013</v>
          </cell>
          <cell r="M123">
            <v>381.45200000000006</v>
          </cell>
          <cell r="N123">
            <v>150.29000000000002</v>
          </cell>
          <cell r="O123">
            <v>220.93900000000002</v>
          </cell>
          <cell r="P123">
            <v>525.06299999999999</v>
          </cell>
          <cell r="Q123">
            <v>1239</v>
          </cell>
          <cell r="R123">
            <v>548.35599999999999</v>
          </cell>
          <cell r="S123">
            <v>143.30499999999998</v>
          </cell>
          <cell r="T123">
            <v>0.47718374728426216</v>
          </cell>
          <cell r="U123">
            <v>3208.4050000000002</v>
          </cell>
        </row>
        <row r="124">
          <cell r="B124" t="str">
            <v>FQ(2)</v>
          </cell>
          <cell r="C124">
            <v>1520</v>
          </cell>
          <cell r="D124">
            <v>1520</v>
          </cell>
          <cell r="E124">
            <v>2143</v>
          </cell>
          <cell r="F124">
            <v>727</v>
          </cell>
          <cell r="G124">
            <v>168.17600000000004</v>
          </cell>
          <cell r="H124">
            <v>457.5</v>
          </cell>
          <cell r="I124">
            <v>1213.2260000000001</v>
          </cell>
          <cell r="J124">
            <v>0.34123040841955765</v>
          </cell>
          <cell r="K124">
            <v>7748.902</v>
          </cell>
          <cell r="M124">
            <v>424.51499999999999</v>
          </cell>
          <cell r="N124">
            <v>165.69200000000001</v>
          </cell>
          <cell r="O124">
            <v>248.83300000000003</v>
          </cell>
          <cell r="P124">
            <v>547.31799999999998</v>
          </cell>
          <cell r="Q124">
            <v>1288</v>
          </cell>
          <cell r="R124">
            <v>668.00900000000001</v>
          </cell>
          <cell r="S124">
            <v>187.09099999999995</v>
          </cell>
          <cell r="T124">
            <v>0.47674238848644357</v>
          </cell>
          <cell r="U124">
            <v>3529.4580000000001</v>
          </cell>
        </row>
        <row r="125">
          <cell r="B125" t="str">
            <v>FQ(1)</v>
          </cell>
          <cell r="C125">
            <v>1539</v>
          </cell>
          <cell r="D125">
            <v>1695.9999999999995</v>
          </cell>
          <cell r="E125">
            <v>2121</v>
          </cell>
          <cell r="F125">
            <v>658</v>
          </cell>
          <cell r="G125">
            <v>254.63499999999999</v>
          </cell>
          <cell r="H125">
            <v>459.28699999999981</v>
          </cell>
          <cell r="I125">
            <v>1442.7669999999998</v>
          </cell>
          <cell r="J125">
            <v>0.34162562690306364</v>
          </cell>
          <cell r="K125">
            <v>8170.6890000000003</v>
          </cell>
          <cell r="M125">
            <v>483.08699999999999</v>
          </cell>
          <cell r="N125">
            <v>222.91699999999997</v>
          </cell>
          <cell r="O125">
            <v>300.12799999999999</v>
          </cell>
          <cell r="P125">
            <v>550.178</v>
          </cell>
          <cell r="Q125">
            <v>1524</v>
          </cell>
          <cell r="R125">
            <v>562.74800000000005</v>
          </cell>
          <cell r="S125">
            <v>210.08799999999997</v>
          </cell>
          <cell r="T125">
            <v>0.47485611668511796</v>
          </cell>
          <cell r="U125">
            <v>3853.1459999999997</v>
          </cell>
        </row>
        <row r="126">
          <cell r="B126" t="str">
            <v>Last Reported Q</v>
          </cell>
          <cell r="C126">
            <v>6497</v>
          </cell>
          <cell r="D126">
            <v>6910</v>
          </cell>
          <cell r="E126">
            <v>9516</v>
          </cell>
          <cell r="F126">
            <v>2930</v>
          </cell>
          <cell r="G126">
            <v>957.61300000000006</v>
          </cell>
          <cell r="H126">
            <v>1856.9349999999995</v>
          </cell>
          <cell r="I126">
            <v>5320.0149999999994</v>
          </cell>
          <cell r="J126">
            <v>0.32606283340050934</v>
          </cell>
          <cell r="K126">
            <v>33987.563000000002</v>
          </cell>
          <cell r="M126">
            <v>1883.596</v>
          </cell>
          <cell r="N126">
            <v>849.54700000000003</v>
          </cell>
          <cell r="O126">
            <v>1158.087</v>
          </cell>
          <cell r="P126">
            <v>770.93900000000008</v>
          </cell>
          <cell r="Q126">
            <v>5724</v>
          </cell>
          <cell r="R126">
            <v>3028.0910000000003</v>
          </cell>
          <cell r="S126">
            <v>786.14499999999998</v>
          </cell>
          <cell r="T126">
            <v>0.46031035398215553</v>
          </cell>
          <cell r="U126">
            <v>14200.405000000001</v>
          </cell>
        </row>
        <row r="127">
          <cell r="B127" t="str">
            <v>LTM</v>
          </cell>
          <cell r="C127">
            <v>10924</v>
          </cell>
          <cell r="D127">
            <v>11700</v>
          </cell>
          <cell r="E127">
            <v>15760</v>
          </cell>
          <cell r="F127">
            <v>4914</v>
          </cell>
          <cell r="G127">
            <v>1618.8320000000001</v>
          </cell>
          <cell r="H127">
            <v>3196.6119999999992</v>
          </cell>
          <cell r="I127">
            <v>9056.8859999999986</v>
          </cell>
          <cell r="J127">
            <v>0.34253549494913577</v>
          </cell>
          <cell r="K127">
            <v>57170.33</v>
          </cell>
          <cell r="M127">
            <v>3172.65</v>
          </cell>
          <cell r="N127">
            <v>1388.4459999999999</v>
          </cell>
          <cell r="O127">
            <v>1927.9870000000001</v>
          </cell>
          <cell r="P127">
            <v>2393.4979999999996</v>
          </cell>
          <cell r="Q127">
            <v>9775</v>
          </cell>
          <cell r="R127">
            <v>4807.2040000000006</v>
          </cell>
          <cell r="S127">
            <v>1326.6289999999999</v>
          </cell>
          <cell r="T127">
            <v>0.4681344617109402</v>
          </cell>
          <cell r="U127">
            <v>24791.414000000001</v>
          </cell>
        </row>
        <row r="128">
          <cell r="B128" t="str">
            <v>FY2</v>
          </cell>
          <cell r="C128">
            <v>0.37793932721135309</v>
          </cell>
          <cell r="D128">
            <v>0.40387478302889063</v>
          </cell>
          <cell r="E128">
            <v>0.40891438601937197</v>
          </cell>
          <cell r="F128">
            <v>0.3516713781024392</v>
          </cell>
          <cell r="G128">
            <v>0.37153492972519664</v>
          </cell>
          <cell r="H128">
            <v>0.2519609544743126</v>
          </cell>
          <cell r="I128">
            <v>0.26027414700690904</v>
          </cell>
          <cell r="J128">
            <v>0.34659570079549618</v>
          </cell>
          <cell r="K128">
            <v>0.35233383234608834</v>
          </cell>
          <cell r="M128">
            <v>0.65560315511496348</v>
          </cell>
          <cell r="N128">
            <v>0.36839869294545086</v>
          </cell>
          <cell r="O128">
            <v>0.39712283400869647</v>
          </cell>
          <cell r="P128">
            <v>0.72327915689366484</v>
          </cell>
          <cell r="Q128">
            <v>0.40697041666330491</v>
          </cell>
          <cell r="R128">
            <v>0.35628857516161133</v>
          </cell>
          <cell r="S128">
            <v>0.40473278102974558</v>
          </cell>
          <cell r="T128">
            <v>0.47319937311677679</v>
          </cell>
          <cell r="U128">
            <v>0.44531795350216397</v>
          </cell>
        </row>
        <row r="129">
          <cell r="B129" t="str">
            <v>Gross Margin</v>
          </cell>
          <cell r="C129">
            <v>0.34804202483285579</v>
          </cell>
          <cell r="D129">
            <v>0.34657460701020493</v>
          </cell>
          <cell r="E129">
            <v>0.39349634484497104</v>
          </cell>
          <cell r="F129">
            <v>0.31986093003042154</v>
          </cell>
          <cell r="G129">
            <v>0.20794369872113266</v>
          </cell>
          <cell r="H129">
            <v>0.23802730158144345</v>
          </cell>
          <cell r="I129">
            <v>0.22663705094307168</v>
          </cell>
          <cell r="J129">
            <v>0.29722599399487154</v>
          </cell>
          <cell r="K129">
            <v>0.32495497751431268</v>
          </cell>
          <cell r="M129">
            <v>0.6439308385648651</v>
          </cell>
          <cell r="N129">
            <v>0.35291449341103193</v>
          </cell>
          <cell r="O129">
            <v>0.34406978028044605</v>
          </cell>
          <cell r="P129">
            <v>0.74175613165738463</v>
          </cell>
          <cell r="Q129">
            <v>0.34027437530622245</v>
          </cell>
          <cell r="R129">
            <v>0.3425693941564012</v>
          </cell>
          <cell r="S129">
            <v>0.34028633398808844</v>
          </cell>
          <cell r="T129">
            <v>0.44368590676634856</v>
          </cell>
          <cell r="U129">
            <v>1.0309375029018297E-2</v>
          </cell>
        </row>
        <row r="130">
          <cell r="B130" t="str">
            <v>FY(5)</v>
          </cell>
          <cell r="C130">
            <v>0.35157511943729869</v>
          </cell>
          <cell r="D130">
            <v>0.37433687002652521</v>
          </cell>
          <cell r="E130">
            <v>0.40758113590263689</v>
          </cell>
          <cell r="F130">
            <v>0.36066134439275915</v>
          </cell>
          <cell r="G130">
            <v>0.39237044615838867</v>
          </cell>
          <cell r="H130">
            <v>0.22485571899933726</v>
          </cell>
          <cell r="I130">
            <v>0.23912737219065458</v>
          </cell>
          <cell r="J130">
            <v>0.33578685815822862</v>
          </cell>
          <cell r="K130">
            <v>0.34164338087983182</v>
          </cell>
          <cell r="M130">
            <v>0.66356083896432605</v>
          </cell>
          <cell r="N130">
            <v>0.33665521690250688</v>
          </cell>
          <cell r="O130">
            <v>0.46661113594696269</v>
          </cell>
          <cell r="P130">
            <v>0.75062406665094716</v>
          </cell>
          <cell r="Q130">
            <v>0.39226655191491977</v>
          </cell>
          <cell r="R130">
            <v>0.3672363331488156</v>
          </cell>
          <cell r="S130">
            <v>0.40924192086982786</v>
          </cell>
          <cell r="T130">
            <v>0.48374229491404369</v>
          </cell>
          <cell r="U130">
            <v>0.41889143117735578</v>
          </cell>
        </row>
        <row r="131">
          <cell r="B131" t="str">
            <v>FY(4)</v>
          </cell>
          <cell r="C131">
            <v>0.35521033860112522</v>
          </cell>
          <cell r="D131">
            <v>0.3828337149246579</v>
          </cell>
          <cell r="E131">
            <v>0.4072353729343457</v>
          </cell>
          <cell r="F131">
            <v>0.36705055232607825</v>
          </cell>
          <cell r="G131">
            <v>0.36838636693297744</v>
          </cell>
          <cell r="H131">
            <v>0.22078245953473774</v>
          </cell>
          <cell r="I131">
            <v>0.23491384996800246</v>
          </cell>
          <cell r="J131">
            <v>0.3337732364602749</v>
          </cell>
          <cell r="K131">
            <v>0.34622626093456549</v>
          </cell>
          <cell r="M131">
            <v>0.66982483696775197</v>
          </cell>
          <cell r="N131">
            <v>0.30097222810369439</v>
          </cell>
          <cell r="O131">
            <v>0.46338441369841538</v>
          </cell>
          <cell r="P131">
            <v>0.76742019151131191</v>
          </cell>
          <cell r="Q131">
            <v>0.36634837421207017</v>
          </cell>
          <cell r="R131">
            <v>0.35680728062464451</v>
          </cell>
          <cell r="S131">
            <v>0.41077110576161496</v>
          </cell>
          <cell r="T131">
            <v>0.47650406155421482</v>
          </cell>
          <cell r="U131">
            <v>0.41257133728970818</v>
          </cell>
        </row>
        <row r="132">
          <cell r="B132" t="str">
            <v>FY(3)</v>
          </cell>
          <cell r="C132">
            <v>0.3636492487376406</v>
          </cell>
          <cell r="D132">
            <v>0.39235117686260546</v>
          </cell>
          <cell r="E132">
            <v>0.40604375231738971</v>
          </cell>
          <cell r="F132">
            <v>0.37458966546886718</v>
          </cell>
          <cell r="G132">
            <v>0.38629518405253327</v>
          </cell>
          <cell r="H132">
            <v>0.2248897258810709</v>
          </cell>
          <cell r="I132">
            <v>0.24079410561679623</v>
          </cell>
          <cell r="J132">
            <v>0.34123040841955765</v>
          </cell>
          <cell r="K132">
            <v>0.35295851028933234</v>
          </cell>
          <cell r="M132">
            <v>0.67008193227159563</v>
          </cell>
          <cell r="N132">
            <v>0.31702127358463866</v>
          </cell>
          <cell r="O132">
            <v>0.47968246595255026</v>
          </cell>
          <cell r="P132">
            <v>0.77715250839458938</v>
          </cell>
          <cell r="Q132">
            <v>0.35527224769201782</v>
          </cell>
          <cell r="R132">
            <v>0.37612621984111183</v>
          </cell>
          <cell r="S132">
            <v>0.36900034865197429</v>
          </cell>
          <cell r="T132">
            <v>0.47776242805549679</v>
          </cell>
          <cell r="U132">
            <v>0.42021726118309527</v>
          </cell>
        </row>
        <row r="133">
          <cell r="B133" t="str">
            <v>FY(2)</v>
          </cell>
          <cell r="C133">
            <v>0.36507281302925271</v>
          </cell>
          <cell r="D133">
            <v>0.38593358921258974</v>
          </cell>
          <cell r="E133">
            <v>0.40421084634971305</v>
          </cell>
          <cell r="F133">
            <v>0.37400380207376371</v>
          </cell>
          <cell r="G133">
            <v>0.39013022290713839</v>
          </cell>
          <cell r="H133">
            <v>0.22710357389829852</v>
          </cell>
          <cell r="I133">
            <v>0.24492454085068946</v>
          </cell>
          <cell r="J133">
            <v>0.34162562690306364</v>
          </cell>
          <cell r="K133">
            <v>0.35070941460660748</v>
          </cell>
          <cell r="M133">
            <v>0.67253982532430046</v>
          </cell>
          <cell r="N133">
            <v>0.34456092567946972</v>
          </cell>
          <cell r="O133">
            <v>0.46577507045678512</v>
          </cell>
          <cell r="P133">
            <v>0.77436175001607688</v>
          </cell>
          <cell r="Q133">
            <v>0.36122565501490833</v>
          </cell>
          <cell r="R133">
            <v>0.34339067881529911</v>
          </cell>
          <cell r="S133">
            <v>0.38254481589468625</v>
          </cell>
          <cell r="T133">
            <v>0.47777124588593223</v>
          </cell>
          <cell r="U133">
            <v>0.42325931546298057</v>
          </cell>
        </row>
        <row r="134">
          <cell r="B134" t="str">
            <v>FY(1)</v>
          </cell>
          <cell r="C134">
            <v>0.36947488849160109</v>
          </cell>
          <cell r="D134">
            <v>0.37411138446832803</v>
          </cell>
          <cell r="E134">
            <v>0.39703519202956772</v>
          </cell>
          <cell r="F134">
            <v>0.34513532746351461</v>
          </cell>
          <cell r="G134">
            <v>0.32085279404442962</v>
          </cell>
          <cell r="H134">
            <v>0.23582026225463254</v>
          </cell>
          <cell r="I134">
            <v>0.24092296088766529</v>
          </cell>
          <cell r="J134">
            <v>0.32619325851996273</v>
          </cell>
          <cell r="K134">
            <v>0.33958242581420323</v>
          </cell>
          <cell r="M134">
            <v>0.66907487449258152</v>
          </cell>
          <cell r="N134">
            <v>0.34694841930469456</v>
          </cell>
          <cell r="O134">
            <v>0.3928146152808954</v>
          </cell>
          <cell r="P134">
            <v>0.75677047948019927</v>
          </cell>
          <cell r="Q134">
            <v>0.37498278948093072</v>
          </cell>
          <cell r="R134">
            <v>0.33246659377546589</v>
          </cell>
          <cell r="S134">
            <v>0.38889730723235022</v>
          </cell>
          <cell r="T134">
            <v>0.46599358272101676</v>
          </cell>
          <cell r="U134">
            <v>0.42588652884466527</v>
          </cell>
        </row>
        <row r="135">
          <cell r="B135" t="str">
            <v>FY0</v>
          </cell>
          <cell r="C135">
            <v>0.37823834196891193</v>
          </cell>
          <cell r="D135">
            <v>0.39356446279921992</v>
          </cell>
          <cell r="E135">
            <v>0.4051258035676274</v>
          </cell>
          <cell r="F135">
            <v>0.3548074594332768</v>
          </cell>
          <cell r="G135">
            <v>0.36470630800811971</v>
          </cell>
          <cell r="H135">
            <v>0.25847437986596439</v>
          </cell>
          <cell r="I135">
            <v>0.26221897549166412</v>
          </cell>
          <cell r="J135">
            <v>0.34530510444782631</v>
          </cell>
          <cell r="K135">
            <v>0.3519115449085542</v>
          </cell>
          <cell r="M135">
            <v>0.6431673566946946</v>
          </cell>
          <cell r="N135">
            <v>0.38094484340423435</v>
          </cell>
          <cell r="O135">
            <v>0.38724779790259878</v>
          </cell>
          <cell r="P135">
            <v>0.71897013064360948</v>
          </cell>
          <cell r="Q135">
            <v>0.40318377121927168</v>
          </cell>
          <cell r="R135">
            <v>0.35077650699768259</v>
          </cell>
          <cell r="S135">
            <v>0.40568630132391376</v>
          </cell>
          <cell r="T135">
            <v>0.46999667259800076</v>
          </cell>
          <cell r="U135">
            <v>0.43577694287156998</v>
          </cell>
        </row>
        <row r="136">
          <cell r="A136" t="str">
            <v>Gross Margin Y/Y bps</v>
          </cell>
          <cell r="B136" t="str">
            <v>FY1</v>
          </cell>
          <cell r="C136">
            <v>0.38389063407855639</v>
          </cell>
          <cell r="D136">
            <v>0.39605323146481297</v>
          </cell>
          <cell r="E136">
            <v>0.40740177504153008</v>
          </cell>
          <cell r="F136">
            <v>0.36371218664159571</v>
          </cell>
          <cell r="G136">
            <v>0.38074593530189327</v>
          </cell>
          <cell r="H136">
            <v>0.26466022730826666</v>
          </cell>
          <cell r="I136">
            <v>0.26683303831625033</v>
          </cell>
          <cell r="J136">
            <v>0.351899575450415</v>
          </cell>
          <cell r="K136">
            <v>0.35549103872088045</v>
          </cell>
          <cell r="M136">
            <v>0.64275377929795485</v>
          </cell>
          <cell r="N136">
            <v>0.38266153944036096</v>
          </cell>
          <cell r="O136">
            <v>0.42389290445183864</v>
          </cell>
          <cell r="P136">
            <v>0.72371114291347305</v>
          </cell>
          <cell r="Q136">
            <v>0.40988133878454813</v>
          </cell>
          <cell r="R136">
            <v>0.36009474193507907</v>
          </cell>
          <cell r="S136">
            <v>0.41328451675268396</v>
          </cell>
          <cell r="T136">
            <v>0.47946856622513412</v>
          </cell>
          <cell r="U136">
            <v>0.44608631790058828</v>
          </cell>
        </row>
        <row r="137">
          <cell r="B137" t="str">
            <v>FY2</v>
          </cell>
          <cell r="C137">
            <v>0.38689063407855973</v>
          </cell>
          <cell r="D137">
            <v>0.39805323146481542</v>
          </cell>
          <cell r="E137">
            <v>0.40840177504152941</v>
          </cell>
          <cell r="F137">
            <v>0.36471218664159616</v>
          </cell>
          <cell r="G137">
            <v>0.39301536046301189</v>
          </cell>
          <cell r="H137">
            <v>0.26466022730826688</v>
          </cell>
          <cell r="I137">
            <v>0.26533303831625055</v>
          </cell>
          <cell r="J137">
            <v>0.35443806475914713</v>
          </cell>
          <cell r="K137">
            <v>0.35594708840548112</v>
          </cell>
          <cell r="M137">
            <v>0.65060178234357102</v>
          </cell>
          <cell r="N137">
            <v>0.37125288326098349</v>
          </cell>
          <cell r="O137">
            <v>0.43137881486428442</v>
          </cell>
          <cell r="P137">
            <v>0.72371114291347427</v>
          </cell>
          <cell r="Q137">
            <v>0.41288133878454431</v>
          </cell>
          <cell r="R137">
            <v>0.36509474193507874</v>
          </cell>
          <cell r="S137">
            <v>0.41628451675268513</v>
          </cell>
          <cell r="T137">
            <v>0.48160074583637452</v>
          </cell>
          <cell r="U137">
            <v>0.45086886973497936</v>
          </cell>
        </row>
        <row r="138">
          <cell r="B138" t="str">
            <v>FQ(3)</v>
          </cell>
          <cell r="C138">
            <v>0.3760307861462342</v>
          </cell>
          <cell r="D138">
            <v>0.4052069222711514</v>
          </cell>
          <cell r="E138">
            <v>0.38084246970571262</v>
          </cell>
          <cell r="F138">
            <v>0.35111371629542792</v>
          </cell>
          <cell r="G138">
            <v>0.38374544880936662</v>
          </cell>
          <cell r="H138">
            <v>0.24999423622265082</v>
          </cell>
          <cell r="I138">
            <v>0.24823665479773208</v>
          </cell>
          <cell r="J138">
            <v>0.34216717632118215</v>
          </cell>
          <cell r="K138">
            <v>0.34431570764330982</v>
          </cell>
          <cell r="M138">
            <v>0.63392656827242833</v>
          </cell>
          <cell r="N138">
            <v>0.36833617630335475</v>
          </cell>
          <cell r="O138">
            <v>0.36101143790849677</v>
          </cell>
          <cell r="P138">
            <v>0.7096030889032745</v>
          </cell>
          <cell r="Q138">
            <v>0.39622641509433965</v>
          </cell>
          <cell r="R138">
            <v>0.31784386724838382</v>
          </cell>
          <cell r="S138">
            <v>0.37241811245439138</v>
          </cell>
          <cell r="T138">
            <v>0.45133795231209556</v>
          </cell>
          <cell r="U138">
            <v>0.42222938716692604</v>
          </cell>
        </row>
        <row r="139">
          <cell r="B139" t="str">
            <v>FQ(2)</v>
          </cell>
          <cell r="C139">
            <v>0.39936941671045717</v>
          </cell>
          <cell r="D139">
            <v>0.3855274790180136</v>
          </cell>
          <cell r="E139">
            <v>0.41498838109992253</v>
          </cell>
          <cell r="F139">
            <v>0.33892773892773892</v>
          </cell>
          <cell r="G139">
            <v>0.29940750868797361</v>
          </cell>
          <cell r="H139">
            <v>0.25867391594426442</v>
          </cell>
          <cell r="I139">
            <v>0.25554899307597556</v>
          </cell>
          <cell r="J139">
            <v>0.33606334763776363</v>
          </cell>
          <cell r="K139">
            <v>0.35006656376812012</v>
          </cell>
          <cell r="M139">
            <v>0.66619744170389861</v>
          </cell>
          <cell r="N139">
            <v>0.36574985651847602</v>
          </cell>
          <cell r="O139">
            <v>0.37839798295610072</v>
          </cell>
          <cell r="P139">
            <v>0.70372513320578489</v>
          </cell>
          <cell r="Q139">
            <v>0.39691833590138675</v>
          </cell>
          <cell r="R139">
            <v>0.32323902429582746</v>
          </cell>
          <cell r="S139">
            <v>0.40793805846157866</v>
          </cell>
          <cell r="T139">
            <v>0.46316654757757902</v>
          </cell>
          <cell r="U139">
            <v>0.4254503203240862</v>
          </cell>
        </row>
        <row r="140">
          <cell r="A140" t="str">
            <v>mstag:sellingGeneralAndAdministrativeExpenses</v>
          </cell>
          <cell r="B140" t="str">
            <v>FQ(1)</v>
          </cell>
          <cell r="C140">
            <v>0.37990619600098741</v>
          </cell>
          <cell r="D140">
            <v>0.40570336732064843</v>
          </cell>
          <cell r="E140">
            <v>0.40193291642978968</v>
          </cell>
          <cell r="F140">
            <v>0.35224839400428265</v>
          </cell>
          <cell r="G140">
            <v>0.40326463256650735</v>
          </cell>
          <cell r="H140">
            <v>0.26333164959902844</v>
          </cell>
          <cell r="I140">
            <v>0.27507756991206389</v>
          </cell>
          <cell r="J140">
            <v>0.35449496083332965</v>
          </cell>
          <cell r="K140">
            <v>0.35529503164850834</v>
          </cell>
          <cell r="M140">
            <v>0.64096756730937632</v>
          </cell>
          <cell r="N140">
            <v>0.39257147284965077</v>
          </cell>
          <cell r="O140">
            <v>0.40072527044095696</v>
          </cell>
          <cell r="P140">
            <v>0.72255222690780718</v>
          </cell>
          <cell r="Q140">
            <v>0.42463081638339373</v>
          </cell>
          <cell r="R140">
            <v>0.31663271515417157</v>
          </cell>
          <cell r="S140">
            <v>0.41527574619490015</v>
          </cell>
          <cell r="T140">
            <v>0.47333654503432243</v>
          </cell>
          <cell r="U140">
            <v>0.44268119068571099</v>
          </cell>
        </row>
        <row r="141">
          <cell r="B141" t="str">
            <v>Last Reported Q</v>
          </cell>
          <cell r="C141">
            <v>0.37823834196891193</v>
          </cell>
          <cell r="D141">
            <v>0.39356446279921992</v>
          </cell>
          <cell r="E141">
            <v>0.4051258035676274</v>
          </cell>
          <cell r="F141">
            <v>0.3548074594332768</v>
          </cell>
          <cell r="G141">
            <v>0.36470630800811971</v>
          </cell>
          <cell r="H141">
            <v>0.25847437986596439</v>
          </cell>
          <cell r="I141">
            <v>0.26221897549166412</v>
          </cell>
          <cell r="J141">
            <v>0.34530510444782631</v>
          </cell>
          <cell r="K141">
            <v>0.3519115449085542</v>
          </cell>
          <cell r="M141">
            <v>0.6431673566946946</v>
          </cell>
          <cell r="N141">
            <v>0.38094484340423435</v>
          </cell>
          <cell r="O141">
            <v>0.38724779790259878</v>
          </cell>
          <cell r="P141">
            <v>0.72388298646485227</v>
          </cell>
          <cell r="Q141">
            <v>0.40318377121927168</v>
          </cell>
          <cell r="R141">
            <v>0.35077650699768259</v>
          </cell>
          <cell r="S141">
            <v>0.40568630132391376</v>
          </cell>
          <cell r="T141">
            <v>0.47069850914389255</v>
          </cell>
          <cell r="U141">
            <v>0.41788457294937564</v>
          </cell>
        </row>
        <row r="142">
          <cell r="B142" t="str">
            <v>LTM</v>
          </cell>
          <cell r="C142">
            <v>0.38099888392857145</v>
          </cell>
          <cell r="D142">
            <v>0.39573875190944169</v>
          </cell>
          <cell r="E142">
            <v>0.40277032380076161</v>
          </cell>
          <cell r="F142">
            <v>0.35157759175788794</v>
          </cell>
          <cell r="G142">
            <v>0.36459309755217562</v>
          </cell>
          <cell r="H142">
            <v>0.25802878084482106</v>
          </cell>
          <cell r="I142">
            <v>0.26149412062465338</v>
          </cell>
          <cell r="J142">
            <v>0.34502879291690175</v>
          </cell>
          <cell r="K142">
            <v>0.35115444861434991</v>
          </cell>
          <cell r="M142">
            <v>0.64468259036965947</v>
          </cell>
          <cell r="N142">
            <v>0.37946185651930436</v>
          </cell>
          <cell r="O142">
            <v>0.38489565823590433</v>
          </cell>
          <cell r="P142">
            <v>0.71573221694763189</v>
          </cell>
          <cell r="Q142">
            <v>0.4046278665452438</v>
          </cell>
          <cell r="R142">
            <v>0.33849561245354687</v>
          </cell>
          <cell r="S142">
            <v>0.40358190121068876</v>
          </cell>
          <cell r="T142">
            <v>0.46735395746885416</v>
          </cell>
          <cell r="U142">
            <v>0.42320396566101393</v>
          </cell>
        </row>
        <row r="143">
          <cell r="B143" t="str">
            <v>FY0</v>
          </cell>
          <cell r="C143">
            <v>3936.0219999999999</v>
          </cell>
          <cell r="D143">
            <v>5805</v>
          </cell>
          <cell r="E143">
            <v>8458</v>
          </cell>
          <cell r="F143">
            <v>2387.9659999999999</v>
          </cell>
          <cell r="G143">
            <v>763.44408199055204</v>
          </cell>
          <cell r="H143">
            <v>1038.6748406189799</v>
          </cell>
          <cell r="I143">
            <v>3142.6860000000001</v>
          </cell>
          <cell r="J143">
            <v>3647.3989889442191</v>
          </cell>
          <cell r="K143">
            <v>25531.792922609533</v>
          </cell>
          <cell r="M143">
            <v>1899.1166546239299</v>
          </cell>
          <cell r="N143">
            <v>405.88299999999998</v>
          </cell>
          <cell r="O143">
            <v>734.04100000000005</v>
          </cell>
          <cell r="P143">
            <v>1322.3320000000001</v>
          </cell>
          <cell r="Q143">
            <v>3899</v>
          </cell>
          <cell r="R143">
            <v>2288.8490000000002</v>
          </cell>
          <cell r="S143">
            <v>414.04300000000001</v>
          </cell>
          <cell r="T143">
            <v>1566.1806649462758</v>
          </cell>
          <cell r="U143">
            <v>10963.26465462393</v>
          </cell>
        </row>
        <row r="144">
          <cell r="B144" t="str">
            <v>Gross Margin Y/Y bps</v>
          </cell>
          <cell r="C144">
            <v>4113.7056954443497</v>
          </cell>
          <cell r="D144">
            <v>6287.7702622184797</v>
          </cell>
          <cell r="E144">
            <v>8138.20603779462</v>
          </cell>
          <cell r="F144">
            <v>2407.8401552619498</v>
          </cell>
          <cell r="G144">
            <v>662.84608804704499</v>
          </cell>
          <cell r="H144">
            <v>1126.7119614783401</v>
          </cell>
          <cell r="I144">
            <v>3237.4964959774902</v>
          </cell>
          <cell r="J144">
            <v>3710.6538137460398</v>
          </cell>
          <cell r="K144">
            <v>25974.576696222277</v>
          </cell>
          <cell r="M144">
            <v>1786.39824222727</v>
          </cell>
          <cell r="N144">
            <v>463.14226890431502</v>
          </cell>
          <cell r="O144">
            <v>740.46848990890896</v>
          </cell>
          <cell r="P144">
            <v>1438.1228808739399</v>
          </cell>
          <cell r="Q144">
            <v>3932.69367470526</v>
          </cell>
          <cell r="R144">
            <v>2141.0715781598301</v>
          </cell>
          <cell r="S144">
            <v>446.30350135266099</v>
          </cell>
          <cell r="T144">
            <v>1564.0286623045977</v>
          </cell>
          <cell r="U144">
            <v>10948.200636132184</v>
          </cell>
        </row>
        <row r="145">
          <cell r="B145" t="str">
            <v>FY(1)</v>
          </cell>
          <cell r="C145">
            <v>44.020754623483867</v>
          </cell>
          <cell r="D145">
            <v>-118.22204744261711</v>
          </cell>
          <cell r="E145">
            <v>-71.756543201453297</v>
          </cell>
          <cell r="F145">
            <v>-288.68474610249109</v>
          </cell>
          <cell r="G145">
            <v>-692.77428862708769</v>
          </cell>
          <cell r="H145">
            <v>87.166883563340178</v>
          </cell>
          <cell r="I145">
            <v>-40.015799630241652</v>
          </cell>
          <cell r="J145">
            <v>-154.32368383100953</v>
          </cell>
          <cell r="K145">
            <v>-111.26988792404258</v>
          </cell>
          <cell r="M145">
            <v>-34.64950831718938</v>
          </cell>
          <cell r="N145">
            <v>23.874936252248347</v>
          </cell>
          <cell r="O145">
            <v>-729.60455175889729</v>
          </cell>
          <cell r="P145">
            <v>-175.91270535877612</v>
          </cell>
          <cell r="Q145">
            <v>137.57134466022393</v>
          </cell>
          <cell r="R145">
            <v>-109.2408503983322</v>
          </cell>
          <cell r="S145">
            <v>63.524913376639681</v>
          </cell>
          <cell r="T145">
            <v>-117.77663164915472</v>
          </cell>
          <cell r="U145">
            <v>26.27213381684701</v>
          </cell>
        </row>
        <row r="146">
          <cell r="A146" t="str">
            <v>Gross Margin Y/Y bps</v>
          </cell>
          <cell r="B146" t="str">
            <v>FY0</v>
          </cell>
          <cell r="C146">
            <v>87.634534773108342</v>
          </cell>
          <cell r="D146">
            <v>194.53078330891881</v>
          </cell>
          <cell r="E146">
            <v>80.906115380596773</v>
          </cell>
          <cell r="F146">
            <v>96.72131969762188</v>
          </cell>
          <cell r="G146">
            <v>438.53513963690085</v>
          </cell>
          <cell r="H146">
            <v>226.54117611331847</v>
          </cell>
          <cell r="I146">
            <v>212.96014603998825</v>
          </cell>
          <cell r="J146">
            <v>191.11845927863621</v>
          </cell>
          <cell r="K146">
            <v>123.2911909435097</v>
          </cell>
          <cell r="M146">
            <v>-259.07517797886914</v>
          </cell>
          <cell r="N146">
            <v>339.96424099539792</v>
          </cell>
          <cell r="O146">
            <v>-55.668173782966178</v>
          </cell>
          <cell r="P146">
            <v>-378.00348836589779</v>
          </cell>
          <cell r="Q146">
            <v>282.0098173834096</v>
          </cell>
          <cell r="R146">
            <v>183.09913222216701</v>
          </cell>
          <cell r="S146">
            <v>167.88994091563535</v>
          </cell>
          <cell r="T146">
            <v>40.030898769839546</v>
          </cell>
          <cell r="U146">
            <v>98.904140269047147</v>
          </cell>
        </row>
        <row r="147">
          <cell r="B147" t="str">
            <v>FY1</v>
          </cell>
          <cell r="C147">
            <v>56.522921096444634</v>
          </cell>
          <cell r="D147">
            <v>24.887686655930551</v>
          </cell>
          <cell r="E147">
            <v>22.759714739026826</v>
          </cell>
          <cell r="F147">
            <v>89.047272083189185</v>
          </cell>
          <cell r="G147">
            <v>160.39627293773563</v>
          </cell>
          <cell r="H147">
            <v>61.858474423022727</v>
          </cell>
          <cell r="I147">
            <v>46.140628245862068</v>
          </cell>
          <cell r="J147">
            <v>65.94471002588736</v>
          </cell>
          <cell r="K147">
            <v>35.794938123262511</v>
          </cell>
          <cell r="M147">
            <v>-4.1357739673975047</v>
          </cell>
          <cell r="N147">
            <v>17.166960361266192</v>
          </cell>
          <cell r="O147">
            <v>366.45106549239858</v>
          </cell>
          <cell r="P147">
            <v>47.410122698635647</v>
          </cell>
          <cell r="Q147">
            <v>66.975675652764522</v>
          </cell>
          <cell r="R147">
            <v>93.18234937396474</v>
          </cell>
          <cell r="S147">
            <v>75.982154287702059</v>
          </cell>
          <cell r="T147">
            <v>94.718936271333448</v>
          </cell>
          <cell r="U147">
            <v>103.09375029018297</v>
          </cell>
        </row>
        <row r="148">
          <cell r="B148" t="str">
            <v>FY2</v>
          </cell>
          <cell r="C148">
            <v>30.000000000033332</v>
          </cell>
          <cell r="D148">
            <v>20.000000000024443</v>
          </cell>
          <cell r="E148">
            <v>9.9999999999933475</v>
          </cell>
          <cell r="F148">
            <v>10.00000000000445</v>
          </cell>
          <cell r="G148">
            <v>122.69425161118619</v>
          </cell>
          <cell r="H148">
            <v>2.2204460492503131E-12</v>
          </cell>
          <cell r="I148">
            <v>-14.999999999997794</v>
          </cell>
          <cell r="J148">
            <v>25.384893087320886</v>
          </cell>
          <cell r="K148">
            <v>4.5604968460066786</v>
          </cell>
          <cell r="M148">
            <v>78.4800304561617</v>
          </cell>
          <cell r="N148">
            <v>-114.08656179377475</v>
          </cell>
          <cell r="O148">
            <v>74.859104124457843</v>
          </cell>
          <cell r="P148">
            <v>1.2212453270876722E-11</v>
          </cell>
          <cell r="Q148">
            <v>29.999999999961723</v>
          </cell>
          <cell r="R148">
            <v>49.999999999996717</v>
          </cell>
          <cell r="S148">
            <v>30.000000000011685</v>
          </cell>
          <cell r="T148">
            <v>21.321796112403877</v>
          </cell>
          <cell r="U148">
            <v>47.825518343910801</v>
          </cell>
        </row>
        <row r="149">
          <cell r="B149" t="str">
            <v>Last Reported Q</v>
          </cell>
          <cell r="C149">
            <v>1027</v>
          </cell>
          <cell r="D149">
            <v>1586</v>
          </cell>
          <cell r="E149">
            <v>2033</v>
          </cell>
          <cell r="F149">
            <v>581</v>
          </cell>
          <cell r="G149">
            <v>162.55199999999999</v>
          </cell>
          <cell r="H149">
            <v>286.51100000000002</v>
          </cell>
          <cell r="I149">
            <v>864.09699999999998</v>
          </cell>
          <cell r="J149">
            <v>934.30857142857144</v>
          </cell>
          <cell r="K149">
            <v>6540.16</v>
          </cell>
          <cell r="M149">
            <v>448.09300000000002</v>
          </cell>
          <cell r="N149">
            <v>117.236</v>
          </cell>
          <cell r="O149">
            <v>193.26900000000001</v>
          </cell>
          <cell r="P149">
            <v>1322.3320000000001</v>
          </cell>
          <cell r="Q149">
            <v>1024</v>
          </cell>
          <cell r="R149">
            <v>503.863</v>
          </cell>
          <cell r="S149">
            <v>114.327</v>
          </cell>
          <cell r="T149">
            <v>531.87428571428575</v>
          </cell>
          <cell r="U149">
            <v>3723.12</v>
          </cell>
        </row>
        <row r="150">
          <cell r="A150" t="str">
            <v>mstag:sellingGeneralAndAdministrativeExpenses</v>
          </cell>
          <cell r="B150" t="str">
            <v>SG&amp;A</v>
          </cell>
          <cell r="C150">
            <v>4056</v>
          </cell>
          <cell r="D150">
            <v>6115</v>
          </cell>
          <cell r="E150">
            <v>8106</v>
          </cell>
          <cell r="F150">
            <v>2398</v>
          </cell>
          <cell r="G150">
            <v>667.96800000000007</v>
          </cell>
          <cell r="H150">
            <v>1100.011</v>
          </cell>
          <cell r="I150">
            <v>3229.5609999999997</v>
          </cell>
          <cell r="J150">
            <v>3667.5057142857145</v>
          </cell>
          <cell r="K150">
            <v>25672.54</v>
          </cell>
          <cell r="M150">
            <v>1803.8050000000001</v>
          </cell>
          <cell r="N150">
            <v>442.11900000000003</v>
          </cell>
          <cell r="O150">
            <v>733.92599999999993</v>
          </cell>
          <cell r="P150">
            <v>2317.0330000000004</v>
          </cell>
          <cell r="Q150">
            <v>3814</v>
          </cell>
          <cell r="R150">
            <v>2140.2979999999998</v>
          </cell>
          <cell r="S150">
            <v>429.86</v>
          </cell>
          <cell r="T150">
            <v>1668.7201428571429</v>
          </cell>
          <cell r="U150">
            <v>11681.041000000001</v>
          </cell>
        </row>
        <row r="151">
          <cell r="B151" t="str">
            <v>FY(5)</v>
          </cell>
          <cell r="C151">
            <v>2582.971</v>
          </cell>
          <cell r="D151">
            <v>5505</v>
          </cell>
          <cell r="E151">
            <v>4931</v>
          </cell>
          <cell r="F151">
            <v>2020.2329999999999</v>
          </cell>
          <cell r="G151">
            <v>796.57399999999996</v>
          </cell>
          <cell r="H151">
            <v>657.66800000000001</v>
          </cell>
          <cell r="I151">
            <v>2520.8139999999999</v>
          </cell>
          <cell r="J151">
            <v>2716.3228571428567</v>
          </cell>
          <cell r="K151">
            <v>19014.259999999998</v>
          </cell>
          <cell r="M151">
            <v>957.18</v>
          </cell>
          <cell r="N151">
            <v>183.977</v>
          </cell>
          <cell r="O151">
            <v>446.82900000000001</v>
          </cell>
          <cell r="P151">
            <v>578.82000000000005</v>
          </cell>
          <cell r="Q151">
            <v>4296</v>
          </cell>
          <cell r="R151">
            <v>2367.2660000000001</v>
          </cell>
          <cell r="S151">
            <v>190.38399999999999</v>
          </cell>
          <cell r="T151">
            <v>1288.6365714285714</v>
          </cell>
          <cell r="U151">
            <v>9020.4560000000001</v>
          </cell>
        </row>
        <row r="152">
          <cell r="B152" t="str">
            <v>FY(4)</v>
          </cell>
          <cell r="C152">
            <v>2963.5</v>
          </cell>
          <cell r="D152">
            <v>5614</v>
          </cell>
          <cell r="E152">
            <v>6980</v>
          </cell>
          <cell r="F152">
            <v>2100.6660000000002</v>
          </cell>
          <cell r="G152">
            <v>801.57593271205303</v>
          </cell>
          <cell r="H152">
            <v>766.14400000000001</v>
          </cell>
          <cell r="I152">
            <v>2689.3210009596</v>
          </cell>
          <cell r="J152">
            <v>3130.7438476673792</v>
          </cell>
          <cell r="K152">
            <v>21915.206933671656</v>
          </cell>
          <cell r="M152">
            <v>1268.431</v>
          </cell>
          <cell r="N152">
            <v>227.04400000000001</v>
          </cell>
          <cell r="O152">
            <v>542.29499999999996</v>
          </cell>
          <cell r="P152">
            <v>731.89099999999996</v>
          </cell>
          <cell r="Q152">
            <v>4185</v>
          </cell>
          <cell r="R152">
            <v>2493.951</v>
          </cell>
          <cell r="S152">
            <v>242.50700000000001</v>
          </cell>
          <cell r="T152">
            <v>1384.4455714285716</v>
          </cell>
          <cell r="U152">
            <v>9691.1190000000006</v>
          </cell>
        </row>
        <row r="153">
          <cell r="B153" t="str">
            <v>FY(3)</v>
          </cell>
          <cell r="C153">
            <v>3415.4940000000001</v>
          </cell>
          <cell r="D153">
            <v>5937</v>
          </cell>
          <cell r="E153">
            <v>8678</v>
          </cell>
          <cell r="F153">
            <v>2296.8629999999998</v>
          </cell>
          <cell r="G153">
            <v>749.86758829015298</v>
          </cell>
          <cell r="H153">
            <v>863.03300000000002</v>
          </cell>
          <cell r="I153">
            <v>2916.56</v>
          </cell>
          <cell r="J153">
            <v>3550.9739411843075</v>
          </cell>
          <cell r="K153">
            <v>24856.817588290152</v>
          </cell>
          <cell r="M153">
            <v>1512.6610000000001</v>
          </cell>
          <cell r="N153">
            <v>289.73599999999999</v>
          </cell>
          <cell r="O153">
            <v>665.60699999999997</v>
          </cell>
          <cell r="P153">
            <v>866.86556379972797</v>
          </cell>
          <cell r="Q153">
            <v>4477</v>
          </cell>
          <cell r="R153">
            <v>2837.4270000000001</v>
          </cell>
          <cell r="S153">
            <v>287.93200000000002</v>
          </cell>
          <cell r="T153">
            <v>1562.4612233999612</v>
          </cell>
          <cell r="U153">
            <v>10937.228563799728</v>
          </cell>
        </row>
        <row r="154">
          <cell r="B154" t="str">
            <v>FY(2)</v>
          </cell>
          <cell r="C154">
            <v>3696.9</v>
          </cell>
          <cell r="D154">
            <v>5829</v>
          </cell>
          <cell r="E154">
            <v>8554</v>
          </cell>
          <cell r="F154">
            <v>2359.7800000000002</v>
          </cell>
          <cell r="G154">
            <v>807.92702269720496</v>
          </cell>
          <cell r="H154">
            <v>935.90099999999995</v>
          </cell>
          <cell r="I154">
            <v>3033.4039100715199</v>
          </cell>
          <cell r="J154">
            <v>3602.4159903955324</v>
          </cell>
          <cell r="K154">
            <v>25216.911932768726</v>
          </cell>
          <cell r="M154">
            <v>1720.9580000000001</v>
          </cell>
          <cell r="N154">
            <v>345.80500000000001</v>
          </cell>
          <cell r="O154">
            <v>715.18</v>
          </cell>
          <cell r="P154">
            <v>1029.5889999999999</v>
          </cell>
          <cell r="Q154">
            <v>4345</v>
          </cell>
          <cell r="R154">
            <v>2602.4180000000001</v>
          </cell>
          <cell r="S154">
            <v>351.827</v>
          </cell>
          <cell r="T154">
            <v>1587.253857142857</v>
          </cell>
          <cell r="U154">
            <v>11110.776999999998</v>
          </cell>
        </row>
        <row r="155">
          <cell r="B155" t="str">
            <v>FY(1)</v>
          </cell>
          <cell r="C155">
            <v>3936.0219999999999</v>
          </cell>
          <cell r="D155">
            <v>5805</v>
          </cell>
          <cell r="E155">
            <v>8458</v>
          </cell>
          <cell r="F155">
            <v>2387.9659999999999</v>
          </cell>
          <cell r="G155">
            <v>763.44408199055204</v>
          </cell>
          <cell r="H155">
            <v>1038.6748406189799</v>
          </cell>
          <cell r="I155">
            <v>3142.6860000000001</v>
          </cell>
          <cell r="J155">
            <v>3647.3989889442191</v>
          </cell>
          <cell r="K155">
            <v>25531.792922609533</v>
          </cell>
          <cell r="M155">
            <v>1840.15625086369</v>
          </cell>
          <cell r="N155">
            <v>405.88299999999998</v>
          </cell>
          <cell r="O155">
            <v>734.04100000000005</v>
          </cell>
          <cell r="P155">
            <v>1227.874</v>
          </cell>
          <cell r="Q155">
            <v>3899</v>
          </cell>
          <cell r="R155">
            <v>2288.8490000000002</v>
          </cell>
          <cell r="S155">
            <v>414.04300000000001</v>
          </cell>
          <cell r="T155">
            <v>1544.2637501233842</v>
          </cell>
          <cell r="U155">
            <v>10809.846250863689</v>
          </cell>
        </row>
        <row r="156">
          <cell r="B156" t="str">
            <v>FY0</v>
          </cell>
          <cell r="C156">
            <v>4144</v>
          </cell>
          <cell r="D156">
            <v>6242</v>
          </cell>
          <cell r="E156">
            <v>8062</v>
          </cell>
          <cell r="F156">
            <v>2465</v>
          </cell>
          <cell r="G156">
            <v>663.38400000000001</v>
          </cell>
          <cell r="H156">
            <v>1130.8130000000001</v>
          </cell>
          <cell r="I156">
            <v>3328.944</v>
          </cell>
          <cell r="J156">
            <v>3719.4487142857142</v>
          </cell>
          <cell r="K156">
            <v>26036.141</v>
          </cell>
          <cell r="M156">
            <v>1746.019</v>
          </cell>
          <cell r="N156">
            <v>463.56200000000001</v>
          </cell>
          <cell r="O156">
            <v>756.25599999999997</v>
          </cell>
          <cell r="P156">
            <v>1322.3320000000001</v>
          </cell>
          <cell r="Q156">
            <v>3913</v>
          </cell>
          <cell r="R156">
            <v>2166.4029999999998</v>
          </cell>
          <cell r="S156">
            <v>447.161</v>
          </cell>
          <cell r="T156">
            <v>1544.9618571428571</v>
          </cell>
          <cell r="U156">
            <v>10814.733</v>
          </cell>
        </row>
        <row r="157">
          <cell r="B157" t="str">
            <v>FY1</v>
          </cell>
          <cell r="C157">
            <v>4394.4091829754097</v>
          </cell>
          <cell r="D157">
            <v>6246.8233738916697</v>
          </cell>
          <cell r="E157">
            <v>8248.0658741166299</v>
          </cell>
          <cell r="F157">
            <v>2590.3075410872998</v>
          </cell>
          <cell r="G157">
            <v>695.74853440064305</v>
          </cell>
          <cell r="H157">
            <v>1211.18901626811</v>
          </cell>
          <cell r="I157">
            <v>3551.2590335353202</v>
          </cell>
          <cell r="J157">
            <v>3848.2575080392967</v>
          </cell>
          <cell r="K157">
            <v>26937.802556275077</v>
          </cell>
          <cell r="M157">
            <v>1792.8121806045201</v>
          </cell>
          <cell r="N157">
            <v>504.30645509643699</v>
          </cell>
          <cell r="O157">
            <v>728.64913129426805</v>
          </cell>
          <cell r="P157">
            <v>1421.66648658546</v>
          </cell>
          <cell r="Q157">
            <v>3985.1203682867199</v>
          </cell>
          <cell r="R157">
            <v>2225.6272843379302</v>
          </cell>
          <cell r="S157">
            <v>506.13870145797398</v>
          </cell>
          <cell r="T157">
            <v>1594.9029439519013</v>
          </cell>
          <cell r="U157">
            <v>11164.320607663309</v>
          </cell>
        </row>
        <row r="158">
          <cell r="B158" t="str">
            <v>FY2</v>
          </cell>
          <cell r="C158">
            <v>4720.5151538554701</v>
          </cell>
          <cell r="D158">
            <v>6372.0902312446397</v>
          </cell>
          <cell r="E158">
            <v>8292.5927833133792</v>
          </cell>
          <cell r="F158">
            <v>2676.5791025920498</v>
          </cell>
          <cell r="G158">
            <v>736.52206639947497</v>
          </cell>
          <cell r="H158">
            <v>1266.65736703995</v>
          </cell>
          <cell r="I158">
            <v>3773.5321763327702</v>
          </cell>
          <cell r="J158">
            <v>3976.9269829682466</v>
          </cell>
          <cell r="K158">
            <v>27838.488880777728</v>
          </cell>
          <cell r="M158">
            <v>1906.1941041853299</v>
          </cell>
          <cell r="N158">
            <v>594.038263854913</v>
          </cell>
          <cell r="O158">
            <v>789.28825485253299</v>
          </cell>
          <cell r="P158">
            <v>1512.91471930996</v>
          </cell>
          <cell r="Q158">
            <v>3815.9974476101902</v>
          </cell>
          <cell r="R158">
            <v>2291.5018855364201</v>
          </cell>
          <cell r="S158">
            <v>564.28679678784999</v>
          </cell>
          <cell r="T158">
            <v>1639.1744960195995</v>
          </cell>
          <cell r="U158">
            <v>11474.221472137197</v>
          </cell>
        </row>
        <row r="159">
          <cell r="B159" t="str">
            <v>FQ(3)</v>
          </cell>
          <cell r="C159">
            <v>961</v>
          </cell>
          <cell r="D159">
            <v>1474</v>
          </cell>
          <cell r="E159">
            <v>1956</v>
          </cell>
          <cell r="F159">
            <v>539</v>
          </cell>
          <cell r="G159">
            <v>155.434</v>
          </cell>
          <cell r="H159">
            <v>272.02999999999997</v>
          </cell>
          <cell r="I159">
            <v>735.05700000000002</v>
          </cell>
          <cell r="J159">
            <v>870.36014285714282</v>
          </cell>
          <cell r="K159">
            <v>6092.5209999999997</v>
          </cell>
          <cell r="M159">
            <v>416.65499999999997</v>
          </cell>
          <cell r="N159">
            <v>94.146000000000001</v>
          </cell>
          <cell r="O159">
            <v>158.69200000000001</v>
          </cell>
          <cell r="P159">
            <v>326.32100000000003</v>
          </cell>
          <cell r="Q159">
            <v>886</v>
          </cell>
          <cell r="R159">
            <v>483.14400000000001</v>
          </cell>
          <cell r="S159">
            <v>97.185000000000002</v>
          </cell>
          <cell r="T159">
            <v>351.73471428571423</v>
          </cell>
          <cell r="U159">
            <v>2462.1429999999996</v>
          </cell>
        </row>
        <row r="160">
          <cell r="B160" t="str">
            <v>FQ(2)</v>
          </cell>
          <cell r="C160">
            <v>966</v>
          </cell>
          <cell r="D160">
            <v>1460</v>
          </cell>
          <cell r="E160">
            <v>1861</v>
          </cell>
          <cell r="F160">
            <v>608</v>
          </cell>
          <cell r="G160">
            <v>154.941</v>
          </cell>
          <cell r="H160">
            <v>286.15800000000002</v>
          </cell>
          <cell r="I160">
            <v>790.87599999999998</v>
          </cell>
          <cell r="J160">
            <v>875.28214285714296</v>
          </cell>
          <cell r="K160">
            <v>6126.9750000000004</v>
          </cell>
          <cell r="M160">
            <v>418.96199999999999</v>
          </cell>
          <cell r="N160">
            <v>100.682</v>
          </cell>
          <cell r="O160">
            <v>167.17500000000001</v>
          </cell>
          <cell r="P160">
            <v>327.63099999999997</v>
          </cell>
          <cell r="Q160">
            <v>913</v>
          </cell>
          <cell r="R160">
            <v>519.36599999999999</v>
          </cell>
          <cell r="S160">
            <v>108.65</v>
          </cell>
          <cell r="T160">
            <v>365.06657142857142</v>
          </cell>
          <cell r="U160">
            <v>2555.4659999999999</v>
          </cell>
        </row>
        <row r="161">
          <cell r="B161" t="str">
            <v>FQ(1)</v>
          </cell>
          <cell r="C161">
            <v>1027</v>
          </cell>
          <cell r="D161">
            <v>1586</v>
          </cell>
          <cell r="E161">
            <v>2033</v>
          </cell>
          <cell r="F161">
            <v>581</v>
          </cell>
          <cell r="G161">
            <v>162.55199999999999</v>
          </cell>
          <cell r="H161">
            <v>286.51100000000002</v>
          </cell>
          <cell r="I161">
            <v>864.09699999999998</v>
          </cell>
          <cell r="J161">
            <v>934.30857142857144</v>
          </cell>
          <cell r="K161">
            <v>6540.16</v>
          </cell>
          <cell r="M161">
            <v>437.22899999999998</v>
          </cell>
          <cell r="N161">
            <v>117.236</v>
          </cell>
          <cell r="O161">
            <v>193.26900000000001</v>
          </cell>
          <cell r="P161">
            <v>326.93099999999998</v>
          </cell>
          <cell r="Q161">
            <v>1024</v>
          </cell>
          <cell r="R161">
            <v>503.863</v>
          </cell>
          <cell r="S161">
            <v>114.327</v>
          </cell>
          <cell r="T161">
            <v>388.12214285714282</v>
          </cell>
          <cell r="U161">
            <v>2716.8549999999996</v>
          </cell>
        </row>
        <row r="162">
          <cell r="B162" t="str">
            <v>Last Reported Q</v>
          </cell>
          <cell r="C162">
            <v>4144</v>
          </cell>
          <cell r="D162">
            <v>6242</v>
          </cell>
          <cell r="E162">
            <v>8062</v>
          </cell>
          <cell r="F162">
            <v>2465</v>
          </cell>
          <cell r="G162">
            <v>663.38400000000001</v>
          </cell>
          <cell r="H162">
            <v>1130.8130000000001</v>
          </cell>
          <cell r="I162">
            <v>3328.944</v>
          </cell>
          <cell r="J162">
            <v>3719.4487142857142</v>
          </cell>
          <cell r="K162">
            <v>26036.141</v>
          </cell>
          <cell r="M162">
            <v>1746.019</v>
          </cell>
          <cell r="N162">
            <v>463.56200000000001</v>
          </cell>
          <cell r="O162">
            <v>756.25599999999997</v>
          </cell>
          <cell r="P162">
            <v>390.10199999999998</v>
          </cell>
          <cell r="Q162">
            <v>3913</v>
          </cell>
          <cell r="R162">
            <v>2166.4029999999998</v>
          </cell>
          <cell r="S162">
            <v>447.161</v>
          </cell>
          <cell r="T162">
            <v>1411.786142857143</v>
          </cell>
          <cell r="U162">
            <v>9882.5030000000006</v>
          </cell>
        </row>
        <row r="163">
          <cell r="B163" t="str">
            <v>LTM</v>
          </cell>
          <cell r="C163">
            <v>7098</v>
          </cell>
          <cell r="D163">
            <v>10762</v>
          </cell>
          <cell r="E163">
            <v>13912</v>
          </cell>
          <cell r="F163">
            <v>4193</v>
          </cell>
          <cell r="G163">
            <v>1136.3110000000001</v>
          </cell>
          <cell r="H163">
            <v>1975.5120000000002</v>
          </cell>
          <cell r="I163">
            <v>5718.9740000000002</v>
          </cell>
          <cell r="J163">
            <v>6399.399571428572</v>
          </cell>
          <cell r="K163">
            <v>44795.797000000006</v>
          </cell>
          <cell r="M163">
            <v>3018.8649999999998</v>
          </cell>
          <cell r="N163">
            <v>775.62599999999998</v>
          </cell>
          <cell r="O163">
            <v>1275.3919999999998</v>
          </cell>
          <cell r="P163">
            <v>1370.9850000000001</v>
          </cell>
          <cell r="Q163">
            <v>6736</v>
          </cell>
          <cell r="R163">
            <v>3672.7759999999998</v>
          </cell>
          <cell r="S163">
            <v>767.32300000000009</v>
          </cell>
          <cell r="T163">
            <v>2516.7095714285715</v>
          </cell>
          <cell r="U163">
            <v>17616.967000000001</v>
          </cell>
        </row>
        <row r="164">
          <cell r="B164" t="str">
            <v>Expense Ratio Y/Y bps</v>
          </cell>
        </row>
        <row r="165">
          <cell r="B165" t="str">
            <v>Expense Ratio</v>
          </cell>
          <cell r="C165">
            <v>157.51646442021732</v>
          </cell>
          <cell r="D165">
            <v>205.22599143587615</v>
          </cell>
          <cell r="E165">
            <v>147.01424492728543</v>
          </cell>
          <cell r="F165">
            <v>207.07126584412094</v>
          </cell>
          <cell r="G165">
            <v>42.49542357614655</v>
          </cell>
          <cell r="H165">
            <v>35.070234436621604</v>
          </cell>
          <cell r="I165">
            <v>-0.18946280574666519</v>
          </cell>
          <cell r="J165">
            <v>113.45773740493142</v>
          </cell>
          <cell r="K165">
            <v>97.851665616149333</v>
          </cell>
          <cell r="M165">
            <v>610.51345563298059</v>
          </cell>
          <cell r="N165">
            <v>-31.619890153258833</v>
          </cell>
          <cell r="O165">
            <v>115.26462868643839</v>
          </cell>
          <cell r="P165">
            <v>232.99399044565573</v>
          </cell>
          <cell r="Q165">
            <v>-72.302435491419232</v>
          </cell>
          <cell r="R165">
            <v>-48.996741320501137</v>
          </cell>
          <cell r="S165">
            <v>-76.662439658733987</v>
          </cell>
          <cell r="T165">
            <v>104.17008116302362</v>
          </cell>
          <cell r="U165">
            <v>38.080667608011986</v>
          </cell>
        </row>
        <row r="166">
          <cell r="B166" t="str">
            <v>FY(5)</v>
          </cell>
          <cell r="C166">
            <v>0.22075354465972119</v>
          </cell>
          <cell r="D166">
            <v>0.30421087533156499</v>
          </cell>
          <cell r="E166">
            <v>0.31256338742393508</v>
          </cell>
          <cell r="F166">
            <v>0.28328649595809413</v>
          </cell>
          <cell r="G166">
            <v>0.28788602145952064</v>
          </cell>
          <cell r="H166">
            <v>0.15511074318571508</v>
          </cell>
          <cell r="I166">
            <v>0.16902919324747948</v>
          </cell>
          <cell r="J166">
            <v>0.24754860875229007</v>
          </cell>
          <cell r="K166">
            <v>0.25479894602531877</v>
          </cell>
          <cell r="M166">
            <v>0.47355750440073341</v>
          </cell>
          <cell r="N166">
            <v>0.19080554898715221</v>
          </cell>
          <cell r="O166">
            <v>0.2375182127117153</v>
          </cell>
          <cell r="P166">
            <v>0.45493987267153979</v>
          </cell>
          <cell r="Q166">
            <v>0.26409294891498125</v>
          </cell>
          <cell r="R166">
            <v>0.25161431721226934</v>
          </cell>
          <cell r="S166">
            <v>0.23000181214134702</v>
          </cell>
          <cell r="T166">
            <v>0.30036145957710547</v>
          </cell>
          <cell r="U166">
            <v>0.27634449274646161</v>
          </cell>
        </row>
        <row r="167">
          <cell r="B167" t="str">
            <v>FY(4)</v>
          </cell>
          <cell r="C167">
            <v>0.22112041306651145</v>
          </cell>
          <cell r="D167">
            <v>0.2989191203876258</v>
          </cell>
          <cell r="E167">
            <v>0.311746315319339</v>
          </cell>
          <cell r="F167">
            <v>0.27201496074126219</v>
          </cell>
          <cell r="G167">
            <v>0.28850966846380655</v>
          </cell>
          <cell r="H167">
            <v>0.15495879093374249</v>
          </cell>
          <cell r="I167">
            <v>0.16854666633990859</v>
          </cell>
          <cell r="J167">
            <v>0.24511656217888514</v>
          </cell>
          <cell r="K167">
            <v>0.25490426029071767</v>
          </cell>
          <cell r="M167">
            <v>0.45822104470688874</v>
          </cell>
          <cell r="N167">
            <v>0.18852041811869835</v>
          </cell>
          <cell r="O167">
            <v>0.23355033372639172</v>
          </cell>
          <cell r="P167">
            <v>0.44311268847202645</v>
          </cell>
          <cell r="Q167">
            <v>0.26118704362478934</v>
          </cell>
          <cell r="R167">
            <v>0.25791933398831379</v>
          </cell>
          <cell r="S167">
            <v>0.22205424926312167</v>
          </cell>
          <cell r="T167">
            <v>0.29493787312860426</v>
          </cell>
          <cell r="U167">
            <v>0.2790354228686574</v>
          </cell>
        </row>
        <row r="168">
          <cell r="B168" t="str">
            <v>FY(3)</v>
          </cell>
          <cell r="C168">
            <v>0.21914841426546719</v>
          </cell>
          <cell r="D168">
            <v>0.29829542028855022</v>
          </cell>
          <cell r="E168">
            <v>0.32176492398961809</v>
          </cell>
          <cell r="F168">
            <v>0.2683032388246846</v>
          </cell>
          <cell r="G168">
            <v>0.2550567425577977</v>
          </cell>
          <cell r="H168">
            <v>0.15493724653110028</v>
          </cell>
          <cell r="I168">
            <v>0.16757373336772263</v>
          </cell>
          <cell r="J168">
            <v>0.24072567426070579</v>
          </cell>
          <cell r="K168">
            <v>0.25643049645543803</v>
          </cell>
          <cell r="M168">
            <v>0.46059072351786268</v>
          </cell>
          <cell r="N168">
            <v>0.20502006781733473</v>
          </cell>
          <cell r="O168">
            <v>0.23819240490565266</v>
          </cell>
          <cell r="P168">
            <v>0.42596037207277726</v>
          </cell>
          <cell r="Q168">
            <v>0.28116560949569802</v>
          </cell>
          <cell r="R168">
            <v>0.26590943083890284</v>
          </cell>
          <cell r="S168">
            <v>0.23510084370511716</v>
          </cell>
          <cell r="T168">
            <v>0.30170563605047784</v>
          </cell>
          <cell r="U168">
            <v>0.29286802049534522</v>
          </cell>
        </row>
        <row r="169">
          <cell r="B169" t="str">
            <v>FY(2)</v>
          </cell>
          <cell r="C169">
            <v>0.22441224497228915</v>
          </cell>
          <cell r="D169">
            <v>0.29349078819571894</v>
          </cell>
          <cell r="E169">
            <v>0.32508645916467144</v>
          </cell>
          <cell r="F169">
            <v>0.26731193022417554</v>
          </cell>
          <cell r="G169">
            <v>0.24747866688145498</v>
          </cell>
          <cell r="H169">
            <v>0.15663059319066835</v>
          </cell>
          <cell r="I169">
            <v>0.16542778193181926</v>
          </cell>
          <cell r="J169">
            <v>0.23997692350868541</v>
          </cell>
          <cell r="K169">
            <v>0.25458252346273547</v>
          </cell>
          <cell r="M169">
            <v>0.46516703174565421</v>
          </cell>
          <cell r="N169">
            <v>0.21842389666892584</v>
          </cell>
          <cell r="O169">
            <v>0.23406936986383864</v>
          </cell>
          <cell r="P169">
            <v>0.39410769023478287</v>
          </cell>
          <cell r="Q169">
            <v>0.27564549895324492</v>
          </cell>
          <cell r="R169">
            <v>0.25801530849837501</v>
          </cell>
          <cell r="S169">
            <v>0.23334973775041057</v>
          </cell>
          <cell r="T169">
            <v>0.29696836195931881</v>
          </cell>
          <cell r="U169">
            <v>0.29004007050169583</v>
          </cell>
        </row>
        <row r="170">
          <cell r="B170" t="str">
            <v>FY(1)</v>
          </cell>
          <cell r="C170">
            <v>0.24016389141431088</v>
          </cell>
          <cell r="D170">
            <v>0.31401338733930656</v>
          </cell>
          <cell r="E170">
            <v>0.33978788365739998</v>
          </cell>
          <cell r="F170">
            <v>0.28801905680858764</v>
          </cell>
          <cell r="G170">
            <v>0.2513902659533549</v>
          </cell>
          <cell r="H170">
            <v>0.16013761663433052</v>
          </cell>
          <cell r="I170">
            <v>0.16540883565124459</v>
          </cell>
          <cell r="J170">
            <v>0.25127441963693359</v>
          </cell>
          <cell r="K170">
            <v>0.2643565301882268</v>
          </cell>
          <cell r="M170">
            <v>0.528164794911131</v>
          </cell>
          <cell r="N170">
            <v>0.21526190765359995</v>
          </cell>
          <cell r="O170">
            <v>0.24559583273248248</v>
          </cell>
          <cell r="P170">
            <v>0.38603200433104445</v>
          </cell>
          <cell r="Q170">
            <v>0.26841525540410299</v>
          </cell>
          <cell r="R170">
            <v>0.25311563436632489</v>
          </cell>
          <cell r="S170">
            <v>0.22568349378453717</v>
          </cell>
          <cell r="T170">
            <v>0.30318127474046047</v>
          </cell>
          <cell r="U170">
            <v>0.29261289329386647</v>
          </cell>
        </row>
        <row r="171">
          <cell r="B171" t="str">
            <v>FY0</v>
          </cell>
          <cell r="C171">
            <v>0.2412528380974559</v>
          </cell>
          <cell r="D171">
            <v>0.35551799953585106</v>
          </cell>
          <cell r="E171">
            <v>0.34322448805824002</v>
          </cell>
          <cell r="F171">
            <v>0.2984984257689513</v>
          </cell>
          <cell r="G171">
            <v>0.25264937864425241</v>
          </cell>
          <cell r="H171">
            <v>0.15740248792734851</v>
          </cell>
          <cell r="I171">
            <v>0.16408079397316028</v>
          </cell>
          <cell r="J171">
            <v>0.25894663028646564</v>
          </cell>
          <cell r="K171">
            <v>0.26958151141248193</v>
          </cell>
          <cell r="M171">
            <v>0.59619070382858852</v>
          </cell>
          <cell r="N171">
            <v>0.20786554893155254</v>
          </cell>
          <cell r="O171">
            <v>0.25288123487322434</v>
          </cell>
          <cell r="P171">
            <v>0.40933140337561003</v>
          </cell>
          <cell r="Q171">
            <v>0.2756216101993379</v>
          </cell>
          <cell r="R171">
            <v>0.25095787315813839</v>
          </cell>
          <cell r="S171">
            <v>0.23075525785485199</v>
          </cell>
          <cell r="T171">
            <v>0.31765766174590049</v>
          </cell>
          <cell r="U171">
            <v>0.29918667766155282</v>
          </cell>
        </row>
        <row r="172">
          <cell r="B172" t="str">
            <v>FY1</v>
          </cell>
          <cell r="C172">
            <v>0.23755990709862407</v>
          </cell>
          <cell r="D172">
            <v>0.35082328912427285</v>
          </cell>
          <cell r="E172">
            <v>0.33604435343603933</v>
          </cell>
          <cell r="F172">
            <v>0.2900204005330686</v>
          </cell>
          <cell r="G172">
            <v>0.25415537194894949</v>
          </cell>
          <cell r="H172">
            <v>0.15520381370329353</v>
          </cell>
          <cell r="I172">
            <v>0.16100989145998601</v>
          </cell>
          <cell r="J172">
            <v>0.25497386104346204</v>
          </cell>
          <cell r="K172">
            <v>0.26312141410989504</v>
          </cell>
          <cell r="M172">
            <v>0.56685275187212625</v>
          </cell>
          <cell r="N172">
            <v>0.20751094817380147</v>
          </cell>
          <cell r="O172">
            <v>0.24378404137562537</v>
          </cell>
          <cell r="P172">
            <v>0.40898315733024737</v>
          </cell>
          <cell r="Q172">
            <v>0.2834829098776766</v>
          </cell>
          <cell r="R172">
            <v>0.2442859432107283</v>
          </cell>
          <cell r="S172">
            <v>0.22380557744828644</v>
          </cell>
          <cell r="T172">
            <v>0.31124361846978449</v>
          </cell>
          <cell r="U172">
            <v>0.29781058624011059</v>
          </cell>
        </row>
        <row r="173">
          <cell r="B173" t="str">
            <v>FY2</v>
          </cell>
          <cell r="C173">
            <v>0.23555990709862318</v>
          </cell>
          <cell r="D173">
            <v>0.35014505191680151</v>
          </cell>
          <cell r="E173">
            <v>0.33504435343603878</v>
          </cell>
          <cell r="F173">
            <v>0.28619698384846876</v>
          </cell>
          <cell r="G173">
            <v>0.25117728981375714</v>
          </cell>
          <cell r="H173">
            <v>0.15520381370329375</v>
          </cell>
          <cell r="I173">
            <v>0.16050989145998562</v>
          </cell>
          <cell r="J173">
            <v>0.25340532732528126</v>
          </cell>
          <cell r="K173">
            <v>0.26030872041871445</v>
          </cell>
          <cell r="M173">
            <v>0.55786444206476882</v>
          </cell>
          <cell r="N173">
            <v>0.21596159783087132</v>
          </cell>
          <cell r="O173">
            <v>0.23879343443399517</v>
          </cell>
          <cell r="P173">
            <v>0.4069831573302467</v>
          </cell>
          <cell r="Q173">
            <v>0.28248290987767782</v>
          </cell>
          <cell r="R173">
            <v>0.24237995437917609</v>
          </cell>
          <cell r="S173">
            <v>0.21870557744828625</v>
          </cell>
          <cell r="T173">
            <v>0.30902443905214605</v>
          </cell>
          <cell r="U173">
            <v>0.29623593800541625</v>
          </cell>
        </row>
        <row r="174">
          <cell r="B174" t="str">
            <v>FQ(3)</v>
          </cell>
          <cell r="C174">
            <v>0.26415612974161629</v>
          </cell>
          <cell r="D174">
            <v>0.37946315338480124</v>
          </cell>
          <cell r="E174">
            <v>0.37622619734564339</v>
          </cell>
          <cell r="F174">
            <v>0.31594372801875731</v>
          </cell>
          <cell r="G174">
            <v>0.25018912993790099</v>
          </cell>
          <cell r="H174">
            <v>0.16081234382380219</v>
          </cell>
          <cell r="I174">
            <v>0.16881469579883809</v>
          </cell>
          <cell r="J174">
            <v>0.27365791115019422</v>
          </cell>
          <cell r="K174">
            <v>0.28882002576376026</v>
          </cell>
          <cell r="M174">
            <v>0.69242964856272504</v>
          </cell>
          <cell r="N174">
            <v>0.23073642726898419</v>
          </cell>
          <cell r="O174">
            <v>0.25930065359477128</v>
          </cell>
          <cell r="P174">
            <v>0.44101067790723297</v>
          </cell>
          <cell r="Q174">
            <v>0.28333866325551649</v>
          </cell>
          <cell r="R174">
            <v>0.28004500251269826</v>
          </cell>
          <cell r="S174">
            <v>0.25256239669851038</v>
          </cell>
          <cell r="T174">
            <v>0.34848906711434841</v>
          </cell>
          <cell r="U174">
            <v>0.3240205429200293</v>
          </cell>
        </row>
        <row r="175">
          <cell r="B175" t="str">
            <v>FQ(2)</v>
          </cell>
          <cell r="C175">
            <v>0.25380977404098792</v>
          </cell>
          <cell r="D175">
            <v>0.37030928905677624</v>
          </cell>
          <cell r="E175">
            <v>0.3603795507358637</v>
          </cell>
          <cell r="F175">
            <v>0.28344988344988348</v>
          </cell>
          <cell r="G175">
            <v>0.27584494103572038</v>
          </cell>
          <cell r="H175">
            <v>0.1617958698115384</v>
          </cell>
          <cell r="I175">
            <v>0.16658690585921768</v>
          </cell>
          <cell r="J175">
            <v>0.26745374485571255</v>
          </cell>
          <cell r="K175">
            <v>0.27679393603676727</v>
          </cell>
          <cell r="M175">
            <v>0.65748303963617016</v>
          </cell>
          <cell r="N175">
            <v>0.22224625844333584</v>
          </cell>
          <cell r="O175">
            <v>0.254221436870054</v>
          </cell>
          <cell r="P175">
            <v>0.42125815178259163</v>
          </cell>
          <cell r="Q175">
            <v>0.28135593220338984</v>
          </cell>
          <cell r="R175">
            <v>0.25131301987312554</v>
          </cell>
          <cell r="S175">
            <v>0.23690327194707672</v>
          </cell>
          <cell r="T175">
            <v>0.33211158725082057</v>
          </cell>
          <cell r="U175">
            <v>0.30804271598565874</v>
          </cell>
        </row>
        <row r="176">
          <cell r="B176" t="str">
            <v>FQ(1)</v>
          </cell>
          <cell r="C176">
            <v>0.2535176499629721</v>
          </cell>
          <cell r="D176">
            <v>0.37939005929867253</v>
          </cell>
          <cell r="E176">
            <v>0.38525677468258479</v>
          </cell>
          <cell r="F176">
            <v>0.31102783725910066</v>
          </cell>
          <cell r="G176">
            <v>0.25743308089206474</v>
          </cell>
          <cell r="H176">
            <v>0.16427073759602878</v>
          </cell>
          <cell r="I176">
            <v>0.16474850265379282</v>
          </cell>
          <cell r="J176">
            <v>0.27366352033503094</v>
          </cell>
          <cell r="K176">
            <v>0.28439295072744886</v>
          </cell>
          <cell r="M176">
            <v>0.58012243858168677</v>
          </cell>
          <cell r="N176">
            <v>0.20646029325265305</v>
          </cell>
          <cell r="O176">
            <v>0.25804914000977353</v>
          </cell>
          <cell r="P176">
            <v>0.42936053803532004</v>
          </cell>
          <cell r="Q176">
            <v>0.2853162440791307</v>
          </cell>
          <cell r="R176">
            <v>0.28350080276736006</v>
          </cell>
          <cell r="S176">
            <v>0.22598734927851355</v>
          </cell>
          <cell r="T176">
            <v>0.32411382942920541</v>
          </cell>
          <cell r="U176">
            <v>0.31213470922732417</v>
          </cell>
        </row>
        <row r="177">
          <cell r="B177" t="str">
            <v>Last Reported Q</v>
          </cell>
          <cell r="C177">
            <v>0.2412528380974559</v>
          </cell>
          <cell r="D177">
            <v>0.35551799953585106</v>
          </cell>
          <cell r="E177">
            <v>0.34322448805824002</v>
          </cell>
          <cell r="F177">
            <v>0.2984984257689513</v>
          </cell>
          <cell r="G177">
            <v>0.25264937864425241</v>
          </cell>
          <cell r="H177">
            <v>0.15740248792734851</v>
          </cell>
          <cell r="I177">
            <v>0.16408079397316028</v>
          </cell>
          <cell r="J177">
            <v>0.25894663028646564</v>
          </cell>
          <cell r="K177">
            <v>0.26958151141248193</v>
          </cell>
          <cell r="M177">
            <v>0.59619070382858852</v>
          </cell>
          <cell r="N177">
            <v>0.20786554893155254</v>
          </cell>
          <cell r="O177">
            <v>0.25288123487322434</v>
          </cell>
          <cell r="P177">
            <v>0.3662912380693048</v>
          </cell>
          <cell r="Q177">
            <v>0.2756216101993379</v>
          </cell>
          <cell r="R177">
            <v>0.25095787315813839</v>
          </cell>
          <cell r="S177">
            <v>0.23075525785485199</v>
          </cell>
          <cell r="T177">
            <v>0.31150906670214262</v>
          </cell>
          <cell r="U177">
            <v>0.29081885663302726</v>
          </cell>
        </row>
        <row r="178">
          <cell r="B178" t="str">
            <v>LTM</v>
          </cell>
          <cell r="C178">
            <v>0.24755859375</v>
          </cell>
          <cell r="D178">
            <v>0.3640120041067873</v>
          </cell>
          <cell r="E178">
            <v>0.35554192542615454</v>
          </cell>
          <cell r="F178">
            <v>0.29999284538885312</v>
          </cell>
          <cell r="G178">
            <v>0.2559197911040863</v>
          </cell>
          <cell r="H178">
            <v>0.15946225344343146</v>
          </cell>
          <cell r="I178">
            <v>0.16512055876658455</v>
          </cell>
          <cell r="J178">
            <v>0.26394399599798529</v>
          </cell>
          <cell r="K178">
            <v>0.27514697563885587</v>
          </cell>
          <cell r="M178">
            <v>0.61343347301981055</v>
          </cell>
          <cell r="N178">
            <v>0.21197834263964316</v>
          </cell>
          <cell r="O178">
            <v>0.25461418741350766</v>
          </cell>
          <cell r="P178">
            <v>0.40996822786229586</v>
          </cell>
          <cell r="Q178">
            <v>0.27883102905869689</v>
          </cell>
          <cell r="R178">
            <v>0.25861572787938431</v>
          </cell>
          <cell r="S178">
            <v>0.23343201089580387</v>
          </cell>
          <cell r="T178">
            <v>0.32298185696702031</v>
          </cell>
          <cell r="U178">
            <v>0.30073195088102744</v>
          </cell>
        </row>
        <row r="179">
          <cell r="B179" t="str">
            <v>FY(1)</v>
          </cell>
          <cell r="C179">
            <v>1980.6181424947576</v>
          </cell>
          <cell r="D179">
            <v>1984.4633176922603</v>
          </cell>
          <cell r="E179">
            <v>2202.7236417983245</v>
          </cell>
          <cell r="F179">
            <v>1246.211643382778</v>
          </cell>
          <cell r="G179">
            <v>173.8130453674847</v>
          </cell>
          <cell r="H179">
            <v>482.08061137554455</v>
          </cell>
          <cell r="I179">
            <v>1671.8902989417663</v>
          </cell>
          <cell r="J179">
            <v>1391.6858144361308</v>
          </cell>
          <cell r="K179">
            <v>9741.8007010529163</v>
          </cell>
          <cell r="M179">
            <v>789.86515194133233</v>
          </cell>
          <cell r="N179">
            <v>215.33854842049243</v>
          </cell>
          <cell r="O179">
            <v>627.84877745647373</v>
          </cell>
          <cell r="P179">
            <v>1211.6714117526039</v>
          </cell>
          <cell r="Q179">
            <v>1644.5986291646034</v>
          </cell>
          <cell r="R179">
            <v>1068.359336648728</v>
          </cell>
          <cell r="S179">
            <v>255.22575446775724</v>
          </cell>
          <cell r="T179">
            <v>830.4153728359986</v>
          </cell>
          <cell r="U179">
            <v>5812.9076098519899</v>
          </cell>
        </row>
        <row r="180">
          <cell r="B180" t="str">
            <v>Expense Ratio Y/Y bps</v>
          </cell>
          <cell r="C180">
            <v>1705.1856268015219</v>
          </cell>
          <cell r="D180">
            <v>1232.8094973777047</v>
          </cell>
          <cell r="E180">
            <v>1553.8230857746548</v>
          </cell>
          <cell r="F180">
            <v>802.61653937056747</v>
          </cell>
          <cell r="G180">
            <v>-82.354512381842142</v>
          </cell>
          <cell r="H180">
            <v>551.23890722468843</v>
          </cell>
          <cell r="I180">
            <v>1684.3207963303021</v>
          </cell>
          <cell r="J180">
            <v>1063.9485629282283</v>
          </cell>
          <cell r="K180">
            <v>7447.6399404975982</v>
          </cell>
          <cell r="M180">
            <v>536.74816545626607</v>
          </cell>
          <cell r="N180">
            <v>272.88205450139014</v>
          </cell>
          <cell r="O180">
            <v>354.55073316454383</v>
          </cell>
          <cell r="P180">
            <v>1042.1427565666907</v>
          </cell>
          <cell r="Q180">
            <v>1921.1686440084529</v>
          </cell>
          <cell r="R180">
            <v>834.83801786001254</v>
          </cell>
          <cell r="S180">
            <v>323.59547798093331</v>
          </cell>
          <cell r="T180">
            <v>755.13226421975571</v>
          </cell>
          <cell r="U180">
            <v>5285.9258495382901</v>
          </cell>
        </row>
        <row r="181">
          <cell r="B181" t="str">
            <v>FY(1)</v>
          </cell>
          <cell r="C181">
            <v>157.51646442021732</v>
          </cell>
          <cell r="D181">
            <v>205.22599143587615</v>
          </cell>
          <cell r="E181">
            <v>147.01424492728543</v>
          </cell>
          <cell r="F181">
            <v>207.07126584412094</v>
          </cell>
          <cell r="G181">
            <v>39.115990718999186</v>
          </cell>
          <cell r="H181">
            <v>35.070234436621604</v>
          </cell>
          <cell r="I181">
            <v>-0.18946280574666519</v>
          </cell>
          <cell r="J181">
            <v>112.9749612824818</v>
          </cell>
          <cell r="K181">
            <v>97.740067254913356</v>
          </cell>
          <cell r="M181">
            <v>629.97763165476783</v>
          </cell>
          <cell r="N181">
            <v>-31.619890153258833</v>
          </cell>
          <cell r="O181">
            <v>115.26462868643839</v>
          </cell>
          <cell r="P181">
            <v>-80.75685903738416</v>
          </cell>
          <cell r="Q181">
            <v>-72.302435491419232</v>
          </cell>
          <cell r="R181">
            <v>-48.996741320501137</v>
          </cell>
          <cell r="S181">
            <v>-76.662439658733987</v>
          </cell>
          <cell r="T181">
            <v>62.129127811416666</v>
          </cell>
          <cell r="U181">
            <v>25.72822792170637</v>
          </cell>
        </row>
        <row r="182">
          <cell r="B182" t="str">
            <v>FY0</v>
          </cell>
          <cell r="C182">
            <v>10.8894668314502</v>
          </cell>
          <cell r="D182">
            <v>415.04612196544497</v>
          </cell>
          <cell r="E182">
            <v>34.36604400840038</v>
          </cell>
          <cell r="F182">
            <v>104.79368960363666</v>
          </cell>
          <cell r="G182">
            <v>12.591126908975125</v>
          </cell>
          <cell r="H182">
            <v>-27.351287069820039</v>
          </cell>
          <cell r="I182">
            <v>-13.280416780843129</v>
          </cell>
          <cell r="J182">
            <v>76.722106495320517</v>
          </cell>
          <cell r="K182">
            <v>52.249812242551322</v>
          </cell>
          <cell r="M182">
            <v>680.25908917457525</v>
          </cell>
          <cell r="N182">
            <v>-73.963587220474139</v>
          </cell>
          <cell r="O182">
            <v>72.854021407418585</v>
          </cell>
          <cell r="P182">
            <v>232.99399044565573</v>
          </cell>
          <cell r="Q182">
            <v>72.06354795234904</v>
          </cell>
          <cell r="R182">
            <v>-21.577612081865038</v>
          </cell>
          <cell r="S182">
            <v>50.717640703148156</v>
          </cell>
          <cell r="T182">
            <v>144.76387005440017</v>
          </cell>
          <cell r="U182">
            <v>65.737843676863534</v>
          </cell>
        </row>
        <row r="183">
          <cell r="B183" t="str">
            <v>FY1</v>
          </cell>
          <cell r="C183">
            <v>-36.929309988318337</v>
          </cell>
          <cell r="D183">
            <v>-46.947104115782068</v>
          </cell>
          <cell r="E183">
            <v>-71.801346222006842</v>
          </cell>
          <cell r="F183">
            <v>-84.780252358827028</v>
          </cell>
          <cell r="G183">
            <v>15.059933046970841</v>
          </cell>
          <cell r="H183">
            <v>-21.986742240549805</v>
          </cell>
          <cell r="I183">
            <v>-30.709025131742674</v>
          </cell>
          <cell r="J183">
            <v>-39.727692430036043</v>
          </cell>
          <cell r="K183">
            <v>-64.600973025868981</v>
          </cell>
          <cell r="M183">
            <v>-293.37951956462274</v>
          </cell>
          <cell r="N183">
            <v>-3.5460075775106681</v>
          </cell>
          <cell r="O183">
            <v>-90.971934975989655</v>
          </cell>
          <cell r="P183">
            <v>-3.4824604536265458</v>
          </cell>
          <cell r="Q183">
            <v>78.612996783387075</v>
          </cell>
          <cell r="R183">
            <v>-66.719299474100879</v>
          </cell>
          <cell r="S183">
            <v>-69.496804065655454</v>
          </cell>
          <cell r="T183">
            <v>-64.14043276116</v>
          </cell>
          <cell r="U183">
            <v>-13.760914214422382</v>
          </cell>
        </row>
        <row r="184">
          <cell r="B184" t="str">
            <v>FY2</v>
          </cell>
          <cell r="C184">
            <v>-20.0000000000089</v>
          </cell>
          <cell r="D184">
            <v>-6.7823720747134386</v>
          </cell>
          <cell r="E184">
            <v>-10.00000000000556</v>
          </cell>
          <cell r="F184">
            <v>-38.234166845998452</v>
          </cell>
          <cell r="G184">
            <v>-29.780821351923503</v>
          </cell>
          <cell r="H184">
            <v>2.2204460492503131E-12</v>
          </cell>
          <cell r="I184">
            <v>-5.0000000000038902</v>
          </cell>
          <cell r="J184">
            <v>-15.685337181807757</v>
          </cell>
          <cell r="K184">
            <v>-28.126936911805899</v>
          </cell>
          <cell r="M184">
            <v>-89.883098073574303</v>
          </cell>
          <cell r="N184">
            <v>84.506496570698474</v>
          </cell>
          <cell r="O184">
            <v>-49.906069416301989</v>
          </cell>
          <cell r="P184">
            <v>-20.000000000006679</v>
          </cell>
          <cell r="Q184">
            <v>-9.9999999999877964</v>
          </cell>
          <cell r="R184">
            <v>-19.059888315522134</v>
          </cell>
          <cell r="S184">
            <v>-51.000000000001876</v>
          </cell>
          <cell r="T184">
            <v>-22.191794176384395</v>
          </cell>
          <cell r="U184">
            <v>-15.746482346943314</v>
          </cell>
        </row>
        <row r="185">
          <cell r="B185" t="str">
            <v>FQ(1)</v>
          </cell>
          <cell r="C185">
            <v>399</v>
          </cell>
          <cell r="D185">
            <v>67.000000000000114</v>
          </cell>
          <cell r="E185">
            <v>282.00000000000017</v>
          </cell>
          <cell r="F185">
            <v>205.99999999999991</v>
          </cell>
          <cell r="G185">
            <v>-67.604999999999734</v>
          </cell>
          <cell r="H185">
            <v>171.34199999999998</v>
          </cell>
          <cell r="I185">
            <v>422.35000000000019</v>
          </cell>
          <cell r="J185">
            <v>211.44100000000009</v>
          </cell>
          <cell r="K185">
            <v>1480.0870000000007</v>
          </cell>
          <cell r="M185">
            <v>2.8660000000000005</v>
          </cell>
          <cell r="N185">
            <v>65.00999999999992</v>
          </cell>
          <cell r="O185">
            <v>46.316999999999979</v>
          </cell>
          <cell r="P185">
            <v>198.7420000000003</v>
          </cell>
          <cell r="Q185">
            <v>375.00000000000028</v>
          </cell>
          <cell r="R185">
            <v>148.643</v>
          </cell>
          <cell r="S185">
            <v>78.440999999999988</v>
          </cell>
          <cell r="T185">
            <v>130.71700000000007</v>
          </cell>
          <cell r="U185">
            <v>915.01900000000046</v>
          </cell>
        </row>
        <row r="186">
          <cell r="B186" t="str">
            <v>Operating Income</v>
          </cell>
          <cell r="C186">
            <v>338.99999999999983</v>
          </cell>
          <cell r="D186">
            <v>107.0000000000002</v>
          </cell>
          <cell r="E186">
            <v>88.000000000000256</v>
          </cell>
          <cell r="F186">
            <v>171.99999999999989</v>
          </cell>
          <cell r="G186">
            <v>15.793999999999976</v>
          </cell>
          <cell r="H186">
            <v>172.77600000000004</v>
          </cell>
          <cell r="I186">
            <v>578.6699999999995</v>
          </cell>
          <cell r="J186">
            <v>210.4628571428571</v>
          </cell>
          <cell r="K186">
            <v>1473.2399999999998</v>
          </cell>
          <cell r="M186">
            <v>40.445999999999977</v>
          </cell>
          <cell r="N186">
            <v>105.68100000000014</v>
          </cell>
          <cell r="O186">
            <v>70.301999999999992</v>
          </cell>
          <cell r="P186">
            <v>1042.1427565666907</v>
          </cell>
          <cell r="Q186">
            <v>499.99999999999989</v>
          </cell>
          <cell r="R186">
            <v>58.885000000000019</v>
          </cell>
          <cell r="S186">
            <v>95.76100000000018</v>
          </cell>
          <cell r="T186">
            <v>273.31682236667012</v>
          </cell>
          <cell r="U186">
            <v>1913.2177565666907</v>
          </cell>
        </row>
        <row r="187">
          <cell r="B187" t="str">
            <v>FY(10)</v>
          </cell>
          <cell r="C187">
            <v>485.50638863045646</v>
          </cell>
          <cell r="D187">
            <v>454.83386963538283</v>
          </cell>
          <cell r="E187">
            <v>1723.0596260973161</v>
          </cell>
          <cell r="F187">
            <v>738.45824411134856</v>
          </cell>
          <cell r="G187">
            <v>66.281727613653899</v>
          </cell>
          <cell r="H187">
            <v>287.05417646869847</v>
          </cell>
          <cell r="I187">
            <v>975.25368491205768</v>
          </cell>
          <cell r="J187">
            <v>867.71846902713219</v>
          </cell>
          <cell r="K187">
            <v>3470.8738761085287</v>
          </cell>
          <cell r="M187">
            <v>253.55646844534496</v>
          </cell>
          <cell r="N187">
            <v>394.35079233689953</v>
          </cell>
          <cell r="O187">
            <v>175.22153552145889</v>
          </cell>
          <cell r="P187">
            <v>26.474000000000014</v>
          </cell>
          <cell r="Q187">
            <v>1956.3945388687653</v>
          </cell>
          <cell r="R187">
            <v>1144.2814089708986</v>
          </cell>
          <cell r="S187">
            <v>39.337540426959102</v>
          </cell>
          <cell r="T187">
            <v>327.77419067293232</v>
          </cell>
          <cell r="U187">
            <v>1638.8709533646615</v>
          </cell>
        </row>
        <row r="188">
          <cell r="B188" t="str">
            <v>FY(9)</v>
          </cell>
          <cell r="C188">
            <v>693.91973802158805</v>
          </cell>
          <cell r="D188">
            <v>756.13092473995562</v>
          </cell>
          <cell r="E188">
            <v>1827.1086449770082</v>
          </cell>
          <cell r="F188">
            <v>266.29261150659278</v>
          </cell>
          <cell r="H188">
            <v>291.78555250618194</v>
          </cell>
          <cell r="I188">
            <v>1008.5619151459657</v>
          </cell>
          <cell r="J188">
            <v>807.29989781621543</v>
          </cell>
          <cell r="K188">
            <v>4843.7993868972926</v>
          </cell>
          <cell r="M188">
            <v>268.56767956932532</v>
          </cell>
          <cell r="O188">
            <v>166.83186574975571</v>
          </cell>
          <cell r="P188">
            <v>59.872573637159007</v>
          </cell>
          <cell r="R188">
            <v>1122.5496622628291</v>
          </cell>
          <cell r="S188">
            <v>24.391951260244909</v>
          </cell>
          <cell r="T188">
            <v>328.44274649586282</v>
          </cell>
          <cell r="U188">
            <v>1642.2137324793141</v>
          </cell>
        </row>
        <row r="189">
          <cell r="B189" t="str">
            <v>FY(8)</v>
          </cell>
          <cell r="C189">
            <v>912.830461606629</v>
          </cell>
          <cell r="D189">
            <v>799.96102171577115</v>
          </cell>
          <cell r="E189">
            <v>1432.933359721186</v>
          </cell>
          <cell r="F189">
            <v>290.62577110649232</v>
          </cell>
          <cell r="H189">
            <v>301.69612923432788</v>
          </cell>
          <cell r="I189">
            <v>1043.2810810232318</v>
          </cell>
          <cell r="J189">
            <v>796.88797073460637</v>
          </cell>
          <cell r="K189">
            <v>4781.3278244076382</v>
          </cell>
          <cell r="M189">
            <v>289.74730211917876</v>
          </cell>
          <cell r="O189">
            <v>159.35718223413812</v>
          </cell>
          <cell r="P189">
            <v>113.7959941939974</v>
          </cell>
          <cell r="Q189">
            <v>600.1907159357828</v>
          </cell>
          <cell r="R189">
            <v>966.11037711634867</v>
          </cell>
          <cell r="S189">
            <v>36.60963094345874</v>
          </cell>
          <cell r="T189">
            <v>360.96853375715074</v>
          </cell>
          <cell r="U189">
            <v>2165.8112025429045</v>
          </cell>
        </row>
        <row r="190">
          <cell r="B190" t="str">
            <v>FY(7)</v>
          </cell>
          <cell r="C190">
            <v>1156.5458318605124</v>
          </cell>
          <cell r="D190">
            <v>952.02102914901707</v>
          </cell>
          <cell r="E190">
            <v>1479.0339278923957</v>
          </cell>
          <cell r="F190">
            <v>365.97286870857812</v>
          </cell>
          <cell r="G190" t="str">
            <v>NA</v>
          </cell>
          <cell r="H190">
            <v>374.54772447620013</v>
          </cell>
          <cell r="I190">
            <v>1146.9885114400181</v>
          </cell>
          <cell r="J190">
            <v>912.51831558778701</v>
          </cell>
          <cell r="K190">
            <v>5475.1098935267219</v>
          </cell>
          <cell r="M190">
            <v>347.89566377000904</v>
          </cell>
          <cell r="N190" t="str">
            <v>NA</v>
          </cell>
          <cell r="O190">
            <v>169.11954156440302</v>
          </cell>
          <cell r="P190">
            <v>132.64145750097384</v>
          </cell>
          <cell r="Q190">
            <v>1262.4916241331193</v>
          </cell>
          <cell r="R190">
            <v>1071.3813754740067</v>
          </cell>
          <cell r="S190">
            <v>58.974819103510981</v>
          </cell>
          <cell r="T190">
            <v>507.08408025767045</v>
          </cell>
          <cell r="U190">
            <v>3042.5044815460228</v>
          </cell>
        </row>
        <row r="191">
          <cell r="B191" t="str">
            <v>FY(6)</v>
          </cell>
          <cell r="C191">
            <v>1110.9592223864277</v>
          </cell>
          <cell r="D191">
            <v>887.96830557822909</v>
          </cell>
          <cell r="E191">
            <v>1475.978670652361</v>
          </cell>
          <cell r="F191">
            <v>532.23532413226133</v>
          </cell>
          <cell r="G191" t="str">
            <v>NA</v>
          </cell>
          <cell r="H191">
            <v>421.06482424252988</v>
          </cell>
          <cell r="I191">
            <v>1219.1001386003595</v>
          </cell>
          <cell r="J191">
            <v>941.21774759869459</v>
          </cell>
          <cell r="K191">
            <v>5647.3064855921675</v>
          </cell>
          <cell r="M191">
            <v>369.2668365757271</v>
          </cell>
          <cell r="N191">
            <v>97.254885945739034</v>
          </cell>
          <cell r="O191">
            <v>158.77767171943319</v>
          </cell>
          <cell r="P191">
            <v>223.20367713801565</v>
          </cell>
          <cell r="Q191">
            <v>2114.0535915546652</v>
          </cell>
          <cell r="R191">
            <v>1185.4625330413942</v>
          </cell>
          <cell r="S191">
            <v>94.58352886198692</v>
          </cell>
          <cell r="T191">
            <v>606.08610354813743</v>
          </cell>
          <cell r="U191">
            <v>4242.6027248369619</v>
          </cell>
        </row>
        <row r="192">
          <cell r="B192" t="str">
            <v>FY(5)</v>
          </cell>
          <cell r="C192">
            <v>1327.2810663472981</v>
          </cell>
          <cell r="D192">
            <v>1363.3222942359873</v>
          </cell>
          <cell r="E192">
            <v>1534.031924074967</v>
          </cell>
          <cell r="F192">
            <v>779.85642988208429</v>
          </cell>
          <cell r="G192">
            <v>56.136268401386211</v>
          </cell>
          <cell r="H192">
            <v>336.38059571826591</v>
          </cell>
          <cell r="I192">
            <v>1301.661646187174</v>
          </cell>
          <cell r="J192">
            <v>956.95288926388037</v>
          </cell>
          <cell r="K192">
            <v>6698.6702248471629</v>
          </cell>
          <cell r="M192">
            <v>429.36043175478039</v>
          </cell>
          <cell r="N192">
            <v>151.96385778846152</v>
          </cell>
          <cell r="O192">
            <v>404.77580086465468</v>
          </cell>
          <cell r="P192">
            <v>397.9131168529151</v>
          </cell>
          <cell r="Q192">
            <v>2280.1902642154814</v>
          </cell>
          <cell r="R192">
            <v>1230.245379450329</v>
          </cell>
          <cell r="S192">
            <v>165.51726670602028</v>
          </cell>
          <cell r="T192">
            <v>722.85230251894893</v>
          </cell>
          <cell r="U192">
            <v>5059.9661176326426</v>
          </cell>
        </row>
        <row r="193">
          <cell r="B193" t="str">
            <v>FY(4)</v>
          </cell>
          <cell r="C193">
            <v>1565.4378204279326</v>
          </cell>
          <cell r="D193">
            <v>1738.7575625986995</v>
          </cell>
          <cell r="E193">
            <v>2215.3327716330614</v>
          </cell>
          <cell r="F193">
            <v>960.91185864544013</v>
          </cell>
          <cell r="G193">
            <v>-26.280904432310574</v>
          </cell>
          <cell r="H193">
            <v>369.61270424936185</v>
          </cell>
          <cell r="I193">
            <v>1321.0695433166463</v>
          </cell>
          <cell r="J193">
            <v>1163.5487652055474</v>
          </cell>
          <cell r="K193">
            <v>8144.8413564388311</v>
          </cell>
          <cell r="M193">
            <v>645.09067297176182</v>
          </cell>
          <cell r="N193">
            <v>148.87318131466253</v>
          </cell>
          <cell r="O193">
            <v>500.32993354617793</v>
          </cell>
          <cell r="P193">
            <v>574.46943808753178</v>
          </cell>
          <cell r="Q193">
            <v>1878.3884391216775</v>
          </cell>
          <cell r="R193">
            <v>1072.0481055115672</v>
          </cell>
          <cell r="S193">
            <v>219.24526081544155</v>
          </cell>
          <cell r="T193">
            <v>719.77786162411724</v>
          </cell>
          <cell r="U193">
            <v>5038.4450313688203</v>
          </cell>
        </row>
        <row r="194">
          <cell r="B194" t="str">
            <v>FY(3)</v>
          </cell>
          <cell r="C194">
            <v>1986.8854496897454</v>
          </cell>
          <cell r="D194">
            <v>2015.8491990278244</v>
          </cell>
          <cell r="E194">
            <v>2395.6367130314761</v>
          </cell>
          <cell r="F194">
            <v>1180.6253732754576</v>
          </cell>
          <cell r="G194">
            <v>105.98450218643146</v>
          </cell>
          <cell r="H194">
            <v>428.50716111120238</v>
          </cell>
          <cell r="I194">
            <v>1532.0897485636781</v>
          </cell>
          <cell r="J194">
            <v>1377.9397352694025</v>
          </cell>
          <cell r="K194">
            <v>9645.5781468858168</v>
          </cell>
          <cell r="M194">
            <v>751.22542850829609</v>
          </cell>
          <cell r="N194">
            <v>174.35257387578639</v>
          </cell>
          <cell r="O194">
            <v>624.34594845746699</v>
          </cell>
          <cell r="P194">
            <v>746.30143442651263</v>
          </cell>
          <cell r="Q194">
            <v>1451.1546513463388</v>
          </cell>
          <cell r="R194">
            <v>1270.23310915313</v>
          </cell>
          <cell r="S194">
            <v>182.36046176901246</v>
          </cell>
          <cell r="T194">
            <v>742.85337250522048</v>
          </cell>
          <cell r="U194">
            <v>5199.9736075365436</v>
          </cell>
        </row>
        <row r="195">
          <cell r="B195" t="str">
            <v>FY(2)</v>
          </cell>
          <cell r="C195">
            <v>1980.6181424947576</v>
          </cell>
          <cell r="D195">
            <v>1984.4633176922603</v>
          </cell>
          <cell r="E195">
            <v>2202.7236417983245</v>
          </cell>
          <cell r="F195">
            <v>1246.211643382778</v>
          </cell>
          <cell r="G195">
            <v>173.8130453674847</v>
          </cell>
          <cell r="H195">
            <v>482.08061137554455</v>
          </cell>
          <cell r="I195">
            <v>1671.8902989417663</v>
          </cell>
          <cell r="J195">
            <v>1391.6858144361308</v>
          </cell>
          <cell r="K195">
            <v>9741.8007010529163</v>
          </cell>
          <cell r="M195">
            <v>828.27815194133564</v>
          </cell>
          <cell r="N195">
            <v>215.33854842049243</v>
          </cell>
          <cell r="O195">
            <v>627.84877745647373</v>
          </cell>
          <cell r="P195">
            <v>1024.8933082993212</v>
          </cell>
          <cell r="Q195">
            <v>1644.5986291646034</v>
          </cell>
          <cell r="R195">
            <v>1068.359336648728</v>
          </cell>
          <cell r="S195">
            <v>255.22575446775724</v>
          </cell>
          <cell r="T195">
            <v>809.22035805695862</v>
          </cell>
          <cell r="U195">
            <v>5664.5425063987104</v>
          </cell>
        </row>
        <row r="196">
          <cell r="B196" t="str">
            <v>FY(1)</v>
          </cell>
          <cell r="C196">
            <v>1705.1856268015219</v>
          </cell>
          <cell r="D196">
            <v>1232.8094973777047</v>
          </cell>
          <cell r="E196">
            <v>1553.8230857746548</v>
          </cell>
          <cell r="F196">
            <v>798.68184271838584</v>
          </cell>
          <cell r="G196">
            <v>-78.277512381842001</v>
          </cell>
          <cell r="H196">
            <v>551.23890722468843</v>
          </cell>
          <cell r="I196">
            <v>1685.8577701460415</v>
          </cell>
          <cell r="J196">
            <v>1064.1884596658795</v>
          </cell>
          <cell r="K196">
            <v>7449.3192176611565</v>
          </cell>
          <cell r="M196">
            <v>565.02656921650953</v>
          </cell>
          <cell r="N196">
            <v>269.98135982676371</v>
          </cell>
          <cell r="O196">
            <v>354.04039646842591</v>
          </cell>
          <cell r="P196">
            <v>1211.6714117526039</v>
          </cell>
          <cell r="Q196">
            <v>1921.1686440084529</v>
          </cell>
          <cell r="R196">
            <v>834.83801786001254</v>
          </cell>
          <cell r="S196">
            <v>313.79271877126615</v>
          </cell>
          <cell r="T196">
            <v>781.50273112914783</v>
          </cell>
          <cell r="U196">
            <v>5470.5191179040348</v>
          </cell>
        </row>
        <row r="197">
          <cell r="B197" t="str">
            <v>FY0</v>
          </cell>
          <cell r="C197">
            <v>1917.1194702536768</v>
          </cell>
          <cell r="D197">
            <v>781.47518758588342</v>
          </cell>
          <cell r="E197">
            <v>1586.9995350025417</v>
          </cell>
          <cell r="F197">
            <v>853.57339587430897</v>
          </cell>
          <cell r="G197">
            <v>17.50706678990792</v>
          </cell>
          <cell r="H197">
            <v>781.03306781757033</v>
          </cell>
          <cell r="I197">
            <v>2201.0009309468269</v>
          </cell>
          <cell r="J197">
            <v>1162.6726648958168</v>
          </cell>
          <cell r="K197">
            <v>8138.7086542707166</v>
          </cell>
          <cell r="M197">
            <v>237.83213091594212</v>
          </cell>
          <cell r="N197">
            <v>403.73291383466682</v>
          </cell>
          <cell r="O197">
            <v>325.08544655232197</v>
          </cell>
          <cell r="P197">
            <v>1042.1427565666907</v>
          </cell>
          <cell r="Q197">
            <v>2237.9224510405411</v>
          </cell>
          <cell r="R197">
            <v>1023.0921257582751</v>
          </cell>
          <cell r="S197">
            <v>351.1769179604114</v>
          </cell>
          <cell r="T197">
            <v>802.99782037554985</v>
          </cell>
          <cell r="U197">
            <v>5620.9847426288488</v>
          </cell>
        </row>
        <row r="198">
          <cell r="B198" t="str">
            <v>FY1</v>
          </cell>
          <cell r="C198">
            <v>2251.8113812011547</v>
          </cell>
          <cell r="D198">
            <v>950.1012154893956</v>
          </cell>
          <cell r="E198">
            <v>1883.6398911998326</v>
          </cell>
          <cell r="F198">
            <v>1089.9505033320954</v>
          </cell>
          <cell r="G198">
            <v>73.509240114675933</v>
          </cell>
          <cell r="H198">
            <v>906.45911066223948</v>
          </cell>
          <cell r="I198">
            <v>2509.6654245613058</v>
          </cell>
          <cell r="J198">
            <v>1380.7338237943857</v>
          </cell>
          <cell r="K198">
            <v>9665.1367665606995</v>
          </cell>
          <cell r="M198">
            <v>349.32531972063566</v>
          </cell>
          <cell r="N198">
            <v>436.51131068441123</v>
          </cell>
          <cell r="O198">
            <v>451.53609929285483</v>
          </cell>
          <cell r="P198">
            <v>1133.0035071318157</v>
          </cell>
          <cell r="Q198">
            <v>2229.3598641723124</v>
          </cell>
          <cell r="R198">
            <v>1190.1195104238896</v>
          </cell>
          <cell r="S198">
            <v>442.80259153562491</v>
          </cell>
          <cell r="T198">
            <v>890.37974328022062</v>
          </cell>
          <cell r="U198">
            <v>6232.6582029615447</v>
          </cell>
        </row>
        <row r="199">
          <cell r="B199" t="str">
            <v>FY2</v>
          </cell>
          <cell r="C199">
            <v>2531.3005039312252</v>
          </cell>
          <cell r="D199">
            <v>1018.6683833273149</v>
          </cell>
          <cell r="E199">
            <v>1947.6346240361752</v>
          </cell>
          <cell r="F199">
            <v>1181.9016384231893</v>
          </cell>
          <cell r="G199">
            <v>122.76616566210181</v>
          </cell>
          <cell r="H199">
            <v>980.82856053693729</v>
          </cell>
          <cell r="I199">
            <v>2623.3346912949105</v>
          </cell>
          <cell r="J199">
            <v>1486.6335096016935</v>
          </cell>
          <cell r="K199">
            <v>10406.434567211854</v>
          </cell>
          <cell r="M199">
            <v>443.37392089506665</v>
          </cell>
          <cell r="N199">
            <v>431.7260319132667</v>
          </cell>
          <cell r="O199">
            <v>538.59539119682017</v>
          </cell>
          <cell r="P199">
            <v>1211.6901871378634</v>
          </cell>
          <cell r="Q199">
            <v>2165.2817026002863</v>
          </cell>
          <cell r="R199">
            <v>1262.8606520739111</v>
          </cell>
          <cell r="S199">
            <v>521.64599501463044</v>
          </cell>
          <cell r="T199">
            <v>939.31055440454918</v>
          </cell>
          <cell r="U199">
            <v>6575.1738808318441</v>
          </cell>
        </row>
        <row r="200">
          <cell r="B200" t="str">
            <v>FQ(3)</v>
          </cell>
          <cell r="C200">
            <v>250.99999999999989</v>
          </cell>
          <cell r="D200">
            <v>106.00000000000014</v>
          </cell>
          <cell r="E200">
            <v>23.999999999999979</v>
          </cell>
          <cell r="F200">
            <v>146.00000000000006</v>
          </cell>
          <cell r="G200">
            <v>2.3769999999999976</v>
          </cell>
          <cell r="H200">
            <v>150.86000000000007</v>
          </cell>
          <cell r="I200">
            <v>345.8210000000002</v>
          </cell>
          <cell r="J200">
            <v>146.57971428571432</v>
          </cell>
          <cell r="K200">
            <v>1026.0580000000002</v>
          </cell>
          <cell r="M200">
            <v>-33.879000000000005</v>
          </cell>
          <cell r="N200">
            <v>56.14400000000019</v>
          </cell>
          <cell r="O200">
            <v>27.352999999999973</v>
          </cell>
          <cell r="P200">
            <v>198.7420000000003</v>
          </cell>
          <cell r="Q200">
            <v>352.99999999999955</v>
          </cell>
          <cell r="R200">
            <v>65.212000000000018</v>
          </cell>
          <cell r="S200">
            <v>46.119999999999983</v>
          </cell>
          <cell r="T200">
            <v>101.81314285714286</v>
          </cell>
          <cell r="U200">
            <v>712.69200000000001</v>
          </cell>
        </row>
        <row r="201">
          <cell r="B201" t="str">
            <v>FQ(2)</v>
          </cell>
          <cell r="C201">
            <v>399</v>
          </cell>
          <cell r="D201">
            <v>67.000000000000114</v>
          </cell>
          <cell r="E201">
            <v>282.00000000000017</v>
          </cell>
          <cell r="F201">
            <v>205.99999999999991</v>
          </cell>
          <cell r="G201">
            <v>-67.604999999999734</v>
          </cell>
          <cell r="H201">
            <v>171.34199999999998</v>
          </cell>
          <cell r="I201">
            <v>422.35000000000019</v>
          </cell>
          <cell r="J201">
            <v>211.44100000000009</v>
          </cell>
          <cell r="K201">
            <v>1480.0870000000007</v>
          </cell>
          <cell r="M201">
            <v>8.8859999999999726</v>
          </cell>
          <cell r="N201">
            <v>65.00999999999992</v>
          </cell>
          <cell r="O201">
            <v>46.316999999999979</v>
          </cell>
          <cell r="P201">
            <v>219.68699999999981</v>
          </cell>
          <cell r="Q201">
            <v>375.00000000000028</v>
          </cell>
          <cell r="R201">
            <v>148.643</v>
          </cell>
          <cell r="S201">
            <v>78.440999999999988</v>
          </cell>
          <cell r="T201">
            <v>134.56914285714285</v>
          </cell>
          <cell r="U201">
            <v>941.98400000000004</v>
          </cell>
        </row>
        <row r="202">
          <cell r="B202" t="str">
            <v>FQ(1)</v>
          </cell>
          <cell r="C202">
            <v>338.99999999999983</v>
          </cell>
          <cell r="D202">
            <v>106.99999999999997</v>
          </cell>
          <cell r="E202">
            <v>88.000000000000256</v>
          </cell>
          <cell r="F202">
            <v>171.99999999999989</v>
          </cell>
          <cell r="G202">
            <v>15.793999999999976</v>
          </cell>
          <cell r="H202">
            <v>172.77600000000004</v>
          </cell>
          <cell r="I202">
            <v>578.6699999999995</v>
          </cell>
          <cell r="J202">
            <v>210.46285714285705</v>
          </cell>
          <cell r="K202">
            <v>1473.2399999999993</v>
          </cell>
          <cell r="M202">
            <v>45.396999999999963</v>
          </cell>
          <cell r="N202">
            <v>105.68100000000014</v>
          </cell>
          <cell r="O202">
            <v>70.301999999999992</v>
          </cell>
          <cell r="P202">
            <v>223.24699999999987</v>
          </cell>
          <cell r="Q202">
            <v>499.99999999999989</v>
          </cell>
          <cell r="R202">
            <v>58.885000000000019</v>
          </cell>
          <cell r="S202">
            <v>95.76100000000018</v>
          </cell>
          <cell r="T202">
            <v>157.03899999999999</v>
          </cell>
          <cell r="U202">
            <v>1099.2729999999999</v>
          </cell>
        </row>
        <row r="203">
          <cell r="B203" t="str">
            <v>Last Reported Q</v>
          </cell>
          <cell r="C203">
            <v>1917.1194702536768</v>
          </cell>
          <cell r="D203">
            <v>781.47518758588342</v>
          </cell>
          <cell r="E203">
            <v>1586.9995350025417</v>
          </cell>
          <cell r="F203">
            <v>853.57339587430897</v>
          </cell>
          <cell r="G203">
            <v>17.50706678990792</v>
          </cell>
          <cell r="H203">
            <v>781.03306781757033</v>
          </cell>
          <cell r="I203">
            <v>2201.0009309468269</v>
          </cell>
          <cell r="J203">
            <v>1162.6726648958168</v>
          </cell>
          <cell r="K203">
            <v>8138.7086542707166</v>
          </cell>
          <cell r="M203">
            <v>237.83213091594212</v>
          </cell>
          <cell r="N203">
            <v>403.73291383466682</v>
          </cell>
          <cell r="O203">
            <v>325.08544655232197</v>
          </cell>
          <cell r="P203">
            <v>380.83699999999959</v>
          </cell>
          <cell r="Q203">
            <v>2237.9224510405411</v>
          </cell>
          <cell r="R203">
            <v>1023.0921257582751</v>
          </cell>
          <cell r="S203">
            <v>351.1769179604114</v>
          </cell>
          <cell r="T203">
            <v>708.52556943745117</v>
          </cell>
          <cell r="U203">
            <v>4959.6789860621584</v>
          </cell>
        </row>
        <row r="204">
          <cell r="B204" t="str">
            <v>LTM</v>
          </cell>
          <cell r="C204">
            <v>3643.2917986624552</v>
          </cell>
          <cell r="D204">
            <v>2040.2485263565161</v>
          </cell>
          <cell r="E204">
            <v>5284.3343101031896</v>
          </cell>
          <cell r="F204">
            <v>1706.526191413946</v>
          </cell>
          <cell r="G204">
            <v>160.88197181609078</v>
          </cell>
          <cell r="H204">
            <v>1446.3537456975037</v>
          </cell>
          <cell r="I204">
            <v>3755.293062116757</v>
          </cell>
          <cell r="J204">
            <v>2576.7042294523512</v>
          </cell>
          <cell r="K204">
            <v>18036.929606166457</v>
          </cell>
          <cell r="M204">
            <v>676.34837726324224</v>
          </cell>
          <cell r="N204">
            <v>726.79863290245214</v>
          </cell>
          <cell r="O204">
            <v>579.50627913168728</v>
          </cell>
          <cell r="P204">
            <v>1195.8315056032586</v>
          </cell>
          <cell r="Q204">
            <v>3324.8616619452255</v>
          </cell>
          <cell r="R204">
            <v>2730.3149800887913</v>
          </cell>
          <cell r="S204">
            <v>662.80864971036158</v>
          </cell>
          <cell r="T204">
            <v>1413.7814409492883</v>
          </cell>
          <cell r="U204">
            <v>9896.4700866450185</v>
          </cell>
        </row>
        <row r="205">
          <cell r="B205" t="str">
            <v>FQ(1)</v>
          </cell>
          <cell r="C205">
            <v>0.104834471886495</v>
          </cell>
          <cell r="D205">
            <v>1.6993645456715101E-2</v>
          </cell>
          <cell r="E205">
            <v>5.4608830364058898E-2</v>
          </cell>
          <cell r="F205">
            <v>9.6037296037295994E-2</v>
          </cell>
          <cell r="G205">
            <v>-0.120358699367629</v>
          </cell>
          <cell r="H205">
            <v>9.6878046132726006E-2</v>
          </cell>
          <cell r="I205">
            <v>8.8962087216757899E-2</v>
          </cell>
          <cell r="J205">
            <v>4.8279382532345698E-2</v>
          </cell>
          <cell r="K205">
            <v>6.6864824225143879E-2</v>
          </cell>
          <cell r="M205">
            <v>4.4197088790501804E-3</v>
          </cell>
          <cell r="N205">
            <v>0.14350359807513999</v>
          </cell>
          <cell r="O205">
            <v>7.0433822590161704E-2</v>
          </cell>
          <cell r="P205">
            <v>0.26859241099604197</v>
          </cell>
          <cell r="Q205">
            <v>0.115562403697997</v>
          </cell>
          <cell r="R205">
            <v>7.1926004422701903E-2</v>
          </cell>
          <cell r="S205">
            <v>0.17103478651450199</v>
          </cell>
          <cell r="T205">
            <v>0.12078181931079925</v>
          </cell>
          <cell r="U205">
            <v>0.11065320313208579</v>
          </cell>
        </row>
        <row r="206">
          <cell r="B206" t="str">
            <v>Operating Margin</v>
          </cell>
          <cell r="C206">
            <v>8.3683041224388993E-2</v>
          </cell>
          <cell r="D206">
            <v>2.5601796602830601E-2</v>
          </cell>
          <cell r="E206">
            <v>1.6676141747204901E-2</v>
          </cell>
          <cell r="F206">
            <v>9.2077087794432494E-2</v>
          </cell>
          <cell r="G206">
            <v>2.50129071288527E-2</v>
          </cell>
          <cell r="H206">
            <v>9.9060912002999796E-2</v>
          </cell>
          <cell r="I206">
            <v>0.110329067258271</v>
          </cell>
          <cell r="J206">
            <v>6.4634421965568636E-2</v>
          </cell>
          <cell r="K206">
            <v>6.4065296636237681E-2</v>
          </cell>
          <cell r="M206">
            <v>5.2842888890921202E-2</v>
          </cell>
          <cell r="N206">
            <v>0.18611117959699799</v>
          </cell>
          <cell r="O206">
            <v>9.3865910420021306E-2</v>
          </cell>
          <cell r="P206">
            <v>0.32259807451016098</v>
          </cell>
          <cell r="Q206">
            <v>0.139314572304263</v>
          </cell>
          <cell r="R206">
            <v>3.3131912386811499E-2</v>
          </cell>
          <cell r="S206">
            <v>0.18928839691638699</v>
          </cell>
          <cell r="T206">
            <v>0.145307562146509</v>
          </cell>
          <cell r="U206">
            <v>0.17105426560082906</v>
          </cell>
        </row>
        <row r="207">
          <cell r="B207" t="str">
            <v>FY(10)</v>
          </cell>
          <cell r="C207">
            <v>0.10654125948116</v>
          </cell>
          <cell r="D207">
            <v>4.1285515537297798E-2</v>
          </cell>
          <cell r="E207">
            <v>0.107496389425249</v>
          </cell>
          <cell r="F207">
            <v>7.5295932389064305E-2</v>
          </cell>
          <cell r="G207" t="str">
            <v>NA</v>
          </cell>
          <cell r="H207">
            <v>0.11628038475819399</v>
          </cell>
          <cell r="I207">
            <v>0.11088291171594</v>
          </cell>
          <cell r="J207">
            <v>9.2963732217817521E-2</v>
          </cell>
          <cell r="K207">
            <v>5.049133925846503E-2</v>
          </cell>
          <cell r="M207">
            <v>0.24596643615836999</v>
          </cell>
          <cell r="N207" t="str">
            <v>NA</v>
          </cell>
          <cell r="O207">
            <v>0.210576485056506</v>
          </cell>
          <cell r="P207">
            <v>5.21366494610866E-2</v>
          </cell>
          <cell r="Q207" t="str">
            <v>NA</v>
          </cell>
          <cell r="R207">
            <v>0.117169916953809</v>
          </cell>
          <cell r="S207">
            <v>0.141444450374341</v>
          </cell>
          <cell r="T207">
            <v>0.15345878760082252</v>
          </cell>
          <cell r="U207">
            <v>6.7493365584078646E-2</v>
          </cell>
        </row>
        <row r="208">
          <cell r="B208" t="str">
            <v>FY(9)</v>
          </cell>
          <cell r="C208">
            <v>0.11279212932310199</v>
          </cell>
          <cell r="D208">
            <v>2.3743356300318898E-2</v>
          </cell>
          <cell r="E208">
            <v>0.10981540118866499</v>
          </cell>
          <cell r="F208">
            <v>4.8166922190552901E-2</v>
          </cell>
          <cell r="G208" t="str">
            <v>NA</v>
          </cell>
          <cell r="H208">
            <v>0.107708140232083</v>
          </cell>
          <cell r="I208">
            <v>0.105288786242118</v>
          </cell>
          <cell r="J208">
            <v>8.4585789246139964E-2</v>
          </cell>
          <cell r="K208">
            <v>6.6854567253156583E-2</v>
          </cell>
          <cell r="M208">
            <v>0.217006150246222</v>
          </cell>
          <cell r="N208" t="str">
            <v>NA</v>
          </cell>
          <cell r="O208">
            <v>0.15761843759838001</v>
          </cell>
          <cell r="P208">
            <v>0.109057511178796</v>
          </cell>
          <cell r="Q208">
            <v>0.119617483966938</v>
          </cell>
          <cell r="R208">
            <v>0.123628817429827</v>
          </cell>
          <cell r="S208">
            <v>8.2591350307093706E-2</v>
          </cell>
          <cell r="T208">
            <v>0.1349199584545428</v>
          </cell>
          <cell r="U208">
            <v>6.2671835934588374E-2</v>
          </cell>
        </row>
        <row r="209">
          <cell r="B209" t="str">
            <v>FY(8)</v>
          </cell>
          <cell r="C209">
            <v>0.121895261387256</v>
          </cell>
          <cell r="D209">
            <v>4.4840864445951298E-2</v>
          </cell>
          <cell r="E209">
            <v>9.0778166596210699E-2</v>
          </cell>
          <cell r="F209">
            <v>5.1583078684107803E-2</v>
          </cell>
          <cell r="G209" t="str">
            <v>NA</v>
          </cell>
          <cell r="H209">
            <v>0.101016719112437</v>
          </cell>
          <cell r="I209">
            <v>9.7420980097599405E-2</v>
          </cell>
          <cell r="J209">
            <v>8.4589178387260364E-2</v>
          </cell>
          <cell r="K209">
            <v>7.9104256172474144E-2</v>
          </cell>
          <cell r="M209">
            <v>0.21229194801138199</v>
          </cell>
          <cell r="N209" t="str">
            <v>NA</v>
          </cell>
          <cell r="O209">
            <v>0.125354912836943</v>
          </cell>
          <cell r="P209">
            <v>0.18950491213689699</v>
          </cell>
          <cell r="Q209">
            <v>4.3341725905182898E-2</v>
          </cell>
          <cell r="R209">
            <v>0.11469908311959499</v>
          </cell>
          <cell r="S209">
            <v>0.104911281424867</v>
          </cell>
          <cell r="T209">
            <v>0.13168397723914449</v>
          </cell>
          <cell r="U209">
            <v>8.2446112098941496E-2</v>
          </cell>
        </row>
        <row r="210">
          <cell r="B210" t="str">
            <v>FY(7)</v>
          </cell>
          <cell r="C210">
            <v>0.126810245320187</v>
          </cell>
          <cell r="D210">
            <v>5.4764210144329098E-2</v>
          </cell>
          <cell r="E210">
            <v>9.4986444537434697E-2</v>
          </cell>
          <cell r="F210">
            <v>6.1563338351046402E-2</v>
          </cell>
          <cell r="G210" t="str">
            <v>NA</v>
          </cell>
          <cell r="H210">
            <v>0.106063638704699</v>
          </cell>
          <cell r="I210">
            <v>9.5732300713944604E-2</v>
          </cell>
          <cell r="J210">
            <v>8.9986696295273463E-2</v>
          </cell>
          <cell r="K210">
            <v>8.6178097504502726E-2</v>
          </cell>
          <cell r="M210">
            <v>0.21801293290269699</v>
          </cell>
          <cell r="N210">
            <v>0.11287410012405499</v>
          </cell>
          <cell r="O210">
            <v>0.122291365147881</v>
          </cell>
          <cell r="P210">
            <v>0.18437789477477601</v>
          </cell>
          <cell r="Q210">
            <v>8.7338806887471199E-2</v>
          </cell>
          <cell r="R210">
            <v>0.12687120223199699</v>
          </cell>
          <cell r="S210">
            <v>0.13950150466586</v>
          </cell>
          <cell r="T210">
            <v>0.14160968667639101</v>
          </cell>
          <cell r="U210">
            <v>0.11034969363981655</v>
          </cell>
        </row>
        <row r="211">
          <cell r="B211" t="str">
            <v>FY(6)</v>
          </cell>
          <cell r="C211">
            <v>0.108047954277254</v>
          </cell>
          <cell r="D211">
            <v>5.0703380664547999E-2</v>
          </cell>
          <cell r="E211">
            <v>9.5768146292003697E-2</v>
          </cell>
          <cell r="F211">
            <v>8.2535377465315002E-2</v>
          </cell>
          <cell r="G211">
            <v>1.9157145659343199E-2</v>
          </cell>
          <cell r="H211">
            <v>0.107398523189671</v>
          </cell>
          <cell r="I211">
            <v>9.1469523537726499E-2</v>
          </cell>
          <cell r="J211">
            <v>7.929715015512305E-2</v>
          </cell>
          <cell r="K211">
            <v>8.1436451313366839E-2</v>
          </cell>
          <cell r="M211">
            <v>0.216222561525163</v>
          </cell>
          <cell r="N211">
            <v>0.13234334049889099</v>
          </cell>
          <cell r="O211">
            <v>0.110612853320826</v>
          </cell>
          <cell r="P211">
            <v>0.240935051303657</v>
          </cell>
          <cell r="Q211">
            <v>0.13334704983153001</v>
          </cell>
          <cell r="R211">
            <v>0.13269152851048399</v>
          </cell>
          <cell r="S211">
            <v>0.17248405496012101</v>
          </cell>
          <cell r="T211">
            <v>0.16266234856438172</v>
          </cell>
          <cell r="U211">
            <v>0.14076028169944199</v>
          </cell>
        </row>
        <row r="212">
          <cell r="A212">
            <v>2000</v>
          </cell>
          <cell r="B212" t="str">
            <v>FY(5)</v>
          </cell>
          <cell r="C212">
            <v>0.113436039411941</v>
          </cell>
          <cell r="D212">
            <v>7.5338323067859606E-2</v>
          </cell>
          <cell r="E212">
            <v>9.7238331901303696E-2</v>
          </cell>
          <cell r="F212">
            <v>0.109355106748422</v>
          </cell>
          <cell r="G212">
            <v>2.0287941822930301E-2</v>
          </cell>
          <cell r="H212">
            <v>7.93352332713676E-2</v>
          </cell>
          <cell r="I212">
            <v>8.7280861632871007E-2</v>
          </cell>
          <cell r="J212">
            <v>8.3181691122385035E-2</v>
          </cell>
          <cell r="K212">
            <v>8.9764950782320344E-2</v>
          </cell>
          <cell r="M212">
            <v>0.21242279879459999</v>
          </cell>
          <cell r="N212">
            <v>0.157604196782929</v>
          </cell>
          <cell r="O212">
            <v>0.21516424576365001</v>
          </cell>
          <cell r="P212">
            <v>0.31275101536816402</v>
          </cell>
          <cell r="Q212">
            <v>0.14017275860425901</v>
          </cell>
          <cell r="R212">
            <v>0.130761541438074</v>
          </cell>
          <cell r="S212">
            <v>0.19996045509637</v>
          </cell>
          <cell r="T212">
            <v>0.19554814454972089</v>
          </cell>
          <cell r="U212">
            <v>0.1550136456617576</v>
          </cell>
        </row>
        <row r="213">
          <cell r="A213">
            <v>2001</v>
          </cell>
          <cell r="B213" t="str">
            <v>FY(4)</v>
          </cell>
          <cell r="C213">
            <v>0.11680454107743</v>
          </cell>
          <cell r="D213">
            <v>9.2580669964256401E-2</v>
          </cell>
          <cell r="E213">
            <v>9.8942955410141198E-2</v>
          </cell>
          <cell r="F213">
            <v>0.124428348678587</v>
          </cell>
          <cell r="G213">
            <v>-9.4592348837632401E-3</v>
          </cell>
          <cell r="H213">
            <v>7.4757144563204897E-2</v>
          </cell>
          <cell r="I213">
            <v>8.2794827188631001E-2</v>
          </cell>
          <cell r="J213">
            <v>8.2978464571212468E-2</v>
          </cell>
          <cell r="K213">
            <v>9.473580456857901E-2</v>
          </cell>
          <cell r="M213">
            <v>0.233039181555631</v>
          </cell>
          <cell r="N213">
            <v>0.12361319562772401</v>
          </cell>
          <cell r="O213">
            <v>0.21547722725271901</v>
          </cell>
          <cell r="P213">
            <v>0.34780410902167203</v>
          </cell>
          <cell r="Q213">
            <v>0.117230758230149</v>
          </cell>
          <cell r="R213">
            <v>0.110869032060765</v>
          </cell>
          <cell r="S213">
            <v>0.20075437737826199</v>
          </cell>
          <cell r="T213">
            <v>0.19268398301813172</v>
          </cell>
          <cell r="U213">
            <v>0.14507144530249649</v>
          </cell>
        </row>
        <row r="214">
          <cell r="A214">
            <v>2002</v>
          </cell>
          <cell r="B214" t="str">
            <v>FY(3)</v>
          </cell>
          <cell r="C214">
            <v>0.12748457342528999</v>
          </cell>
          <cell r="D214">
            <v>0.10128323800949</v>
          </cell>
          <cell r="E214">
            <v>8.8825981202501902E-2</v>
          </cell>
          <cell r="F214">
            <v>0.13791227926454799</v>
          </cell>
          <cell r="G214">
            <v>3.6049113618738297E-2</v>
          </cell>
          <cell r="H214">
            <v>7.69283673526137E-2</v>
          </cell>
          <cell r="I214">
            <v>8.8027676105148195E-2</v>
          </cell>
          <cell r="J214">
            <v>9.3787318425475719E-2</v>
          </cell>
          <cell r="K214">
            <v>9.9506720199405665E-2</v>
          </cell>
          <cell r="M214">
            <v>0.22874091659773901</v>
          </cell>
          <cell r="N214">
            <v>0.123373610873832</v>
          </cell>
          <cell r="O214">
            <v>0.22342683138276001</v>
          </cell>
          <cell r="P214">
            <v>0.366717574168407</v>
          </cell>
          <cell r="Q214">
            <v>9.1135756537482807E-2</v>
          </cell>
          <cell r="R214">
            <v>0.119039877708797</v>
          </cell>
          <cell r="S214">
            <v>0.148900082034472</v>
          </cell>
          <cell r="T214">
            <v>0.18590494990049855</v>
          </cell>
          <cell r="U214">
            <v>0.13924057343994925</v>
          </cell>
        </row>
        <row r="215">
          <cell r="B215" t="str">
            <v>FY(2)</v>
          </cell>
          <cell r="C215">
            <v>0.120229101082013</v>
          </cell>
          <cell r="D215">
            <v>9.9917945317377396E-2</v>
          </cell>
          <cell r="E215">
            <v>8.3712371899757707E-2</v>
          </cell>
          <cell r="F215">
            <v>0.141168769910963</v>
          </cell>
          <cell r="G215">
            <v>5.3241220488638302E-2</v>
          </cell>
          <cell r="H215">
            <v>8.0680084886619E-2</v>
          </cell>
          <cell r="I215">
            <v>9.1177143561056995E-2</v>
          </cell>
          <cell r="J215">
            <v>9.5732376735203628E-2</v>
          </cell>
          <cell r="K215">
            <v>9.8350353610200822E-2</v>
          </cell>
          <cell r="M215">
            <v>0.22387977475239201</v>
          </cell>
          <cell r="N215">
            <v>0.13601620812028201</v>
          </cell>
          <cell r="O215">
            <v>0.20548696511230499</v>
          </cell>
          <cell r="P215">
            <v>0.39231026600996199</v>
          </cell>
          <cell r="Q215">
            <v>0.104332844583176</v>
          </cell>
          <cell r="R215">
            <v>0.10592190179769</v>
          </cell>
          <cell r="S215">
            <v>0.16927882985729301</v>
          </cell>
          <cell r="T215">
            <v>0.19103239860472856</v>
          </cell>
          <cell r="U215">
            <v>0.14786943414630094</v>
          </cell>
        </row>
        <row r="216">
          <cell r="B216" t="str">
            <v>FY(1)</v>
          </cell>
          <cell r="C216">
            <v>0.10404515414710699</v>
          </cell>
          <cell r="D216">
            <v>6.6687112181850305E-2</v>
          </cell>
          <cell r="E216">
            <v>6.2422589015533297E-2</v>
          </cell>
          <cell r="F216">
            <v>9.6331183538582305E-2</v>
          </cell>
          <cell r="G216">
            <v>-2.5775567746272501E-2</v>
          </cell>
          <cell r="H216">
            <v>8.4987217699881004E-2</v>
          </cell>
          <cell r="I216">
            <v>8.8731668016932094E-2</v>
          </cell>
          <cell r="J216">
            <v>6.8204193836230512E-2</v>
          </cell>
          <cell r="K216">
            <v>7.7130352208892403E-2</v>
          </cell>
          <cell r="M216">
            <v>0.162174892436177</v>
          </cell>
          <cell r="N216">
            <v>0.143185850472235</v>
          </cell>
          <cell r="O216">
            <v>0.11845502634267201</v>
          </cell>
          <cell r="P216">
            <v>0.380938063408366</v>
          </cell>
          <cell r="Q216">
            <v>0.13225723833184999</v>
          </cell>
          <cell r="R216">
            <v>9.2321754071047202E-2</v>
          </cell>
          <cell r="S216">
            <v>0.17103981252296999</v>
          </cell>
          <cell r="T216">
            <v>0.17148180536933103</v>
          </cell>
          <cell r="U216">
            <v>0.14808207163736606</v>
          </cell>
        </row>
        <row r="217">
          <cell r="B217" t="str">
            <v>FY0</v>
          </cell>
          <cell r="C217">
            <v>0.11160967981915799</v>
          </cell>
          <cell r="D217">
            <v>4.4509531460659599E-2</v>
          </cell>
          <cell r="E217">
            <v>6.7563520584211403E-2</v>
          </cell>
          <cell r="F217">
            <v>0.10336321093174</v>
          </cell>
          <cell r="G217">
            <v>6.6675553621336403E-3</v>
          </cell>
          <cell r="H217">
            <v>0.108715188123956</v>
          </cell>
          <cell r="I217">
            <v>0.10848544772318799</v>
          </cell>
          <cell r="J217">
            <v>7.8702019143578092E-2</v>
          </cell>
          <cell r="K217">
            <v>8.426922330633202E-2</v>
          </cell>
          <cell r="M217">
            <v>8.1209485992895E-2</v>
          </cell>
          <cell r="N217">
            <v>0.18103762550851499</v>
          </cell>
          <cell r="O217">
            <v>0.108703943060901</v>
          </cell>
          <cell r="P217">
            <v>0.32259807451016098</v>
          </cell>
          <cell r="Q217">
            <v>0.15763347545541601</v>
          </cell>
          <cell r="R217">
            <v>0.11851581812115999</v>
          </cell>
          <cell r="S217">
            <v>0.181223139443348</v>
          </cell>
          <cell r="T217">
            <v>0.16441736601319942</v>
          </cell>
          <cell r="U217">
            <v>0.15550303001779184</v>
          </cell>
        </row>
        <row r="218">
          <cell r="B218" t="str">
            <v>FY1</v>
          </cell>
          <cell r="C218">
            <v>0.12173197357092</v>
          </cell>
          <cell r="D218">
            <v>5.3357941063620601E-2</v>
          </cell>
          <cell r="E218">
            <v>7.6743634084078194E-2</v>
          </cell>
          <cell r="F218">
            <v>0.122034884477426</v>
          </cell>
          <cell r="G218">
            <v>2.6852759782130899E-2</v>
          </cell>
          <cell r="H218">
            <v>0.11615520703313</v>
          </cell>
          <cell r="I218">
            <v>0.11378526708237</v>
          </cell>
          <cell r="J218">
            <v>9.0094523870525106E-2</v>
          </cell>
          <cell r="K218">
            <v>9.4406529570118233E-2</v>
          </cell>
          <cell r="M218">
            <v>0.110449951715234</v>
          </cell>
          <cell r="N218">
            <v>0.17961474625858101</v>
          </cell>
          <cell r="O218">
            <v>0.151070371712476</v>
          </cell>
          <cell r="P218">
            <v>0.32594096856426003</v>
          </cell>
          <cell r="Q218">
            <v>0.15858628173175399</v>
          </cell>
          <cell r="R218">
            <v>0.13062810165174399</v>
          </cell>
          <cell r="S218">
            <v>0.195799470399631</v>
          </cell>
          <cell r="T218">
            <v>0.17886998457624004</v>
          </cell>
          <cell r="U218">
            <v>0.16625746057347451</v>
          </cell>
        </row>
        <row r="219">
          <cell r="B219" t="str">
            <v>FY2</v>
          </cell>
          <cell r="C219">
            <v>0.12631522029067799</v>
          </cell>
          <cell r="D219">
            <v>5.5975618834963901E-2</v>
          </cell>
          <cell r="E219">
            <v>7.8689982782334703E-2</v>
          </cell>
          <cell r="F219">
            <v>0.12637649445693799</v>
          </cell>
          <cell r="G219">
            <v>4.1867140413833298E-2</v>
          </cell>
          <cell r="H219">
            <v>0.12018114538755401</v>
          </cell>
          <cell r="I219">
            <v>0.111585418352566</v>
          </cell>
          <cell r="J219">
            <v>9.442728864555254E-2</v>
          </cell>
          <cell r="K219">
            <v>9.7307209378827392E-2</v>
          </cell>
          <cell r="M219">
            <v>0.12975727102665899</v>
          </cell>
          <cell r="N219">
            <v>0.156953262694106</v>
          </cell>
          <cell r="O219">
            <v>0.162948127561127</v>
          </cell>
          <cell r="P219">
            <v>0.32595194677751899</v>
          </cell>
          <cell r="Q219">
            <v>0.16028707682665699</v>
          </cell>
          <cell r="R219">
            <v>0.13357706976761999</v>
          </cell>
          <cell r="S219">
            <v>0.202178908336487</v>
          </cell>
          <cell r="T219">
            <v>0.18166480899859641</v>
          </cell>
          <cell r="U219">
            <v>0.16975468068720617</v>
          </cell>
        </row>
        <row r="220">
          <cell r="B220" t="str">
            <v>FQ(3)</v>
          </cell>
          <cell r="C220">
            <v>6.8993952721275398E-2</v>
          </cell>
          <cell r="D220">
            <v>2.72883950195312E-2</v>
          </cell>
          <cell r="E220">
            <v>4.6162723600692403E-3</v>
          </cell>
          <cell r="F220">
            <v>8.5580304806565102E-2</v>
          </cell>
          <cell r="G220">
            <v>3.82605840332482E-3</v>
          </cell>
          <cell r="H220">
            <v>8.9181892398848703E-2</v>
          </cell>
          <cell r="I220">
            <v>7.9421958998893996E-2</v>
          </cell>
          <cell r="J220">
            <v>5.1272690672644061E-2</v>
          </cell>
          <cell r="K220">
            <v>4.864096455229492E-2</v>
          </cell>
          <cell r="M220">
            <v>-5.6302754229894197E-2</v>
          </cell>
          <cell r="N220">
            <v>0.137599749034371</v>
          </cell>
          <cell r="O220">
            <v>4.4694444444444398E-2</v>
          </cell>
          <cell r="P220">
            <v>0.26859241099604197</v>
          </cell>
          <cell r="Q220">
            <v>0.11288775183882301</v>
          </cell>
          <cell r="R220">
            <v>3.7798864735685597E-2</v>
          </cell>
          <cell r="S220">
            <v>0.119855715755881</v>
          </cell>
          <cell r="T220">
            <v>9.5018026082193244E-2</v>
          </cell>
          <cell r="U220">
            <v>9.3790997831873113E-2</v>
          </cell>
        </row>
        <row r="221">
          <cell r="B221" t="str">
            <v>FQ(2)</v>
          </cell>
          <cell r="C221">
            <v>0.104834471886495</v>
          </cell>
          <cell r="D221">
            <v>1.6993645456715101E-2</v>
          </cell>
          <cell r="E221">
            <v>5.4608830364058898E-2</v>
          </cell>
          <cell r="F221">
            <v>9.6037296037295994E-2</v>
          </cell>
          <cell r="G221">
            <v>-0.120358699367629</v>
          </cell>
          <cell r="H221">
            <v>9.6878046132726006E-2</v>
          </cell>
          <cell r="I221">
            <v>8.8962087216757899E-2</v>
          </cell>
          <cell r="J221">
            <v>4.8279382532345698E-2</v>
          </cell>
          <cell r="K221">
            <v>6.6864824225143879E-2</v>
          </cell>
          <cell r="M221">
            <v>1.39449264854736E-2</v>
          </cell>
          <cell r="N221">
            <v>0.14350359807513999</v>
          </cell>
          <cell r="O221">
            <v>7.0433822590161704E-2</v>
          </cell>
          <cell r="P221">
            <v>0.28246698142319299</v>
          </cell>
          <cell r="Q221">
            <v>0.115562403697997</v>
          </cell>
          <cell r="R221">
            <v>7.1926004422701903E-2</v>
          </cell>
          <cell r="S221">
            <v>0.17103478651450199</v>
          </cell>
          <cell r="T221">
            <v>0.12412464617273845</v>
          </cell>
          <cell r="U221">
            <v>0.1135492742908866</v>
          </cell>
        </row>
        <row r="222">
          <cell r="B222" t="str">
            <v>FQ(1)</v>
          </cell>
          <cell r="C222">
            <v>8.3683041224388993E-2</v>
          </cell>
          <cell r="D222">
            <v>2.5595672348649401E-2</v>
          </cell>
          <cell r="E222">
            <v>1.6676141747204901E-2</v>
          </cell>
          <cell r="F222">
            <v>9.2077087794432494E-2</v>
          </cell>
          <cell r="G222">
            <v>2.50129071288527E-2</v>
          </cell>
          <cell r="H222">
            <v>9.9060912002999796E-2</v>
          </cell>
          <cell r="I222">
            <v>0.110329067258271</v>
          </cell>
          <cell r="J222">
            <v>6.4633547072114189E-2</v>
          </cell>
          <cell r="K222">
            <v>6.4062510814675261E-2</v>
          </cell>
          <cell r="M222">
            <v>6.0233466545661002E-2</v>
          </cell>
          <cell r="N222">
            <v>0.18611117959699799</v>
          </cell>
          <cell r="O222">
            <v>9.3865910420021306E-2</v>
          </cell>
          <cell r="P222">
            <v>0.29319168887248698</v>
          </cell>
          <cell r="Q222">
            <v>0.139314572304263</v>
          </cell>
          <cell r="R222">
            <v>3.3131912386811499E-2</v>
          </cell>
          <cell r="S222">
            <v>0.18928839691638699</v>
          </cell>
          <cell r="T222">
            <v>0.14216244672037553</v>
          </cell>
          <cell r="U222">
            <v>0.1262935483183491</v>
          </cell>
        </row>
        <row r="223">
          <cell r="B223" t="str">
            <v>Last Reported Q</v>
          </cell>
          <cell r="C223">
            <v>0.11160967981915799</v>
          </cell>
          <cell r="D223">
            <v>4.4509531460659599E-2</v>
          </cell>
          <cell r="E223">
            <v>6.7563520584211403E-2</v>
          </cell>
          <cell r="F223">
            <v>0.10336321093174</v>
          </cell>
          <cell r="G223">
            <v>6.6675553621336403E-3</v>
          </cell>
          <cell r="H223">
            <v>0.108715188123956</v>
          </cell>
          <cell r="I223">
            <v>0.10848544772318799</v>
          </cell>
          <cell r="J223">
            <v>7.8702019143578092E-2</v>
          </cell>
          <cell r="K223">
            <v>8.426922330633202E-2</v>
          </cell>
          <cell r="M223">
            <v>8.1209485992895E-2</v>
          </cell>
          <cell r="N223">
            <v>0.18103762550851499</v>
          </cell>
          <cell r="O223">
            <v>0.108703943060901</v>
          </cell>
          <cell r="P223">
            <v>0.35759174839554703</v>
          </cell>
          <cell r="Q223">
            <v>0.15763347545541601</v>
          </cell>
          <cell r="R223">
            <v>0.11851581812115999</v>
          </cell>
          <cell r="S223">
            <v>0.181223139443348</v>
          </cell>
          <cell r="T223">
            <v>0.16941646228254031</v>
          </cell>
          <cell r="U223">
            <v>0.14595170595884957</v>
          </cell>
        </row>
        <row r="224">
          <cell r="A224" t="str">
            <v>mscalc:ebitdaAsif</v>
          </cell>
          <cell r="B224" t="str">
            <v>LTM</v>
          </cell>
          <cell r="C224">
            <v>0.127067933826118</v>
          </cell>
          <cell r="D224">
            <v>6.9009009009008998E-2</v>
          </cell>
          <cell r="E224">
            <v>0.135049050834501</v>
          </cell>
          <cell r="F224">
            <v>0.12209531311540001</v>
          </cell>
          <cell r="G224">
            <v>3.6233813295468799E-2</v>
          </cell>
          <cell r="H224">
            <v>0.116748887156986</v>
          </cell>
          <cell r="I224">
            <v>0.108424358765925</v>
          </cell>
          <cell r="J224">
            <v>0.1020897665719154</v>
          </cell>
          <cell r="K224">
            <v>0.1107873274572532</v>
          </cell>
          <cell r="M224">
            <v>0.13743401378859399</v>
          </cell>
          <cell r="N224">
            <v>0.198633838519364</v>
          </cell>
          <cell r="O224">
            <v>0.115690329218107</v>
          </cell>
          <cell r="P224">
            <v>0.35759174839554703</v>
          </cell>
          <cell r="Q224">
            <v>0.137629839471199</v>
          </cell>
          <cell r="R224">
            <v>0.192253052164262</v>
          </cell>
          <cell r="S224">
            <v>0.20163706280278601</v>
          </cell>
          <cell r="T224">
            <v>0.19155284062283701</v>
          </cell>
          <cell r="U224">
            <v>0.16893854407472564</v>
          </cell>
        </row>
        <row r="225">
          <cell r="B225" t="str">
            <v>FY(2)</v>
          </cell>
          <cell r="C225">
            <v>2202.471</v>
          </cell>
          <cell r="D225">
            <v>2295</v>
          </cell>
          <cell r="E225">
            <v>3489</v>
          </cell>
          <cell r="F225">
            <v>1432.931</v>
          </cell>
          <cell r="G225">
            <v>194.42413565663199</v>
          </cell>
          <cell r="H225">
            <v>497.78500000000003</v>
          </cell>
          <cell r="I225">
            <v>1627.4839999999999</v>
          </cell>
          <cell r="J225">
            <v>1677.0135908080904</v>
          </cell>
          <cell r="K225">
            <v>11739.095135656633</v>
          </cell>
          <cell r="M225">
            <v>804.245</v>
          </cell>
          <cell r="N225">
            <v>188.31</v>
          </cell>
          <cell r="O225">
            <v>674.822</v>
          </cell>
          <cell r="P225">
            <v>1074.2840000000001</v>
          </cell>
          <cell r="Q225">
            <v>1710</v>
          </cell>
          <cell r="R225">
            <v>1492.085</v>
          </cell>
          <cell r="S225">
            <v>219.702</v>
          </cell>
          <cell r="T225">
            <v>880.49257142857152</v>
          </cell>
          <cell r="U225">
            <v>6163.4480000000003</v>
          </cell>
        </row>
        <row r="226">
          <cell r="B226" t="str">
            <v>Operating Margin Y/Y bps</v>
          </cell>
          <cell r="C226">
            <v>2256.6999999999998</v>
          </cell>
          <cell r="D226">
            <v>2308</v>
          </cell>
          <cell r="E226">
            <v>3355</v>
          </cell>
          <cell r="F226">
            <v>1481.8019999999999</v>
          </cell>
          <cell r="G226">
            <v>270.53497730279503</v>
          </cell>
          <cell r="H226">
            <v>541.79</v>
          </cell>
          <cell r="I226">
            <v>1827.10628618338</v>
          </cell>
          <cell r="J226">
            <v>1720.1333233551682</v>
          </cell>
          <cell r="K226">
            <v>12040.933263486177</v>
          </cell>
          <cell r="M226">
            <v>924.21299999999997</v>
          </cell>
          <cell r="N226">
            <v>236.45400000000001</v>
          </cell>
          <cell r="O226">
            <v>707.95799999999997</v>
          </cell>
          <cell r="P226">
            <v>1279.933</v>
          </cell>
          <cell r="Q226">
            <v>1896</v>
          </cell>
          <cell r="R226">
            <v>1213.1210000000001</v>
          </cell>
          <cell r="S226">
            <v>294.96199999999999</v>
          </cell>
          <cell r="T226">
            <v>936.09157142857134</v>
          </cell>
          <cell r="U226">
            <v>6552.6409999999996</v>
          </cell>
        </row>
        <row r="227">
          <cell r="B227" t="str">
            <v>FY(10)</v>
          </cell>
          <cell r="C227">
            <v>2077.9659999999999</v>
          </cell>
          <cell r="D227">
            <v>1597.80967741935</v>
          </cell>
          <cell r="E227">
            <v>2676</v>
          </cell>
          <cell r="F227">
            <v>1081.5509999999999</v>
          </cell>
          <cell r="G227">
            <v>20.883918009447999</v>
          </cell>
          <cell r="H227">
            <v>632.69015938101995</v>
          </cell>
          <cell r="I227">
            <v>1836.4380000000001</v>
          </cell>
          <cell r="J227">
            <v>1417.6198221156883</v>
          </cell>
          <cell r="K227">
            <v>9923.3387548098181</v>
          </cell>
          <cell r="M227">
            <v>696.773345376066</v>
          </cell>
          <cell r="N227">
            <v>294.072</v>
          </cell>
          <cell r="O227">
            <v>440.01</v>
          </cell>
          <cell r="P227">
            <v>1123.2919999999999</v>
          </cell>
          <cell r="Q227">
            <v>2116</v>
          </cell>
          <cell r="R227">
            <v>1060.547</v>
          </cell>
          <cell r="S227">
            <v>381.38400000000001</v>
          </cell>
          <cell r="T227">
            <v>873.15404933943807</v>
          </cell>
          <cell r="U227">
            <v>6112.0783453760669</v>
          </cell>
        </row>
        <row r="228">
          <cell r="B228" t="str">
            <v>FY(9)</v>
          </cell>
          <cell r="C228">
            <v>62.508698419419943</v>
          </cell>
          <cell r="D228">
            <v>1147.6229306386499</v>
          </cell>
          <cell r="E228">
            <v>23.190117634159929</v>
          </cell>
          <cell r="F228">
            <v>1067.8591081142599</v>
          </cell>
          <cell r="G228">
            <v>80.279486002775201</v>
          </cell>
          <cell r="H228">
            <v>-85.722445261109954</v>
          </cell>
          <cell r="I228">
            <v>-55.94125473822001</v>
          </cell>
          <cell r="J228">
            <v>-13.991220986437522</v>
          </cell>
          <cell r="K228">
            <v>163.63227994691553</v>
          </cell>
          <cell r="M228">
            <v>-289.60285912147998</v>
          </cell>
          <cell r="N228">
            <v>413.98299847029898</v>
          </cell>
          <cell r="O228">
            <v>-529.58047458125986</v>
          </cell>
          <cell r="P228">
            <v>569.20861717709397</v>
          </cell>
          <cell r="Q228">
            <v>2316.3087515114398</v>
          </cell>
          <cell r="R228">
            <v>64.589004760179918</v>
          </cell>
          <cell r="S228">
            <v>-588.53100067247294</v>
          </cell>
          <cell r="T228">
            <v>-154.78334248758779</v>
          </cell>
          <cell r="U228">
            <v>-48.215296494902724</v>
          </cell>
        </row>
        <row r="229">
          <cell r="A229">
            <v>2000</v>
          </cell>
          <cell r="B229" t="str">
            <v>FY(8)</v>
          </cell>
          <cell r="C229">
            <v>91.03132064154002</v>
          </cell>
          <cell r="D229">
            <v>210.97508145632401</v>
          </cell>
          <cell r="E229">
            <v>-190.37234592454294</v>
          </cell>
          <cell r="F229">
            <v>34.161564935549016</v>
          </cell>
          <cell r="G229">
            <v>120.232444262407</v>
          </cell>
          <cell r="H229">
            <v>-66.914211196460045</v>
          </cell>
          <cell r="I229">
            <v>-78.678061445185961</v>
          </cell>
          <cell r="J229">
            <v>3.3891411204012435E-2</v>
          </cell>
          <cell r="K229">
            <v>122.49688919317562</v>
          </cell>
          <cell r="M229">
            <v>-47.14202234840009</v>
          </cell>
          <cell r="N229">
            <v>424.20883851481801</v>
          </cell>
          <cell r="O229">
            <v>-322.63524761437014</v>
          </cell>
          <cell r="P229">
            <v>804.47400958100991</v>
          </cell>
          <cell r="Q229">
            <v>2331.5571745024199</v>
          </cell>
          <cell r="R229">
            <v>-89.297343102320013</v>
          </cell>
          <cell r="S229">
            <v>223.19931117773291</v>
          </cell>
          <cell r="T229">
            <v>113.71974153873052</v>
          </cell>
          <cell r="U229">
            <v>197.74276164353122</v>
          </cell>
        </row>
        <row r="230">
          <cell r="A230">
            <v>2001</v>
          </cell>
          <cell r="B230" t="str">
            <v>FY(7)</v>
          </cell>
          <cell r="C230">
            <v>49.149839329310083</v>
          </cell>
          <cell r="D230">
            <v>99.233456983777998</v>
          </cell>
          <cell r="E230">
            <v>42.082779412239979</v>
          </cell>
          <cell r="F230">
            <v>99.802596669385991</v>
          </cell>
          <cell r="G230">
            <v>-65.959999999999994</v>
          </cell>
          <cell r="H230">
            <v>50.469195922620003</v>
          </cell>
          <cell r="I230">
            <v>-16.886793836548009</v>
          </cell>
          <cell r="J230">
            <v>53.975179080130999</v>
          </cell>
          <cell r="K230">
            <v>70.738413320285829</v>
          </cell>
          <cell r="M230">
            <v>57.209848913150061</v>
          </cell>
          <cell r="N230">
            <v>128.65899999999999</v>
          </cell>
          <cell r="O230">
            <v>-30.635476890620016</v>
          </cell>
          <cell r="P230">
            <v>-51.270173621209835</v>
          </cell>
          <cell r="Q230">
            <v>439.97080982288298</v>
          </cell>
          <cell r="R230">
            <v>121.72119112402</v>
          </cell>
          <cell r="S230">
            <v>345.90223240993009</v>
          </cell>
          <cell r="T230">
            <v>147.14973862635887</v>
          </cell>
          <cell r="U230">
            <v>279.03581540875052</v>
          </cell>
        </row>
        <row r="231">
          <cell r="A231">
            <v>2002</v>
          </cell>
          <cell r="B231" t="str">
            <v>FY(6)</v>
          </cell>
          <cell r="C231">
            <v>-187.62291042933003</v>
          </cell>
          <cell r="D231">
            <v>-40.608294797810984</v>
          </cell>
          <cell r="E231">
            <v>7.8170175456900024</v>
          </cell>
          <cell r="F231">
            <v>209.720391142686</v>
          </cell>
          <cell r="G231">
            <v>35.716999999999999</v>
          </cell>
          <cell r="H231">
            <v>13.348844849720015</v>
          </cell>
          <cell r="I231">
            <v>-42.627771762181048</v>
          </cell>
          <cell r="J231">
            <v>-6.6621205752043409</v>
          </cell>
          <cell r="K231">
            <v>-47.416461911358873</v>
          </cell>
          <cell r="M231">
            <v>-17.903713775339892</v>
          </cell>
          <cell r="N231">
            <v>67.896000000000001</v>
          </cell>
          <cell r="O231">
            <v>-116.78511827054996</v>
          </cell>
          <cell r="P231">
            <v>565.57156528880989</v>
          </cell>
          <cell r="Q231">
            <v>460.0824294405881</v>
          </cell>
          <cell r="R231">
            <v>58.203262784869978</v>
          </cell>
          <cell r="S231">
            <v>329.82550294261006</v>
          </cell>
          <cell r="T231">
            <v>213.16565473516471</v>
          </cell>
          <cell r="U231">
            <v>304.10588059625445</v>
          </cell>
        </row>
        <row r="232">
          <cell r="B232" t="str">
            <v>FY(5)</v>
          </cell>
          <cell r="C232">
            <v>53.880851346869981</v>
          </cell>
          <cell r="D232">
            <v>246.34942403311607</v>
          </cell>
          <cell r="E232">
            <v>14.701856092999982</v>
          </cell>
          <cell r="F232">
            <v>268.19729283106994</v>
          </cell>
          <cell r="G232">
            <v>-31.690999999999999</v>
          </cell>
          <cell r="H232">
            <v>-280.63289918303394</v>
          </cell>
          <cell r="I232">
            <v>-41.886619048554927</v>
          </cell>
          <cell r="J232">
            <v>43.434984345411188</v>
          </cell>
          <cell r="K232">
            <v>83.28499468953504</v>
          </cell>
          <cell r="M232">
            <v>-37.997627305630111</v>
          </cell>
          <cell r="N232">
            <v>252.60856284038013</v>
          </cell>
          <cell r="O232">
            <v>1045.51392442824</v>
          </cell>
          <cell r="P232">
            <v>718.15964064507023</v>
          </cell>
          <cell r="Q232">
            <v>68.257087727290056</v>
          </cell>
          <cell r="R232">
            <v>-19.29987072409989</v>
          </cell>
          <cell r="S232">
            <v>274.76400136248998</v>
          </cell>
          <cell r="T232">
            <v>328.85795985339149</v>
          </cell>
          <cell r="U232">
            <v>142.53363962315606</v>
          </cell>
        </row>
        <row r="233">
          <cell r="B233" t="str">
            <v>FY(4)</v>
          </cell>
          <cell r="C233">
            <v>33.68501665489007</v>
          </cell>
          <cell r="D233">
            <v>172.42346896396796</v>
          </cell>
          <cell r="E233">
            <v>17.046235088375024</v>
          </cell>
          <cell r="F233">
            <v>150.73241930165003</v>
          </cell>
          <cell r="G233">
            <v>-297.4717670669354</v>
          </cell>
          <cell r="H233">
            <v>-45.780887081627029</v>
          </cell>
          <cell r="I233">
            <v>-44.860344442400056</v>
          </cell>
          <cell r="J233">
            <v>-2.0322655117256292</v>
          </cell>
          <cell r="K233">
            <v>49.708537862586667</v>
          </cell>
          <cell r="M233">
            <v>206.16382761031005</v>
          </cell>
          <cell r="N233">
            <v>-339.91001155204992</v>
          </cell>
          <cell r="O233">
            <v>3.1298148906899748</v>
          </cell>
          <cell r="P233">
            <v>350.53093653508006</v>
          </cell>
          <cell r="Q233">
            <v>-229.42000374110012</v>
          </cell>
          <cell r="R233">
            <v>-198.92509377309005</v>
          </cell>
          <cell r="S233">
            <v>7.9392228189198448</v>
          </cell>
          <cell r="T233">
            <v>-28.64161531589145</v>
          </cell>
          <cell r="U233">
            <v>-99.422003592611048</v>
          </cell>
        </row>
        <row r="234">
          <cell r="B234" t="str">
            <v>FY(3)</v>
          </cell>
          <cell r="C234">
            <v>106.80032347859984</v>
          </cell>
          <cell r="D234">
            <v>87.025680452336019</v>
          </cell>
          <cell r="E234">
            <v>-101.16974207639295</v>
          </cell>
          <cell r="F234">
            <v>134.83930585960994</v>
          </cell>
          <cell r="G234">
            <v>455.08348502501536</v>
          </cell>
          <cell r="H234">
            <v>21.712227894088027</v>
          </cell>
          <cell r="I234">
            <v>52.328489165171938</v>
          </cell>
          <cell r="J234">
            <v>108.08853854263261</v>
          </cell>
          <cell r="K234">
            <v>47.709156308266557</v>
          </cell>
          <cell r="M234">
            <v>-42.98264957891984</v>
          </cell>
          <cell r="N234">
            <v>-2.3958475389200542</v>
          </cell>
          <cell r="O234">
            <v>79.496041300410042</v>
          </cell>
          <cell r="P234">
            <v>189.13465146734976</v>
          </cell>
          <cell r="Q234">
            <v>-260.95001692666193</v>
          </cell>
          <cell r="R234">
            <v>81.708456480319995</v>
          </cell>
          <cell r="S234">
            <v>-518.54295343789988</v>
          </cell>
          <cell r="T234">
            <v>-67.790331176331705</v>
          </cell>
          <cell r="U234">
            <v>-58.30871862547243</v>
          </cell>
        </row>
        <row r="235">
          <cell r="B235" t="str">
            <v>FY(2)</v>
          </cell>
          <cell r="C235">
            <v>-72.55472343276989</v>
          </cell>
          <cell r="D235">
            <v>-13.652926921126074</v>
          </cell>
          <cell r="E235">
            <v>-51.136093027441959</v>
          </cell>
          <cell r="F235">
            <v>32.564906464150056</v>
          </cell>
          <cell r="G235">
            <v>171.92106869900005</v>
          </cell>
          <cell r="H235">
            <v>37.517175340053001</v>
          </cell>
          <cell r="I235">
            <v>31.494674559087997</v>
          </cell>
          <cell r="J235">
            <v>19.450583097279029</v>
          </cell>
          <cell r="K235">
            <v>-11.563665892048435</v>
          </cell>
          <cell r="M235">
            <v>-48.611418453470002</v>
          </cell>
          <cell r="N235">
            <v>126.42597246450005</v>
          </cell>
          <cell r="O235">
            <v>-179.39866270455019</v>
          </cell>
          <cell r="P235">
            <v>255.92691841554992</v>
          </cell>
          <cell r="Q235">
            <v>131.97088045693195</v>
          </cell>
          <cell r="R235">
            <v>-131.17975911106998</v>
          </cell>
          <cell r="S235">
            <v>203.78747822821009</v>
          </cell>
          <cell r="T235">
            <v>51.274487042300265</v>
          </cell>
          <cell r="U235">
            <v>86.288607063516878</v>
          </cell>
        </row>
        <row r="236">
          <cell r="B236" t="str">
            <v>FY(1)</v>
          </cell>
          <cell r="C236">
            <v>-161.83946934906004</v>
          </cell>
          <cell r="D236">
            <v>-332.30833135527092</v>
          </cell>
          <cell r="E236">
            <v>-212.89782884224408</v>
          </cell>
          <cell r="F236">
            <v>-448.37586372380696</v>
          </cell>
          <cell r="G236">
            <v>-790.16788234910803</v>
          </cell>
          <cell r="H236">
            <v>43.071328132620046</v>
          </cell>
          <cell r="I236">
            <v>-24.454755441249006</v>
          </cell>
          <cell r="J236">
            <v>-275.28182898973131</v>
          </cell>
          <cell r="K236">
            <v>-212.2000140130842</v>
          </cell>
          <cell r="M236">
            <v>-617.04882316215014</v>
          </cell>
          <cell r="N236">
            <v>71.696423519529986</v>
          </cell>
          <cell r="O236">
            <v>-870.31938769632984</v>
          </cell>
          <cell r="P236">
            <v>-113.72202601595993</v>
          </cell>
          <cell r="Q236">
            <v>279.24393748673992</v>
          </cell>
          <cell r="R236">
            <v>-136.00147726642794</v>
          </cell>
          <cell r="S236">
            <v>17.609826656769801</v>
          </cell>
          <cell r="T236">
            <v>-195.50593235397542</v>
          </cell>
          <cell r="U236">
            <v>2.1263749106512075</v>
          </cell>
        </row>
        <row r="237">
          <cell r="B237" t="str">
            <v>FY0</v>
          </cell>
          <cell r="C237">
            <v>75.645256720510005</v>
          </cell>
          <cell r="D237">
            <v>-221.77580721190708</v>
          </cell>
          <cell r="E237">
            <v>51.409315686781056</v>
          </cell>
          <cell r="F237">
            <v>70.320273931576978</v>
          </cell>
          <cell r="G237">
            <v>324.43123108406144</v>
          </cell>
          <cell r="H237">
            <v>237.27970424074999</v>
          </cell>
          <cell r="I237">
            <v>197.53779706255901</v>
          </cell>
          <cell r="J237">
            <v>104.97825307347591</v>
          </cell>
          <cell r="K237">
            <v>71.388710974396176</v>
          </cell>
          <cell r="M237">
            <v>-809.65406443281995</v>
          </cell>
          <cell r="N237">
            <v>378.51775036279986</v>
          </cell>
          <cell r="O237">
            <v>-97.510832817710025</v>
          </cell>
          <cell r="P237">
            <v>-583.39988898205024</v>
          </cell>
          <cell r="Q237">
            <v>253.76237123566014</v>
          </cell>
          <cell r="R237">
            <v>261.94064050112792</v>
          </cell>
          <cell r="S237">
            <v>101.83326920378016</v>
          </cell>
          <cell r="T237">
            <v>-70.644393561316008</v>
          </cell>
          <cell r="U237">
            <v>74.20958380425779</v>
          </cell>
        </row>
        <row r="238">
          <cell r="B238" t="str">
            <v>FY1</v>
          </cell>
          <cell r="C238">
            <v>101.22293751762004</v>
          </cell>
          <cell r="D238">
            <v>88.484096029610015</v>
          </cell>
          <cell r="E238">
            <v>91.801134998667905</v>
          </cell>
          <cell r="F238">
            <v>186.71673545685996</v>
          </cell>
          <cell r="G238">
            <v>201.85204419997257</v>
          </cell>
          <cell r="H238">
            <v>74.400189091739932</v>
          </cell>
          <cell r="I238">
            <v>52.998193591820012</v>
          </cell>
          <cell r="J238">
            <v>113.92504726947006</v>
          </cell>
          <cell r="K238">
            <v>101.37306263786213</v>
          </cell>
          <cell r="M238">
            <v>292.40465722339002</v>
          </cell>
          <cell r="N238">
            <v>-14.228792499339782</v>
          </cell>
          <cell r="O238">
            <v>423.66428651575001</v>
          </cell>
          <cell r="P238">
            <v>33.428940540990439</v>
          </cell>
          <cell r="Q238">
            <v>9.5280627633798076</v>
          </cell>
          <cell r="R238">
            <v>121.12283530583994</v>
          </cell>
          <cell r="S238">
            <v>145.76330956282996</v>
          </cell>
          <cell r="T238">
            <v>144.52618563040576</v>
          </cell>
          <cell r="U238">
            <v>107.54430555682676</v>
          </cell>
        </row>
        <row r="239">
          <cell r="B239" t="str">
            <v>FY2</v>
          </cell>
          <cell r="C239">
            <v>45.832467197579888</v>
          </cell>
          <cell r="D239">
            <v>26.176777713433005</v>
          </cell>
          <cell r="E239">
            <v>19.463486982565087</v>
          </cell>
          <cell r="F239">
            <v>43.416099795119955</v>
          </cell>
          <cell r="G239">
            <v>150.143806317024</v>
          </cell>
          <cell r="H239">
            <v>40.259383544240109</v>
          </cell>
          <cell r="I239">
            <v>-21.998487298039993</v>
          </cell>
          <cell r="J239">
            <v>43.327647750274579</v>
          </cell>
          <cell r="K239">
            <v>29.006798087091585</v>
          </cell>
          <cell r="M239">
            <v>193.07319311424988</v>
          </cell>
          <cell r="N239">
            <v>-226.61483564475006</v>
          </cell>
          <cell r="O239">
            <v>118.77755848651</v>
          </cell>
          <cell r="P239">
            <v>0.10978213258960867</v>
          </cell>
          <cell r="Q239">
            <v>17.007950949030072</v>
          </cell>
          <cell r="R239">
            <v>29.489681158759996</v>
          </cell>
          <cell r="S239">
            <v>63.794379368559973</v>
          </cell>
          <cell r="T239">
            <v>27.948244223564213</v>
          </cell>
          <cell r="U239">
            <v>34.972201137316581</v>
          </cell>
        </row>
        <row r="240">
          <cell r="B240" t="str">
            <v>FY1</v>
          </cell>
          <cell r="C240">
            <v>0.13117500179456759</v>
          </cell>
          <cell r="D240">
            <v>6.5535084047614267E-2</v>
          </cell>
          <cell r="E240">
            <v>0.10804999268238555</v>
          </cell>
          <cell r="F240">
            <v>0.13221807124923712</v>
          </cell>
          <cell r="G240">
            <v>3.1162078748501736E-2</v>
          </cell>
          <cell r="H240">
            <v>0.12228683052740648</v>
          </cell>
          <cell r="I240">
            <v>0.1153049316705531</v>
          </cell>
          <cell r="J240">
            <v>0.10081885581718085</v>
          </cell>
          <cell r="K240">
            <v>0.10694626695883833</v>
          </cell>
          <cell r="M240">
            <v>0.12962426004451924</v>
          </cell>
          <cell r="N240">
            <v>0.18973740063040617</v>
          </cell>
          <cell r="O240">
            <v>0.13377350142150843</v>
          </cell>
          <cell r="P240">
            <v>0.35011759997554609</v>
          </cell>
          <cell r="Q240">
            <v>0.16236654871799841</v>
          </cell>
          <cell r="R240">
            <v>0.13396830763081341</v>
          </cell>
          <cell r="S240">
            <v>0.21679103616775808</v>
          </cell>
          <cell r="T240">
            <v>0.18805409351264998</v>
          </cell>
          <cell r="U240">
            <v>0.1733366804761057</v>
          </cell>
        </row>
        <row r="241">
          <cell r="A241" t="str">
            <v>mscalc:ebitdaAsif</v>
          </cell>
          <cell r="B241" t="str">
            <v>EBITDA</v>
          </cell>
          <cell r="C241">
            <v>0.13801265994185535</v>
          </cell>
          <cell r="D241">
            <v>7.4867910171283802E-2</v>
          </cell>
          <cell r="E241">
            <v>0.1136629993270056</v>
          </cell>
          <cell r="F241">
            <v>0.14093185001476541</v>
          </cell>
          <cell r="G241">
            <v>4.5921397918058639E-2</v>
          </cell>
          <cell r="H241">
            <v>0.1175957634752702</v>
          </cell>
          <cell r="I241">
            <v>0.11813013251826068</v>
          </cell>
          <cell r="J241">
            <v>0.10701753048092852</v>
          </cell>
          <cell r="K241">
            <v>0.11299195340745029</v>
          </cell>
          <cell r="M241">
            <v>0.14313028905740297</v>
          </cell>
          <cell r="N241">
            <v>0.17561141951556042</v>
          </cell>
          <cell r="O241">
            <v>0.15127350142150642</v>
          </cell>
          <cell r="P241">
            <v>0.35199628077742695</v>
          </cell>
          <cell r="Q241">
            <v>0.16530301615151075</v>
          </cell>
          <cell r="R241">
            <v>0.14404459148537194</v>
          </cell>
          <cell r="S241">
            <v>0.22707900481134527</v>
          </cell>
          <cell r="T241">
            <v>0.19406258617430353</v>
          </cell>
          <cell r="U241">
            <v>0.18029940089007807</v>
          </cell>
        </row>
        <row r="242">
          <cell r="B242" t="str">
            <v>FY(2)</v>
          </cell>
          <cell r="C242">
            <v>2256.6999999999998</v>
          </cell>
          <cell r="D242">
            <v>2308</v>
          </cell>
          <cell r="E242">
            <v>3355</v>
          </cell>
          <cell r="F242">
            <v>1481.8019999999999</v>
          </cell>
          <cell r="G242">
            <v>270.53497730279503</v>
          </cell>
          <cell r="H242">
            <v>541.79</v>
          </cell>
          <cell r="I242">
            <v>1827.10628618338</v>
          </cell>
          <cell r="J242">
            <v>1720.1333233551682</v>
          </cell>
          <cell r="K242">
            <v>12040.933263486177</v>
          </cell>
          <cell r="M242">
            <v>962.62599999999998</v>
          </cell>
          <cell r="N242">
            <v>236.45400000000001</v>
          </cell>
          <cell r="O242">
            <v>707.95799999999997</v>
          </cell>
          <cell r="P242">
            <v>1074.2840000000001</v>
          </cell>
          <cell r="Q242">
            <v>1896</v>
          </cell>
          <cell r="R242">
            <v>1213.1210000000001</v>
          </cell>
          <cell r="S242">
            <v>294.96199999999999</v>
          </cell>
          <cell r="T242">
            <v>912.20071428571441</v>
          </cell>
          <cell r="U242">
            <v>6385.4050000000007</v>
          </cell>
        </row>
        <row r="243">
          <cell r="B243" t="str">
            <v>FY(1)</v>
          </cell>
          <cell r="C243">
            <v>2077.9659999999999</v>
          </cell>
          <cell r="D243">
            <v>1597.80967741935</v>
          </cell>
          <cell r="E243">
            <v>2676</v>
          </cell>
          <cell r="F243">
            <v>1081.5509999999999</v>
          </cell>
          <cell r="G243">
            <v>24.9609180094481</v>
          </cell>
          <cell r="H243">
            <v>632.69015938101995</v>
          </cell>
          <cell r="I243">
            <v>1836.4380000000001</v>
          </cell>
          <cell r="J243">
            <v>1418.2022506871167</v>
          </cell>
          <cell r="K243">
            <v>9927.4157548098174</v>
          </cell>
          <cell r="M243">
            <v>725.05174913631095</v>
          </cell>
          <cell r="N243">
            <v>294.072</v>
          </cell>
          <cell r="O243">
            <v>440.01</v>
          </cell>
          <cell r="P243">
            <v>1279.933</v>
          </cell>
          <cell r="Q243">
            <v>2116</v>
          </cell>
          <cell r="R243">
            <v>1060.547</v>
          </cell>
          <cell r="S243">
            <v>381.38400000000001</v>
          </cell>
          <cell r="T243">
            <v>899.57110701947306</v>
          </cell>
          <cell r="U243">
            <v>6296.9977491363115</v>
          </cell>
        </row>
        <row r="244">
          <cell r="B244" t="str">
            <v>FY0</v>
          </cell>
          <cell r="C244">
            <v>2301</v>
          </cell>
          <cell r="D244">
            <v>1158</v>
          </cell>
          <cell r="E244">
            <v>2664</v>
          </cell>
          <cell r="F244">
            <v>1147</v>
          </cell>
          <cell r="G244">
            <v>115.125</v>
          </cell>
          <cell r="H244">
            <v>885.16499999999996</v>
          </cell>
          <cell r="I244">
            <v>2426.2710000000002</v>
          </cell>
          <cell r="J244">
            <v>1528.0801428571431</v>
          </cell>
          <cell r="K244">
            <v>10696.561000000002</v>
          </cell>
          <cell r="M244">
            <v>387.79300000000001</v>
          </cell>
          <cell r="N244">
            <v>438.83600000000001</v>
          </cell>
          <cell r="O244">
            <v>401.83100000000002</v>
          </cell>
          <cell r="P244">
            <v>1123.2919999999999</v>
          </cell>
          <cell r="Q244">
            <v>2384</v>
          </cell>
          <cell r="R244">
            <v>1218.6880000000001</v>
          </cell>
          <cell r="S244">
            <v>430.70760552622602</v>
          </cell>
          <cell r="T244">
            <v>912.1639436466038</v>
          </cell>
          <cell r="U244">
            <v>6385.1476055262265</v>
          </cell>
        </row>
        <row r="245">
          <cell r="B245" t="str">
            <v>FY1</v>
          </cell>
          <cell r="C245">
            <v>2686.84181622079</v>
          </cell>
          <cell r="D245">
            <v>1347.8740241831399</v>
          </cell>
          <cell r="E245">
            <v>2960.5821133261602</v>
          </cell>
          <cell r="F245">
            <v>1374.02006461376</v>
          </cell>
          <cell r="G245">
            <v>161.96668774929</v>
          </cell>
          <cell r="H245">
            <v>1041.9889630135999</v>
          </cell>
          <cell r="I245">
            <v>2767.47676537285</v>
          </cell>
          <cell r="J245">
            <v>1762.9643477827988</v>
          </cell>
          <cell r="K245">
            <v>12340.750434479591</v>
          </cell>
          <cell r="M245">
            <v>506.856434846556</v>
          </cell>
          <cell r="N245">
            <v>482.94581708179197</v>
          </cell>
          <cell r="O245">
            <v>538.32960467117198</v>
          </cell>
          <cell r="P245">
            <v>1229.7363768574801</v>
          </cell>
          <cell r="Q245">
            <v>2324.7604263346402</v>
          </cell>
          <cell r="R245">
            <v>1405.9915882274099</v>
          </cell>
          <cell r="S245">
            <v>533.82068847242601</v>
          </cell>
          <cell r="T245">
            <v>1003.2058480702109</v>
          </cell>
          <cell r="U245">
            <v>7022.4409364914764</v>
          </cell>
        </row>
        <row r="246">
          <cell r="B246" t="str">
            <v>FY2</v>
          </cell>
          <cell r="C246">
            <v>3008.6000665880301</v>
          </cell>
          <cell r="D246">
            <v>1441.20570650286</v>
          </cell>
          <cell r="E246">
            <v>3034.9502716429602</v>
          </cell>
          <cell r="F246">
            <v>1490.9045633425301</v>
          </cell>
          <cell r="G246">
            <v>234.34480855729399</v>
          </cell>
          <cell r="H246">
            <v>1101.5944246275301</v>
          </cell>
          <cell r="I246">
            <v>2899.7095667612998</v>
          </cell>
          <cell r="J246">
            <v>1887.3299154317865</v>
          </cell>
          <cell r="K246">
            <v>13211.309408022506</v>
          </cell>
          <cell r="M246">
            <v>606.38347910348796</v>
          </cell>
          <cell r="N246">
            <v>494.18589722787698</v>
          </cell>
          <cell r="O246">
            <v>636.55593877707702</v>
          </cell>
          <cell r="P246">
            <v>1322.4822084172999</v>
          </cell>
          <cell r="Q246">
            <v>2344.0587649516701</v>
          </cell>
          <cell r="R246">
            <v>1533.4490512956399</v>
          </cell>
          <cell r="S246">
            <v>628.90968806985495</v>
          </cell>
          <cell r="T246">
            <v>1080.8607182632725</v>
          </cell>
          <cell r="U246">
            <v>7566.0250278429075</v>
          </cell>
        </row>
        <row r="247">
          <cell r="B247" t="str">
            <v>FQ(3)</v>
          </cell>
          <cell r="C247">
            <v>392</v>
          </cell>
          <cell r="D247">
            <v>226</v>
          </cell>
          <cell r="E247">
            <v>327</v>
          </cell>
          <cell r="F247">
            <v>223</v>
          </cell>
          <cell r="G247">
            <v>35.716999999999999</v>
          </cell>
          <cell r="H247">
            <v>188.416</v>
          </cell>
          <cell r="I247">
            <v>449.96800000000002</v>
          </cell>
          <cell r="J247">
            <v>263.15728571428571</v>
          </cell>
          <cell r="K247">
            <v>1842.1010000000001</v>
          </cell>
          <cell r="M247">
            <v>25.797000000000001</v>
          </cell>
          <cell r="N247">
            <v>67.896000000000001</v>
          </cell>
          <cell r="O247">
            <v>62.247</v>
          </cell>
          <cell r="P247">
            <v>229.47300000000001</v>
          </cell>
          <cell r="Q247">
            <v>496</v>
          </cell>
          <cell r="R247">
            <v>150.21199999999999</v>
          </cell>
          <cell r="S247">
            <v>68.209999999999994</v>
          </cell>
          <cell r="T247">
            <v>157.11928571428572</v>
          </cell>
          <cell r="U247">
            <v>1099.835</v>
          </cell>
        </row>
        <row r="248">
          <cell r="B248" t="str">
            <v>FQ(2)</v>
          </cell>
          <cell r="C248">
            <v>543</v>
          </cell>
          <cell r="D248">
            <v>188</v>
          </cell>
          <cell r="E248">
            <v>583</v>
          </cell>
          <cell r="F248">
            <v>284</v>
          </cell>
          <cell r="G248">
            <v>-31.690999999999999</v>
          </cell>
          <cell r="H248">
            <v>209.28800000000001</v>
          </cell>
          <cell r="I248">
            <v>527.60299999999995</v>
          </cell>
          <cell r="J248">
            <v>329.02857142857141</v>
          </cell>
          <cell r="K248">
            <v>2303.1999999999998</v>
          </cell>
          <cell r="M248">
            <v>67.600999999999999</v>
          </cell>
          <cell r="N248">
            <v>77.688999999999993</v>
          </cell>
          <cell r="O248">
            <v>81.658000000000001</v>
          </cell>
          <cell r="P248">
            <v>250.87799999999999</v>
          </cell>
          <cell r="Q248">
            <v>516</v>
          </cell>
          <cell r="R248">
            <v>236.643</v>
          </cell>
          <cell r="S248">
            <v>101.444</v>
          </cell>
          <cell r="T248">
            <v>190.27328571428572</v>
          </cell>
          <cell r="U248">
            <v>1331.913</v>
          </cell>
        </row>
        <row r="249">
          <cell r="B249" t="str">
            <v>FQ(1)</v>
          </cell>
          <cell r="C249">
            <v>489</v>
          </cell>
          <cell r="D249">
            <v>230</v>
          </cell>
          <cell r="E249">
            <v>389</v>
          </cell>
          <cell r="F249">
            <v>251</v>
          </cell>
          <cell r="G249">
            <v>48.911000000000001</v>
          </cell>
          <cell r="H249">
            <v>212.46199999999999</v>
          </cell>
          <cell r="I249">
            <v>688.21</v>
          </cell>
          <cell r="J249">
            <v>329.79757142857142</v>
          </cell>
          <cell r="K249">
            <v>2308.5830000000001</v>
          </cell>
          <cell r="M249">
            <v>105.699</v>
          </cell>
          <cell r="N249">
            <v>118.661</v>
          </cell>
          <cell r="O249">
            <v>106.85899999999999</v>
          </cell>
          <cell r="P249">
            <v>256.62700000000001</v>
          </cell>
          <cell r="Q249">
            <v>647</v>
          </cell>
          <cell r="R249">
            <v>147.88499999999999</v>
          </cell>
          <cell r="S249">
            <v>119.389</v>
          </cell>
          <cell r="T249">
            <v>214.58857142857141</v>
          </cell>
          <cell r="U249">
            <v>1502.12</v>
          </cell>
        </row>
        <row r="250">
          <cell r="B250" t="str">
            <v>Last Reported Q</v>
          </cell>
          <cell r="C250">
            <v>2301</v>
          </cell>
          <cell r="D250">
            <v>1158</v>
          </cell>
          <cell r="E250">
            <v>2664</v>
          </cell>
          <cell r="F250">
            <v>1147</v>
          </cell>
          <cell r="G250">
            <v>115.125</v>
          </cell>
          <cell r="H250">
            <v>885.16499999999996</v>
          </cell>
          <cell r="I250">
            <v>2426.2710000000002</v>
          </cell>
          <cell r="J250">
            <v>1528.0801428571431</v>
          </cell>
          <cell r="K250">
            <v>10696.561000000002</v>
          </cell>
          <cell r="M250">
            <v>387.79300000000001</v>
          </cell>
          <cell r="N250">
            <v>438.83600000000001</v>
          </cell>
          <cell r="O250">
            <v>401.83100000000002</v>
          </cell>
          <cell r="P250">
            <v>408.89</v>
          </cell>
          <cell r="Q250">
            <v>2384</v>
          </cell>
          <cell r="R250">
            <v>1218.6880000000001</v>
          </cell>
          <cell r="S250">
            <v>430.70760552622602</v>
          </cell>
          <cell r="T250">
            <v>810.10651507517525</v>
          </cell>
          <cell r="U250">
            <v>5670.7456055262264</v>
          </cell>
        </row>
        <row r="251">
          <cell r="B251" t="str">
            <v>LTM</v>
          </cell>
          <cell r="C251">
            <v>3725</v>
          </cell>
          <cell r="D251">
            <v>1802</v>
          </cell>
          <cell r="E251">
            <v>3963</v>
          </cell>
          <cell r="F251">
            <v>1905</v>
          </cell>
          <cell r="G251">
            <v>168.06200000000001</v>
          </cell>
          <cell r="H251">
            <v>1495.3309999999999</v>
          </cell>
          <cell r="I251">
            <v>4092.0520000000001</v>
          </cell>
          <cell r="J251">
            <v>2450.0635714285713</v>
          </cell>
          <cell r="K251">
            <v>17150.445</v>
          </cell>
          <cell r="M251">
            <v>586.89</v>
          </cell>
          <cell r="N251">
            <v>703.08199999999999</v>
          </cell>
          <cell r="O251">
            <v>652.59500000000003</v>
          </cell>
          <cell r="P251">
            <v>1145.8679999999999</v>
          </cell>
          <cell r="Q251">
            <v>4043</v>
          </cell>
          <cell r="R251">
            <v>1753.4280000000001</v>
          </cell>
          <cell r="S251">
            <v>719.75060552622608</v>
          </cell>
          <cell r="T251">
            <v>1372.0876579323178</v>
          </cell>
          <cell r="U251">
            <v>9604.613605526225</v>
          </cell>
        </row>
        <row r="252">
          <cell r="B252" t="str">
            <v>FY1</v>
          </cell>
          <cell r="C252">
            <v>7.9293440159680317E-2</v>
          </cell>
          <cell r="D252">
            <v>-0.28175242217070839</v>
          </cell>
          <cell r="E252">
            <v>-5.8706764560482072E-2</v>
          </cell>
          <cell r="F252">
            <v>-1.2659497227352157E-2</v>
          </cell>
          <cell r="G252">
            <v>2.8440816501221811</v>
          </cell>
          <cell r="H252">
            <v>0.37739008200740787</v>
          </cell>
          <cell r="I252">
            <v>0.25447263704823664</v>
          </cell>
          <cell r="J252">
            <v>3.1167021448063714E-2</v>
          </cell>
          <cell r="K252">
            <v>3.1167021448063714E-2</v>
          </cell>
          <cell r="M252">
            <v>-0.44755096954652773</v>
          </cell>
          <cell r="N252">
            <v>0.40776067925643722</v>
          </cell>
          <cell r="O252">
            <v>-0.10256876684475125</v>
          </cell>
          <cell r="P252">
            <v>8.7859867401067548E-2</v>
          </cell>
          <cell r="Q252">
            <v>9.4663871224688112E-2</v>
          </cell>
          <cell r="R252">
            <v>7.1548102236515865E-2</v>
          </cell>
          <cell r="S252">
            <v>0.10220319930856303</v>
          </cell>
          <cell r="T252">
            <v>2.8925996516275365E-2</v>
          </cell>
          <cell r="U252">
            <v>2.8925996516275365E-2</v>
          </cell>
        </row>
        <row r="253">
          <cell r="B253" t="str">
            <v>EBITDA Margin</v>
          </cell>
          <cell r="C253">
            <v>0.11823966128147112</v>
          </cell>
          <cell r="D253">
            <v>0.13978431130046953</v>
          </cell>
          <cell r="E253">
            <v>3.3430400435524144E-2</v>
          </cell>
          <cell r="F253">
            <v>7.7024231074919403E-2</v>
          </cell>
          <cell r="G253">
            <v>0.49767331916214141</v>
          </cell>
          <cell r="H253">
            <v>2.8087481082974541E-3</v>
          </cell>
          <cell r="I253">
            <v>9.2016676363640526E-2</v>
          </cell>
          <cell r="J253">
            <v>8.2720158998771387E-2</v>
          </cell>
          <cell r="K253">
            <v>8.2720158998771609E-2</v>
          </cell>
          <cell r="M253">
            <v>0.22592980450213873</v>
          </cell>
          <cell r="N253">
            <v>2.4701111113993424E-2</v>
          </cell>
          <cell r="O253">
            <v>0.21193428107274648</v>
          </cell>
          <cell r="P253">
            <v>7.6209113790322691E-2</v>
          </cell>
          <cell r="Q253">
            <v>6.5830701459941299E-3</v>
          </cell>
          <cell r="R253">
            <v>8.3458125413556905E-2</v>
          </cell>
          <cell r="S253">
            <v>0.21981119502112567</v>
          </cell>
          <cell r="T253">
            <v>7.5768860916895386E-2</v>
          </cell>
          <cell r="U253">
            <v>7.5768860916895386E-2</v>
          </cell>
        </row>
        <row r="254">
          <cell r="B254" t="str">
            <v>FY(2)</v>
          </cell>
          <cell r="C254">
            <v>0.13698804761528982</v>
          </cell>
          <cell r="D254">
            <v>0.11620805269441058</v>
          </cell>
          <cell r="E254">
            <v>0.12750351537262949</v>
          </cell>
          <cell r="F254">
            <v>0.16785605133955017</v>
          </cell>
          <cell r="G254">
            <v>8.2868419605755084E-2</v>
          </cell>
          <cell r="H254">
            <v>9.0672933445708689E-2</v>
          </cell>
          <cell r="I254">
            <v>9.9641903695533218E-2</v>
          </cell>
          <cell r="J254">
            <v>0.11739127482412529</v>
          </cell>
          <cell r="K254">
            <v>0.12156171950147786</v>
          </cell>
          <cell r="M254">
            <v>0.26019338014128879</v>
          </cell>
          <cell r="N254">
            <v>0.14935354914750854</v>
          </cell>
          <cell r="O254">
            <v>0.23170570059294651</v>
          </cell>
          <cell r="P254">
            <v>0.41121611234792088</v>
          </cell>
          <cell r="Q254">
            <v>0.12028167227050689</v>
          </cell>
          <cell r="R254">
            <v>0.12027421769325956</v>
          </cell>
          <cell r="S254">
            <v>0.19563394891903294</v>
          </cell>
          <cell r="T254">
            <v>0.21266551158749486</v>
          </cell>
          <cell r="U254">
            <v>0.16668711075578976</v>
          </cell>
        </row>
        <row r="255">
          <cell r="A255" t="str">
            <v>mscalc:netIncomeBeforeOperatingLeaseAdjustment</v>
          </cell>
          <cell r="B255" t="str">
            <v>FY(1)</v>
          </cell>
          <cell r="C255">
            <v>0.1267910598026713</v>
          </cell>
          <cell r="D255">
            <v>8.6431288394483163E-2</v>
          </cell>
          <cell r="E255">
            <v>0.10750441909047083</v>
          </cell>
          <cell r="F255">
            <v>0.13044879990350983</v>
          </cell>
          <cell r="G255">
            <v>8.2192422010453139E-3</v>
          </cell>
          <cell r="H255">
            <v>9.7544958469286569E-2</v>
          </cell>
          <cell r="I255">
            <v>9.6657149752059329E-2</v>
          </cell>
          <cell r="J255">
            <v>9.3370988230503743E-2</v>
          </cell>
          <cell r="K255">
            <v>0.10278859736299435</v>
          </cell>
          <cell r="M255">
            <v>0.20810559331730538</v>
          </cell>
          <cell r="N255">
            <v>0.15596243180303057</v>
          </cell>
          <cell r="O255">
            <v>0.14721878254841297</v>
          </cell>
          <cell r="P255">
            <v>0.40239886291219351</v>
          </cell>
          <cell r="Q255">
            <v>0.1456698334021754</v>
          </cell>
          <cell r="R255">
            <v>0.11728210409699492</v>
          </cell>
          <cell r="S255">
            <v>0.20788196779929119</v>
          </cell>
          <cell r="T255">
            <v>0.19778851083991483</v>
          </cell>
          <cell r="U255">
            <v>0.17045411078742415</v>
          </cell>
        </row>
        <row r="256">
          <cell r="B256" t="str">
            <v>FY0</v>
          </cell>
          <cell r="C256">
            <v>0.13395819991849567</v>
          </cell>
          <cell r="D256">
            <v>6.5954797094283174E-2</v>
          </cell>
          <cell r="E256">
            <v>0.1134147899016561</v>
          </cell>
          <cell r="F256">
            <v>0.1388956163720029</v>
          </cell>
          <cell r="G256">
            <v>4.3845283751823318E-2</v>
          </cell>
          <cell r="H256">
            <v>0.12320973779591446</v>
          </cell>
          <cell r="I256">
            <v>0.1195888161753558</v>
          </cell>
          <cell r="J256">
            <v>0.10555246300136163</v>
          </cell>
          <cell r="K256">
            <v>0.1107535514305215</v>
          </cell>
          <cell r="M256">
            <v>0.13241469973110248</v>
          </cell>
          <cell r="N256">
            <v>0.19677817860594007</v>
          </cell>
          <cell r="O256">
            <v>0.13436656302937447</v>
          </cell>
          <cell r="P256">
            <v>0.34771803961531267</v>
          </cell>
          <cell r="Q256">
            <v>0.1679228005916743</v>
          </cell>
          <cell r="R256">
            <v>0.14117380216116088</v>
          </cell>
          <cell r="S256">
            <v>0.22226456371027473</v>
          </cell>
          <cell r="T256">
            <v>0.19180552106354851</v>
          </cell>
          <cell r="U256">
            <v>0.17664338994555029</v>
          </cell>
        </row>
        <row r="257">
          <cell r="B257" t="str">
            <v>FY1</v>
          </cell>
          <cell r="C257">
            <v>0.14524953541489105</v>
          </cell>
          <cell r="D257">
            <v>7.5696969513404266E-2</v>
          </cell>
          <cell r="E257">
            <v>0.12062063000600672</v>
          </cell>
          <cell r="F257">
            <v>0.15384036187165825</v>
          </cell>
          <cell r="G257">
            <v>5.9166066089843448E-2</v>
          </cell>
          <cell r="H257">
            <v>0.13352223205816469</v>
          </cell>
          <cell r="I257">
            <v>0.1254741288661009</v>
          </cell>
          <cell r="J257">
            <v>0.11622427483143848</v>
          </cell>
          <cell r="K257">
            <v>0.12054122450092597</v>
          </cell>
          <cell r="M257">
            <v>0.16025826241318036</v>
          </cell>
          <cell r="N257">
            <v>0.19872151824836315</v>
          </cell>
          <cell r="O257">
            <v>0.18010886307621324</v>
          </cell>
          <cell r="P257">
            <v>0.35376895413704895</v>
          </cell>
          <cell r="Q257">
            <v>0.16537263357722404</v>
          </cell>
          <cell r="R257">
            <v>0.1543223268754341</v>
          </cell>
          <cell r="S257">
            <v>0.23604606226171623</v>
          </cell>
          <cell r="T257">
            <v>0.20694266008416859</v>
          </cell>
          <cell r="U257">
            <v>0.18732508010362472</v>
          </cell>
        </row>
        <row r="258">
          <cell r="B258" t="str">
            <v>FY2</v>
          </cell>
          <cell r="C258">
            <v>0.15013309545326939</v>
          </cell>
          <cell r="D258">
            <v>7.9193958122540042E-2</v>
          </cell>
          <cell r="E258">
            <v>0.12262063000600606</v>
          </cell>
          <cell r="F258">
            <v>0.15941706666592947</v>
          </cell>
          <cell r="G258">
            <v>7.9918982174010306E-2</v>
          </cell>
          <cell r="H258">
            <v>0.13497861403200276</v>
          </cell>
          <cell r="I258">
            <v>0.12334122145439311</v>
          </cell>
          <cell r="J258">
            <v>0.121371938272593</v>
          </cell>
          <cell r="K258">
            <v>0.1235346883153805</v>
          </cell>
          <cell r="M258">
            <v>0.17746344955354632</v>
          </cell>
          <cell r="N258">
            <v>0.17966044021851338</v>
          </cell>
          <cell r="O258">
            <v>0.19258538043028928</v>
          </cell>
          <cell r="P258">
            <v>0.35575566674388343</v>
          </cell>
          <cell r="Q258">
            <v>0.17352122215451327</v>
          </cell>
          <cell r="R258">
            <v>0.16219812579766729</v>
          </cell>
          <cell r="S258">
            <v>0.24375203757221914</v>
          </cell>
          <cell r="T258">
            <v>0.21213376035294743</v>
          </cell>
          <cell r="U258">
            <v>0.19533599961776127</v>
          </cell>
        </row>
        <row r="259">
          <cell r="B259" t="str">
            <v>FQ(3)</v>
          </cell>
          <cell r="C259">
            <v>0.10775151181968114</v>
          </cell>
          <cell r="D259">
            <v>5.8180917683151347E-2</v>
          </cell>
          <cell r="E259">
            <v>6.2896710905943454E-2</v>
          </cell>
          <cell r="F259">
            <v>0.13071512309495897</v>
          </cell>
          <cell r="G259">
            <v>5.7490672272424374E-2</v>
          </cell>
          <cell r="H259">
            <v>0.11138337159102128</v>
          </cell>
          <cell r="I259">
            <v>0.10334057228107695</v>
          </cell>
          <cell r="J259">
            <v>9.0251268521179637E-2</v>
          </cell>
          <cell r="K259">
            <v>8.7326027810072149E-2</v>
          </cell>
          <cell r="M259">
            <v>4.2871458746379182E-2</v>
          </cell>
          <cell r="N259">
            <v>0.1664019763543321</v>
          </cell>
          <cell r="O259">
            <v>0.10171078431372549</v>
          </cell>
          <cell r="P259">
            <v>0.3101242129418777</v>
          </cell>
          <cell r="Q259">
            <v>0.15861848417013111</v>
          </cell>
          <cell r="R259">
            <v>8.7067457978237187E-2</v>
          </cell>
          <cell r="S259">
            <v>0.17726275740912067</v>
          </cell>
          <cell r="T259">
            <v>0.14915101884482906</v>
          </cell>
          <cell r="U259">
            <v>0.14473941352003131</v>
          </cell>
        </row>
        <row r="260">
          <cell r="B260" t="str">
            <v>FQ(2)</v>
          </cell>
          <cell r="C260">
            <v>0.14266946925906462</v>
          </cell>
          <cell r="D260">
            <v>4.7683661878543789E-2</v>
          </cell>
          <cell r="E260">
            <v>0.11289697908597986</v>
          </cell>
          <cell r="F260">
            <v>0.1324009324009324</v>
          </cell>
          <cell r="G260">
            <v>-5.6420198826411437E-2</v>
          </cell>
          <cell r="H260">
            <v>0.11833299785823652</v>
          </cell>
          <cell r="I260">
            <v>0.11113215130063475</v>
          </cell>
          <cell r="J260">
            <v>8.69565704224258E-2</v>
          </cell>
          <cell r="K260">
            <v>0.1040500073004839</v>
          </cell>
          <cell r="M260">
            <v>0.10608721307050457</v>
          </cell>
          <cell r="N260">
            <v>0.17149132488631846</v>
          </cell>
          <cell r="O260">
            <v>0.12417654608604675</v>
          </cell>
          <cell r="P260">
            <v>0.32257143738813798</v>
          </cell>
          <cell r="Q260">
            <v>0.15901386748844376</v>
          </cell>
          <cell r="R260">
            <v>0.11450781714982507</v>
          </cell>
          <cell r="S260">
            <v>0.22119112305015418</v>
          </cell>
          <cell r="T260">
            <v>0.17414847558849011</v>
          </cell>
          <cell r="U260">
            <v>0.16055236030399414</v>
          </cell>
        </row>
        <row r="261">
          <cell r="B261" t="str">
            <v>FQ(1)</v>
          </cell>
          <cell r="C261">
            <v>0.12071093557146384</v>
          </cell>
          <cell r="D261">
            <v>5.5018734955040782E-2</v>
          </cell>
          <cell r="E261">
            <v>7.3716126587075992E-2</v>
          </cell>
          <cell r="F261">
            <v>0.13436830835117772</v>
          </cell>
          <cell r="G261">
            <v>7.7460193781139441E-2</v>
          </cell>
          <cell r="H261">
            <v>0.12181483241874644</v>
          </cell>
          <cell r="I261">
            <v>0.1312139343283992</v>
          </cell>
          <cell r="J261">
            <v>0.10204329514186336</v>
          </cell>
          <cell r="K261">
            <v>0.10038664671341772</v>
          </cell>
          <cell r="M261">
            <v>0.14024312576623624</v>
          </cell>
          <cell r="N261">
            <v>0.208969811812524</v>
          </cell>
          <cell r="O261">
            <v>0.14267613043118341</v>
          </cell>
          <cell r="P261">
            <v>0.33702985276523206</v>
          </cell>
          <cell r="Q261">
            <v>0.18027305656171635</v>
          </cell>
          <cell r="R261">
            <v>8.3208166142882178E-2</v>
          </cell>
          <cell r="S261">
            <v>0.23599327930421032</v>
          </cell>
          <cell r="T261">
            <v>0.18977048896914067</v>
          </cell>
          <cell r="U261">
            <v>0.17257593409458666</v>
          </cell>
        </row>
        <row r="262">
          <cell r="B262" t="str">
            <v>Last Reported Q</v>
          </cell>
          <cell r="C262">
            <v>0.13395819991849567</v>
          </cell>
          <cell r="D262">
            <v>6.5954797094283174E-2</v>
          </cell>
          <cell r="E262">
            <v>0.1134147899016561</v>
          </cell>
          <cell r="F262">
            <v>0.1388956163720029</v>
          </cell>
          <cell r="G262">
            <v>4.3845283751823318E-2</v>
          </cell>
          <cell r="H262">
            <v>0.12320973779591446</v>
          </cell>
          <cell r="I262">
            <v>0.1195888161753558</v>
          </cell>
          <cell r="J262">
            <v>0.10555246300136163</v>
          </cell>
          <cell r="K262">
            <v>0.1107535514305215</v>
          </cell>
          <cell r="M262">
            <v>0.13241469973110248</v>
          </cell>
          <cell r="N262">
            <v>0.19677817860594007</v>
          </cell>
          <cell r="O262">
            <v>0.13436656302937447</v>
          </cell>
          <cell r="P262">
            <v>0.38393246980061119</v>
          </cell>
          <cell r="Q262">
            <v>0.1679228005916743</v>
          </cell>
          <cell r="R262">
            <v>0.14117380216116088</v>
          </cell>
          <cell r="S262">
            <v>0.22226456371027473</v>
          </cell>
          <cell r="T262">
            <v>0.19697901109001972</v>
          </cell>
          <cell r="U262">
            <v>0.16687672680250146</v>
          </cell>
        </row>
        <row r="263">
          <cell r="B263" t="str">
            <v>LTM</v>
          </cell>
          <cell r="C263">
            <v>0.12991768973214285</v>
          </cell>
          <cell r="D263">
            <v>6.0950532559043924E-2</v>
          </cell>
          <cell r="E263">
            <v>0.10128038028061029</v>
          </cell>
          <cell r="F263">
            <v>0.13629534234814339</v>
          </cell>
          <cell r="G263">
            <v>3.7850898154233259E-2</v>
          </cell>
          <cell r="H263">
            <v>0.1207023044678138</v>
          </cell>
          <cell r="I263">
            <v>0.1181474006949358</v>
          </cell>
          <cell r="J263">
            <v>0.10073493546241762</v>
          </cell>
          <cell r="K263">
            <v>0.10534231755292885</v>
          </cell>
          <cell r="M263">
            <v>0.11925606841663891</v>
          </cell>
          <cell r="N263">
            <v>0.19215209018233734</v>
          </cell>
          <cell r="O263">
            <v>0.13028147082239661</v>
          </cell>
          <cell r="P263">
            <v>0.34265106717003696</v>
          </cell>
          <cell r="Q263">
            <v>0.16735656925242157</v>
          </cell>
          <cell r="R263">
            <v>0.12346629865368679</v>
          </cell>
          <cell r="S263">
            <v>0.2189597225568104</v>
          </cell>
          <cell r="T263">
            <v>0.18487475529347552</v>
          </cell>
          <cell r="U263">
            <v>0.16395638290338857</v>
          </cell>
        </row>
        <row r="264">
          <cell r="B264" t="str">
            <v>Last Reported Q</v>
          </cell>
          <cell r="C264">
            <v>193</v>
          </cell>
          <cell r="D264">
            <v>27</v>
          </cell>
          <cell r="E264">
            <v>-2</v>
          </cell>
          <cell r="F264">
            <v>83</v>
          </cell>
          <cell r="G264">
            <v>2.2584630489110999</v>
          </cell>
          <cell r="H264">
            <v>105.08</v>
          </cell>
          <cell r="I264">
            <v>347.79899999999998</v>
          </cell>
          <cell r="J264">
            <v>108.01963757841587</v>
          </cell>
          <cell r="K264">
            <v>756.13746304891106</v>
          </cell>
          <cell r="M264">
            <v>26.331</v>
          </cell>
          <cell r="N264">
            <v>62.628999999999998</v>
          </cell>
          <cell r="O264">
            <v>44.501489999999997</v>
          </cell>
          <cell r="P264">
            <v>622.12800000000004</v>
          </cell>
          <cell r="Q264">
            <v>307</v>
          </cell>
          <cell r="R264">
            <v>6.0990000000000002</v>
          </cell>
          <cell r="S264">
            <v>62.392000000000003</v>
          </cell>
          <cell r="T264">
            <v>161.58292714285716</v>
          </cell>
          <cell r="U264">
            <v>1131.0804900000001</v>
          </cell>
        </row>
        <row r="265">
          <cell r="B265" t="str">
            <v>EBITDA Growth, Y/Y</v>
          </cell>
          <cell r="C265">
            <v>895</v>
          </cell>
          <cell r="D265">
            <v>259.38200000000001</v>
          </cell>
          <cell r="E265">
            <v>917</v>
          </cell>
          <cell r="F265">
            <v>324</v>
          </cell>
          <cell r="G265">
            <v>-129.12349297410259</v>
          </cell>
          <cell r="H265">
            <v>397.26099999999997</v>
          </cell>
          <cell r="I265">
            <v>1054.4956247570569</v>
          </cell>
          <cell r="J265">
            <v>531.14501882613627</v>
          </cell>
          <cell r="K265">
            <v>3718.0151317829541</v>
          </cell>
          <cell r="M265">
            <v>99.525280000000024</v>
          </cell>
          <cell r="N265">
            <v>202.98999999999998</v>
          </cell>
          <cell r="O265">
            <v>127.42749000000001</v>
          </cell>
          <cell r="P265">
            <v>1107.99</v>
          </cell>
          <cell r="Q265">
            <v>993</v>
          </cell>
          <cell r="R265">
            <v>287.89599999999996</v>
          </cell>
          <cell r="S265">
            <v>182.76300000000001</v>
          </cell>
          <cell r="T265">
            <v>428.79882428571426</v>
          </cell>
          <cell r="U265">
            <v>3001.59177</v>
          </cell>
        </row>
        <row r="266">
          <cell r="B266" t="str">
            <v>FY(2)</v>
          </cell>
        </row>
        <row r="267">
          <cell r="A267" t="str">
            <v>mstag:adjEpsForConsensus</v>
          </cell>
          <cell r="B267" t="str">
            <v>FY(1)</v>
          </cell>
          <cell r="C267">
            <v>-7.9201488899720784E-2</v>
          </cell>
          <cell r="D267">
            <v>-0.30770811203667681</v>
          </cell>
          <cell r="E267">
            <v>-0.20238450074515646</v>
          </cell>
          <cell r="F267">
            <v>-0.2701109864880733</v>
          </cell>
          <cell r="G267">
            <v>-0.90773496921431085</v>
          </cell>
          <cell r="H267">
            <v>0.16777747721630143</v>
          </cell>
          <cell r="I267">
            <v>5.1073732749904455E-3</v>
          </cell>
          <cell r="J267">
            <v>-0.17552771553726221</v>
          </cell>
          <cell r="K267">
            <v>-0.17552771553726221</v>
          </cell>
          <cell r="M267">
            <v>-0.24679808239512446</v>
          </cell>
          <cell r="N267">
            <v>0.24367530259585379</v>
          </cell>
          <cell r="O267">
            <v>-0.37848007932673966</v>
          </cell>
          <cell r="P267">
            <v>0.19142889589717416</v>
          </cell>
          <cell r="Q267">
            <v>0.11603375527426163</v>
          </cell>
          <cell r="R267">
            <v>-0.12576981191488734</v>
          </cell>
          <cell r="S267">
            <v>0.29299367376136587</v>
          </cell>
          <cell r="T267">
            <v>-1.3845206508230845E-2</v>
          </cell>
          <cell r="U267">
            <v>-1.3845206508230734E-2</v>
          </cell>
        </row>
        <row r="268">
          <cell r="B268" t="str">
            <v>FY0</v>
          </cell>
          <cell r="C268">
            <v>0.10733284375201535</v>
          </cell>
          <cell r="D268">
            <v>-0.27525786308272593</v>
          </cell>
          <cell r="E268">
            <v>-4.484304932735439E-3</v>
          </cell>
          <cell r="F268">
            <v>6.0514021067892276E-2</v>
          </cell>
          <cell r="G268">
            <v>3.6122101741780241</v>
          </cell>
          <cell r="H268">
            <v>0.39904973528588439</v>
          </cell>
          <cell r="I268">
            <v>0.32118318178996508</v>
          </cell>
          <cell r="J268">
            <v>7.747688463813307E-2</v>
          </cell>
          <cell r="K268">
            <v>7.747688463813307E-2</v>
          </cell>
          <cell r="M268">
            <v>-0.4651512799438895</v>
          </cell>
          <cell r="N268">
            <v>0.49227400092494356</v>
          </cell>
          <cell r="O268">
            <v>-8.6768482534487767E-2</v>
          </cell>
          <cell r="P268">
            <v>-0.12238218719261096</v>
          </cell>
          <cell r="Q268">
            <v>0.12665406427221182</v>
          </cell>
          <cell r="R268">
            <v>0.14911267487438096</v>
          </cell>
          <cell r="S268">
            <v>0.12932793595490644</v>
          </cell>
          <cell r="T268">
            <v>1.3998711751485926E-2</v>
          </cell>
          <cell r="U268">
            <v>1.3998711751485926E-2</v>
          </cell>
        </row>
        <row r="269">
          <cell r="B269" t="str">
            <v>FY1</v>
          </cell>
          <cell r="C269">
            <v>0.16768440513724037</v>
          </cell>
          <cell r="D269">
            <v>0.16396720568492218</v>
          </cell>
          <cell r="E269">
            <v>0.11132962211942954</v>
          </cell>
          <cell r="F269">
            <v>0.1979250781288231</v>
          </cell>
          <cell r="G269">
            <v>0.40687676655192195</v>
          </cell>
          <cell r="H269">
            <v>0.17716918655120795</v>
          </cell>
          <cell r="I269">
            <v>0.14062970104034123</v>
          </cell>
          <cell r="J269">
            <v>0.15371196728365222</v>
          </cell>
          <cell r="K269">
            <v>0.153711967283652</v>
          </cell>
          <cell r="M269">
            <v>0.30702832399387292</v>
          </cell>
          <cell r="N269">
            <v>0.10051549344582478</v>
          </cell>
          <cell r="O269">
            <v>0.3396915735002326</v>
          </cell>
          <cell r="P269">
            <v>9.4761092269401104E-2</v>
          </cell>
          <cell r="Q269">
            <v>-2.48488144569462E-2</v>
          </cell>
          <cell r="R269">
            <v>0.1536928140979561</v>
          </cell>
          <cell r="S269">
            <v>0.23940390562692615</v>
          </cell>
          <cell r="T269">
            <v>9.9808707697482735E-2</v>
          </cell>
          <cell r="U269">
            <v>9.9808707697482957E-2</v>
          </cell>
        </row>
        <row r="270">
          <cell r="B270" t="str">
            <v>FY2</v>
          </cell>
          <cell r="C270">
            <v>0.11975332839646402</v>
          </cell>
          <cell r="D270">
            <v>6.9243624140826077E-2</v>
          </cell>
          <cell r="E270">
            <v>2.5119437823411195E-2</v>
          </cell>
          <cell r="F270">
            <v>8.5067534120490729E-2</v>
          </cell>
          <cell r="G270">
            <v>0.4468704139954931</v>
          </cell>
          <cell r="H270">
            <v>5.720354411580475E-2</v>
          </cell>
          <cell r="I270">
            <v>4.7780997854424578E-2</v>
          </cell>
          <cell r="J270">
            <v>7.0543438842309403E-2</v>
          </cell>
          <cell r="K270">
            <v>7.0543438842309403E-2</v>
          </cell>
          <cell r="M270">
            <v>0.19636141008461783</v>
          </cell>
          <cell r="N270">
            <v>2.3273998342098423E-2</v>
          </cell>
          <cell r="O270">
            <v>0.18246504233387761</v>
          </cell>
          <cell r="P270">
            <v>7.5419279534387984E-2</v>
          </cell>
          <cell r="Q270">
            <v>8.3012160730286944E-3</v>
          </cell>
          <cell r="R270">
            <v>9.0653076544306099E-2</v>
          </cell>
          <cell r="S270">
            <v>0.17812910149573691</v>
          </cell>
          <cell r="T270">
            <v>7.7406716021881428E-2</v>
          </cell>
          <cell r="U270">
            <v>7.7406716021881428E-2</v>
          </cell>
        </row>
        <row r="271">
          <cell r="B271" t="str">
            <v>FY1</v>
          </cell>
          <cell r="C271">
            <v>3.11</v>
          </cell>
          <cell r="D271">
            <v>1.03510445527076</v>
          </cell>
          <cell r="E271">
            <v>1.14784510187135</v>
          </cell>
          <cell r="F271">
            <v>1.8136411490884501</v>
          </cell>
          <cell r="G271">
            <v>-0.472295447628726</v>
          </cell>
          <cell r="H271">
            <v>3.3862868587624302</v>
          </cell>
          <cell r="I271">
            <v>2.6945205236563301</v>
          </cell>
          <cell r="M271">
            <v>1.0080029976226801</v>
          </cell>
          <cell r="N271">
            <v>3.19697659901902</v>
          </cell>
          <cell r="O271">
            <v>0.73983220363332802</v>
          </cell>
          <cell r="P271">
            <v>2.1342367427798301</v>
          </cell>
          <cell r="Q271">
            <v>1.5442144348621401</v>
          </cell>
          <cell r="R271">
            <v>1.1090965137337101</v>
          </cell>
          <cell r="S271">
            <v>1.24056550686542</v>
          </cell>
        </row>
        <row r="272">
          <cell r="A272" t="str">
            <v>mscalc:netIncomeBeforeOperatingLeaseAdjustment</v>
          </cell>
          <cell r="B272" t="str">
            <v>Net Income</v>
          </cell>
          <cell r="C272">
            <v>3.6141121475309599</v>
          </cell>
          <cell r="D272">
            <v>1.5303898670656499</v>
          </cell>
          <cell r="E272">
            <v>1.3294495544969001</v>
          </cell>
          <cell r="F272">
            <v>2.03885624205917</v>
          </cell>
          <cell r="G272">
            <v>-0.23101098907579101</v>
          </cell>
          <cell r="H272">
            <v>3.5442519215475099</v>
          </cell>
          <cell r="I272">
            <v>3.1175626704531201</v>
          </cell>
          <cell r="M272">
            <v>1.5590303512307999</v>
          </cell>
          <cell r="N272">
            <v>3.4587188109684202</v>
          </cell>
          <cell r="O272">
            <v>0.93491756401208104</v>
          </cell>
          <cell r="P272">
            <v>2.3560769521099698</v>
          </cell>
          <cell r="Q272">
            <v>1.64332942576824</v>
          </cell>
          <cell r="R272">
            <v>1.2755329709446399</v>
          </cell>
          <cell r="S272">
            <v>1.5606882755392599</v>
          </cell>
        </row>
        <row r="273">
          <cell r="B273" t="str">
            <v>FY(10)</v>
          </cell>
          <cell r="C273">
            <v>264.01</v>
          </cell>
          <cell r="D273">
            <v>384.12799999999999</v>
          </cell>
          <cell r="E273">
            <v>825</v>
          </cell>
          <cell r="F273">
            <v>202.291</v>
          </cell>
          <cell r="G273" t="str">
            <v>NA</v>
          </cell>
          <cell r="H273">
            <v>159.10599999999999</v>
          </cell>
          <cell r="I273">
            <v>526.822</v>
          </cell>
          <cell r="J273">
            <v>393.55950000000001</v>
          </cell>
          <cell r="K273">
            <v>2361.357</v>
          </cell>
          <cell r="M273">
            <v>149.60400000000001</v>
          </cell>
          <cell r="N273" t="str">
            <v>NA</v>
          </cell>
          <cell r="O273">
            <v>90.66</v>
          </cell>
          <cell r="P273">
            <v>21.001124000000001</v>
          </cell>
          <cell r="Q273" t="str">
            <v>NA</v>
          </cell>
          <cell r="R273">
            <v>446.56</v>
          </cell>
          <cell r="S273">
            <v>18.68</v>
          </cell>
          <cell r="T273">
            <v>145.30102479999999</v>
          </cell>
          <cell r="U273">
            <v>726.50512399999991</v>
          </cell>
        </row>
        <row r="274">
          <cell r="B274" t="str">
            <v>FY(9)</v>
          </cell>
          <cell r="C274">
            <v>368.71199999999999</v>
          </cell>
          <cell r="D274">
            <v>-88.56</v>
          </cell>
          <cell r="E274">
            <v>901</v>
          </cell>
          <cell r="F274">
            <v>134.77500000000001</v>
          </cell>
          <cell r="G274" t="str">
            <v>NA</v>
          </cell>
          <cell r="H274">
            <v>150.28800000000001</v>
          </cell>
          <cell r="I274">
            <v>538.06600000000003</v>
          </cell>
          <cell r="J274">
            <v>334.04683333333338</v>
          </cell>
          <cell r="K274">
            <v>2004.2810000000002</v>
          </cell>
          <cell r="M274">
            <v>156.85300000000001</v>
          </cell>
          <cell r="N274" t="str">
            <v>NA</v>
          </cell>
          <cell r="O274">
            <v>91.152000000000001</v>
          </cell>
          <cell r="P274">
            <v>38.685000000000002</v>
          </cell>
          <cell r="Q274">
            <v>877.41700000000003</v>
          </cell>
          <cell r="R274">
            <v>412.46089999999998</v>
          </cell>
          <cell r="S274">
            <v>10.494999999999999</v>
          </cell>
          <cell r="T274">
            <v>264.5104833333333</v>
          </cell>
          <cell r="U274">
            <v>1587.0628999999999</v>
          </cell>
        </row>
        <row r="275">
          <cell r="B275" t="str">
            <v>FY(8)</v>
          </cell>
          <cell r="C275">
            <v>491.98899999999998</v>
          </cell>
          <cell r="D275">
            <v>183</v>
          </cell>
          <cell r="E275">
            <v>746</v>
          </cell>
          <cell r="F275">
            <v>124.688</v>
          </cell>
          <cell r="G275" t="str">
            <v>NA</v>
          </cell>
          <cell r="H275">
            <v>155.04499999999999</v>
          </cell>
          <cell r="I275">
            <v>540.39700000000005</v>
          </cell>
          <cell r="J275">
            <v>373.51983333333334</v>
          </cell>
          <cell r="K275">
            <v>2241.1190000000001</v>
          </cell>
          <cell r="M275">
            <v>166.6</v>
          </cell>
          <cell r="N275" t="str">
            <v>NA</v>
          </cell>
          <cell r="O275">
            <v>101.666</v>
          </cell>
          <cell r="P275">
            <v>70.602440000000001</v>
          </cell>
          <cell r="Q275">
            <v>-7.7640000000000002</v>
          </cell>
          <cell r="R275">
            <v>405.77499999999998</v>
          </cell>
          <cell r="S275">
            <v>15.007</v>
          </cell>
          <cell r="T275">
            <v>125.31440666666664</v>
          </cell>
          <cell r="U275">
            <v>751.88643999999988</v>
          </cell>
        </row>
        <row r="276">
          <cell r="B276" t="str">
            <v>FY(7)</v>
          </cell>
          <cell r="C276">
            <v>635.47</v>
          </cell>
          <cell r="D276">
            <v>283</v>
          </cell>
          <cell r="E276">
            <v>706</v>
          </cell>
          <cell r="F276">
            <v>106.34099999999999</v>
          </cell>
          <cell r="G276" t="str">
            <v>NA</v>
          </cell>
          <cell r="H276">
            <v>200.07599999999999</v>
          </cell>
          <cell r="I276">
            <v>578.38800000000003</v>
          </cell>
          <cell r="J276">
            <v>418.21250000000003</v>
          </cell>
          <cell r="K276">
            <v>2509.2750000000001</v>
          </cell>
          <cell r="M276">
            <v>194.75399999999999</v>
          </cell>
          <cell r="N276">
            <v>33.71546</v>
          </cell>
          <cell r="O276">
            <v>99.644000000000005</v>
          </cell>
          <cell r="P276">
            <v>78.97</v>
          </cell>
          <cell r="Q276">
            <v>477.72370245564099</v>
          </cell>
          <cell r="R276">
            <v>517.41099999999994</v>
          </cell>
          <cell r="S276">
            <v>27.413</v>
          </cell>
          <cell r="T276">
            <v>204.23302320794872</v>
          </cell>
          <cell r="U276">
            <v>1429.6311624556411</v>
          </cell>
        </row>
        <row r="277">
          <cell r="B277" t="str">
            <v>FY(6)</v>
          </cell>
          <cell r="C277">
            <v>580.86199999999997</v>
          </cell>
          <cell r="D277">
            <v>360</v>
          </cell>
          <cell r="E277">
            <v>714</v>
          </cell>
          <cell r="F277">
            <v>242.88900000000001</v>
          </cell>
          <cell r="G277">
            <v>-69.899950647510195</v>
          </cell>
          <cell r="H277">
            <v>227.57400000000001</v>
          </cell>
          <cell r="I277">
            <v>609.41200000000003</v>
          </cell>
          <cell r="J277">
            <v>380.69100705035572</v>
          </cell>
          <cell r="K277">
            <v>2664.8370493524899</v>
          </cell>
          <cell r="M277">
            <v>204.83</v>
          </cell>
          <cell r="N277">
            <v>54.253999999999998</v>
          </cell>
          <cell r="O277">
            <v>83.108000000000004</v>
          </cell>
          <cell r="P277">
            <v>122.383</v>
          </cell>
          <cell r="Q277">
            <v>1042.69954791705</v>
          </cell>
          <cell r="R277">
            <v>583.65</v>
          </cell>
          <cell r="S277">
            <v>48.375999999999998</v>
          </cell>
          <cell r="T277">
            <v>305.61436398815005</v>
          </cell>
          <cell r="U277">
            <v>2139.3005479170502</v>
          </cell>
        </row>
        <row r="278">
          <cell r="B278" t="str">
            <v>FY(5)</v>
          </cell>
          <cell r="C278">
            <v>703.51288799999998</v>
          </cell>
          <cell r="D278">
            <v>657.37</v>
          </cell>
          <cell r="E278">
            <v>786.546594982079</v>
          </cell>
          <cell r="F278">
            <v>393.47500000000002</v>
          </cell>
          <cell r="G278">
            <v>-69.191530595781302</v>
          </cell>
          <cell r="H278">
            <v>185.72</v>
          </cell>
          <cell r="I278">
            <v>628.96199999999999</v>
          </cell>
          <cell r="J278">
            <v>469.4849931980425</v>
          </cell>
          <cell r="K278">
            <v>3286.3949523862975</v>
          </cell>
          <cell r="M278">
            <v>241.95355390734301</v>
          </cell>
          <cell r="N278">
            <v>86.960999999999999</v>
          </cell>
          <cell r="O278">
            <v>224.232</v>
          </cell>
          <cell r="P278">
            <v>220.239</v>
          </cell>
          <cell r="Q278">
            <v>1214.12078310316</v>
          </cell>
          <cell r="R278">
            <v>674.27200000000005</v>
          </cell>
          <cell r="S278">
            <v>90.489000000000004</v>
          </cell>
          <cell r="T278">
            <v>393.18104814435759</v>
          </cell>
          <cell r="U278">
            <v>2752.2673370105031</v>
          </cell>
        </row>
        <row r="279">
          <cell r="B279" t="str">
            <v>FY(4)</v>
          </cell>
          <cell r="C279">
            <v>831.621966099166</v>
          </cell>
          <cell r="D279">
            <v>928.03159479553904</v>
          </cell>
          <cell r="E279">
            <v>1089.0546208098101</v>
          </cell>
          <cell r="F279">
            <v>551.18021775831903</v>
          </cell>
          <cell r="G279">
            <v>-113.296092527064</v>
          </cell>
          <cell r="H279">
            <v>199.63200000000001</v>
          </cell>
          <cell r="I279">
            <v>642.13399999999695</v>
          </cell>
          <cell r="J279">
            <v>589.76547241939534</v>
          </cell>
          <cell r="K279">
            <v>4128.3583069357674</v>
          </cell>
          <cell r="M279">
            <v>363.59381999999999</v>
          </cell>
          <cell r="N279">
            <v>83.953999999999994</v>
          </cell>
          <cell r="O279">
            <v>293.71100000000001</v>
          </cell>
          <cell r="P279">
            <v>336.64699999999999</v>
          </cell>
          <cell r="Q279">
            <v>1076.3882618510199</v>
          </cell>
          <cell r="R279">
            <v>546.83600000000001</v>
          </cell>
          <cell r="S279">
            <v>129.832005188067</v>
          </cell>
          <cell r="T279">
            <v>404.42315529129809</v>
          </cell>
          <cell r="U279">
            <v>2830.9620870390868</v>
          </cell>
        </row>
        <row r="280">
          <cell r="B280" t="str">
            <v>FY(3)</v>
          </cell>
          <cell r="C280">
            <v>1108.5977755399999</v>
          </cell>
          <cell r="D280">
            <v>1134</v>
          </cell>
          <cell r="E280">
            <v>1137.6065454545501</v>
          </cell>
          <cell r="F280">
            <v>677.99900000000002</v>
          </cell>
          <cell r="G280">
            <v>29.8422306591854</v>
          </cell>
          <cell r="H280">
            <v>241.63399999999999</v>
          </cell>
          <cell r="I280">
            <v>784.33473025389503</v>
          </cell>
          <cell r="J280">
            <v>730.57346884394724</v>
          </cell>
          <cell r="K280">
            <v>5114.0142819076309</v>
          </cell>
          <cell r="M280">
            <v>446.524</v>
          </cell>
          <cell r="N280">
            <v>100.86799999999999</v>
          </cell>
          <cell r="O280">
            <v>387.35899999999998</v>
          </cell>
          <cell r="P280">
            <v>464.00954749822699</v>
          </cell>
          <cell r="Q280">
            <v>780.95348837209303</v>
          </cell>
          <cell r="R280">
            <v>675.04899999999998</v>
          </cell>
          <cell r="S280">
            <v>108.90600000000001</v>
          </cell>
          <cell r="T280">
            <v>423.38129083861713</v>
          </cell>
          <cell r="U280">
            <v>2963.6690358703199</v>
          </cell>
        </row>
        <row r="281">
          <cell r="B281" t="str">
            <v>FY(2)</v>
          </cell>
          <cell r="C281">
            <v>1083.8209999999999</v>
          </cell>
          <cell r="D281">
            <v>1073</v>
          </cell>
          <cell r="E281">
            <v>968.870454545455</v>
          </cell>
          <cell r="F281">
            <v>694.02599999999995</v>
          </cell>
          <cell r="G281">
            <v>63.374305710902703</v>
          </cell>
          <cell r="H281">
            <v>261.05099999999999</v>
          </cell>
          <cell r="I281">
            <v>902.52825069543098</v>
          </cell>
          <cell r="J281">
            <v>720.95300156454118</v>
          </cell>
          <cell r="K281">
            <v>5046.671010951788</v>
          </cell>
          <cell r="M281">
            <v>499.12700000000001</v>
          </cell>
          <cell r="N281">
            <v>125.371</v>
          </cell>
          <cell r="O281">
            <v>400.01900000000001</v>
          </cell>
          <cell r="P281">
            <v>636.529</v>
          </cell>
          <cell r="Q281">
            <v>888.19060546964795</v>
          </cell>
          <cell r="R281">
            <v>461.45582675721101</v>
          </cell>
          <cell r="S281">
            <v>152.53</v>
          </cell>
          <cell r="T281">
            <v>451.88891888955135</v>
          </cell>
          <cell r="U281">
            <v>3163.2224322268594</v>
          </cell>
        </row>
        <row r="282">
          <cell r="B282" t="str">
            <v>FY(1)</v>
          </cell>
          <cell r="C282">
            <v>885.62900000000002</v>
          </cell>
          <cell r="D282">
            <v>562.53838064516106</v>
          </cell>
          <cell r="E282">
            <v>545</v>
          </cell>
          <cell r="F282">
            <v>394.55099999999999</v>
          </cell>
          <cell r="G282">
            <v>-109.755122537465</v>
          </cell>
          <cell r="H282">
            <v>302.774720000005</v>
          </cell>
          <cell r="I282">
            <v>883.85870191995605</v>
          </cell>
          <cell r="J282">
            <v>494.9423828610939</v>
          </cell>
          <cell r="K282">
            <v>3464.5966800276574</v>
          </cell>
          <cell r="M282">
            <v>318.97024840902799</v>
          </cell>
          <cell r="N282">
            <v>149.422</v>
          </cell>
          <cell r="O282">
            <v>204.88800000000001</v>
          </cell>
          <cell r="P282">
            <v>742.00199999999995</v>
          </cell>
          <cell r="Q282">
            <v>967</v>
          </cell>
          <cell r="R282">
            <v>353.38200000000001</v>
          </cell>
          <cell r="S282">
            <v>199.364</v>
          </cell>
          <cell r="T282">
            <v>419.28974977271827</v>
          </cell>
          <cell r="U282">
            <v>2935.028248409028</v>
          </cell>
        </row>
        <row r="283">
          <cell r="B283" t="str">
            <v>FY0</v>
          </cell>
          <cell r="C283">
            <v>990.1</v>
          </cell>
          <cell r="D283">
            <v>249.58199999999999</v>
          </cell>
          <cell r="E283">
            <v>576</v>
          </cell>
          <cell r="F283">
            <v>427.8</v>
          </cell>
          <cell r="G283">
            <v>-47.731873116743998</v>
          </cell>
          <cell r="H283">
            <v>442.75700000000001</v>
          </cell>
          <cell r="I283">
            <v>1213.5719999999999</v>
          </cell>
          <cell r="J283">
            <v>550.29701812617952</v>
          </cell>
          <cell r="K283">
            <v>3852.0791268832563</v>
          </cell>
          <cell r="M283">
            <v>95.928809999999999</v>
          </cell>
          <cell r="N283">
            <v>231.32900000000001</v>
          </cell>
          <cell r="O283">
            <v>159.06599</v>
          </cell>
          <cell r="P283">
            <v>622.12800000000004</v>
          </cell>
          <cell r="Q283">
            <v>1099.8</v>
          </cell>
          <cell r="R283">
            <v>405.17</v>
          </cell>
          <cell r="S283">
            <v>219.893</v>
          </cell>
          <cell r="T283">
            <v>404.75925714285717</v>
          </cell>
          <cell r="U283">
            <v>2833.3148000000001</v>
          </cell>
        </row>
        <row r="284">
          <cell r="B284" t="str">
            <v>FY1</v>
          </cell>
          <cell r="C284">
            <v>1190.2064623122999</v>
          </cell>
          <cell r="D284">
            <v>371.94239455885997</v>
          </cell>
          <cell r="E284">
            <v>780.85661388894903</v>
          </cell>
          <cell r="F284">
            <v>574.20119639689005</v>
          </cell>
          <cell r="G284">
            <v>-14.812477877415599</v>
          </cell>
          <cell r="H284">
            <v>520.84207533519498</v>
          </cell>
          <cell r="I284">
            <v>1413.51496786962</v>
          </cell>
          <cell r="J284">
            <v>690.96446178348549</v>
          </cell>
          <cell r="K284">
            <v>4836.7512324843983</v>
          </cell>
          <cell r="M284">
            <v>155.41382199654501</v>
          </cell>
          <cell r="N284">
            <v>257.42391448394397</v>
          </cell>
          <cell r="O284">
            <v>248.62981426116701</v>
          </cell>
          <cell r="P284">
            <v>691.98393385513396</v>
          </cell>
          <cell r="Q284">
            <v>1083.8921535054101</v>
          </cell>
          <cell r="R284">
            <v>546.01826939091302</v>
          </cell>
          <cell r="S284">
            <v>279.22350732756701</v>
          </cell>
          <cell r="T284">
            <v>466.08363068866856</v>
          </cell>
          <cell r="U284">
            <v>3262.5854148206799</v>
          </cell>
        </row>
        <row r="285">
          <cell r="B285" t="str">
            <v>FY2</v>
          </cell>
          <cell r="C285">
            <v>1377.4147410483899</v>
          </cell>
          <cell r="D285">
            <v>461.162423782784</v>
          </cell>
          <cell r="E285">
            <v>888.32831729053999</v>
          </cell>
          <cell r="F285">
            <v>631.87045905384298</v>
          </cell>
          <cell r="G285">
            <v>21.642644285581799</v>
          </cell>
          <cell r="H285">
            <v>560.83917130142299</v>
          </cell>
          <cell r="I285">
            <v>1528.2089011232599</v>
          </cell>
          <cell r="J285">
            <v>781.35237969797447</v>
          </cell>
          <cell r="K285">
            <v>5469.4666578858214</v>
          </cell>
          <cell r="M285">
            <v>204.14473111967499</v>
          </cell>
          <cell r="N285">
            <v>256.17082013345799</v>
          </cell>
          <cell r="O285">
            <v>305.99673004238099</v>
          </cell>
          <cell r="P285">
            <v>736.84328923360295</v>
          </cell>
          <cell r="Q285">
            <v>1074.52887673393</v>
          </cell>
          <cell r="R285">
            <v>630.31680483250398</v>
          </cell>
          <cell r="S285">
            <v>334.56420596740901</v>
          </cell>
          <cell r="T285">
            <v>506.08077972327999</v>
          </cell>
          <cell r="U285">
            <v>3542.5654580629598</v>
          </cell>
        </row>
        <row r="286">
          <cell r="B286" t="str">
            <v>FQ(3)</v>
          </cell>
          <cell r="C286">
            <v>137</v>
          </cell>
          <cell r="D286">
            <v>25</v>
          </cell>
          <cell r="E286">
            <v>-68</v>
          </cell>
          <cell r="F286">
            <v>68</v>
          </cell>
          <cell r="G286">
            <v>-4.7939999999999996</v>
          </cell>
          <cell r="H286">
            <v>91.387</v>
          </cell>
          <cell r="I286">
            <v>209.214</v>
          </cell>
          <cell r="J286">
            <v>65.400999999999996</v>
          </cell>
          <cell r="K286">
            <v>457.80700000000002</v>
          </cell>
          <cell r="M286">
            <v>-23.105</v>
          </cell>
          <cell r="N286">
            <v>33.174999999999997</v>
          </cell>
          <cell r="O286">
            <v>15.680999999999999</v>
          </cell>
          <cell r="P286">
            <v>123.145</v>
          </cell>
          <cell r="Q286">
            <v>215</v>
          </cell>
          <cell r="R286">
            <v>2.601</v>
          </cell>
          <cell r="S286">
            <v>30.805</v>
          </cell>
          <cell r="T286">
            <v>56.757428571428569</v>
          </cell>
          <cell r="U286">
            <v>397.30199999999996</v>
          </cell>
        </row>
        <row r="287">
          <cell r="B287" t="str">
            <v>FQ(2)</v>
          </cell>
          <cell r="C287">
            <v>229.1</v>
          </cell>
          <cell r="D287">
            <v>-0.61799999999999999</v>
          </cell>
          <cell r="E287">
            <v>84</v>
          </cell>
          <cell r="F287">
            <v>105</v>
          </cell>
          <cell r="G287">
            <v>-54.902999999999999</v>
          </cell>
          <cell r="H287">
            <v>103.407</v>
          </cell>
          <cell r="I287">
            <v>261.56099999999998</v>
          </cell>
          <cell r="J287">
            <v>103.9352857142857</v>
          </cell>
          <cell r="K287">
            <v>727.54699999999991</v>
          </cell>
          <cell r="M287">
            <v>6.8895899999999903</v>
          </cell>
          <cell r="N287">
            <v>38.960999999999999</v>
          </cell>
          <cell r="O287">
            <v>28.571999999999999</v>
          </cell>
          <cell r="P287">
            <v>136.26599999999999</v>
          </cell>
          <cell r="Q287">
            <v>228</v>
          </cell>
          <cell r="R287">
            <v>60.262999999999998</v>
          </cell>
          <cell r="S287">
            <v>49.021000000000001</v>
          </cell>
          <cell r="T287">
            <v>78.281798571428567</v>
          </cell>
          <cell r="U287">
            <v>547.97258999999997</v>
          </cell>
        </row>
        <row r="288">
          <cell r="B288" t="str">
            <v>FQ(1)</v>
          </cell>
          <cell r="C288">
            <v>193</v>
          </cell>
          <cell r="D288">
            <v>27</v>
          </cell>
          <cell r="E288">
            <v>-12</v>
          </cell>
          <cell r="F288">
            <v>83</v>
          </cell>
          <cell r="G288">
            <v>1.8857268832559799</v>
          </cell>
          <cell r="H288">
            <v>105.08</v>
          </cell>
          <cell r="I288">
            <v>347.79899999999998</v>
          </cell>
          <cell r="J288">
            <v>106.53781812617942</v>
          </cell>
          <cell r="K288">
            <v>745.76472688325589</v>
          </cell>
          <cell r="M288">
            <v>30.623000000000001</v>
          </cell>
          <cell r="N288">
            <v>62.628999999999998</v>
          </cell>
          <cell r="O288">
            <v>44.501489999999997</v>
          </cell>
          <cell r="P288">
            <v>140.827</v>
          </cell>
          <cell r="Q288">
            <v>307</v>
          </cell>
          <cell r="R288">
            <v>6.0990000000000002</v>
          </cell>
          <cell r="S288">
            <v>62.392000000000003</v>
          </cell>
          <cell r="T288">
            <v>93.438784285714306</v>
          </cell>
          <cell r="U288">
            <v>654.07149000000015</v>
          </cell>
        </row>
        <row r="289">
          <cell r="B289" t="str">
            <v>Last Reported Q</v>
          </cell>
          <cell r="C289">
            <v>990.1</v>
          </cell>
          <cell r="D289">
            <v>249.58199999999999</v>
          </cell>
          <cell r="E289">
            <v>576</v>
          </cell>
          <cell r="F289">
            <v>427.8</v>
          </cell>
          <cell r="G289">
            <v>-47.731873116743998</v>
          </cell>
          <cell r="H289">
            <v>442.75700000000001</v>
          </cell>
          <cell r="I289">
            <v>1213.5719999999999</v>
          </cell>
          <cell r="J289">
            <v>550.29701812617952</v>
          </cell>
          <cell r="K289">
            <v>3852.0791268832563</v>
          </cell>
          <cell r="M289">
            <v>95.928809999999999</v>
          </cell>
          <cell r="N289">
            <v>231.32900000000001</v>
          </cell>
          <cell r="O289">
            <v>159.06599</v>
          </cell>
          <cell r="P289">
            <v>240.95</v>
          </cell>
          <cell r="Q289">
            <v>1099.8</v>
          </cell>
          <cell r="R289">
            <v>405.17</v>
          </cell>
          <cell r="S289">
            <v>219.893</v>
          </cell>
          <cell r="T289">
            <v>350.3052571428571</v>
          </cell>
          <cell r="U289">
            <v>2452.1367999999998</v>
          </cell>
        </row>
        <row r="290">
          <cell r="B290" t="str">
            <v>LTM</v>
          </cell>
          <cell r="C290">
            <v>1549.2</v>
          </cell>
          <cell r="D290">
            <v>300.964</v>
          </cell>
          <cell r="E290">
            <v>580</v>
          </cell>
          <cell r="F290">
            <v>683.8</v>
          </cell>
          <cell r="G290">
            <v>-105.54314623348802</v>
          </cell>
          <cell r="H290">
            <v>742.63099999999997</v>
          </cell>
          <cell r="I290">
            <v>2032.1459999999997</v>
          </cell>
          <cell r="J290">
            <v>826.17112196664436</v>
          </cell>
          <cell r="K290">
            <v>5783.1978537665109</v>
          </cell>
          <cell r="M290">
            <v>110.3364</v>
          </cell>
          <cell r="N290">
            <v>366.09399999999999</v>
          </cell>
          <cell r="O290">
            <v>247.82048</v>
          </cell>
          <cell r="P290">
            <v>641.18799999999999</v>
          </cell>
          <cell r="Q290">
            <v>1849.8</v>
          </cell>
          <cell r="R290">
            <v>474.13300000000004</v>
          </cell>
          <cell r="S290">
            <v>362.11099999999999</v>
          </cell>
          <cell r="T290">
            <v>578.78326857142849</v>
          </cell>
          <cell r="U290">
            <v>4051.4828799999996</v>
          </cell>
        </row>
        <row r="291">
          <cell r="B291" t="str">
            <v>FQ(3)</v>
          </cell>
          <cell r="C291">
            <v>6.4183381088825209E-2</v>
          </cell>
          <cell r="D291">
            <v>3.6115991111283878E-2</v>
          </cell>
          <cell r="E291">
            <v>0.10436097806906983</v>
          </cell>
          <cell r="F291">
            <v>2.9552368535419381E-2</v>
          </cell>
          <cell r="G291">
            <v>-8.5798356710030096E-2</v>
          </cell>
          <cell r="H291">
            <v>5.6159579081397279E-2</v>
          </cell>
          <cell r="I291">
            <v>4.3851399344251564E-2</v>
          </cell>
          <cell r="J291">
            <v>3.5489334360031009E-2</v>
          </cell>
          <cell r="K291">
            <v>5.8316995678285438E-2</v>
          </cell>
          <cell r="M291">
            <v>9.7305990751085966E-2</v>
          </cell>
          <cell r="N291">
            <v>9.8874375558863026E-2</v>
          </cell>
          <cell r="O291">
            <v>4.2699569393839017E-2</v>
          </cell>
          <cell r="P291">
            <v>0.19376130355109239</v>
          </cell>
          <cell r="Q291">
            <v>5.9529642332190102E-2</v>
          </cell>
          <cell r="R291">
            <v>7.3194762331742616E-2</v>
          </cell>
          <cell r="S291">
            <v>7.9800739256570843E-2</v>
          </cell>
          <cell r="T291">
            <v>9.2166626167912005E-2</v>
          </cell>
          <cell r="U291">
            <v>7.7996182250806484E-2</v>
          </cell>
        </row>
        <row r="292">
          <cell r="A292" t="str">
            <v>mstag:adjEpsForConsensus</v>
          </cell>
          <cell r="B292" t="str">
            <v>EPS</v>
          </cell>
          <cell r="C292">
            <v>3.7658053875755909E-2</v>
          </cell>
          <cell r="D292">
            <v>6.4359422215875383E-3</v>
          </cell>
          <cell r="E292">
            <v>9.6172340834775917E-3</v>
          </cell>
          <cell r="F292">
            <v>3.9859320046893319E-2</v>
          </cell>
          <cell r="G292">
            <v>-7.7165014663606243E-3</v>
          </cell>
          <cell r="H292">
            <v>5.4024032882497568E-2</v>
          </cell>
          <cell r="I292">
            <v>4.8048515648253277E-2</v>
          </cell>
          <cell r="J292">
            <v>2.6846656756014938E-2</v>
          </cell>
          <cell r="K292">
            <v>2.7296515280776795E-2</v>
          </cell>
          <cell r="M292">
            <v>-4.3768051544101315E-2</v>
          </cell>
          <cell r="N292">
            <v>8.1306491774993619E-2</v>
          </cell>
          <cell r="O292">
            <v>2.5622549019607841E-2</v>
          </cell>
          <cell r="P292">
            <v>0.22588351439616103</v>
          </cell>
          <cell r="Q292">
            <v>6.8755996162456035E-2</v>
          </cell>
          <cell r="R292">
            <v>1.507618953222079E-3</v>
          </cell>
          <cell r="S292">
            <v>8.0055405981351163E-2</v>
          </cell>
          <cell r="T292">
            <v>6.2766217820527201E-2</v>
          </cell>
          <cell r="U292">
            <v>6.2249080363126458E-2</v>
          </cell>
        </row>
        <row r="293">
          <cell r="B293" t="str">
            <v>FY(10)</v>
          </cell>
          <cell r="C293">
            <v>0.77521446372088398</v>
          </cell>
          <cell r="D293">
            <v>1.4</v>
          </cell>
          <cell r="E293">
            <v>1.8784153005464499</v>
          </cell>
          <cell r="F293">
            <v>1.4613761964962999</v>
          </cell>
          <cell r="G293" t="str">
            <v>NA</v>
          </cell>
          <cell r="H293">
            <v>1.6372326095779799</v>
          </cell>
          <cell r="I293">
            <v>1.6577637227997</v>
          </cell>
          <cell r="J293">
            <v>1.8959747286601904E-2</v>
          </cell>
          <cell r="K293">
            <v>3.092076908075473E-2</v>
          </cell>
          <cell r="M293">
            <v>1.3898421605150499</v>
          </cell>
          <cell r="N293" t="str">
            <v>NA</v>
          </cell>
          <cell r="O293">
            <v>0.41371261553099398</v>
          </cell>
          <cell r="P293" t="str">
            <v>NA</v>
          </cell>
          <cell r="Q293" t="str">
            <v>NA</v>
          </cell>
          <cell r="R293">
            <v>0.81070495076287297</v>
          </cell>
          <cell r="S293">
            <v>0.13085369962356699</v>
          </cell>
          <cell r="T293">
            <v>7.2375282624266277E-2</v>
          </cell>
          <cell r="U293">
            <v>6.4194610152069412E-2</v>
          </cell>
        </row>
        <row r="294">
          <cell r="B294" t="str">
            <v>FY(9)</v>
          </cell>
          <cell r="C294">
            <v>1.07237890611166</v>
          </cell>
          <cell r="D294">
            <v>-0.44</v>
          </cell>
          <cell r="E294">
            <v>2.10016098088076</v>
          </cell>
          <cell r="F294">
            <v>0.92919013844067999</v>
          </cell>
          <cell r="G294" t="str">
            <v>NA</v>
          </cell>
          <cell r="H294">
            <v>0.90120980436249298</v>
          </cell>
          <cell r="I294">
            <v>0.93027911866000801</v>
          </cell>
          <cell r="J294">
            <v>3.2613120775195285E-2</v>
          </cell>
          <cell r="K294">
            <v>3.28813844777502E-2</v>
          </cell>
          <cell r="M294">
            <v>1.53542621089314</v>
          </cell>
          <cell r="N294" t="str">
            <v>NA</v>
          </cell>
          <cell r="O294">
            <v>0.42122774912660099</v>
          </cell>
          <cell r="P294">
            <v>0.13003536181999101</v>
          </cell>
          <cell r="Q294">
            <v>0.999041521977453</v>
          </cell>
          <cell r="R294">
            <v>0.78378468838372195</v>
          </cell>
          <cell r="S294">
            <v>7.5941413026930193E-2</v>
          </cell>
          <cell r="T294">
            <v>8.699911328383772E-2</v>
          </cell>
          <cell r="U294">
            <v>0.10112604374923474</v>
          </cell>
        </row>
        <row r="295">
          <cell r="B295" t="str">
            <v>FY(8)</v>
          </cell>
          <cell r="C295">
            <v>1.4191983074683301</v>
          </cell>
          <cell r="D295">
            <v>0.56999999999999995</v>
          </cell>
          <cell r="E295">
            <v>1.60143363650378</v>
          </cell>
          <cell r="F295">
            <v>0.46398124546486302</v>
          </cell>
          <cell r="G295" t="str">
            <v>NA</v>
          </cell>
          <cell r="H295">
            <v>0.95576405027709099</v>
          </cell>
          <cell r="I295">
            <v>0.97136844341894002</v>
          </cell>
          <cell r="J295">
            <v>2.9910983539014519E-2</v>
          </cell>
          <cell r="K295">
            <v>3.8970939552062538E-2</v>
          </cell>
          <cell r="M295">
            <v>1.6249853692793901</v>
          </cell>
          <cell r="N295" t="str">
            <v>NA</v>
          </cell>
          <cell r="O295">
            <v>0.45921469255751202</v>
          </cell>
          <cell r="P295">
            <v>0.195661357058865</v>
          </cell>
          <cell r="Q295">
            <v>-8.90735342104753E-3</v>
          </cell>
          <cell r="R295">
            <v>0.78103307517848597</v>
          </cell>
          <cell r="S295">
            <v>0.107571157241721</v>
          </cell>
          <cell r="T295">
            <v>8.142679641502977E-2</v>
          </cell>
          <cell r="U295">
            <v>7.8553207218398979E-2</v>
          </cell>
        </row>
        <row r="296">
          <cell r="B296" t="str">
            <v>FY(7)</v>
          </cell>
          <cell r="C296">
            <v>1.8429396202147099</v>
          </cell>
          <cell r="D296">
            <v>0.94</v>
          </cell>
          <cell r="E296">
            <v>1.70938972591492</v>
          </cell>
          <cell r="F296">
            <v>0.370127283723937</v>
          </cell>
          <cell r="G296" t="str">
            <v>NA</v>
          </cell>
          <cell r="H296">
            <v>1.2544579038447099</v>
          </cell>
          <cell r="I296">
            <v>1.07558342936518</v>
          </cell>
          <cell r="M296">
            <v>1.9353280798163599</v>
          </cell>
          <cell r="N296">
            <v>0.40010402540755902</v>
          </cell>
          <cell r="O296">
            <v>0.45635198695666102</v>
          </cell>
          <cell r="P296">
            <v>0.21405208526080999</v>
          </cell>
          <cell r="Q296">
            <v>0.51707348651642404</v>
          </cell>
          <cell r="R296">
            <v>0.97464618533151604</v>
          </cell>
          <cell r="S296">
            <v>0.176735357727373</v>
          </cell>
        </row>
        <row r="297">
          <cell r="B297" t="str">
            <v>FY(6)</v>
          </cell>
          <cell r="C297">
            <v>1.6897901951429499</v>
          </cell>
          <cell r="D297">
            <v>1.2</v>
          </cell>
          <cell r="E297">
            <v>1.8506172802885601</v>
          </cell>
          <cell r="F297">
            <v>0.88174338254112505</v>
          </cell>
          <cell r="G297">
            <v>-0.499913824862043</v>
          </cell>
          <cell r="H297">
            <v>1.4667904170775601</v>
          </cell>
          <cell r="I297">
            <v>1.1603136408820001</v>
          </cell>
          <cell r="M297">
            <v>2.0569391444065102</v>
          </cell>
          <cell r="N297">
            <v>0.62053859923024501</v>
          </cell>
          <cell r="O297">
            <v>0.383656247547559</v>
          </cell>
          <cell r="P297">
            <v>0.32926625843458401</v>
          </cell>
          <cell r="Q297">
            <v>1.0553914221029499</v>
          </cell>
          <cell r="R297">
            <v>1.1101679803131399</v>
          </cell>
          <cell r="S297">
            <v>0.29924111670925502</v>
          </cell>
        </row>
        <row r="298">
          <cell r="A298" t="str">
            <v>mscalc:totalCashIncludingShorttermInvestmentsForCac</v>
          </cell>
          <cell r="B298" t="str">
            <v>FY(5)</v>
          </cell>
          <cell r="C298">
            <v>2.04119863603426</v>
          </cell>
          <cell r="D298">
            <v>2.2599999999999998</v>
          </cell>
          <cell r="E298">
            <v>2.20692086134141</v>
          </cell>
          <cell r="F298">
            <v>1.3831814139226799</v>
          </cell>
          <cell r="G298">
            <v>-0.49610332398208501</v>
          </cell>
          <cell r="H298">
            <v>1.2040334606671801</v>
          </cell>
          <cell r="I298">
            <v>1.2268856649054201</v>
          </cell>
          <cell r="M298">
            <v>2.5439339071322</v>
          </cell>
          <cell r="N298">
            <v>1.0125578552091501</v>
          </cell>
          <cell r="O298">
            <v>0.99496818508559404</v>
          </cell>
          <cell r="P298">
            <v>0.57122145046919004</v>
          </cell>
          <cell r="Q298">
            <v>1.22494717770251</v>
          </cell>
          <cell r="R298">
            <v>1.4087813785758301</v>
          </cell>
          <cell r="S298">
            <v>0.540867507514041</v>
          </cell>
        </row>
        <row r="299">
          <cell r="B299" t="str">
            <v>FY(4)</v>
          </cell>
          <cell r="C299">
            <v>2.4284486808766101</v>
          </cell>
          <cell r="D299">
            <v>3.6336397603584198</v>
          </cell>
          <cell r="E299">
            <v>2.5058780966631602</v>
          </cell>
          <cell r="F299">
            <v>1.98426148320344</v>
          </cell>
          <cell r="G299">
            <v>-0.81891959260101599</v>
          </cell>
          <cell r="H299">
            <v>1.3624223480615401</v>
          </cell>
          <cell r="I299">
            <v>1.2668460007154301</v>
          </cell>
          <cell r="J299">
            <v>934.86214260037673</v>
          </cell>
          <cell r="K299">
            <v>6544.0349982026373</v>
          </cell>
          <cell r="M299">
            <v>3.9858565461900199</v>
          </cell>
          <cell r="N299">
            <v>1.0005780312375301</v>
          </cell>
          <cell r="O299">
            <v>1.26039453978226</v>
          </cell>
          <cell r="P299">
            <v>0.86277489742203195</v>
          </cell>
          <cell r="Q299">
            <v>1.1929264385604199</v>
          </cell>
          <cell r="R299">
            <v>1.3287632730684</v>
          </cell>
          <cell r="S299">
            <v>0.76400511877328903</v>
          </cell>
          <cell r="T299">
            <v>742.61106636551267</v>
          </cell>
          <cell r="U299">
            <v>5198.2774645585887</v>
          </cell>
        </row>
        <row r="300">
          <cell r="B300" t="str">
            <v>FY(3)</v>
          </cell>
          <cell r="C300">
            <v>3.31</v>
          </cell>
          <cell r="D300">
            <v>4.8837209302325597</v>
          </cell>
          <cell r="E300">
            <v>2.0770614304446702</v>
          </cell>
          <cell r="F300">
            <v>2.55149905494669</v>
          </cell>
          <cell r="G300">
            <v>0.21962195068579499</v>
          </cell>
          <cell r="H300">
            <v>1.7017917007071</v>
          </cell>
          <cell r="I300">
            <v>1.6338775120122</v>
          </cell>
          <cell r="J300">
            <v>747.65958469519319</v>
          </cell>
          <cell r="K300">
            <v>5233.6170928663523</v>
          </cell>
          <cell r="M300">
            <v>4.8529942397565504</v>
          </cell>
          <cell r="N300">
            <v>1.2508897900467499</v>
          </cell>
          <cell r="O300">
            <v>1.6960864158610001</v>
          </cell>
          <cell r="P300">
            <v>1.1943771412713899</v>
          </cell>
          <cell r="Q300">
            <v>0.93175389657940999</v>
          </cell>
          <cell r="R300">
            <v>1.67714662290667</v>
          </cell>
          <cell r="S300">
            <v>0.64679793670709995</v>
          </cell>
          <cell r="T300">
            <v>742.61106636551267</v>
          </cell>
          <cell r="U300">
            <v>5198.2774645585887</v>
          </cell>
        </row>
        <row r="301">
          <cell r="B301" t="str">
            <v>FY(2)</v>
          </cell>
          <cell r="C301">
            <v>3.39</v>
          </cell>
          <cell r="D301">
            <v>4.7651826357277702</v>
          </cell>
          <cell r="E301">
            <v>2.1292197011621501</v>
          </cell>
          <cell r="F301">
            <v>2.7888518417687198</v>
          </cell>
          <cell r="G301">
            <v>0.41278125259495102</v>
          </cell>
          <cell r="H301">
            <v>1.9036822857226201</v>
          </cell>
          <cell r="I301">
            <v>1.92828963541067</v>
          </cell>
          <cell r="J301">
            <v>741.50341404003791</v>
          </cell>
          <cell r="K301">
            <v>5190.5238982802657</v>
          </cell>
          <cell r="M301">
            <v>5.45356904821739</v>
          </cell>
          <cell r="N301">
            <v>1.11670185002093</v>
          </cell>
          <cell r="O301">
            <v>1.8159569638641699</v>
          </cell>
          <cell r="P301">
            <v>1.6868129829656899</v>
          </cell>
          <cell r="Q301">
            <v>1.11882277420426</v>
          </cell>
          <cell r="R301">
            <v>1.2136220796667601</v>
          </cell>
          <cell r="S301">
            <v>0.89916095308231403</v>
          </cell>
          <cell r="T301">
            <v>755.60655281196853</v>
          </cell>
          <cell r="U301">
            <v>5289.2458696837793</v>
          </cell>
        </row>
        <row r="302">
          <cell r="B302" t="str">
            <v>FY(1)</v>
          </cell>
          <cell r="C302">
            <v>2.89</v>
          </cell>
          <cell r="D302">
            <v>2.52400843811626</v>
          </cell>
          <cell r="E302">
            <v>1.29323129857033</v>
          </cell>
          <cell r="F302">
            <v>1.80139710078758</v>
          </cell>
          <cell r="G302">
            <v>-0.79312003221084204</v>
          </cell>
          <cell r="H302">
            <v>2.3067627390142502</v>
          </cell>
          <cell r="I302">
            <v>1.9985273245524799</v>
          </cell>
          <cell r="J302">
            <v>1191.4163447597857</v>
          </cell>
          <cell r="K302">
            <v>8339.9144133185</v>
          </cell>
          <cell r="M302">
            <v>3.5722553046670802</v>
          </cell>
          <cell r="N302">
            <v>1.4741130973521199</v>
          </cell>
          <cell r="O302">
            <v>0.98702199612683195</v>
          </cell>
          <cell r="P302">
            <v>2.0596348737991299</v>
          </cell>
          <cell r="Q302">
            <v>1.34492350486787</v>
          </cell>
          <cell r="R302">
            <v>1.0476755183056099</v>
          </cell>
          <cell r="S302">
            <v>1.16684752728228</v>
          </cell>
          <cell r="T302">
            <v>1087.3847737330791</v>
          </cell>
          <cell r="U302">
            <v>7611.693416131553</v>
          </cell>
        </row>
        <row r="303">
          <cell r="B303" t="str">
            <v>FY0</v>
          </cell>
          <cell r="C303">
            <v>3.2250814332247599</v>
          </cell>
          <cell r="D303">
            <v>1.07185741893923</v>
          </cell>
          <cell r="E303">
            <v>1.3637977980347999</v>
          </cell>
          <cell r="F303">
            <v>1.9476439790575899</v>
          </cell>
          <cell r="G303">
            <v>-0.32505046574263302</v>
          </cell>
          <cell r="H303">
            <v>3.5404627917437099</v>
          </cell>
          <cell r="I303">
            <v>2.83955201617291</v>
          </cell>
          <cell r="J303">
            <v>1563.6266665338462</v>
          </cell>
          <cell r="K303">
            <v>10945.386665736924</v>
          </cell>
          <cell r="M303">
            <v>1.0857232916170301</v>
          </cell>
          <cell r="N303">
            <v>2.2898250181267499</v>
          </cell>
          <cell r="O303">
            <v>0.76073186478937904</v>
          </cell>
          <cell r="P303">
            <v>1.9105951722867101</v>
          </cell>
          <cell r="Q303">
            <v>1.57451682176092</v>
          </cell>
          <cell r="R303">
            <v>1.2399430783590699</v>
          </cell>
          <cell r="S303">
            <v>1.2842313990523899</v>
          </cell>
          <cell r="T303">
            <v>1157.569772525901</v>
          </cell>
          <cell r="U303">
            <v>8102.9884076813069</v>
          </cell>
        </row>
        <row r="304">
          <cell r="B304" t="str">
            <v>FY1</v>
          </cell>
          <cell r="C304">
            <v>3.84</v>
          </cell>
          <cell r="D304">
            <v>1.5673931502691101</v>
          </cell>
          <cell r="E304">
            <v>1.8332979923671699</v>
          </cell>
          <cell r="F304">
            <v>2.5862513892318302</v>
          </cell>
          <cell r="G304">
            <v>-9.7405174087837498E-2</v>
          </cell>
          <cell r="H304">
            <v>4.2896851724700404</v>
          </cell>
          <cell r="I304">
            <v>3.4390463814732599</v>
          </cell>
          <cell r="J304">
            <v>741.43169975432386</v>
          </cell>
          <cell r="K304">
            <v>5190.0218982802671</v>
          </cell>
          <cell r="M304">
            <v>1.7864819853377301</v>
          </cell>
          <cell r="N304">
            <v>2.7325550569536099</v>
          </cell>
          <cell r="O304">
            <v>1.15945960309165</v>
          </cell>
          <cell r="P304">
            <v>2.1782807832683999</v>
          </cell>
          <cell r="Q304">
            <v>1.6516746689870401</v>
          </cell>
          <cell r="R304">
            <v>1.69537580939143</v>
          </cell>
          <cell r="S304">
            <v>1.61941939902598</v>
          </cell>
          <cell r="T304">
            <v>699.77055281196863</v>
          </cell>
          <cell r="U304">
            <v>4898.3938696837804</v>
          </cell>
        </row>
        <row r="305">
          <cell r="B305" t="str">
            <v>FY2</v>
          </cell>
          <cell r="C305">
            <v>4.5728797622460302</v>
          </cell>
          <cell r="D305">
            <v>1.94285457963845</v>
          </cell>
          <cell r="E305">
            <v>2.0856204477039402</v>
          </cell>
          <cell r="F305">
            <v>2.9116860600686101</v>
          </cell>
          <cell r="G305">
            <v>0.13182592432298201</v>
          </cell>
          <cell r="H305">
            <v>4.8723869135682998</v>
          </cell>
          <cell r="I305">
            <v>3.8781326293192002</v>
          </cell>
          <cell r="J305">
            <v>698.08827118289616</v>
          </cell>
          <cell r="K305">
            <v>4886.617898280273</v>
          </cell>
          <cell r="M305">
            <v>2.4574533255178199</v>
          </cell>
          <cell r="N305">
            <v>2.98453685978743</v>
          </cell>
          <cell r="O305">
            <v>1.4121827801328699</v>
          </cell>
          <cell r="P305">
            <v>2.4232914952671898</v>
          </cell>
          <cell r="Q305">
            <v>1.7645736925778299</v>
          </cell>
          <cell r="R305">
            <v>1.98791893284279</v>
          </cell>
          <cell r="S305">
            <v>1.9456738520825001</v>
          </cell>
          <cell r="T305">
            <v>646.65298138339688</v>
          </cell>
          <cell r="U305">
            <v>4526.5708696837783</v>
          </cell>
        </row>
        <row r="306">
          <cell r="B306" t="str">
            <v>FQ(3)</v>
          </cell>
          <cell r="C306">
            <v>0.45</v>
          </cell>
          <cell r="D306">
            <v>0.112258643915582</v>
          </cell>
          <cell r="E306">
            <v>-0.16136687233032701</v>
          </cell>
          <cell r="F306">
            <v>0.31278748850046001</v>
          </cell>
          <cell r="G306">
            <v>-3.4664526345474199E-2</v>
          </cell>
          <cell r="H306">
            <v>0.72206156569008495</v>
          </cell>
          <cell r="I306">
            <v>0.48651822379909199</v>
          </cell>
          <cell r="J306">
            <v>951.39055689718236</v>
          </cell>
          <cell r="K306">
            <v>6659.7338982802767</v>
          </cell>
          <cell r="M306">
            <v>-0.26346397254181902</v>
          </cell>
          <cell r="N306">
            <v>0.32625264296602202</v>
          </cell>
          <cell r="O306">
            <v>7.5649103171463603E-2</v>
          </cell>
          <cell r="P306">
            <v>0.38320548925643</v>
          </cell>
          <cell r="Q306">
            <v>0.30846484935437601</v>
          </cell>
          <cell r="R306">
            <v>8.04553257961238E-3</v>
          </cell>
          <cell r="S306">
            <v>0.18086892567228299</v>
          </cell>
          <cell r="T306">
            <v>817.61028571428574</v>
          </cell>
          <cell r="U306">
            <v>5723.2719999999999</v>
          </cell>
        </row>
        <row r="307">
          <cell r="B307" t="str">
            <v>FQ(2)</v>
          </cell>
          <cell r="C307">
            <v>0.75</v>
          </cell>
          <cell r="D307">
            <v>-2.64328485885372E-3</v>
          </cell>
          <cell r="E307">
            <v>0.19900497512437801</v>
          </cell>
          <cell r="F307">
            <v>0.479890310786106</v>
          </cell>
          <cell r="G307">
            <v>-0.396913067052232</v>
          </cell>
          <cell r="H307">
            <v>0.82292412739340104</v>
          </cell>
          <cell r="I307">
            <v>0.60764125235507704</v>
          </cell>
          <cell r="J307">
            <v>951.70144671342098</v>
          </cell>
          <cell r="K307">
            <v>6661.9101269939465</v>
          </cell>
          <cell r="M307">
            <v>7.8399485650561193E-2</v>
          </cell>
          <cell r="N307">
            <v>0.38030953043325499</v>
          </cell>
          <cell r="O307">
            <v>0.13669832308686</v>
          </cell>
          <cell r="P307">
            <v>0.42515100838658099</v>
          </cell>
          <cell r="Q307">
            <v>0.32571428571428601</v>
          </cell>
          <cell r="R307">
            <v>0.18502780191404899</v>
          </cell>
          <cell r="S307">
            <v>0.28714391088612501</v>
          </cell>
          <cell r="T307">
            <v>844.17771428571439</v>
          </cell>
          <cell r="U307">
            <v>5909.2440000000006</v>
          </cell>
        </row>
        <row r="308">
          <cell r="B308" t="str">
            <v>FQ(1)</v>
          </cell>
          <cell r="C308">
            <v>0.63</v>
          </cell>
          <cell r="D308">
            <v>0.11363636363636399</v>
          </cell>
          <cell r="E308">
            <v>-2.8449502133712699E-2</v>
          </cell>
          <cell r="F308">
            <v>0.37607612143180802</v>
          </cell>
          <cell r="G308">
            <v>1.23689909433279E-2</v>
          </cell>
          <cell r="H308">
            <v>0.843013927219047</v>
          </cell>
          <cell r="I308">
            <v>0.81243984937817104</v>
          </cell>
          <cell r="J308">
            <v>951.70144671342098</v>
          </cell>
          <cell r="K308">
            <v>6661.9101269939465</v>
          </cell>
          <cell r="M308">
            <v>0.34512566212104101</v>
          </cell>
          <cell r="N308">
            <v>0.61409108068224705</v>
          </cell>
          <cell r="O308">
            <v>0.21252615894514101</v>
          </cell>
          <cell r="P308">
            <v>0.43855628046027101</v>
          </cell>
          <cell r="Q308">
            <v>0.43607954545454503</v>
          </cell>
          <cell r="R308">
            <v>1.8579840918299399E-2</v>
          </cell>
          <cell r="S308">
            <v>0.36392078850375198</v>
          </cell>
          <cell r="T308">
            <v>844.17771428571439</v>
          </cell>
          <cell r="U308">
            <v>5909.2440000000006</v>
          </cell>
        </row>
        <row r="309">
          <cell r="B309" t="str">
            <v>Last Reported Q</v>
          </cell>
          <cell r="C309">
            <v>3.2250814332247599</v>
          </cell>
          <cell r="D309">
            <v>1.07185741893923</v>
          </cell>
          <cell r="E309">
            <v>1.3637977980347999</v>
          </cell>
          <cell r="F309">
            <v>1.9476439790575899</v>
          </cell>
          <cell r="G309">
            <v>-0.32505046574263302</v>
          </cell>
          <cell r="H309">
            <v>3.5404627917437099</v>
          </cell>
          <cell r="I309">
            <v>2.83955201617291</v>
          </cell>
          <cell r="M309">
            <v>1.0857232916170301</v>
          </cell>
          <cell r="N309">
            <v>2.2898250181267499</v>
          </cell>
          <cell r="O309">
            <v>0.76073186478937904</v>
          </cell>
          <cell r="P309">
            <v>0.74973318273326695</v>
          </cell>
          <cell r="Q309">
            <v>1.57451682176092</v>
          </cell>
          <cell r="R309">
            <v>1.2399430783590699</v>
          </cell>
          <cell r="S309">
            <v>1.2842313990523899</v>
          </cell>
        </row>
        <row r="310">
          <cell r="A310" t="str">
            <v>mstag:shortTermBorrowings</v>
          </cell>
          <cell r="B310" t="str">
            <v>LTM</v>
          </cell>
          <cell r="C310">
            <v>5.0550814332247604</v>
          </cell>
          <cell r="D310">
            <v>1.2951091416323224</v>
          </cell>
          <cell r="E310">
            <v>1.3729863986951383</v>
          </cell>
          <cell r="F310">
            <v>3.116397899775964</v>
          </cell>
          <cell r="G310">
            <v>-0.74425906819701138</v>
          </cell>
          <cell r="H310">
            <v>5.928462412046243</v>
          </cell>
          <cell r="I310">
            <v>4.7461513417052501</v>
          </cell>
          <cell r="M310">
            <v>1.2457844668468132</v>
          </cell>
          <cell r="N310">
            <v>3.6104782722082742</v>
          </cell>
          <cell r="O310">
            <v>1.1856054499928437</v>
          </cell>
          <cell r="P310">
            <v>1.996645960836549</v>
          </cell>
          <cell r="Q310">
            <v>2.6447755022841273</v>
          </cell>
          <cell r="R310">
            <v>1.4515962537710307</v>
          </cell>
          <cell r="S310">
            <v>2.11616502411455</v>
          </cell>
        </row>
        <row r="311">
          <cell r="B311" t="str">
            <v>FY(2)</v>
          </cell>
          <cell r="C311">
            <v>18.841000000000001</v>
          </cell>
          <cell r="D311">
            <v>434</v>
          </cell>
          <cell r="E311">
            <v>650</v>
          </cell>
          <cell r="F311">
            <v>6.8</v>
          </cell>
          <cell r="G311">
            <v>236.667</v>
          </cell>
          <cell r="H311">
            <v>0</v>
          </cell>
          <cell r="I311">
            <v>1.8540000000000001</v>
          </cell>
          <cell r="J311">
            <v>192.59457142857141</v>
          </cell>
          <cell r="K311">
            <v>1348.1619999999998</v>
          </cell>
          <cell r="M311">
            <v>0</v>
          </cell>
          <cell r="N311">
            <v>0</v>
          </cell>
          <cell r="O311">
            <v>0</v>
          </cell>
          <cell r="P311">
            <v>0.23499999999999999</v>
          </cell>
          <cell r="Q311">
            <v>325</v>
          </cell>
          <cell r="R311">
            <v>18</v>
          </cell>
          <cell r="S311" t="str">
            <v>NA</v>
          </cell>
          <cell r="T311">
            <v>57.205833333333338</v>
          </cell>
          <cell r="U311">
            <v>343.23500000000001</v>
          </cell>
        </row>
        <row r="312">
          <cell r="B312" t="str">
            <v>EPS Y/Y Δ</v>
          </cell>
          <cell r="C312">
            <v>12.701000000000001</v>
          </cell>
          <cell r="D312">
            <v>203</v>
          </cell>
          <cell r="E312">
            <v>666</v>
          </cell>
          <cell r="F312">
            <v>261</v>
          </cell>
          <cell r="G312">
            <v>319.24200000000002</v>
          </cell>
          <cell r="H312">
            <v>0</v>
          </cell>
          <cell r="I312">
            <v>2.008</v>
          </cell>
          <cell r="J312">
            <v>209.13585714285713</v>
          </cell>
          <cell r="K312">
            <v>1463.951</v>
          </cell>
          <cell r="M312">
            <v>0</v>
          </cell>
          <cell r="N312">
            <v>0</v>
          </cell>
          <cell r="O312">
            <v>0</v>
          </cell>
          <cell r="P312">
            <v>0.28499999999999998</v>
          </cell>
          <cell r="Q312">
            <v>138</v>
          </cell>
          <cell r="R312">
            <v>0</v>
          </cell>
          <cell r="S312" t="str">
            <v>NA</v>
          </cell>
          <cell r="T312">
            <v>23.047499999999999</v>
          </cell>
          <cell r="U312">
            <v>138.285</v>
          </cell>
        </row>
        <row r="313">
          <cell r="B313" t="str">
            <v>FY(10)</v>
          </cell>
          <cell r="C313">
            <v>17</v>
          </cell>
          <cell r="D313">
            <v>0</v>
          </cell>
          <cell r="E313">
            <v>966</v>
          </cell>
          <cell r="F313">
            <v>299</v>
          </cell>
          <cell r="G313">
            <v>4.673</v>
          </cell>
          <cell r="H313">
            <v>0</v>
          </cell>
          <cell r="I313">
            <v>395.02699999999999</v>
          </cell>
          <cell r="J313">
            <v>240.24285714285716</v>
          </cell>
          <cell r="K313">
            <v>1681.7</v>
          </cell>
          <cell r="M313">
            <v>0</v>
          </cell>
          <cell r="N313">
            <v>0</v>
          </cell>
          <cell r="O313">
            <v>75</v>
          </cell>
          <cell r="P313">
            <v>8.0039999999999996</v>
          </cell>
          <cell r="Q313">
            <v>50</v>
          </cell>
          <cell r="R313">
            <v>0</v>
          </cell>
          <cell r="S313" t="str">
            <v>NA</v>
          </cell>
          <cell r="T313">
            <v>22.167333333333335</v>
          </cell>
          <cell r="U313">
            <v>133.00400000000002</v>
          </cell>
        </row>
        <row r="314">
          <cell r="B314" t="str">
            <v>FY(9)</v>
          </cell>
          <cell r="C314">
            <v>0.38333191174535419</v>
          </cell>
          <cell r="D314">
            <v>-1.3142857142857143</v>
          </cell>
          <cell r="E314">
            <v>0.11804933673070162</v>
          </cell>
          <cell r="F314">
            <v>-0.36416773403833624</v>
          </cell>
          <cell r="G314">
            <v>4.8470000000000004</v>
          </cell>
          <cell r="H314">
            <v>-0.44955298404739652</v>
          </cell>
          <cell r="I314">
            <v>-0.43883491605853564</v>
          </cell>
          <cell r="J314">
            <v>-0.34424334999232115</v>
          </cell>
          <cell r="K314">
            <v>799.84699999999998</v>
          </cell>
          <cell r="M314">
            <v>0.10474862147233988</v>
          </cell>
          <cell r="N314">
            <v>0</v>
          </cell>
          <cell r="O314">
            <v>1.8165106195665359E-2</v>
          </cell>
          <cell r="P314">
            <v>0.70399999999999996</v>
          </cell>
          <cell r="Q314">
            <v>0</v>
          </cell>
          <cell r="R314">
            <v>-3.3205992332745793E-2</v>
          </cell>
          <cell r="S314">
            <v>-0.41964642004471842</v>
          </cell>
          <cell r="T314">
            <v>-8.2484671177364743E-2</v>
          </cell>
          <cell r="U314">
            <v>50.704000000000001</v>
          </cell>
        </row>
        <row r="315">
          <cell r="B315" t="str">
            <v>FY(8)</v>
          </cell>
          <cell r="C315">
            <v>0.32341124893457951</v>
          </cell>
          <cell r="D315">
            <v>-2.2954545454545454</v>
          </cell>
          <cell r="E315">
            <v>-0.23747100765952955</v>
          </cell>
          <cell r="F315">
            <v>-0.50066060080717933</v>
          </cell>
          <cell r="G315">
            <v>4.8470000000000004</v>
          </cell>
          <cell r="H315">
            <v>6.0534456738616127E-2</v>
          </cell>
          <cell r="I315">
            <v>4.4168813353693048E-2</v>
          </cell>
          <cell r="J315">
            <v>-0.43424527248239436</v>
          </cell>
          <cell r="K315">
            <v>786.84699999999998</v>
          </cell>
          <cell r="M315">
            <v>5.832853298378593E-2</v>
          </cell>
          <cell r="N315">
            <v>0</v>
          </cell>
          <cell r="O315">
            <v>9.0181483792735495E-2</v>
          </cell>
          <cell r="P315">
            <v>0.50467806849125085</v>
          </cell>
          <cell r="Q315">
            <v>-1.0089158991143998</v>
          </cell>
          <cell r="R315">
            <v>-3.5106748651982933E-3</v>
          </cell>
          <cell r="S315">
            <v>0.41650191844039486</v>
          </cell>
          <cell r="T315">
            <v>9.5439049547615031E-3</v>
          </cell>
          <cell r="U315">
            <v>50</v>
          </cell>
        </row>
        <row r="316">
          <cell r="B316" t="str">
            <v>FY(7)</v>
          </cell>
          <cell r="C316">
            <v>0.29857794398182502</v>
          </cell>
          <cell r="D316">
            <v>0.64912280701754388</v>
          </cell>
          <cell r="E316">
            <v>6.7412153054826396E-2</v>
          </cell>
          <cell r="F316">
            <v>-0.20227964526215647</v>
          </cell>
          <cell r="G316">
            <v>4.673</v>
          </cell>
          <cell r="H316">
            <v>0.31251840188069724</v>
          </cell>
          <cell r="I316">
            <v>0.10728677326538727</v>
          </cell>
          <cell r="J316">
            <v>0.20543973898968723</v>
          </cell>
          <cell r="K316">
            <v>1681.7</v>
          </cell>
          <cell r="M316">
            <v>0.19098184907018156</v>
          </cell>
          <cell r="N316">
            <v>0</v>
          </cell>
          <cell r="O316">
            <v>-6.2339155241477595E-3</v>
          </cell>
          <cell r="P316">
            <v>9.3992643608273196E-2</v>
          </cell>
          <cell r="Q316">
            <v>-59.050181919874326</v>
          </cell>
          <cell r="R316">
            <v>0.24789361207114635</v>
          </cell>
          <cell r="S316">
            <v>0.64296231684330118</v>
          </cell>
          <cell r="T316">
            <v>-9.6467642356342616</v>
          </cell>
          <cell r="U316">
            <v>125.33499999999999</v>
          </cell>
        </row>
        <row r="317">
          <cell r="B317" t="str">
            <v>FY(6)</v>
          </cell>
          <cell r="C317">
            <v>-8.3100620005075121E-2</v>
          </cell>
          <cell r="D317">
            <v>0.27659574468085113</v>
          </cell>
          <cell r="E317">
            <v>8.2618698493727383E-2</v>
          </cell>
          <cell r="F317">
            <v>1.3822706979871873</v>
          </cell>
          <cell r="G317">
            <v>4.6859999999999999</v>
          </cell>
          <cell r="H317">
            <v>0.16926236630347291</v>
          </cell>
          <cell r="I317">
            <v>7.8776047681237138E-2</v>
          </cell>
          <cell r="J317">
            <v>0.3177371558569001</v>
          </cell>
          <cell r="K317">
            <v>1907.1309999999999</v>
          </cell>
          <cell r="M317">
            <v>6.2837441288863927E-2</v>
          </cell>
          <cell r="N317">
            <v>0.55094315434128438</v>
          </cell>
          <cell r="O317">
            <v>-0.15929751921077051</v>
          </cell>
          <cell r="P317">
            <v>0.53825298190107462</v>
          </cell>
          <cell r="Q317">
            <v>1.0410859377324253</v>
          </cell>
          <cell r="R317">
            <v>0.13904717119015597</v>
          </cell>
          <cell r="S317">
            <v>0.69315931207639814</v>
          </cell>
          <cell r="T317">
            <v>0.40943263990277595</v>
          </cell>
          <cell r="U317">
            <v>77.399000000000001</v>
          </cell>
        </row>
        <row r="318">
          <cell r="B318" t="str">
            <v>FY(5)</v>
          </cell>
          <cell r="C318">
            <v>0.20795980583943563</v>
          </cell>
          <cell r="D318">
            <v>0.8833333333333333</v>
          </cell>
          <cell r="E318">
            <v>0.19253228900861274</v>
          </cell>
          <cell r="F318">
            <v>0.56868930497266024</v>
          </cell>
          <cell r="G318">
            <v>-7.6223154680900018E-3</v>
          </cell>
          <cell r="H318">
            <v>-0.17913735551524679</v>
          </cell>
          <cell r="I318">
            <v>5.7374163051996829E-2</v>
          </cell>
          <cell r="J318">
            <v>0.2461613178889574</v>
          </cell>
          <cell r="K318">
            <v>1301.9349999999999</v>
          </cell>
          <cell r="M318">
            <v>0.2367570105561887</v>
          </cell>
          <cell r="N318">
            <v>0.63174032439753192</v>
          </cell>
          <cell r="O318">
            <v>1.5933845504816269</v>
          </cell>
          <cell r="P318">
            <v>0.73483141936535756</v>
          </cell>
          <cell r="Q318">
            <v>0.1606567497599205</v>
          </cell>
          <cell r="R318">
            <v>0.2689803737434957</v>
          </cell>
          <cell r="S318">
            <v>0.80746387215080495</v>
          </cell>
          <cell r="T318">
            <v>0.6334020429221322</v>
          </cell>
          <cell r="U318">
            <v>77.489999999999995</v>
          </cell>
        </row>
        <row r="319">
          <cell r="B319" t="str">
            <v>FY(4)</v>
          </cell>
          <cell r="C319">
            <v>0.18971698197619724</v>
          </cell>
          <cell r="D319">
            <v>0.60780520369841606</v>
          </cell>
          <cell r="E319">
            <v>0.13546350508465355</v>
          </cell>
          <cell r="F319">
            <v>0.43456343703759504</v>
          </cell>
          <cell r="G319">
            <v>0.65070370024488766</v>
          </cell>
          <cell r="H319">
            <v>0.13154857615551108</v>
          </cell>
          <cell r="I319">
            <v>3.2570545856928312E-2</v>
          </cell>
          <cell r="J319">
            <v>0.3117674214363127</v>
          </cell>
          <cell r="K319">
            <v>1063.2470000000001</v>
          </cell>
          <cell r="M319">
            <v>0.5668082158169403</v>
          </cell>
          <cell r="N319">
            <v>-1.1831248861474242E-2</v>
          </cell>
          <cell r="O319">
            <v>0.26676868534628784</v>
          </cell>
          <cell r="P319">
            <v>0.51040353388929227</v>
          </cell>
          <cell r="Q319">
            <v>-2.6140506076472336E-2</v>
          </cell>
          <cell r="R319">
            <v>-5.6799519587859892E-2</v>
          </cell>
          <cell r="S319">
            <v>0.41255503087039358</v>
          </cell>
          <cell r="T319">
            <v>0.23739488448530108</v>
          </cell>
          <cell r="U319">
            <v>58.003999999999998</v>
          </cell>
        </row>
        <row r="320">
          <cell r="B320" t="str">
            <v>FY(3)</v>
          </cell>
          <cell r="C320">
            <v>0.3630100673180261</v>
          </cell>
          <cell r="D320">
            <v>0.34403002287459361</v>
          </cell>
          <cell r="E320">
            <v>-0.17112431238754366</v>
          </cell>
          <cell r="F320">
            <v>0.28586835784741838</v>
          </cell>
          <cell r="G320">
            <v>-1.2681849996875048</v>
          </cell>
          <cell r="H320">
            <v>0.24909262030853796</v>
          </cell>
          <cell r="I320">
            <v>0.2897207009293119</v>
          </cell>
          <cell r="J320">
            <v>1.3201779600405647E-2</v>
          </cell>
          <cell r="K320">
            <v>1063.2470000000001</v>
          </cell>
          <cell r="M320">
            <v>0.21755366343914351</v>
          </cell>
          <cell r="N320">
            <v>0.25016715437938464</v>
          </cell>
          <cell r="O320">
            <v>0.34567896188602032</v>
          </cell>
          <cell r="P320">
            <v>0.38434387096817968</v>
          </cell>
          <cell r="Q320">
            <v>-0.21893432280382974</v>
          </cell>
          <cell r="R320">
            <v>0.26218616731765776</v>
          </cell>
          <cell r="S320">
            <v>-0.15341151411967069</v>
          </cell>
          <cell r="T320">
            <v>0.15536914015241221</v>
          </cell>
          <cell r="U320">
            <v>58.003999999999998</v>
          </cell>
        </row>
        <row r="321">
          <cell r="B321" t="str">
            <v>FY(2)</v>
          </cell>
          <cell r="C321">
            <v>2.4169184290030232E-2</v>
          </cell>
          <cell r="D321">
            <v>-2.427212697002834E-2</v>
          </cell>
          <cell r="E321">
            <v>2.51115686579928E-2</v>
          </cell>
          <cell r="F321">
            <v>9.3024838226714035E-2</v>
          </cell>
          <cell r="G321">
            <v>0.87950817896842159</v>
          </cell>
          <cell r="H321">
            <v>0.11863413420786695</v>
          </cell>
          <cell r="I321">
            <v>0.18019228567255752</v>
          </cell>
          <cell r="J321">
            <v>0.18519543757907925</v>
          </cell>
          <cell r="M321">
            <v>0.12375345586459363</v>
          </cell>
          <cell r="N321">
            <v>-0.10727399095711287</v>
          </cell>
          <cell r="O321">
            <v>7.0674788078129103E-2</v>
          </cell>
          <cell r="P321">
            <v>0.41229509899202532</v>
          </cell>
          <cell r="Q321">
            <v>0.20077069525719637</v>
          </cell>
          <cell r="R321">
            <v>-0.27637687540793165</v>
          </cell>
          <cell r="S321">
            <v>0.39017288406950468</v>
          </cell>
          <cell r="T321">
            <v>0.11628800798520066</v>
          </cell>
        </row>
        <row r="322">
          <cell r="A322" t="str">
            <v>mstag:longTermDebt</v>
          </cell>
          <cell r="B322" t="str">
            <v>FY(1)</v>
          </cell>
          <cell r="C322">
            <v>-0.14749262536873153</v>
          </cell>
          <cell r="D322">
            <v>-0.47032283312877121</v>
          </cell>
          <cell r="E322">
            <v>-0.39262665197749624</v>
          </cell>
          <cell r="F322">
            <v>-0.3540721404385847</v>
          </cell>
          <cell r="G322">
            <v>-2.9214051685363369</v>
          </cell>
          <cell r="H322">
            <v>0.21173725065084814</v>
          </cell>
          <cell r="I322">
            <v>3.6424864736075424E-2</v>
          </cell>
          <cell r="J322">
            <v>-0.57682247200899972</v>
          </cell>
          <cell r="M322">
            <v>-0.34496927185056092</v>
          </cell>
          <cell r="N322">
            <v>0.32005968945470187</v>
          </cell>
          <cell r="O322">
            <v>-0.45647280427474968</v>
          </cell>
          <cell r="P322">
            <v>0.22102147339295364</v>
          </cell>
          <cell r="Q322">
            <v>0.20208806602495155</v>
          </cell>
          <cell r="R322">
            <v>-0.13673660371004148</v>
          </cell>
          <cell r="S322">
            <v>0.29770707155636522</v>
          </cell>
          <cell r="T322">
            <v>1.4671088656231457E-2</v>
          </cell>
        </row>
        <row r="323">
          <cell r="B323" t="str">
            <v>FY0</v>
          </cell>
          <cell r="C323">
            <v>0.11594513260372308</v>
          </cell>
          <cell r="D323">
            <v>-0.57533524739751352</v>
          </cell>
          <cell r="E323">
            <v>5.4566031260209424E-2</v>
          </cell>
          <cell r="F323">
            <v>8.1185252383314088E-2</v>
          </cell>
          <cell r="G323">
            <v>-0.59016233036436283</v>
          </cell>
          <cell r="H323">
            <v>0.53481878819347384</v>
          </cell>
          <cell r="I323">
            <v>0.42082221308070245</v>
          </cell>
          <cell r="J323">
            <v>5.9771199656495034E-3</v>
          </cell>
          <cell r="K323">
            <v>13906.364000000001</v>
          </cell>
          <cell r="M323">
            <v>-0.69606783417787799</v>
          </cell>
          <cell r="N323">
            <v>0.55335775948253563</v>
          </cell>
          <cell r="O323">
            <v>-0.22926554040886304</v>
          </cell>
          <cell r="P323">
            <v>-7.2362195556296083E-2</v>
          </cell>
          <cell r="Q323">
            <v>0.17071105982016865</v>
          </cell>
          <cell r="R323">
            <v>0.18351823316861648</v>
          </cell>
          <cell r="S323">
            <v>0.10059915201046898</v>
          </cell>
          <cell r="T323">
            <v>1.4986620483932336E-3</v>
          </cell>
          <cell r="U323">
            <v>1855.865</v>
          </cell>
        </row>
        <row r="324">
          <cell r="B324" t="str">
            <v>FY1</v>
          </cell>
          <cell r="C324">
            <v>0.19066760933238913</v>
          </cell>
          <cell r="D324">
            <v>0.46231497079181483</v>
          </cell>
          <cell r="E324">
            <v>0.34425938728520356</v>
          </cell>
          <cell r="F324">
            <v>0.32788713801956981</v>
          </cell>
          <cell r="G324">
            <v>-0.70033830326838997</v>
          </cell>
          <cell r="H324">
            <v>0.21161707516698169</v>
          </cell>
          <cell r="I324">
            <v>0.21112286793334967</v>
          </cell>
          <cell r="J324">
            <v>0.1496472493229884</v>
          </cell>
          <cell r="K324">
            <v>18116.307000000001</v>
          </cell>
          <cell r="M324">
            <v>0.64543028516687695</v>
          </cell>
          <cell r="N324">
            <v>0.19334666855419669</v>
          </cell>
          <cell r="O324">
            <v>0.52413702745666524</v>
          </cell>
          <cell r="P324">
            <v>0.14010587635962057</v>
          </cell>
          <cell r="Q324">
            <v>4.9004142832737463E-2</v>
          </cell>
          <cell r="R324">
            <v>0.36730132131152016</v>
          </cell>
          <cell r="S324">
            <v>0.2610028069870578</v>
          </cell>
          <cell r="T324">
            <v>0.31147544695266788</v>
          </cell>
          <cell r="U324">
            <v>2957.2190000000001</v>
          </cell>
        </row>
        <row r="325">
          <cell r="B325" t="str">
            <v>FY2</v>
          </cell>
          <cell r="C325">
            <v>0.19085410475157039</v>
          </cell>
          <cell r="D325">
            <v>0.23954515132650411</v>
          </cell>
          <cell r="E325">
            <v>0.13763308332158775</v>
          </cell>
          <cell r="F325">
            <v>0.1258325745872062</v>
          </cell>
          <cell r="G325">
            <v>-2.353377020856251</v>
          </cell>
          <cell r="H325">
            <v>0.13583788032694577</v>
          </cell>
          <cell r="I325">
            <v>0.12767674498703308</v>
          </cell>
          <cell r="J325">
            <v>-0.19942821165077196</v>
          </cell>
          <cell r="K325">
            <v>17655.983</v>
          </cell>
          <cell r="M325">
            <v>0.37558248316354792</v>
          </cell>
          <cell r="N325">
            <v>9.221472123410468E-2</v>
          </cell>
          <cell r="O325">
            <v>0.21796634946775573</v>
          </cell>
          <cell r="P325">
            <v>0.11247893929962682</v>
          </cell>
          <cell r="Q325">
            <v>6.8354274428650053E-2</v>
          </cell>
          <cell r="R325">
            <v>0.17255355528304417</v>
          </cell>
          <cell r="S325">
            <v>0.20146384145623419</v>
          </cell>
          <cell r="T325">
            <v>0.17723059490470908</v>
          </cell>
          <cell r="U325">
            <v>3022.1860000000001</v>
          </cell>
        </row>
        <row r="326">
          <cell r="B326" t="str">
            <v>FY1</v>
          </cell>
          <cell r="C326">
            <v>2054</v>
          </cell>
          <cell r="D326">
            <v>2999</v>
          </cell>
          <cell r="E326">
            <v>8618.2000000000007</v>
          </cell>
          <cell r="F326">
            <v>2259</v>
          </cell>
          <cell r="G326">
            <v>499.60599999999999</v>
          </cell>
          <cell r="H326">
            <v>150</v>
          </cell>
          <cell r="I326">
            <v>774.7</v>
          </cell>
          <cell r="J326">
            <v>2479.2151428571428</v>
          </cell>
          <cell r="K326">
            <v>17354.506000000001</v>
          </cell>
          <cell r="M326">
            <v>50.582000000000001</v>
          </cell>
          <cell r="N326" t="str">
            <v>NA</v>
          </cell>
          <cell r="O326">
            <v>0</v>
          </cell>
          <cell r="P326">
            <v>24.428999999999998</v>
          </cell>
          <cell r="Q326">
            <v>0</v>
          </cell>
          <cell r="R326">
            <v>2880.2820000000002</v>
          </cell>
          <cell r="S326">
            <v>0</v>
          </cell>
          <cell r="T326">
            <v>492.54883333333333</v>
          </cell>
          <cell r="U326">
            <v>2955.2930000000001</v>
          </cell>
        </row>
        <row r="327">
          <cell r="B327" t="str">
            <v>Net Income Margin</v>
          </cell>
          <cell r="C327">
            <v>2037</v>
          </cell>
          <cell r="D327">
            <v>2597</v>
          </cell>
          <cell r="E327">
            <v>8355.4</v>
          </cell>
          <cell r="F327">
            <v>1909</v>
          </cell>
          <cell r="G327">
            <v>476.60599999999999</v>
          </cell>
          <cell r="H327">
            <v>150</v>
          </cell>
          <cell r="I327">
            <v>774.7</v>
          </cell>
          <cell r="J327">
            <v>2328.5294285714285</v>
          </cell>
          <cell r="K327">
            <v>16299.706</v>
          </cell>
          <cell r="M327">
            <v>50.582000000000001</v>
          </cell>
          <cell r="N327" t="str">
            <v>NA</v>
          </cell>
          <cell r="O327">
            <v>0</v>
          </cell>
          <cell r="P327">
            <v>25.132999999999999</v>
          </cell>
          <cell r="Q327">
            <v>0</v>
          </cell>
          <cell r="R327">
            <v>2878.2820000000002</v>
          </cell>
          <cell r="S327">
            <v>0</v>
          </cell>
          <cell r="T327">
            <v>492.33283333333338</v>
          </cell>
          <cell r="U327">
            <v>2953.9970000000003</v>
          </cell>
        </row>
        <row r="328">
          <cell r="B328" t="str">
            <v>FY(10)</v>
          </cell>
          <cell r="C328">
            <v>5.7935299255208496E-2</v>
          </cell>
          <cell r="D328">
            <v>1.2101187663421857E-2</v>
          </cell>
          <cell r="E328">
            <v>5.1469212053153662E-2</v>
          </cell>
          <cell r="F328">
            <v>3.92874344532919E-2</v>
          </cell>
          <cell r="G328">
            <v>635.4</v>
          </cell>
          <cell r="H328">
            <v>6.4450923950777714E-2</v>
          </cell>
          <cell r="I328">
            <v>5.9897807329261712E-2</v>
          </cell>
          <cell r="J328">
            <v>4.752364411751922E-2</v>
          </cell>
          <cell r="K328">
            <v>3.4351025607138229E-2</v>
          </cell>
          <cell r="M328">
            <v>0.14512571081565068</v>
          </cell>
          <cell r="N328" t="str">
            <v>NA</v>
          </cell>
          <cell r="O328">
            <v>0.10895272706296327</v>
          </cell>
          <cell r="P328">
            <v>4.1358625076558596E-2</v>
          </cell>
          <cell r="Q328">
            <v>0</v>
          </cell>
          <cell r="R328">
            <v>4.572598812205611E-2</v>
          </cell>
          <cell r="S328">
            <v>6.7166942933268137E-2</v>
          </cell>
          <cell r="T328">
            <v>8.1665998802099363E-2</v>
          </cell>
          <cell r="U328">
            <v>2.9919546644090092E-2</v>
          </cell>
        </row>
        <row r="329">
          <cell r="B329" t="str">
            <v>FY(9)</v>
          </cell>
          <cell r="C329">
            <v>5.9931731738239978E-2</v>
          </cell>
          <cell r="D329">
            <v>-2.7808829994347799E-3</v>
          </cell>
          <cell r="E329">
            <v>5.4153143406659457E-2</v>
          </cell>
          <cell r="F329">
            <v>2.4378058788428116E-2</v>
          </cell>
          <cell r="G329">
            <v>631.94000000000005</v>
          </cell>
          <cell r="H329">
            <v>5.5476499230908083E-2</v>
          </cell>
          <cell r="I329">
            <v>5.6171381456489332E-2</v>
          </cell>
          <cell r="J329">
            <v>4.1221655270215034E-2</v>
          </cell>
          <cell r="K329">
            <v>2.7663271784373999E-2</v>
          </cell>
          <cell r="M329">
            <v>0.12673924777230844</v>
          </cell>
          <cell r="N329" t="str">
            <v>NA</v>
          </cell>
          <cell r="O329">
            <v>8.6118055201265253E-2</v>
          </cell>
          <cell r="P329">
            <v>7.0464480874316948E-2</v>
          </cell>
          <cell r="Q329">
            <v>6.4169722482663394E-2</v>
          </cell>
          <cell r="R329">
            <v>4.5425209251101321E-2</v>
          </cell>
          <cell r="S329">
            <v>3.5536157490019732E-2</v>
          </cell>
          <cell r="T329">
            <v>7.1408812178612516E-2</v>
          </cell>
          <cell r="U329">
            <v>6.0567113597635745E-2</v>
          </cell>
        </row>
        <row r="330">
          <cell r="B330" t="str">
            <v>FY(8)</v>
          </cell>
          <cell r="C330">
            <v>6.5697991332478528E-2</v>
          </cell>
          <cell r="D330">
            <v>1.0257847533632286E-2</v>
          </cell>
          <cell r="E330">
            <v>4.7260057016154579E-2</v>
          </cell>
          <cell r="F330">
            <v>2.2130834751771789E-2</v>
          </cell>
          <cell r="G330">
            <v>598.07899999999995</v>
          </cell>
          <cell r="H330">
            <v>5.1913616706109562E-2</v>
          </cell>
          <cell r="I330">
            <v>5.0461957318509172E-2</v>
          </cell>
          <cell r="J330">
            <v>4.1287050776442652E-2</v>
          </cell>
          <cell r="K330">
            <v>3.7077995485691816E-2</v>
          </cell>
          <cell r="M330">
            <v>0.1220644274511614</v>
          </cell>
          <cell r="N330" t="str">
            <v>NA</v>
          </cell>
          <cell r="O330">
            <v>7.9973380489094179E-2</v>
          </cell>
          <cell r="P330">
            <v>0.11757451818595117</v>
          </cell>
          <cell r="Q330">
            <v>-5.6066372070281121E-4</v>
          </cell>
          <cell r="R330">
            <v>4.8174640864300129E-2</v>
          </cell>
          <cell r="S330">
            <v>4.3005175407928746E-2</v>
          </cell>
          <cell r="T330">
            <v>6.8371913112955471E-2</v>
          </cell>
          <cell r="U330">
            <v>2.8622122577042136E-2</v>
          </cell>
        </row>
        <row r="331">
          <cell r="B331" t="str">
            <v>FY(7)</v>
          </cell>
          <cell r="C331">
            <v>6.9676535398502257E-2</v>
          </cell>
          <cell r="D331">
            <v>1.6279337321675105E-2</v>
          </cell>
          <cell r="E331">
            <v>4.5340697450388545E-2</v>
          </cell>
          <cell r="F331">
            <v>1.7888503556807996E-2</v>
          </cell>
          <cell r="G331">
            <v>514.60599999999999</v>
          </cell>
          <cell r="H331">
            <v>5.6657101861073485E-2</v>
          </cell>
          <cell r="I331">
            <v>4.8274602049693326E-2</v>
          </cell>
          <cell r="J331">
            <v>4.2352796273023442E-2</v>
          </cell>
          <cell r="K331">
            <v>3.9495927902977658E-2</v>
          </cell>
          <cell r="M331">
            <v>0.12204489781338887</v>
          </cell>
          <cell r="N331">
            <v>6.1200245414809118E-2</v>
          </cell>
          <cell r="O331">
            <v>7.2053180111980211E-2</v>
          </cell>
          <cell r="P331">
            <v>0.10977203224909647</v>
          </cell>
          <cell r="Q331">
            <v>3.3048788124032377E-2</v>
          </cell>
          <cell r="R331">
            <v>6.1270950868468239E-2</v>
          </cell>
          <cell r="S331">
            <v>6.4843857184083406E-2</v>
          </cell>
          <cell r="T331">
            <v>7.489056453797982E-2</v>
          </cell>
          <cell r="U331">
            <v>5.1851808847542182E-2</v>
          </cell>
        </row>
        <row r="332">
          <cell r="B332" t="str">
            <v>FY(6)</v>
          </cell>
          <cell r="C332">
            <v>5.6492578262754653E-2</v>
          </cell>
          <cell r="D332">
            <v>2.0556158282418774E-2</v>
          </cell>
          <cell r="E332">
            <v>4.632753698416818E-2</v>
          </cell>
          <cell r="F332">
            <v>3.7665548279526076E-2</v>
          </cell>
          <cell r="G332">
            <v>-2.8624187351994703E-2</v>
          </cell>
          <cell r="H332">
            <v>5.8045958981100515E-2</v>
          </cell>
          <cell r="I332">
            <v>4.5724402379422838E-2</v>
          </cell>
          <cell r="J332">
            <v>3.3741142259628043E-2</v>
          </cell>
          <cell r="K332">
            <v>3.842803169640515E-2</v>
          </cell>
          <cell r="M332">
            <v>0.11993729978001054</v>
          </cell>
          <cell r="N332">
            <v>7.382822493291312E-2</v>
          </cell>
          <cell r="O332">
            <v>5.7897391454582448E-2</v>
          </cell>
          <cell r="P332">
            <v>0.13210514612383772</v>
          </cell>
          <cell r="Q332">
            <v>6.5769812615373971E-2</v>
          </cell>
          <cell r="R332">
            <v>6.5329277355102813E-2</v>
          </cell>
          <cell r="S332">
            <v>8.8219257022290054E-2</v>
          </cell>
          <cell r="T332">
            <v>8.6155201326301528E-2</v>
          </cell>
          <cell r="U332">
            <v>7.0977314468242264E-2</v>
          </cell>
        </row>
        <row r="333">
          <cell r="B333" t="str">
            <v>FY(5)</v>
          </cell>
          <cell r="C333">
            <v>6.0125709402001584E-2</v>
          </cell>
          <cell r="D333">
            <v>3.632681255526083E-2</v>
          </cell>
          <cell r="E333">
            <v>4.9857162460831578E-2</v>
          </cell>
          <cell r="F333">
            <v>5.5174900121476633E-2</v>
          </cell>
          <cell r="G333">
            <v>-2.5006182052030538E-2</v>
          </cell>
          <cell r="H333">
            <v>4.3801990099033253E-2</v>
          </cell>
          <cell r="I333">
            <v>4.2174051494208296E-2</v>
          </cell>
          <cell r="J333">
            <v>3.749349201154023E-2</v>
          </cell>
          <cell r="K333">
            <v>4.4039051222133092E-2</v>
          </cell>
          <cell r="M333">
            <v>0.11970467536853013</v>
          </cell>
          <cell r="N333">
            <v>9.0188672200719341E-2</v>
          </cell>
          <cell r="O333">
            <v>0.11919365992980166</v>
          </cell>
          <cell r="P333">
            <v>0.17310304173543978</v>
          </cell>
          <cell r="Q333">
            <v>7.4637043284143362E-2</v>
          </cell>
          <cell r="R333">
            <v>7.1667691292550684E-2</v>
          </cell>
          <cell r="S333">
            <v>0.10931923890063426</v>
          </cell>
          <cell r="T333">
            <v>0.10825914610168845</v>
          </cell>
          <cell r="U333">
            <v>8.4316571263007345E-2</v>
          </cell>
        </row>
        <row r="334">
          <cell r="B334" t="str">
            <v>FY(4)</v>
          </cell>
          <cell r="C334">
            <v>6.2051153250896565E-2</v>
          </cell>
          <cell r="D334">
            <v>4.9413321697222672E-2</v>
          </cell>
          <cell r="E334">
            <v>4.8640224243403758E-2</v>
          </cell>
          <cell r="F334">
            <v>7.137225303541328E-2</v>
          </cell>
          <cell r="G334">
            <v>-4.0778442514653214E-2</v>
          </cell>
          <cell r="H334">
            <v>4.0377178900683007E-2</v>
          </cell>
          <cell r="I334">
            <v>4.0244189892129661E-2</v>
          </cell>
          <cell r="J334">
            <v>3.8759982643585107E-2</v>
          </cell>
          <cell r="K334">
            <v>4.8018534510282804E-2</v>
          </cell>
          <cell r="M334">
            <v>0.1313483666430168</v>
          </cell>
          <cell r="N334">
            <v>6.9709145287861388E-2</v>
          </cell>
          <cell r="O334">
            <v>0.12649259548605879</v>
          </cell>
          <cell r="P334">
            <v>0.20381799644488358</v>
          </cell>
          <cell r="Q334">
            <v>6.7177698424203958E-2</v>
          </cell>
          <cell r="R334">
            <v>5.6552665598014376E-2</v>
          </cell>
          <cell r="S334">
            <v>0.11888212893797678</v>
          </cell>
          <cell r="T334">
            <v>0.11056865668885939</v>
          </cell>
          <cell r="U334">
            <v>8.1511609039378055E-2</v>
          </cell>
        </row>
        <row r="335">
          <cell r="B335" t="str">
            <v>FY(3)</v>
          </cell>
          <cell r="C335">
            <v>7.1130982682978017E-2</v>
          </cell>
          <cell r="D335">
            <v>5.6976083309283464E-2</v>
          </cell>
          <cell r="E335">
            <v>4.2180442916371901E-2</v>
          </cell>
          <cell r="F335">
            <v>7.9199032602248087E-2</v>
          </cell>
          <cell r="G335">
            <v>1.0150408234000237E-2</v>
          </cell>
          <cell r="H335">
            <v>4.3379693045684092E-2</v>
          </cell>
          <cell r="I335">
            <v>4.5064699151949855E-2</v>
          </cell>
          <cell r="J335">
            <v>4.9725905991787958E-2</v>
          </cell>
          <cell r="K335">
            <v>5.275772799682768E-2</v>
          </cell>
          <cell r="M335">
            <v>0.1359622626801974</v>
          </cell>
          <cell r="N335">
            <v>7.1375197423167711E-2</v>
          </cell>
          <cell r="O335">
            <v>0.13861929302403478</v>
          </cell>
          <cell r="P335">
            <v>0.22800499610494254</v>
          </cell>
          <cell r="Q335">
            <v>4.9045625094020787E-2</v>
          </cell>
          <cell r="R335">
            <v>6.3262207407757273E-2</v>
          </cell>
          <cell r="S335">
            <v>8.8923400263081182E-2</v>
          </cell>
          <cell r="T335">
            <v>0.11074185457102881</v>
          </cell>
          <cell r="U335">
            <v>7.9358667406064287E-2</v>
          </cell>
        </row>
        <row r="336">
          <cell r="B336" t="str">
            <v>FY(2)</v>
          </cell>
          <cell r="C336">
            <v>6.5790988059755848E-2</v>
          </cell>
          <cell r="D336">
            <v>5.4025667478813932E-2</v>
          </cell>
          <cell r="E336">
            <v>3.6820980296638731E-2</v>
          </cell>
          <cell r="F336">
            <v>7.8618104096891933E-2</v>
          </cell>
          <cell r="G336">
            <v>1.9412382865364255E-2</v>
          </cell>
          <cell r="H336">
            <v>4.3688993796370736E-2</v>
          </cell>
          <cell r="I336">
            <v>4.9219705344096379E-2</v>
          </cell>
          <cell r="J336">
            <v>4.965383170541883E-2</v>
          </cell>
          <cell r="K336">
            <v>5.0949705676878843E-2</v>
          </cell>
          <cell r="M336">
            <v>0.13491173233403322</v>
          </cell>
          <cell r="N336">
            <v>7.9189203016960127E-2</v>
          </cell>
          <cell r="O336">
            <v>0.13092116007657215</v>
          </cell>
          <cell r="P336">
            <v>0.24365156772018359</v>
          </cell>
          <cell r="Q336">
            <v>5.6346546055297084E-2</v>
          </cell>
          <cell r="R336">
            <v>4.5750785423069804E-2</v>
          </cell>
          <cell r="S336">
            <v>0.10116573059790784</v>
          </cell>
          <cell r="T336">
            <v>0.11313381788914624</v>
          </cell>
          <cell r="U336">
            <v>8.2573996153070497E-2</v>
          </cell>
          <cell r="W336">
            <v>1.9679625000000001</v>
          </cell>
        </row>
        <row r="337">
          <cell r="B337" t="str">
            <v>FY(1)</v>
          </cell>
          <cell r="C337">
            <v>5.4038343024852185E-2</v>
          </cell>
          <cell r="D337">
            <v>3.0429729959475491E-2</v>
          </cell>
          <cell r="E337">
            <v>2.1894584605495742E-2</v>
          </cell>
          <cell r="F337">
            <v>4.7587866361114457E-2</v>
          </cell>
          <cell r="G337">
            <v>-3.6140655347666757E-2</v>
          </cell>
          <cell r="H337">
            <v>4.6680270034300066E-2</v>
          </cell>
          <cell r="I337">
            <v>4.6520091019211077E-2</v>
          </cell>
          <cell r="J337">
            <v>3.0144318522397469E-2</v>
          </cell>
          <cell r="K337">
            <v>3.5872481012592806E-2</v>
          </cell>
          <cell r="M337">
            <v>9.1551386331804568E-2</v>
          </cell>
          <cell r="N337">
            <v>7.9246641927393405E-2</v>
          </cell>
          <cell r="O337">
            <v>6.8551537280469158E-2</v>
          </cell>
          <cell r="P337">
            <v>0.23327843026046943</v>
          </cell>
          <cell r="Q337">
            <v>6.6570287759878832E-2</v>
          </cell>
          <cell r="R337">
            <v>3.9079252979834236E-2</v>
          </cell>
          <cell r="S337">
            <v>0.10866785347140387</v>
          </cell>
          <cell r="T337">
            <v>9.8135055715893357E-2</v>
          </cell>
          <cell r="U337">
            <v>7.944859600547749E-2</v>
          </cell>
          <cell r="W337">
            <v>0.15743700000000002</v>
          </cell>
          <cell r="X337">
            <v>2.3615550000000005</v>
          </cell>
        </row>
        <row r="338">
          <cell r="B338" t="str">
            <v>FY0</v>
          </cell>
          <cell r="C338">
            <v>5.7641031612039359E-2</v>
          </cell>
          <cell r="D338">
            <v>1.421513831466786E-2</v>
          </cell>
          <cell r="E338">
            <v>2.4522116735493208E-2</v>
          </cell>
          <cell r="F338">
            <v>5.1804310971179462E-2</v>
          </cell>
          <cell r="G338">
            <v>-1.8178653818107862E-2</v>
          </cell>
          <cell r="H338">
            <v>6.1629158266883234E-2</v>
          </cell>
          <cell r="I338">
            <v>5.9815922798219512E-2</v>
          </cell>
          <cell r="J338">
            <v>3.5921289268624972E-2</v>
          </cell>
          <cell r="K338">
            <v>3.9884916628223133E-2</v>
          </cell>
          <cell r="M338">
            <v>3.27555798369542E-2</v>
          </cell>
          <cell r="N338">
            <v>0.10373009342609429</v>
          </cell>
          <cell r="O338">
            <v>5.3189401442807663E-2</v>
          </cell>
          <cell r="P338">
            <v>0.19258138449289702</v>
          </cell>
          <cell r="Q338">
            <v>7.7467070507853772E-2</v>
          </cell>
          <cell r="R338">
            <v>4.6935220024844376E-2</v>
          </cell>
          <cell r="S338">
            <v>0.1134747124983551</v>
          </cell>
          <cell r="T338">
            <v>8.8590494604258052E-2</v>
          </cell>
          <cell r="U338">
            <v>7.8382891355829779E-2</v>
          </cell>
          <cell r="X338">
            <v>1.5527607462809245</v>
          </cell>
        </row>
        <row r="339">
          <cell r="B339" t="str">
            <v>FY1</v>
          </cell>
          <cell r="C339">
            <v>6.4342059385477615E-2</v>
          </cell>
          <cell r="D339">
            <v>2.0888385410296403E-2</v>
          </cell>
          <cell r="E339">
            <v>3.1813816711141418E-2</v>
          </cell>
          <cell r="F339">
            <v>6.4289686967320903E-2</v>
          </cell>
          <cell r="G339">
            <v>-5.4109647929955719E-3</v>
          </cell>
          <cell r="H339">
            <v>6.6741586443900089E-2</v>
          </cell>
          <cell r="I339">
            <v>6.408709964679335E-2</v>
          </cell>
          <cell r="J339">
            <v>4.3821667110276318E-2</v>
          </cell>
          <cell r="K339">
            <v>4.7244121762731239E-2</v>
          </cell>
          <cell r="M339">
            <v>4.9138863306919793E-2</v>
          </cell>
          <cell r="N339">
            <v>0.10592424514367912</v>
          </cell>
          <cell r="O339">
            <v>8.3184043353480633E-2</v>
          </cell>
          <cell r="P339">
            <v>0.19906903395437484</v>
          </cell>
          <cell r="Q339">
            <v>7.7103041633192648E-2</v>
          </cell>
          <cell r="R339">
            <v>5.9931233269422908E-2</v>
          </cell>
          <cell r="S339">
            <v>0.12346769396327388</v>
          </cell>
          <cell r="T339">
            <v>9.9688307803477691E-2</v>
          </cell>
          <cell r="U339">
            <v>8.7030148021657691E-2</v>
          </cell>
          <cell r="X339">
            <v>1.1645705597106935</v>
          </cell>
        </row>
        <row r="340">
          <cell r="B340" t="str">
            <v>FY2</v>
          </cell>
          <cell r="C340">
            <v>6.8734804965646143E-2</v>
          </cell>
          <cell r="D340">
            <v>2.5340780647728017E-2</v>
          </cell>
          <cell r="E340">
            <v>3.5890992658464148E-2</v>
          </cell>
          <cell r="F340">
            <v>6.7563637252128633E-2</v>
          </cell>
          <cell r="G340">
            <v>7.3808253466599869E-3</v>
          </cell>
          <cell r="H340">
            <v>6.8719750522266018E-2</v>
          </cell>
          <cell r="I340">
            <v>6.5003459195586075E-2</v>
          </cell>
          <cell r="J340">
            <v>4.8376321512639861E-2</v>
          </cell>
          <cell r="K340">
            <v>5.1143216615833258E-2</v>
          </cell>
          <cell r="M340">
            <v>5.9744748069720834E-2</v>
          </cell>
          <cell r="N340">
            <v>9.3130464819987338E-2</v>
          </cell>
          <cell r="O340">
            <v>9.2577090363576101E-2</v>
          </cell>
          <cell r="P340">
            <v>0.19821527577355608</v>
          </cell>
          <cell r="Q340">
            <v>7.9543041633187123E-2</v>
          </cell>
          <cell r="R340">
            <v>6.6670753955747591E-2</v>
          </cell>
          <cell r="S340">
            <v>0.12966998036485877</v>
          </cell>
          <cell r="T340">
            <v>0.10279305071151912</v>
          </cell>
          <cell r="U340">
            <v>9.1460253226173738E-2</v>
          </cell>
        </row>
        <row r="341">
          <cell r="B341" t="str">
            <v>FQ(3)</v>
          </cell>
          <cell r="C341">
            <v>3.7658053875755909E-2</v>
          </cell>
          <cell r="D341">
            <v>6.4359422215875383E-3</v>
          </cell>
          <cell r="E341">
            <v>-1.3079438353529526E-2</v>
          </cell>
          <cell r="F341">
            <v>3.9859320046893319E-2</v>
          </cell>
          <cell r="G341">
            <v>-7.7165014663606243E-3</v>
          </cell>
          <cell r="H341">
            <v>5.4024032882497568E-2</v>
          </cell>
          <cell r="I341">
            <v>4.8048515648253277E-2</v>
          </cell>
          <cell r="J341">
            <v>2.3604274979299639E-2</v>
          </cell>
          <cell r="K341">
            <v>2.1702646496389557E-2</v>
          </cell>
          <cell r="M341">
            <v>-3.8397684007252429E-2</v>
          </cell>
          <cell r="N341">
            <v>8.1306491774993619E-2</v>
          </cell>
          <cell r="O341">
            <v>2.5622549019607841E-2</v>
          </cell>
          <cell r="P341">
            <v>0.16642588105235703</v>
          </cell>
          <cell r="Q341">
            <v>6.8755996162456035E-2</v>
          </cell>
          <cell r="R341">
            <v>1.507618953222079E-3</v>
          </cell>
          <cell r="S341">
            <v>8.0055405981351163E-2</v>
          </cell>
          <cell r="T341">
            <v>5.5039465562390762E-2</v>
          </cell>
          <cell r="U341">
            <v>5.2285350502880412E-2</v>
          </cell>
        </row>
        <row r="342">
          <cell r="B342" t="str">
            <v>FQ(2)</v>
          </cell>
          <cell r="C342">
            <v>6.0194429847609039E-2</v>
          </cell>
          <cell r="D342">
            <v>-1.5674735660074499E-4</v>
          </cell>
          <cell r="E342">
            <v>1.6266460108443067E-2</v>
          </cell>
          <cell r="F342">
            <v>4.8951048951048952E-2</v>
          </cell>
          <cell r="G342">
            <v>-9.774504358229362E-2</v>
          </cell>
          <cell r="H342">
            <v>5.846708989300229E-2</v>
          </cell>
          <cell r="I342">
            <v>5.5094145837581147E-2</v>
          </cell>
          <cell r="J342">
            <v>2.0153054814112874E-2</v>
          </cell>
          <cell r="K342">
            <v>3.2867866733868163E-2</v>
          </cell>
          <cell r="M342">
            <v>1.08119318101569E-2</v>
          </cell>
          <cell r="N342">
            <v>8.6002825482318662E-2</v>
          </cell>
          <cell r="O342">
            <v>4.3449169398840623E-2</v>
          </cell>
          <cell r="P342">
            <v>0.17520675183607973</v>
          </cell>
          <cell r="Q342">
            <v>7.0261941448382131E-2</v>
          </cell>
          <cell r="R342">
            <v>2.9160315686075262E-2</v>
          </cell>
          <cell r="S342">
            <v>0.10688665710186514</v>
          </cell>
          <cell r="T342">
            <v>7.4539941823388342E-2</v>
          </cell>
          <cell r="U342">
            <v>6.6054083642394706E-2</v>
          </cell>
        </row>
        <row r="343">
          <cell r="B343" t="str">
            <v>FQ(1)</v>
          </cell>
          <cell r="C343">
            <v>4.7642557393236237E-2</v>
          </cell>
          <cell r="D343">
            <v>6.4587210599395695E-3</v>
          </cell>
          <cell r="E343">
            <v>-2.2740193291642978E-3</v>
          </cell>
          <cell r="F343">
            <v>4.4432548179871523E-2</v>
          </cell>
          <cell r="G343">
            <v>2.9864196151236392E-3</v>
          </cell>
          <cell r="H343">
            <v>6.024749174234393E-2</v>
          </cell>
          <cell r="I343">
            <v>6.6311264215112978E-2</v>
          </cell>
          <cell r="J343">
            <v>3.2257854696637653E-2</v>
          </cell>
          <cell r="K343">
            <v>3.2428905596618297E-2</v>
          </cell>
          <cell r="M343">
            <v>4.0631086768459994E-2</v>
          </cell>
          <cell r="N343">
            <v>0.11029378097274223</v>
          </cell>
          <cell r="O343">
            <v>5.9417553894590108E-2</v>
          </cell>
          <cell r="P343">
            <v>0.18494898461724343</v>
          </cell>
          <cell r="Q343">
            <v>8.5539147394817494E-2</v>
          </cell>
          <cell r="R343">
            <v>3.4316300186323051E-3</v>
          </cell>
          <cell r="S343">
            <v>0.12332872109112474</v>
          </cell>
          <cell r="T343">
            <v>8.67987006796586E-2</v>
          </cell>
          <cell r="U343">
            <v>7.5145127121260702E-2</v>
          </cell>
        </row>
        <row r="344">
          <cell r="B344" t="str">
            <v>Last Reported Q</v>
          </cell>
          <cell r="C344">
            <v>5.7641031612039359E-2</v>
          </cell>
          <cell r="D344">
            <v>1.421513831466786E-2</v>
          </cell>
          <cell r="E344">
            <v>2.4522116735493208E-2</v>
          </cell>
          <cell r="F344">
            <v>5.1804310971179462E-2</v>
          </cell>
          <cell r="G344">
            <v>-1.8178653818107862E-2</v>
          </cell>
          <cell r="H344">
            <v>6.1629158266883234E-2</v>
          </cell>
          <cell r="I344">
            <v>5.9815922798219512E-2</v>
          </cell>
          <cell r="J344">
            <v>3.5921289268624972E-2</v>
          </cell>
          <cell r="K344">
            <v>3.9884916628223133E-2</v>
          </cell>
          <cell r="M344">
            <v>3.27555798369542E-2</v>
          </cell>
          <cell r="N344">
            <v>0.10373009342609429</v>
          </cell>
          <cell r="O344">
            <v>5.3189401442807663E-2</v>
          </cell>
          <cell r="P344">
            <v>0.22624306928136484</v>
          </cell>
          <cell r="Q344">
            <v>7.7467070507853772E-2</v>
          </cell>
          <cell r="R344">
            <v>4.6935220024844376E-2</v>
          </cell>
          <cell r="S344">
            <v>0.1134747124983551</v>
          </cell>
          <cell r="T344">
            <v>9.3399306716896321E-2</v>
          </cell>
          <cell r="U344">
            <v>7.2160627776563305E-2</v>
          </cell>
        </row>
        <row r="345">
          <cell r="B345" t="str">
            <v>LTM</v>
          </cell>
          <cell r="C345">
            <v>5.4031808035714286E-2</v>
          </cell>
          <cell r="D345">
            <v>1.0179753652108822E-2</v>
          </cell>
          <cell r="E345">
            <v>1.4822765723632088E-2</v>
          </cell>
          <cell r="F345">
            <v>4.8923231022393932E-2</v>
          </cell>
          <cell r="G345">
            <v>-2.3770411389612774E-2</v>
          </cell>
          <cell r="H345">
            <v>5.9944770133995101E-2</v>
          </cell>
          <cell r="I345">
            <v>5.8672951304775935E-2</v>
          </cell>
          <cell r="J345">
            <v>3.1829266926143913E-2</v>
          </cell>
          <cell r="K345">
            <v>3.5521845921950616E-2</v>
          </cell>
          <cell r="M345">
            <v>2.2420360318365685E-2</v>
          </cell>
          <cell r="N345">
            <v>0.10005337542877304</v>
          </cell>
          <cell r="O345">
            <v>4.9473895194281789E-2</v>
          </cell>
          <cell r="P345">
            <v>0.19173565581430119</v>
          </cell>
          <cell r="Q345">
            <v>7.6570908187763881E-2</v>
          </cell>
          <cell r="R345">
            <v>3.3385714485891907E-2</v>
          </cell>
          <cell r="S345">
            <v>0.11015999637374407</v>
          </cell>
          <cell r="T345">
            <v>8.3399986543303078E-2</v>
          </cell>
          <cell r="U345">
            <v>6.9161187079676278E-2</v>
          </cell>
        </row>
        <row r="346">
          <cell r="B346" t="str">
            <v>Unadjusted Net Debt</v>
          </cell>
        </row>
        <row r="347">
          <cell r="B347" t="str">
            <v>FY(2)</v>
          </cell>
          <cell r="C347">
            <v>438.44063685600293</v>
          </cell>
          <cell r="D347">
            <v>640.86940520445978</v>
          </cell>
          <cell r="E347">
            <v>7286.125</v>
          </cell>
          <cell r="F347">
            <v>228.000703241682</v>
          </cell>
          <cell r="G347">
            <v>408.79410000000001</v>
          </cell>
          <cell r="H347">
            <v>-222.63499999999999</v>
          </cell>
          <cell r="I347">
            <v>-69.103843504782958</v>
          </cell>
          <cell r="J347">
            <v>1244.3558573996229</v>
          </cell>
          <cell r="K347">
            <v>8710.4910017973598</v>
          </cell>
          <cell r="M347">
            <v>-648.52</v>
          </cell>
          <cell r="N347">
            <v>-111.926</v>
          </cell>
          <cell r="O347">
            <v>-619.93899999999906</v>
          </cell>
          <cell r="P347">
            <v>-695.80499999999995</v>
          </cell>
          <cell r="Q347">
            <v>-1387.99470245564</v>
          </cell>
          <cell r="R347">
            <v>664.67723789704996</v>
          </cell>
          <cell r="S347">
            <v>-199.67</v>
          </cell>
          <cell r="T347">
            <v>-428.45392350836988</v>
          </cell>
          <cell r="U347">
            <v>-2999.1774645585892</v>
          </cell>
        </row>
        <row r="348">
          <cell r="A348" t="str">
            <v>mscalc:totalCashIncludingShorttermInvestmentsForCac</v>
          </cell>
          <cell r="B348" t="str">
            <v>Cash &amp; ST Inv. (Unadjusted Cash on Hand)</v>
          </cell>
          <cell r="C348">
            <v>1400.9176368560052</v>
          </cell>
          <cell r="D348">
            <v>1175.8694052044598</v>
          </cell>
          <cell r="E348">
            <v>9170.1249999999964</v>
          </cell>
          <cell r="F348">
            <v>2139.5977032416822</v>
          </cell>
          <cell r="G348">
            <v>471.42610004233597</v>
          </cell>
          <cell r="H348">
            <v>-113.678</v>
          </cell>
          <cell r="I348">
            <v>102.38306178916901</v>
          </cell>
          <cell r="J348">
            <v>2049.5201295905213</v>
          </cell>
          <cell r="K348">
            <v>14346.640907133649</v>
          </cell>
          <cell r="M348">
            <v>-648.52</v>
          </cell>
          <cell r="N348">
            <v>-111.926</v>
          </cell>
          <cell r="O348">
            <v>-619.93899999999906</v>
          </cell>
          <cell r="P348">
            <v>-696.04</v>
          </cell>
          <cell r="Q348">
            <v>-1712.99470245564</v>
          </cell>
          <cell r="R348">
            <v>1886.3162378970501</v>
          </cell>
          <cell r="S348">
            <v>-199.67</v>
          </cell>
          <cell r="T348">
            <v>-300.39620922265561</v>
          </cell>
          <cell r="U348">
            <v>-2102.7734645585892</v>
          </cell>
        </row>
        <row r="349">
          <cell r="B349" t="str">
            <v>FY(2)</v>
          </cell>
          <cell r="C349">
            <v>663.65836314399496</v>
          </cell>
          <cell r="D349">
            <v>2532.1305947955402</v>
          </cell>
          <cell r="E349">
            <v>582.87500000000398</v>
          </cell>
          <cell r="F349">
            <v>357.40229675831802</v>
          </cell>
          <cell r="G349">
            <v>101.16189995766401</v>
          </cell>
          <cell r="H349">
            <v>263.678</v>
          </cell>
          <cell r="I349">
            <v>732.71093821083105</v>
          </cell>
          <cell r="J349">
            <v>747.65958469519319</v>
          </cell>
          <cell r="K349">
            <v>5233.6170928663523</v>
          </cell>
          <cell r="M349">
            <v>522.13461840902801</v>
          </cell>
          <cell r="N349">
            <v>228.53</v>
          </cell>
          <cell r="O349">
            <v>483.85199999999901</v>
          </cell>
          <cell r="P349">
            <v>698.90499999999997</v>
          </cell>
          <cell r="Q349">
            <v>1715</v>
          </cell>
          <cell r="R349">
            <v>1173.3968696837801</v>
          </cell>
          <cell r="S349">
            <v>365.983</v>
          </cell>
          <cell r="T349">
            <v>741.11449829897253</v>
          </cell>
          <cell r="U349">
            <v>5187.8014880928076</v>
          </cell>
        </row>
        <row r="350">
          <cell r="B350" t="str">
            <v>FY(1)</v>
          </cell>
          <cell r="C350">
            <v>676.15936314399596</v>
          </cell>
          <cell r="D350">
            <v>2351.6269754406999</v>
          </cell>
          <cell r="E350">
            <v>1305.875</v>
          </cell>
          <cell r="F350">
            <v>71.919296758318097</v>
          </cell>
          <cell r="G350">
            <v>14.0472478064653</v>
          </cell>
          <cell r="H350">
            <v>322.15537499999999</v>
          </cell>
          <cell r="I350">
            <v>452.817640130786</v>
          </cell>
          <cell r="J350">
            <v>742.08584261146666</v>
          </cell>
          <cell r="K350">
            <v>5194.6008982802668</v>
          </cell>
          <cell r="M350">
            <v>522.13461840902801</v>
          </cell>
          <cell r="N350">
            <v>228.53</v>
          </cell>
          <cell r="O350">
            <v>483.85199999999901</v>
          </cell>
          <cell r="P350">
            <v>698.90499999999997</v>
          </cell>
          <cell r="Q350">
            <v>1715</v>
          </cell>
          <cell r="R350">
            <v>1173.3968696837801</v>
          </cell>
          <cell r="S350">
            <v>365.983</v>
          </cell>
          <cell r="T350">
            <v>741.11449829897253</v>
          </cell>
          <cell r="U350">
            <v>5187.8014880928076</v>
          </cell>
        </row>
        <row r="351">
          <cell r="B351" t="str">
            <v>FY0</v>
          </cell>
          <cell r="C351">
            <v>2265.757363144</v>
          </cell>
          <cell r="D351">
            <v>3007.2089754407002</v>
          </cell>
          <cell r="E351">
            <v>1686.375</v>
          </cell>
          <cell r="F351">
            <v>794.71929675831802</v>
          </cell>
          <cell r="G351">
            <v>164.16725116241</v>
          </cell>
          <cell r="H351">
            <v>770.00937499999998</v>
          </cell>
          <cell r="I351">
            <v>1745.38064013079</v>
          </cell>
          <cell r="J351">
            <v>1490.5168430908884</v>
          </cell>
          <cell r="K351">
            <v>10433.617901636218</v>
          </cell>
          <cell r="M351">
            <v>727.57220840902801</v>
          </cell>
          <cell r="N351">
            <v>346.87931378455897</v>
          </cell>
          <cell r="O351">
            <v>698.63491999999906</v>
          </cell>
          <cell r="P351">
            <v>800.36199999999997</v>
          </cell>
          <cell r="Q351">
            <v>2574.8000000000002</v>
          </cell>
          <cell r="R351">
            <v>1804.384</v>
          </cell>
          <cell r="S351">
            <v>501.53600000000102</v>
          </cell>
          <cell r="T351">
            <v>1064.8812060276553</v>
          </cell>
          <cell r="U351">
            <v>7454.168442193587</v>
          </cell>
        </row>
        <row r="352">
          <cell r="B352" t="str">
            <v>FY1</v>
          </cell>
          <cell r="C352">
            <v>2856.51614066414</v>
          </cell>
          <cell r="D352">
            <v>2894.3353540059602</v>
          </cell>
          <cell r="E352">
            <v>2642.7166360280198</v>
          </cell>
          <cell r="F352">
            <v>803.77325799983203</v>
          </cell>
          <cell r="G352">
            <v>168.64782983552701</v>
          </cell>
          <cell r="H352">
            <v>877.70577551911504</v>
          </cell>
          <cell r="I352">
            <v>2246.3475460263999</v>
          </cell>
          <cell r="J352">
            <v>1784.2917914398563</v>
          </cell>
          <cell r="K352">
            <v>12490.042540078994</v>
          </cell>
          <cell r="M352">
            <v>655.20583485722204</v>
          </cell>
          <cell r="N352">
            <v>418.99402043374801</v>
          </cell>
          <cell r="O352">
            <v>788.63650584369498</v>
          </cell>
          <cell r="P352">
            <v>954.40471939409099</v>
          </cell>
          <cell r="Q352">
            <v>2478.3974420773002</v>
          </cell>
          <cell r="R352">
            <v>1753.2076471989801</v>
          </cell>
          <cell r="S352">
            <v>727.98320368492102</v>
          </cell>
          <cell r="T352">
            <v>1110.9756247842795</v>
          </cell>
          <cell r="U352">
            <v>7776.8293734899571</v>
          </cell>
        </row>
        <row r="353">
          <cell r="B353" t="str">
            <v>FY2</v>
          </cell>
          <cell r="C353">
            <v>2958.2194660018799</v>
          </cell>
          <cell r="D353">
            <v>2984.7676295696201</v>
          </cell>
          <cell r="E353">
            <v>3421.2931870386501</v>
          </cell>
          <cell r="F353">
            <v>776.76218468146806</v>
          </cell>
          <cell r="G353">
            <v>155.83245585719601</v>
          </cell>
          <cell r="H353">
            <v>1014.8548907238001</v>
          </cell>
          <cell r="I353">
            <v>2770.0936741191899</v>
          </cell>
          <cell r="J353">
            <v>2011.689069713115</v>
          </cell>
          <cell r="K353">
            <v>14081.823487991805</v>
          </cell>
          <cell r="M353">
            <v>545.06647740002302</v>
          </cell>
          <cell r="N353">
            <v>465.93234996454299</v>
          </cell>
          <cell r="O353">
            <v>950.79550408930095</v>
          </cell>
          <cell r="P353">
            <v>1107.9918350544999</v>
          </cell>
          <cell r="Q353">
            <v>2368.83194985604</v>
          </cell>
          <cell r="R353">
            <v>2087.7913938627498</v>
          </cell>
          <cell r="S353">
            <v>921.75489727911997</v>
          </cell>
          <cell r="T353">
            <v>1206.8806296437538</v>
          </cell>
          <cell r="U353">
            <v>8448.1644075062759</v>
          </cell>
        </row>
        <row r="354">
          <cell r="B354" t="str">
            <v>FQ(3)</v>
          </cell>
          <cell r="C354">
            <v>893.65736314399498</v>
          </cell>
          <cell r="D354">
            <v>2137.6269754406999</v>
          </cell>
          <cell r="E354">
            <v>294.87500000000398</v>
          </cell>
          <cell r="F354">
            <v>77.619296758318498</v>
          </cell>
          <cell r="G354">
            <v>13.828247806465299</v>
          </cell>
          <cell r="H354">
            <v>460.35537499999998</v>
          </cell>
          <cell r="I354">
            <v>1012.23464013079</v>
          </cell>
          <cell r="J354">
            <v>698.59955689718186</v>
          </cell>
          <cell r="K354">
            <v>4890.1968982802728</v>
          </cell>
          <cell r="M354">
            <v>463.72861840902902</v>
          </cell>
          <cell r="N354">
            <v>247.74700000000001</v>
          </cell>
          <cell r="O354">
            <v>449.33199999999999</v>
          </cell>
          <cell r="P354">
            <v>551.26700000000005</v>
          </cell>
          <cell r="Q354">
            <v>1708</v>
          </cell>
          <cell r="R354">
            <v>935.99786968377805</v>
          </cell>
          <cell r="S354">
            <v>297.625</v>
          </cell>
          <cell r="T354">
            <v>664.81392687040102</v>
          </cell>
          <cell r="U354">
            <v>4653.6974880928074</v>
          </cell>
        </row>
        <row r="355">
          <cell r="B355" t="str">
            <v>FQ(2)</v>
          </cell>
          <cell r="C355">
            <v>1353.757363144</v>
          </cell>
          <cell r="D355">
            <v>2312.0089754406999</v>
          </cell>
          <cell r="E355">
            <v>514.87500000000398</v>
          </cell>
          <cell r="F355">
            <v>518.619296758318</v>
          </cell>
          <cell r="G355">
            <v>16.548247806465302</v>
          </cell>
          <cell r="H355">
            <v>521.561375</v>
          </cell>
          <cell r="I355">
            <v>1426.59264013079</v>
          </cell>
          <cell r="J355">
            <v>951.99469975432532</v>
          </cell>
          <cell r="K355">
            <v>6663.9628982802769</v>
          </cell>
          <cell r="M355">
            <v>441.27420840902897</v>
          </cell>
          <cell r="N355">
            <v>245.45400000000001</v>
          </cell>
          <cell r="O355">
            <v>529.78800000000001</v>
          </cell>
          <cell r="P355">
            <v>800.36199999999997</v>
          </cell>
          <cell r="Q355">
            <v>2131</v>
          </cell>
          <cell r="R355">
            <v>1550.31486968378</v>
          </cell>
          <cell r="S355">
            <v>288.76</v>
          </cell>
          <cell r="T355">
            <v>855.27901115611553</v>
          </cell>
          <cell r="U355">
            <v>5986.9530780928089</v>
          </cell>
        </row>
        <row r="356">
          <cell r="B356" t="str">
            <v>FQ(1)</v>
          </cell>
          <cell r="C356">
            <v>1530.757363144</v>
          </cell>
          <cell r="D356">
            <v>2129.0089754406999</v>
          </cell>
          <cell r="E356">
            <v>488.87500000000398</v>
          </cell>
          <cell r="F356">
            <v>483.619296758318</v>
          </cell>
          <cell r="G356">
            <v>11.527851162409601</v>
          </cell>
          <cell r="H356">
            <v>577.14337499999999</v>
          </cell>
          <cell r="I356">
            <v>1445.3386401307901</v>
          </cell>
          <cell r="J356">
            <v>952.32435737660296</v>
          </cell>
          <cell r="K356">
            <v>6666.2705016362206</v>
          </cell>
          <cell r="M356">
            <v>526.36420840902895</v>
          </cell>
          <cell r="N356">
            <v>285.53031378455898</v>
          </cell>
          <cell r="O356">
            <v>515.90300000000002</v>
          </cell>
          <cell r="P356">
            <v>994.68</v>
          </cell>
          <cell r="Q356">
            <v>2398</v>
          </cell>
          <cell r="R356">
            <v>968.16886968377798</v>
          </cell>
          <cell r="S356">
            <v>418.39499999999998</v>
          </cell>
          <cell r="T356">
            <v>872.43448455390956</v>
          </cell>
          <cell r="U356">
            <v>6107.0413918773666</v>
          </cell>
        </row>
        <row r="357">
          <cell r="B357" t="str">
            <v>Last Reported Q</v>
          </cell>
          <cell r="C357">
            <v>2265.757363144</v>
          </cell>
          <cell r="D357">
            <v>3007.2089754407002</v>
          </cell>
          <cell r="E357">
            <v>1686.375</v>
          </cell>
          <cell r="F357">
            <v>794.71929675831802</v>
          </cell>
          <cell r="G357">
            <v>164.16725116241</v>
          </cell>
          <cell r="H357">
            <v>770.00937499999998</v>
          </cell>
          <cell r="I357">
            <v>1745.38064013079</v>
          </cell>
          <cell r="J357">
            <v>1490.5168430908884</v>
          </cell>
          <cell r="K357">
            <v>10433.617901636218</v>
          </cell>
          <cell r="M357">
            <v>727.57220840902801</v>
          </cell>
          <cell r="N357">
            <v>346.87931378455897</v>
          </cell>
          <cell r="O357">
            <v>698.63491999999906</v>
          </cell>
          <cell r="P357">
            <v>1103.1769999999999</v>
          </cell>
          <cell r="Q357">
            <v>2574.8000000000002</v>
          </cell>
          <cell r="R357">
            <v>1804.384</v>
          </cell>
          <cell r="S357">
            <v>501.53600000000102</v>
          </cell>
          <cell r="T357">
            <v>1108.1404917419411</v>
          </cell>
          <cell r="U357">
            <v>7756.9834421935875</v>
          </cell>
        </row>
        <row r="358">
          <cell r="A358" t="str">
            <v>mscalc:shareholdersEquityExcludingAdjustments2</v>
          </cell>
          <cell r="B358" t="str">
            <v>LTM</v>
          </cell>
          <cell r="C358">
            <v>2265.757363144</v>
          </cell>
          <cell r="D358">
            <v>3007.2089754407002</v>
          </cell>
          <cell r="E358">
            <v>1686.375</v>
          </cell>
          <cell r="F358">
            <v>794.71929675831802</v>
          </cell>
          <cell r="G358">
            <v>164.16725116241</v>
          </cell>
          <cell r="H358">
            <v>770.00937499999998</v>
          </cell>
          <cell r="I358">
            <v>1745.38064013079</v>
          </cell>
          <cell r="J358">
            <v>1490.5168430908884</v>
          </cell>
          <cell r="K358">
            <v>10433.617901636218</v>
          </cell>
          <cell r="M358">
            <v>727.57220840902801</v>
          </cell>
          <cell r="N358">
            <v>346.87931378455897</v>
          </cell>
          <cell r="O358">
            <v>698.63491999999906</v>
          </cell>
          <cell r="P358">
            <v>1103.1769999999999</v>
          </cell>
          <cell r="Q358">
            <v>2574.8000000000002</v>
          </cell>
          <cell r="R358">
            <v>1804.384</v>
          </cell>
          <cell r="S358">
            <v>501.53600000000102</v>
          </cell>
          <cell r="T358">
            <v>1108.1404917419411</v>
          </cell>
          <cell r="U358">
            <v>7756.9834421935875</v>
          </cell>
        </row>
        <row r="359">
          <cell r="B359" t="str">
            <v>FY(2)</v>
          </cell>
          <cell r="C359">
            <v>5603.3950000000004</v>
          </cell>
          <cell r="D359">
            <v>4288</v>
          </cell>
          <cell r="E359">
            <v>12254</v>
          </cell>
          <cell r="F359">
            <v>2168.5210000000002</v>
          </cell>
          <cell r="G359">
            <v>1096.1389999999999</v>
          </cell>
          <cell r="H359">
            <v>909.83</v>
          </cell>
          <cell r="I359">
            <v>2290.1210000000001</v>
          </cell>
          <cell r="J359">
            <v>4087.1437142857144</v>
          </cell>
          <cell r="K359">
            <v>28610.006000000001</v>
          </cell>
          <cell r="M359">
            <v>1405.297</v>
          </cell>
          <cell r="N359">
            <v>312.11599999999999</v>
          </cell>
          <cell r="O359">
            <v>1417.3119999999999</v>
          </cell>
          <cell r="P359">
            <v>1910.354</v>
          </cell>
          <cell r="Q359">
            <v>5174</v>
          </cell>
          <cell r="R359">
            <v>2955</v>
          </cell>
          <cell r="S359">
            <v>675.28300000000002</v>
          </cell>
          <cell r="T359">
            <v>1978.4802857142856</v>
          </cell>
          <cell r="U359">
            <v>13849.361999999999</v>
          </cell>
        </row>
        <row r="360">
          <cell r="A360" t="str">
            <v>mstag:shortTermBorrowings</v>
          </cell>
          <cell r="B360" t="str">
            <v>ST. Debt</v>
          </cell>
          <cell r="C360">
            <v>6101.6030000000001</v>
          </cell>
          <cell r="D360">
            <v>5312</v>
          </cell>
          <cell r="E360">
            <v>9907</v>
          </cell>
          <cell r="F360">
            <v>1115</v>
          </cell>
          <cell r="G360">
            <v>1175.3088999576601</v>
          </cell>
          <cell r="H360">
            <v>970.649</v>
          </cell>
          <cell r="I360">
            <v>2131.2449999999999</v>
          </cell>
          <cell r="J360">
            <v>3816.11512856538</v>
          </cell>
          <cell r="K360">
            <v>26712.805899957661</v>
          </cell>
          <cell r="M360">
            <v>1618.3130000000001</v>
          </cell>
          <cell r="N360">
            <v>197.27600000000001</v>
          </cell>
          <cell r="O360">
            <v>1340.4639999999999</v>
          </cell>
          <cell r="P360">
            <v>1490.375</v>
          </cell>
          <cell r="Q360">
            <v>4274</v>
          </cell>
          <cell r="R360">
            <v>2219.23776210295</v>
          </cell>
          <cell r="S360">
            <v>853.43100000000004</v>
          </cell>
          <cell r="T360">
            <v>1713.2995374432787</v>
          </cell>
          <cell r="U360">
            <v>11993.09676210295</v>
          </cell>
        </row>
        <row r="361">
          <cell r="B361" t="str">
            <v>FY(2)</v>
          </cell>
          <cell r="C361">
            <v>12.701000000000001</v>
          </cell>
          <cell r="D361">
            <v>203</v>
          </cell>
          <cell r="E361">
            <v>666</v>
          </cell>
          <cell r="F361">
            <v>261</v>
          </cell>
          <cell r="G361">
            <v>319.24200000000002</v>
          </cell>
          <cell r="H361">
            <v>0</v>
          </cell>
          <cell r="I361">
            <v>2.008</v>
          </cell>
          <cell r="J361">
            <v>209.13585714285713</v>
          </cell>
          <cell r="K361">
            <v>1463.951</v>
          </cell>
          <cell r="M361">
            <v>0</v>
          </cell>
          <cell r="N361">
            <v>0</v>
          </cell>
          <cell r="O361">
            <v>0</v>
          </cell>
          <cell r="P361">
            <v>0.23499999999999999</v>
          </cell>
          <cell r="Q361">
            <v>138</v>
          </cell>
          <cell r="R361">
            <v>0</v>
          </cell>
          <cell r="S361" t="str">
            <v>NA</v>
          </cell>
          <cell r="T361">
            <v>23.03916666666667</v>
          </cell>
          <cell r="U361">
            <v>138.23500000000001</v>
          </cell>
        </row>
        <row r="362">
          <cell r="B362" t="str">
            <v>FY(1)</v>
          </cell>
          <cell r="C362">
            <v>17</v>
          </cell>
          <cell r="D362">
            <v>0</v>
          </cell>
          <cell r="E362">
            <v>966</v>
          </cell>
          <cell r="F362">
            <v>299</v>
          </cell>
          <cell r="G362">
            <v>4.673</v>
          </cell>
          <cell r="H362">
            <v>0</v>
          </cell>
          <cell r="I362">
            <v>395.02699999999999</v>
          </cell>
          <cell r="J362">
            <v>240.24285714285716</v>
          </cell>
          <cell r="K362">
            <v>1681.7</v>
          </cell>
          <cell r="M362">
            <v>0</v>
          </cell>
          <cell r="N362">
            <v>0</v>
          </cell>
          <cell r="O362">
            <v>75</v>
          </cell>
          <cell r="P362">
            <v>0.28499999999999998</v>
          </cell>
          <cell r="Q362">
            <v>50</v>
          </cell>
          <cell r="R362">
            <v>0</v>
          </cell>
          <cell r="S362" t="str">
            <v>NA</v>
          </cell>
          <cell r="T362">
            <v>20.880833333333332</v>
          </cell>
          <cell r="U362">
            <v>125.285</v>
          </cell>
        </row>
        <row r="363">
          <cell r="B363" t="str">
            <v>FY0</v>
          </cell>
          <cell r="C363">
            <v>16</v>
          </cell>
          <cell r="D363">
            <v>393</v>
          </cell>
          <cell r="E363">
            <v>242</v>
          </cell>
          <cell r="F363">
            <v>356</v>
          </cell>
          <cell r="G363">
            <v>27.856999999999999</v>
          </cell>
          <cell r="H363">
            <v>0</v>
          </cell>
          <cell r="I363">
            <v>0</v>
          </cell>
          <cell r="J363">
            <v>147.83671428571429</v>
          </cell>
          <cell r="K363">
            <v>1034.857</v>
          </cell>
          <cell r="M363">
            <v>11.61</v>
          </cell>
          <cell r="N363">
            <v>0</v>
          </cell>
          <cell r="O363">
            <v>30</v>
          </cell>
          <cell r="P363">
            <v>8.0039999999999996</v>
          </cell>
          <cell r="Q363">
            <v>0</v>
          </cell>
          <cell r="R363">
            <v>0</v>
          </cell>
          <cell r="S363" t="str">
            <v>NA</v>
          </cell>
          <cell r="T363">
            <v>8.2690000000000001</v>
          </cell>
          <cell r="U363">
            <v>49.613999999999997</v>
          </cell>
        </row>
        <row r="364">
          <cell r="B364" t="str">
            <v>FY1</v>
          </cell>
          <cell r="C364">
            <v>16</v>
          </cell>
          <cell r="D364">
            <v>393</v>
          </cell>
          <cell r="E364">
            <v>242</v>
          </cell>
          <cell r="F364">
            <v>6</v>
          </cell>
          <cell r="G364">
            <v>27.856999999999999</v>
          </cell>
          <cell r="H364">
            <v>0</v>
          </cell>
          <cell r="I364">
            <v>0</v>
          </cell>
          <cell r="J364">
            <v>97.83671428571428</v>
          </cell>
          <cell r="K364">
            <v>684.85699999999997</v>
          </cell>
          <cell r="M364">
            <v>11.61</v>
          </cell>
          <cell r="N364">
            <v>0</v>
          </cell>
          <cell r="O364">
            <v>30</v>
          </cell>
          <cell r="P364">
            <v>0.73699999999999999</v>
          </cell>
          <cell r="Q364">
            <v>0</v>
          </cell>
          <cell r="R364">
            <v>0</v>
          </cell>
          <cell r="S364" t="str">
            <v>NA</v>
          </cell>
          <cell r="T364">
            <v>7.0578333333333338</v>
          </cell>
          <cell r="U364">
            <v>42.347000000000001</v>
          </cell>
        </row>
        <row r="365">
          <cell r="B365" t="str">
            <v>FY2</v>
          </cell>
          <cell r="C365">
            <v>16</v>
          </cell>
          <cell r="D365">
            <v>393</v>
          </cell>
          <cell r="E365">
            <v>242</v>
          </cell>
          <cell r="F365">
            <v>6</v>
          </cell>
          <cell r="G365">
            <v>27.856999999999999</v>
          </cell>
          <cell r="H365">
            <v>0</v>
          </cell>
          <cell r="I365">
            <v>0</v>
          </cell>
          <cell r="J365">
            <v>97.83671428571428</v>
          </cell>
          <cell r="K365">
            <v>684.85699999999997</v>
          </cell>
          <cell r="M365">
            <v>11.61</v>
          </cell>
          <cell r="N365">
            <v>0</v>
          </cell>
          <cell r="O365">
            <v>30</v>
          </cell>
          <cell r="P365">
            <v>0</v>
          </cell>
          <cell r="Q365">
            <v>0</v>
          </cell>
          <cell r="R365">
            <v>0</v>
          </cell>
          <cell r="S365" t="str">
            <v>NA</v>
          </cell>
          <cell r="T365">
            <v>6.9349999999999996</v>
          </cell>
          <cell r="U365">
            <v>41.61</v>
          </cell>
        </row>
        <row r="366">
          <cell r="B366" t="str">
            <v>FQ(3)</v>
          </cell>
          <cell r="C366">
            <v>17</v>
          </cell>
          <cell r="D366">
            <v>506</v>
          </cell>
          <cell r="E366">
            <v>135</v>
          </cell>
          <cell r="F366">
            <v>500</v>
          </cell>
          <cell r="G366">
            <v>4.6859999999999999</v>
          </cell>
          <cell r="H366">
            <v>0</v>
          </cell>
          <cell r="I366">
            <v>744.44500000000005</v>
          </cell>
          <cell r="J366">
            <v>272.44728571428567</v>
          </cell>
          <cell r="K366">
            <v>1907.1309999999999</v>
          </cell>
          <cell r="M366">
            <v>0</v>
          </cell>
          <cell r="N366">
            <v>0</v>
          </cell>
          <cell r="O366">
            <v>75</v>
          </cell>
          <cell r="P366">
            <v>2.4900000000000002</v>
          </cell>
          <cell r="Q366">
            <v>0</v>
          </cell>
          <cell r="R366">
            <v>0</v>
          </cell>
          <cell r="S366" t="str">
            <v>NA</v>
          </cell>
          <cell r="T366">
            <v>12.914999999999999</v>
          </cell>
          <cell r="U366">
            <v>77.489999999999995</v>
          </cell>
        </row>
        <row r="367">
          <cell r="B367" t="str">
            <v>FQ(2)</v>
          </cell>
          <cell r="C367">
            <v>16</v>
          </cell>
          <cell r="D367">
            <v>393</v>
          </cell>
          <cell r="E367">
            <v>92</v>
          </cell>
          <cell r="F367">
            <v>375</v>
          </cell>
          <cell r="G367">
            <v>4.7290000000000001</v>
          </cell>
          <cell r="H367">
            <v>0</v>
          </cell>
          <cell r="I367">
            <v>421.20600000000002</v>
          </cell>
          <cell r="J367">
            <v>185.99071428571429</v>
          </cell>
          <cell r="K367">
            <v>1301.9349999999999</v>
          </cell>
          <cell r="M367">
            <v>0</v>
          </cell>
          <cell r="N367">
            <v>0</v>
          </cell>
          <cell r="O367">
            <v>75</v>
          </cell>
          <cell r="P367">
            <v>8.0039999999999996</v>
          </cell>
          <cell r="Q367">
            <v>0</v>
          </cell>
          <cell r="R367">
            <v>0</v>
          </cell>
          <cell r="S367" t="str">
            <v>NA</v>
          </cell>
          <cell r="T367">
            <v>13.834000000000001</v>
          </cell>
          <cell r="U367">
            <v>83.004000000000005</v>
          </cell>
        </row>
        <row r="368">
          <cell r="B368" t="str">
            <v>FQ(1)</v>
          </cell>
          <cell r="C368">
            <v>17</v>
          </cell>
          <cell r="D368">
            <v>393</v>
          </cell>
          <cell r="E368">
            <v>92</v>
          </cell>
          <cell r="F368">
            <v>356</v>
          </cell>
          <cell r="G368">
            <v>4.8470000000000004</v>
          </cell>
          <cell r="H368">
            <v>0</v>
          </cell>
          <cell r="I368">
            <v>202.667</v>
          </cell>
          <cell r="J368">
            <v>152.2162857142857</v>
          </cell>
          <cell r="K368">
            <v>1065.5139999999999</v>
          </cell>
          <cell r="M368">
            <v>0</v>
          </cell>
          <cell r="N368">
            <v>0</v>
          </cell>
          <cell r="O368">
            <v>50</v>
          </cell>
          <cell r="P368">
            <v>0.70399999999999996</v>
          </cell>
          <cell r="Q368">
            <v>0</v>
          </cell>
          <cell r="R368">
            <v>0</v>
          </cell>
          <cell r="S368" t="str">
            <v>NA</v>
          </cell>
          <cell r="T368">
            <v>8.4506666666666668</v>
          </cell>
          <cell r="U368">
            <v>50.704000000000001</v>
          </cell>
        </row>
        <row r="369">
          <cell r="B369" t="str">
            <v>Last Reported Q</v>
          </cell>
          <cell r="C369">
            <v>16</v>
          </cell>
          <cell r="D369">
            <v>393</v>
          </cell>
          <cell r="E369">
            <v>242</v>
          </cell>
          <cell r="F369">
            <v>356</v>
          </cell>
          <cell r="G369">
            <v>27.856999999999999</v>
          </cell>
          <cell r="H369">
            <v>0</v>
          </cell>
          <cell r="I369">
            <v>0</v>
          </cell>
          <cell r="J369">
            <v>147.83671428571429</v>
          </cell>
          <cell r="K369">
            <v>1034.857</v>
          </cell>
          <cell r="M369">
            <v>11.61</v>
          </cell>
          <cell r="N369">
            <v>0</v>
          </cell>
          <cell r="O369">
            <v>30</v>
          </cell>
          <cell r="P369">
            <v>0.73699999999999999</v>
          </cell>
          <cell r="Q369">
            <v>0</v>
          </cell>
          <cell r="R369">
            <v>0</v>
          </cell>
          <cell r="S369" t="str">
            <v>NA</v>
          </cell>
          <cell r="T369">
            <v>7.0578333333333338</v>
          </cell>
          <cell r="U369">
            <v>42.347000000000001</v>
          </cell>
        </row>
        <row r="370">
          <cell r="B370" t="str">
            <v>LTM</v>
          </cell>
          <cell r="C370">
            <v>16</v>
          </cell>
          <cell r="D370">
            <v>393</v>
          </cell>
          <cell r="E370">
            <v>242</v>
          </cell>
          <cell r="F370">
            <v>356</v>
          </cell>
          <cell r="G370">
            <v>27.856999999999999</v>
          </cell>
          <cell r="H370">
            <v>0</v>
          </cell>
          <cell r="I370">
            <v>0</v>
          </cell>
          <cell r="J370">
            <v>147.83671428571429</v>
          </cell>
          <cell r="K370">
            <v>1034.857</v>
          </cell>
          <cell r="M370">
            <v>11.61</v>
          </cell>
          <cell r="N370">
            <v>0</v>
          </cell>
          <cell r="O370">
            <v>30</v>
          </cell>
          <cell r="P370">
            <v>0.73699999999999999</v>
          </cell>
          <cell r="Q370">
            <v>0</v>
          </cell>
          <cell r="R370">
            <v>0</v>
          </cell>
          <cell r="S370" t="str">
            <v>NA</v>
          </cell>
          <cell r="T370">
            <v>7.0578333333333338</v>
          </cell>
          <cell r="U370">
            <v>42.347000000000001</v>
          </cell>
        </row>
        <row r="371">
          <cell r="B371" t="str">
            <v>FY(2)</v>
          </cell>
          <cell r="C371">
            <v>6662.2930000000006</v>
          </cell>
          <cell r="D371">
            <v>7732</v>
          </cell>
          <cell r="E371">
            <v>20751</v>
          </cell>
          <cell r="F371">
            <v>2798.973</v>
          </cell>
          <cell r="G371">
            <v>1782.8159999999998</v>
          </cell>
          <cell r="H371">
            <v>1059.83</v>
          </cell>
          <cell r="I371">
            <v>3077.62</v>
          </cell>
          <cell r="J371">
            <v>6266.3617142857156</v>
          </cell>
          <cell r="K371">
            <v>43864.532000000007</v>
          </cell>
          <cell r="M371">
            <v>1405.297</v>
          </cell>
          <cell r="N371">
            <v>312.11599999999999</v>
          </cell>
          <cell r="O371">
            <v>1417.3119999999999</v>
          </cell>
          <cell r="P371">
            <v>1913.454</v>
          </cell>
          <cell r="Q371">
            <v>5687</v>
          </cell>
          <cell r="R371">
            <v>4638</v>
          </cell>
          <cell r="S371">
            <v>675.28300000000002</v>
          </cell>
          <cell r="T371">
            <v>2292.6374285714287</v>
          </cell>
          <cell r="U371">
            <v>16048.462</v>
          </cell>
        </row>
        <row r="372">
          <cell r="A372" t="str">
            <v>mstag:longTermDebt</v>
          </cell>
          <cell r="B372" t="str">
            <v>LT. Debt</v>
          </cell>
          <cell r="C372">
            <v>8166.1790000000001</v>
          </cell>
          <cell r="D372">
            <v>9020</v>
          </cell>
          <cell r="E372">
            <v>19660</v>
          </cell>
          <cell r="F372">
            <v>3612</v>
          </cell>
          <cell r="G372">
            <v>1747.89689995766</v>
          </cell>
          <cell r="H372">
            <v>1120.6489999999999</v>
          </cell>
          <cell r="I372">
            <v>2966.3389999999999</v>
          </cell>
          <cell r="J372">
            <v>6613.2948428510945</v>
          </cell>
          <cell r="K372">
            <v>46293.063899957662</v>
          </cell>
          <cell r="M372">
            <v>1618.3130000000001</v>
          </cell>
          <cell r="N372">
            <v>197.27600000000001</v>
          </cell>
          <cell r="O372">
            <v>1340.4639999999999</v>
          </cell>
          <cell r="P372">
            <v>1493.24</v>
          </cell>
          <cell r="Q372">
            <v>4462</v>
          </cell>
          <cell r="R372">
            <v>5123.8767621029501</v>
          </cell>
          <cell r="S372">
            <v>853.43100000000004</v>
          </cell>
          <cell r="T372">
            <v>2155.5143945861355</v>
          </cell>
          <cell r="U372">
            <v>15088.600762102949</v>
          </cell>
        </row>
        <row r="373">
          <cell r="B373" t="str">
            <v>FY(2)</v>
          </cell>
          <cell r="C373">
            <v>2051.875</v>
          </cell>
          <cell r="D373">
            <v>3505</v>
          </cell>
          <cell r="E373">
            <v>9087</v>
          </cell>
          <cell r="F373">
            <v>2236</v>
          </cell>
          <cell r="G373">
            <v>253.346</v>
          </cell>
          <cell r="H373">
            <v>150</v>
          </cell>
          <cell r="I373">
            <v>833.08600000000001</v>
          </cell>
          <cell r="J373">
            <v>2588.0438571428572</v>
          </cell>
          <cell r="K373">
            <v>18116.307000000001</v>
          </cell>
          <cell r="M373">
            <v>0</v>
          </cell>
          <cell r="N373" t="str">
            <v>NA</v>
          </cell>
          <cell r="O373">
            <v>0</v>
          </cell>
          <cell r="P373">
            <v>2.8650000000000002</v>
          </cell>
          <cell r="Q373">
            <v>50</v>
          </cell>
          <cell r="R373">
            <v>2904.6390000000001</v>
          </cell>
          <cell r="S373">
            <v>0</v>
          </cell>
          <cell r="T373">
            <v>492.91733333333332</v>
          </cell>
          <cell r="U373">
            <v>2957.5039999999999</v>
          </cell>
        </row>
        <row r="374">
          <cell r="B374" t="str">
            <v>FY(1)</v>
          </cell>
          <cell r="C374">
            <v>2053</v>
          </cell>
          <cell r="D374">
            <v>3505</v>
          </cell>
          <cell r="E374">
            <v>8733</v>
          </cell>
          <cell r="F374">
            <v>2214</v>
          </cell>
          <cell r="G374">
            <v>635.4</v>
          </cell>
          <cell r="H374">
            <v>150</v>
          </cell>
          <cell r="I374">
            <v>383.78199999999998</v>
          </cell>
          <cell r="J374">
            <v>2524.883142857143</v>
          </cell>
          <cell r="K374">
            <v>17674.182000000001</v>
          </cell>
          <cell r="M374">
            <v>100</v>
          </cell>
          <cell r="N374" t="str">
            <v>NA</v>
          </cell>
          <cell r="O374">
            <v>0</v>
          </cell>
          <cell r="P374">
            <v>2.58</v>
          </cell>
          <cell r="Q374">
            <v>0</v>
          </cell>
          <cell r="R374">
            <v>2897.114</v>
          </cell>
          <cell r="S374">
            <v>0</v>
          </cell>
          <cell r="T374">
            <v>499.94900000000001</v>
          </cell>
          <cell r="U374">
            <v>2999.694</v>
          </cell>
        </row>
        <row r="375">
          <cell r="B375" t="str">
            <v>FY0</v>
          </cell>
          <cell r="C375">
            <v>2052</v>
          </cell>
          <cell r="D375">
            <v>2999</v>
          </cell>
          <cell r="E375">
            <v>8456</v>
          </cell>
          <cell r="F375">
            <v>2257</v>
          </cell>
          <cell r="G375">
            <v>493.33</v>
          </cell>
          <cell r="H375">
            <v>150</v>
          </cell>
          <cell r="I375">
            <v>774.3</v>
          </cell>
          <cell r="J375">
            <v>2454.5185714285717</v>
          </cell>
          <cell r="K375">
            <v>17181.63</v>
          </cell>
          <cell r="M375">
            <v>71.212999999999994</v>
          </cell>
          <cell r="N375" t="str">
            <v>NA</v>
          </cell>
          <cell r="O375">
            <v>0</v>
          </cell>
          <cell r="P375">
            <v>25.071999999999999</v>
          </cell>
          <cell r="Q375">
            <v>0</v>
          </cell>
          <cell r="R375">
            <v>2722.8130000000001</v>
          </cell>
          <cell r="S375">
            <v>0</v>
          </cell>
          <cell r="T375">
            <v>469.84966666666668</v>
          </cell>
          <cell r="U375">
            <v>2819.098</v>
          </cell>
        </row>
        <row r="376">
          <cell r="B376" t="str">
            <v>FY1</v>
          </cell>
          <cell r="C376">
            <v>2052</v>
          </cell>
          <cell r="D376">
            <v>2606</v>
          </cell>
          <cell r="E376">
            <v>8218</v>
          </cell>
          <cell r="F376">
            <v>2382</v>
          </cell>
          <cell r="G376">
            <v>470.33</v>
          </cell>
          <cell r="H376">
            <v>150</v>
          </cell>
          <cell r="I376">
            <v>774.3</v>
          </cell>
          <cell r="J376">
            <v>2378.9471428571428</v>
          </cell>
          <cell r="K376">
            <v>16652.63</v>
          </cell>
          <cell r="M376">
            <v>71.212999999999994</v>
          </cell>
          <cell r="N376" t="str">
            <v>NA</v>
          </cell>
          <cell r="O376">
            <v>0</v>
          </cell>
          <cell r="P376">
            <v>24.338999999999999</v>
          </cell>
          <cell r="Q376">
            <v>0</v>
          </cell>
          <cell r="R376">
            <v>2722.8130000000001</v>
          </cell>
          <cell r="S376">
            <v>0</v>
          </cell>
          <cell r="T376">
            <v>469.72750000000002</v>
          </cell>
          <cell r="U376">
            <v>2818.3650000000002</v>
          </cell>
        </row>
        <row r="377">
          <cell r="B377" t="str">
            <v>FY2</v>
          </cell>
          <cell r="C377">
            <v>1636</v>
          </cell>
          <cell r="D377">
            <v>2606</v>
          </cell>
          <cell r="E377">
            <v>7556</v>
          </cell>
          <cell r="F377">
            <v>2382</v>
          </cell>
          <cell r="G377">
            <v>378.33</v>
          </cell>
          <cell r="H377">
            <v>150</v>
          </cell>
          <cell r="I377">
            <v>774.3</v>
          </cell>
          <cell r="J377">
            <v>2211.8042857142855</v>
          </cell>
          <cell r="K377">
            <v>15482.63</v>
          </cell>
          <cell r="M377">
            <v>71.212999999999994</v>
          </cell>
          <cell r="N377" t="str">
            <v>NA</v>
          </cell>
          <cell r="O377">
            <v>0</v>
          </cell>
          <cell r="P377">
            <v>25.076000000000001</v>
          </cell>
          <cell r="Q377">
            <v>0</v>
          </cell>
          <cell r="R377">
            <v>2722.8130000000001</v>
          </cell>
          <cell r="S377">
            <v>0</v>
          </cell>
          <cell r="T377">
            <v>469.85033333333331</v>
          </cell>
          <cell r="U377">
            <v>2819.1019999999999</v>
          </cell>
        </row>
        <row r="378">
          <cell r="B378" t="str">
            <v>FQ(3)</v>
          </cell>
          <cell r="C378">
            <v>2056</v>
          </cell>
          <cell r="D378">
            <v>2999</v>
          </cell>
          <cell r="E378">
            <v>8719</v>
          </cell>
          <cell r="F378">
            <v>2002</v>
          </cell>
          <cell r="G378">
            <v>631.94000000000005</v>
          </cell>
          <cell r="H378">
            <v>150</v>
          </cell>
          <cell r="I378">
            <v>391.93099999999998</v>
          </cell>
          <cell r="J378">
            <v>2421.4101428571425</v>
          </cell>
          <cell r="K378">
            <v>16949.870999999999</v>
          </cell>
          <cell r="M378">
            <v>100</v>
          </cell>
          <cell r="N378" t="str">
            <v>NA</v>
          </cell>
          <cell r="O378">
            <v>0</v>
          </cell>
          <cell r="P378">
            <v>24.986000000000001</v>
          </cell>
          <cell r="Q378">
            <v>0</v>
          </cell>
          <cell r="R378">
            <v>2897.297</v>
          </cell>
          <cell r="S378">
            <v>0</v>
          </cell>
          <cell r="T378">
            <v>503.7138333333333</v>
          </cell>
          <cell r="U378">
            <v>3022.2829999999999</v>
          </cell>
        </row>
        <row r="379">
          <cell r="B379" t="str">
            <v>FQ(2)</v>
          </cell>
          <cell r="C379">
            <v>2053</v>
          </cell>
          <cell r="D379">
            <v>2999</v>
          </cell>
          <cell r="E379">
            <v>8632</v>
          </cell>
          <cell r="F379">
            <v>2260</v>
          </cell>
          <cell r="G379">
            <v>598.07899999999995</v>
          </cell>
          <cell r="H379">
            <v>150</v>
          </cell>
          <cell r="I379">
            <v>791.33199999999999</v>
          </cell>
          <cell r="J379">
            <v>2497.6301428571428</v>
          </cell>
          <cell r="K379">
            <v>17483.411</v>
          </cell>
          <cell r="M379">
            <v>36.729999999999997</v>
          </cell>
          <cell r="N379" t="str">
            <v>NA</v>
          </cell>
          <cell r="O379">
            <v>0</v>
          </cell>
          <cell r="P379">
            <v>25.071999999999999</v>
          </cell>
          <cell r="Q379">
            <v>0</v>
          </cell>
          <cell r="R379">
            <v>3251</v>
          </cell>
          <cell r="S379">
            <v>0</v>
          </cell>
          <cell r="T379">
            <v>552.13366666666673</v>
          </cell>
          <cell r="U379">
            <v>3312.8020000000001</v>
          </cell>
        </row>
        <row r="380">
          <cell r="B380" t="str">
            <v>FQ(1)</v>
          </cell>
          <cell r="C380">
            <v>2054</v>
          </cell>
          <cell r="D380">
            <v>2999</v>
          </cell>
          <cell r="E380">
            <v>8618</v>
          </cell>
          <cell r="F380">
            <v>2259</v>
          </cell>
          <cell r="G380">
            <v>514.60599999999999</v>
          </cell>
          <cell r="H380">
            <v>150</v>
          </cell>
          <cell r="I380">
            <v>790.75699999999995</v>
          </cell>
          <cell r="J380">
            <v>2483.6232857142859</v>
          </cell>
          <cell r="K380">
            <v>17385.363000000001</v>
          </cell>
          <cell r="M380">
            <v>50.582000000000001</v>
          </cell>
          <cell r="N380" t="str">
            <v>NA</v>
          </cell>
          <cell r="O380">
            <v>0</v>
          </cell>
          <cell r="P380">
            <v>24.428999999999998</v>
          </cell>
          <cell r="Q380">
            <v>0</v>
          </cell>
          <cell r="R380">
            <v>2880.2820000000002</v>
          </cell>
          <cell r="S380">
            <v>0</v>
          </cell>
          <cell r="T380">
            <v>492.54883333333333</v>
          </cell>
          <cell r="U380">
            <v>2955.2930000000001</v>
          </cell>
        </row>
        <row r="381">
          <cell r="B381" t="str">
            <v>Last Reported Q</v>
          </cell>
          <cell r="C381">
            <v>2052</v>
          </cell>
          <cell r="D381">
            <v>2999</v>
          </cell>
          <cell r="E381">
            <v>8456</v>
          </cell>
          <cell r="F381">
            <v>2257</v>
          </cell>
          <cell r="G381">
            <v>493.33</v>
          </cell>
          <cell r="H381">
            <v>150</v>
          </cell>
          <cell r="I381">
            <v>774.3</v>
          </cell>
          <cell r="J381">
            <v>2454.5185714285717</v>
          </cell>
          <cell r="K381">
            <v>17181.63</v>
          </cell>
          <cell r="M381">
            <v>71.212999999999994</v>
          </cell>
          <cell r="N381" t="str">
            <v>NA</v>
          </cell>
          <cell r="O381">
            <v>0</v>
          </cell>
          <cell r="P381">
            <v>24.338999999999999</v>
          </cell>
          <cell r="Q381">
            <v>0</v>
          </cell>
          <cell r="R381">
            <v>2722.8130000000001</v>
          </cell>
          <cell r="S381">
            <v>0</v>
          </cell>
          <cell r="T381">
            <v>469.72750000000002</v>
          </cell>
          <cell r="U381">
            <v>2818.3650000000002</v>
          </cell>
        </row>
        <row r="382">
          <cell r="B382" t="str">
            <v>LTM</v>
          </cell>
          <cell r="C382">
            <v>2052</v>
          </cell>
          <cell r="D382">
            <v>2999</v>
          </cell>
          <cell r="E382">
            <v>8456</v>
          </cell>
          <cell r="F382">
            <v>2257</v>
          </cell>
          <cell r="G382">
            <v>493.33</v>
          </cell>
          <cell r="H382">
            <v>150</v>
          </cell>
          <cell r="I382">
            <v>774.3</v>
          </cell>
          <cell r="J382">
            <v>2454.5185714285717</v>
          </cell>
          <cell r="K382">
            <v>17181.63</v>
          </cell>
          <cell r="M382">
            <v>71.212999999999994</v>
          </cell>
          <cell r="N382" t="str">
            <v>NA</v>
          </cell>
          <cell r="O382">
            <v>0</v>
          </cell>
          <cell r="P382">
            <v>24.338999999999999</v>
          </cell>
          <cell r="Q382">
            <v>0</v>
          </cell>
          <cell r="R382">
            <v>2722.8130000000001</v>
          </cell>
          <cell r="S382">
            <v>0</v>
          </cell>
          <cell r="T382">
            <v>469.72750000000002</v>
          </cell>
          <cell r="U382">
            <v>2818.3650000000002</v>
          </cell>
        </row>
        <row r="383">
          <cell r="B383" t="str">
            <v>FY(2)</v>
          </cell>
          <cell r="C383" t="e">
            <v>#VALUE!</v>
          </cell>
          <cell r="D383" t="e">
            <v>#VALUE!</v>
          </cell>
          <cell r="E383" t="e">
            <v>#VALUE!</v>
          </cell>
          <cell r="F383" t="e">
            <v>#VALUE!</v>
          </cell>
          <cell r="G383" t="e">
            <v>#VALUE!</v>
          </cell>
          <cell r="H383" t="e">
            <v>#VALUE!</v>
          </cell>
          <cell r="I383" t="e">
            <v>#VALUE!</v>
          </cell>
          <cell r="J383" t="e">
            <v>#VALUE!</v>
          </cell>
          <cell r="K383" t="e">
            <v>#VALUE!</v>
          </cell>
          <cell r="M383" t="e">
            <v>#VALUE!</v>
          </cell>
          <cell r="N383" t="e">
            <v>#VALUE!</v>
          </cell>
          <cell r="O383" t="e">
            <v>#VALUE!</v>
          </cell>
          <cell r="P383" t="e">
            <v>#VALUE!</v>
          </cell>
          <cell r="Q383" t="e">
            <v>#VALUE!</v>
          </cell>
          <cell r="R383" t="e">
            <v>#VALUE!</v>
          </cell>
          <cell r="S383" t="e">
            <v>#VALUE!</v>
          </cell>
          <cell r="T383" t="e">
            <v>#VALUE!</v>
          </cell>
          <cell r="U383" t="e">
            <v>#VALUE!</v>
          </cell>
        </row>
        <row r="384">
          <cell r="B384" t="str">
            <v>Unadjusted Debt</v>
          </cell>
          <cell r="C384" t="e">
            <v>#VALUE!</v>
          </cell>
          <cell r="D384" t="e">
            <v>#VALUE!</v>
          </cell>
          <cell r="E384" t="e">
            <v>#VALUE!</v>
          </cell>
          <cell r="F384" t="e">
            <v>#VALUE!</v>
          </cell>
          <cell r="G384" t="e">
            <v>#VALUE!</v>
          </cell>
          <cell r="H384" t="e">
            <v>#VALUE!</v>
          </cell>
          <cell r="I384" t="e">
            <v>#VALUE!</v>
          </cell>
          <cell r="J384" t="e">
            <v>#VALUE!</v>
          </cell>
          <cell r="K384" t="e">
            <v>#VALUE!</v>
          </cell>
          <cell r="M384" t="e">
            <v>#VALUE!</v>
          </cell>
          <cell r="N384" t="e">
            <v>#VALUE!</v>
          </cell>
          <cell r="O384" t="e">
            <v>#VALUE!</v>
          </cell>
          <cell r="P384" t="e">
            <v>#VALUE!</v>
          </cell>
          <cell r="Q384" t="e">
            <v>#VALUE!</v>
          </cell>
          <cell r="R384" t="e">
            <v>#VALUE!</v>
          </cell>
          <cell r="S384" t="e">
            <v>#VALUE!</v>
          </cell>
          <cell r="T384" t="e">
            <v>#VALUE!</v>
          </cell>
          <cell r="U384" t="e">
            <v>#VALUE!</v>
          </cell>
        </row>
        <row r="385">
          <cell r="B385" t="str">
            <v>FY(2)</v>
          </cell>
          <cell r="C385">
            <v>2064.576</v>
          </cell>
          <cell r="D385">
            <v>3708</v>
          </cell>
          <cell r="E385">
            <v>9753</v>
          </cell>
          <cell r="F385">
            <v>2497</v>
          </cell>
          <cell r="G385">
            <v>572.58799999999997</v>
          </cell>
          <cell r="H385">
            <v>150</v>
          </cell>
          <cell r="I385">
            <v>835.09400000000005</v>
          </cell>
          <cell r="J385">
            <v>2797.1797142857145</v>
          </cell>
          <cell r="K385">
            <v>19580.258000000002</v>
          </cell>
          <cell r="M385">
            <v>0</v>
          </cell>
          <cell r="N385">
            <v>0</v>
          </cell>
          <cell r="O385">
            <v>0</v>
          </cell>
          <cell r="P385">
            <v>3.1</v>
          </cell>
          <cell r="Q385">
            <v>188</v>
          </cell>
          <cell r="R385">
            <v>2904.6390000000001</v>
          </cell>
          <cell r="S385">
            <v>0</v>
          </cell>
          <cell r="T385">
            <v>442.24842857142858</v>
          </cell>
          <cell r="U385">
            <v>3095.739</v>
          </cell>
        </row>
        <row r="386">
          <cell r="B386" t="str">
            <v>FY(1)</v>
          </cell>
          <cell r="C386">
            <v>2070</v>
          </cell>
          <cell r="D386">
            <v>3505</v>
          </cell>
          <cell r="E386">
            <v>9699</v>
          </cell>
          <cell r="F386">
            <v>2513</v>
          </cell>
          <cell r="G386">
            <v>640.07299999999998</v>
          </cell>
          <cell r="H386">
            <v>150</v>
          </cell>
          <cell r="I386">
            <v>778.80899999999997</v>
          </cell>
          <cell r="J386">
            <v>2765.1260000000002</v>
          </cell>
          <cell r="K386">
            <v>19355.882000000001</v>
          </cell>
          <cell r="M386">
            <v>100</v>
          </cell>
          <cell r="N386">
            <v>0</v>
          </cell>
          <cell r="O386">
            <v>75</v>
          </cell>
          <cell r="P386">
            <v>2.8650000000000002</v>
          </cell>
          <cell r="Q386">
            <v>50</v>
          </cell>
          <cell r="R386">
            <v>2897.114</v>
          </cell>
          <cell r="S386">
            <v>0</v>
          </cell>
          <cell r="T386">
            <v>446.42557142857146</v>
          </cell>
          <cell r="U386">
            <v>3124.9790000000003</v>
          </cell>
        </row>
        <row r="387">
          <cell r="B387" t="str">
            <v>FY0</v>
          </cell>
          <cell r="C387">
            <v>2068</v>
          </cell>
          <cell r="D387">
            <v>3392</v>
          </cell>
          <cell r="E387">
            <v>8698</v>
          </cell>
          <cell r="F387">
            <v>2613</v>
          </cell>
          <cell r="G387">
            <v>521.18700000000001</v>
          </cell>
          <cell r="H387">
            <v>150</v>
          </cell>
          <cell r="I387">
            <v>774.3</v>
          </cell>
          <cell r="J387">
            <v>2602.3552857142859</v>
          </cell>
          <cell r="K387">
            <v>18216.487000000001</v>
          </cell>
          <cell r="M387">
            <v>82.822999999999993</v>
          </cell>
          <cell r="N387">
            <v>0</v>
          </cell>
          <cell r="O387">
            <v>30</v>
          </cell>
          <cell r="P387">
            <v>33.076000000000001</v>
          </cell>
          <cell r="Q387">
            <v>0</v>
          </cell>
          <cell r="R387">
            <v>2722.8130000000001</v>
          </cell>
          <cell r="S387">
            <v>0</v>
          </cell>
          <cell r="T387">
            <v>409.81599999999997</v>
          </cell>
          <cell r="U387">
            <v>2868.712</v>
          </cell>
        </row>
        <row r="388">
          <cell r="B388" t="str">
            <v>FY1</v>
          </cell>
          <cell r="C388">
            <v>2068</v>
          </cell>
          <cell r="D388">
            <v>2999</v>
          </cell>
          <cell r="E388">
            <v>8460</v>
          </cell>
          <cell r="F388">
            <v>2388</v>
          </cell>
          <cell r="G388">
            <v>498.18700000000001</v>
          </cell>
          <cell r="H388">
            <v>150</v>
          </cell>
          <cell r="I388">
            <v>774.3</v>
          </cell>
          <cell r="J388">
            <v>2476.7838571428574</v>
          </cell>
          <cell r="K388">
            <v>17337.487000000001</v>
          </cell>
          <cell r="M388">
            <v>82.822999999999993</v>
          </cell>
          <cell r="N388">
            <v>0</v>
          </cell>
          <cell r="O388">
            <v>30</v>
          </cell>
          <cell r="P388">
            <v>25.075999999999997</v>
          </cell>
          <cell r="Q388">
            <v>0</v>
          </cell>
          <cell r="R388">
            <v>2722.8130000000001</v>
          </cell>
          <cell r="S388">
            <v>0</v>
          </cell>
          <cell r="T388">
            <v>408.67314285714286</v>
          </cell>
          <cell r="U388">
            <v>2860.712</v>
          </cell>
        </row>
        <row r="389">
          <cell r="B389" t="str">
            <v>FY2</v>
          </cell>
          <cell r="C389">
            <v>1652</v>
          </cell>
          <cell r="D389">
            <v>2999</v>
          </cell>
          <cell r="E389">
            <v>7798</v>
          </cell>
          <cell r="F389">
            <v>2388</v>
          </cell>
          <cell r="G389">
            <v>406.18700000000001</v>
          </cell>
          <cell r="H389">
            <v>150</v>
          </cell>
          <cell r="I389">
            <v>774.3</v>
          </cell>
          <cell r="J389">
            <v>2309.6410000000001</v>
          </cell>
          <cell r="K389">
            <v>16167.486999999999</v>
          </cell>
          <cell r="M389">
            <v>82.822999999999993</v>
          </cell>
          <cell r="N389">
            <v>0</v>
          </cell>
          <cell r="O389">
            <v>30</v>
          </cell>
          <cell r="P389">
            <v>25.076000000000001</v>
          </cell>
          <cell r="Q389">
            <v>0</v>
          </cell>
          <cell r="R389">
            <v>2722.8130000000001</v>
          </cell>
          <cell r="S389">
            <v>0</v>
          </cell>
          <cell r="T389">
            <v>408.67314285714286</v>
          </cell>
          <cell r="U389">
            <v>2860.712</v>
          </cell>
        </row>
        <row r="390">
          <cell r="B390" t="str">
            <v>FQ(3)</v>
          </cell>
          <cell r="C390">
            <v>2073</v>
          </cell>
          <cell r="D390">
            <v>3505</v>
          </cell>
          <cell r="E390">
            <v>8854</v>
          </cell>
          <cell r="F390">
            <v>2502</v>
          </cell>
          <cell r="G390">
            <v>636.62600000000009</v>
          </cell>
          <cell r="H390">
            <v>150</v>
          </cell>
          <cell r="I390">
            <v>1136.376</v>
          </cell>
          <cell r="J390">
            <v>2693.8574285714285</v>
          </cell>
          <cell r="K390">
            <v>18857.002</v>
          </cell>
          <cell r="M390">
            <v>100</v>
          </cell>
          <cell r="N390">
            <v>0</v>
          </cell>
          <cell r="O390">
            <v>75</v>
          </cell>
          <cell r="P390">
            <v>27.475999999999999</v>
          </cell>
          <cell r="Q390">
            <v>0</v>
          </cell>
          <cell r="R390">
            <v>2897.297</v>
          </cell>
          <cell r="S390">
            <v>0</v>
          </cell>
          <cell r="T390">
            <v>442.82471428571432</v>
          </cell>
          <cell r="U390">
            <v>3099.7730000000001</v>
          </cell>
        </row>
        <row r="391">
          <cell r="B391" t="str">
            <v>FQ(2)</v>
          </cell>
          <cell r="C391">
            <v>2069</v>
          </cell>
          <cell r="D391">
            <v>3392</v>
          </cell>
          <cell r="E391">
            <v>8724</v>
          </cell>
          <cell r="F391">
            <v>2635</v>
          </cell>
          <cell r="G391">
            <v>602.80799999999999</v>
          </cell>
          <cell r="H391">
            <v>150</v>
          </cell>
          <cell r="I391">
            <v>1212.538</v>
          </cell>
          <cell r="J391">
            <v>2683.6208571428574</v>
          </cell>
          <cell r="K391">
            <v>18785.346000000001</v>
          </cell>
          <cell r="M391">
            <v>36.729999999999997</v>
          </cell>
          <cell r="N391">
            <v>0</v>
          </cell>
          <cell r="O391">
            <v>75</v>
          </cell>
          <cell r="P391">
            <v>33.076000000000001</v>
          </cell>
          <cell r="Q391">
            <v>0</v>
          </cell>
          <cell r="R391">
            <v>3251</v>
          </cell>
          <cell r="S391">
            <v>0</v>
          </cell>
          <cell r="T391">
            <v>485.11514285714287</v>
          </cell>
          <cell r="U391">
            <v>3395.806</v>
          </cell>
        </row>
        <row r="392">
          <cell r="B392" t="str">
            <v>FQ(1)</v>
          </cell>
          <cell r="C392">
            <v>2071</v>
          </cell>
          <cell r="D392">
            <v>3392</v>
          </cell>
          <cell r="E392">
            <v>8710</v>
          </cell>
          <cell r="F392">
            <v>2615</v>
          </cell>
          <cell r="G392">
            <v>519.45299999999997</v>
          </cell>
          <cell r="H392">
            <v>150</v>
          </cell>
          <cell r="I392">
            <v>993.42399999999998</v>
          </cell>
          <cell r="J392">
            <v>2635.8395714285716</v>
          </cell>
          <cell r="K392">
            <v>18450.877</v>
          </cell>
          <cell r="M392">
            <v>50.582000000000001</v>
          </cell>
          <cell r="N392">
            <v>0</v>
          </cell>
          <cell r="O392">
            <v>50</v>
          </cell>
          <cell r="P392">
            <v>25.132999999999999</v>
          </cell>
          <cell r="Q392">
            <v>0</v>
          </cell>
          <cell r="R392">
            <v>2880.2820000000002</v>
          </cell>
          <cell r="S392">
            <v>0</v>
          </cell>
          <cell r="T392">
            <v>429.42814285714292</v>
          </cell>
          <cell r="U392">
            <v>3005.9970000000003</v>
          </cell>
        </row>
        <row r="393">
          <cell r="B393" t="str">
            <v>Last Reported Q</v>
          </cell>
          <cell r="C393">
            <v>2068</v>
          </cell>
          <cell r="D393">
            <v>3392</v>
          </cell>
          <cell r="E393">
            <v>8698</v>
          </cell>
          <cell r="F393">
            <v>2613</v>
          </cell>
          <cell r="G393">
            <v>521.18700000000001</v>
          </cell>
          <cell r="H393">
            <v>150</v>
          </cell>
          <cell r="I393">
            <v>774.3</v>
          </cell>
          <cell r="J393">
            <v>2602.3552857142859</v>
          </cell>
          <cell r="K393">
            <v>18216.487000000001</v>
          </cell>
          <cell r="M393">
            <v>82.822999999999993</v>
          </cell>
          <cell r="N393">
            <v>0</v>
          </cell>
          <cell r="O393">
            <v>30</v>
          </cell>
          <cell r="P393">
            <v>25.075999999999997</v>
          </cell>
          <cell r="Q393">
            <v>0</v>
          </cell>
          <cell r="R393">
            <v>2722.8130000000001</v>
          </cell>
          <cell r="S393">
            <v>0</v>
          </cell>
          <cell r="T393">
            <v>408.67314285714286</v>
          </cell>
          <cell r="U393">
            <v>2860.712</v>
          </cell>
        </row>
        <row r="394">
          <cell r="B394" t="str">
            <v>LTM</v>
          </cell>
          <cell r="C394">
            <v>2068</v>
          </cell>
          <cell r="D394">
            <v>3392</v>
          </cell>
          <cell r="E394">
            <v>8698</v>
          </cell>
          <cell r="F394">
            <v>2613</v>
          </cell>
          <cell r="G394">
            <v>521.18700000000001</v>
          </cell>
          <cell r="H394">
            <v>150</v>
          </cell>
          <cell r="I394">
            <v>774.3</v>
          </cell>
          <cell r="J394">
            <v>2602.3552857142859</v>
          </cell>
          <cell r="K394">
            <v>18216.487000000001</v>
          </cell>
          <cell r="M394">
            <v>82.822999999999993</v>
          </cell>
          <cell r="N394">
            <v>0</v>
          </cell>
          <cell r="O394">
            <v>30</v>
          </cell>
          <cell r="P394">
            <v>25.075999999999997</v>
          </cell>
          <cell r="Q394">
            <v>0</v>
          </cell>
          <cell r="R394">
            <v>2722.8130000000001</v>
          </cell>
          <cell r="S394">
            <v>0</v>
          </cell>
          <cell r="T394">
            <v>408.67314285714286</v>
          </cell>
          <cell r="U394">
            <v>2860.712</v>
          </cell>
        </row>
        <row r="396">
          <cell r="B396" t="str">
            <v>Unadjusted Net Debt</v>
          </cell>
        </row>
        <row r="397">
          <cell r="B397" t="str">
            <v>FY(2)</v>
          </cell>
          <cell r="C397">
            <v>1400.9176368560052</v>
          </cell>
          <cell r="D397">
            <v>1175.8694052044598</v>
          </cell>
          <cell r="E397">
            <v>9170.1249999999964</v>
          </cell>
          <cell r="F397">
            <v>2139.5977032416822</v>
          </cell>
          <cell r="G397">
            <v>471.42610004233597</v>
          </cell>
          <cell r="H397">
            <v>-113.678</v>
          </cell>
          <cell r="I397">
            <v>102.38306178916901</v>
          </cell>
          <cell r="J397">
            <v>2049.5201295905213</v>
          </cell>
          <cell r="K397">
            <v>14346.640907133649</v>
          </cell>
          <cell r="M397">
            <v>-522.13461840902801</v>
          </cell>
          <cell r="N397">
            <v>-228.53</v>
          </cell>
          <cell r="O397">
            <v>-483.85199999999901</v>
          </cell>
          <cell r="P397">
            <v>-695.80499999999995</v>
          </cell>
          <cell r="Q397">
            <v>-1527</v>
          </cell>
          <cell r="R397">
            <v>1731.24213031622</v>
          </cell>
          <cell r="S397">
            <v>-365.983</v>
          </cell>
          <cell r="T397">
            <v>-298.8660697275439</v>
          </cell>
          <cell r="U397">
            <v>-2092.0624880928071</v>
          </cell>
        </row>
        <row r="398">
          <cell r="B398" t="str">
            <v>FY(1)</v>
          </cell>
          <cell r="C398">
            <v>1393.840636856004</v>
          </cell>
          <cell r="D398">
            <v>1153.3730245593001</v>
          </cell>
          <cell r="E398">
            <v>8393.125</v>
          </cell>
          <cell r="F398">
            <v>2441.0807032416819</v>
          </cell>
          <cell r="G398">
            <v>626.02575219353469</v>
          </cell>
          <cell r="H398">
            <v>-172.15537499999999</v>
          </cell>
          <cell r="I398">
            <v>325.99135986921397</v>
          </cell>
          <cell r="J398">
            <v>2023.0401573885335</v>
          </cell>
          <cell r="K398">
            <v>14161.281101719735</v>
          </cell>
          <cell r="M398">
            <v>-422.13461840902801</v>
          </cell>
          <cell r="N398">
            <v>-228.53</v>
          </cell>
          <cell r="O398">
            <v>-408.85199999999901</v>
          </cell>
          <cell r="P398">
            <v>-696.04</v>
          </cell>
          <cell r="Q398">
            <v>-1665</v>
          </cell>
          <cell r="R398">
            <v>1723.7171303162199</v>
          </cell>
          <cell r="S398">
            <v>-365.983</v>
          </cell>
          <cell r="T398">
            <v>-294.68892687040096</v>
          </cell>
          <cell r="U398">
            <v>-2062.8224880928069</v>
          </cell>
        </row>
        <row r="399">
          <cell r="B399" t="str">
            <v>FY0</v>
          </cell>
          <cell r="C399">
            <v>-197.75736314400001</v>
          </cell>
          <cell r="D399">
            <v>384.79102455929979</v>
          </cell>
          <cell r="E399">
            <v>7011.625</v>
          </cell>
          <cell r="F399">
            <v>1818.280703241682</v>
          </cell>
          <cell r="G399">
            <v>357.01974883758999</v>
          </cell>
          <cell r="H399">
            <v>-620.00937499999998</v>
          </cell>
          <cell r="I399">
            <v>-971.08064013079002</v>
          </cell>
          <cell r="J399">
            <v>1111.8384426233977</v>
          </cell>
          <cell r="K399">
            <v>7782.8690983637835</v>
          </cell>
          <cell r="M399">
            <v>-644.74920840902803</v>
          </cell>
          <cell r="N399">
            <v>-346.87931378455897</v>
          </cell>
          <cell r="O399">
            <v>-668.63491999999906</v>
          </cell>
          <cell r="P399">
            <v>-767.28599999999994</v>
          </cell>
          <cell r="Q399">
            <v>-2574.8000000000002</v>
          </cell>
          <cell r="R399">
            <v>918.42900000000009</v>
          </cell>
          <cell r="S399">
            <v>-501.53600000000102</v>
          </cell>
          <cell r="T399">
            <v>-655.06520602765534</v>
          </cell>
          <cell r="U399">
            <v>-4585.4564421935875</v>
          </cell>
        </row>
        <row r="400">
          <cell r="B400" t="str">
            <v>FY1</v>
          </cell>
          <cell r="C400">
            <v>-788.51614066414004</v>
          </cell>
          <cell r="D400">
            <v>104.6646459940398</v>
          </cell>
          <cell r="E400">
            <v>5817.2833639719802</v>
          </cell>
          <cell r="F400">
            <v>1584.2267420001681</v>
          </cell>
          <cell r="G400">
            <v>329.53917016447303</v>
          </cell>
          <cell r="H400">
            <v>-727.70577551911504</v>
          </cell>
          <cell r="I400">
            <v>-1472.0475460263999</v>
          </cell>
          <cell r="J400">
            <v>692.49206570300078</v>
          </cell>
          <cell r="K400">
            <v>4847.4444599210055</v>
          </cell>
          <cell r="M400">
            <v>-572.38283485722206</v>
          </cell>
          <cell r="N400">
            <v>-418.99402043374801</v>
          </cell>
          <cell r="O400">
            <v>-758.63650584369498</v>
          </cell>
          <cell r="P400">
            <v>-929.32871939409097</v>
          </cell>
          <cell r="Q400">
            <v>-2478.3974420773002</v>
          </cell>
          <cell r="R400">
            <v>969.60535280101999</v>
          </cell>
          <cell r="S400">
            <v>-727.98320368492102</v>
          </cell>
          <cell r="T400">
            <v>-702.3024819271368</v>
          </cell>
          <cell r="U400">
            <v>-4916.1173734899576</v>
          </cell>
        </row>
        <row r="401">
          <cell r="B401" t="str">
            <v>FY2</v>
          </cell>
          <cell r="C401">
            <v>-1306.2194660018799</v>
          </cell>
          <cell r="D401">
            <v>14.232370430379888</v>
          </cell>
          <cell r="E401">
            <v>4376.7068129613499</v>
          </cell>
          <cell r="F401">
            <v>1611.2378153185318</v>
          </cell>
          <cell r="G401">
            <v>250.354544142804</v>
          </cell>
          <cell r="H401">
            <v>-864.85489072380005</v>
          </cell>
          <cell r="I401">
            <v>-1995.79367411919</v>
          </cell>
          <cell r="J401">
            <v>297.95193028688522</v>
          </cell>
          <cell r="K401">
            <v>2085.6635120081964</v>
          </cell>
          <cell r="M401">
            <v>-462.24347740002304</v>
          </cell>
          <cell r="N401">
            <v>-465.93234996454299</v>
          </cell>
          <cell r="O401">
            <v>-920.79550408930095</v>
          </cell>
          <cell r="P401">
            <v>-1082.9158350544999</v>
          </cell>
          <cell r="Q401">
            <v>-2368.83194985604</v>
          </cell>
          <cell r="R401">
            <v>635.02160613725027</v>
          </cell>
          <cell r="S401">
            <v>-921.75489727911997</v>
          </cell>
          <cell r="T401">
            <v>-798.20748678661107</v>
          </cell>
          <cell r="U401">
            <v>-5587.4524075062773</v>
          </cell>
        </row>
        <row r="402">
          <cell r="B402" t="str">
            <v>FQ(3)</v>
          </cell>
          <cell r="C402">
            <v>1179.3426368560049</v>
          </cell>
          <cell r="D402">
            <v>1367.3730245593001</v>
          </cell>
          <cell r="E402">
            <v>8559.1249999999964</v>
          </cell>
          <cell r="F402">
            <v>2424.3807032416817</v>
          </cell>
          <cell r="G402">
            <v>622.79775219353473</v>
          </cell>
          <cell r="H402">
            <v>-310.35537499999998</v>
          </cell>
          <cell r="I402">
            <v>124.14135986920996</v>
          </cell>
          <cell r="J402">
            <v>1995.2578716742471</v>
          </cell>
          <cell r="K402">
            <v>13966.80510171973</v>
          </cell>
          <cell r="M402">
            <v>-363.72861840902902</v>
          </cell>
          <cell r="N402">
            <v>-247.74700000000001</v>
          </cell>
          <cell r="O402">
            <v>-374.33199999999999</v>
          </cell>
          <cell r="P402">
            <v>-523.79100000000005</v>
          </cell>
          <cell r="Q402">
            <v>-1708</v>
          </cell>
          <cell r="R402">
            <v>1961.2991303162221</v>
          </cell>
          <cell r="S402">
            <v>-297.625</v>
          </cell>
          <cell r="T402">
            <v>-221.98921258468667</v>
          </cell>
          <cell r="U402">
            <v>-1553.9244880928068</v>
          </cell>
        </row>
        <row r="403">
          <cell r="B403" t="str">
            <v>FQ(2)</v>
          </cell>
          <cell r="C403">
            <v>715.24263685599999</v>
          </cell>
          <cell r="D403">
            <v>1079.9910245593001</v>
          </cell>
          <cell r="E403">
            <v>8209.1249999999964</v>
          </cell>
          <cell r="F403">
            <v>2116.3807032416821</v>
          </cell>
          <cell r="G403">
            <v>586.25975219353472</v>
          </cell>
          <cell r="H403">
            <v>-371.561375</v>
          </cell>
          <cell r="I403">
            <v>-214.05464013078995</v>
          </cell>
          <cell r="J403">
            <v>1731.626157388532</v>
          </cell>
          <cell r="K403">
            <v>12121.383101719724</v>
          </cell>
          <cell r="M403">
            <v>-404.54420840902895</v>
          </cell>
          <cell r="N403">
            <v>-245.45400000000001</v>
          </cell>
          <cell r="O403">
            <v>-454.78800000000001</v>
          </cell>
          <cell r="P403">
            <v>-767.28599999999994</v>
          </cell>
          <cell r="Q403">
            <v>-2131</v>
          </cell>
          <cell r="R403">
            <v>1700.68513031622</v>
          </cell>
          <cell r="S403">
            <v>-288.76</v>
          </cell>
          <cell r="T403">
            <v>-370.16386829897277</v>
          </cell>
          <cell r="U403">
            <v>-2591.1470780928094</v>
          </cell>
        </row>
        <row r="404">
          <cell r="B404" t="str">
            <v>FQ(1)</v>
          </cell>
          <cell r="C404">
            <v>540.24263685599999</v>
          </cell>
          <cell r="D404">
            <v>1262.9910245593001</v>
          </cell>
          <cell r="E404">
            <v>8221.1249999999964</v>
          </cell>
          <cell r="F404">
            <v>2131.3807032416821</v>
          </cell>
          <cell r="G404">
            <v>507.92514883759037</v>
          </cell>
          <cell r="H404">
            <v>-427.14337499999999</v>
          </cell>
          <cell r="I404">
            <v>-451.91464013079008</v>
          </cell>
          <cell r="J404">
            <v>1683.5152140519683</v>
          </cell>
          <cell r="K404">
            <v>11784.606498363779</v>
          </cell>
          <cell r="M404">
            <v>-475.78220840902895</v>
          </cell>
          <cell r="N404">
            <v>-285.53031378455898</v>
          </cell>
          <cell r="O404">
            <v>-465.90300000000002</v>
          </cell>
          <cell r="P404">
            <v>-969.54699999999991</v>
          </cell>
          <cell r="Q404">
            <v>-2398</v>
          </cell>
          <cell r="R404">
            <v>1912.1131303162222</v>
          </cell>
          <cell r="S404">
            <v>-418.39499999999998</v>
          </cell>
          <cell r="T404">
            <v>-443.00634169676653</v>
          </cell>
          <cell r="U404">
            <v>-3101.0443918773658</v>
          </cell>
        </row>
        <row r="405">
          <cell r="B405" t="str">
            <v>Last Reported Q</v>
          </cell>
          <cell r="C405">
            <v>-197.75736314400001</v>
          </cell>
          <cell r="D405">
            <v>384.79102455929979</v>
          </cell>
          <cell r="E405">
            <v>7011.625</v>
          </cell>
          <cell r="F405">
            <v>1818.280703241682</v>
          </cell>
          <cell r="G405">
            <v>357.01974883758999</v>
          </cell>
          <cell r="H405">
            <v>-620.00937499999998</v>
          </cell>
          <cell r="I405">
            <v>-971.08064013079002</v>
          </cell>
          <cell r="J405">
            <v>1111.8384426233977</v>
          </cell>
          <cell r="K405">
            <v>7782.8690983637835</v>
          </cell>
          <cell r="M405">
            <v>-644.74920840902803</v>
          </cell>
          <cell r="N405">
            <v>-346.87931378455897</v>
          </cell>
          <cell r="O405">
            <v>-668.63491999999906</v>
          </cell>
          <cell r="P405">
            <v>-1078.1009999999999</v>
          </cell>
          <cell r="Q405">
            <v>-2574.8000000000002</v>
          </cell>
          <cell r="R405">
            <v>918.42900000000009</v>
          </cell>
          <cell r="S405">
            <v>-501.53600000000102</v>
          </cell>
          <cell r="T405">
            <v>-699.46734888479818</v>
          </cell>
          <cell r="U405">
            <v>-4896.2714421935871</v>
          </cell>
        </row>
        <row r="406">
          <cell r="B406" t="str">
            <v>LTM</v>
          </cell>
          <cell r="C406">
            <v>-197.75736314400001</v>
          </cell>
          <cell r="D406">
            <v>384.79102455929979</v>
          </cell>
          <cell r="E406">
            <v>7011.625</v>
          </cell>
          <cell r="F406">
            <v>1818.280703241682</v>
          </cell>
          <cell r="G406">
            <v>357.01974883758999</v>
          </cell>
          <cell r="H406">
            <v>-620.00937499999998</v>
          </cell>
          <cell r="I406">
            <v>-971.08064013079002</v>
          </cell>
          <cell r="J406">
            <v>1111.8384426233977</v>
          </cell>
          <cell r="K406">
            <v>7782.8690983637835</v>
          </cell>
          <cell r="M406">
            <v>-644.74920840902803</v>
          </cell>
          <cell r="N406">
            <v>-346.87931378455897</v>
          </cell>
          <cell r="O406">
            <v>-668.63491999999906</v>
          </cell>
          <cell r="P406">
            <v>-1078.1009999999999</v>
          </cell>
          <cell r="Q406">
            <v>-2574.8000000000002</v>
          </cell>
          <cell r="R406">
            <v>918.42900000000009</v>
          </cell>
          <cell r="S406">
            <v>-501.53600000000102</v>
          </cell>
          <cell r="T406">
            <v>-699.46734888479818</v>
          </cell>
          <cell r="U406">
            <v>-4896.2714421935871</v>
          </cell>
        </row>
        <row r="408">
          <cell r="A408" t="str">
            <v>mscalc:shareholdersEquityExcludingAdjustments2</v>
          </cell>
          <cell r="B408" t="str">
            <v>Shareholders' Equity</v>
          </cell>
        </row>
        <row r="409">
          <cell r="B409" t="str">
            <v>FY(2)</v>
          </cell>
          <cell r="C409">
            <v>6101.6030000000001</v>
          </cell>
          <cell r="D409">
            <v>5312</v>
          </cell>
          <cell r="E409">
            <v>9907</v>
          </cell>
          <cell r="F409">
            <v>1115</v>
          </cell>
          <cell r="G409">
            <v>1175.3088999576601</v>
          </cell>
          <cell r="H409">
            <v>970.649</v>
          </cell>
          <cell r="I409">
            <v>2131.2449999999999</v>
          </cell>
          <cell r="J409">
            <v>3816.11512856538</v>
          </cell>
          <cell r="K409">
            <v>26712.805899957661</v>
          </cell>
          <cell r="M409">
            <v>1618.3130000000001</v>
          </cell>
          <cell r="N409">
            <v>197.27600000000001</v>
          </cell>
          <cell r="O409">
            <v>1340.4639999999999</v>
          </cell>
          <cell r="P409">
            <v>1910.354</v>
          </cell>
          <cell r="Q409">
            <v>4274</v>
          </cell>
          <cell r="R409">
            <v>2219.23776210295</v>
          </cell>
          <cell r="S409">
            <v>853.43100000000004</v>
          </cell>
          <cell r="T409">
            <v>1773.2965374432786</v>
          </cell>
          <cell r="U409">
            <v>12413.07576210295</v>
          </cell>
        </row>
        <row r="410">
          <cell r="B410" t="str">
            <v>FY(1)</v>
          </cell>
          <cell r="C410">
            <v>6739</v>
          </cell>
          <cell r="D410">
            <v>4155</v>
          </cell>
          <cell r="E410">
            <v>4646</v>
          </cell>
          <cell r="F410">
            <v>1210</v>
          </cell>
          <cell r="G410">
            <v>969.39424780646596</v>
          </cell>
          <cell r="H410">
            <v>996.36900000000003</v>
          </cell>
          <cell r="I410">
            <v>2134.5569999999998</v>
          </cell>
          <cell r="J410">
            <v>2978.6171782580668</v>
          </cell>
          <cell r="K410">
            <v>20850.320247806467</v>
          </cell>
          <cell r="M410">
            <v>1845.578</v>
          </cell>
          <cell r="N410">
            <v>355.06</v>
          </cell>
          <cell r="O410">
            <v>1409.0309999999999</v>
          </cell>
          <cell r="P410">
            <v>1490.375</v>
          </cell>
          <cell r="Q410">
            <v>4387</v>
          </cell>
          <cell r="R410">
            <v>1874</v>
          </cell>
          <cell r="S410">
            <v>1053.7750000000001</v>
          </cell>
          <cell r="T410">
            <v>1773.5455714285713</v>
          </cell>
          <cell r="U410">
            <v>12414.819</v>
          </cell>
        </row>
        <row r="411">
          <cell r="B411" t="str">
            <v>FY0</v>
          </cell>
          <cell r="C411">
            <v>7853</v>
          </cell>
          <cell r="D411">
            <v>4774</v>
          </cell>
          <cell r="E411">
            <v>4701</v>
          </cell>
          <cell r="F411">
            <v>1572</v>
          </cell>
          <cell r="G411">
            <v>1088.4762511624101</v>
          </cell>
          <cell r="H411">
            <v>1157.2929999999999</v>
          </cell>
          <cell r="I411">
            <v>2889.2759999999998</v>
          </cell>
          <cell r="J411">
            <v>3433.5778930232013</v>
          </cell>
          <cell r="K411">
            <v>24035.04525116241</v>
          </cell>
          <cell r="M411">
            <v>1830.9169999999999</v>
          </cell>
          <cell r="N411">
            <v>434.48899999999998</v>
          </cell>
          <cell r="O411">
            <v>1578.5170000000001</v>
          </cell>
          <cell r="P411">
            <v>1696.0419999999999</v>
          </cell>
          <cell r="Q411">
            <v>4891</v>
          </cell>
          <cell r="R411">
            <v>2184</v>
          </cell>
          <cell r="S411">
            <v>1296.7750000000001</v>
          </cell>
          <cell r="T411">
            <v>1987.3914285714286</v>
          </cell>
          <cell r="U411">
            <v>13911.74</v>
          </cell>
        </row>
        <row r="412">
          <cell r="B412" t="str">
            <v>FY1</v>
          </cell>
          <cell r="C412">
            <v>8743.2064623123206</v>
          </cell>
          <cell r="D412">
            <v>4957.1669827170499</v>
          </cell>
          <cell r="E412">
            <v>5396.9706138889496</v>
          </cell>
          <cell r="F412">
            <v>2006.10798487689</v>
          </cell>
          <cell r="G412">
            <v>1073.6637732849899</v>
          </cell>
          <cell r="H412">
            <v>1220.4279908261001</v>
          </cell>
          <cell r="I412">
            <v>3405.5016296878398</v>
          </cell>
          <cell r="J412">
            <v>3829.0064910848769</v>
          </cell>
          <cell r="K412">
            <v>26803.045437594137</v>
          </cell>
          <cell r="M412">
            <v>1722.9869249752701</v>
          </cell>
          <cell r="N412">
            <v>516.91291448393997</v>
          </cell>
          <cell r="O412">
            <v>1653.0837178745001</v>
          </cell>
          <cell r="P412">
            <v>1912.53454591285</v>
          </cell>
          <cell r="Q412">
            <v>4712.3968391781</v>
          </cell>
          <cell r="R412">
            <v>2011.9392668427699</v>
          </cell>
          <cell r="S412">
            <v>1587.9007739159299</v>
          </cell>
          <cell r="T412">
            <v>2016.8221404547658</v>
          </cell>
          <cell r="U412">
            <v>14117.75498318336</v>
          </cell>
        </row>
        <row r="413">
          <cell r="B413" t="str">
            <v>FY2</v>
          </cell>
          <cell r="C413">
            <v>9520.6212033606007</v>
          </cell>
          <cell r="D413">
            <v>5110.6210396290498</v>
          </cell>
          <cell r="E413">
            <v>6188.3885193436599</v>
          </cell>
          <cell r="F413">
            <v>2284.9148605284499</v>
          </cell>
          <cell r="G413">
            <v>1070.3064175705799</v>
          </cell>
          <cell r="H413">
            <v>1369.67472339298</v>
          </cell>
          <cell r="I413">
            <v>4020.41295026936</v>
          </cell>
          <cell r="J413">
            <v>4223.5628162992407</v>
          </cell>
          <cell r="K413">
            <v>29564.939714094682</v>
          </cell>
          <cell r="M413">
            <v>1671.9507421953499</v>
          </cell>
          <cell r="N413">
            <v>568.14707851062997</v>
          </cell>
          <cell r="O413">
            <v>1772.59744765189</v>
          </cell>
          <cell r="P413">
            <v>2075.2400173670699</v>
          </cell>
          <cell r="Q413">
            <v>4390.0381761579001</v>
          </cell>
          <cell r="R413">
            <v>2201.0343082925201</v>
          </cell>
          <cell r="S413">
            <v>1900.71093984038</v>
          </cell>
          <cell r="T413">
            <v>2082.8169585736773</v>
          </cell>
          <cell r="U413">
            <v>14579.718710015743</v>
          </cell>
        </row>
        <row r="414">
          <cell r="B414" t="str">
            <v>FQ(3)</v>
          </cell>
          <cell r="C414">
            <v>6885</v>
          </cell>
          <cell r="D414">
            <v>4196</v>
          </cell>
          <cell r="E414">
            <v>4555</v>
          </cell>
          <cell r="F414">
            <v>1274</v>
          </cell>
          <cell r="G414">
            <v>991.83624780646505</v>
          </cell>
          <cell r="H414">
            <v>1035.758</v>
          </cell>
          <cell r="I414">
            <v>2335.4740000000002</v>
          </cell>
          <cell r="J414">
            <v>3039.0097496866388</v>
          </cell>
          <cell r="K414">
            <v>21273.06824780647</v>
          </cell>
          <cell r="M414">
            <v>1771.4059999999999</v>
          </cell>
          <cell r="N414">
            <v>397.149</v>
          </cell>
          <cell r="O414">
            <v>1433.47</v>
          </cell>
          <cell r="P414">
            <v>1541.914</v>
          </cell>
          <cell r="Q414">
            <v>4540</v>
          </cell>
          <cell r="R414">
            <v>1839.2148696837801</v>
          </cell>
          <cell r="S414">
            <v>1091.626</v>
          </cell>
          <cell r="T414">
            <v>1802.1114099548254</v>
          </cell>
          <cell r="U414">
            <v>12614.779869683778</v>
          </cell>
        </row>
        <row r="415">
          <cell r="B415" t="str">
            <v>FQ(2)</v>
          </cell>
          <cell r="C415">
            <v>7136</v>
          </cell>
          <cell r="D415">
            <v>4536</v>
          </cell>
          <cell r="E415">
            <v>4549</v>
          </cell>
          <cell r="F415">
            <v>1357</v>
          </cell>
          <cell r="G415">
            <v>962.96024780646496</v>
          </cell>
          <cell r="H415">
            <v>1069.422</v>
          </cell>
          <cell r="I415">
            <v>2831.9119999999998</v>
          </cell>
          <cell r="J415">
            <v>3206.0420354009234</v>
          </cell>
          <cell r="K415">
            <v>22442.294247806465</v>
          </cell>
          <cell r="M415">
            <v>1756.258</v>
          </cell>
          <cell r="N415">
            <v>429.57600000000002</v>
          </cell>
          <cell r="O415">
            <v>1469.857</v>
          </cell>
          <cell r="P415">
            <v>1696.0419999999999</v>
          </cell>
          <cell r="Q415">
            <v>4745</v>
          </cell>
          <cell r="R415">
            <v>1876</v>
          </cell>
          <cell r="S415">
            <v>1148.2149999999999</v>
          </cell>
          <cell r="T415">
            <v>1874.421142857143</v>
          </cell>
          <cell r="U415">
            <v>13120.948</v>
          </cell>
        </row>
        <row r="416">
          <cell r="B416" t="str">
            <v>FQ(1)</v>
          </cell>
          <cell r="C416">
            <v>7395</v>
          </cell>
          <cell r="D416">
            <v>4588</v>
          </cell>
          <cell r="E416">
            <v>4494</v>
          </cell>
          <cell r="F416">
            <v>1430</v>
          </cell>
          <cell r="G416">
            <v>1069.4598511624099</v>
          </cell>
          <cell r="H416">
            <v>1107.193</v>
          </cell>
          <cell r="I416">
            <v>2940.5070000000001</v>
          </cell>
          <cell r="J416">
            <v>3289.1656930232016</v>
          </cell>
          <cell r="K416">
            <v>23024.159851162411</v>
          </cell>
          <cell r="M416">
            <v>1782.376</v>
          </cell>
          <cell r="N416">
            <v>448.44900000000001</v>
          </cell>
          <cell r="O416">
            <v>1523.3050000000001</v>
          </cell>
          <cell r="P416">
            <v>1840.981</v>
          </cell>
          <cell r="Q416">
            <v>4981</v>
          </cell>
          <cell r="R416">
            <v>1865</v>
          </cell>
          <cell r="S416">
            <v>1215.26</v>
          </cell>
          <cell r="T416">
            <v>1950.910142857143</v>
          </cell>
          <cell r="U416">
            <v>13656.371000000001</v>
          </cell>
        </row>
        <row r="417">
          <cell r="B417" t="str">
            <v>Last Reported Q</v>
          </cell>
          <cell r="C417">
            <v>7853</v>
          </cell>
          <cell r="D417">
            <v>4774</v>
          </cell>
          <cell r="E417">
            <v>4701</v>
          </cell>
          <cell r="F417">
            <v>1572</v>
          </cell>
          <cell r="G417">
            <v>1088.4762511624101</v>
          </cell>
          <cell r="H417">
            <v>1157.2929999999999</v>
          </cell>
          <cell r="I417">
            <v>2889.2759999999998</v>
          </cell>
          <cell r="J417">
            <v>3433.5778930232013</v>
          </cell>
          <cell r="K417">
            <v>24035.04525116241</v>
          </cell>
          <cell r="M417">
            <v>1830.9169999999999</v>
          </cell>
          <cell r="N417">
            <v>434.48899999999998</v>
          </cell>
          <cell r="O417">
            <v>1578.5170000000001</v>
          </cell>
          <cell r="P417">
            <v>1865.566</v>
          </cell>
          <cell r="Q417">
            <v>4891</v>
          </cell>
          <cell r="R417">
            <v>2184</v>
          </cell>
          <cell r="S417">
            <v>1296.7750000000001</v>
          </cell>
          <cell r="T417">
            <v>2011.6091428571428</v>
          </cell>
          <cell r="U417">
            <v>14081.263999999999</v>
          </cell>
        </row>
        <row r="418">
          <cell r="B418" t="str">
            <v>LTM</v>
          </cell>
          <cell r="C418">
            <v>7853</v>
          </cell>
          <cell r="D418">
            <v>4774</v>
          </cell>
          <cell r="E418">
            <v>4701</v>
          </cell>
          <cell r="F418">
            <v>1572</v>
          </cell>
          <cell r="G418">
            <v>1088.4762511624101</v>
          </cell>
          <cell r="H418">
            <v>1157.2929999999999</v>
          </cell>
          <cell r="I418">
            <v>2889.2759999999998</v>
          </cell>
          <cell r="J418">
            <v>3433.5778930232013</v>
          </cell>
          <cell r="K418">
            <v>24035.04525116241</v>
          </cell>
          <cell r="M418">
            <v>1830.9169999999999</v>
          </cell>
          <cell r="N418">
            <v>434.48899999999998</v>
          </cell>
          <cell r="O418">
            <v>1578.5170000000001</v>
          </cell>
          <cell r="P418">
            <v>1865.566</v>
          </cell>
          <cell r="Q418">
            <v>4891</v>
          </cell>
          <cell r="R418">
            <v>2184</v>
          </cell>
          <cell r="S418">
            <v>1296.7750000000001</v>
          </cell>
          <cell r="T418">
            <v>2011.6091428571428</v>
          </cell>
          <cell r="U418">
            <v>14081.263999999999</v>
          </cell>
        </row>
        <row r="419">
          <cell r="B419" t="str">
            <v>FY1</v>
          </cell>
          <cell r="C419">
            <v>1.4809307600267818</v>
          </cell>
          <cell r="D419">
            <v>1.6952981091780144</v>
          </cell>
          <cell r="E419">
            <v>3.4410419583047971</v>
          </cell>
          <cell r="F419">
            <v>2.4186860774510537</v>
          </cell>
          <cell r="G419">
            <v>6.3385571555919507</v>
          </cell>
          <cell r="H419">
            <v>1.900098027765555</v>
          </cell>
          <cell r="I419">
            <v>2.2013545974281428</v>
          </cell>
          <cell r="J419">
            <v>2.7822809551066134</v>
          </cell>
          <cell r="K419">
            <v>2.3066225639221698</v>
          </cell>
          <cell r="M419">
            <v>2.6669756192435479</v>
          </cell>
          <cell r="N419">
            <v>0.77306828247647918</v>
          </cell>
          <cell r="O419">
            <v>1.8005922814156723</v>
          </cell>
          <cell r="P419">
            <v>0.13348743351882905</v>
          </cell>
          <cell r="Q419">
            <v>1.5560441034066363</v>
          </cell>
          <cell r="R419">
            <v>3.1519676961742058</v>
          </cell>
          <cell r="S419">
            <v>0.84923530832250471</v>
          </cell>
          <cell r="T419">
            <v>1.5616243892225536</v>
          </cell>
          <cell r="U419">
            <v>1.6332140081940278</v>
          </cell>
        </row>
        <row r="420">
          <cell r="B420" t="str">
            <v>Total Capitalization</v>
          </cell>
          <cell r="C420">
            <v>1.1181009497855385</v>
          </cell>
          <cell r="D420">
            <v>1.1713922360269251</v>
          </cell>
          <cell r="E420">
            <v>2.9385369993289423</v>
          </cell>
          <cell r="F420">
            <v>2.0884778637610841</v>
          </cell>
          <cell r="G420">
            <v>4.7694258543874373</v>
          </cell>
          <cell r="H420">
            <v>1.8604840886408607</v>
          </cell>
          <cell r="I420">
            <v>1.9928163212591523</v>
          </cell>
          <cell r="J420">
            <v>2.2770334733128488</v>
          </cell>
          <cell r="K420">
            <v>1.9437264725656025</v>
          </cell>
          <cell r="M420">
            <v>2.8344898287836364</v>
          </cell>
          <cell r="N420">
            <v>0.78610647369306275</v>
          </cell>
          <cell r="O420">
            <v>1.6718605411603178</v>
          </cell>
          <cell r="P420">
            <v>9.0088846790629187E-2</v>
          </cell>
          <cell r="Q420">
            <v>1.5147230801771487</v>
          </cell>
          <cell r="R420">
            <v>2.9339800205554445</v>
          </cell>
          <cell r="S420">
            <v>0.61862510334400245</v>
          </cell>
          <cell r="T420">
            <v>1.49283912778632</v>
          </cell>
          <cell r="U420">
            <v>1.5665265365502281</v>
          </cell>
        </row>
        <row r="421">
          <cell r="B421" t="str">
            <v>FY(2)</v>
          </cell>
          <cell r="C421">
            <v>8166.1790000000001</v>
          </cell>
          <cell r="D421">
            <v>9020</v>
          </cell>
          <cell r="E421">
            <v>19660</v>
          </cell>
          <cell r="F421">
            <v>3612</v>
          </cell>
          <cell r="G421">
            <v>1747.89689995766</v>
          </cell>
          <cell r="H421">
            <v>1120.6489999999999</v>
          </cell>
          <cell r="I421">
            <v>2966.3389999999999</v>
          </cell>
          <cell r="J421">
            <v>6613.2948428510945</v>
          </cell>
          <cell r="K421">
            <v>46293.063899957662</v>
          </cell>
          <cell r="M421">
            <v>1618.3130000000001</v>
          </cell>
          <cell r="N421">
            <v>197.27600000000001</v>
          </cell>
          <cell r="O421">
            <v>1340.4639999999999</v>
          </cell>
          <cell r="P421">
            <v>1913.454</v>
          </cell>
          <cell r="Q421">
            <v>4462</v>
          </cell>
          <cell r="R421">
            <v>5123.8767621029501</v>
          </cell>
          <cell r="S421">
            <v>853.43100000000004</v>
          </cell>
          <cell r="T421">
            <v>2215.5449660147069</v>
          </cell>
          <cell r="U421">
            <v>15508.814762102949</v>
          </cell>
        </row>
        <row r="422">
          <cell r="B422" t="str">
            <v>FY(1)</v>
          </cell>
          <cell r="C422">
            <v>8809</v>
          </cell>
          <cell r="D422">
            <v>7660</v>
          </cell>
          <cell r="E422">
            <v>14345</v>
          </cell>
          <cell r="F422">
            <v>3723</v>
          </cell>
          <cell r="G422">
            <v>1609.4672478064658</v>
          </cell>
          <cell r="H422">
            <v>1146.3690000000001</v>
          </cell>
          <cell r="I422">
            <v>2913.366</v>
          </cell>
          <cell r="J422">
            <v>5743.743178258067</v>
          </cell>
          <cell r="K422">
            <v>40206.202247806468</v>
          </cell>
          <cell r="M422">
            <v>1945.578</v>
          </cell>
          <cell r="N422">
            <v>355.06</v>
          </cell>
          <cell r="O422">
            <v>1484.0309999999999</v>
          </cell>
          <cell r="P422">
            <v>1493.24</v>
          </cell>
          <cell r="Q422">
            <v>4437</v>
          </cell>
          <cell r="R422">
            <v>4771.1139999999996</v>
          </cell>
          <cell r="S422">
            <v>1053.7750000000001</v>
          </cell>
          <cell r="T422">
            <v>2219.9711428571427</v>
          </cell>
          <cell r="U422">
            <v>15539.797999999999</v>
          </cell>
        </row>
        <row r="423">
          <cell r="B423" t="str">
            <v>FY0</v>
          </cell>
          <cell r="C423">
            <v>9921</v>
          </cell>
          <cell r="D423">
            <v>8166</v>
          </cell>
          <cell r="E423">
            <v>13399</v>
          </cell>
          <cell r="F423">
            <v>4185</v>
          </cell>
          <cell r="G423">
            <v>1609.6632511624102</v>
          </cell>
          <cell r="H423">
            <v>1307.2929999999999</v>
          </cell>
          <cell r="I423">
            <v>3663.576</v>
          </cell>
          <cell r="J423">
            <v>6035.9331787374877</v>
          </cell>
          <cell r="K423">
            <v>42251.532251162411</v>
          </cell>
          <cell r="M423">
            <v>1913.74</v>
          </cell>
          <cell r="N423">
            <v>434.48899999999998</v>
          </cell>
          <cell r="O423">
            <v>1608.5170000000001</v>
          </cell>
          <cell r="P423">
            <v>1729.1179999999999</v>
          </cell>
          <cell r="Q423">
            <v>4891</v>
          </cell>
          <cell r="R423">
            <v>4906.8130000000001</v>
          </cell>
          <cell r="S423">
            <v>1296.7750000000001</v>
          </cell>
          <cell r="T423">
            <v>2397.2074285714289</v>
          </cell>
          <cell r="U423">
            <v>16780.452000000001</v>
          </cell>
        </row>
        <row r="424">
          <cell r="B424" t="str">
            <v>FY1</v>
          </cell>
          <cell r="C424">
            <v>10811.206462312321</v>
          </cell>
          <cell r="D424">
            <v>7956.1669827170499</v>
          </cell>
          <cell r="E424">
            <v>13856.970613888949</v>
          </cell>
          <cell r="F424">
            <v>4394.1079848768895</v>
          </cell>
          <cell r="G424">
            <v>1571.8507732849898</v>
          </cell>
          <cell r="H424">
            <v>1370.4279908261001</v>
          </cell>
          <cell r="I424">
            <v>4179.8016296878395</v>
          </cell>
          <cell r="J424">
            <v>6305.7903482277343</v>
          </cell>
          <cell r="K424">
            <v>44140.532437594142</v>
          </cell>
          <cell r="M424">
            <v>1805.8099249752702</v>
          </cell>
          <cell r="N424">
            <v>516.91291448393997</v>
          </cell>
          <cell r="O424">
            <v>1683.0837178745001</v>
          </cell>
          <cell r="P424">
            <v>1937.6105459128501</v>
          </cell>
          <cell r="Q424">
            <v>4712.3968391781</v>
          </cell>
          <cell r="R424">
            <v>4734.75226684277</v>
          </cell>
          <cell r="S424">
            <v>1587.9007739159299</v>
          </cell>
          <cell r="T424">
            <v>2425.4952833119087</v>
          </cell>
          <cell r="U424">
            <v>16978.46698318336</v>
          </cell>
        </row>
        <row r="425">
          <cell r="B425" t="str">
            <v>FY2</v>
          </cell>
          <cell r="C425">
            <v>11172.621203360601</v>
          </cell>
          <cell r="D425">
            <v>8109.6210396290498</v>
          </cell>
          <cell r="E425">
            <v>13986.38851934366</v>
          </cell>
          <cell r="F425">
            <v>4672.9148605284499</v>
          </cell>
          <cell r="G425">
            <v>1476.4934175705798</v>
          </cell>
          <cell r="H425">
            <v>1519.67472339298</v>
          </cell>
          <cell r="I425">
            <v>4794.7129502693597</v>
          </cell>
          <cell r="J425">
            <v>6533.2038162992394</v>
          </cell>
          <cell r="K425">
            <v>45732.426714094676</v>
          </cell>
          <cell r="M425">
            <v>1754.77374219535</v>
          </cell>
          <cell r="N425">
            <v>568.14707851062997</v>
          </cell>
          <cell r="O425">
            <v>1802.59744765189</v>
          </cell>
          <cell r="P425">
            <v>2100.3160173670699</v>
          </cell>
          <cell r="Q425">
            <v>4390.0381761579001</v>
          </cell>
          <cell r="R425">
            <v>4923.8473082925202</v>
          </cell>
          <cell r="S425">
            <v>1900.71093984038</v>
          </cell>
          <cell r="T425">
            <v>2491.4901014308198</v>
          </cell>
          <cell r="U425">
            <v>17440.430710015738</v>
          </cell>
        </row>
        <row r="426">
          <cell r="B426" t="str">
            <v>FQ(3)</v>
          </cell>
          <cell r="C426">
            <v>8958</v>
          </cell>
          <cell r="D426">
            <v>7701</v>
          </cell>
          <cell r="E426">
            <v>13409</v>
          </cell>
          <cell r="F426">
            <v>3776</v>
          </cell>
          <cell r="G426">
            <v>1628.4622478064653</v>
          </cell>
          <cell r="H426">
            <v>1185.758</v>
          </cell>
          <cell r="I426">
            <v>3471.8500000000004</v>
          </cell>
          <cell r="J426">
            <v>5732.8671782580659</v>
          </cell>
          <cell r="K426">
            <v>40130.070247806463</v>
          </cell>
          <cell r="M426">
            <v>1871.4059999999999</v>
          </cell>
          <cell r="N426">
            <v>397.149</v>
          </cell>
          <cell r="O426">
            <v>1508.47</v>
          </cell>
          <cell r="P426">
            <v>1569.3899999999999</v>
          </cell>
          <cell r="Q426">
            <v>4540</v>
          </cell>
          <cell r="R426">
            <v>4736.5118696837799</v>
          </cell>
          <cell r="S426">
            <v>1091.626</v>
          </cell>
          <cell r="T426">
            <v>2244.9361242405398</v>
          </cell>
          <cell r="U426">
            <v>15714.552869683779</v>
          </cell>
        </row>
        <row r="427">
          <cell r="B427" t="str">
            <v>FQ(2)</v>
          </cell>
          <cell r="C427">
            <v>9205</v>
          </cell>
          <cell r="D427">
            <v>7928</v>
          </cell>
          <cell r="E427">
            <v>13273</v>
          </cell>
          <cell r="F427">
            <v>3992</v>
          </cell>
          <cell r="G427">
            <v>1565.7682478064648</v>
          </cell>
          <cell r="H427">
            <v>1219.422</v>
          </cell>
          <cell r="I427">
            <v>4044.45</v>
          </cell>
          <cell r="J427">
            <v>5889.6628925437808</v>
          </cell>
          <cell r="K427">
            <v>41227.640247806463</v>
          </cell>
          <cell r="M427">
            <v>1792.9880000000001</v>
          </cell>
          <cell r="N427">
            <v>429.57600000000002</v>
          </cell>
          <cell r="O427">
            <v>1544.857</v>
          </cell>
          <cell r="P427">
            <v>1729.1179999999999</v>
          </cell>
          <cell r="Q427">
            <v>4745</v>
          </cell>
          <cell r="R427">
            <v>5127</v>
          </cell>
          <cell r="S427">
            <v>1148.2149999999999</v>
          </cell>
          <cell r="T427">
            <v>2359.5362857142859</v>
          </cell>
          <cell r="U427">
            <v>16516.754000000001</v>
          </cell>
        </row>
        <row r="428">
          <cell r="B428" t="str">
            <v>FQ(1)</v>
          </cell>
          <cell r="C428">
            <v>9466</v>
          </cell>
          <cell r="D428">
            <v>7980</v>
          </cell>
          <cell r="E428">
            <v>13204</v>
          </cell>
          <cell r="F428">
            <v>4045</v>
          </cell>
          <cell r="G428">
            <v>1588.9128511624099</v>
          </cell>
          <cell r="H428">
            <v>1257.193</v>
          </cell>
          <cell r="I428">
            <v>3933.931</v>
          </cell>
          <cell r="J428">
            <v>5925.0052644517718</v>
          </cell>
          <cell r="K428">
            <v>41475.036851162404</v>
          </cell>
          <cell r="M428">
            <v>1832.9580000000001</v>
          </cell>
          <cell r="N428">
            <v>448.44900000000001</v>
          </cell>
          <cell r="O428">
            <v>1573.3050000000001</v>
          </cell>
          <cell r="P428">
            <v>1866.114</v>
          </cell>
          <cell r="Q428">
            <v>4981</v>
          </cell>
          <cell r="R428">
            <v>4745.2820000000002</v>
          </cell>
          <cell r="S428">
            <v>1215.26</v>
          </cell>
          <cell r="T428">
            <v>2380.3382857142856</v>
          </cell>
          <cell r="U428">
            <v>16662.367999999999</v>
          </cell>
        </row>
        <row r="429">
          <cell r="B429" t="str">
            <v>Last Reported Q</v>
          </cell>
          <cell r="C429">
            <v>9921</v>
          </cell>
          <cell r="D429">
            <v>8166</v>
          </cell>
          <cell r="E429">
            <v>13399</v>
          </cell>
          <cell r="F429">
            <v>4185</v>
          </cell>
          <cell r="G429">
            <v>1609.6632511624102</v>
          </cell>
          <cell r="H429">
            <v>1307.2929999999999</v>
          </cell>
          <cell r="I429">
            <v>3663.576</v>
          </cell>
          <cell r="J429">
            <v>6035.9331787374877</v>
          </cell>
          <cell r="K429">
            <v>42251.532251162411</v>
          </cell>
          <cell r="M429">
            <v>1913.74</v>
          </cell>
          <cell r="N429">
            <v>434.48899999999998</v>
          </cell>
          <cell r="O429">
            <v>1608.5170000000001</v>
          </cell>
          <cell r="P429">
            <v>1890.6420000000001</v>
          </cell>
          <cell r="Q429">
            <v>4891</v>
          </cell>
          <cell r="R429">
            <v>4906.8130000000001</v>
          </cell>
          <cell r="S429">
            <v>1296.7750000000001</v>
          </cell>
          <cell r="T429">
            <v>2420.2822857142855</v>
          </cell>
          <cell r="U429">
            <v>16941.975999999999</v>
          </cell>
        </row>
        <row r="430">
          <cell r="B430" t="str">
            <v>LTM</v>
          </cell>
          <cell r="C430">
            <v>9921</v>
          </cell>
          <cell r="D430">
            <v>8166</v>
          </cell>
          <cell r="E430">
            <v>13399</v>
          </cell>
          <cell r="F430">
            <v>4185</v>
          </cell>
          <cell r="G430">
            <v>1609.6632511624102</v>
          </cell>
          <cell r="H430">
            <v>1307.2929999999999</v>
          </cell>
          <cell r="I430">
            <v>3663.576</v>
          </cell>
          <cell r="J430">
            <v>6035.9331787374877</v>
          </cell>
          <cell r="K430">
            <v>42251.532251162411</v>
          </cell>
          <cell r="M430">
            <v>1913.74</v>
          </cell>
          <cell r="N430">
            <v>434.48899999999998</v>
          </cell>
          <cell r="O430">
            <v>1608.5170000000001</v>
          </cell>
          <cell r="P430">
            <v>1890.6420000000001</v>
          </cell>
          <cell r="Q430">
            <v>4891</v>
          </cell>
          <cell r="R430">
            <v>4906.8130000000001</v>
          </cell>
          <cell r="S430">
            <v>1296.7750000000001</v>
          </cell>
          <cell r="T430">
            <v>2420.2822857142855</v>
          </cell>
          <cell r="U430">
            <v>16941.975999999999</v>
          </cell>
        </row>
        <row r="431">
          <cell r="B431" t="str">
            <v>FY(2)</v>
          </cell>
          <cell r="C431">
            <v>6.5809269699786982E-2</v>
          </cell>
          <cell r="D431">
            <v>8.2885334351326931E-2</v>
          </cell>
          <cell r="E431">
            <v>0.35112163269240038</v>
          </cell>
          <cell r="F431">
            <v>8.1458700473953122E-2</v>
          </cell>
          <cell r="G431">
            <v>0.22929685396586078</v>
          </cell>
          <cell r="H431">
            <v>-0.21006670881179057</v>
          </cell>
          <cell r="I431">
            <v>-2.2453663384297919E-2</v>
          </cell>
          <cell r="J431">
            <v>8.2578774141034234E-2</v>
          </cell>
          <cell r="K431">
            <v>0.19857708733327781</v>
          </cell>
          <cell r="M431">
            <v>-0.46148251935356011</v>
          </cell>
          <cell r="N431">
            <v>-0.35860385241384618</v>
          </cell>
          <cell r="O431">
            <v>-0.43740474927186046</v>
          </cell>
          <cell r="P431">
            <v>-0.36363821654453149</v>
          </cell>
          <cell r="Q431">
            <v>-0.24406448082567961</v>
          </cell>
          <cell r="R431">
            <v>0.14331117677814789</v>
          </cell>
          <cell r="S431">
            <v>-0.29568343938763447</v>
          </cell>
          <cell r="T431">
            <v>-0.28822372585985206</v>
          </cell>
          <cell r="U431">
            <v>-0.18688254765837309</v>
          </cell>
        </row>
        <row r="432">
          <cell r="B432" t="str">
            <v>Unadjusted Cash/Market Cap</v>
          </cell>
          <cell r="C432">
            <v>0.17155117918135337</v>
          </cell>
          <cell r="D432">
            <v>0.13036246177433036</v>
          </cell>
          <cell r="E432">
            <v>0.46643565615462851</v>
          </cell>
          <cell r="F432">
            <v>0.59235816811785225</v>
          </cell>
          <cell r="G432">
            <v>0.26971047322857289</v>
          </cell>
          <cell r="H432">
            <v>-0.10143943375668921</v>
          </cell>
          <cell r="I432">
            <v>3.451495658087933E-2</v>
          </cell>
          <cell r="J432">
            <v>0.22335620875441822</v>
          </cell>
          <cell r="K432">
            <v>0.30990908137205347</v>
          </cell>
          <cell r="M432">
            <v>-0.40073829969851316</v>
          </cell>
          <cell r="N432">
            <v>-0.56735740789553724</v>
          </cell>
          <cell r="O432">
            <v>-0.46248090213537929</v>
          </cell>
          <cell r="P432">
            <v>-0.46612734724491706</v>
          </cell>
          <cell r="Q432">
            <v>-0.38390737392551322</v>
          </cell>
          <cell r="R432">
            <v>0.36814239012315064</v>
          </cell>
          <cell r="S432">
            <v>-0.23396150362478041</v>
          </cell>
          <cell r="T432">
            <v>-0.30663292062878422</v>
          </cell>
          <cell r="U432">
            <v>-0.13936172728752871</v>
          </cell>
        </row>
        <row r="433">
          <cell r="B433" t="str">
            <v>FY(2)</v>
          </cell>
          <cell r="C433" t="e">
            <v>#VALUE!</v>
          </cell>
          <cell r="D433" t="e">
            <v>#VALUE!</v>
          </cell>
          <cell r="E433" t="e">
            <v>#VALUE!</v>
          </cell>
          <cell r="F433" t="e">
            <v>#VALUE!</v>
          </cell>
          <cell r="G433" t="e">
            <v>#VALUE!</v>
          </cell>
          <cell r="H433" t="e">
            <v>#VALUE!</v>
          </cell>
          <cell r="I433" t="e">
            <v>#VALUE!</v>
          </cell>
          <cell r="J433" t="e">
            <v>#VALUE!</v>
          </cell>
          <cell r="K433" t="e">
            <v>#VALUE!</v>
          </cell>
          <cell r="M433" t="e">
            <v>#VALUE!</v>
          </cell>
          <cell r="N433" t="e">
            <v>#VALUE!</v>
          </cell>
          <cell r="O433" t="e">
            <v>#VALUE!</v>
          </cell>
          <cell r="P433" t="e">
            <v>#VALUE!</v>
          </cell>
          <cell r="Q433" t="e">
            <v>#VALUE!</v>
          </cell>
          <cell r="R433" t="e">
            <v>#VALUE!</v>
          </cell>
          <cell r="S433" t="e">
            <v>#VALUE!</v>
          </cell>
          <cell r="T433" t="e">
            <v>#VALUE!</v>
          </cell>
          <cell r="U433" t="e">
            <v>#VALUE!</v>
          </cell>
        </row>
        <row r="434">
          <cell r="B434" t="str">
            <v>FY(1)</v>
          </cell>
          <cell r="C434" t="e">
            <v>#VALUE!</v>
          </cell>
          <cell r="D434" t="e">
            <v>#VALUE!</v>
          </cell>
          <cell r="E434" t="e">
            <v>#VALUE!</v>
          </cell>
          <cell r="F434" t="e">
            <v>#VALUE!</v>
          </cell>
          <cell r="G434" t="e">
            <v>#VALUE!</v>
          </cell>
          <cell r="H434" t="e">
            <v>#VALUE!</v>
          </cell>
          <cell r="I434" t="e">
            <v>#VALUE!</v>
          </cell>
          <cell r="J434" t="e">
            <v>#VALUE!</v>
          </cell>
          <cell r="K434" t="e">
            <v>#VALUE!</v>
          </cell>
          <cell r="M434" t="e">
            <v>#VALUE!</v>
          </cell>
          <cell r="N434" t="e">
            <v>#VALUE!</v>
          </cell>
          <cell r="O434" t="e">
            <v>#VALUE!</v>
          </cell>
          <cell r="P434" t="e">
            <v>#VALUE!</v>
          </cell>
          <cell r="Q434" t="e">
            <v>#VALUE!</v>
          </cell>
          <cell r="R434" t="e">
            <v>#VALUE!</v>
          </cell>
          <cell r="S434" t="e">
            <v>#VALUE!</v>
          </cell>
          <cell r="T434" t="e">
            <v>#VALUE!</v>
          </cell>
          <cell r="U434" t="e">
            <v>#VALUE!</v>
          </cell>
        </row>
        <row r="435">
          <cell r="B435" t="str">
            <v>FY0</v>
          </cell>
          <cell r="C435" t="e">
            <v>#VALUE!</v>
          </cell>
          <cell r="D435" t="e">
            <v>#VALUE!</v>
          </cell>
          <cell r="E435" t="e">
            <v>#VALUE!</v>
          </cell>
          <cell r="F435" t="e">
            <v>#VALUE!</v>
          </cell>
          <cell r="G435" t="e">
            <v>#VALUE!</v>
          </cell>
          <cell r="H435" t="e">
            <v>#VALUE!</v>
          </cell>
          <cell r="I435" t="e">
            <v>#VALUE!</v>
          </cell>
          <cell r="J435" t="e">
            <v>#VALUE!</v>
          </cell>
          <cell r="K435" t="e">
            <v>#VALUE!</v>
          </cell>
          <cell r="M435" t="e">
            <v>#VALUE!</v>
          </cell>
          <cell r="N435" t="e">
            <v>#VALUE!</v>
          </cell>
          <cell r="O435" t="e">
            <v>#VALUE!</v>
          </cell>
          <cell r="P435" t="e">
            <v>#VALUE!</v>
          </cell>
          <cell r="Q435" t="e">
            <v>#VALUE!</v>
          </cell>
          <cell r="R435" t="e">
            <v>#VALUE!</v>
          </cell>
          <cell r="S435" t="e">
            <v>#VALUE!</v>
          </cell>
          <cell r="T435" t="e">
            <v>#VALUE!</v>
          </cell>
          <cell r="U435" t="e">
            <v>#VALUE!</v>
          </cell>
        </row>
        <row r="436">
          <cell r="B436" t="str">
            <v>FY1</v>
          </cell>
          <cell r="C436" t="e">
            <v>#VALUE!</v>
          </cell>
          <cell r="D436" t="e">
            <v>#VALUE!</v>
          </cell>
          <cell r="E436" t="e">
            <v>#VALUE!</v>
          </cell>
          <cell r="F436" t="e">
            <v>#VALUE!</v>
          </cell>
          <cell r="G436" t="e">
            <v>#VALUE!</v>
          </cell>
          <cell r="H436" t="e">
            <v>#VALUE!</v>
          </cell>
          <cell r="I436" t="e">
            <v>#VALUE!</v>
          </cell>
          <cell r="J436" t="e">
            <v>#VALUE!</v>
          </cell>
          <cell r="K436" t="e">
            <v>#VALUE!</v>
          </cell>
          <cell r="M436" t="e">
            <v>#VALUE!</v>
          </cell>
          <cell r="N436" t="e">
            <v>#VALUE!</v>
          </cell>
          <cell r="O436" t="e">
            <v>#VALUE!</v>
          </cell>
          <cell r="P436" t="e">
            <v>#VALUE!</v>
          </cell>
          <cell r="Q436" t="e">
            <v>#VALUE!</v>
          </cell>
          <cell r="R436" t="e">
            <v>#VALUE!</v>
          </cell>
          <cell r="S436" t="e">
            <v>#VALUE!</v>
          </cell>
          <cell r="T436" t="e">
            <v>#VALUE!</v>
          </cell>
          <cell r="U436" t="e">
            <v>#VALUE!</v>
          </cell>
        </row>
        <row r="437">
          <cell r="B437" t="str">
            <v>FY2</v>
          </cell>
          <cell r="C437" t="e">
            <v>#VALUE!</v>
          </cell>
          <cell r="D437" t="e">
            <v>#VALUE!</v>
          </cell>
          <cell r="E437" t="e">
            <v>#VALUE!</v>
          </cell>
          <cell r="F437" t="e">
            <v>#VALUE!</v>
          </cell>
          <cell r="G437" t="e">
            <v>#VALUE!</v>
          </cell>
          <cell r="H437" t="e">
            <v>#VALUE!</v>
          </cell>
          <cell r="I437" t="e">
            <v>#VALUE!</v>
          </cell>
          <cell r="J437" t="e">
            <v>#VALUE!</v>
          </cell>
          <cell r="K437" t="e">
            <v>#VALUE!</v>
          </cell>
          <cell r="M437" t="e">
            <v>#VALUE!</v>
          </cell>
          <cell r="N437" t="e">
            <v>#VALUE!</v>
          </cell>
          <cell r="O437" t="e">
            <v>#VALUE!</v>
          </cell>
          <cell r="P437" t="e">
            <v>#VALUE!</v>
          </cell>
          <cell r="Q437" t="e">
            <v>#VALUE!</v>
          </cell>
          <cell r="R437" t="e">
            <v>#VALUE!</v>
          </cell>
          <cell r="S437" t="e">
            <v>#VALUE!</v>
          </cell>
          <cell r="T437" t="e">
            <v>#VALUE!</v>
          </cell>
          <cell r="U437" t="e">
            <v>#VALUE!</v>
          </cell>
        </row>
        <row r="438">
          <cell r="B438" t="str">
            <v>FQ(3)</v>
          </cell>
          <cell r="C438" t="e">
            <v>#VALUE!</v>
          </cell>
          <cell r="D438" t="e">
            <v>#VALUE!</v>
          </cell>
          <cell r="E438" t="e">
            <v>#VALUE!</v>
          </cell>
          <cell r="F438" t="e">
            <v>#VALUE!</v>
          </cell>
          <cell r="G438" t="e">
            <v>#VALUE!</v>
          </cell>
          <cell r="H438" t="e">
            <v>#VALUE!</v>
          </cell>
          <cell r="I438" t="e">
            <v>#VALUE!</v>
          </cell>
          <cell r="J438" t="e">
            <v>#VALUE!</v>
          </cell>
          <cell r="K438" t="e">
            <v>#VALUE!</v>
          </cell>
          <cell r="M438" t="e">
            <v>#VALUE!</v>
          </cell>
          <cell r="N438" t="e">
            <v>#VALUE!</v>
          </cell>
          <cell r="O438" t="e">
            <v>#VALUE!</v>
          </cell>
          <cell r="P438" t="e">
            <v>#VALUE!</v>
          </cell>
          <cell r="Q438" t="e">
            <v>#VALUE!</v>
          </cell>
          <cell r="R438" t="e">
            <v>#VALUE!</v>
          </cell>
          <cell r="S438" t="e">
            <v>#VALUE!</v>
          </cell>
          <cell r="T438" t="e">
            <v>#VALUE!</v>
          </cell>
          <cell r="U438" t="e">
            <v>#VALUE!</v>
          </cell>
        </row>
        <row r="439">
          <cell r="B439" t="str">
            <v>FQ(2)</v>
          </cell>
          <cell r="C439" t="e">
            <v>#VALUE!</v>
          </cell>
          <cell r="D439" t="e">
            <v>#VALUE!</v>
          </cell>
          <cell r="E439" t="e">
            <v>#VALUE!</v>
          </cell>
          <cell r="F439" t="e">
            <v>#VALUE!</v>
          </cell>
          <cell r="G439" t="e">
            <v>#VALUE!</v>
          </cell>
          <cell r="H439" t="e">
            <v>#VALUE!</v>
          </cell>
          <cell r="I439" t="e">
            <v>#VALUE!</v>
          </cell>
          <cell r="J439" t="e">
            <v>#VALUE!</v>
          </cell>
          <cell r="K439" t="e">
            <v>#VALUE!</v>
          </cell>
          <cell r="M439" t="e">
            <v>#VALUE!</v>
          </cell>
          <cell r="N439" t="e">
            <v>#VALUE!</v>
          </cell>
          <cell r="O439" t="e">
            <v>#VALUE!</v>
          </cell>
          <cell r="P439" t="e">
            <v>#VALUE!</v>
          </cell>
          <cell r="Q439" t="e">
            <v>#VALUE!</v>
          </cell>
          <cell r="R439" t="e">
            <v>#VALUE!</v>
          </cell>
          <cell r="S439" t="e">
            <v>#VALUE!</v>
          </cell>
          <cell r="T439" t="e">
            <v>#VALUE!</v>
          </cell>
          <cell r="U439" t="e">
            <v>#VALUE!</v>
          </cell>
        </row>
        <row r="440">
          <cell r="B440" t="str">
            <v>FQ(1)</v>
          </cell>
          <cell r="C440" t="e">
            <v>#VALUE!</v>
          </cell>
          <cell r="D440" t="e">
            <v>#VALUE!</v>
          </cell>
          <cell r="E440" t="e">
            <v>#VALUE!</v>
          </cell>
          <cell r="F440" t="e">
            <v>#VALUE!</v>
          </cell>
          <cell r="G440" t="e">
            <v>#VALUE!</v>
          </cell>
          <cell r="H440" t="e">
            <v>#VALUE!</v>
          </cell>
          <cell r="I440" t="e">
            <v>#VALUE!</v>
          </cell>
          <cell r="J440" t="e">
            <v>#VALUE!</v>
          </cell>
          <cell r="K440" t="e">
            <v>#VALUE!</v>
          </cell>
          <cell r="M440" t="e">
            <v>#VALUE!</v>
          </cell>
          <cell r="N440" t="e">
            <v>#VALUE!</v>
          </cell>
          <cell r="O440" t="e">
            <v>#VALUE!</v>
          </cell>
          <cell r="P440" t="e">
            <v>#VALUE!</v>
          </cell>
          <cell r="Q440" t="e">
            <v>#VALUE!</v>
          </cell>
          <cell r="R440" t="e">
            <v>#VALUE!</v>
          </cell>
          <cell r="S440" t="e">
            <v>#VALUE!</v>
          </cell>
          <cell r="T440" t="e">
            <v>#VALUE!</v>
          </cell>
          <cell r="U440" t="e">
            <v>#VALUE!</v>
          </cell>
        </row>
        <row r="441">
          <cell r="A441" t="str">
            <v>mscalc:bookValuePerShareReported</v>
          </cell>
          <cell r="B441" t="str">
            <v>Last Reported Q</v>
          </cell>
          <cell r="C441" t="e">
            <v>#VALUE!</v>
          </cell>
          <cell r="D441" t="e">
            <v>#VALUE!</v>
          </cell>
          <cell r="E441" t="e">
            <v>#VALUE!</v>
          </cell>
          <cell r="F441" t="e">
            <v>#VALUE!</v>
          </cell>
          <cell r="G441" t="e">
            <v>#VALUE!</v>
          </cell>
          <cell r="H441" t="e">
            <v>#VALUE!</v>
          </cell>
          <cell r="I441" t="e">
            <v>#VALUE!</v>
          </cell>
          <cell r="J441" t="e">
            <v>#VALUE!</v>
          </cell>
          <cell r="K441" t="e">
            <v>#VALUE!</v>
          </cell>
          <cell r="M441" t="e">
            <v>#VALUE!</v>
          </cell>
          <cell r="N441" t="e">
            <v>#VALUE!</v>
          </cell>
          <cell r="O441" t="e">
            <v>#VALUE!</v>
          </cell>
          <cell r="P441" t="e">
            <v>#VALUE!</v>
          </cell>
          <cell r="Q441" t="e">
            <v>#VALUE!</v>
          </cell>
          <cell r="R441" t="e">
            <v>#VALUE!</v>
          </cell>
          <cell r="S441" t="e">
            <v>#VALUE!</v>
          </cell>
          <cell r="T441" t="e">
            <v>#VALUE!</v>
          </cell>
          <cell r="U441" t="e">
            <v>#VALUE!</v>
          </cell>
        </row>
        <row r="442">
          <cell r="B442" t="str">
            <v>LTM</v>
          </cell>
          <cell r="C442" t="e">
            <v>#VALUE!</v>
          </cell>
          <cell r="D442" t="e">
            <v>#VALUE!</v>
          </cell>
          <cell r="E442" t="e">
            <v>#VALUE!</v>
          </cell>
          <cell r="F442" t="e">
            <v>#VALUE!</v>
          </cell>
          <cell r="G442" t="e">
            <v>#VALUE!</v>
          </cell>
          <cell r="H442" t="e">
            <v>#VALUE!</v>
          </cell>
          <cell r="I442" t="e">
            <v>#VALUE!</v>
          </cell>
          <cell r="J442" t="e">
            <v>#VALUE!</v>
          </cell>
          <cell r="K442" t="e">
            <v>#VALUE!</v>
          </cell>
          <cell r="M442" t="e">
            <v>#VALUE!</v>
          </cell>
          <cell r="N442" t="e">
            <v>#VALUE!</v>
          </cell>
          <cell r="O442" t="e">
            <v>#VALUE!</v>
          </cell>
          <cell r="P442" t="e">
            <v>#VALUE!</v>
          </cell>
          <cell r="Q442" t="e">
            <v>#VALUE!</v>
          </cell>
          <cell r="R442" t="e">
            <v>#VALUE!</v>
          </cell>
          <cell r="S442" t="e">
            <v>#VALUE!</v>
          </cell>
          <cell r="T442" t="e">
            <v>#VALUE!</v>
          </cell>
          <cell r="U442" t="e">
            <v>#VALUE!</v>
          </cell>
        </row>
        <row r="443">
          <cell r="B443" t="str">
            <v>LTM Cash to Sales</v>
          </cell>
          <cell r="C443">
            <v>7.9023345533761155E-2</v>
          </cell>
          <cell r="D443">
            <v>0.10171530997194646</v>
          </cell>
          <cell r="E443">
            <v>4.3097830253775969E-2</v>
          </cell>
          <cell r="F443">
            <v>5.6859075392310082E-2</v>
          </cell>
          <cell r="G443">
            <v>3.6973723411650533E-2</v>
          </cell>
          <cell r="H443">
            <v>6.2154737662979645E-2</v>
          </cell>
          <cell r="I443">
            <v>5.039334442834939E-2</v>
          </cell>
          <cell r="J443">
            <v>6.1459623807824756E-2</v>
          </cell>
          <cell r="K443">
            <v>6.408588758018148E-2</v>
          </cell>
          <cell r="M443">
            <v>0.14784269805938441</v>
          </cell>
          <cell r="N443">
            <v>9.4802007709936922E-2</v>
          </cell>
          <cell r="O443">
            <v>0.13947269737814</v>
          </cell>
          <cell r="P443">
            <v>0.32988509699846741</v>
          </cell>
          <cell r="Q443">
            <v>0.10658167066810167</v>
          </cell>
          <cell r="R443">
            <v>0.12705432662757407</v>
          </cell>
          <cell r="S443">
            <v>0.15257532618810868</v>
          </cell>
          <cell r="T443">
            <v>0.15688768908995904</v>
          </cell>
          <cell r="U443">
            <v>0.13241625323602554</v>
          </cell>
        </row>
        <row r="444">
          <cell r="B444" t="str">
            <v>FY2</v>
          </cell>
          <cell r="C444">
            <v>28.941094679444198</v>
          </cell>
          <cell r="D444">
            <v>21.266051315025202</v>
          </cell>
          <cell r="E444">
            <v>13.083380297252999</v>
          </cell>
          <cell r="F444">
            <v>8.1142551074679794</v>
          </cell>
          <cell r="G444">
            <v>6.3740220739144702</v>
          </cell>
          <cell r="H444">
            <v>11.257598977178199</v>
          </cell>
          <cell r="I444">
            <v>9.1456806254300105</v>
          </cell>
          <cell r="M444">
            <v>20.9365909688578</v>
          </cell>
          <cell r="N444">
            <v>8.6045504321921999</v>
          </cell>
          <cell r="O444">
            <v>7.6901666904003703</v>
          </cell>
          <cell r="P444">
            <v>7.6203246194170697</v>
          </cell>
          <cell r="Q444">
            <v>7.6048157398120697</v>
          </cell>
          <cell r="R444">
            <v>6.9148812185110096</v>
          </cell>
          <cell r="S444">
            <v>9.2979721334564491</v>
          </cell>
        </row>
        <row r="446">
          <cell r="A446" t="str">
            <v>Free Cash Flow</v>
          </cell>
          <cell r="B446" t="str">
            <v>Unadjusted Net Debt/EBITDA</v>
          </cell>
        </row>
        <row r="447">
          <cell r="B447" t="str">
            <v>FY(2)</v>
          </cell>
          <cell r="C447">
            <v>0.62078151143528393</v>
          </cell>
          <cell r="D447">
            <v>0.50947547885808486</v>
          </cell>
          <cell r="E447">
            <v>2.7332712369597605</v>
          </cell>
          <cell r="F447">
            <v>1.4439160584488901</v>
          </cell>
          <cell r="G447">
            <v>1.7425698693100762</v>
          </cell>
          <cell r="H447">
            <v>-0.20981930268185092</v>
          </cell>
          <cell r="I447">
            <v>5.6035635454484554E-2</v>
          </cell>
          <cell r="J447">
            <v>0.98517578396924699</v>
          </cell>
          <cell r="K447">
            <v>1.1914891141070827</v>
          </cell>
          <cell r="M447">
            <v>-0.54240651967537545</v>
          </cell>
          <cell r="N447">
            <v>-0.9664881964356703</v>
          </cell>
          <cell r="O447">
            <v>-0.68344732314628698</v>
          </cell>
          <cell r="P447">
            <v>-0.64769185801892226</v>
          </cell>
          <cell r="Q447">
            <v>-0.805379746835443</v>
          </cell>
          <cell r="R447">
            <v>1.427097651690326</v>
          </cell>
          <cell r="S447">
            <v>-1.240780168292865</v>
          </cell>
          <cell r="T447">
            <v>-0.49415659438774812</v>
          </cell>
          <cell r="U447">
            <v>-0.32763191811526549</v>
          </cell>
        </row>
        <row r="448">
          <cell r="A448" t="str">
            <v>mstag:interestExpense</v>
          </cell>
          <cell r="B448" t="str">
            <v>FY(1)</v>
          </cell>
          <cell r="C448">
            <v>0.67077162805166402</v>
          </cell>
          <cell r="D448">
            <v>0.72184631302404723</v>
          </cell>
          <cell r="E448">
            <v>3.1364443198804186</v>
          </cell>
          <cell r="F448">
            <v>2.257018580946883</v>
          </cell>
          <cell r="G448">
            <v>25.080237511960661</v>
          </cell>
          <cell r="H448">
            <v>-0.27210060477062714</v>
          </cell>
          <cell r="I448">
            <v>0.1775128590615169</v>
          </cell>
          <cell r="J448">
            <v>4.5388186583077941</v>
          </cell>
          <cell r="K448">
            <v>1.4264821229894211</v>
          </cell>
          <cell r="M448">
            <v>-0.58221308880625289</v>
          </cell>
          <cell r="N448">
            <v>-0.77712260942898337</v>
          </cell>
          <cell r="O448">
            <v>-0.9291879730006114</v>
          </cell>
          <cell r="P448">
            <v>-0.5438097150397716</v>
          </cell>
          <cell r="Q448">
            <v>-0.78686200378071836</v>
          </cell>
          <cell r="R448">
            <v>1.6253095151051484</v>
          </cell>
          <cell r="S448">
            <v>-0.95961812766135968</v>
          </cell>
          <cell r="T448">
            <v>-0.42192914323036412</v>
          </cell>
          <cell r="U448">
            <v>-0.32758825241373812</v>
          </cell>
        </row>
        <row r="449">
          <cell r="A449">
            <v>0.38</v>
          </cell>
          <cell r="B449" t="str">
            <v>FY0</v>
          </cell>
          <cell r="C449">
            <v>-8.5944095238591922E-2</v>
          </cell>
          <cell r="D449">
            <v>0.33228931309093246</v>
          </cell>
          <cell r="E449">
            <v>2.6319913663663663</v>
          </cell>
          <cell r="F449">
            <v>1.5852490873946661</v>
          </cell>
          <cell r="G449">
            <v>3.1011487412602823</v>
          </cell>
          <cell r="H449">
            <v>-0.70044497353600743</v>
          </cell>
          <cell r="I449">
            <v>-0.40023585169619963</v>
          </cell>
          <cell r="J449">
            <v>0.92343622680592119</v>
          </cell>
          <cell r="K449">
            <v>0.72760479731418182</v>
          </cell>
          <cell r="M449">
            <v>-1.6626117758933967</v>
          </cell>
          <cell r="N449">
            <v>-0.79045318475366411</v>
          </cell>
          <cell r="O449">
            <v>-1.6639704751499984</v>
          </cell>
          <cell r="P449">
            <v>-0.68306905061195133</v>
          </cell>
          <cell r="Q449">
            <v>-1.0800335570469799</v>
          </cell>
          <cell r="R449">
            <v>0.75362110728915033</v>
          </cell>
          <cell r="S449">
            <v>-1.164446584097903</v>
          </cell>
          <cell r="T449">
            <v>-0.89870907432353486</v>
          </cell>
          <cell r="U449">
            <v>-0.71814415664016296</v>
          </cell>
        </row>
        <row r="450">
          <cell r="A450" t="str">
            <v>mstag:otherInterestIncomeExpense</v>
          </cell>
          <cell r="B450" t="str">
            <v>FY1</v>
          </cell>
          <cell r="C450">
            <v>-0.29347322790041919</v>
          </cell>
          <cell r="D450">
            <v>7.7651652985500877E-2</v>
          </cell>
          <cell r="E450">
            <v>1.9649120143593546</v>
          </cell>
          <cell r="F450">
            <v>1.1529866140968601</v>
          </cell>
          <cell r="G450">
            <v>2.0346107878341644</v>
          </cell>
          <cell r="H450">
            <v>-0.69838146213609853</v>
          </cell>
          <cell r="I450">
            <v>-0.53190963134538816</v>
          </cell>
          <cell r="J450">
            <v>0.52948524969913913</v>
          </cell>
          <cell r="K450">
            <v>0.39279981275510029</v>
          </cell>
          <cell r="M450">
            <v>-1.1292800002243304</v>
          </cell>
          <cell r="N450">
            <v>-0.86757976902155665</v>
          </cell>
          <cell r="O450">
            <v>-1.4092416602410212</v>
          </cell>
          <cell r="P450">
            <v>-0.75571377482459823</v>
          </cell>
          <cell r="Q450">
            <v>-1.0660872466694959</v>
          </cell>
          <cell r="R450">
            <v>0.68962386469426917</v>
          </cell>
          <cell r="S450">
            <v>-1.3637223498551692</v>
          </cell>
          <cell r="T450">
            <v>-0.84314299087741451</v>
          </cell>
          <cell r="U450">
            <v>-0.70005820169220656</v>
          </cell>
        </row>
        <row r="451">
          <cell r="B451" t="str">
            <v>FY2</v>
          </cell>
          <cell r="C451">
            <v>-0.43416188163660691</v>
          </cell>
          <cell r="D451">
            <v>9.8753220072346718E-3</v>
          </cell>
          <cell r="E451">
            <v>1.4421016561144622</v>
          </cell>
          <cell r="F451">
            <v>1.0807115726483665</v>
          </cell>
          <cell r="G451">
            <v>1.0683170055444</v>
          </cell>
          <cell r="H451">
            <v>-0.7850937435673967</v>
          </cell>
          <cell r="I451">
            <v>-0.68827364540108127</v>
          </cell>
          <cell r="J451">
            <v>0.24192518367276833</v>
          </cell>
          <cell r="K451">
            <v>0.15786955309226858</v>
          </cell>
          <cell r="M451">
            <v>-0.7622956319381099</v>
          </cell>
          <cell r="N451">
            <v>-0.94282809885546814</v>
          </cell>
          <cell r="O451">
            <v>-1.4465272382161611</v>
          </cell>
          <cell r="P451">
            <v>-0.81885096688786108</v>
          </cell>
          <cell r="Q451">
            <v>-1.0105684999347193</v>
          </cell>
          <cell r="R451">
            <v>0.41411327334332276</v>
          </cell>
          <cell r="S451">
            <v>-1.4656395262537882</v>
          </cell>
          <cell r="T451">
            <v>-0.86179952696325501</v>
          </cell>
          <cell r="U451">
            <v>-0.73849245633532801</v>
          </cell>
        </row>
        <row r="452">
          <cell r="B452" t="str">
            <v>FQ(3)</v>
          </cell>
          <cell r="C452">
            <v>3.0085271348367471</v>
          </cell>
          <cell r="D452">
            <v>6.0503231175190271</v>
          </cell>
          <cell r="E452">
            <v>26.174694189602434</v>
          </cell>
          <cell r="F452">
            <v>10.871662346375254</v>
          </cell>
          <cell r="G452">
            <v>17.437011848518488</v>
          </cell>
          <cell r="H452">
            <v>-1.647181635317595</v>
          </cell>
          <cell r="I452">
            <v>0.27588930739343676</v>
          </cell>
          <cell r="J452">
            <v>8.8815609012753978</v>
          </cell>
          <cell r="K452">
            <v>7.5819974592705446</v>
          </cell>
          <cell r="M452">
            <v>-14.099647959415011</v>
          </cell>
          <cell r="N452">
            <v>-3.6489189348415225</v>
          </cell>
          <cell r="O452">
            <v>-6.013655276559513</v>
          </cell>
          <cell r="P452">
            <v>-2.2825822645801468</v>
          </cell>
          <cell r="Q452">
            <v>-3.443548387096774</v>
          </cell>
          <cell r="R452">
            <v>13.056873820441924</v>
          </cell>
          <cell r="S452">
            <v>-4.36336314323413</v>
          </cell>
          <cell r="T452">
            <v>-2.9706917350407389</v>
          </cell>
          <cell r="U452">
            <v>-1.4128705561223336</v>
          </cell>
        </row>
        <row r="453">
          <cell r="B453" t="str">
            <v>FQ(2)</v>
          </cell>
          <cell r="C453">
            <v>1.3172055927366482</v>
          </cell>
          <cell r="D453">
            <v>5.744633109357979</v>
          </cell>
          <cell r="E453">
            <v>14.080831903945105</v>
          </cell>
          <cell r="F453">
            <v>7.4520447297242329</v>
          </cell>
          <cell r="G453">
            <v>-18.499250645089607</v>
          </cell>
          <cell r="H453">
            <v>-1.7753591940292801</v>
          </cell>
          <cell r="I453">
            <v>-0.40571156746794457</v>
          </cell>
          <cell r="J453">
            <v>1.1306277041681621</v>
          </cell>
          <cell r="K453">
            <v>5.2628443477421527</v>
          </cell>
          <cell r="M453">
            <v>-5.9842932561504849</v>
          </cell>
          <cell r="N453">
            <v>-3.1594434218486533</v>
          </cell>
          <cell r="O453">
            <v>-5.5694236939430306</v>
          </cell>
          <cell r="P453">
            <v>-3.0584028890536437</v>
          </cell>
          <cell r="Q453">
            <v>-4.1298449612403099</v>
          </cell>
          <cell r="R453">
            <v>7.1867121795963538</v>
          </cell>
          <cell r="S453">
            <v>-2.8464965892512124</v>
          </cell>
          <cell r="T453">
            <v>-2.508741804555854</v>
          </cell>
          <cell r="U453">
            <v>-1.9454326807327575</v>
          </cell>
        </row>
        <row r="454">
          <cell r="B454" t="str">
            <v>FQ(1)</v>
          </cell>
          <cell r="C454">
            <v>1.104790668417178</v>
          </cell>
          <cell r="D454">
            <v>5.49126532417087</v>
          </cell>
          <cell r="E454">
            <v>21.133997429305904</v>
          </cell>
          <cell r="F454">
            <v>8.4915565866202467</v>
          </cell>
          <cell r="G454">
            <v>10.384681336255451</v>
          </cell>
          <cell r="H454">
            <v>-2.0104459856350783</v>
          </cell>
          <cell r="I454">
            <v>-0.65665224296477831</v>
          </cell>
          <cell r="J454">
            <v>6.2770275880242554</v>
          </cell>
          <cell r="K454">
            <v>5.1046925747801914</v>
          </cell>
          <cell r="M454">
            <v>-4.5012933746679629</v>
          </cell>
          <cell r="N454">
            <v>-2.4062692357603508</v>
          </cell>
          <cell r="O454">
            <v>-4.3599790377974719</v>
          </cell>
          <cell r="P454">
            <v>-3.778039723022129</v>
          </cell>
          <cell r="Q454">
            <v>-3.7063369397217927</v>
          </cell>
          <cell r="R454">
            <v>12.929730062658297</v>
          </cell>
          <cell r="S454">
            <v>-3.5044685858831217</v>
          </cell>
          <cell r="T454">
            <v>-1.3323795477420757</v>
          </cell>
          <cell r="U454">
            <v>-2.0644451787323024</v>
          </cell>
        </row>
        <row r="455">
          <cell r="B455" t="str">
            <v>Last Reported Q</v>
          </cell>
          <cell r="C455">
            <v>-8.5944095238591922E-2</v>
          </cell>
          <cell r="D455">
            <v>0.33228931309093246</v>
          </cell>
          <cell r="E455">
            <v>2.6319913663663663</v>
          </cell>
          <cell r="F455">
            <v>1.5852490873946661</v>
          </cell>
          <cell r="G455">
            <v>3.1011487412602823</v>
          </cell>
          <cell r="H455">
            <v>-0.70044497353600743</v>
          </cell>
          <cell r="I455">
            <v>-0.40023585169619963</v>
          </cell>
          <cell r="J455">
            <v>0.92343622680592119</v>
          </cell>
          <cell r="K455">
            <v>0.72760479731418182</v>
          </cell>
          <cell r="M455">
            <v>-1.6626117758933967</v>
          </cell>
          <cell r="N455">
            <v>-0.79045318475366411</v>
          </cell>
          <cell r="O455">
            <v>-1.6639704751499984</v>
          </cell>
          <cell r="P455">
            <v>-2.6366528895301915</v>
          </cell>
          <cell r="Q455">
            <v>-1.0800335570469799</v>
          </cell>
          <cell r="R455">
            <v>0.75362110728915033</v>
          </cell>
          <cell r="S455">
            <v>-1.164446584097903</v>
          </cell>
          <cell r="T455">
            <v>-1.1777924798832833</v>
          </cell>
          <cell r="U455">
            <v>-0.86342639624357287</v>
          </cell>
        </row>
        <row r="456">
          <cell r="B456" t="str">
            <v>LTM</v>
          </cell>
          <cell r="C456">
            <v>-5.3089225005100674E-2</v>
          </cell>
          <cell r="D456">
            <v>0.21353552972214196</v>
          </cell>
          <cell r="E456">
            <v>1.7692720161493818</v>
          </cell>
          <cell r="F456">
            <v>0.95447805944445252</v>
          </cell>
          <cell r="G456">
            <v>2.1243335723577608</v>
          </cell>
          <cell r="H456">
            <v>-0.4146301889013202</v>
          </cell>
          <cell r="I456">
            <v>-0.23730896873519447</v>
          </cell>
          <cell r="J456">
            <v>0.62237011357601735</v>
          </cell>
          <cell r="K456">
            <v>0.45379983425291787</v>
          </cell>
          <cell r="M456">
            <v>-1.098586120753511</v>
          </cell>
          <cell r="N456">
            <v>-0.49336964078807161</v>
          </cell>
          <cell r="O456">
            <v>-1.0245786743692473</v>
          </cell>
          <cell r="P456">
            <v>-0.94085968017258526</v>
          </cell>
          <cell r="Q456">
            <v>-0.6368538214197379</v>
          </cell>
          <cell r="R456">
            <v>0.52379054058678198</v>
          </cell>
          <cell r="S456">
            <v>-0.69681914283811763</v>
          </cell>
          <cell r="T456">
            <v>-0.62389664853635551</v>
          </cell>
          <cell r="U456">
            <v>-0.50978328158630037</v>
          </cell>
        </row>
        <row r="457">
          <cell r="B457" t="str">
            <v>FY1</v>
          </cell>
          <cell r="C457">
            <v>3.8862183909618229E-2</v>
          </cell>
          <cell r="D457">
            <v>-2.7339277114496467E-3</v>
          </cell>
          <cell r="E457">
            <v>3.5223782244625912E-2</v>
          </cell>
          <cell r="F457">
            <v>2.6424387208056593E-2</v>
          </cell>
          <cell r="G457">
            <v>-1.8071537178470622E-2</v>
          </cell>
          <cell r="H457">
            <v>5.3285963374375404E-2</v>
          </cell>
          <cell r="I457">
            <v>4.6996767941554794E-2</v>
          </cell>
          <cell r="J457">
            <v>2.5712517112615813E-2</v>
          </cell>
          <cell r="K457">
            <v>3.0552783656178185E-2</v>
          </cell>
          <cell r="M457">
            <v>1.7558553174681878E-2</v>
          </cell>
          <cell r="N457">
            <v>9.4733747506953347E-2</v>
          </cell>
          <cell r="O457">
            <v>3.927450676946953E-2</v>
          </cell>
          <cell r="P457">
            <v>0.18632383464964566</v>
          </cell>
          <cell r="Q457">
            <v>7.601987728838501E-2</v>
          </cell>
          <cell r="R457">
            <v>3.9489732823429061E-2</v>
          </cell>
          <cell r="S457">
            <v>7.0273028870299736E-2</v>
          </cell>
          <cell r="T457">
            <v>7.4810468726123444E-2</v>
          </cell>
          <cell r="U457">
            <v>7.1133632257864343E-2</v>
          </cell>
        </row>
        <row r="458">
          <cell r="A458" t="str">
            <v>mstag:rentalPaymentOnCapitalizedOperatingLeasesLessee</v>
          </cell>
          <cell r="B458" t="str">
            <v>Rent Payments</v>
          </cell>
          <cell r="C458">
            <v>4.0399164926698122E-2</v>
          </cell>
          <cell r="D458">
            <v>1.6931586348310497E-2</v>
          </cell>
          <cell r="E458">
            <v>2.9456136212050146E-2</v>
          </cell>
          <cell r="F458">
            <v>2.0077868758461886E-2</v>
          </cell>
          <cell r="G458">
            <v>2.2569207819594437E-4</v>
          </cell>
          <cell r="H458">
            <v>4.4593896192770086E-2</v>
          </cell>
          <cell r="I458">
            <v>4.9015164653234404E-2</v>
          </cell>
          <cell r="J458">
            <v>2.8671358452817299E-2</v>
          </cell>
          <cell r="K458">
            <v>3.3086860119727286E-2</v>
          </cell>
          <cell r="M458">
            <v>1.3331044461962222E-2</v>
          </cell>
          <cell r="N458">
            <v>8.085394256907405E-2</v>
          </cell>
          <cell r="O458">
            <v>5.1174560505937175E-2</v>
          </cell>
          <cell r="P458">
            <v>0.18148861674681205</v>
          </cell>
          <cell r="Q458">
            <v>7.2415679205012184E-2</v>
          </cell>
          <cell r="R458">
            <v>4.2100436438037216E-2</v>
          </cell>
          <cell r="S458">
            <v>7.2374325816125115E-2</v>
          </cell>
          <cell r="T458">
            <v>7.3391229391851429E-2</v>
          </cell>
          <cell r="U458">
            <v>6.9928491080842994E-2</v>
          </cell>
        </row>
        <row r="459">
          <cell r="B459" t="str">
            <v>FY(2)</v>
          </cell>
          <cell r="C459">
            <v>413.3</v>
          </cell>
          <cell r="D459">
            <v>210</v>
          </cell>
          <cell r="E459">
            <v>221</v>
          </cell>
          <cell r="F459">
            <v>81</v>
          </cell>
          <cell r="G459">
            <v>87.075000000000003</v>
          </cell>
          <cell r="H459">
            <v>301.58199999999999</v>
          </cell>
          <cell r="I459">
            <v>886.9</v>
          </cell>
          <cell r="J459">
            <v>314.40814285714288</v>
          </cell>
          <cell r="K459">
            <v>2200.857</v>
          </cell>
          <cell r="M459">
            <v>231.65299999999999</v>
          </cell>
          <cell r="N459">
            <v>77.64</v>
          </cell>
          <cell r="O459">
            <v>167.05099999999999</v>
          </cell>
          <cell r="P459">
            <v>107.458</v>
          </cell>
          <cell r="Q459">
            <v>970</v>
          </cell>
          <cell r="R459">
            <v>441</v>
          </cell>
          <cell r="S459">
            <v>100.02</v>
          </cell>
          <cell r="T459">
            <v>299.26028571428571</v>
          </cell>
          <cell r="U459">
            <v>2094.8220000000001</v>
          </cell>
        </row>
        <row r="460">
          <cell r="B460" t="str">
            <v>FY(1)</v>
          </cell>
          <cell r="C460">
            <v>445</v>
          </cell>
          <cell r="D460">
            <v>217</v>
          </cell>
          <cell r="E460">
            <v>230</v>
          </cell>
          <cell r="F460">
            <v>76</v>
          </cell>
          <cell r="G460">
            <v>83.682000000000002</v>
          </cell>
          <cell r="H460">
            <v>325.89999999999998</v>
          </cell>
          <cell r="I460">
            <v>928.3</v>
          </cell>
          <cell r="J460">
            <v>329.41171428571425</v>
          </cell>
          <cell r="K460">
            <v>2305.8819999999996</v>
          </cell>
          <cell r="M460">
            <v>280.61399999999998</v>
          </cell>
          <cell r="N460">
            <v>88.031000000000006</v>
          </cell>
          <cell r="O460">
            <v>197.82</v>
          </cell>
          <cell r="P460">
            <v>132.96899999999999</v>
          </cell>
          <cell r="Q460">
            <v>992</v>
          </cell>
          <cell r="R460">
            <v>391</v>
          </cell>
          <cell r="S460">
            <v>112.907</v>
          </cell>
          <cell r="T460">
            <v>313.62014285714292</v>
          </cell>
          <cell r="U460">
            <v>2195.3410000000003</v>
          </cell>
        </row>
        <row r="461">
          <cell r="B461" t="str">
            <v>FY0</v>
          </cell>
          <cell r="C461">
            <v>496</v>
          </cell>
          <cell r="D461">
            <v>231</v>
          </cell>
          <cell r="E461">
            <v>230</v>
          </cell>
          <cell r="F461">
            <v>89</v>
          </cell>
          <cell r="G461">
            <v>88.454999999999998</v>
          </cell>
          <cell r="H461">
            <v>336.5</v>
          </cell>
          <cell r="I461">
            <v>949</v>
          </cell>
          <cell r="J461">
            <v>345.70785714285711</v>
          </cell>
          <cell r="K461">
            <v>2419.9549999999999</v>
          </cell>
          <cell r="M461">
            <v>301.13799999999998</v>
          </cell>
          <cell r="N461">
            <v>97.888999999999996</v>
          </cell>
          <cell r="O461">
            <v>229.428</v>
          </cell>
          <cell r="P461">
            <v>151.267</v>
          </cell>
          <cell r="Q461">
            <v>973</v>
          </cell>
          <cell r="R461">
            <v>407</v>
          </cell>
          <cell r="S461">
            <v>127.434109734499</v>
          </cell>
          <cell r="T461">
            <v>326.73658710492839</v>
          </cell>
          <cell r="U461">
            <v>2287.1561097344988</v>
          </cell>
        </row>
        <row r="462">
          <cell r="B462" t="str">
            <v>FY1</v>
          </cell>
          <cell r="C462">
            <v>518.56303309414204</v>
          </cell>
          <cell r="D462">
            <v>236.036967509025</v>
          </cell>
          <cell r="E462">
            <v>235.41176470588201</v>
          </cell>
          <cell r="F462">
            <v>94.618556360602398</v>
          </cell>
          <cell r="G462">
            <v>90.912720945319705</v>
          </cell>
          <cell r="H462">
            <v>357.93168758199101</v>
          </cell>
          <cell r="I462">
            <v>970.16158569428001</v>
          </cell>
          <cell r="J462">
            <v>357.66233084160604</v>
          </cell>
          <cell r="K462">
            <v>2503.6363158912422</v>
          </cell>
          <cell r="M462">
            <v>318.11697719272098</v>
          </cell>
          <cell r="N462">
            <v>105.26366844444399</v>
          </cell>
          <cell r="O462">
            <v>234.19916455511199</v>
          </cell>
          <cell r="P462">
            <v>166.354913589744</v>
          </cell>
          <cell r="Q462">
            <v>967.79732534490495</v>
          </cell>
          <cell r="R462">
            <v>457.30408312233999</v>
          </cell>
          <cell r="S462">
            <v>146.22090008927199</v>
          </cell>
          <cell r="T462">
            <v>342.17957604836266</v>
          </cell>
          <cell r="U462">
            <v>2395.2570323385385</v>
          </cell>
        </row>
        <row r="463">
          <cell r="B463" t="str">
            <v>FY2</v>
          </cell>
          <cell r="C463">
            <v>552.77130938437199</v>
          </cell>
          <cell r="D463">
            <v>241.82093644258001</v>
          </cell>
          <cell r="E463">
            <v>239.98217166756399</v>
          </cell>
          <cell r="F463">
            <v>100.17534986731199</v>
          </cell>
          <cell r="G463">
            <v>96.459784775814597</v>
          </cell>
          <cell r="H463">
            <v>383.82128500347801</v>
          </cell>
          <cell r="I463">
            <v>986.94424197336195</v>
          </cell>
          <cell r="J463">
            <v>371.7107255877832</v>
          </cell>
          <cell r="K463">
            <v>2601.9750791144825</v>
          </cell>
          <cell r="M463">
            <v>353.83675694878099</v>
          </cell>
          <cell r="N463">
            <v>117.765877715481</v>
          </cell>
          <cell r="O463">
            <v>253.48517768534199</v>
          </cell>
          <cell r="P463">
            <v>179.71223459268501</v>
          </cell>
          <cell r="Q463">
            <v>953.87523311373502</v>
          </cell>
          <cell r="R463">
            <v>472.39043594442302</v>
          </cell>
          <cell r="S463">
            <v>166.065647668351</v>
          </cell>
          <cell r="T463">
            <v>356.73305195268546</v>
          </cell>
          <cell r="U463">
            <v>2497.1313636687983</v>
          </cell>
        </row>
        <row r="464">
          <cell r="B464" t="str">
            <v>FY1</v>
          </cell>
          <cell r="C464">
            <v>2.1678220019136387</v>
          </cell>
          <cell r="D464">
            <v>-0.20556202869745732</v>
          </cell>
          <cell r="E464">
            <v>1.946659427655937</v>
          </cell>
          <cell r="F464">
            <v>0.97354893957990185</v>
          </cell>
          <cell r="G464">
            <v>-0.32022714107024319</v>
          </cell>
          <cell r="H464">
            <v>3.0324798233633263</v>
          </cell>
          <cell r="I464">
            <v>2.1899111206141724</v>
          </cell>
          <cell r="M464">
            <v>0.59076362179338449</v>
          </cell>
          <cell r="N464">
            <v>3.0549856965789917</v>
          </cell>
          <cell r="O464">
            <v>0.55397571895375231</v>
          </cell>
          <cell r="P464">
            <v>2.0205286121042589</v>
          </cell>
          <cell r="Q464">
            <v>1.5531511857589593</v>
          </cell>
          <cell r="R464">
            <v>1.0250297702777731</v>
          </cell>
          <cell r="S464">
            <v>0.79672676486813154</v>
          </cell>
        </row>
        <row r="465">
          <cell r="B465" t="str">
            <v>Adjusted Net Debt/EBITDAR (includes Rent capitalized at 8x)</v>
          </cell>
          <cell r="C465">
            <v>2.4259351333438075</v>
          </cell>
          <cell r="D465">
            <v>1.2413658361277</v>
          </cell>
          <cell r="E465">
            <v>1.6008639174988561</v>
          </cell>
          <cell r="F465">
            <v>0.76128900106267405</v>
          </cell>
          <cell r="G465">
            <v>3.6556641974695874E-3</v>
          </cell>
          <cell r="H465">
            <v>2.7280154257731373</v>
          </cell>
          <cell r="I465">
            <v>2.5010561968072311</v>
          </cell>
          <cell r="M465">
            <v>0.51679513609987526</v>
          </cell>
          <cell r="N465">
            <v>3.0815192419646067</v>
          </cell>
          <cell r="O465">
            <v>0.75955113998499157</v>
          </cell>
          <cell r="P465">
            <v>2.1733260926685545</v>
          </cell>
          <cell r="Q465">
            <v>1.5555110393579679</v>
          </cell>
          <cell r="R465">
            <v>1.119845743374736</v>
          </cell>
          <cell r="S465">
            <v>0.95223954907340669</v>
          </cell>
        </row>
        <row r="466">
          <cell r="B466" t="str">
            <v>FY(2)</v>
          </cell>
          <cell r="C466">
            <v>1.7630403134292154</v>
          </cell>
          <cell r="D466">
            <v>1.1341816541717473</v>
          </cell>
          <cell r="E466">
            <v>3.0587597874720349</v>
          </cell>
          <cell r="F466">
            <v>1.7837177731034912</v>
          </cell>
          <cell r="G466">
            <v>3.2662010966582922</v>
          </cell>
          <cell r="H466">
            <v>2.7259358859435694</v>
          </cell>
          <cell r="I466">
            <v>2.6520141454465453</v>
          </cell>
          <cell r="J466">
            <v>2.3405500937464141</v>
          </cell>
          <cell r="K466">
            <v>2.2436432720862096</v>
          </cell>
          <cell r="M466">
            <v>1.1145547912933007</v>
          </cell>
          <cell r="N466">
            <v>1.2499124465924214</v>
          </cell>
          <cell r="O466">
            <v>0.97433969250602104</v>
          </cell>
          <cell r="P466">
            <v>0.13865886124043997</v>
          </cell>
          <cell r="Q466">
            <v>2.1748080949057922</v>
          </cell>
          <cell r="R466">
            <v>3.1794784845342146</v>
          </cell>
          <cell r="S466">
            <v>1.0992323700826874</v>
          </cell>
          <cell r="T466">
            <v>1.418712105879268</v>
          </cell>
          <cell r="U466">
            <v>1.7294953910912045</v>
          </cell>
        </row>
        <row r="467">
          <cell r="B467" t="str">
            <v>FY(1)</v>
          </cell>
          <cell r="C467">
            <v>1.9634987696449357</v>
          </cell>
          <cell r="D467">
            <v>1.5921080102834659</v>
          </cell>
          <cell r="E467">
            <v>3.5213781830695114</v>
          </cell>
          <cell r="F467">
            <v>2.6340789332320407</v>
          </cell>
          <cell r="G467">
            <v>11.924217205587883</v>
          </cell>
          <cell r="H467">
            <v>2.5402353666684365</v>
          </cell>
          <cell r="I467">
            <v>2.8040238749093813</v>
          </cell>
          <cell r="J467">
            <v>3.8542200490565222</v>
          </cell>
          <cell r="K467">
            <v>2.6655393954503377</v>
          </cell>
          <cell r="M467">
            <v>1.8125081650204506</v>
          </cell>
          <cell r="N467">
            <v>1.2449993849825833</v>
          </cell>
          <cell r="O467">
            <v>1.8401580358402727</v>
          </cell>
          <cell r="P467">
            <v>0.26025301117841149</v>
          </cell>
          <cell r="Q467">
            <v>2.0176962676962678</v>
          </cell>
          <cell r="R467">
            <v>3.3424457701446935</v>
          </cell>
          <cell r="S467">
            <v>1.0869568735825657</v>
          </cell>
          <cell r="T467">
            <v>1.6578596440636062</v>
          </cell>
          <cell r="U467">
            <v>1.8251633583838809</v>
          </cell>
        </row>
        <row r="468">
          <cell r="B468" t="str">
            <v>FY0</v>
          </cell>
          <cell r="C468">
            <v>1.3479594697375761</v>
          </cell>
          <cell r="D468">
            <v>1.6074809392075593</v>
          </cell>
          <cell r="E468">
            <v>3.0586126468555634</v>
          </cell>
          <cell r="F468">
            <v>2.047152672525633</v>
          </cell>
          <cell r="G468">
            <v>5.2296873407878488</v>
          </cell>
          <cell r="H468">
            <v>1.696038296095902</v>
          </cell>
          <cell r="I468">
            <v>1.9615963754819123</v>
          </cell>
          <cell r="J468">
            <v>2.4212182486702849</v>
          </cell>
          <cell r="K468">
            <v>2.0693383134945118</v>
          </cell>
          <cell r="M468">
            <v>2.5610036296682419</v>
          </cell>
          <cell r="N468">
            <v>0.81276759274384647</v>
          </cell>
          <cell r="O468">
            <v>1.8483523878471451</v>
          </cell>
          <cell r="P468">
            <v>0.34745351137138419</v>
          </cell>
          <cell r="Q468">
            <v>1.5517426273458446</v>
          </cell>
          <cell r="R468">
            <v>2.567792220893554</v>
          </cell>
          <cell r="S468">
            <v>0.92796661441807282</v>
          </cell>
          <cell r="T468">
            <v>1.5167255120411556</v>
          </cell>
          <cell r="U468">
            <v>1.5811015026553612</v>
          </cell>
        </row>
        <row r="469">
          <cell r="A469" t="str">
            <v>mstag:capitalExpenditures</v>
          </cell>
          <cell r="B469" t="str">
            <v>FY1</v>
          </cell>
          <cell r="C469">
            <v>1.0482258192150369</v>
          </cell>
          <cell r="D469">
            <v>1.2582527657927727</v>
          </cell>
          <cell r="E469">
            <v>2.4094468811563323</v>
          </cell>
          <cell r="F469">
            <v>1.5941125062690669</v>
          </cell>
          <cell r="G469">
            <v>4.17922891856856</v>
          </cell>
          <cell r="H469">
            <v>1.5256205587282161</v>
          </cell>
          <cell r="I469">
            <v>1.6826788867179201</v>
          </cell>
          <cell r="J469">
            <v>1.9567951909211292</v>
          </cell>
          <cell r="K469">
            <v>1.6758209958676464</v>
          </cell>
          <cell r="M469">
            <v>2.391050370712593</v>
          </cell>
          <cell r="N469">
            <v>0.71932761632238529</v>
          </cell>
          <cell r="O469">
            <v>1.4432560378481065</v>
          </cell>
          <cell r="P469">
            <v>0.28759622817734298</v>
          </cell>
          <cell r="Q469">
            <v>1.5987513531074025</v>
          </cell>
          <cell r="R469">
            <v>2.4837915361158127</v>
          </cell>
          <cell r="S469">
            <v>0.64964261665766232</v>
          </cell>
          <cell r="T469">
            <v>1.3676308227059006</v>
          </cell>
          <cell r="U469">
            <v>1.5126774008222057</v>
          </cell>
        </row>
        <row r="470">
          <cell r="B470" t="str">
            <v>FY2</v>
          </cell>
          <cell r="C470">
            <v>0.87493009858381077</v>
          </cell>
          <cell r="D470">
            <v>1.1579138512985476</v>
          </cell>
          <cell r="E470">
            <v>1.9226546792326706</v>
          </cell>
          <cell r="F470">
            <v>1.5163541404967966</v>
          </cell>
          <cell r="G470">
            <v>3.0895363696481981</v>
          </cell>
          <cell r="H470">
            <v>1.4849145427793713</v>
          </cell>
          <cell r="I470">
            <v>1.5179536310666246</v>
          </cell>
          <cell r="J470">
            <v>1.6520367590151455</v>
          </cell>
          <cell r="K470">
            <v>1.4482420880717608</v>
          </cell>
          <cell r="M470">
            <v>2.4665701567877596</v>
          </cell>
          <cell r="N470">
            <v>0.77815718698320846</v>
          </cell>
          <cell r="O470">
            <v>1.2438592969656144</v>
          </cell>
          <cell r="P470">
            <v>0.23617584483676721</v>
          </cell>
          <cell r="Q470">
            <v>1.5955958846176646</v>
          </cell>
          <cell r="R470">
            <v>2.200647221162388</v>
          </cell>
          <cell r="S470">
            <v>0.51167660904846224</v>
          </cell>
          <cell r="T470">
            <v>1.2903831714859808</v>
          </cell>
          <cell r="U470">
            <v>1.4299289350190132</v>
          </cell>
        </row>
        <row r="471">
          <cell r="B471" t="str">
            <v>FY1</v>
          </cell>
          <cell r="C471">
            <v>647.25003538475005</v>
          </cell>
          <cell r="D471">
            <v>597.63773739153396</v>
          </cell>
          <cell r="E471">
            <v>398.916049323469</v>
          </cell>
          <cell r="F471">
            <v>361</v>
          </cell>
          <cell r="G471">
            <v>66.837014679888597</v>
          </cell>
          <cell r="H471">
            <v>164.974553241579</v>
          </cell>
          <cell r="I471">
            <v>465.40417961601298</v>
          </cell>
          <cell r="J471">
            <v>386.00279566246201</v>
          </cell>
          <cell r="K471">
            <v>2702.0195696372339</v>
          </cell>
          <cell r="M471">
            <v>185.09325427162901</v>
          </cell>
          <cell r="N471">
            <v>49.858069962182</v>
          </cell>
          <cell r="O471">
            <v>129.30167913915301</v>
          </cell>
          <cell r="P471">
            <v>107.320766852448</v>
          </cell>
          <cell r="Q471">
            <v>350.99767742648697</v>
          </cell>
          <cell r="R471">
            <v>225.261</v>
          </cell>
          <cell r="S471">
            <v>119.233752219984</v>
          </cell>
          <cell r="T471">
            <v>166.72374283884042</v>
          </cell>
          <cell r="U471">
            <v>1167.0661998718829</v>
          </cell>
          <cell r="W471">
            <v>3869.0857695091167</v>
          </cell>
        </row>
        <row r="472">
          <cell r="B472" t="str">
            <v>Adjusted Net Debt/Cap (includes Rent capitalized at 8x)</v>
          </cell>
          <cell r="C472">
            <v>746.07111004947603</v>
          </cell>
          <cell r="D472">
            <v>394.57224859306899</v>
          </cell>
          <cell r="E472">
            <v>618.35365471548903</v>
          </cell>
          <cell r="F472">
            <v>465.162968324612</v>
          </cell>
          <cell r="G472">
            <v>45.8188964183229</v>
          </cell>
          <cell r="H472">
            <v>200.649569914437</v>
          </cell>
          <cell r="I472">
            <v>517.37070757901802</v>
          </cell>
          <cell r="J472">
            <v>426.85702222777485</v>
          </cell>
          <cell r="K472">
            <v>2987.9991555944239</v>
          </cell>
          <cell r="M472">
            <v>246.71197020712299</v>
          </cell>
          <cell r="N472">
            <v>67.516321371336403</v>
          </cell>
          <cell r="O472">
            <v>135.41319328435799</v>
          </cell>
          <cell r="P472">
            <v>137.30003618500299</v>
          </cell>
          <cell r="Q472">
            <v>423.142401533449</v>
          </cell>
          <cell r="R472">
            <v>252.161501557756</v>
          </cell>
          <cell r="S472">
            <v>148.570424497277</v>
          </cell>
          <cell r="T472">
            <v>201.5451212337575</v>
          </cell>
          <cell r="U472">
            <v>1410.8158486363025</v>
          </cell>
          <cell r="W472">
            <v>4398.8150042307261</v>
          </cell>
          <cell r="X472">
            <v>0.13691328295077265</v>
          </cell>
        </row>
        <row r="473">
          <cell r="B473" t="str">
            <v>FY(2)</v>
          </cell>
          <cell r="C473">
            <v>0.43550302523316747</v>
          </cell>
          <cell r="D473">
            <v>0.34964680059462472</v>
          </cell>
          <cell r="E473">
            <v>0.52473300112136523</v>
          </cell>
          <cell r="F473">
            <v>0.7142928672679153</v>
          </cell>
          <cell r="G473">
            <v>0.4984460608672418</v>
          </cell>
          <cell r="H473">
            <v>0.70313158045244917</v>
          </cell>
          <cell r="I473">
            <v>0.77154204302150575</v>
          </cell>
          <cell r="J473">
            <v>0.57104219693689562</v>
          </cell>
          <cell r="K473">
            <v>0.54466525719550296</v>
          </cell>
          <cell r="M473">
            <v>0.38342940939156683</v>
          </cell>
          <cell r="N473">
            <v>0.4797066456825303</v>
          </cell>
          <cell r="O473">
            <v>0.31848964014715719</v>
          </cell>
          <cell r="P473">
            <v>5.9088361908869382E-2</v>
          </cell>
          <cell r="Q473">
            <v>0.50998199967272129</v>
          </cell>
          <cell r="R473">
            <v>0.60787298235139131</v>
          </cell>
          <cell r="S473">
            <v>0.26256613636624776</v>
          </cell>
          <cell r="T473">
            <v>0.37444788221721204</v>
          </cell>
          <cell r="U473">
            <v>0.45453050790622207</v>
          </cell>
        </row>
        <row r="474">
          <cell r="B474" t="str">
            <v>FY(1)</v>
          </cell>
          <cell r="C474">
            <v>0.42366442772181695</v>
          </cell>
          <cell r="D474">
            <v>0.41016752157869452</v>
          </cell>
          <cell r="E474">
            <v>0.68775045575596683</v>
          </cell>
          <cell r="F474">
            <v>0.71590113352887597</v>
          </cell>
          <cell r="G474">
            <v>0.57198793761492206</v>
          </cell>
          <cell r="H474">
            <v>0.70963308161370375</v>
          </cell>
          <cell r="I474">
            <v>0.78410355528262954</v>
          </cell>
          <cell r="J474">
            <v>0.61474401615665852</v>
          </cell>
          <cell r="K474">
            <v>0.60997299068920097</v>
          </cell>
          <cell r="M474">
            <v>0.43497953260620403</v>
          </cell>
          <cell r="N474">
            <v>0.44908374146140695</v>
          </cell>
          <cell r="O474">
            <v>0.38274031326642549</v>
          </cell>
          <cell r="P474">
            <v>0.14380647260531124</v>
          </cell>
          <cell r="Q474">
            <v>0.50682938656752607</v>
          </cell>
          <cell r="R474">
            <v>0.61421029375145364</v>
          </cell>
          <cell r="S474">
            <v>0.27453474165713265</v>
          </cell>
          <cell r="T474">
            <v>0.40088349741649426</v>
          </cell>
          <cell r="U474">
            <v>0.46823935768246799</v>
          </cell>
          <cell r="W474">
            <v>0.10583919863895908</v>
          </cell>
        </row>
        <row r="475">
          <cell r="B475" t="str">
            <v>FY0</v>
          </cell>
          <cell r="C475">
            <v>0.32437098274976922</v>
          </cell>
          <cell r="D475">
            <v>0.31866099855600216</v>
          </cell>
          <cell r="E475">
            <v>0.65312992870384889</v>
          </cell>
          <cell r="F475">
            <v>0.61679852898467369</v>
          </cell>
          <cell r="G475">
            <v>0.49446934556739103</v>
          </cell>
          <cell r="H475">
            <v>0.64162547041683271</v>
          </cell>
          <cell r="I475">
            <v>0.69619172996255518</v>
          </cell>
          <cell r="J475">
            <v>0.53503528356301033</v>
          </cell>
          <cell r="K475">
            <v>0.53035963604257441</v>
          </cell>
          <cell r="M475">
            <v>0.40814676439653425</v>
          </cell>
          <cell r="N475">
            <v>0.35827227984819415</v>
          </cell>
          <cell r="O475">
            <v>0.3387947354498817</v>
          </cell>
          <cell r="P475">
            <v>0.1506674822931261</v>
          </cell>
          <cell r="Q475">
            <v>0.41098224852071003</v>
          </cell>
          <cell r="R475">
            <v>0.51139588766764599</v>
          </cell>
          <cell r="S475">
            <v>0.22361029785419212</v>
          </cell>
          <cell r="T475">
            <v>0.34312424229004063</v>
          </cell>
          <cell r="U475">
            <v>0.39089769547383957</v>
          </cell>
        </row>
        <row r="476">
          <cell r="B476" t="str">
            <v>FY1</v>
          </cell>
          <cell r="C476">
            <v>0.27761167517410235</v>
          </cell>
          <cell r="D476">
            <v>0.28675163494379724</v>
          </cell>
          <cell r="E476">
            <v>0.58794038590017261</v>
          </cell>
          <cell r="F476">
            <v>0.53853754106956986</v>
          </cell>
          <cell r="G476">
            <v>0.49605191308167351</v>
          </cell>
          <cell r="H476">
            <v>0.6363634999736747</v>
          </cell>
          <cell r="I476">
            <v>0.64872711884527645</v>
          </cell>
          <cell r="J476">
            <v>0.49599768128403809</v>
          </cell>
          <cell r="K476">
            <v>0.48136100917699715</v>
          </cell>
          <cell r="M476">
            <v>0.45338273009338498</v>
          </cell>
          <cell r="N476">
            <v>0.3113380398102033</v>
          </cell>
          <cell r="O476">
            <v>0.31348272554407308</v>
          </cell>
          <cell r="P476">
            <v>0.12284434737617074</v>
          </cell>
          <cell r="Q476">
            <v>0.42264761699012438</v>
          </cell>
          <cell r="R476">
            <v>0.55140427089044997</v>
          </cell>
          <cell r="S476">
            <v>0.1602020261661532</v>
          </cell>
          <cell r="T476">
            <v>0.33361453669579422</v>
          </cell>
          <cell r="U476">
            <v>0.39418186587584914</v>
          </cell>
        </row>
        <row r="477">
          <cell r="B477" t="str">
            <v>FY2</v>
          </cell>
          <cell r="C477">
            <v>0.24658198099063369</v>
          </cell>
          <cell r="D477">
            <v>0.27605661840184514</v>
          </cell>
          <cell r="E477">
            <v>0.50433224175968594</v>
          </cell>
          <cell r="F477">
            <v>0.5135949170173888</v>
          </cell>
          <cell r="G477">
            <v>0.48846420448934763</v>
          </cell>
          <cell r="H477">
            <v>0.6169160063040503</v>
          </cell>
          <cell r="I477">
            <v>0.59472351294919445</v>
          </cell>
          <cell r="J477">
            <v>0.46295278313030652</v>
          </cell>
          <cell r="K477">
            <v>0.43649769110271114</v>
          </cell>
          <cell r="M477">
            <v>0.51651231294961675</v>
          </cell>
          <cell r="N477">
            <v>0.31530347483637128</v>
          </cell>
          <cell r="O477">
            <v>0.28902023877853833</v>
          </cell>
          <cell r="P477">
            <v>0.10027717592566783</v>
          </cell>
          <cell r="Q477">
            <v>0.43774664231019594</v>
          </cell>
          <cell r="R477">
            <v>0.50719980535825493</v>
          </cell>
          <cell r="S477">
            <v>0.12596486252548919</v>
          </cell>
          <cell r="T477">
            <v>0.32743207324059054</v>
          </cell>
          <cell r="U477">
            <v>0.38456886671914609</v>
          </cell>
        </row>
        <row r="478">
          <cell r="B478" t="str">
            <v>FY1</v>
          </cell>
          <cell r="C478">
            <v>3.7856912119302158E-2</v>
          </cell>
          <cell r="D478">
            <v>3.4128142880679689E-2</v>
          </cell>
          <cell r="E478">
            <v>1.7111780644585135E-2</v>
          </cell>
          <cell r="F478">
            <v>4.46975854382725E-2</v>
          </cell>
          <cell r="G478">
            <v>2.5944116217902227E-2</v>
          </cell>
          <cell r="H478">
            <v>2.3149873315251059E-2</v>
          </cell>
          <cell r="I478">
            <v>2.3293819102922865E-2</v>
          </cell>
          <cell r="J478">
            <v>2.945460424555937E-2</v>
          </cell>
          <cell r="K478">
            <v>2.8240168758070814E-2</v>
          </cell>
          <cell r="M478">
            <v>6.2329427377884772E-2</v>
          </cell>
          <cell r="N478">
            <v>2.2851036467750125E-2</v>
          </cell>
          <cell r="O478">
            <v>4.3803673426332575E-2</v>
          </cell>
          <cell r="P478">
            <v>3.0749077335192904E-2</v>
          </cell>
          <cell r="Q478">
            <v>2.4603922708742794E-2</v>
          </cell>
          <cell r="R478">
            <v>2.6555011119058704E-2</v>
          </cell>
          <cell r="S478">
            <v>6.1491685262025593E-2</v>
          </cell>
          <cell r="T478">
            <v>3.8911976242426781E-2</v>
          </cell>
          <cell r="U478">
            <v>3.2167174429495293E-2</v>
          </cell>
        </row>
        <row r="479">
          <cell r="B479" t="str">
            <v>FY2</v>
          </cell>
          <cell r="C479">
            <v>4.1056912119301993E-2</v>
          </cell>
          <cell r="D479">
            <v>2.2583973489152562E-2</v>
          </cell>
          <cell r="E479">
            <v>2.6999999999999975E-2</v>
          </cell>
          <cell r="F479">
            <v>5.7000000000000009E-2</v>
          </cell>
          <cell r="G479">
            <v>1.749999999999996E-2</v>
          </cell>
          <cell r="H479">
            <v>2.7000000000000017E-2</v>
          </cell>
          <cell r="I479">
            <v>2.4293819102922845E-2</v>
          </cell>
          <cell r="J479">
            <v>3.0919243530196767E-2</v>
          </cell>
          <cell r="K479">
            <v>3.0473682053923909E-2</v>
          </cell>
          <cell r="M479">
            <v>7.4829427377884575E-2</v>
          </cell>
          <cell r="N479">
            <v>2.7949999999999978E-2</v>
          </cell>
          <cell r="O479">
            <v>4.2803673426332609E-2</v>
          </cell>
          <cell r="P479">
            <v>3.6749077335192643E-2</v>
          </cell>
          <cell r="Q479">
            <v>3.0000000000000072E-2</v>
          </cell>
          <cell r="R479">
            <v>2.9499999999999988E-2</v>
          </cell>
          <cell r="S479">
            <v>6.5794955109565761E-2</v>
          </cell>
          <cell r="T479">
            <v>4.3946733321282232E-2</v>
          </cell>
          <cell r="U479">
            <v>3.7598679443819762E-2</v>
          </cell>
        </row>
        <row r="480">
          <cell r="B480" t="str">
            <v>Unadjusted Net Debt/Cap</v>
          </cell>
        </row>
        <row r="481">
          <cell r="A481" t="str">
            <v>mstag:averageDilutedSharesOutstanding</v>
          </cell>
          <cell r="B481" t="str">
            <v>FY(2)</v>
          </cell>
          <cell r="C481">
            <v>0.17155117918135337</v>
          </cell>
          <cell r="D481">
            <v>0.13036246177433036</v>
          </cell>
          <cell r="E481">
            <v>0.46643565615462851</v>
          </cell>
          <cell r="F481">
            <v>0.59235816811785225</v>
          </cell>
          <cell r="G481">
            <v>0.26971047322857289</v>
          </cell>
          <cell r="H481">
            <v>-0.10143943375668921</v>
          </cell>
          <cell r="I481">
            <v>3.451495658087933E-2</v>
          </cell>
          <cell r="J481">
            <v>0.22335620875441822</v>
          </cell>
          <cell r="K481">
            <v>0.30990908137205347</v>
          </cell>
          <cell r="M481">
            <v>-0.32264130511775407</v>
          </cell>
          <cell r="N481">
            <v>-1.1584277864514689</v>
          </cell>
          <cell r="O481">
            <v>-0.36095859344226999</v>
          </cell>
          <cell r="P481">
            <v>-0.36363821654453149</v>
          </cell>
          <cell r="Q481">
            <v>-0.34222321828776331</v>
          </cell>
          <cell r="R481">
            <v>0.33787739453859944</v>
          </cell>
          <cell r="S481">
            <v>-0.42883724636203746</v>
          </cell>
          <cell r="T481">
            <v>-0.37697842452388947</v>
          </cell>
          <cell r="U481">
            <v>-0.13489505937003851</v>
          </cell>
        </row>
        <row r="482">
          <cell r="B482" t="str">
            <v>FY(1)</v>
          </cell>
          <cell r="C482">
            <v>0.15822915618753594</v>
          </cell>
          <cell r="D482">
            <v>0.15057089093463449</v>
          </cell>
          <cell r="E482">
            <v>0.58509062391077027</v>
          </cell>
          <cell r="F482">
            <v>0.6556757193772984</v>
          </cell>
          <cell r="G482">
            <v>0.38896458007874457</v>
          </cell>
          <cell r="H482">
            <v>-0.15017448570224767</v>
          </cell>
          <cell r="I482">
            <v>0.11189509312225583</v>
          </cell>
          <cell r="J482">
            <v>0.27146451112985603</v>
          </cell>
          <cell r="K482">
            <v>0.35221633255581436</v>
          </cell>
          <cell r="M482">
            <v>-0.21697131567535613</v>
          </cell>
          <cell r="N482">
            <v>-0.64363769503745849</v>
          </cell>
          <cell r="O482">
            <v>-0.27550098347002122</v>
          </cell>
          <cell r="P482">
            <v>-0.46612734724491706</v>
          </cell>
          <cell r="Q482">
            <v>-0.37525354969574037</v>
          </cell>
          <cell r="R482">
            <v>0.36128189984901221</v>
          </cell>
          <cell r="S482">
            <v>-0.3473065882185476</v>
          </cell>
          <cell r="T482">
            <v>-0.28050222564186122</v>
          </cell>
          <cell r="U482">
            <v>-0.13274448535899933</v>
          </cell>
        </row>
        <row r="483">
          <cell r="B483" t="str">
            <v>FY0</v>
          </cell>
          <cell r="C483">
            <v>-1.9933208662836408E-2</v>
          </cell>
          <cell r="D483">
            <v>4.7121114935010998E-2</v>
          </cell>
          <cell r="E483">
            <v>0.52329464885439214</v>
          </cell>
          <cell r="F483">
            <v>0.43447567580446406</v>
          </cell>
          <cell r="G483">
            <v>0.22179778818940543</v>
          </cell>
          <cell r="H483">
            <v>-0.47426963580467424</v>
          </cell>
          <cell r="I483">
            <v>-0.26506359909847371</v>
          </cell>
          <cell r="J483">
            <v>6.6774683459612613E-2</v>
          </cell>
          <cell r="K483">
            <v>0.18420323911802425</v>
          </cell>
          <cell r="M483">
            <v>-0.33690533113642818</v>
          </cell>
          <cell r="N483">
            <v>-0.79836155526275465</v>
          </cell>
          <cell r="O483">
            <v>-0.41568408664627049</v>
          </cell>
          <cell r="P483">
            <v>-0.44374415164262937</v>
          </cell>
          <cell r="Q483">
            <v>-0.52643631159272131</v>
          </cell>
          <cell r="R483">
            <v>0.18717424120299675</v>
          </cell>
          <cell r="S483">
            <v>-0.38675637639528909</v>
          </cell>
          <cell r="T483">
            <v>-0.38867336735329949</v>
          </cell>
          <cell r="U483">
            <v>-0.27326179546257678</v>
          </cell>
        </row>
        <row r="484">
          <cell r="B484" t="str">
            <v>FY1</v>
          </cell>
          <cell r="C484">
            <v>-7.2935073750824544E-2</v>
          </cell>
          <cell r="D484">
            <v>1.3155159541196127E-2</v>
          </cell>
          <cell r="E484">
            <v>0.41980917229782333</v>
          </cell>
          <cell r="F484">
            <v>0.36053432174461086</v>
          </cell>
          <cell r="G484">
            <v>0.20965041705312365</v>
          </cell>
          <cell r="H484">
            <v>-0.53100621148321026</v>
          </cell>
          <cell r="I484">
            <v>-0.35218119816282695</v>
          </cell>
          <cell r="J484">
            <v>6.7180838914131912E-3</v>
          </cell>
          <cell r="K484">
            <v>0.10981844106149648</v>
          </cell>
          <cell r="M484">
            <v>-0.31696737676589115</v>
          </cell>
          <cell r="N484">
            <v>-0.81056984395921061</v>
          </cell>
          <cell r="O484">
            <v>-0.45074199089855554</v>
          </cell>
          <cell r="P484">
            <v>-0.47962616706148459</v>
          </cell>
          <cell r="Q484">
            <v>-0.5259313947145341</v>
          </cell>
          <cell r="R484">
            <v>0.20478481199346313</v>
          </cell>
          <cell r="S484">
            <v>-0.4584563567467998</v>
          </cell>
          <cell r="T484">
            <v>-0.40535833116471603</v>
          </cell>
          <cell r="U484">
            <v>-0.2895501330219753</v>
          </cell>
        </row>
        <row r="485">
          <cell r="B485" t="str">
            <v>FY2</v>
          </cell>
          <cell r="C485">
            <v>-0.11691253486773395</v>
          </cell>
          <cell r="D485">
            <v>1.754998212719309E-3</v>
          </cell>
          <cell r="E485">
            <v>0.3129261572355303</v>
          </cell>
          <cell r="F485">
            <v>0.34480358906781372</v>
          </cell>
          <cell r="G485">
            <v>0.16956021690549561</v>
          </cell>
          <cell r="H485">
            <v>-0.56910526799632311</v>
          </cell>
          <cell r="I485">
            <v>-0.41624883383416506</v>
          </cell>
          <cell r="J485">
            <v>-3.9031667896666164E-2</v>
          </cell>
          <cell r="K485">
            <v>4.5605791379651359E-2</v>
          </cell>
          <cell r="M485">
            <v>-0.2634205574684077</v>
          </cell>
          <cell r="N485">
            <v>-0.82009107779971702</v>
          </cell>
          <cell r="O485">
            <v>-0.51081593690746263</v>
          </cell>
          <cell r="P485">
            <v>-0.51559661788992583</v>
          </cell>
          <cell r="Q485">
            <v>-0.5395925627073267</v>
          </cell>
          <cell r="R485">
            <v>0.12896858216293094</v>
          </cell>
          <cell r="S485">
            <v>-0.48495269741359415</v>
          </cell>
          <cell r="T485">
            <v>-0.42935726686050046</v>
          </cell>
          <cell r="U485">
            <v>-0.32037353322343692</v>
          </cell>
        </row>
        <row r="486">
          <cell r="B486" t="str">
            <v>FQ(3)</v>
          </cell>
          <cell r="C486">
            <v>0.13165244885644173</v>
          </cell>
          <cell r="D486">
            <v>0.17755785281902353</v>
          </cell>
          <cell r="E486">
            <v>0.63831195465731949</v>
          </cell>
          <cell r="F486">
            <v>0.64204997437544531</v>
          </cell>
          <cell r="G486">
            <v>0.38244531184707647</v>
          </cell>
          <cell r="H486">
            <v>-0.26173584744947953</v>
          </cell>
          <cell r="I486">
            <v>3.5756544743929017E-2</v>
          </cell>
          <cell r="J486">
            <v>0.24943403426425087</v>
          </cell>
          <cell r="K486">
            <v>0.34803839154712585</v>
          </cell>
          <cell r="M486">
            <v>-0.1943611479331738</v>
          </cell>
          <cell r="N486">
            <v>-0.6238137323775208</v>
          </cell>
          <cell r="O486">
            <v>-0.24815342698230658</v>
          </cell>
          <cell r="P486">
            <v>-0.33375451608586781</v>
          </cell>
          <cell r="Q486">
            <v>-0.37621145374449338</v>
          </cell>
          <cell r="R486">
            <v>0.41408090685248566</v>
          </cell>
          <cell r="S486">
            <v>-0.27264374428604671</v>
          </cell>
          <cell r="T486">
            <v>-0.23355101636527478</v>
          </cell>
          <cell r="U486">
            <v>-9.8884422673623046E-2</v>
          </cell>
        </row>
        <row r="487">
          <cell r="B487" t="str">
            <v>FQ(2)</v>
          </cell>
          <cell r="C487">
            <v>7.7701535780119499E-2</v>
          </cell>
          <cell r="D487">
            <v>0.13622490218961908</v>
          </cell>
          <cell r="E487">
            <v>0.6184830106230691</v>
          </cell>
          <cell r="F487">
            <v>0.53015548678398849</v>
          </cell>
          <cell r="G487">
            <v>0.37442306868519326</v>
          </cell>
          <cell r="H487">
            <v>-0.30470286332377144</v>
          </cell>
          <cell r="I487">
            <v>-5.2925525134638815E-2</v>
          </cell>
          <cell r="J487">
            <v>0.19705137365765421</v>
          </cell>
          <cell r="K487">
            <v>0.29401108161568013</v>
          </cell>
          <cell r="M487">
            <v>-0.22562571997639078</v>
          </cell>
          <cell r="N487">
            <v>-0.57138666964634899</v>
          </cell>
          <cell r="O487">
            <v>-0.29438841264919668</v>
          </cell>
          <cell r="P487">
            <v>-0.44374415164262937</v>
          </cell>
          <cell r="Q487">
            <v>-0.44910432033719705</v>
          </cell>
          <cell r="R487">
            <v>0.33171155262653013</v>
          </cell>
          <cell r="S487">
            <v>-0.25148600218600176</v>
          </cell>
          <cell r="T487">
            <v>-0.27200338911589061</v>
          </cell>
          <cell r="U487">
            <v>-0.15687992193216713</v>
          </cell>
        </row>
        <row r="488">
          <cell r="B488" t="str">
            <v>FQ(1)</v>
          </cell>
          <cell r="C488">
            <v>5.707190332305092E-2</v>
          </cell>
          <cell r="D488">
            <v>0.15826955194978698</v>
          </cell>
          <cell r="E488">
            <v>0.6226238261132987</v>
          </cell>
          <cell r="F488">
            <v>0.52691735556036645</v>
          </cell>
          <cell r="G488">
            <v>0.31966834963038077</v>
          </cell>
          <cell r="H488">
            <v>-0.33975958743009227</v>
          </cell>
          <cell r="I488">
            <v>-0.11487609725000009</v>
          </cell>
          <cell r="J488">
            <v>0.17570218598525592</v>
          </cell>
          <cell r="K488">
            <v>0.28413733640922606</v>
          </cell>
          <cell r="M488">
            <v>-0.25957070942652749</v>
          </cell>
          <cell r="N488">
            <v>-0.6367063228696217</v>
          </cell>
          <cell r="O488">
            <v>-0.29613012098734831</v>
          </cell>
          <cell r="P488">
            <v>-0.51955400366751436</v>
          </cell>
          <cell r="Q488">
            <v>-0.48142943184099579</v>
          </cell>
          <cell r="R488">
            <v>0.40295036845359711</v>
          </cell>
          <cell r="S488">
            <v>-0.34428435067392987</v>
          </cell>
          <cell r="T488">
            <v>-0.30496065300176289</v>
          </cell>
          <cell r="U488">
            <v>-0.18611066517540401</v>
          </cell>
        </row>
        <row r="489">
          <cell r="B489" t="str">
            <v>Last Reported Q</v>
          </cell>
          <cell r="C489">
            <v>-1.9933208662836408E-2</v>
          </cell>
          <cell r="D489">
            <v>4.7121114935010998E-2</v>
          </cell>
          <cell r="E489">
            <v>0.52329464885439214</v>
          </cell>
          <cell r="F489">
            <v>0.43447567580446406</v>
          </cell>
          <cell r="G489">
            <v>0.22179778818940543</v>
          </cell>
          <cell r="H489">
            <v>-0.47426963580467424</v>
          </cell>
          <cell r="I489">
            <v>-0.26506359909847371</v>
          </cell>
          <cell r="J489">
            <v>6.6774683459612613E-2</v>
          </cell>
          <cell r="K489">
            <v>0.18420323911802425</v>
          </cell>
          <cell r="M489">
            <v>-0.33690533113642818</v>
          </cell>
          <cell r="N489">
            <v>-0.79836155526275465</v>
          </cell>
          <cell r="O489">
            <v>-0.41568408664627049</v>
          </cell>
          <cell r="P489">
            <v>-0.57023011231105614</v>
          </cell>
          <cell r="Q489">
            <v>-0.52643631159272131</v>
          </cell>
          <cell r="R489">
            <v>0.18717424120299675</v>
          </cell>
          <cell r="S489">
            <v>-0.38675637639528909</v>
          </cell>
          <cell r="T489">
            <v>-0.40674279030593186</v>
          </cell>
          <cell r="U489">
            <v>-0.28900238332255856</v>
          </cell>
        </row>
        <row r="490">
          <cell r="B490" t="str">
            <v>Last Reported Q</v>
          </cell>
          <cell r="C490">
            <v>308</v>
          </cell>
          <cell r="D490">
            <v>237.6</v>
          </cell>
          <cell r="E490">
            <v>421.8</v>
          </cell>
          <cell r="F490">
            <v>220.7</v>
          </cell>
          <cell r="G490">
            <v>152.45599999999999</v>
          </cell>
          <cell r="H490">
            <v>124.648</v>
          </cell>
          <cell r="I490">
            <v>428.09199999999998</v>
          </cell>
          <cell r="M490">
            <v>88.73</v>
          </cell>
          <cell r="N490">
            <v>67.991</v>
          </cell>
          <cell r="O490">
            <v>209.393</v>
          </cell>
          <cell r="P490">
            <v>325.62</v>
          </cell>
          <cell r="Q490">
            <v>704</v>
          </cell>
          <cell r="R490">
            <v>328.25900000000001</v>
          </cell>
          <cell r="S490">
            <v>171.44390200000001</v>
          </cell>
        </row>
        <row r="491">
          <cell r="A491" t="str">
            <v>mscalc:bookValuePerShareReported</v>
          </cell>
          <cell r="B491" t="str">
            <v>Book Value per Share</v>
          </cell>
          <cell r="C491">
            <v>306.25</v>
          </cell>
          <cell r="D491">
            <v>229.17499999999998</v>
          </cell>
          <cell r="E491">
            <v>421.67500000000001</v>
          </cell>
          <cell r="F491">
            <v>218.42500000000001</v>
          </cell>
          <cell r="G491">
            <v>141.69149999999999</v>
          </cell>
          <cell r="H491">
            <v>126.26124999999999</v>
          </cell>
          <cell r="I491">
            <v>430.21950000000004</v>
          </cell>
          <cell r="M491">
            <v>88.140749999999997</v>
          </cell>
          <cell r="N491">
            <v>67.879500000000007</v>
          </cell>
          <cell r="O491">
            <v>208.06475</v>
          </cell>
          <cell r="P491">
            <v>326.54150000000004</v>
          </cell>
          <cell r="Q491">
            <v>701.75</v>
          </cell>
          <cell r="R491">
            <v>325.17600000000004</v>
          </cell>
          <cell r="S491">
            <v>170.63794924999999</v>
          </cell>
        </row>
        <row r="492">
          <cell r="B492" t="str">
            <v>FY0</v>
          </cell>
          <cell r="C492">
            <v>25.581971111559898</v>
          </cell>
          <cell r="D492">
            <v>20.228813559321999</v>
          </cell>
          <cell r="E492">
            <v>11.1522311579247</v>
          </cell>
          <cell r="F492">
            <v>7.2103264093207899</v>
          </cell>
          <cell r="G492">
            <v>6.7769218044169897</v>
          </cell>
          <cell r="H492">
            <v>9.4449871466029904</v>
          </cell>
          <cell r="I492">
            <v>7.0575837962216603</v>
          </cell>
          <cell r="M492">
            <v>20.809422060578498</v>
          </cell>
          <cell r="N492">
            <v>4.6120452582064999</v>
          </cell>
          <cell r="O492">
            <v>7.5511172122354298</v>
          </cell>
          <cell r="P492">
            <v>5.2874668910592098</v>
          </cell>
          <cell r="Q492">
            <v>7.3282179704913402</v>
          </cell>
          <cell r="R492">
            <v>6.7554028004188202</v>
          </cell>
          <cell r="S492">
            <v>7.6960105991444303</v>
          </cell>
        </row>
        <row r="493">
          <cell r="B493" t="str">
            <v>FY1</v>
          </cell>
          <cell r="C493">
            <v>28.987791150450199</v>
          </cell>
          <cell r="D493">
            <v>21.004944842021398</v>
          </cell>
          <cell r="E493">
            <v>12.80328947854</v>
          </cell>
          <cell r="F493">
            <v>9.2014588952335803</v>
          </cell>
          <cell r="G493">
            <v>6.6846983827321198</v>
          </cell>
          <cell r="H493">
            <v>10.5554386780573</v>
          </cell>
          <cell r="I493">
            <v>8.6548957537455706</v>
          </cell>
          <cell r="M493">
            <v>20.5779707680969</v>
          </cell>
          <cell r="N493">
            <v>5.9700213393204598</v>
          </cell>
          <cell r="O493">
            <v>7.7959405771838099</v>
          </cell>
          <cell r="P493">
            <v>6.2311363676978297</v>
          </cell>
          <cell r="Q493">
            <v>7.5766202395493298</v>
          </cell>
          <cell r="R493">
            <v>6.3691260799745004</v>
          </cell>
          <cell r="S493">
            <v>9.4237637110883892</v>
          </cell>
        </row>
        <row r="494">
          <cell r="B494" t="str">
            <v>FY2</v>
          </cell>
          <cell r="C494">
            <v>32.626001118711997</v>
          </cell>
          <cell r="D494">
            <v>21.959758464535799</v>
          </cell>
          <cell r="E494">
            <v>14.6807784009291</v>
          </cell>
          <cell r="F494">
            <v>10.9850032291769</v>
          </cell>
          <cell r="G494">
            <v>6.7748104299086203</v>
          </cell>
          <cell r="H494">
            <v>12.462182566505399</v>
          </cell>
          <cell r="I494">
            <v>10.707882158953799</v>
          </cell>
          <cell r="J494">
            <v>298.12399999999997</v>
          </cell>
          <cell r="K494">
            <v>1788.7439999999999</v>
          </cell>
          <cell r="M494">
            <v>20.862967341691199</v>
          </cell>
          <cell r="N494">
            <v>7.2792140908088303</v>
          </cell>
          <cell r="O494">
            <v>8.2988766572300605</v>
          </cell>
          <cell r="P494">
            <v>7.06096060554367</v>
          </cell>
          <cell r="Q494">
            <v>7.5439922520262002</v>
          </cell>
          <cell r="R494">
            <v>7.1588926320260802</v>
          </cell>
          <cell r="S494">
            <v>11.3433691405353</v>
          </cell>
          <cell r="T494">
            <v>104.35733333333333</v>
          </cell>
          <cell r="U494">
            <v>626.14400000000001</v>
          </cell>
        </row>
        <row r="495">
          <cell r="A495" t="str">
            <v>mstag:cashDividendsPaid</v>
          </cell>
          <cell r="B495" t="str">
            <v>FY(1)</v>
          </cell>
          <cell r="C495" t="str">
            <v>NA</v>
          </cell>
          <cell r="D495">
            <v>174</v>
          </cell>
          <cell r="E495">
            <v>230</v>
          </cell>
          <cell r="F495">
            <v>134</v>
          </cell>
          <cell r="G495">
            <v>7.43</v>
          </cell>
          <cell r="H495">
            <v>40.637999999999998</v>
          </cell>
          <cell r="I495">
            <v>151.49199999999999</v>
          </cell>
          <cell r="J495">
            <v>122.92666666666666</v>
          </cell>
          <cell r="K495">
            <v>737.56</v>
          </cell>
          <cell r="M495">
            <v>61.33</v>
          </cell>
          <cell r="N495">
            <v>0</v>
          </cell>
          <cell r="O495">
            <v>80.796000000000006</v>
          </cell>
          <cell r="P495">
            <v>0</v>
          </cell>
          <cell r="Q495">
            <v>252</v>
          </cell>
          <cell r="R495">
            <v>227</v>
          </cell>
          <cell r="S495" t="str">
            <v>NA</v>
          </cell>
          <cell r="T495">
            <v>103.521</v>
          </cell>
          <cell r="U495">
            <v>621.12599999999998</v>
          </cell>
        </row>
        <row r="496">
          <cell r="A496" t="str">
            <v>Free Cash Flow</v>
          </cell>
          <cell r="B496" t="str">
            <v>Free Cash Flow (EBITDA less interest, taxes at 38%, and capex)</v>
          </cell>
          <cell r="C496" t="str">
            <v>NA</v>
          </cell>
          <cell r="D496">
            <v>178</v>
          </cell>
          <cell r="E496">
            <v>221</v>
          </cell>
          <cell r="F496">
            <v>138</v>
          </cell>
          <cell r="G496">
            <v>1.1830000000000001</v>
          </cell>
          <cell r="H496">
            <v>49.838000000000001</v>
          </cell>
          <cell r="I496">
            <v>176.749</v>
          </cell>
          <cell r="J496">
            <v>127.46166666666666</v>
          </cell>
          <cell r="K496">
            <v>764.77</v>
          </cell>
          <cell r="M496">
            <v>60.768999999999998</v>
          </cell>
          <cell r="N496">
            <v>0</v>
          </cell>
          <cell r="O496">
            <v>82.394000000000005</v>
          </cell>
          <cell r="P496">
            <v>0</v>
          </cell>
          <cell r="Q496">
            <v>243</v>
          </cell>
          <cell r="R496">
            <v>201</v>
          </cell>
          <cell r="S496" t="str">
            <v>NA</v>
          </cell>
          <cell r="T496">
            <v>97.860500000000002</v>
          </cell>
          <cell r="U496">
            <v>587.16300000000001</v>
          </cell>
        </row>
        <row r="497">
          <cell r="B497" t="str">
            <v>FY(2)</v>
          </cell>
          <cell r="C497">
            <v>1360.4659999999999</v>
          </cell>
          <cell r="D497">
            <v>1336.1</v>
          </cell>
          <cell r="E497">
            <v>1743.44</v>
          </cell>
          <cell r="F497">
            <v>872.57001999999989</v>
          </cell>
          <cell r="G497">
            <v>141.49700592773291</v>
          </cell>
          <cell r="H497">
            <v>333.41181999999998</v>
          </cell>
          <cell r="I497">
            <v>1133.7966574336956</v>
          </cell>
          <cell r="J497">
            <v>988.754500480204</v>
          </cell>
          <cell r="K497">
            <v>6921.2815033614279</v>
          </cell>
          <cell r="M497">
            <v>181.81038000000001</v>
          </cell>
          <cell r="N497">
            <v>60.234480000000005</v>
          </cell>
          <cell r="O497">
            <v>165.19883999999999</v>
          </cell>
          <cell r="P497">
            <v>525.18407999999999</v>
          </cell>
          <cell r="Q497">
            <v>437.09999999999991</v>
          </cell>
          <cell r="R497">
            <v>-78.407379999999989</v>
          </cell>
          <cell r="S497">
            <v>61.648059999999987</v>
          </cell>
          <cell r="T497">
            <v>193.25263714285711</v>
          </cell>
          <cell r="U497">
            <v>1352.7684599999998</v>
          </cell>
        </row>
        <row r="498">
          <cell r="A498" t="str">
            <v>mstag:interestExpense</v>
          </cell>
          <cell r="B498" t="str">
            <v>FY(1)</v>
          </cell>
          <cell r="C498">
            <v>205.23620000000005</v>
          </cell>
          <cell r="D498">
            <v>-117.85800000000302</v>
          </cell>
          <cell r="E498">
            <v>414.92000000000007</v>
          </cell>
          <cell r="F498">
            <v>26.341619999999921</v>
          </cell>
          <cell r="G498">
            <v>-139.16627083414218</v>
          </cell>
          <cell r="H498">
            <v>167.75255881623235</v>
          </cell>
          <cell r="I498">
            <v>546.79914000000008</v>
          </cell>
          <cell r="J498">
            <v>157.71789256886959</v>
          </cell>
          <cell r="K498">
            <v>1104.0252479820872</v>
          </cell>
          <cell r="M498">
            <v>74.873244464512823</v>
          </cell>
          <cell r="N498">
            <v>98.973440000000011</v>
          </cell>
          <cell r="O498">
            <v>-3.5592199999999821</v>
          </cell>
          <cell r="P498">
            <v>618.83845999999994</v>
          </cell>
          <cell r="Q498">
            <v>858.59999999999991</v>
          </cell>
          <cell r="R498">
            <v>73.380319999999983</v>
          </cell>
          <cell r="S498">
            <v>117.67098000000001</v>
          </cell>
          <cell r="T498">
            <v>262.68246063778753</v>
          </cell>
          <cell r="U498">
            <v>1838.7772244645128</v>
          </cell>
        </row>
        <row r="499">
          <cell r="A499">
            <v>0.38</v>
          </cell>
          <cell r="B499" t="str">
            <v>FY0</v>
          </cell>
          <cell r="C499">
            <v>683.11999999999989</v>
          </cell>
          <cell r="D499">
            <v>-43.240000000000009</v>
          </cell>
          <cell r="E499">
            <v>846.96</v>
          </cell>
          <cell r="F499">
            <v>265.58000000000004</v>
          </cell>
          <cell r="G499">
            <v>-33.877099999999992</v>
          </cell>
          <cell r="H499">
            <v>395.02296000000001</v>
          </cell>
          <cell r="I499">
            <v>1050.4924400000002</v>
          </cell>
          <cell r="J499">
            <v>452.00832857142865</v>
          </cell>
          <cell r="K499">
            <v>3164.0583000000006</v>
          </cell>
          <cell r="M499">
            <v>62.684879999999993</v>
          </cell>
          <cell r="N499">
            <v>218.12030000000001</v>
          </cell>
          <cell r="O499">
            <v>120.84016000000001</v>
          </cell>
          <cell r="P499">
            <v>559.41203999999993</v>
          </cell>
          <cell r="Q499">
            <v>1143.46</v>
          </cell>
          <cell r="R499">
            <v>406.55790000000002</v>
          </cell>
          <cell r="S499">
            <v>144.51503698254709</v>
          </cell>
          <cell r="T499">
            <v>379.37004528322097</v>
          </cell>
          <cell r="U499">
            <v>2655.5903169825469</v>
          </cell>
        </row>
        <row r="500">
          <cell r="A500" t="str">
            <v>mstag:otherInterestIncomeExpense</v>
          </cell>
          <cell r="B500" t="str">
            <v>FY1</v>
          </cell>
          <cell r="C500">
            <v>680.79069688994991</v>
          </cell>
          <cell r="D500">
            <v>177.03400258655063</v>
          </cell>
          <cell r="E500">
            <v>935.13459901374267</v>
          </cell>
          <cell r="F500">
            <v>318.122968079369</v>
          </cell>
          <cell r="G500">
            <v>-13.694872436350408</v>
          </cell>
          <cell r="H500">
            <v>433.88313836270947</v>
          </cell>
          <cell r="I500">
            <v>1220.086555265349</v>
          </cell>
          <cell r="J500">
            <v>535.90815539447431</v>
          </cell>
          <cell r="K500">
            <v>3751.3570877613201</v>
          </cell>
          <cell r="M500">
            <v>64.570561609984964</v>
          </cell>
          <cell r="N500">
            <v>220.1304458997646</v>
          </cell>
          <cell r="O500">
            <v>224.03654899880598</v>
          </cell>
          <cell r="P500">
            <v>652.95258730104558</v>
          </cell>
          <cell r="Q500">
            <v>853.00671725937082</v>
          </cell>
          <cell r="R500">
            <v>465.44580975535899</v>
          </cell>
          <cell r="S500">
            <v>178.370021577594</v>
          </cell>
          <cell r="T500">
            <v>379.78752748598924</v>
          </cell>
          <cell r="U500">
            <v>2658.5126924019246</v>
          </cell>
        </row>
        <row r="501">
          <cell r="B501" t="str">
            <v>FY2</v>
          </cell>
          <cell r="C501">
            <v>722.01096722923512</v>
          </cell>
          <cell r="D501">
            <v>253.32779521420207</v>
          </cell>
          <cell r="E501">
            <v>924.7982950086739</v>
          </cell>
          <cell r="F501">
            <v>312.27250743986087</v>
          </cell>
          <cell r="G501">
            <v>79.398365058291446</v>
          </cell>
          <cell r="H501">
            <v>432.05155555638959</v>
          </cell>
          <cell r="I501">
            <v>1284.6515781260714</v>
          </cell>
          <cell r="J501">
            <v>572.64443766181773</v>
          </cell>
          <cell r="K501">
            <v>4008.5110636327245</v>
          </cell>
          <cell r="M501">
            <v>109.05470063555117</v>
          </cell>
          <cell r="N501">
            <v>216.65298271796476</v>
          </cell>
          <cell r="O501">
            <v>279.80100799880029</v>
          </cell>
          <cell r="P501">
            <v>680.55099082875904</v>
          </cell>
          <cell r="Q501">
            <v>939.98306811354939</v>
          </cell>
          <cell r="R501">
            <v>520.64507838295549</v>
          </cell>
          <cell r="S501">
            <v>215.82651155609608</v>
          </cell>
          <cell r="T501">
            <v>423.21633431909657</v>
          </cell>
          <cell r="U501">
            <v>2962.5143402336762</v>
          </cell>
        </row>
        <row r="502">
          <cell r="B502" t="str">
            <v>Last Reported Q</v>
          </cell>
          <cell r="C502" t="str">
            <v>NA</v>
          </cell>
          <cell r="D502">
            <v>47</v>
          </cell>
          <cell r="E502">
            <v>21</v>
          </cell>
          <cell r="F502">
            <v>35</v>
          </cell>
          <cell r="G502">
            <v>0</v>
          </cell>
          <cell r="H502">
            <v>13.734999999999999</v>
          </cell>
          <cell r="I502">
            <v>50.8</v>
          </cell>
          <cell r="J502">
            <v>27.922499999999999</v>
          </cell>
          <cell r="K502">
            <v>167.535</v>
          </cell>
          <cell r="M502">
            <v>16.858699999999999</v>
          </cell>
          <cell r="N502">
            <v>0</v>
          </cell>
          <cell r="O502">
            <v>20.757000000000001</v>
          </cell>
          <cell r="P502">
            <v>0</v>
          </cell>
          <cell r="Q502">
            <v>60</v>
          </cell>
          <cell r="R502">
            <v>49.238849999999999</v>
          </cell>
          <cell r="S502" t="str">
            <v>NA</v>
          </cell>
          <cell r="T502">
            <v>24.475758333333335</v>
          </cell>
          <cell r="U502">
            <v>146.85455000000002</v>
          </cell>
        </row>
        <row r="503">
          <cell r="B503" t="str">
            <v>Free Cash Flow/Sales</v>
          </cell>
          <cell r="C503">
            <v>0</v>
          </cell>
          <cell r="D503">
            <v>180</v>
          </cell>
          <cell r="E503">
            <v>118</v>
          </cell>
          <cell r="F503">
            <v>138</v>
          </cell>
          <cell r="G503">
            <v>0.53700000000000003</v>
          </cell>
          <cell r="H503">
            <v>54.201000000000001</v>
          </cell>
          <cell r="I503">
            <v>193.01299999999998</v>
          </cell>
          <cell r="J503">
            <v>97.678714285714278</v>
          </cell>
          <cell r="K503">
            <v>683.75099999999998</v>
          </cell>
          <cell r="M503">
            <v>62.804699999999997</v>
          </cell>
          <cell r="N503">
            <v>0</v>
          </cell>
          <cell r="O503">
            <v>83.063000000000002</v>
          </cell>
          <cell r="P503">
            <v>0</v>
          </cell>
          <cell r="Q503">
            <v>238</v>
          </cell>
          <cell r="R503">
            <v>193.23885000000001</v>
          </cell>
          <cell r="S503">
            <v>0</v>
          </cell>
          <cell r="T503">
            <v>82.443792857142853</v>
          </cell>
          <cell r="U503">
            <v>577.10654999999997</v>
          </cell>
        </row>
        <row r="504">
          <cell r="B504" t="str">
            <v>FY(2)</v>
          </cell>
          <cell r="C504">
            <v>8.2584118928959477E-2</v>
          </cell>
          <cell r="D504">
            <v>6.7272781284662894E-2</v>
          </cell>
          <cell r="E504">
            <v>6.6257743320792012E-2</v>
          </cell>
          <cell r="F504">
            <v>9.8843271958380621E-2</v>
          </cell>
          <cell r="G504">
            <v>4.3342392828759901E-2</v>
          </cell>
          <cell r="H504">
            <v>5.5799161602969057E-2</v>
          </cell>
          <cell r="I504">
            <v>6.1832011747009565E-2</v>
          </cell>
          <cell r="J504">
            <v>6.7990211667361938E-2</v>
          </cell>
          <cell r="K504">
            <v>6.9875221653607225E-2</v>
          </cell>
          <cell r="M504">
            <v>4.914250946574493E-2</v>
          </cell>
          <cell r="N504">
            <v>3.8046441883218811E-2</v>
          </cell>
          <cell r="O504">
            <v>5.4067491234426439E-2</v>
          </cell>
          <cell r="P504">
            <v>0.20103078482470135</v>
          </cell>
          <cell r="Q504">
            <v>2.7729493116792483E-2</v>
          </cell>
          <cell r="R504">
            <v>-7.7736567835179878E-3</v>
          </cell>
          <cell r="S504">
            <v>4.0888159901944908E-2</v>
          </cell>
          <cell r="T504">
            <v>5.7590174806187271E-2</v>
          </cell>
          <cell r="U504">
            <v>3.5313197223818864E-2</v>
          </cell>
        </row>
        <row r="505">
          <cell r="B505" t="str">
            <v>FY(1)</v>
          </cell>
          <cell r="C505">
            <v>1.2522878289574043E-2</v>
          </cell>
          <cell r="D505">
            <v>-6.3753643074999028E-3</v>
          </cell>
          <cell r="E505">
            <v>1.6668809255985861E-2</v>
          </cell>
          <cell r="F505">
            <v>3.1771342419490917E-3</v>
          </cell>
          <cell r="G505">
            <v>-4.5825289188847984E-2</v>
          </cell>
          <cell r="H505">
            <v>2.5863238332732671E-2</v>
          </cell>
          <cell r="I505">
            <v>2.8779651890930846E-2</v>
          </cell>
          <cell r="J505">
            <v>4.9730083592606613E-3</v>
          </cell>
          <cell r="K505">
            <v>1.1431092390628375E-2</v>
          </cell>
          <cell r="M505">
            <v>2.1490246705066201E-2</v>
          </cell>
          <cell r="N505">
            <v>5.2491017119315468E-2</v>
          </cell>
          <cell r="O505">
            <v>-1.1908457426466667E-3</v>
          </cell>
          <cell r="P505">
            <v>0.19455697495910562</v>
          </cell>
          <cell r="Q505">
            <v>5.9107806691449806E-2</v>
          </cell>
          <cell r="R505">
            <v>8.1148674494490071E-3</v>
          </cell>
          <cell r="S505">
            <v>6.4139226803617985E-2</v>
          </cell>
          <cell r="T505">
            <v>5.6958470569336783E-2</v>
          </cell>
          <cell r="U505">
            <v>4.9774058879925059E-2</v>
          </cell>
        </row>
        <row r="506">
          <cell r="B506" t="str">
            <v>FY0</v>
          </cell>
          <cell r="C506">
            <v>3.9769459160505317E-2</v>
          </cell>
          <cell r="D506">
            <v>-2.4627680711198658E-3</v>
          </cell>
          <cell r="E506">
            <v>3.605772914981481E-2</v>
          </cell>
          <cell r="F506">
            <v>3.2160329377573266E-2</v>
          </cell>
          <cell r="G506">
            <v>-1.2902072201423611E-2</v>
          </cell>
          <cell r="H506">
            <v>5.4984861946604312E-2</v>
          </cell>
          <cell r="I506">
            <v>5.1777871186178707E-2</v>
          </cell>
          <cell r="J506">
            <v>2.8483630078304706E-2</v>
          </cell>
          <cell r="K506">
            <v>3.2761061584019244E-2</v>
          </cell>
          <cell r="M506">
            <v>2.1404201630457975E-2</v>
          </cell>
          <cell r="N506">
            <v>9.7807188450768023E-2</v>
          </cell>
          <cell r="O506">
            <v>4.040722835002699E-2</v>
          </cell>
          <cell r="P506">
            <v>0.1731674915213523</v>
          </cell>
          <cell r="Q506">
            <v>8.0542368105937873E-2</v>
          </cell>
          <cell r="R506">
            <v>4.7095995481745138E-2</v>
          </cell>
          <cell r="S506">
            <v>7.4576281524576432E-2</v>
          </cell>
          <cell r="T506">
            <v>7.6428679294980664E-2</v>
          </cell>
          <cell r="U506">
            <v>7.3466191367664663E-2</v>
          </cell>
        </row>
        <row r="507">
          <cell r="B507" t="str">
            <v>FY1</v>
          </cell>
          <cell r="C507">
            <v>3.6803257951795759E-2</v>
          </cell>
          <cell r="D507">
            <v>9.9422774355722929E-3</v>
          </cell>
          <cell r="E507">
            <v>3.8099441311130286E-2</v>
          </cell>
          <cell r="F507">
            <v>3.5618222607814165E-2</v>
          </cell>
          <cell r="G507">
            <v>-5.0027060435742943E-3</v>
          </cell>
          <cell r="H507">
            <v>5.5598520850968301E-2</v>
          </cell>
          <cell r="I507">
            <v>5.5317283808356203E-2</v>
          </cell>
          <cell r="J507">
            <v>3.2339471131723245E-2</v>
          </cell>
          <cell r="K507">
            <v>3.6642275467751659E-2</v>
          </cell>
          <cell r="M507">
            <v>2.0415970470597081E-2</v>
          </cell>
          <cell r="N507">
            <v>9.0578807962802529E-2</v>
          </cell>
          <cell r="O507">
            <v>7.4955877918586475E-2</v>
          </cell>
          <cell r="P507">
            <v>0.18784054717553669</v>
          </cell>
          <cell r="Q507">
            <v>6.0678926608646197E-2</v>
          </cell>
          <cell r="R507">
            <v>5.1087560549650884E-2</v>
          </cell>
          <cell r="S507">
            <v>7.8872067209330793E-2</v>
          </cell>
          <cell r="T507">
            <v>8.0632822556450101E-2</v>
          </cell>
          <cell r="U507">
            <v>7.0916381862729541E-2</v>
          </cell>
        </row>
        <row r="508">
          <cell r="B508" t="str">
            <v>FY2</v>
          </cell>
          <cell r="C508">
            <v>3.6029295706379805E-2</v>
          </cell>
          <cell r="D508">
            <v>1.3920310414361453E-2</v>
          </cell>
          <cell r="E508">
            <v>3.736448357061728E-2</v>
          </cell>
          <cell r="F508">
            <v>3.3390176917072134E-2</v>
          </cell>
          <cell r="G508">
            <v>2.7077350511000488E-2</v>
          </cell>
          <cell r="H508">
            <v>5.2939374833065829E-2</v>
          </cell>
          <cell r="I508">
            <v>5.4643574172277366E-2</v>
          </cell>
          <cell r="J508">
            <v>3.6480652303539196E-2</v>
          </cell>
          <cell r="K508">
            <v>3.7482292599545136E-2</v>
          </cell>
          <cell r="M508">
            <v>3.1915815703665182E-2</v>
          </cell>
          <cell r="N508">
            <v>7.8763822416031151E-2</v>
          </cell>
          <cell r="O508">
            <v>8.4651764735319185E-2</v>
          </cell>
          <cell r="P508">
            <v>0.18307230899177407</v>
          </cell>
          <cell r="Q508">
            <v>6.9583157735798123E-2</v>
          </cell>
          <cell r="R508">
            <v>5.5070402142244991E-2</v>
          </cell>
          <cell r="S508">
            <v>8.3649771901842876E-2</v>
          </cell>
          <cell r="T508">
            <v>8.3815291946667939E-2</v>
          </cell>
          <cell r="U508">
            <v>7.6484772109785409E-2</v>
          </cell>
        </row>
        <row r="509">
          <cell r="B509" t="str">
            <v>FY1</v>
          </cell>
          <cell r="D509">
            <v>0.78550963147963926</v>
          </cell>
          <cell r="E509">
            <v>0.1993717773958395</v>
          </cell>
          <cell r="F509">
            <v>0.63496384836295683</v>
          </cell>
          <cell r="G509">
            <v>3.7211925699959076E-3</v>
          </cell>
          <cell r="H509">
            <v>0.44083291573044459</v>
          </cell>
          <cell r="I509">
            <v>0.46264560175149388</v>
          </cell>
          <cell r="M509">
            <v>0.73000681957512381</v>
          </cell>
          <cell r="N509">
            <v>0</v>
          </cell>
          <cell r="O509">
            <v>0.39783823264566592</v>
          </cell>
          <cell r="P509">
            <v>0.29736306688131298</v>
          </cell>
          <cell r="Q509">
            <v>0.33916219577575579</v>
          </cell>
          <cell r="R509">
            <v>0.59587734423778893</v>
          </cell>
          <cell r="S509" t="e">
            <v>#VALUE!</v>
          </cell>
        </row>
        <row r="510">
          <cell r="B510" t="str">
            <v>Free Cash Flow/Share</v>
          </cell>
          <cell r="D510">
            <v>0.86406059462760387</v>
          </cell>
          <cell r="E510">
            <v>0.2309150600599611</v>
          </cell>
          <cell r="F510">
            <v>0.63496384836295727</v>
          </cell>
          <cell r="G510">
            <v>0</v>
          </cell>
          <cell r="H510">
            <v>0.47713743550384785</v>
          </cell>
          <cell r="I510">
            <v>0.53528137752412319</v>
          </cell>
          <cell r="M510">
            <v>0.78806017555813523</v>
          </cell>
          <cell r="N510">
            <v>0</v>
          </cell>
          <cell r="O510">
            <v>0.41521422924591944</v>
          </cell>
          <cell r="P510">
            <v>0.3270077479111474</v>
          </cell>
          <cell r="Q510">
            <v>0.38380166486551759</v>
          </cell>
          <cell r="R510">
            <v>0.62236453288448068</v>
          </cell>
          <cell r="S510" t="e">
            <v>#VALUE!</v>
          </cell>
        </row>
        <row r="511">
          <cell r="B511" t="str">
            <v>FY(2)</v>
          </cell>
          <cell r="C511">
            <v>4.2490893744343969</v>
          </cell>
          <cell r="D511">
            <v>5.9336071944043516</v>
          </cell>
          <cell r="E511">
            <v>3.8593027116768126</v>
          </cell>
          <cell r="F511">
            <v>3.5063074111764871</v>
          </cell>
          <cell r="G511">
            <v>0.92162447683014992</v>
          </cell>
          <cell r="H511">
            <v>2.4313646589537625</v>
          </cell>
          <cell r="I511">
            <v>2.4224043308428991</v>
          </cell>
          <cell r="M511">
            <v>1.9864993498901917</v>
          </cell>
          <cell r="N511">
            <v>0.53651925286588464</v>
          </cell>
          <cell r="O511">
            <v>0.74994933720719081</v>
          </cell>
          <cell r="P511">
            <v>1.3917469975301837</v>
          </cell>
          <cell r="Q511">
            <v>0.55059964786060023</v>
          </cell>
          <cell r="R511">
            <v>-0.2062102633864612</v>
          </cell>
          <cell r="S511">
            <v>0.36341394076755845</v>
          </cell>
        </row>
        <row r="512">
          <cell r="B512" t="str">
            <v>FY(1)</v>
          </cell>
          <cell r="C512">
            <v>0.66934487847434565</v>
          </cell>
          <cell r="D512">
            <v>-0.52880762759395628</v>
          </cell>
          <cell r="E512">
            <v>0.98456427596844054</v>
          </cell>
          <cell r="F512">
            <v>0.12026764068028728</v>
          </cell>
          <cell r="G512">
            <v>-1.0056528994258165</v>
          </cell>
          <cell r="H512">
            <v>1.2780636112935091</v>
          </cell>
          <cell r="I512">
            <v>1.23638882545138</v>
          </cell>
          <cell r="M512">
            <v>0.83853069698528215</v>
          </cell>
          <cell r="N512">
            <v>0.97641608460597462</v>
          </cell>
          <cell r="O512">
            <v>-1.71460916649805E-2</v>
          </cell>
          <cell r="P512">
            <v>1.7177598894128945</v>
          </cell>
          <cell r="Q512">
            <v>1.1941585535465924</v>
          </cell>
          <cell r="R512">
            <v>0.21755144514839858</v>
          </cell>
          <cell r="S512">
            <v>0.6887105598096076</v>
          </cell>
        </row>
        <row r="513">
          <cell r="B513" t="str">
            <v>FY0</v>
          </cell>
          <cell r="C513">
            <v>2.22514657980456</v>
          </cell>
          <cell r="D513">
            <v>-0.18569894782048532</v>
          </cell>
          <cell r="E513">
            <v>2.0053510121936782</v>
          </cell>
          <cell r="F513">
            <v>1.209105394946506</v>
          </cell>
          <cell r="G513">
            <v>-0.23070050291294525</v>
          </cell>
          <cell r="H513">
            <v>3.1587622369933528</v>
          </cell>
          <cell r="I513">
            <v>2.4579735903402469</v>
          </cell>
          <cell r="M513">
            <v>0.70946813838531597</v>
          </cell>
          <cell r="N513">
            <v>2.1590778497348424</v>
          </cell>
          <cell r="O513">
            <v>0.57791712897425107</v>
          </cell>
          <cell r="P513">
            <v>1.7179904182789754</v>
          </cell>
          <cell r="Q513">
            <v>1.6370221904080173</v>
          </cell>
          <cell r="R513">
            <v>1.2441904732759017</v>
          </cell>
          <cell r="S513">
            <v>0.84400480291871405</v>
          </cell>
        </row>
        <row r="514">
          <cell r="B514" t="str">
            <v>FY1</v>
          </cell>
          <cell r="C514">
            <v>2.1951450951174922</v>
          </cell>
          <cell r="D514">
            <v>0.74603456631500475</v>
          </cell>
          <cell r="E514">
            <v>2.1955124058266442</v>
          </cell>
          <cell r="F514">
            <v>1.4328531067238148</v>
          </cell>
          <cell r="G514">
            <v>-9.0055927496579119E-2</v>
          </cell>
          <cell r="H514">
            <v>3.5734863855257211</v>
          </cell>
          <cell r="I514">
            <v>2.9684399163408011</v>
          </cell>
          <cell r="M514">
            <v>0.74223864787224936</v>
          </cell>
          <cell r="N514">
            <v>2.3366848582764055</v>
          </cell>
          <cell r="O514">
            <v>1.0447714364107594</v>
          </cell>
          <cell r="P514">
            <v>2.0554148784630577</v>
          </cell>
          <cell r="Q514">
            <v>1.2998429620665346</v>
          </cell>
          <cell r="R514">
            <v>1.4451999331855581</v>
          </cell>
          <cell r="S514">
            <v>1.0344969730953626</v>
          </cell>
        </row>
        <row r="515">
          <cell r="B515" t="str">
            <v>FY2</v>
          </cell>
          <cell r="C515">
            <v>2.3970045054472342</v>
          </cell>
          <cell r="D515">
            <v>1.067257525113209</v>
          </cell>
          <cell r="E515">
            <v>2.1712447937658159</v>
          </cell>
          <cell r="F515">
            <v>1.4389650502363978</v>
          </cell>
          <cell r="G515">
            <v>0.48361756194990174</v>
          </cell>
          <cell r="H515">
            <v>3.7535223162014</v>
          </cell>
          <cell r="I515">
            <v>3.260057704660106</v>
          </cell>
          <cell r="M515">
            <v>1.3127786118715399</v>
          </cell>
          <cell r="N515">
            <v>2.5241314071906578</v>
          </cell>
          <cell r="O515">
            <v>1.291288849083452</v>
          </cell>
          <cell r="P515">
            <v>2.2381603419179101</v>
          </cell>
          <cell r="Q515">
            <v>1.5436247730291666</v>
          </cell>
          <cell r="R515">
            <v>1.6420317539906257</v>
          </cell>
          <cell r="S515">
            <v>1.2551492139054254</v>
          </cell>
        </row>
        <row r="517">
          <cell r="A517" t="str">
            <v>mstag:fundsUsedToRepurchaseCommonStock</v>
          </cell>
          <cell r="B517" t="str">
            <v>Capex</v>
          </cell>
        </row>
        <row r="518">
          <cell r="B518" t="str">
            <v>FY(5)</v>
          </cell>
          <cell r="C518">
            <v>889.59799999999996</v>
          </cell>
          <cell r="D518">
            <v>398</v>
          </cell>
          <cell r="E518">
            <v>548</v>
          </cell>
          <cell r="F518">
            <v>246.851</v>
          </cell>
          <cell r="G518">
            <v>96.013000000000005</v>
          </cell>
          <cell r="H518">
            <v>149.541</v>
          </cell>
          <cell r="I518">
            <v>429.13299999999998</v>
          </cell>
          <cell r="J518">
            <v>393.87657142857142</v>
          </cell>
          <cell r="K518">
            <v>2757.136</v>
          </cell>
          <cell r="M518">
            <v>185.065</v>
          </cell>
          <cell r="N518">
            <v>46.677</v>
          </cell>
          <cell r="O518">
            <v>97.287999999999997</v>
          </cell>
          <cell r="P518">
            <v>67.692999999999998</v>
          </cell>
          <cell r="Q518">
            <v>419</v>
          </cell>
          <cell r="R518">
            <v>431</v>
          </cell>
          <cell r="S518">
            <v>75.141000000000005</v>
          </cell>
          <cell r="T518">
            <v>188.8377142857143</v>
          </cell>
          <cell r="U518">
            <v>1321.864</v>
          </cell>
        </row>
        <row r="519">
          <cell r="B519" t="str">
            <v>FY(4)</v>
          </cell>
          <cell r="C519">
            <v>828.09500000000003</v>
          </cell>
          <cell r="D519">
            <v>535</v>
          </cell>
          <cell r="E519">
            <v>656</v>
          </cell>
          <cell r="F519">
            <v>271.65899999999999</v>
          </cell>
          <cell r="G519">
            <v>130.124</v>
          </cell>
          <cell r="H519">
            <v>175.851</v>
          </cell>
          <cell r="I519">
            <v>495.94799999999998</v>
          </cell>
          <cell r="J519">
            <v>441.81099999999998</v>
          </cell>
          <cell r="K519">
            <v>3092.6769999999997</v>
          </cell>
          <cell r="M519">
            <v>256.42200000000003</v>
          </cell>
          <cell r="N519">
            <v>58.289000000000001</v>
          </cell>
          <cell r="O519">
            <v>81.545000000000002</v>
          </cell>
          <cell r="P519">
            <v>94.591999999999999</v>
          </cell>
          <cell r="Q519">
            <v>600</v>
          </cell>
          <cell r="R519">
            <v>480</v>
          </cell>
          <cell r="S519">
            <v>127.73</v>
          </cell>
          <cell r="T519">
            <v>242.654</v>
          </cell>
          <cell r="U519">
            <v>1698.578</v>
          </cell>
        </row>
        <row r="520">
          <cell r="B520" t="str">
            <v>FY(3)</v>
          </cell>
          <cell r="C520">
            <v>1163.0920000000001</v>
          </cell>
          <cell r="D520">
            <v>772</v>
          </cell>
          <cell r="E520">
            <v>1392</v>
          </cell>
          <cell r="F520">
            <v>264.43700000000001</v>
          </cell>
          <cell r="G520">
            <v>123.679</v>
          </cell>
          <cell r="H520">
            <v>223.95500000000001</v>
          </cell>
          <cell r="I520">
            <v>378.01100000000002</v>
          </cell>
          <cell r="J520">
            <v>616.73914285714284</v>
          </cell>
          <cell r="K520">
            <v>4317.174</v>
          </cell>
          <cell r="M520">
            <v>403.476</v>
          </cell>
          <cell r="N520">
            <v>44.948999999999998</v>
          </cell>
          <cell r="O520">
            <v>225.93899999999999</v>
          </cell>
          <cell r="P520">
            <v>133.876</v>
          </cell>
          <cell r="Q520">
            <v>572</v>
          </cell>
          <cell r="R520">
            <v>548</v>
          </cell>
          <cell r="S520">
            <v>212.029</v>
          </cell>
          <cell r="T520">
            <v>305.75271428571432</v>
          </cell>
          <cell r="U520">
            <v>2140.2690000000002</v>
          </cell>
        </row>
        <row r="521">
          <cell r="B521" t="str">
            <v>FY(2)</v>
          </cell>
          <cell r="C521">
            <v>1541.683</v>
          </cell>
          <cell r="D521">
            <v>1243</v>
          </cell>
          <cell r="E521">
            <v>1105</v>
          </cell>
          <cell r="F521">
            <v>501</v>
          </cell>
          <cell r="G521">
            <v>136.726</v>
          </cell>
          <cell r="H521">
            <v>236.12100000000001</v>
          </cell>
          <cell r="I521">
            <v>526.98699999999997</v>
          </cell>
          <cell r="J521">
            <v>755.78814285714282</v>
          </cell>
          <cell r="K521">
            <v>5290.5169999999998</v>
          </cell>
          <cell r="M521">
            <v>403.34500000000003</v>
          </cell>
          <cell r="N521">
            <v>82.305999999999997</v>
          </cell>
          <cell r="O521">
            <v>250.40700000000001</v>
          </cell>
          <cell r="P521">
            <v>140.87200000000001</v>
          </cell>
          <cell r="Q521">
            <v>682</v>
          </cell>
          <cell r="R521">
            <v>749</v>
          </cell>
          <cell r="S521">
            <v>115.37</v>
          </cell>
          <cell r="T521">
            <v>346.18571428571431</v>
          </cell>
          <cell r="U521">
            <v>2423.3000000000002</v>
          </cell>
        </row>
        <row r="522">
          <cell r="A522" t="str">
            <v>mstag:capitalExpenditures</v>
          </cell>
          <cell r="B522" t="str">
            <v>FY(1)</v>
          </cell>
          <cell r="C522">
            <v>1014</v>
          </cell>
          <cell r="D522">
            <v>969</v>
          </cell>
          <cell r="E522">
            <v>897</v>
          </cell>
          <cell r="F522">
            <v>563</v>
          </cell>
          <cell r="G522">
            <v>127.30500000000001</v>
          </cell>
          <cell r="H522">
            <v>224.41800000000001</v>
          </cell>
          <cell r="I522">
            <v>582.93200000000002</v>
          </cell>
          <cell r="J522">
            <v>625.37928571428563</v>
          </cell>
          <cell r="K522">
            <v>4377.6549999999997</v>
          </cell>
          <cell r="M522">
            <v>367.60199999999998</v>
          </cell>
          <cell r="N522">
            <v>83.034999999999997</v>
          </cell>
          <cell r="O522">
            <v>265.33499999999998</v>
          </cell>
          <cell r="P522">
            <v>174.72</v>
          </cell>
          <cell r="Q522">
            <v>431</v>
          </cell>
          <cell r="R522">
            <v>479</v>
          </cell>
          <cell r="S522">
            <v>112.553</v>
          </cell>
          <cell r="T522">
            <v>273.32071428571425</v>
          </cell>
          <cell r="U522">
            <v>1913.2449999999999</v>
          </cell>
        </row>
        <row r="523">
          <cell r="B523" t="str">
            <v>FY0</v>
          </cell>
          <cell r="C523">
            <v>666</v>
          </cell>
          <cell r="D523">
            <v>600</v>
          </cell>
          <cell r="E523">
            <v>460</v>
          </cell>
          <cell r="F523">
            <v>360</v>
          </cell>
          <cell r="G523">
            <v>74.576999999999998</v>
          </cell>
          <cell r="H523">
            <v>158.48699999999999</v>
          </cell>
          <cell r="I523">
            <v>429.3</v>
          </cell>
          <cell r="J523">
            <v>392.62342857142863</v>
          </cell>
          <cell r="K523">
            <v>2748.3640000000005</v>
          </cell>
          <cell r="M523">
            <v>175.47200000000001</v>
          </cell>
          <cell r="N523">
            <v>53.883000000000003</v>
          </cell>
          <cell r="O523">
            <v>127.419</v>
          </cell>
          <cell r="P523">
            <v>137.029</v>
          </cell>
          <cell r="Q523">
            <v>334</v>
          </cell>
          <cell r="R523">
            <v>202</v>
          </cell>
          <cell r="S523">
            <v>119.162038443713</v>
          </cell>
          <cell r="T523">
            <v>164.13786263481614</v>
          </cell>
          <cell r="U523">
            <v>1148.965038443713</v>
          </cell>
        </row>
        <row r="524">
          <cell r="B524" t="str">
            <v>FY1</v>
          </cell>
          <cell r="C524">
            <v>907.58838587964101</v>
          </cell>
          <cell r="D524">
            <v>516.37928113343298</v>
          </cell>
          <cell r="E524">
            <v>565.12585635259802</v>
          </cell>
          <cell r="F524">
            <v>455.23699236309801</v>
          </cell>
          <cell r="G524">
            <v>77.761425590910207</v>
          </cell>
          <cell r="H524">
            <v>216.66670210473899</v>
          </cell>
          <cell r="I524">
            <v>471.33063965813898</v>
          </cell>
          <cell r="J524">
            <v>458.58418329750833</v>
          </cell>
          <cell r="K524">
            <v>3210.0892830825583</v>
          </cell>
          <cell r="M524">
            <v>252.64958018246</v>
          </cell>
          <cell r="N524">
            <v>79.400220215663794</v>
          </cell>
          <cell r="O524">
            <v>104.611932148604</v>
          </cell>
          <cell r="P524">
            <v>109.483966350592</v>
          </cell>
          <cell r="Q524">
            <v>588.34474706810602</v>
          </cell>
          <cell r="R524">
            <v>273.32239281791698</v>
          </cell>
          <cell r="S524">
            <v>148.61906341465499</v>
          </cell>
          <cell r="T524">
            <v>222.34741459971397</v>
          </cell>
          <cell r="U524">
            <v>1556.4319021979977</v>
          </cell>
          <cell r="W524">
            <v>4766.521185280556</v>
          </cell>
        </row>
        <row r="525">
          <cell r="B525" t="str">
            <v>FY2</v>
          </cell>
          <cell r="C525">
            <v>1083.4152741635201</v>
          </cell>
          <cell r="D525">
            <v>545.95290120724496</v>
          </cell>
          <cell r="E525">
            <v>705.395843567165</v>
          </cell>
          <cell r="F525">
            <v>533.07692763290902</v>
          </cell>
          <cell r="G525">
            <v>36.653496169259</v>
          </cell>
          <cell r="H525">
            <v>234.750554079805</v>
          </cell>
          <cell r="I525">
            <v>525.90098383666202</v>
          </cell>
          <cell r="J525">
            <v>523.59228295093794</v>
          </cell>
          <cell r="K525">
            <v>3665.1459806565654</v>
          </cell>
          <cell r="M525">
            <v>269.53895223304102</v>
          </cell>
          <cell r="N525">
            <v>89.868208191571199</v>
          </cell>
          <cell r="O525">
            <v>109.075496451026</v>
          </cell>
          <cell r="P525">
            <v>139.387978389967</v>
          </cell>
          <cell r="Q525">
            <v>513.33336615648602</v>
          </cell>
          <cell r="R525">
            <v>320.49644583297498</v>
          </cell>
          <cell r="S525">
            <v>169.55707228555099</v>
          </cell>
          <cell r="T525">
            <v>230.17964564865957</v>
          </cell>
          <cell r="U525">
            <v>1611.2575195406171</v>
          </cell>
          <cell r="W525">
            <v>5276.4035001971824</v>
          </cell>
          <cell r="X525">
            <v>0.10697158264840789</v>
          </cell>
        </row>
        <row r="526">
          <cell r="B526" t="str">
            <v>Last Reported Q</v>
          </cell>
          <cell r="C526" t="str">
            <v>NA</v>
          </cell>
          <cell r="D526" t="str">
            <v>NA</v>
          </cell>
          <cell r="E526">
            <v>0</v>
          </cell>
          <cell r="F526">
            <v>0</v>
          </cell>
          <cell r="G526" t="str">
            <v>NA</v>
          </cell>
          <cell r="H526">
            <v>75.445999999999998</v>
          </cell>
          <cell r="I526">
            <v>293.8</v>
          </cell>
          <cell r="J526">
            <v>92.311499999999995</v>
          </cell>
          <cell r="K526">
            <v>369.24599999999998</v>
          </cell>
          <cell r="M526">
            <v>0</v>
          </cell>
          <cell r="N526">
            <v>20</v>
          </cell>
          <cell r="O526">
            <v>3.5000000000000003E-2</v>
          </cell>
          <cell r="P526" t="str">
            <v>NA</v>
          </cell>
          <cell r="Q526">
            <v>61</v>
          </cell>
          <cell r="R526" t="str">
            <v>NA</v>
          </cell>
          <cell r="S526">
            <v>0</v>
          </cell>
          <cell r="T526">
            <v>16.207000000000001</v>
          </cell>
          <cell r="U526">
            <v>81.034999999999997</v>
          </cell>
        </row>
        <row r="527">
          <cell r="B527" t="str">
            <v>Capex/Sales</v>
          </cell>
          <cell r="C527">
            <v>0</v>
          </cell>
          <cell r="D527">
            <v>0</v>
          </cell>
          <cell r="E527">
            <v>1</v>
          </cell>
          <cell r="F527">
            <v>0</v>
          </cell>
          <cell r="G527">
            <v>0</v>
          </cell>
          <cell r="H527">
            <v>298.41300000000001</v>
          </cell>
          <cell r="I527">
            <v>614.49799999999993</v>
          </cell>
          <cell r="J527">
            <v>130.55871428571427</v>
          </cell>
          <cell r="K527">
            <v>913.91099999999994</v>
          </cell>
          <cell r="M527">
            <v>0</v>
          </cell>
          <cell r="N527">
            <v>33.474000000000004</v>
          </cell>
          <cell r="O527">
            <v>0.2479999999999998</v>
          </cell>
          <cell r="P527">
            <v>0</v>
          </cell>
          <cell r="Q527">
            <v>218</v>
          </cell>
          <cell r="R527">
            <v>0</v>
          </cell>
          <cell r="S527">
            <v>0</v>
          </cell>
          <cell r="T527">
            <v>35.960285714285718</v>
          </cell>
          <cell r="U527">
            <v>251.72200000000001</v>
          </cell>
          <cell r="W527">
            <v>0.14175826821147752</v>
          </cell>
        </row>
        <row r="528">
          <cell r="B528" t="str">
            <v>FY(2)</v>
          </cell>
          <cell r="C528">
            <v>9.3584501356707955E-2</v>
          </cell>
          <cell r="D528">
            <v>6.2585186091487152E-2</v>
          </cell>
          <cell r="E528">
            <v>4.1994451411849654E-2</v>
          </cell>
          <cell r="F528">
            <v>5.6752441770975236E-2</v>
          </cell>
          <cell r="G528">
            <v>4.188097100041567E-2</v>
          </cell>
          <cell r="H528">
            <v>3.9516756894985482E-2</v>
          </cell>
          <cell r="I528">
            <v>2.8739427092928149E-2</v>
          </cell>
          <cell r="J528">
            <v>5.2150533659907031E-2</v>
          </cell>
          <cell r="K528">
            <v>5.3411503037065926E-2</v>
          </cell>
          <cell r="M528">
            <v>0.10902229828935447</v>
          </cell>
          <cell r="N528">
            <v>5.1987672934840759E-2</v>
          </cell>
          <cell r="O528">
            <v>8.1955044463623491E-2</v>
          </cell>
          <cell r="P528">
            <v>5.3923204831009597E-2</v>
          </cell>
          <cell r="Q528">
            <v>4.3265875785066292E-2</v>
          </cell>
          <cell r="R528">
            <v>7.4259195127486383E-2</v>
          </cell>
          <cell r="S528">
            <v>7.6519309900220475E-2</v>
          </cell>
          <cell r="T528">
            <v>7.0133228761657368E-2</v>
          </cell>
          <cell r="U528">
            <v>6.3258771447465792E-2</v>
          </cell>
        </row>
        <row r="529">
          <cell r="B529" t="str">
            <v>FY(1)</v>
          </cell>
          <cell r="C529">
            <v>6.1871144494139323E-2</v>
          </cell>
          <cell r="D529">
            <v>5.2416704966716285E-2</v>
          </cell>
          <cell r="E529">
            <v>3.6035674112164552E-2</v>
          </cell>
          <cell r="F529">
            <v>6.7904957182487027E-2</v>
          </cell>
          <cell r="G529">
            <v>4.1919557125583824E-2</v>
          </cell>
          <cell r="H529">
            <v>3.4599628530933429E-2</v>
          </cell>
          <cell r="I529">
            <v>3.0681430910963207E-2</v>
          </cell>
          <cell r="J529">
            <v>4.6489871046141093E-2</v>
          </cell>
          <cell r="K529">
            <v>4.5326299240674772E-2</v>
          </cell>
          <cell r="M529">
            <v>0.10550975486336762</v>
          </cell>
          <cell r="N529">
            <v>4.4037992480632775E-2</v>
          </cell>
          <cell r="O529">
            <v>8.8775927064119339E-2</v>
          </cell>
          <cell r="P529">
            <v>5.4930320046454352E-2</v>
          </cell>
          <cell r="Q529">
            <v>2.9670934875395842E-2</v>
          </cell>
          <cell r="R529">
            <v>5.2970898849801627E-2</v>
          </cell>
          <cell r="S529">
            <v>6.1349556147383272E-2</v>
          </cell>
          <cell r="T529">
            <v>6.2463626332450693E-2</v>
          </cell>
          <cell r="U529">
            <v>5.1789835122335176E-2</v>
          </cell>
        </row>
        <row r="530">
          <cell r="B530" t="str">
            <v>FY0</v>
          </cell>
          <cell r="C530">
            <v>3.8772777551376841E-2</v>
          </cell>
          <cell r="D530">
            <v>3.4173469997037909E-2</v>
          </cell>
          <cell r="E530">
            <v>1.9583634892928605E-2</v>
          </cell>
          <cell r="F530">
            <v>4.359409057883265E-2</v>
          </cell>
          <cell r="G530">
            <v>2.8402603486295135E-2</v>
          </cell>
          <cell r="H530">
            <v>2.206045394255432E-2</v>
          </cell>
          <cell r="I530">
            <v>2.115982871825952E-2</v>
          </cell>
          <cell r="J530">
            <v>2.9678122738183571E-2</v>
          </cell>
          <cell r="K530">
            <v>2.8456909994136789E-2</v>
          </cell>
          <cell r="M530">
            <v>5.9916172265141496E-2</v>
          </cell>
          <cell r="N530">
            <v>2.4161642613240185E-2</v>
          </cell>
          <cell r="O530">
            <v>4.2607098742107656E-2</v>
          </cell>
          <cell r="P530">
            <v>4.2417693040141556E-2</v>
          </cell>
          <cell r="Q530">
            <v>2.3526097062759738E-2</v>
          </cell>
          <cell r="R530">
            <v>2.3399843139962396E-2</v>
          </cell>
          <cell r="S530">
            <v>6.149299001386252E-2</v>
          </cell>
          <cell r="T530">
            <v>3.9645933839602229E-2</v>
          </cell>
          <cell r="U530">
            <v>3.1785808544811306E-2</v>
          </cell>
        </row>
        <row r="531">
          <cell r="B531" t="str">
            <v>FY1</v>
          </cell>
          <cell r="C531">
            <v>4.906384536712001E-2</v>
          </cell>
          <cell r="D531">
            <v>2.9000000000000019E-2</v>
          </cell>
          <cell r="E531">
            <v>2.3024470937356083E-2</v>
          </cell>
          <cell r="F531">
            <v>5.0970015246604841E-2</v>
          </cell>
          <cell r="G531">
            <v>2.8406073555532135E-2</v>
          </cell>
          <cell r="H531">
            <v>2.7764038492343043E-2</v>
          </cell>
          <cell r="I531">
            <v>2.1369574682242889E-2</v>
          </cell>
          <cell r="J531">
            <v>3.2799716897314146E-2</v>
          </cell>
          <cell r="K531">
            <v>3.1355313033391612E-2</v>
          </cell>
          <cell r="M531">
            <v>7.9882941077226516E-2</v>
          </cell>
          <cell r="N531">
            <v>3.2671433838796095E-2</v>
          </cell>
          <cell r="O531">
            <v>3.500000000000001E-2</v>
          </cell>
          <cell r="P531">
            <v>3.1496204389433645E-2</v>
          </cell>
          <cell r="Q531">
            <v>4.1852106209232701E-2</v>
          </cell>
          <cell r="R531">
            <v>3.0000000000000061E-2</v>
          </cell>
          <cell r="S531">
            <v>6.5716719965351583E-2</v>
          </cell>
          <cell r="T531">
            <v>4.5231343640005806E-2</v>
          </cell>
          <cell r="U531">
            <v>4.1518146381270146E-2</v>
          </cell>
        </row>
        <row r="532">
          <cell r="B532" t="str">
            <v>FY2</v>
          </cell>
          <cell r="C532">
            <v>5.4063845367119855E-2</v>
          </cell>
          <cell r="D532">
            <v>0.03</v>
          </cell>
          <cell r="E532">
            <v>2.8499999999999838E-2</v>
          </cell>
          <cell r="F532">
            <v>5.7000000000000065E-2</v>
          </cell>
          <cell r="G532">
            <v>1.2499999999999957E-2</v>
          </cell>
          <cell r="H532">
            <v>2.8764038492343064E-2</v>
          </cell>
          <cell r="I532">
            <v>2.2369574682242845E-2</v>
          </cell>
          <cell r="J532">
            <v>3.3313922648815095E-2</v>
          </cell>
          <cell r="K532">
            <v>3.4271596581928084E-2</v>
          </cell>
          <cell r="M532">
            <v>7.8882941077226418E-2</v>
          </cell>
          <cell r="N532">
            <v>3.2671433838796143E-2</v>
          </cell>
          <cell r="O532">
            <v>3.2999999999999953E-2</v>
          </cell>
          <cell r="P532">
            <v>3.7496204389433692E-2</v>
          </cell>
          <cell r="Q532">
            <v>3.800000000000011E-2</v>
          </cell>
          <cell r="R532">
            <v>3.3899999999999965E-2</v>
          </cell>
          <cell r="S532">
            <v>6.5716719965351306E-2</v>
          </cell>
          <cell r="T532">
            <v>4.5666757038686799E-2</v>
          </cell>
          <cell r="U532">
            <v>4.1598672627023166E-2</v>
          </cell>
        </row>
        <row r="533">
          <cell r="B533" t="str">
            <v>FY1</v>
          </cell>
          <cell r="C533">
            <v>0</v>
          </cell>
          <cell r="D533">
            <v>182.945193171608</v>
          </cell>
          <cell r="E533">
            <v>85.1</v>
          </cell>
          <cell r="F533">
            <v>139.1936024</v>
          </cell>
          <cell r="G533">
            <v>0.54100000000000004</v>
          </cell>
          <cell r="H533">
            <v>355.01931090619053</v>
          </cell>
          <cell r="I533">
            <v>823.37161142857099</v>
          </cell>
          <cell r="J533">
            <v>226.59581684376707</v>
          </cell>
          <cell r="K533">
            <v>1586.1707179063694</v>
          </cell>
          <cell r="M533">
            <v>64.431664990000002</v>
          </cell>
          <cell r="N533">
            <v>88.472999999999999</v>
          </cell>
          <cell r="O533">
            <v>83.486885200000003</v>
          </cell>
          <cell r="P533">
            <v>95.706649923605795</v>
          </cell>
          <cell r="Q533">
            <v>492.82129880369598</v>
          </cell>
          <cell r="R533">
            <v>194.73504270000001</v>
          </cell>
          <cell r="S533">
            <v>0</v>
          </cell>
          <cell r="T533">
            <v>145.6649345167574</v>
          </cell>
          <cell r="U533">
            <v>1019.6545416173018</v>
          </cell>
        </row>
        <row r="534">
          <cell r="A534" t="str">
            <v>mstag:averageDilutedSharesOutstanding</v>
          </cell>
          <cell r="B534" t="str">
            <v>Shares</v>
          </cell>
          <cell r="C534">
            <v>0</v>
          </cell>
          <cell r="D534">
            <v>205.90563969975801</v>
          </cell>
          <cell r="E534">
            <v>97.307606309267598</v>
          </cell>
          <cell r="F534">
            <v>286.66186174613699</v>
          </cell>
          <cell r="G534">
            <v>0</v>
          </cell>
          <cell r="H534">
            <v>307.96242645149999</v>
          </cell>
          <cell r="I534">
            <v>923.40618542842799</v>
          </cell>
          <cell r="J534">
            <v>260.17767423358436</v>
          </cell>
          <cell r="K534">
            <v>1821.2437196350907</v>
          </cell>
          <cell r="M534">
            <v>265.18449312984052</v>
          </cell>
          <cell r="N534">
            <v>175.375337620886</v>
          </cell>
          <cell r="O534">
            <v>139.4917100024507</v>
          </cell>
          <cell r="P534">
            <v>102.025034707074</v>
          </cell>
          <cell r="Q534">
            <v>1424.371796259763</v>
          </cell>
          <cell r="R534">
            <v>200</v>
          </cell>
          <cell r="S534">
            <v>0</v>
          </cell>
          <cell r="T534">
            <v>329.49262453143058</v>
          </cell>
          <cell r="U534">
            <v>2306.4483717200142</v>
          </cell>
        </row>
        <row r="535">
          <cell r="B535" t="str">
            <v>FY(2)</v>
          </cell>
          <cell r="C535">
            <v>320.17824999999999</v>
          </cell>
          <cell r="D535">
            <v>225.17500000000001</v>
          </cell>
          <cell r="E535">
            <v>451.75</v>
          </cell>
          <cell r="F535">
            <v>248.85724999999999</v>
          </cell>
          <cell r="G535">
            <v>153.53</v>
          </cell>
          <cell r="H535">
            <v>137.12950000000001</v>
          </cell>
          <cell r="I535">
            <v>468.04599999999999</v>
          </cell>
          <cell r="J535">
            <v>49.120571428571417</v>
          </cell>
          <cell r="K535">
            <v>343.84399999999994</v>
          </cell>
          <cell r="M535">
            <v>91.522999999999996</v>
          </cell>
          <cell r="N535">
            <v>112.26900000000001</v>
          </cell>
          <cell r="O535">
            <v>220.28</v>
          </cell>
          <cell r="P535">
            <v>377.35599999999999</v>
          </cell>
          <cell r="Q535">
            <v>793.86175000000003</v>
          </cell>
          <cell r="R535">
            <v>380.23025000000001</v>
          </cell>
          <cell r="S535">
            <v>169.63592499999999</v>
          </cell>
          <cell r="T535">
            <v>36.599857142857147</v>
          </cell>
          <cell r="U535">
            <v>256.19900000000001</v>
          </cell>
        </row>
        <row r="536">
          <cell r="B536" t="str">
            <v>FY(1)</v>
          </cell>
          <cell r="C536">
            <v>306.6225</v>
          </cell>
          <cell r="D536">
            <v>222.875</v>
          </cell>
          <cell r="E536">
            <v>421.42500000000001</v>
          </cell>
          <cell r="F536">
            <v>219.02500000000001</v>
          </cell>
          <cell r="G536">
            <v>138.38399999999999</v>
          </cell>
          <cell r="H536">
            <v>131.25524999999999</v>
          </cell>
          <cell r="I536">
            <v>442.255</v>
          </cell>
          <cell r="J536">
            <v>44.920142857142864</v>
          </cell>
          <cell r="K536">
            <v>314.44100000000003</v>
          </cell>
          <cell r="M536">
            <v>89.290999999999997</v>
          </cell>
          <cell r="N536">
            <v>101.364</v>
          </cell>
          <cell r="O536">
            <v>207.58199999999999</v>
          </cell>
          <cell r="P536">
            <v>360.25900000000001</v>
          </cell>
          <cell r="Q536">
            <v>719</v>
          </cell>
          <cell r="R536">
            <v>337.30099999999999</v>
          </cell>
          <cell r="S536">
            <v>170.85694175</v>
          </cell>
          <cell r="T536">
            <v>26.853857142857144</v>
          </cell>
          <cell r="U536">
            <v>187.977</v>
          </cell>
        </row>
        <row r="537">
          <cell r="B537" t="str">
            <v>FY0</v>
          </cell>
          <cell r="C537">
            <v>307</v>
          </cell>
          <cell r="D537">
            <v>232.85</v>
          </cell>
          <cell r="E537">
            <v>422.35</v>
          </cell>
          <cell r="F537">
            <v>219.65</v>
          </cell>
          <cell r="G537">
            <v>146.84450000000001</v>
          </cell>
          <cell r="H537">
            <v>125.05625000000001</v>
          </cell>
          <cell r="I537">
            <v>427.38150000000002</v>
          </cell>
          <cell r="J537">
            <v>57.513714285714286</v>
          </cell>
          <cell r="K537">
            <v>402.596</v>
          </cell>
          <cell r="M537">
            <v>88.354749999999996</v>
          </cell>
          <cell r="N537">
            <v>101.02475</v>
          </cell>
          <cell r="O537">
            <v>209.096</v>
          </cell>
          <cell r="P537">
            <v>325.62</v>
          </cell>
          <cell r="Q537">
            <v>698.5</v>
          </cell>
          <cell r="R537">
            <v>326.76499999999999</v>
          </cell>
          <cell r="S537">
            <v>171.22537274999999</v>
          </cell>
          <cell r="T537">
            <v>22.394714285714286</v>
          </cell>
          <cell r="U537">
            <v>156.76300000000001</v>
          </cell>
        </row>
        <row r="538">
          <cell r="B538" t="str">
            <v>FY1</v>
          </cell>
          <cell r="C538">
            <v>310.13471428571398</v>
          </cell>
          <cell r="D538">
            <v>237.3</v>
          </cell>
          <cell r="E538">
            <v>425.93</v>
          </cell>
          <cell r="F538">
            <v>222.02064300000001</v>
          </cell>
          <cell r="G538">
            <v>152.07075</v>
          </cell>
          <cell r="H538">
            <v>121.417319545455</v>
          </cell>
          <cell r="I538">
            <v>411.01945454545398</v>
          </cell>
          <cell r="J538">
            <v>76.682999999999993</v>
          </cell>
          <cell r="K538">
            <v>536.78099999999995</v>
          </cell>
          <cell r="M538">
            <v>86.994340425531902</v>
          </cell>
          <cell r="N538">
            <v>94.206304765520699</v>
          </cell>
          <cell r="O538">
            <v>214.43594377777799</v>
          </cell>
          <cell r="P538">
            <v>317.67435087815102</v>
          </cell>
          <cell r="Q538">
            <v>656.23828581818202</v>
          </cell>
          <cell r="R538">
            <v>322.06326548148098</v>
          </cell>
          <cell r="S538">
            <v>172.42198500000001</v>
          </cell>
          <cell r="T538">
            <v>32.55565</v>
          </cell>
          <cell r="U538">
            <v>227.88954999999999</v>
          </cell>
        </row>
        <row r="539">
          <cell r="B539" t="str">
            <v>FY2</v>
          </cell>
          <cell r="C539">
            <v>301.21385487113298</v>
          </cell>
          <cell r="D539">
            <v>237.363325395462</v>
          </cell>
          <cell r="E539">
            <v>425.93</v>
          </cell>
          <cell r="F539">
            <v>217.01187766065601</v>
          </cell>
          <cell r="G539">
            <v>164.17593426128801</v>
          </cell>
          <cell r="H539">
            <v>115.105631233766</v>
          </cell>
          <cell r="I539">
            <v>394.05792611882902</v>
          </cell>
          <cell r="J539">
            <v>228.23742857142858</v>
          </cell>
          <cell r="K539">
            <v>1597.662</v>
          </cell>
          <cell r="M539">
            <v>83.071661626235098</v>
          </cell>
          <cell r="N539">
            <v>85.832687672587596</v>
          </cell>
          <cell r="O539">
            <v>216.68351600604399</v>
          </cell>
          <cell r="P539">
            <v>304.067129634504</v>
          </cell>
          <cell r="Q539">
            <v>608.94531141072105</v>
          </cell>
          <cell r="R539">
            <v>317.07369672823501</v>
          </cell>
          <cell r="S539">
            <v>171.952871551062</v>
          </cell>
          <cell r="T539">
            <v>118.40407857142857</v>
          </cell>
          <cell r="U539">
            <v>828.82854999999995</v>
          </cell>
        </row>
        <row r="540">
          <cell r="B540" t="str">
            <v>FQ(3)</v>
          </cell>
          <cell r="C540">
            <v>306</v>
          </cell>
          <cell r="D540">
            <v>222.7</v>
          </cell>
          <cell r="E540">
            <v>421.4</v>
          </cell>
          <cell r="F540">
            <v>217.4</v>
          </cell>
          <cell r="G540">
            <v>138.297</v>
          </cell>
          <cell r="H540">
            <v>126.56399999999999</v>
          </cell>
          <cell r="I540">
            <v>431.798</v>
          </cell>
          <cell r="M540">
            <v>87.697000000000003</v>
          </cell>
          <cell r="N540">
            <v>101.685</v>
          </cell>
          <cell r="O540">
            <v>207.286</v>
          </cell>
          <cell r="P540">
            <v>321.35500000000002</v>
          </cell>
          <cell r="Q540">
            <v>697</v>
          </cell>
          <cell r="R540">
            <v>323.28500000000003</v>
          </cell>
          <cell r="S540">
            <v>170.31670800000001</v>
          </cell>
        </row>
        <row r="541">
          <cell r="B541" t="str">
            <v>FQ(2)</v>
          </cell>
          <cell r="C541">
            <v>306</v>
          </cell>
          <cell r="D541">
            <v>233.8</v>
          </cell>
          <cell r="E541">
            <v>422.1</v>
          </cell>
          <cell r="F541">
            <v>218.8</v>
          </cell>
          <cell r="G541">
            <v>138.32499999999999</v>
          </cell>
          <cell r="H541">
            <v>125.658</v>
          </cell>
          <cell r="I541">
            <v>430.45299999999997</v>
          </cell>
          <cell r="M541">
            <v>87.878</v>
          </cell>
          <cell r="N541">
            <v>102.4455</v>
          </cell>
          <cell r="O541">
            <v>209.01499999999999</v>
          </cell>
          <cell r="P541">
            <v>320.512</v>
          </cell>
          <cell r="Q541">
            <v>700</v>
          </cell>
          <cell r="R541">
            <v>325.697</v>
          </cell>
          <cell r="S541">
            <v>170.71927400000001</v>
          </cell>
        </row>
        <row r="542">
          <cell r="B542" t="str">
            <v>FQ(1)</v>
          </cell>
          <cell r="C542">
            <v>308</v>
          </cell>
          <cell r="D542">
            <v>237.6</v>
          </cell>
          <cell r="E542">
            <v>421.8</v>
          </cell>
          <cell r="F542">
            <v>220.7</v>
          </cell>
          <cell r="G542">
            <v>152.45599999999999</v>
          </cell>
          <cell r="H542">
            <v>124.648</v>
          </cell>
          <cell r="I542">
            <v>428.09199999999998</v>
          </cell>
          <cell r="J542">
            <v>5.9822026995043656</v>
          </cell>
          <cell r="K542">
            <v>1.0740709902116266</v>
          </cell>
          <cell r="M542">
            <v>88.73</v>
          </cell>
          <cell r="N542">
            <v>101.98650000000001</v>
          </cell>
          <cell r="O542">
            <v>209.393</v>
          </cell>
          <cell r="P542">
            <v>321.11500000000001</v>
          </cell>
          <cell r="Q542">
            <v>704</v>
          </cell>
          <cell r="R542">
            <v>328.25900000000001</v>
          </cell>
          <cell r="S542">
            <v>171.44390200000001</v>
          </cell>
          <cell r="T542">
            <v>0.54803252730191898</v>
          </cell>
          <cell r="U542">
            <v>0.62421656550496152</v>
          </cell>
        </row>
        <row r="543">
          <cell r="B543" t="str">
            <v>Last Reported Q</v>
          </cell>
          <cell r="C543">
            <v>307</v>
          </cell>
          <cell r="D543">
            <v>232.85</v>
          </cell>
          <cell r="E543">
            <v>422.35</v>
          </cell>
          <cell r="F543">
            <v>219.65</v>
          </cell>
          <cell r="G543">
            <v>146.84450000000001</v>
          </cell>
          <cell r="H543">
            <v>125.05625000000001</v>
          </cell>
          <cell r="I543">
            <v>427.38150000000002</v>
          </cell>
          <cell r="J543">
            <v>1.2055641241313226</v>
          </cell>
          <cell r="K543">
            <v>1.345688514126187</v>
          </cell>
          <cell r="M543">
            <v>88.354749999999996</v>
          </cell>
          <cell r="N543">
            <v>101.02475</v>
          </cell>
          <cell r="O543">
            <v>209.096</v>
          </cell>
          <cell r="P543">
            <v>321.38099999999997</v>
          </cell>
          <cell r="Q543">
            <v>698.5</v>
          </cell>
          <cell r="R543">
            <v>326.76499999999999</v>
          </cell>
          <cell r="S543">
            <v>171.22537274999999</v>
          </cell>
          <cell r="T543">
            <v>0.98358433469455953</v>
          </cell>
          <cell r="U543">
            <v>1.0261221323087046</v>
          </cell>
        </row>
        <row r="544">
          <cell r="B544" t="str">
            <v>LTM</v>
          </cell>
          <cell r="C544">
            <v>306.75</v>
          </cell>
          <cell r="D544">
            <v>231.73750000000001</v>
          </cell>
          <cell r="E544">
            <v>421.91250000000002</v>
          </cell>
          <cell r="F544">
            <v>219.13750000000002</v>
          </cell>
          <cell r="G544">
            <v>143.980625</v>
          </cell>
          <cell r="H544">
            <v>125.4815625</v>
          </cell>
          <cell r="I544">
            <v>429.43112499999995</v>
          </cell>
          <cell r="J544">
            <v>0.53601675902895107</v>
          </cell>
          <cell r="K544">
            <v>0.53144082268673543</v>
          </cell>
          <cell r="M544">
            <v>88.164937500000008</v>
          </cell>
          <cell r="N544">
            <v>101.78543749999999</v>
          </cell>
          <cell r="O544">
            <v>208.69749999999999</v>
          </cell>
          <cell r="P544">
            <v>321.09074999999996</v>
          </cell>
          <cell r="Q544">
            <v>699.875</v>
          </cell>
          <cell r="R544">
            <v>326.00149999999996</v>
          </cell>
          <cell r="S544">
            <v>170.9263141875</v>
          </cell>
          <cell r="T544">
            <v>0.33995816525749134</v>
          </cell>
          <cell r="U544">
            <v>0.48329425673440402</v>
          </cell>
        </row>
        <row r="545">
          <cell r="B545" t="str">
            <v>FY1</v>
          </cell>
          <cell r="C545">
            <v>0</v>
          </cell>
          <cell r="D545">
            <v>0.75886991644161217</v>
          </cell>
          <cell r="E545">
            <v>0.13544901852545316</v>
          </cell>
          <cell r="F545">
            <v>0.3501044562658292</v>
          </cell>
          <cell r="G545">
            <v>-7.8789507472054546E-3</v>
          </cell>
          <cell r="H545">
            <v>0.83723039615621164</v>
          </cell>
          <cell r="I545">
            <v>0.71266152001253269</v>
          </cell>
          <cell r="J545">
            <v>0.39806233666491903</v>
          </cell>
          <cell r="K545">
            <v>0.42529092369424204</v>
          </cell>
          <cell r="M545">
            <v>0.72421096097612114</v>
          </cell>
          <cell r="N545">
            <v>0.40902156005660512</v>
          </cell>
          <cell r="O545">
            <v>0.53922669551942037</v>
          </cell>
          <cell r="P545">
            <v>0.13932993511019859</v>
          </cell>
          <cell r="Q545">
            <v>0.45705508052969995</v>
          </cell>
          <cell r="R545">
            <v>0.5372637429287398</v>
          </cell>
          <cell r="S545">
            <v>0</v>
          </cell>
          <cell r="T545">
            <v>0.40087256787439784</v>
          </cell>
          <cell r="U545">
            <v>0.36417724611131913</v>
          </cell>
        </row>
        <row r="546">
          <cell r="B546" t="str">
            <v>Dividends</v>
          </cell>
          <cell r="C546">
            <v>0</v>
          </cell>
          <cell r="D546">
            <v>0.56460161768085815</v>
          </cell>
          <cell r="E546">
            <v>0.17369223170512707</v>
          </cell>
          <cell r="F546">
            <v>0.65325836349800881</v>
          </cell>
          <cell r="G546">
            <v>0</v>
          </cell>
          <cell r="H546">
            <v>0.71527012076771046</v>
          </cell>
          <cell r="I546">
            <v>0.70968320578337618</v>
          </cell>
          <cell r="J546">
            <v>0.40235793420501148</v>
          </cell>
          <cell r="K546">
            <v>0.43866553937993219</v>
          </cell>
          <cell r="M546">
            <v>1.9999999999999738</v>
          </cell>
          <cell r="N546">
            <v>0.79999999999998717</v>
          </cell>
          <cell r="O546">
            <v>0.7000000000000085</v>
          </cell>
          <cell r="P546">
            <v>0.13879332235659583</v>
          </cell>
          <cell r="Q546">
            <v>1.3200000000000276</v>
          </cell>
          <cell r="R546">
            <v>0.48792508469895424</v>
          </cell>
          <cell r="S546">
            <v>0</v>
          </cell>
          <cell r="T546">
            <v>0.77810262957936394</v>
          </cell>
          <cell r="U546">
            <v>0.75795426630354901</v>
          </cell>
        </row>
        <row r="547">
          <cell r="B547" t="str">
            <v>FY(2)</v>
          </cell>
          <cell r="C547" t="str">
            <v>NA</v>
          </cell>
          <cell r="D547">
            <v>174</v>
          </cell>
          <cell r="E547">
            <v>230</v>
          </cell>
          <cell r="F547">
            <v>134</v>
          </cell>
          <cell r="G547">
            <v>7.43</v>
          </cell>
          <cell r="H547">
            <v>40.637999999999998</v>
          </cell>
          <cell r="I547">
            <v>151.49199999999999</v>
          </cell>
          <cell r="J547">
            <v>122.92666666666666</v>
          </cell>
          <cell r="K547">
            <v>737.56</v>
          </cell>
          <cell r="M547">
            <v>61.33</v>
          </cell>
          <cell r="N547">
            <v>0</v>
          </cell>
          <cell r="O547">
            <v>80.796000000000006</v>
          </cell>
          <cell r="P547">
            <v>0</v>
          </cell>
          <cell r="Q547">
            <v>252</v>
          </cell>
          <cell r="R547">
            <v>227</v>
          </cell>
          <cell r="S547" t="str">
            <v>NA</v>
          </cell>
          <cell r="T547">
            <v>103.521</v>
          </cell>
          <cell r="U547">
            <v>621.12599999999998</v>
          </cell>
        </row>
        <row r="548">
          <cell r="A548" t="str">
            <v>mstag:cashDividendsPaid</v>
          </cell>
          <cell r="B548" t="str">
            <v>FY(1)</v>
          </cell>
          <cell r="C548" t="str">
            <v>NA</v>
          </cell>
          <cell r="D548">
            <v>178</v>
          </cell>
          <cell r="E548">
            <v>221</v>
          </cell>
          <cell r="F548">
            <v>138</v>
          </cell>
          <cell r="G548">
            <v>1.1830000000000001</v>
          </cell>
          <cell r="H548">
            <v>49.838000000000001</v>
          </cell>
          <cell r="I548">
            <v>176.749</v>
          </cell>
          <cell r="J548">
            <v>127.46166666666666</v>
          </cell>
          <cell r="K548">
            <v>764.77</v>
          </cell>
          <cell r="M548">
            <v>60.768999999999998</v>
          </cell>
          <cell r="N548">
            <v>0</v>
          </cell>
          <cell r="O548">
            <v>82.394000000000005</v>
          </cell>
          <cell r="P548">
            <v>0</v>
          </cell>
          <cell r="Q548">
            <v>243</v>
          </cell>
          <cell r="R548">
            <v>201</v>
          </cell>
          <cell r="S548" t="str">
            <v>NA</v>
          </cell>
          <cell r="T548">
            <v>97.860500000000002</v>
          </cell>
          <cell r="U548">
            <v>587.16300000000001</v>
          </cell>
        </row>
        <row r="549">
          <cell r="B549" t="str">
            <v>FY0</v>
          </cell>
          <cell r="C549" t="str">
            <v>NA</v>
          </cell>
          <cell r="D549">
            <v>183</v>
          </cell>
          <cell r="E549">
            <v>84</v>
          </cell>
          <cell r="F549">
            <v>139</v>
          </cell>
          <cell r="G549">
            <v>0.78100000000000003</v>
          </cell>
          <cell r="H549">
            <v>55.201999999999998</v>
          </cell>
          <cell r="I549">
            <v>197.7</v>
          </cell>
          <cell r="J549">
            <v>109.94716666666666</v>
          </cell>
          <cell r="K549">
            <v>659.68299999999999</v>
          </cell>
          <cell r="M549">
            <v>61.5</v>
          </cell>
          <cell r="N549">
            <v>0</v>
          </cell>
          <cell r="O549">
            <v>82.984999999999999</v>
          </cell>
          <cell r="P549">
            <v>0</v>
          </cell>
          <cell r="Q549">
            <v>234</v>
          </cell>
          <cell r="R549">
            <v>193</v>
          </cell>
          <cell r="S549" t="str">
            <v>NA</v>
          </cell>
          <cell r="T549">
            <v>95.247500000000002</v>
          </cell>
          <cell r="U549">
            <v>571.48500000000001</v>
          </cell>
        </row>
        <row r="550">
          <cell r="B550" t="str">
            <v>FY1</v>
          </cell>
          <cell r="C550" t="str">
            <v>NA</v>
          </cell>
          <cell r="D550">
            <v>188.775411841813</v>
          </cell>
          <cell r="E550">
            <v>85.186000000000007</v>
          </cell>
          <cell r="F550">
            <v>142.09321152000001</v>
          </cell>
          <cell r="G550">
            <v>0</v>
          </cell>
          <cell r="H550">
            <v>77.707084509090905</v>
          </cell>
          <cell r="I550">
            <v>197.28933818181801</v>
          </cell>
          <cell r="J550">
            <v>115.17517434212033</v>
          </cell>
          <cell r="K550">
            <v>691.05104605272197</v>
          </cell>
          <cell r="M550">
            <v>64.343897021276604</v>
          </cell>
          <cell r="N550">
            <v>0</v>
          </cell>
          <cell r="O550">
            <v>90.0630963866667</v>
          </cell>
          <cell r="P550">
            <v>94.252655263445405</v>
          </cell>
          <cell r="Q550">
            <v>262.49531432727298</v>
          </cell>
          <cell r="R550">
            <v>518.07900254814797</v>
          </cell>
          <cell r="S550" t="str">
            <v>NA</v>
          </cell>
          <cell r="T550">
            <v>171.53899425780162</v>
          </cell>
          <cell r="U550">
            <v>1029.2339655468097</v>
          </cell>
        </row>
        <row r="551">
          <cell r="B551" t="str">
            <v>FY2</v>
          </cell>
          <cell r="C551" t="str">
            <v>NA</v>
          </cell>
          <cell r="D551">
            <v>207.70836687078599</v>
          </cell>
          <cell r="E551">
            <v>96.910411835832903</v>
          </cell>
          <cell r="F551">
            <v>151.06358340229599</v>
          </cell>
          <cell r="G551">
            <v>0</v>
          </cell>
          <cell r="H551">
            <v>81.592438734545496</v>
          </cell>
          <cell r="I551">
            <v>213.29758054177</v>
          </cell>
          <cell r="J551">
            <v>125.09539689753841</v>
          </cell>
          <cell r="K551">
            <v>750.57238138523041</v>
          </cell>
          <cell r="M551">
            <v>68.188106938637006</v>
          </cell>
          <cell r="N551">
            <v>0</v>
          </cell>
          <cell r="O551">
            <v>98.400875799278495</v>
          </cell>
          <cell r="P551">
            <v>99.137817779386296</v>
          </cell>
          <cell r="Q551">
            <v>262.348142727675</v>
          </cell>
          <cell r="R551">
            <v>200</v>
          </cell>
          <cell r="S551" t="str">
            <v>NA</v>
          </cell>
          <cell r="T551">
            <v>121.3458238741628</v>
          </cell>
          <cell r="U551">
            <v>728.07494324497679</v>
          </cell>
        </row>
        <row r="552">
          <cell r="B552" t="str">
            <v>FQ(3)</v>
          </cell>
          <cell r="C552" t="str">
            <v>NA</v>
          </cell>
          <cell r="D552">
            <v>89</v>
          </cell>
          <cell r="E552">
            <v>21</v>
          </cell>
          <cell r="F552">
            <v>35</v>
          </cell>
          <cell r="G552">
            <v>0.47099999999999997</v>
          </cell>
          <cell r="H552">
            <v>13.967000000000001</v>
          </cell>
          <cell r="I552">
            <v>45.408000000000001</v>
          </cell>
          <cell r="J552">
            <v>34.140999999999998</v>
          </cell>
          <cell r="K552">
            <v>204.846</v>
          </cell>
          <cell r="M552">
            <v>15.337999999999999</v>
          </cell>
          <cell r="N552">
            <v>0</v>
          </cell>
          <cell r="O552">
            <v>20.638999999999999</v>
          </cell>
          <cell r="P552">
            <v>0</v>
          </cell>
          <cell r="Q552">
            <v>59</v>
          </cell>
          <cell r="R552">
            <v>48</v>
          </cell>
          <cell r="S552" t="str">
            <v>NA</v>
          </cell>
          <cell r="T552">
            <v>23.829499999999999</v>
          </cell>
          <cell r="U552">
            <v>142.977</v>
          </cell>
        </row>
        <row r="553">
          <cell r="A553" t="str">
            <v>Modelware DuPont (Non-lease Adjusted)ROIC</v>
          </cell>
          <cell r="B553" t="str">
            <v>FQ(2)</v>
          </cell>
          <cell r="C553" t="str">
            <v>NA</v>
          </cell>
          <cell r="D553">
            <v>0</v>
          </cell>
          <cell r="E553">
            <v>21</v>
          </cell>
          <cell r="F553">
            <v>34</v>
          </cell>
          <cell r="G553">
            <v>7.0000000000000104E-2</v>
          </cell>
          <cell r="H553">
            <v>13.858000000000001</v>
          </cell>
          <cell r="I553">
            <v>51.192</v>
          </cell>
          <cell r="J553">
            <v>20.02</v>
          </cell>
          <cell r="K553">
            <v>120.12</v>
          </cell>
          <cell r="M553">
            <v>15.374000000000001</v>
          </cell>
          <cell r="N553">
            <v>0</v>
          </cell>
          <cell r="O553">
            <v>20.721</v>
          </cell>
          <cell r="P553">
            <v>0</v>
          </cell>
          <cell r="Q553">
            <v>59</v>
          </cell>
          <cell r="R553">
            <v>48</v>
          </cell>
          <cell r="S553" t="str">
            <v>NA</v>
          </cell>
          <cell r="T553">
            <v>23.849166666666665</v>
          </cell>
          <cell r="U553">
            <v>143.095</v>
          </cell>
        </row>
        <row r="554">
          <cell r="B554" t="str">
            <v>FQ(1)</v>
          </cell>
          <cell r="C554" t="str">
            <v>NA</v>
          </cell>
          <cell r="D554">
            <v>47</v>
          </cell>
          <cell r="E554">
            <v>21</v>
          </cell>
          <cell r="F554">
            <v>35</v>
          </cell>
          <cell r="G554">
            <v>0.24</v>
          </cell>
          <cell r="H554">
            <v>13.734999999999999</v>
          </cell>
          <cell r="I554">
            <v>50.802999999999997</v>
          </cell>
          <cell r="J554">
            <v>27.962999999999997</v>
          </cell>
          <cell r="K554">
            <v>167.77799999999999</v>
          </cell>
          <cell r="M554">
            <v>15.391999999999999</v>
          </cell>
          <cell r="N554">
            <v>0</v>
          </cell>
          <cell r="O554">
            <v>20.757000000000001</v>
          </cell>
          <cell r="P554">
            <v>23.843</v>
          </cell>
          <cell r="Q554">
            <v>60</v>
          </cell>
          <cell r="R554">
            <v>49</v>
          </cell>
          <cell r="S554" t="str">
            <v>NA</v>
          </cell>
          <cell r="T554">
            <v>28.165333333333336</v>
          </cell>
          <cell r="U554">
            <v>168.99200000000002</v>
          </cell>
        </row>
        <row r="555">
          <cell r="B555" t="str">
            <v>Last Reported Q</v>
          </cell>
          <cell r="C555" t="str">
            <v>NA</v>
          </cell>
          <cell r="D555">
            <v>183</v>
          </cell>
          <cell r="E555">
            <v>84</v>
          </cell>
          <cell r="F555">
            <v>139</v>
          </cell>
          <cell r="G555">
            <v>0.78100000000000003</v>
          </cell>
          <cell r="H555">
            <v>55.201999999999998</v>
          </cell>
          <cell r="I555">
            <v>197.7</v>
          </cell>
          <cell r="J555">
            <v>109.94716666666666</v>
          </cell>
          <cell r="K555">
            <v>659.68299999999999</v>
          </cell>
          <cell r="M555">
            <v>61.5</v>
          </cell>
          <cell r="N555">
            <v>0</v>
          </cell>
          <cell r="O555">
            <v>82.984999999999999</v>
          </cell>
          <cell r="P555">
            <v>23.882999999999999</v>
          </cell>
          <cell r="Q555">
            <v>234</v>
          </cell>
          <cell r="R555">
            <v>193</v>
          </cell>
          <cell r="S555" t="str">
            <v>NA</v>
          </cell>
          <cell r="T555">
            <v>99.228000000000009</v>
          </cell>
          <cell r="U555">
            <v>595.36800000000005</v>
          </cell>
        </row>
        <row r="556">
          <cell r="B556" t="str">
            <v>LTM</v>
          </cell>
          <cell r="C556">
            <v>0</v>
          </cell>
          <cell r="D556">
            <v>319</v>
          </cell>
          <cell r="E556">
            <v>147</v>
          </cell>
          <cell r="F556">
            <v>243</v>
          </cell>
          <cell r="G556">
            <v>1.5620000000000001</v>
          </cell>
          <cell r="H556">
            <v>96.762</v>
          </cell>
          <cell r="I556">
            <v>345.10299999999995</v>
          </cell>
          <cell r="J556">
            <v>164.63242857142859</v>
          </cell>
          <cell r="K556">
            <v>1152.4270000000001</v>
          </cell>
          <cell r="M556">
            <v>107.604</v>
          </cell>
          <cell r="N556">
            <v>0</v>
          </cell>
          <cell r="O556">
            <v>145.102</v>
          </cell>
          <cell r="P556">
            <v>47.725999999999999</v>
          </cell>
          <cell r="Q556">
            <v>412</v>
          </cell>
          <cell r="R556">
            <v>338</v>
          </cell>
          <cell r="S556">
            <v>0</v>
          </cell>
          <cell r="T556">
            <v>150.06171428571429</v>
          </cell>
          <cell r="U556">
            <v>1050.432</v>
          </cell>
        </row>
        <row r="558">
          <cell r="A558" t="str">
            <v>Modelware DuPont (Non-lease Adjusted)ROE</v>
          </cell>
          <cell r="B558" t="str">
            <v>Dividends/Share</v>
          </cell>
        </row>
        <row r="559">
          <cell r="B559" t="str">
            <v>FY(2)</v>
          </cell>
          <cell r="D559">
            <v>0.77273231930720543</v>
          </cell>
          <cell r="E559">
            <v>0.50913115661317099</v>
          </cell>
          <cell r="F559">
            <v>0.53846130663261771</v>
          </cell>
          <cell r="G559">
            <v>4.8394450595974726E-2</v>
          </cell>
          <cell r="H559">
            <v>0.29634761302272666</v>
          </cell>
          <cell r="I559">
            <v>0.32366904107715905</v>
          </cell>
          <cell r="M559">
            <v>0.67010478240442295</v>
          </cell>
          <cell r="N559">
            <v>0</v>
          </cell>
          <cell r="O559">
            <v>0.3667877247140004</v>
          </cell>
          <cell r="P559">
            <v>0</v>
          </cell>
          <cell r="Q559">
            <v>0.31743562402395631</v>
          </cell>
          <cell r="R559">
            <v>0.59700668213536401</v>
          </cell>
          <cell r="S559" t="e">
            <v>#VALUE!</v>
          </cell>
        </row>
        <row r="560">
          <cell r="B560" t="str">
            <v>FY(1)</v>
          </cell>
          <cell r="D560">
            <v>0.79865395401009531</v>
          </cell>
          <cell r="E560">
            <v>0.52441122382393068</v>
          </cell>
          <cell r="F560">
            <v>0.63006506106608828</v>
          </cell>
          <cell r="G560">
            <v>8.5486761475315077E-3</v>
          </cell>
          <cell r="H560">
            <v>0.37970290712181043</v>
          </cell>
          <cell r="I560">
            <v>0.39965404574284064</v>
          </cell>
          <cell r="M560">
            <v>0.68057251010740161</v>
          </cell>
          <cell r="N560">
            <v>0</v>
          </cell>
          <cell r="O560">
            <v>0.39692266188783232</v>
          </cell>
          <cell r="P560">
            <v>0</v>
          </cell>
          <cell r="Q560">
            <v>0.33796940194714881</v>
          </cell>
          <cell r="R560">
            <v>0.59590691993204881</v>
          </cell>
          <cell r="S560" t="e">
            <v>#VALUE!</v>
          </cell>
        </row>
        <row r="561">
          <cell r="B561" t="str">
            <v>FY0</v>
          </cell>
          <cell r="D561">
            <v>0.78591367833369119</v>
          </cell>
          <cell r="E561">
            <v>0.19888717888007576</v>
          </cell>
          <cell r="F561">
            <v>0.63282494878215345</v>
          </cell>
          <cell r="G561">
            <v>5.3185512566013707E-3</v>
          </cell>
          <cell r="H561">
            <v>0.44141736218701583</v>
          </cell>
          <cell r="I561">
            <v>0.46258436549078513</v>
          </cell>
          <cell r="M561">
            <v>0.69605765394616592</v>
          </cell>
          <cell r="N561">
            <v>0</v>
          </cell>
          <cell r="O561">
            <v>0.39687511956230631</v>
          </cell>
          <cell r="P561">
            <v>0</v>
          </cell>
          <cell r="Q561">
            <v>0.33500357909806727</v>
          </cell>
          <cell r="R561">
            <v>0.59063853227854879</v>
          </cell>
          <cell r="S561" t="e">
            <v>#VALUE!</v>
          </cell>
        </row>
        <row r="562">
          <cell r="B562" t="str">
            <v>FY1</v>
          </cell>
          <cell r="D562">
            <v>0.79551374564607247</v>
          </cell>
          <cell r="E562">
            <v>0.2</v>
          </cell>
          <cell r="F562">
            <v>0.64</v>
          </cell>
          <cell r="G562">
            <v>0</v>
          </cell>
          <cell r="H562">
            <v>0.63999999999999757</v>
          </cell>
          <cell r="I562">
            <v>0.48000000000000026</v>
          </cell>
          <cell r="M562">
            <v>0.7396331382770317</v>
          </cell>
          <cell r="N562">
            <v>0</v>
          </cell>
          <cell r="O562">
            <v>0.41999999999999976</v>
          </cell>
          <cell r="P562">
            <v>0.29669583018868745</v>
          </cell>
          <cell r="Q562">
            <v>0.40000000000000024</v>
          </cell>
          <cell r="R562">
            <v>1.6086249444612246</v>
          </cell>
          <cell r="S562" t="e">
            <v>#VALUE!</v>
          </cell>
        </row>
        <row r="563">
          <cell r="A563" t="str">
            <v>Modelware DuPont (Lease Adjusted)ROIC</v>
          </cell>
          <cell r="B563" t="str">
            <v>FY2</v>
          </cell>
          <cell r="D563">
            <v>0.87506512021067695</v>
          </cell>
          <cell r="E563">
            <v>0.22752661666431784</v>
          </cell>
          <cell r="F563">
            <v>0.69610744366036903</v>
          </cell>
          <cell r="G563">
            <v>0</v>
          </cell>
          <cell r="H563">
            <v>0.70884836701725606</v>
          </cell>
          <cell r="I563">
            <v>0.54128483759377466</v>
          </cell>
          <cell r="M563">
            <v>0.82083475403966555</v>
          </cell>
          <cell r="N563">
            <v>0</v>
          </cell>
          <cell r="O563">
            <v>0.45412257292582325</v>
          </cell>
          <cell r="P563">
            <v>0.32603924632877068</v>
          </cell>
          <cell r="Q563">
            <v>0.43082381588570373</v>
          </cell>
          <cell r="R563">
            <v>0.63076818438024118</v>
          </cell>
          <cell r="S563" t="e">
            <v>#VALUE!</v>
          </cell>
        </row>
        <row r="564">
          <cell r="B564" t="str">
            <v>FQ(3)</v>
          </cell>
          <cell r="D564">
            <v>0.39964077233947015</v>
          </cell>
          <cell r="E564">
            <v>4.9833887043189369E-2</v>
          </cell>
          <cell r="F564">
            <v>0.16099356025758968</v>
          </cell>
          <cell r="G564">
            <v>3.4057137898869821E-3</v>
          </cell>
          <cell r="H564">
            <v>0.11035523529597675</v>
          </cell>
          <cell r="I564">
            <v>0.10516028328060806</v>
          </cell>
          <cell r="M564">
            <v>0.17489765898491394</v>
          </cell>
          <cell r="N564">
            <v>0</v>
          </cell>
          <cell r="O564">
            <v>9.9567746977605814E-2</v>
          </cell>
          <cell r="P564">
            <v>0</v>
          </cell>
          <cell r="Q564">
            <v>8.4648493543758974E-2</v>
          </cell>
          <cell r="R564">
            <v>0.14847580308396616</v>
          </cell>
          <cell r="S564" t="e">
            <v>#VALUE!</v>
          </cell>
        </row>
        <row r="565">
          <cell r="B565" t="str">
            <v>FQ(2)</v>
          </cell>
          <cell r="D565">
            <v>0</v>
          </cell>
          <cell r="E565">
            <v>4.9751243781094523E-2</v>
          </cell>
          <cell r="F565">
            <v>0.15539305301645337</v>
          </cell>
          <cell r="G565">
            <v>5.0605458160130209E-4</v>
          </cell>
          <cell r="H565">
            <v>0.11028346782536727</v>
          </cell>
          <cell r="I565">
            <v>0.11892587576343992</v>
          </cell>
          <cell r="M565">
            <v>0.17494708573249279</v>
          </cell>
          <cell r="N565">
            <v>0</v>
          </cell>
          <cell r="O565">
            <v>9.9136425615386464E-2</v>
          </cell>
          <cell r="P565">
            <v>0</v>
          </cell>
          <cell r="Q565">
            <v>8.4285714285714283E-2</v>
          </cell>
          <cell r="R565">
            <v>0.14737624233566782</v>
          </cell>
          <cell r="S565" t="e">
            <v>#VALUE!</v>
          </cell>
        </row>
        <row r="566">
          <cell r="B566" t="str">
            <v>FQ(1)</v>
          </cell>
          <cell r="D566">
            <v>0.19781144781144783</v>
          </cell>
          <cell r="E566">
            <v>4.9786628733997154E-2</v>
          </cell>
          <cell r="F566">
            <v>0.15858631626642503</v>
          </cell>
          <cell r="G566">
            <v>1.5742246943380386E-3</v>
          </cell>
          <cell r="H566">
            <v>0.11019029587317887</v>
          </cell>
          <cell r="I566">
            <v>0.1186730889621857</v>
          </cell>
          <cell r="M566">
            <v>0.17347007776400314</v>
          </cell>
          <cell r="N566">
            <v>0</v>
          </cell>
          <cell r="O566">
            <v>9.9129388279455388E-2</v>
          </cell>
          <cell r="P566">
            <v>7.4250657864005101E-2</v>
          </cell>
          <cell r="Q566">
            <v>8.5227272727272721E-2</v>
          </cell>
          <cell r="R566">
            <v>0.14927237333934484</v>
          </cell>
          <cell r="S566" t="e">
            <v>#VALUE!</v>
          </cell>
        </row>
        <row r="567">
          <cell r="B567" t="str">
            <v>Last Reported Q</v>
          </cell>
          <cell r="D567">
            <v>0.78591367833369119</v>
          </cell>
          <cell r="E567">
            <v>0.19888717888007576</v>
          </cell>
          <cell r="F567">
            <v>0.63282494878215345</v>
          </cell>
          <cell r="G567">
            <v>5.3185512566013707E-3</v>
          </cell>
          <cell r="H567">
            <v>0.44141736218701583</v>
          </cell>
          <cell r="I567">
            <v>0.46258436549078513</v>
          </cell>
          <cell r="M567">
            <v>0.69605765394616592</v>
          </cell>
          <cell r="N567">
            <v>0</v>
          </cell>
          <cell r="O567">
            <v>0.39687511956230631</v>
          </cell>
          <cell r="P567">
            <v>7.4313665089099853E-2</v>
          </cell>
          <cell r="Q567">
            <v>0.33500357909806727</v>
          </cell>
          <cell r="R567">
            <v>0.59063853227854879</v>
          </cell>
          <cell r="S567" t="e">
            <v>#VALUE!</v>
          </cell>
        </row>
        <row r="568">
          <cell r="A568" t="str">
            <v>Modelware DuPont (Lease Adjusted)ROE</v>
          </cell>
          <cell r="B568" t="str">
            <v>LTM</v>
          </cell>
          <cell r="C568">
            <v>0</v>
          </cell>
          <cell r="D568">
            <v>1.3765575273747235</v>
          </cell>
          <cell r="E568">
            <v>0.34841347435783482</v>
          </cell>
          <cell r="F568">
            <v>1.1088928184359135</v>
          </cell>
          <cell r="G568">
            <v>1.0848681897303892E-2</v>
          </cell>
          <cell r="H568">
            <v>0.77112524001285054</v>
          </cell>
          <cell r="I568">
            <v>0.80362828847117218</v>
          </cell>
          <cell r="M568">
            <v>1.22048518437389</v>
          </cell>
          <cell r="N568">
            <v>0</v>
          </cell>
          <cell r="O568">
            <v>0.69527426059248443</v>
          </cell>
          <cell r="P568">
            <v>0.14863710648780759</v>
          </cell>
          <cell r="Q568">
            <v>0.58867654938381853</v>
          </cell>
          <cell r="R568">
            <v>1.0368050453755582</v>
          </cell>
          <cell r="S568">
            <v>0</v>
          </cell>
        </row>
        <row r="569">
          <cell r="B569" t="str">
            <v>FY0</v>
          </cell>
        </row>
        <row r="570">
          <cell r="A570" t="str">
            <v>mstag:fundsUsedToRepurchaseCommonStock</v>
          </cell>
          <cell r="B570" t="str">
            <v>Repurchases</v>
          </cell>
        </row>
        <row r="571">
          <cell r="B571" t="str">
            <v>FY(2)</v>
          </cell>
          <cell r="C571" t="str">
            <v>NA</v>
          </cell>
          <cell r="D571" t="str">
            <v>NA</v>
          </cell>
          <cell r="E571">
            <v>3322</v>
          </cell>
          <cell r="F571">
            <v>1702</v>
          </cell>
          <cell r="G571" t="str">
            <v>NA</v>
          </cell>
          <cell r="H571">
            <v>200</v>
          </cell>
          <cell r="I571">
            <v>940.20799999999997</v>
          </cell>
          <cell r="J571">
            <v>1541.0519999999999</v>
          </cell>
          <cell r="K571">
            <v>6164.2079999999996</v>
          </cell>
          <cell r="M571">
            <v>287.916</v>
          </cell>
          <cell r="N571">
            <v>266.69200000000001</v>
          </cell>
          <cell r="O571">
            <v>450.601</v>
          </cell>
          <cell r="P571" t="str">
            <v>NA</v>
          </cell>
          <cell r="Q571">
            <v>1700</v>
          </cell>
          <cell r="R571" t="str">
            <v>NA</v>
          </cell>
          <cell r="S571">
            <v>0</v>
          </cell>
          <cell r="T571">
            <v>541.04179999999997</v>
          </cell>
          <cell r="U571">
            <v>2705.2089999999998</v>
          </cell>
        </row>
        <row r="572">
          <cell r="B572" t="str">
            <v>FY(1)</v>
          </cell>
          <cell r="C572" t="str">
            <v>NA</v>
          </cell>
          <cell r="D572" t="str">
            <v>NA</v>
          </cell>
          <cell r="E572">
            <v>1</v>
          </cell>
          <cell r="F572">
            <v>264</v>
          </cell>
          <cell r="G572" t="str">
            <v>NA</v>
          </cell>
          <cell r="H572">
            <v>300</v>
          </cell>
          <cell r="I572">
            <v>751.09699999999998</v>
          </cell>
          <cell r="J572">
            <v>329.02424999999999</v>
          </cell>
          <cell r="K572">
            <v>1316.097</v>
          </cell>
          <cell r="M572">
            <v>50</v>
          </cell>
          <cell r="N572">
            <v>6.681</v>
          </cell>
          <cell r="O572">
            <v>3.4319999999999999</v>
          </cell>
          <cell r="P572" t="str">
            <v>NA</v>
          </cell>
          <cell r="Q572">
            <v>705</v>
          </cell>
          <cell r="R572" t="str">
            <v>NA</v>
          </cell>
          <cell r="S572">
            <v>0</v>
          </cell>
          <cell r="T572">
            <v>153.02260000000001</v>
          </cell>
          <cell r="U572">
            <v>765.11300000000006</v>
          </cell>
        </row>
        <row r="573">
          <cell r="B573" t="str">
            <v>FY0</v>
          </cell>
          <cell r="C573" t="str">
            <v>NA</v>
          </cell>
          <cell r="D573" t="str">
            <v>NA</v>
          </cell>
          <cell r="E573">
            <v>1</v>
          </cell>
          <cell r="F573">
            <v>0</v>
          </cell>
          <cell r="G573" t="str">
            <v>NA</v>
          </cell>
          <cell r="H573">
            <v>300</v>
          </cell>
          <cell r="I573">
            <v>944.8</v>
          </cell>
          <cell r="J573">
            <v>311.45</v>
          </cell>
          <cell r="K573">
            <v>1245.8</v>
          </cell>
          <cell r="M573">
            <v>0</v>
          </cell>
          <cell r="N573">
            <v>174.25700000000001</v>
          </cell>
          <cell r="O573">
            <v>0.247</v>
          </cell>
          <cell r="P573" t="str">
            <v>NA</v>
          </cell>
          <cell r="Q573">
            <v>547</v>
          </cell>
          <cell r="R573" t="str">
            <v>NA</v>
          </cell>
          <cell r="S573">
            <v>0</v>
          </cell>
          <cell r="T573">
            <v>144.30080000000001</v>
          </cell>
          <cell r="U573">
            <v>721.50400000000002</v>
          </cell>
        </row>
        <row r="574">
          <cell r="B574" t="str">
            <v>FY1</v>
          </cell>
          <cell r="C574" t="str">
            <v>NA</v>
          </cell>
          <cell r="D574" t="str">
            <v>NA</v>
          </cell>
          <cell r="E574">
            <v>0</v>
          </cell>
          <cell r="F574">
            <v>0</v>
          </cell>
          <cell r="G574" t="str">
            <v>NA</v>
          </cell>
          <cell r="H574">
            <v>380</v>
          </cell>
          <cell r="I574">
            <v>700</v>
          </cell>
          <cell r="J574">
            <v>270</v>
          </cell>
          <cell r="K574">
            <v>1080</v>
          </cell>
          <cell r="M574">
            <v>200</v>
          </cell>
          <cell r="N574">
            <v>175</v>
          </cell>
          <cell r="O574">
            <v>54</v>
          </cell>
          <cell r="P574" t="str">
            <v>NA</v>
          </cell>
          <cell r="Q574">
            <v>1000</v>
          </cell>
          <cell r="R574" t="str">
            <v>NA</v>
          </cell>
          <cell r="S574">
            <v>0</v>
          </cell>
          <cell r="T574">
            <v>285.8</v>
          </cell>
          <cell r="U574">
            <v>1429</v>
          </cell>
        </row>
        <row r="575">
          <cell r="B575" t="str">
            <v>FY2</v>
          </cell>
          <cell r="C575" t="str">
            <v>NA</v>
          </cell>
          <cell r="D575" t="str">
            <v>NA</v>
          </cell>
          <cell r="E575">
            <v>0</v>
          </cell>
          <cell r="F575">
            <v>200</v>
          </cell>
          <cell r="G575" t="str">
            <v>NA</v>
          </cell>
          <cell r="H575">
            <v>380</v>
          </cell>
          <cell r="I575">
            <v>700</v>
          </cell>
          <cell r="J575">
            <v>320</v>
          </cell>
          <cell r="K575">
            <v>1280</v>
          </cell>
          <cell r="M575">
            <v>186.99280696096599</v>
          </cell>
          <cell r="N575">
            <v>204.936656106768</v>
          </cell>
          <cell r="O575">
            <v>88.082124465709697</v>
          </cell>
          <cell r="P575" t="str">
            <v>NA</v>
          </cell>
          <cell r="Q575">
            <v>1134.53939702649</v>
          </cell>
          <cell r="R575" t="str">
            <v>NA</v>
          </cell>
          <cell r="S575">
            <v>33.456420596740301</v>
          </cell>
          <cell r="T575">
            <v>329.6014810313348</v>
          </cell>
          <cell r="U575">
            <v>1648.0074051566739</v>
          </cell>
        </row>
        <row r="576">
          <cell r="B576" t="str">
            <v>FQ(3)</v>
          </cell>
          <cell r="C576" t="str">
            <v>NA</v>
          </cell>
          <cell r="D576" t="str">
            <v>NA</v>
          </cell>
          <cell r="E576">
            <v>0</v>
          </cell>
          <cell r="F576">
            <v>0</v>
          </cell>
          <cell r="G576" t="str">
            <v>NA</v>
          </cell>
          <cell r="H576">
            <v>77.171000000000006</v>
          </cell>
          <cell r="I576">
            <v>32.423999999999999</v>
          </cell>
          <cell r="J576">
            <v>27.39875</v>
          </cell>
          <cell r="K576">
            <v>109.595</v>
          </cell>
          <cell r="M576">
            <v>0</v>
          </cell>
          <cell r="N576">
            <v>0</v>
          </cell>
          <cell r="O576">
            <v>0</v>
          </cell>
          <cell r="P576" t="str">
            <v>NA</v>
          </cell>
          <cell r="Q576">
            <v>45</v>
          </cell>
          <cell r="R576" t="str">
            <v>NA</v>
          </cell>
          <cell r="S576">
            <v>0</v>
          </cell>
          <cell r="T576">
            <v>9</v>
          </cell>
          <cell r="U576">
            <v>45</v>
          </cell>
        </row>
        <row r="577">
          <cell r="B577" t="str">
            <v>FQ(2)</v>
          </cell>
          <cell r="C577" t="str">
            <v>NA</v>
          </cell>
          <cell r="D577" t="str">
            <v>NA</v>
          </cell>
          <cell r="E577">
            <v>1</v>
          </cell>
          <cell r="F577">
            <v>0</v>
          </cell>
          <cell r="G577" t="str">
            <v>NA</v>
          </cell>
          <cell r="H577">
            <v>77.2</v>
          </cell>
          <cell r="I577">
            <v>204.27600000000001</v>
          </cell>
          <cell r="J577">
            <v>70.619</v>
          </cell>
          <cell r="K577">
            <v>282.476</v>
          </cell>
          <cell r="M577">
            <v>0</v>
          </cell>
          <cell r="N577">
            <v>13.473000000000001</v>
          </cell>
          <cell r="O577">
            <v>0.19500000000000001</v>
          </cell>
          <cell r="P577" t="str">
            <v>NA</v>
          </cell>
          <cell r="Q577">
            <v>0</v>
          </cell>
          <cell r="R577" t="str">
            <v>NA</v>
          </cell>
          <cell r="S577">
            <v>0</v>
          </cell>
          <cell r="T577">
            <v>2.7336</v>
          </cell>
          <cell r="U577">
            <v>13.668000000000001</v>
          </cell>
        </row>
        <row r="578">
          <cell r="B578" t="str">
            <v>FQ(1)</v>
          </cell>
          <cell r="C578" t="str">
            <v>NA</v>
          </cell>
          <cell r="D578" t="str">
            <v>NA</v>
          </cell>
          <cell r="E578">
            <v>0</v>
          </cell>
          <cell r="F578">
            <v>0</v>
          </cell>
          <cell r="G578" t="str">
            <v>NA</v>
          </cell>
          <cell r="H578">
            <v>75.445999999999998</v>
          </cell>
          <cell r="I578">
            <v>293.80099999999999</v>
          </cell>
          <cell r="J578">
            <v>92.311749999999989</v>
          </cell>
          <cell r="K578">
            <v>369.24699999999996</v>
          </cell>
          <cell r="M578">
            <v>0</v>
          </cell>
          <cell r="N578">
            <v>49.567999999999998</v>
          </cell>
          <cell r="O578">
            <v>3.5000000000000003E-2</v>
          </cell>
          <cell r="P578" t="str">
            <v>NA</v>
          </cell>
          <cell r="Q578">
            <v>61</v>
          </cell>
          <cell r="R578" t="str">
            <v>NA</v>
          </cell>
          <cell r="S578">
            <v>0</v>
          </cell>
          <cell r="T578">
            <v>22.1206</v>
          </cell>
          <cell r="U578">
            <v>110.60299999999999</v>
          </cell>
        </row>
        <row r="579">
          <cell r="B579" t="str">
            <v>Last Reported Q</v>
          </cell>
          <cell r="C579" t="str">
            <v>NA</v>
          </cell>
          <cell r="D579" t="str">
            <v>NA</v>
          </cell>
          <cell r="E579">
            <v>1</v>
          </cell>
          <cell r="F579">
            <v>0</v>
          </cell>
          <cell r="G579" t="str">
            <v>NA</v>
          </cell>
          <cell r="H579">
            <v>300</v>
          </cell>
          <cell r="I579">
            <v>944.8</v>
          </cell>
          <cell r="J579">
            <v>311.45</v>
          </cell>
          <cell r="K579">
            <v>1245.8</v>
          </cell>
          <cell r="M579">
            <v>0</v>
          </cell>
          <cell r="N579">
            <v>174.25700000000001</v>
          </cell>
          <cell r="O579">
            <v>0.247</v>
          </cell>
          <cell r="P579" t="str">
            <v>NA</v>
          </cell>
          <cell r="Q579">
            <v>547</v>
          </cell>
          <cell r="R579" t="str">
            <v>NA</v>
          </cell>
          <cell r="S579">
            <v>0</v>
          </cell>
          <cell r="T579">
            <v>144.30080000000001</v>
          </cell>
          <cell r="U579">
            <v>721.50400000000002</v>
          </cell>
        </row>
        <row r="580">
          <cell r="B580" t="str">
            <v>LTM</v>
          </cell>
          <cell r="C580">
            <v>0</v>
          </cell>
          <cell r="D580">
            <v>0</v>
          </cell>
          <cell r="E580">
            <v>2</v>
          </cell>
          <cell r="F580">
            <v>0</v>
          </cell>
          <cell r="G580">
            <v>0</v>
          </cell>
          <cell r="H580">
            <v>529.81700000000001</v>
          </cell>
          <cell r="I580">
            <v>1475.3009999999999</v>
          </cell>
          <cell r="J580">
            <v>286.73114285714286</v>
          </cell>
          <cell r="K580">
            <v>2007.1179999999999</v>
          </cell>
          <cell r="M580">
            <v>0</v>
          </cell>
          <cell r="N580">
            <v>237.298</v>
          </cell>
          <cell r="O580">
            <v>0.47699999999999998</v>
          </cell>
          <cell r="P580">
            <v>0</v>
          </cell>
          <cell r="Q580">
            <v>653</v>
          </cell>
          <cell r="R580">
            <v>0</v>
          </cell>
          <cell r="S580">
            <v>0</v>
          </cell>
          <cell r="T580">
            <v>127.25357142857142</v>
          </cell>
          <cell r="U580">
            <v>890.77499999999998</v>
          </cell>
        </row>
        <row r="581">
          <cell r="B581" t="str">
            <v>EV/EBITDA</v>
          </cell>
        </row>
        <row r="582">
          <cell r="B582" t="str">
            <v>Repurchases &amp; Dividends</v>
          </cell>
          <cell r="C582" t="e">
            <v>#VALUE!</v>
          </cell>
          <cell r="D582" t="e">
            <v>#VALUE!</v>
          </cell>
          <cell r="E582" t="e">
            <v>#VALUE!</v>
          </cell>
          <cell r="F582" t="e">
            <v>#VALUE!</v>
          </cell>
          <cell r="G582" t="e">
            <v>#VALUE!</v>
          </cell>
          <cell r="H582" t="e">
            <v>#VALUE!</v>
          </cell>
          <cell r="I582" t="e">
            <v>#VALUE!</v>
          </cell>
          <cell r="J582" t="e">
            <v>#VALUE!</v>
          </cell>
          <cell r="M582" t="e">
            <v>#VALUE!</v>
          </cell>
          <cell r="N582" t="e">
            <v>#VALUE!</v>
          </cell>
          <cell r="O582" t="e">
            <v>#VALUE!</v>
          </cell>
          <cell r="P582" t="e">
            <v>#VALUE!</v>
          </cell>
          <cell r="Q582" t="e">
            <v>#VALUE!</v>
          </cell>
          <cell r="R582" t="e">
            <v>#VALUE!</v>
          </cell>
          <cell r="S582" t="e">
            <v>#VALUE!</v>
          </cell>
          <cell r="T582" t="e">
            <v>#VALUE!</v>
          </cell>
        </row>
        <row r="583">
          <cell r="B583" t="str">
            <v>FY(2)</v>
          </cell>
          <cell r="C583">
            <v>0</v>
          </cell>
          <cell r="D583">
            <v>174</v>
          </cell>
          <cell r="E583">
            <v>3552</v>
          </cell>
          <cell r="F583">
            <v>1836</v>
          </cell>
          <cell r="G583">
            <v>7.43</v>
          </cell>
          <cell r="H583">
            <v>240.63800000000001</v>
          </cell>
          <cell r="I583">
            <v>1091.7</v>
          </cell>
          <cell r="J583">
            <v>985.96685714285718</v>
          </cell>
          <cell r="K583">
            <v>6901.768</v>
          </cell>
          <cell r="M583">
            <v>349.24599999999998</v>
          </cell>
          <cell r="N583">
            <v>266.69200000000001</v>
          </cell>
          <cell r="O583">
            <v>531.39700000000005</v>
          </cell>
          <cell r="P583">
            <v>0</v>
          </cell>
          <cell r="Q583">
            <v>1952</v>
          </cell>
          <cell r="R583">
            <v>227</v>
          </cell>
          <cell r="S583">
            <v>0</v>
          </cell>
          <cell r="T583">
            <v>475.19071428571431</v>
          </cell>
          <cell r="U583">
            <v>3326.335</v>
          </cell>
        </row>
        <row r="584">
          <cell r="B584" t="str">
            <v>FY(1)</v>
          </cell>
          <cell r="C584">
            <v>0</v>
          </cell>
          <cell r="D584">
            <v>178</v>
          </cell>
          <cell r="E584">
            <v>222</v>
          </cell>
          <cell r="F584">
            <v>402</v>
          </cell>
          <cell r="G584">
            <v>1.1830000000000001</v>
          </cell>
          <cell r="H584">
            <v>349.83800000000002</v>
          </cell>
          <cell r="I584">
            <v>927.846</v>
          </cell>
          <cell r="J584">
            <v>297.26671428571433</v>
          </cell>
          <cell r="K584">
            <v>2080.8670000000002</v>
          </cell>
          <cell r="M584">
            <v>110.76900000000001</v>
          </cell>
          <cell r="N584">
            <v>6.681</v>
          </cell>
          <cell r="O584">
            <v>85.826000000000008</v>
          </cell>
          <cell r="P584">
            <v>0</v>
          </cell>
          <cell r="Q584">
            <v>948</v>
          </cell>
          <cell r="R584">
            <v>201</v>
          </cell>
          <cell r="S584">
            <v>0</v>
          </cell>
          <cell r="T584">
            <v>193.18228571428571</v>
          </cell>
          <cell r="U584">
            <v>1352.2760000000001</v>
          </cell>
        </row>
        <row r="585">
          <cell r="B585" t="str">
            <v>FY0</v>
          </cell>
          <cell r="C585">
            <v>0</v>
          </cell>
          <cell r="D585">
            <v>183</v>
          </cell>
          <cell r="E585">
            <v>85</v>
          </cell>
          <cell r="F585">
            <v>139</v>
          </cell>
          <cell r="G585">
            <v>0.78100000000000003</v>
          </cell>
          <cell r="H585">
            <v>355.202</v>
          </cell>
          <cell r="I585">
            <v>1142.5</v>
          </cell>
          <cell r="J585">
            <v>272.21185714285713</v>
          </cell>
          <cell r="K585">
            <v>1905.4829999999999</v>
          </cell>
          <cell r="M585">
            <v>61.5</v>
          </cell>
          <cell r="N585">
            <v>174.25700000000001</v>
          </cell>
          <cell r="O585">
            <v>83.231999999999999</v>
          </cell>
          <cell r="P585">
            <v>0</v>
          </cell>
          <cell r="Q585">
            <v>781</v>
          </cell>
          <cell r="R585">
            <v>193</v>
          </cell>
          <cell r="S585">
            <v>0</v>
          </cell>
          <cell r="T585">
            <v>184.7127142857143</v>
          </cell>
          <cell r="U585">
            <v>1292.989</v>
          </cell>
        </row>
        <row r="586">
          <cell r="B586" t="str">
            <v>FY1</v>
          </cell>
          <cell r="C586">
            <v>0</v>
          </cell>
          <cell r="D586">
            <v>188.775411841813</v>
          </cell>
          <cell r="E586">
            <v>85.186000000000007</v>
          </cell>
          <cell r="F586">
            <v>142.09321152000001</v>
          </cell>
          <cell r="G586">
            <v>0</v>
          </cell>
          <cell r="H586">
            <v>457.70708450909092</v>
          </cell>
          <cell r="I586">
            <v>897.28933818181804</v>
          </cell>
          <cell r="J586">
            <v>253.00729229324602</v>
          </cell>
          <cell r="K586">
            <v>1771.0510460527221</v>
          </cell>
          <cell r="M586">
            <v>264.34389702127658</v>
          </cell>
          <cell r="N586">
            <v>175</v>
          </cell>
          <cell r="O586">
            <v>144.0630963866667</v>
          </cell>
          <cell r="P586">
            <v>94.252655263445405</v>
          </cell>
          <cell r="Q586">
            <v>1262.495314327273</v>
          </cell>
          <cell r="R586">
            <v>518.07900254814797</v>
          </cell>
          <cell r="S586">
            <v>0</v>
          </cell>
          <cell r="T586">
            <v>351.17628079240137</v>
          </cell>
          <cell r="U586">
            <v>2458.2339655468095</v>
          </cell>
        </row>
        <row r="587">
          <cell r="B587" t="str">
            <v>FY2</v>
          </cell>
          <cell r="C587">
            <v>0</v>
          </cell>
          <cell r="D587">
            <v>207.70836687078599</v>
          </cell>
          <cell r="E587">
            <v>96.910411835832903</v>
          </cell>
          <cell r="F587">
            <v>351.06358340229599</v>
          </cell>
          <cell r="G587">
            <v>0</v>
          </cell>
          <cell r="H587">
            <v>461.59243873454551</v>
          </cell>
          <cell r="I587">
            <v>913.29758054177</v>
          </cell>
          <cell r="J587">
            <v>290.08176876931867</v>
          </cell>
          <cell r="K587">
            <v>2030.5723813852305</v>
          </cell>
          <cell r="M587">
            <v>255.18091389960301</v>
          </cell>
          <cell r="N587">
            <v>204.936656106768</v>
          </cell>
          <cell r="O587">
            <v>186.48300026498819</v>
          </cell>
          <cell r="P587">
            <v>99.137817779386296</v>
          </cell>
          <cell r="Q587">
            <v>1396.8875397541649</v>
          </cell>
          <cell r="R587">
            <v>200</v>
          </cell>
          <cell r="S587">
            <v>33.456420596740301</v>
          </cell>
          <cell r="T587">
            <v>339.44033548595007</v>
          </cell>
          <cell r="U587">
            <v>2376.0823484016505</v>
          </cell>
        </row>
        <row r="588">
          <cell r="B588" t="str">
            <v>FQ(3)</v>
          </cell>
          <cell r="C588">
            <v>0</v>
          </cell>
          <cell r="D588">
            <v>89</v>
          </cell>
          <cell r="E588">
            <v>21</v>
          </cell>
          <cell r="F588">
            <v>35</v>
          </cell>
          <cell r="G588">
            <v>0.47099999999999997</v>
          </cell>
          <cell r="H588">
            <v>91.138000000000005</v>
          </cell>
          <cell r="I588">
            <v>77.831999999999994</v>
          </cell>
          <cell r="J588">
            <v>44.920142857142864</v>
          </cell>
          <cell r="K588">
            <v>314.44100000000003</v>
          </cell>
          <cell r="M588">
            <v>15.337999999999999</v>
          </cell>
          <cell r="N588">
            <v>0</v>
          </cell>
          <cell r="O588">
            <v>20.638999999999999</v>
          </cell>
          <cell r="P588">
            <v>0</v>
          </cell>
          <cell r="Q588">
            <v>104</v>
          </cell>
          <cell r="R588">
            <v>48</v>
          </cell>
          <cell r="S588">
            <v>0</v>
          </cell>
          <cell r="T588">
            <v>26.853857142857144</v>
          </cell>
          <cell r="U588">
            <v>187.977</v>
          </cell>
        </row>
        <row r="589">
          <cell r="B589" t="str">
            <v>FQ(2)</v>
          </cell>
          <cell r="C589">
            <v>0</v>
          </cell>
          <cell r="D589">
            <v>0</v>
          </cell>
          <cell r="E589">
            <v>22</v>
          </cell>
          <cell r="F589">
            <v>34</v>
          </cell>
          <cell r="G589">
            <v>7.0000000000000104E-2</v>
          </cell>
          <cell r="H589">
            <v>91.058000000000007</v>
          </cell>
          <cell r="I589">
            <v>255.46800000000002</v>
          </cell>
          <cell r="J589">
            <v>57.513714285714286</v>
          </cell>
          <cell r="K589">
            <v>402.596</v>
          </cell>
          <cell r="M589">
            <v>15.374000000000001</v>
          </cell>
          <cell r="N589">
            <v>13.473000000000001</v>
          </cell>
          <cell r="O589">
            <v>20.916</v>
          </cell>
          <cell r="P589">
            <v>0</v>
          </cell>
          <cell r="Q589">
            <v>59</v>
          </cell>
          <cell r="R589">
            <v>48</v>
          </cell>
          <cell r="S589">
            <v>0</v>
          </cell>
          <cell r="T589">
            <v>22.394714285714286</v>
          </cell>
          <cell r="U589">
            <v>156.76300000000001</v>
          </cell>
        </row>
        <row r="590">
          <cell r="B590" t="str">
            <v>FQ(1)</v>
          </cell>
          <cell r="C590">
            <v>0</v>
          </cell>
          <cell r="D590">
            <v>47</v>
          </cell>
          <cell r="E590">
            <v>21</v>
          </cell>
          <cell r="F590">
            <v>35</v>
          </cell>
          <cell r="G590">
            <v>0.24</v>
          </cell>
          <cell r="H590">
            <v>89.180999999999997</v>
          </cell>
          <cell r="I590">
            <v>344.60399999999998</v>
          </cell>
          <cell r="J590">
            <v>76.717857142857142</v>
          </cell>
          <cell r="K590">
            <v>537.02499999999998</v>
          </cell>
          <cell r="M590">
            <v>15.391999999999999</v>
          </cell>
          <cell r="N590">
            <v>49.567999999999998</v>
          </cell>
          <cell r="O590">
            <v>20.792000000000002</v>
          </cell>
          <cell r="P590">
            <v>23.843</v>
          </cell>
          <cell r="Q590">
            <v>121</v>
          </cell>
          <cell r="R590">
            <v>49</v>
          </cell>
          <cell r="S590">
            <v>0</v>
          </cell>
          <cell r="T590">
            <v>39.942142857142862</v>
          </cell>
          <cell r="U590">
            <v>279.59500000000003</v>
          </cell>
        </row>
        <row r="591">
          <cell r="B591" t="str">
            <v>Last Reported Q</v>
          </cell>
          <cell r="C591">
            <v>0</v>
          </cell>
          <cell r="D591">
            <v>183</v>
          </cell>
          <cell r="E591">
            <v>85</v>
          </cell>
          <cell r="F591">
            <v>139</v>
          </cell>
          <cell r="G591">
            <v>0.78100000000000003</v>
          </cell>
          <cell r="H591">
            <v>355.202</v>
          </cell>
          <cell r="I591">
            <v>1142.5</v>
          </cell>
          <cell r="J591">
            <v>272.21185714285713</v>
          </cell>
          <cell r="K591">
            <v>1905.4829999999999</v>
          </cell>
          <cell r="M591">
            <v>61.5</v>
          </cell>
          <cell r="N591">
            <v>174.25700000000001</v>
          </cell>
          <cell r="O591">
            <v>83.231999999999999</v>
          </cell>
          <cell r="P591">
            <v>23.882999999999999</v>
          </cell>
          <cell r="Q591">
            <v>781</v>
          </cell>
          <cell r="R591">
            <v>193</v>
          </cell>
          <cell r="S591">
            <v>0</v>
          </cell>
          <cell r="T591">
            <v>188.12457142857144</v>
          </cell>
          <cell r="U591">
            <v>1316.8720000000001</v>
          </cell>
        </row>
        <row r="592">
          <cell r="B592" t="str">
            <v>LTM</v>
          </cell>
          <cell r="C592">
            <v>0</v>
          </cell>
          <cell r="D592">
            <v>319</v>
          </cell>
          <cell r="E592">
            <v>149</v>
          </cell>
          <cell r="F592">
            <v>243</v>
          </cell>
          <cell r="G592">
            <v>1.5620000000000001</v>
          </cell>
          <cell r="H592">
            <v>626.57899999999995</v>
          </cell>
          <cell r="I592">
            <v>1820.404</v>
          </cell>
          <cell r="J592">
            <v>451.36357142857145</v>
          </cell>
          <cell r="K592">
            <v>3159.5450000000001</v>
          </cell>
          <cell r="M592">
            <v>107.604</v>
          </cell>
          <cell r="N592">
            <v>237.298</v>
          </cell>
          <cell r="O592">
            <v>145.57900000000001</v>
          </cell>
          <cell r="P592">
            <v>47.725999999999999</v>
          </cell>
          <cell r="Q592">
            <v>1065</v>
          </cell>
          <cell r="R592">
            <v>338</v>
          </cell>
          <cell r="S592">
            <v>0</v>
          </cell>
          <cell r="T592">
            <v>277.31528571428572</v>
          </cell>
          <cell r="U592">
            <v>1941.2069999999999</v>
          </cell>
        </row>
        <row r="593">
          <cell r="B593" t="str">
            <v>FY1</v>
          </cell>
          <cell r="C593" t="str">
            <v/>
          </cell>
          <cell r="D593" t="str">
            <v/>
          </cell>
          <cell r="E593" t="str">
            <v/>
          </cell>
          <cell r="F593" t="str">
            <v/>
          </cell>
          <cell r="G593" t="str">
            <v/>
          </cell>
          <cell r="H593" t="str">
            <v/>
          </cell>
          <cell r="I593" t="str">
            <v/>
          </cell>
          <cell r="J593" t="e">
            <v>#NUM!</v>
          </cell>
          <cell r="M593" t="str">
            <v/>
          </cell>
          <cell r="N593" t="str">
            <v/>
          </cell>
          <cell r="O593" t="str">
            <v/>
          </cell>
          <cell r="P593" t="str">
            <v/>
          </cell>
          <cell r="Q593" t="str">
            <v/>
          </cell>
          <cell r="R593" t="str">
            <v/>
          </cell>
          <cell r="S593" t="str">
            <v/>
          </cell>
          <cell r="T593" t="e">
            <v>#NUM!</v>
          </cell>
        </row>
        <row r="594">
          <cell r="B594" t="str">
            <v>Total Payout Ratio</v>
          </cell>
          <cell r="C594" t="str">
            <v/>
          </cell>
          <cell r="D594" t="str">
            <v/>
          </cell>
          <cell r="E594" t="str">
            <v/>
          </cell>
          <cell r="F594" t="str">
            <v/>
          </cell>
          <cell r="G594" t="str">
            <v/>
          </cell>
          <cell r="H594" t="str">
            <v/>
          </cell>
          <cell r="I594" t="str">
            <v/>
          </cell>
          <cell r="J594" t="e">
            <v>#NUM!</v>
          </cell>
          <cell r="M594" t="str">
            <v/>
          </cell>
          <cell r="N594" t="str">
            <v/>
          </cell>
          <cell r="O594" t="str">
            <v/>
          </cell>
          <cell r="P594" t="str">
            <v/>
          </cell>
          <cell r="Q594" t="str">
            <v/>
          </cell>
          <cell r="R594" t="str">
            <v/>
          </cell>
          <cell r="S594" t="str">
            <v/>
          </cell>
          <cell r="T594" t="e">
            <v>#NUM!</v>
          </cell>
        </row>
        <row r="595">
          <cell r="B595" t="str">
            <v>FY(2)</v>
          </cell>
          <cell r="C595">
            <v>0</v>
          </cell>
          <cell r="D595">
            <v>0.16216216216216217</v>
          </cell>
          <cell r="E595">
            <v>3.6661247985587697</v>
          </cell>
          <cell r="F595">
            <v>2.6454340327307624</v>
          </cell>
          <cell r="G595">
            <v>0.11723994317024553</v>
          </cell>
          <cell r="H595">
            <v>0.92180455160102825</v>
          </cell>
          <cell r="I595">
            <v>1.2096020253757214</v>
          </cell>
          <cell r="J595">
            <v>1.2460525019426698</v>
          </cell>
          <cell r="K595">
            <v>1.3675882547173104</v>
          </cell>
          <cell r="M595">
            <v>0.69971370012041023</v>
          </cell>
          <cell r="N595">
            <v>2.1272224039052094</v>
          </cell>
          <cell r="O595">
            <v>1.328429399603519</v>
          </cell>
          <cell r="P595">
            <v>0</v>
          </cell>
          <cell r="Q595">
            <v>2.1977264654447031</v>
          </cell>
          <cell r="R595">
            <v>0.49192140793886452</v>
          </cell>
          <cell r="S595">
            <v>0</v>
          </cell>
          <cell r="T595">
            <v>0.97785905385895788</v>
          </cell>
          <cell r="U595">
            <v>1.051565317099219</v>
          </cell>
        </row>
        <row r="596">
          <cell r="B596" t="str">
            <v>FY(1)</v>
          </cell>
          <cell r="C596">
            <v>0</v>
          </cell>
          <cell r="D596">
            <v>0.31642285419859939</v>
          </cell>
          <cell r="E596">
            <v>0.40733944954128443</v>
          </cell>
          <cell r="F596">
            <v>1.0188796885573728</v>
          </cell>
          <cell r="G596">
            <v>-1.0778540196118701E-2</v>
          </cell>
          <cell r="H596">
            <v>1.1554399257639285</v>
          </cell>
          <cell r="I596">
            <v>1.0497673417532609</v>
          </cell>
          <cell r="J596">
            <v>0.56243867423118965</v>
          </cell>
          <cell r="K596">
            <v>0.60060872654977804</v>
          </cell>
          <cell r="M596">
            <v>0.34727063277060433</v>
          </cell>
          <cell r="N596">
            <v>4.4712291362717677E-2</v>
          </cell>
          <cell r="O596">
            <v>0.41889227285150915</v>
          </cell>
          <cell r="P596">
            <v>0</v>
          </cell>
          <cell r="Q596">
            <v>0.98035160289555323</v>
          </cell>
          <cell r="R596">
            <v>0.56878958181231642</v>
          </cell>
          <cell r="S596">
            <v>0</v>
          </cell>
          <cell r="T596">
            <v>0.33714519738467158</v>
          </cell>
          <cell r="U596">
            <v>0.46073696249193502</v>
          </cell>
        </row>
        <row r="597">
          <cell r="B597" t="str">
            <v>FY0</v>
          </cell>
          <cell r="C597">
            <v>0</v>
          </cell>
          <cell r="D597">
            <v>0.73322595379474487</v>
          </cell>
          <cell r="E597">
            <v>0.14756944444444445</v>
          </cell>
          <cell r="F597">
            <v>0.32491818606825618</v>
          </cell>
          <cell r="G597">
            <v>-1.6362232382747848E-2</v>
          </cell>
          <cell r="H597">
            <v>0.80225044437467952</v>
          </cell>
          <cell r="I597">
            <v>0.94143569561591744</v>
          </cell>
          <cell r="J597">
            <v>0.41900535598789918</v>
          </cell>
          <cell r="K597">
            <v>0.49466351475021214</v>
          </cell>
          <cell r="M597">
            <v>0.6411004160272602</v>
          </cell>
          <cell r="N597">
            <v>0.75328644484694962</v>
          </cell>
          <cell r="O597">
            <v>0.52325453102828579</v>
          </cell>
          <cell r="P597">
            <v>0</v>
          </cell>
          <cell r="Q597">
            <v>0.7101291143844336</v>
          </cell>
          <cell r="R597">
            <v>0.47634326332156873</v>
          </cell>
          <cell r="S597">
            <v>0</v>
          </cell>
          <cell r="T597">
            <v>0.44344482422978537</v>
          </cell>
          <cell r="U597">
            <v>0.45635204390278128</v>
          </cell>
        </row>
        <row r="598">
          <cell r="B598" t="str">
            <v>FY1</v>
          </cell>
          <cell r="C598">
            <v>0</v>
          </cell>
          <cell r="D598">
            <v>0.50753937868714571</v>
          </cell>
          <cell r="E598">
            <v>0.10909301206497163</v>
          </cell>
          <cell r="F598">
            <v>0.24746240936388547</v>
          </cell>
          <cell r="G598">
            <v>0</v>
          </cell>
          <cell r="H598">
            <v>0.87878285220050112</v>
          </cell>
          <cell r="I598">
            <v>0.63479295131495372</v>
          </cell>
          <cell r="J598">
            <v>0.33966722909020824</v>
          </cell>
          <cell r="K598">
            <v>0.36616541991203905</v>
          </cell>
          <cell r="M598">
            <v>1.7009033921522962</v>
          </cell>
          <cell r="N598">
            <v>0.67981251994719039</v>
          </cell>
          <cell r="O598">
            <v>0.57942808192479767</v>
          </cell>
          <cell r="P598">
            <v>0.13620642135194008</v>
          </cell>
          <cell r="Q598">
            <v>1.1647794572958605</v>
          </cell>
          <cell r="R598">
            <v>0.94883089374659302</v>
          </cell>
          <cell r="S598">
            <v>0</v>
          </cell>
          <cell r="T598">
            <v>0.74428010948838252</v>
          </cell>
          <cell r="U598">
            <v>0.75346194903587538</v>
          </cell>
        </row>
        <row r="599">
          <cell r="B599" t="str">
            <v>FY2</v>
          </cell>
          <cell r="C599">
            <v>0</v>
          </cell>
          <cell r="D599">
            <v>0.45040175903104468</v>
          </cell>
          <cell r="E599">
            <v>0.10909301206497171</v>
          </cell>
          <cell r="F599">
            <v>0.55559423355219895</v>
          </cell>
          <cell r="G599">
            <v>0</v>
          </cell>
          <cell r="H599">
            <v>0.82303887166694112</v>
          </cell>
          <cell r="I599">
            <v>0.59762613597557279</v>
          </cell>
          <cell r="J599">
            <v>0.36225057318438986</v>
          </cell>
          <cell r="K599">
            <v>0.37125601240434875</v>
          </cell>
          <cell r="M599">
            <v>1.2500000000000455</v>
          </cell>
          <cell r="N599">
            <v>0.80000000000000626</v>
          </cell>
          <cell r="O599">
            <v>0.60942808192479714</v>
          </cell>
          <cell r="P599">
            <v>0.13454396508448954</v>
          </cell>
          <cell r="Q599">
            <v>1.300000000000052</v>
          </cell>
          <cell r="R599">
            <v>0.31730075807378577</v>
          </cell>
          <cell r="S599">
            <v>9.9999999999998201E-2</v>
          </cell>
          <cell r="T599">
            <v>0.64446754358331049</v>
          </cell>
          <cell r="U599">
            <v>0.6707236257254281</v>
          </cell>
        </row>
        <row r="600">
          <cell r="B600" t="str">
            <v>FQ(3)</v>
          </cell>
          <cell r="C600">
            <v>0</v>
          </cell>
          <cell r="D600">
            <v>3.56</v>
          </cell>
          <cell r="E600">
            <v>-0.30882352941176472</v>
          </cell>
          <cell r="F600">
            <v>0.51470588235294112</v>
          </cell>
          <cell r="G600">
            <v>-9.8247809762202751E-2</v>
          </cell>
          <cell r="H600">
            <v>0.99727532362371019</v>
          </cell>
          <cell r="I600">
            <v>0.37202099285898649</v>
          </cell>
          <cell r="J600">
            <v>0.71956155138023858</v>
          </cell>
          <cell r="K600">
            <v>0.68684183509644903</v>
          </cell>
          <cell r="M600">
            <v>-0.66383899588833584</v>
          </cell>
          <cell r="N600">
            <v>0</v>
          </cell>
          <cell r="O600">
            <v>1.3161788151265863</v>
          </cell>
          <cell r="P600">
            <v>0</v>
          </cell>
          <cell r="Q600">
            <v>0.48372093023255813</v>
          </cell>
          <cell r="R600">
            <v>18.45444059976932</v>
          </cell>
          <cell r="S600">
            <v>0</v>
          </cell>
          <cell r="T600">
            <v>2.7986430498914467</v>
          </cell>
          <cell r="U600">
            <v>0.47313378739598599</v>
          </cell>
        </row>
        <row r="601">
          <cell r="B601" t="str">
            <v>FQ(2)</v>
          </cell>
          <cell r="C601">
            <v>0</v>
          </cell>
          <cell r="D601">
            <v>0</v>
          </cell>
          <cell r="E601">
            <v>0.26190476190476192</v>
          </cell>
          <cell r="F601">
            <v>0.32380952380952382</v>
          </cell>
          <cell r="G601">
            <v>-1.2749758665282426E-3</v>
          </cell>
          <cell r="H601">
            <v>0.88057868422834051</v>
          </cell>
          <cell r="I601">
            <v>0.97670524275408044</v>
          </cell>
          <cell r="J601">
            <v>0.34881760526145406</v>
          </cell>
          <cell r="K601">
            <v>0.55336081380309454</v>
          </cell>
          <cell r="M601">
            <v>2.2314825700803707</v>
          </cell>
          <cell r="N601">
            <v>0.34580734580734585</v>
          </cell>
          <cell r="O601">
            <v>0.7320453590928182</v>
          </cell>
          <cell r="P601">
            <v>0</v>
          </cell>
          <cell r="Q601">
            <v>0.25877192982456143</v>
          </cell>
          <cell r="R601">
            <v>0.79650863714053399</v>
          </cell>
          <cell r="S601">
            <v>0</v>
          </cell>
          <cell r="T601">
            <v>0.6235165488493758</v>
          </cell>
          <cell r="U601">
            <v>0.28607817774243055</v>
          </cell>
        </row>
        <row r="602">
          <cell r="B602" t="str">
            <v>FQ(1)</v>
          </cell>
          <cell r="C602">
            <v>0</v>
          </cell>
          <cell r="D602">
            <v>1.7407407407407407</v>
          </cell>
          <cell r="E602">
            <v>-1.75</v>
          </cell>
          <cell r="F602">
            <v>0.42168674698795183</v>
          </cell>
          <cell r="G602">
            <v>0.12727187703110288</v>
          </cell>
          <cell r="H602">
            <v>0.84869623144271034</v>
          </cell>
          <cell r="I602">
            <v>0.99081365961374246</v>
          </cell>
          <cell r="J602">
            <v>0.33988703654517832</v>
          </cell>
          <cell r="K602">
            <v>0.72009975886680333</v>
          </cell>
          <cell r="M602">
            <v>0.50262874310159023</v>
          </cell>
          <cell r="N602">
            <v>0.79145443803988569</v>
          </cell>
          <cell r="O602">
            <v>0.4672203110502593</v>
          </cell>
          <cell r="P602">
            <v>0.16930702209093426</v>
          </cell>
          <cell r="Q602">
            <v>0.39413680781758959</v>
          </cell>
          <cell r="R602">
            <v>8.0341039514674542</v>
          </cell>
          <cell r="S602">
            <v>0</v>
          </cell>
          <cell r="T602">
            <v>1.4798358962239591</v>
          </cell>
          <cell r="U602">
            <v>0.42746856310768105</v>
          </cell>
        </row>
        <row r="603">
          <cell r="B603" t="str">
            <v>Last Reported Q</v>
          </cell>
          <cell r="C603">
            <v>0</v>
          </cell>
          <cell r="D603">
            <v>0.73322595379474487</v>
          </cell>
          <cell r="E603">
            <v>0.14756944444444445</v>
          </cell>
          <cell r="F603">
            <v>0.32491818606825618</v>
          </cell>
          <cell r="G603">
            <v>-1.6362232382747848E-2</v>
          </cell>
          <cell r="H603">
            <v>0.80225044437467952</v>
          </cell>
          <cell r="I603">
            <v>0.94143569561591744</v>
          </cell>
          <cell r="J603">
            <v>0.41900535598789918</v>
          </cell>
          <cell r="K603">
            <v>0.49466351475021214</v>
          </cell>
          <cell r="M603">
            <v>0.6411004160272602</v>
          </cell>
          <cell r="N603">
            <v>0.75328644484694962</v>
          </cell>
          <cell r="O603">
            <v>0.52325453102828579</v>
          </cell>
          <cell r="P603">
            <v>9.9120149408590999E-2</v>
          </cell>
          <cell r="Q603">
            <v>0.7101291143844336</v>
          </cell>
          <cell r="R603">
            <v>0.47634326332156873</v>
          </cell>
          <cell r="S603">
            <v>0</v>
          </cell>
          <cell r="T603">
            <v>0.45760484557386988</v>
          </cell>
          <cell r="U603">
            <v>0.53703039732530433</v>
          </cell>
        </row>
        <row r="604">
          <cell r="B604" t="str">
            <v>LTM</v>
          </cell>
          <cell r="C604">
            <v>0</v>
          </cell>
          <cell r="D604">
            <v>1.0599274331813773</v>
          </cell>
          <cell r="E604">
            <v>0.25689655172413794</v>
          </cell>
          <cell r="F604">
            <v>0.35536706639368237</v>
          </cell>
          <cell r="G604">
            <v>-1.4799634611464611E-2</v>
          </cell>
          <cell r="H604">
            <v>0.84372858122001371</v>
          </cell>
          <cell r="I604">
            <v>0.89580374638436422</v>
          </cell>
          <cell r="J604">
            <v>0.48527482061315869</v>
          </cell>
          <cell r="K604">
            <v>0.54633181846653156</v>
          </cell>
          <cell r="M604">
            <v>0.97523573362915594</v>
          </cell>
          <cell r="N604">
            <v>0.64818871655913513</v>
          </cell>
          <cell r="O604">
            <v>0.58743732559956308</v>
          </cell>
          <cell r="P604">
            <v>7.4433707430581988E-2</v>
          </cell>
          <cell r="Q604">
            <v>0.57573791761271487</v>
          </cell>
          <cell r="R604">
            <v>0.71288014122619592</v>
          </cell>
          <cell r="S604">
            <v>0</v>
          </cell>
          <cell r="T604">
            <v>0.51055907743676376</v>
          </cell>
          <cell r="U604">
            <v>0.47913493836607302</v>
          </cell>
        </row>
        <row r="606">
          <cell r="A606" t="str">
            <v>Modelware DuPont (Non-lease Adjusted)ROIC</v>
          </cell>
          <cell r="B606" t="str">
            <v>Unadjusted ROIC</v>
          </cell>
        </row>
        <row r="607">
          <cell r="B607" t="str">
            <v>FY0</v>
          </cell>
        </row>
        <row r="608">
          <cell r="B608" t="str">
            <v>FY1</v>
          </cell>
          <cell r="C608">
            <v>1606.99</v>
          </cell>
          <cell r="D608">
            <v>3135</v>
          </cell>
          <cell r="E608">
            <v>3215</v>
          </cell>
          <cell r="F608">
            <v>901.32299999999998</v>
          </cell>
          <cell r="G608">
            <v>1438.452</v>
          </cell>
          <cell r="H608">
            <v>841.49099999999999</v>
          </cell>
          <cell r="I608">
            <v>1941.6980000000001</v>
          </cell>
          <cell r="M608">
            <v>170.703</v>
          </cell>
          <cell r="N608">
            <v>61.807000000000002</v>
          </cell>
          <cell r="O608">
            <v>134.40100000000001</v>
          </cell>
          <cell r="P608">
            <v>161.91300000000001</v>
          </cell>
          <cell r="Q608">
            <v>1703.855</v>
          </cell>
          <cell r="R608">
            <v>943.42600000000004</v>
          </cell>
          <cell r="S608">
            <v>63.247</v>
          </cell>
        </row>
        <row r="609">
          <cell r="B609" t="str">
            <v>FY2</v>
          </cell>
          <cell r="C609">
            <v>1946.9770000000001</v>
          </cell>
          <cell r="D609">
            <v>3142</v>
          </cell>
          <cell r="E609">
            <v>3120</v>
          </cell>
          <cell r="F609">
            <v>917.18200000000002</v>
          </cell>
          <cell r="G609">
            <v>1516.271</v>
          </cell>
          <cell r="H609">
            <v>853.11199999999997</v>
          </cell>
          <cell r="I609">
            <v>2352.0320000000002</v>
          </cell>
          <cell r="M609">
            <v>211.19800000000001</v>
          </cell>
          <cell r="N609">
            <v>81.238</v>
          </cell>
          <cell r="O609">
            <v>170.57599999999999</v>
          </cell>
          <cell r="P609">
            <v>184.41900000000001</v>
          </cell>
          <cell r="Q609">
            <v>1814</v>
          </cell>
          <cell r="R609">
            <v>1142</v>
          </cell>
          <cell r="S609">
            <v>98.995999999999995</v>
          </cell>
        </row>
        <row r="610">
          <cell r="B610" t="str">
            <v>FY(3)</v>
          </cell>
          <cell r="C610">
            <v>2237.5680000000002</v>
          </cell>
          <cell r="D610">
            <v>3210</v>
          </cell>
          <cell r="E610">
            <v>5459</v>
          </cell>
          <cell r="F610">
            <v>955.97799999999995</v>
          </cell>
          <cell r="G610">
            <v>807.21100000000001</v>
          </cell>
          <cell r="H610">
            <v>938.09100000000001</v>
          </cell>
          <cell r="I610">
            <v>2365.8609999999999</v>
          </cell>
          <cell r="M610">
            <v>362.536</v>
          </cell>
          <cell r="N610">
            <v>91.908000000000001</v>
          </cell>
          <cell r="O610">
            <v>210.739</v>
          </cell>
          <cell r="P610">
            <v>233.494</v>
          </cell>
          <cell r="Q610">
            <v>1696</v>
          </cell>
          <cell r="R610">
            <v>1159.69</v>
          </cell>
          <cell r="S610">
            <v>140.37700000000001</v>
          </cell>
        </row>
        <row r="611">
          <cell r="A611" t="str">
            <v>Modelware DuPont (Non-lease Adjusted)ROE</v>
          </cell>
          <cell r="B611" t="str">
            <v>Unadjusted ROE</v>
          </cell>
          <cell r="C611">
            <v>2578.3780000000002</v>
          </cell>
          <cell r="D611">
            <v>3400</v>
          </cell>
          <cell r="E611">
            <v>5317</v>
          </cell>
          <cell r="F611">
            <v>997.28899999999999</v>
          </cell>
          <cell r="G611">
            <v>785.30200000000002</v>
          </cell>
          <cell r="H611">
            <v>1051.729</v>
          </cell>
          <cell r="I611">
            <v>2581.9690000000001</v>
          </cell>
          <cell r="M611">
            <v>427.447</v>
          </cell>
          <cell r="N611">
            <v>101.476</v>
          </cell>
          <cell r="O611">
            <v>263.64400000000001</v>
          </cell>
          <cell r="P611">
            <v>291.19200000000001</v>
          </cell>
          <cell r="Q611">
            <v>1796</v>
          </cell>
          <cell r="R611">
            <v>1770</v>
          </cell>
          <cell r="S611">
            <v>154.387</v>
          </cell>
        </row>
        <row r="612">
          <cell r="B612" t="str">
            <v>FY0</v>
          </cell>
          <cell r="C612">
            <v>2855.7330000000002</v>
          </cell>
          <cell r="D612">
            <v>3641</v>
          </cell>
          <cell r="E612">
            <v>5060</v>
          </cell>
          <cell r="F612">
            <v>956</v>
          </cell>
          <cell r="G612">
            <v>857.173</v>
          </cell>
          <cell r="H612">
            <v>1025.2950000000001</v>
          </cell>
          <cell r="I612">
            <v>2737.3780000000002</v>
          </cell>
          <cell r="M612">
            <v>333.15300000000002</v>
          </cell>
          <cell r="N612">
            <v>136.488</v>
          </cell>
          <cell r="O612">
            <v>286.48500000000001</v>
          </cell>
          <cell r="P612">
            <v>318.49</v>
          </cell>
          <cell r="Q612">
            <v>1575</v>
          </cell>
          <cell r="R612">
            <v>1250.625</v>
          </cell>
          <cell r="S612">
            <v>171.92500000000001</v>
          </cell>
        </row>
        <row r="613">
          <cell r="B613" t="str">
            <v>FY1</v>
          </cell>
          <cell r="C613">
            <v>2799</v>
          </cell>
          <cell r="D613">
            <v>3259</v>
          </cell>
          <cell r="E613">
            <v>4769</v>
          </cell>
          <cell r="F613">
            <v>900</v>
          </cell>
          <cell r="G613">
            <v>728.84100000000001</v>
          </cell>
          <cell r="H613">
            <v>881.05799999999999</v>
          </cell>
          <cell r="I613">
            <v>2619.3359999999998</v>
          </cell>
          <cell r="M613">
            <v>372.42200000000003</v>
          </cell>
          <cell r="N613">
            <v>126.36</v>
          </cell>
          <cell r="O613">
            <v>294.928</v>
          </cell>
          <cell r="P613">
            <v>326.14800000000002</v>
          </cell>
          <cell r="Q613">
            <v>1506</v>
          </cell>
          <cell r="R613">
            <v>1181.865</v>
          </cell>
          <cell r="S613">
            <v>169.69800000000001</v>
          </cell>
        </row>
        <row r="614">
          <cell r="B614" t="str">
            <v>FY2</v>
          </cell>
          <cell r="C614">
            <v>2940.0436170483199</v>
          </cell>
          <cell r="D614">
            <v>2918.8564274536802</v>
          </cell>
          <cell r="E614">
            <v>4731.2153421261601</v>
          </cell>
          <cell r="F614">
            <v>839.35617027476405</v>
          </cell>
          <cell r="G614">
            <v>585.00673201635198</v>
          </cell>
          <cell r="H614">
            <v>864.04781667707402</v>
          </cell>
          <cell r="I614">
            <v>2616.37292347927</v>
          </cell>
          <cell r="M614">
            <v>287.47271947598</v>
          </cell>
          <cell r="N614">
            <v>124.497120668248</v>
          </cell>
          <cell r="O614">
            <v>314.06161596097701</v>
          </cell>
          <cell r="P614">
            <v>346.15462013569299</v>
          </cell>
          <cell r="Q614">
            <v>1484.11506380842</v>
          </cell>
          <cell r="R614">
            <v>1032.0259323569901</v>
          </cell>
          <cell r="S614">
            <v>173.71380577112001</v>
          </cell>
        </row>
        <row r="615">
          <cell r="B615" t="str">
            <v>FY2</v>
          </cell>
          <cell r="C615">
            <v>3047.8533847793501</v>
          </cell>
          <cell r="D615">
            <v>2899.7434629710201</v>
          </cell>
          <cell r="E615">
            <v>4616.6879030365199</v>
          </cell>
          <cell r="F615">
            <v>859.99964804245894</v>
          </cell>
          <cell r="G615">
            <v>574.46682556849896</v>
          </cell>
          <cell r="H615">
            <v>905.12218771622202</v>
          </cell>
          <cell r="I615">
            <v>2755.9473532789998</v>
          </cell>
          <cell r="M615">
            <v>306.71986794402397</v>
          </cell>
          <cell r="N615">
            <v>137.961510175505</v>
          </cell>
          <cell r="O615">
            <v>324.52754417494299</v>
          </cell>
          <cell r="P615">
            <v>370.54645784883797</v>
          </cell>
          <cell r="Q615">
            <v>1426.10530468362</v>
          </cell>
          <cell r="R615">
            <v>1008.9558266789099</v>
          </cell>
          <cell r="S615">
            <v>180.024105564092</v>
          </cell>
        </row>
        <row r="616">
          <cell r="A616" t="str">
            <v>Modelware DuPont (Lease Adjusted)ROIC</v>
          </cell>
          <cell r="B616" t="str">
            <v>Lease Adjusted ROIC</v>
          </cell>
          <cell r="C616">
            <v>2799</v>
          </cell>
          <cell r="D616">
            <v>3259</v>
          </cell>
          <cell r="E616">
            <v>4769</v>
          </cell>
          <cell r="F616">
            <v>900</v>
          </cell>
          <cell r="G616">
            <v>728.84100000000001</v>
          </cell>
          <cell r="H616">
            <v>881.05799999999999</v>
          </cell>
          <cell r="I616">
            <v>2619.3359999999998</v>
          </cell>
          <cell r="M616">
            <v>372.42200000000003</v>
          </cell>
          <cell r="N616">
            <v>126.36</v>
          </cell>
          <cell r="O616">
            <v>294.928</v>
          </cell>
          <cell r="P616">
            <v>401.79700000000003</v>
          </cell>
          <cell r="Q616">
            <v>1506</v>
          </cell>
          <cell r="R616">
            <v>1181.865</v>
          </cell>
          <cell r="S616">
            <v>169.69800000000001</v>
          </cell>
        </row>
        <row r="617">
          <cell r="B617" t="str">
            <v>FY0</v>
          </cell>
          <cell r="C617">
            <v>2804</v>
          </cell>
          <cell r="D617">
            <v>3237</v>
          </cell>
          <cell r="E617">
            <v>5026</v>
          </cell>
          <cell r="F617">
            <v>1004</v>
          </cell>
          <cell r="G617">
            <v>779.47400000000005</v>
          </cell>
          <cell r="H617">
            <v>917.66099999999994</v>
          </cell>
          <cell r="I617">
            <v>2817.7</v>
          </cell>
          <cell r="M617">
            <v>274.74200000000002</v>
          </cell>
          <cell r="N617">
            <v>128.929</v>
          </cell>
          <cell r="O617">
            <v>279.233</v>
          </cell>
          <cell r="P617">
            <v>383.08100000000002</v>
          </cell>
          <cell r="Q617">
            <v>1393</v>
          </cell>
          <cell r="R617">
            <v>1213.425</v>
          </cell>
          <cell r="S617">
            <v>189.881</v>
          </cell>
        </row>
        <row r="618">
          <cell r="B618" t="str">
            <v>FY1</v>
          </cell>
          <cell r="C618">
            <v>2724</v>
          </cell>
          <cell r="D618">
            <v>3258</v>
          </cell>
          <cell r="E618">
            <v>4634</v>
          </cell>
          <cell r="F618">
            <v>929</v>
          </cell>
          <cell r="G618">
            <v>670.26300000000003</v>
          </cell>
          <cell r="H618">
            <v>926.24400000000003</v>
          </cell>
          <cell r="I618">
            <v>3100.1750000000002</v>
          </cell>
          <cell r="M618">
            <v>325.596</v>
          </cell>
          <cell r="N618">
            <v>200.99299999999999</v>
          </cell>
          <cell r="O618">
            <v>352.81900000000002</v>
          </cell>
          <cell r="P618">
            <v>357.67</v>
          </cell>
          <cell r="Q618">
            <v>1473</v>
          </cell>
          <cell r="R618">
            <v>1091.412</v>
          </cell>
          <cell r="S618">
            <v>217.05</v>
          </cell>
        </row>
        <row r="619">
          <cell r="B619" t="str">
            <v>FY2</v>
          </cell>
          <cell r="C619">
            <v>3807</v>
          </cell>
          <cell r="D619">
            <v>4018</v>
          </cell>
          <cell r="E619">
            <v>6406</v>
          </cell>
          <cell r="F619">
            <v>1193</v>
          </cell>
          <cell r="G619">
            <v>799.11</v>
          </cell>
          <cell r="H619">
            <v>1014.638</v>
          </cell>
          <cell r="I619">
            <v>3267.7</v>
          </cell>
          <cell r="M619">
            <v>347.18</v>
          </cell>
          <cell r="N619">
            <v>221.51599999999999</v>
          </cell>
          <cell r="O619">
            <v>425.41500000000002</v>
          </cell>
          <cell r="P619">
            <v>326.14800000000002</v>
          </cell>
          <cell r="Q619">
            <v>1999</v>
          </cell>
          <cell r="R619">
            <v>1426.4559999999999</v>
          </cell>
          <cell r="S619">
            <v>234.52099999999999</v>
          </cell>
        </row>
        <row r="621">
          <cell r="A621" t="str">
            <v>Modelware DuPont (Lease Adjusted)ROE</v>
          </cell>
          <cell r="B621" t="str">
            <v>Lease Adjusted ROE</v>
          </cell>
        </row>
        <row r="622">
          <cell r="B622" t="str">
            <v>FY0</v>
          </cell>
          <cell r="C622">
            <v>3.5163894967177245</v>
          </cell>
          <cell r="D622">
            <v>3.1008902077151335E-2</v>
          </cell>
          <cell r="E622">
            <v>3.8273809523809522E-2</v>
          </cell>
          <cell r="F622">
            <v>4.7891764080765141E-2</v>
          </cell>
          <cell r="G622">
            <v>4.1769775016315805E-2</v>
          </cell>
          <cell r="H622">
            <v>6.3170257488176562E-2</v>
          </cell>
          <cell r="I622">
            <v>3.2099487518598119E-2</v>
          </cell>
          <cell r="M622">
            <v>3.4031698564593302E-2</v>
          </cell>
          <cell r="N622">
            <v>3.8349685946680118E-2</v>
          </cell>
          <cell r="O622">
            <v>3.1702109943703226E-2</v>
          </cell>
          <cell r="P622">
            <v>0.20698026111422885</v>
          </cell>
          <cell r="Q622">
            <v>4.6680958904109587E-2</v>
          </cell>
          <cell r="R622">
            <v>5.8824417009602198E-2</v>
          </cell>
          <cell r="S622">
            <v>4.3658244310008247E-2</v>
          </cell>
        </row>
        <row r="623">
          <cell r="B623" t="str">
            <v>FY1</v>
          </cell>
          <cell r="C623">
            <v>3.5922084870848709</v>
          </cell>
          <cell r="D623">
            <v>3.1016781836130308E-2</v>
          </cell>
          <cell r="E623">
            <v>3.7454981992797121E-2</v>
          </cell>
          <cell r="F623">
            <v>4.7511305654122094E-2</v>
          </cell>
          <cell r="G623">
            <v>4.4652013683553426E-2</v>
          </cell>
          <cell r="H623">
            <v>5.5930767717825999E-2</v>
          </cell>
          <cell r="I623">
            <v>3.5904500213714365E-2</v>
          </cell>
          <cell r="M623">
            <v>3.7781395348837211E-2</v>
          </cell>
          <cell r="N623">
            <v>4.1062350195056017E-2</v>
          </cell>
          <cell r="O623">
            <v>3.7571019989669815E-2</v>
          </cell>
          <cell r="P623">
            <v>0.20381483495351646</v>
          </cell>
          <cell r="Q623">
            <v>4.9562841530054642E-2</v>
          </cell>
          <cell r="R623">
            <v>7.2273906714764885E-2</v>
          </cell>
          <cell r="S623">
            <v>5.6573701081058525E-2</v>
          </cell>
        </row>
        <row r="624">
          <cell r="B624" t="str">
            <v>FY2</v>
          </cell>
          <cell r="C624">
            <v>3.5126656200941917</v>
          </cell>
          <cell r="D624">
            <v>3.1656804733727811E-2</v>
          </cell>
          <cell r="E624">
            <v>3.4441640378548896E-2</v>
          </cell>
          <cell r="F624">
            <v>4.8353759388988643E-2</v>
          </cell>
          <cell r="G624">
            <v>0.10639396335837617</v>
          </cell>
          <cell r="H624">
            <v>5.4165425255499743E-2</v>
          </cell>
          <cell r="I624">
            <v>3.3522649663478565E-2</v>
          </cell>
          <cell r="M624">
            <v>6.0171950207468877E-2</v>
          </cell>
          <cell r="N624">
            <v>3.872296948566975E-2</v>
          </cell>
          <cell r="O624">
            <v>4.4157061087856289E-2</v>
          </cell>
          <cell r="P624">
            <v>0.22479120836803163</v>
          </cell>
          <cell r="Q624">
            <v>4.4867724867724869E-2</v>
          </cell>
          <cell r="R624">
            <v>7.5638533785546566E-2</v>
          </cell>
          <cell r="S624">
            <v>6.6417827118810877E-2</v>
          </cell>
        </row>
        <row r="625">
          <cell r="B625" t="str">
            <v>FY(2)</v>
          </cell>
          <cell r="C625">
            <v>3.5223743169398909</v>
          </cell>
          <cell r="D625">
            <v>3.2977691561590687E-2</v>
          </cell>
          <cell r="E625">
            <v>3.3996163682864448E-2</v>
          </cell>
          <cell r="F625">
            <v>4.9567047713717692E-2</v>
          </cell>
          <cell r="G625">
            <v>0.10470693333333334</v>
          </cell>
          <cell r="H625">
            <v>5.6417176268640706E-2</v>
          </cell>
          <cell r="I625">
            <v>3.4897603633070678E-2</v>
          </cell>
          <cell r="M625">
            <v>6.3864784102793962E-2</v>
          </cell>
          <cell r="N625">
            <v>3.8642802741812643E-2</v>
          </cell>
          <cell r="O625">
            <v>5.0964756870443342E-2</v>
          </cell>
          <cell r="P625">
            <v>0.23790759748392731</v>
          </cell>
          <cell r="Q625">
            <v>4.6051282051282054E-2</v>
          </cell>
          <cell r="R625">
            <v>0.11363440844751772</v>
          </cell>
          <cell r="S625">
            <v>6.1813201112411009E-2</v>
          </cell>
        </row>
        <row r="626">
          <cell r="B626" t="str">
            <v>Valuation</v>
          </cell>
          <cell r="C626">
            <v>3.495389228886169</v>
          </cell>
          <cell r="D626">
            <v>3.4155722326454037E-2</v>
          </cell>
          <cell r="E626">
            <v>3.2653377301385511E-2</v>
          </cell>
          <cell r="F626">
            <v>4.7010228166797799E-2</v>
          </cell>
          <cell r="G626">
            <v>0.11369850112747049</v>
          </cell>
          <cell r="H626">
            <v>4.8592180094786733E-2</v>
          </cell>
          <cell r="I626">
            <v>3.5820177963883801E-2</v>
          </cell>
          <cell r="M626">
            <v>4.5407250919994549E-2</v>
          </cell>
          <cell r="N626">
            <v>4.6500187039173288E-2</v>
          </cell>
          <cell r="O626">
            <v>5.0173101886327197E-2</v>
          </cell>
          <cell r="P626">
            <v>0.21723459014982835</v>
          </cell>
          <cell r="Q626">
            <v>3.9772727272727272E-2</v>
          </cell>
          <cell r="R626">
            <v>0.12129036950829211</v>
          </cell>
          <cell r="S626">
            <v>5.9560927615761435E-2</v>
          </cell>
        </row>
        <row r="627">
          <cell r="B627" t="str">
            <v>FY0</v>
          </cell>
          <cell r="C627">
            <v>3.0129171151776104</v>
          </cell>
          <cell r="D627">
            <v>2.9844988318980185E-2</v>
          </cell>
          <cell r="E627">
            <v>3.0949244277731991E-2</v>
          </cell>
          <cell r="F627">
            <v>4.247486903582047E-2</v>
          </cell>
          <cell r="G627">
            <v>9.6932003937825792E-2</v>
          </cell>
          <cell r="H627">
            <v>3.9158133333333331E-2</v>
          </cell>
          <cell r="I627">
            <v>3.3125257655656222E-2</v>
          </cell>
          <cell r="M627">
            <v>4.6425081027175269E-2</v>
          </cell>
          <cell r="N627">
            <v>3.8470273828218472E-2</v>
          </cell>
          <cell r="O627">
            <v>4.6605596849767082E-2</v>
          </cell>
          <cell r="P627">
            <v>0.19290833500424975</v>
          </cell>
          <cell r="Q627">
            <v>3.8126582278481015E-2</v>
          </cell>
          <cell r="R627">
            <v>0.10844489507537872</v>
          </cell>
          <cell r="S627">
            <v>5.0495503885011242E-2</v>
          </cell>
        </row>
        <row r="628">
          <cell r="B628" t="str">
            <v>P/E</v>
          </cell>
          <cell r="C628">
            <v>2.9283302958648605</v>
          </cell>
          <cell r="D628">
            <v>2.6344405470617231E-2</v>
          </cell>
          <cell r="E628">
            <v>3.0595667073588382E-2</v>
          </cell>
          <cell r="F628">
            <v>3.7598825043664401E-2</v>
          </cell>
          <cell r="G628">
            <v>7.7172013017913738E-2</v>
          </cell>
          <cell r="H628">
            <v>3.6531643939030634E-2</v>
          </cell>
          <cell r="I628">
            <v>3.1966778372598967E-2</v>
          </cell>
          <cell r="M628">
            <v>3.6368491137515113E-2</v>
          </cell>
          <cell r="N628">
            <v>3.6506160063337061E-2</v>
          </cell>
          <cell r="O628">
            <v>4.8375056091979202E-2</v>
          </cell>
          <cell r="P628">
            <v>0.18771998345874799</v>
          </cell>
          <cell r="Q628">
            <v>3.8166062114152112E-2</v>
          </cell>
          <cell r="R628">
            <v>9.5052702931567076E-2</v>
          </cell>
          <cell r="S628">
            <v>4.6624074602340408E-2</v>
          </cell>
        </row>
        <row r="629">
          <cell r="B629" t="str">
            <v>Price/ Peak EPS</v>
          </cell>
          <cell r="C629" t="e">
            <v>#VALUE!</v>
          </cell>
          <cell r="D629" t="e">
            <v>#VALUE!</v>
          </cell>
          <cell r="E629" t="e">
            <v>#VALUE!</v>
          </cell>
          <cell r="F629" t="e">
            <v>#VALUE!</v>
          </cell>
          <cell r="G629" t="e">
            <v>#VALUE!</v>
          </cell>
          <cell r="H629" t="e">
            <v>#VALUE!</v>
          </cell>
          <cell r="I629" t="e">
            <v>#VALUE!</v>
          </cell>
          <cell r="J629" t="e">
            <v>#VALUE!</v>
          </cell>
          <cell r="M629" t="e">
            <v>#VALUE!</v>
          </cell>
          <cell r="N629" t="e">
            <v>#VALUE!</v>
          </cell>
          <cell r="O629" t="e">
            <v>#VALUE!</v>
          </cell>
          <cell r="P629" t="e">
            <v>#VALUE!</v>
          </cell>
          <cell r="Q629" t="e">
            <v>#VALUE!</v>
          </cell>
          <cell r="R629" t="e">
            <v>#VALUE!</v>
          </cell>
          <cell r="S629" t="e">
            <v>#VALUE!</v>
          </cell>
          <cell r="T629" t="e">
            <v>#VALUE!</v>
          </cell>
        </row>
        <row r="630">
          <cell r="B630" t="str">
            <v>LTM</v>
          </cell>
          <cell r="C630" t="e">
            <v>#VALUE!</v>
          </cell>
          <cell r="D630" t="e">
            <v>#VALUE!</v>
          </cell>
          <cell r="E630" t="e">
            <v>#VALUE!</v>
          </cell>
          <cell r="F630" t="e">
            <v>#VALUE!</v>
          </cell>
          <cell r="G630" t="e">
            <v>#VALUE!</v>
          </cell>
          <cell r="H630" t="e">
            <v>#VALUE!</v>
          </cell>
          <cell r="I630" t="e">
            <v>#VALUE!</v>
          </cell>
          <cell r="J630" t="e">
            <v>#VALUE!</v>
          </cell>
          <cell r="M630" t="e">
            <v>#VALUE!</v>
          </cell>
          <cell r="N630" t="e">
            <v>#VALUE!</v>
          </cell>
          <cell r="O630" t="e">
            <v>#VALUE!</v>
          </cell>
          <cell r="P630" t="e">
            <v>#VALUE!</v>
          </cell>
          <cell r="Q630" t="e">
            <v>#VALUE!</v>
          </cell>
          <cell r="R630" t="e">
            <v>#VALUE!</v>
          </cell>
          <cell r="S630" t="e">
            <v>#VALUE!</v>
          </cell>
          <cell r="T630" t="e">
            <v>#VALUE!</v>
          </cell>
        </row>
        <row r="631">
          <cell r="B631" t="str">
            <v>FY1</v>
          </cell>
          <cell r="C631" t="e">
            <v>#VALUE!</v>
          </cell>
          <cell r="D631" t="e">
            <v>#VALUE!</v>
          </cell>
          <cell r="E631" t="e">
            <v>#VALUE!</v>
          </cell>
          <cell r="F631" t="e">
            <v>#VALUE!</v>
          </cell>
          <cell r="G631" t="e">
            <v>#VALUE!</v>
          </cell>
          <cell r="H631" t="e">
            <v>#VALUE!</v>
          </cell>
          <cell r="I631" t="e">
            <v>#VALUE!</v>
          </cell>
          <cell r="J631" t="e">
            <v>#VALUE!</v>
          </cell>
          <cell r="M631" t="e">
            <v>#VALUE!</v>
          </cell>
          <cell r="N631" t="e">
            <v>#VALUE!</v>
          </cell>
          <cell r="O631" t="e">
            <v>#VALUE!</v>
          </cell>
          <cell r="P631" t="e">
            <v>#VALUE!</v>
          </cell>
          <cell r="Q631" t="e">
            <v>#VALUE!</v>
          </cell>
          <cell r="R631" t="e">
            <v>#VALUE!</v>
          </cell>
          <cell r="S631" t="e">
            <v>#VALUE!</v>
          </cell>
          <cell r="T631" t="e">
            <v>#VALUE!</v>
          </cell>
        </row>
        <row r="632">
          <cell r="B632" t="str">
            <v>FY2</v>
          </cell>
          <cell r="C632" t="e">
            <v>#VALUE!</v>
          </cell>
          <cell r="D632" t="e">
            <v>#VALUE!</v>
          </cell>
          <cell r="E632" t="e">
            <v>#VALUE!</v>
          </cell>
          <cell r="F632" t="e">
            <v>#VALUE!</v>
          </cell>
          <cell r="G632" t="e">
            <v>#VALUE!</v>
          </cell>
          <cell r="H632" t="e">
            <v>#VALUE!</v>
          </cell>
          <cell r="I632" t="e">
            <v>#VALUE!</v>
          </cell>
          <cell r="J632" t="e">
            <v>#VALUE!</v>
          </cell>
          <cell r="M632" t="e">
            <v>#VALUE!</v>
          </cell>
          <cell r="N632" t="e">
            <v>#VALUE!</v>
          </cell>
          <cell r="O632" t="e">
            <v>#VALUE!</v>
          </cell>
          <cell r="P632" t="e">
            <v>#VALUE!</v>
          </cell>
          <cell r="Q632" t="e">
            <v>#VALUE!</v>
          </cell>
          <cell r="R632" t="e">
            <v>#VALUE!</v>
          </cell>
          <cell r="S632" t="e">
            <v>#VALUE!</v>
          </cell>
          <cell r="T632" t="e">
            <v>#VALUE!</v>
          </cell>
        </row>
        <row r="633">
          <cell r="B633" t="str">
            <v>FY(4)</v>
          </cell>
          <cell r="C633">
            <v>2.1561601875422998E-2</v>
          </cell>
          <cell r="D633">
            <v>2.5411280152276561E-4</v>
          </cell>
          <cell r="E633">
            <v>-2.1393938601879214E-2</v>
          </cell>
          <cell r="F633">
            <v>-7.9441305607669266E-3</v>
          </cell>
          <cell r="G633">
            <v>6.900297322912996E-2</v>
          </cell>
          <cell r="H633">
            <v>-0.11460282193254578</v>
          </cell>
          <cell r="I633">
            <v>0.11853811351074239</v>
          </cell>
          <cell r="J633">
            <v>9.3451300459465991E-3</v>
          </cell>
          <cell r="M633">
            <v>0.11018247523340219</v>
          </cell>
          <cell r="N633">
            <v>7.0734979476689386E-2</v>
          </cell>
          <cell r="O633">
            <v>0.18512679617819217</v>
          </cell>
          <cell r="P633">
            <v>-1.5293372148977302E-2</v>
          </cell>
          <cell r="Q633">
            <v>6.1735720379371806E-2</v>
          </cell>
          <cell r="R633">
            <v>0.22863787503354716</v>
          </cell>
          <cell r="S633">
            <v>0.29583087856992751</v>
          </cell>
          <cell r="T633">
            <v>0.13385076467459328</v>
          </cell>
        </row>
        <row r="634">
          <cell r="B634" t="str">
            <v>EV/EBITDA</v>
          </cell>
          <cell r="C634">
            <v>-2.2143165486263161E-2</v>
          </cell>
          <cell r="D634">
            <v>2.0634729321014289E-2</v>
          </cell>
          <cell r="E634">
            <v>-8.0452357841947819E-2</v>
          </cell>
          <cell r="F634">
            <v>1.7731647726112465E-2</v>
          </cell>
          <cell r="G634">
            <v>1.3827360645453717</v>
          </cell>
          <cell r="H634">
            <v>-3.1562993578642007E-2</v>
          </cell>
          <cell r="I634">
            <v>-6.6338496178983353E-2</v>
          </cell>
          <cell r="J634">
            <v>0.1743722040723803</v>
          </cell>
          <cell r="M634">
            <v>0.59263440780571308</v>
          </cell>
          <cell r="N634">
            <v>-5.697142755525797E-2</v>
          </cell>
          <cell r="O634">
            <v>0.17529577583992428</v>
          </cell>
          <cell r="P634">
            <v>0.10291877634569246</v>
          </cell>
          <cell r="Q634">
            <v>-9.473057874380908E-2</v>
          </cell>
          <cell r="R634">
            <v>4.655382867374902E-2</v>
          </cell>
          <cell r="S634">
            <v>0.17400533904698468</v>
          </cell>
          <cell r="T634">
            <v>0.13424373163042808</v>
          </cell>
        </row>
        <row r="635">
          <cell r="B635" t="str">
            <v>LTM</v>
          </cell>
          <cell r="C635" t="e">
            <v>#VALUE!</v>
          </cell>
          <cell r="D635" t="e">
            <v>#VALUE!</v>
          </cell>
          <cell r="E635" t="e">
            <v>#VALUE!</v>
          </cell>
          <cell r="F635" t="e">
            <v>#VALUE!</v>
          </cell>
          <cell r="G635" t="e">
            <v>#VALUE!</v>
          </cell>
          <cell r="H635" t="e">
            <v>#VALUE!</v>
          </cell>
          <cell r="I635" t="e">
            <v>#VALUE!</v>
          </cell>
          <cell r="J635" t="e">
            <v>#VALUE!</v>
          </cell>
          <cell r="M635" t="e">
            <v>#VALUE!</v>
          </cell>
          <cell r="N635" t="e">
            <v>#VALUE!</v>
          </cell>
          <cell r="O635" t="e">
            <v>#VALUE!</v>
          </cell>
          <cell r="P635" t="e">
            <v>#VALUE!</v>
          </cell>
          <cell r="Q635" t="e">
            <v>#VALUE!</v>
          </cell>
          <cell r="R635" t="e">
            <v>#VALUE!</v>
          </cell>
          <cell r="S635" t="e">
            <v>#VALUE!</v>
          </cell>
          <cell r="T635" t="e">
            <v>#VALUE!</v>
          </cell>
        </row>
        <row r="636">
          <cell r="B636" t="str">
            <v>FY1</v>
          </cell>
          <cell r="C636" t="e">
            <v>#VALUE!</v>
          </cell>
          <cell r="D636" t="e">
            <v>#VALUE!</v>
          </cell>
          <cell r="E636" t="e">
            <v>#VALUE!</v>
          </cell>
          <cell r="F636" t="e">
            <v>#VALUE!</v>
          </cell>
          <cell r="G636" t="e">
            <v>#VALUE!</v>
          </cell>
          <cell r="H636" t="e">
            <v>#VALUE!</v>
          </cell>
          <cell r="I636" t="e">
            <v>#VALUE!</v>
          </cell>
          <cell r="J636" t="e">
            <v>#VALUE!</v>
          </cell>
          <cell r="M636" t="e">
            <v>#VALUE!</v>
          </cell>
          <cell r="N636" t="e">
            <v>#VALUE!</v>
          </cell>
          <cell r="O636" t="e">
            <v>#VALUE!</v>
          </cell>
          <cell r="P636" t="e">
            <v>#VALUE!</v>
          </cell>
          <cell r="Q636" t="e">
            <v>#VALUE!</v>
          </cell>
          <cell r="R636" t="e">
            <v>#VALUE!</v>
          </cell>
          <cell r="S636" t="e">
            <v>#VALUE!</v>
          </cell>
          <cell r="T636" t="e">
            <v>#VALUE!</v>
          </cell>
        </row>
        <row r="637">
          <cell r="B637" t="str">
            <v>FY2</v>
          </cell>
          <cell r="C637" t="e">
            <v>#VALUE!</v>
          </cell>
          <cell r="D637" t="e">
            <v>#VALUE!</v>
          </cell>
          <cell r="E637" t="e">
            <v>#VALUE!</v>
          </cell>
          <cell r="F637" t="e">
            <v>#VALUE!</v>
          </cell>
          <cell r="G637" t="e">
            <v>#VALUE!</v>
          </cell>
          <cell r="H637" t="e">
            <v>#VALUE!</v>
          </cell>
          <cell r="I637" t="e">
            <v>#VALUE!</v>
          </cell>
          <cell r="J637" t="e">
            <v>#VALUE!</v>
          </cell>
          <cell r="M637" t="e">
            <v>#VALUE!</v>
          </cell>
          <cell r="N637" t="e">
            <v>#VALUE!</v>
          </cell>
          <cell r="O637" t="e">
            <v>#VALUE!</v>
          </cell>
          <cell r="P637" t="e">
            <v>#VALUE!</v>
          </cell>
          <cell r="Q637" t="e">
            <v>#VALUE!</v>
          </cell>
          <cell r="R637" t="e">
            <v>#VALUE!</v>
          </cell>
          <cell r="S637" t="e">
            <v>#VALUE!</v>
          </cell>
          <cell r="T637" t="e">
            <v>#VALUE!</v>
          </cell>
        </row>
        <row r="638">
          <cell r="B638" t="str">
            <v>FY1</v>
          </cell>
          <cell r="C638">
            <v>-2.8074724952320329E-2</v>
          </cell>
          <cell r="D638">
            <v>-0.11729215005712457</v>
          </cell>
          <cell r="E638">
            <v>-1.1424421254705996E-2</v>
          </cell>
          <cell r="F638">
            <v>-0.11479832905532772</v>
          </cell>
          <cell r="G638">
            <v>-0.20385414638272126</v>
          </cell>
          <cell r="H638">
            <v>-6.7073917235653813E-2</v>
          </cell>
          <cell r="I638">
            <v>-3.4972687461026997E-2</v>
          </cell>
          <cell r="J638">
            <v>-8.2498625199840095E-2</v>
          </cell>
          <cell r="M638">
            <v>-0.21661975955999857</v>
          </cell>
          <cell r="N638">
            <v>-5.1055362216858136E-2</v>
          </cell>
          <cell r="O638">
            <v>3.7966668422163119E-2</v>
          </cell>
          <cell r="P638">
            <v>-2.6895424427293202E-2</v>
          </cell>
          <cell r="Q638">
            <v>1.0354936978806961E-3</v>
          </cell>
          <cell r="R638">
            <v>-0.12349306193254084</v>
          </cell>
          <cell r="S638">
            <v>-7.666879196783305E-2</v>
          </cell>
          <cell r="T638">
            <v>-6.5104319712068565E-2</v>
          </cell>
        </row>
        <row r="639">
          <cell r="B639" t="str">
            <v>FCF Yield</v>
          </cell>
          <cell r="C639">
            <v>-1.717080001305693E-2</v>
          </cell>
          <cell r="D639">
            <v>-8.3364925020563696E-3</v>
          </cell>
          <cell r="E639">
            <v>-2.6487959627819579E-2</v>
          </cell>
          <cell r="F639">
            <v>-1.6931885456709206E-2</v>
          </cell>
          <cell r="G639">
            <v>-5.6563156961221495E-2</v>
          </cell>
          <cell r="H639">
            <v>-2.0621464663999056E-3</v>
          </cell>
          <cell r="I639">
            <v>7.9871148560513028E-3</v>
          </cell>
          <cell r="J639">
            <v>-1.708076088160174E-2</v>
          </cell>
          <cell r="M639">
            <v>-2.6007948492032806E-2</v>
          </cell>
          <cell r="N639">
            <v>3.5756463590146836E-2</v>
          </cell>
          <cell r="O639">
            <v>-3.1064536814966459E-2</v>
          </cell>
          <cell r="P639">
            <v>1.2895585404308463E-2</v>
          </cell>
          <cell r="Q639">
            <v>-1.0981203497142378E-3</v>
          </cell>
          <cell r="R639">
            <v>-3.4797680849844359E-2</v>
          </cell>
          <cell r="S639">
            <v>-8.0801684127954743E-2</v>
          </cell>
          <cell r="T639">
            <v>-1.7873988805722472E-2</v>
          </cell>
        </row>
        <row r="640">
          <cell r="B640" t="str">
            <v>FY0</v>
          </cell>
          <cell r="C640" t="e">
            <v>#VALUE!</v>
          </cell>
          <cell r="D640" t="e">
            <v>#VALUE!</v>
          </cell>
          <cell r="E640" t="e">
            <v>#VALUE!</v>
          </cell>
          <cell r="F640" t="e">
            <v>#VALUE!</v>
          </cell>
          <cell r="G640" t="e">
            <v>#VALUE!</v>
          </cell>
          <cell r="H640" t="e">
            <v>#VALUE!</v>
          </cell>
          <cell r="I640" t="e">
            <v>#VALUE!</v>
          </cell>
          <cell r="J640" t="e">
            <v>#VALUE!</v>
          </cell>
          <cell r="M640" t="e">
            <v>#VALUE!</v>
          </cell>
          <cell r="N640" t="e">
            <v>#VALUE!</v>
          </cell>
          <cell r="O640" t="e">
            <v>#VALUE!</v>
          </cell>
          <cell r="P640" t="e">
            <v>#VALUE!</v>
          </cell>
          <cell r="Q640" t="e">
            <v>#VALUE!</v>
          </cell>
          <cell r="R640" t="e">
            <v>#VALUE!</v>
          </cell>
          <cell r="S640" t="e">
            <v>#VALUE!</v>
          </cell>
          <cell r="T640" t="e">
            <v>#VALUE!</v>
          </cell>
        </row>
        <row r="641">
          <cell r="B641" t="str">
            <v>FY1</v>
          </cell>
          <cell r="C641" t="e">
            <v>#VALUE!</v>
          </cell>
          <cell r="D641" t="e">
            <v>#VALUE!</v>
          </cell>
          <cell r="E641" t="e">
            <v>#VALUE!</v>
          </cell>
          <cell r="F641" t="e">
            <v>#VALUE!</v>
          </cell>
          <cell r="G641" t="e">
            <v>#VALUE!</v>
          </cell>
          <cell r="H641" t="e">
            <v>#VALUE!</v>
          </cell>
          <cell r="I641" t="e">
            <v>#VALUE!</v>
          </cell>
          <cell r="J641" t="e">
            <v>#VALUE!</v>
          </cell>
          <cell r="M641" t="e">
            <v>#VALUE!</v>
          </cell>
          <cell r="N641" t="e">
            <v>#VALUE!</v>
          </cell>
          <cell r="O641" t="e">
            <v>#VALUE!</v>
          </cell>
          <cell r="P641" t="e">
            <v>#VALUE!</v>
          </cell>
          <cell r="Q641" t="e">
            <v>#VALUE!</v>
          </cell>
          <cell r="R641" t="e">
            <v>#VALUE!</v>
          </cell>
          <cell r="S641" t="e">
            <v>#VALUE!</v>
          </cell>
          <cell r="T641" t="e">
            <v>#VALUE!</v>
          </cell>
        </row>
        <row r="642">
          <cell r="B642" t="str">
            <v>FY2</v>
          </cell>
          <cell r="C642" t="e">
            <v>#VALUE!</v>
          </cell>
          <cell r="D642" t="e">
            <v>#VALUE!</v>
          </cell>
          <cell r="E642" t="e">
            <v>#VALUE!</v>
          </cell>
          <cell r="F642" t="e">
            <v>#VALUE!</v>
          </cell>
          <cell r="G642" t="e">
            <v>#VALUE!</v>
          </cell>
          <cell r="H642" t="e">
            <v>#VALUE!</v>
          </cell>
          <cell r="I642" t="e">
            <v>#VALUE!</v>
          </cell>
          <cell r="J642" t="e">
            <v>#VALUE!</v>
          </cell>
          <cell r="M642" t="e">
            <v>#VALUE!</v>
          </cell>
          <cell r="N642" t="e">
            <v>#VALUE!</v>
          </cell>
          <cell r="O642" t="e">
            <v>#VALUE!</v>
          </cell>
          <cell r="P642" t="e">
            <v>#VALUE!</v>
          </cell>
          <cell r="Q642" t="e">
            <v>#VALUE!</v>
          </cell>
          <cell r="R642" t="e">
            <v>#VALUE!</v>
          </cell>
          <cell r="S642" t="e">
            <v>#VALUE!</v>
          </cell>
          <cell r="T642" t="e">
            <v>#VALUE!</v>
          </cell>
        </row>
        <row r="643">
          <cell r="B643" t="str">
            <v>FY(4)</v>
          </cell>
          <cell r="C643">
            <v>-1.6104116425834508E-2</v>
          </cell>
          <cell r="D643">
            <v>4.8745887198477236E-2</v>
          </cell>
          <cell r="E643">
            <v>4.739393860187921E-2</v>
          </cell>
          <cell r="F643">
            <v>0.10414967075315233</v>
          </cell>
          <cell r="G643">
            <v>-1.6002973229129962E-2</v>
          </cell>
          <cell r="H643">
            <v>0.10460282193254579</v>
          </cell>
          <cell r="I643">
            <v>-6.8538113510742391E-2</v>
          </cell>
          <cell r="J643">
            <v>2.9178159331478239E-2</v>
          </cell>
          <cell r="M643">
            <v>-9.0182475233402185E-2</v>
          </cell>
          <cell r="N643">
            <v>1.6265020523310608E-2</v>
          </cell>
          <cell r="O643">
            <v>2.887320382180783E-2</v>
          </cell>
          <cell r="P643">
            <v>0.1972933721489773</v>
          </cell>
          <cell r="Q643">
            <v>-6.1735720379371806E-2</v>
          </cell>
          <cell r="R643">
            <v>-0.18863787503354715</v>
          </cell>
          <cell r="S643">
            <v>-7.9830878569927516E-2</v>
          </cell>
          <cell r="T643">
            <v>-2.5422193246021844E-2</v>
          </cell>
        </row>
        <row r="644">
          <cell r="B644" t="str">
            <v>Dividend Yield</v>
          </cell>
          <cell r="C644">
            <v>5.9034041611078461E-2</v>
          </cell>
          <cell r="D644">
            <v>8.3652706789857124E-3</v>
          </cell>
          <cell r="E644">
            <v>9.3452357841947817E-2</v>
          </cell>
          <cell r="F644">
            <v>4.2432082369352635E-2</v>
          </cell>
          <cell r="G644">
            <v>-1.3427360645453716</v>
          </cell>
          <cell r="H644">
            <v>9.1562993578642005E-2</v>
          </cell>
          <cell r="I644">
            <v>8.6338496178983357E-2</v>
          </cell>
          <cell r="J644">
            <v>-0.1373644031837688</v>
          </cell>
          <cell r="M644">
            <v>-0.33263440780571307</v>
          </cell>
          <cell r="N644">
            <v>9.1971427555257973E-2</v>
          </cell>
          <cell r="O644">
            <v>-2.0295775839924285E-2</v>
          </cell>
          <cell r="P644">
            <v>0.10408122365430753</v>
          </cell>
          <cell r="Q644">
            <v>4.4730578743809077E-2</v>
          </cell>
          <cell r="R644">
            <v>-5.6553828673749022E-2</v>
          </cell>
          <cell r="S644">
            <v>-6.5005339046984675E-2</v>
          </cell>
          <cell r="T644">
            <v>-3.3386588773285208E-2</v>
          </cell>
        </row>
        <row r="645">
          <cell r="B645" t="str">
            <v>FY0</v>
          </cell>
          <cell r="C645" t="str">
            <v/>
          </cell>
          <cell r="D645" t="str">
            <v/>
          </cell>
          <cell r="E645" t="str">
            <v/>
          </cell>
          <cell r="F645" t="str">
            <v/>
          </cell>
          <cell r="G645" t="str">
            <v/>
          </cell>
          <cell r="H645" t="str">
            <v/>
          </cell>
          <cell r="I645" t="str">
            <v/>
          </cell>
          <cell r="J645" t="e">
            <v>#NUM!</v>
          </cell>
          <cell r="M645" t="str">
            <v/>
          </cell>
          <cell r="N645" t="str">
            <v/>
          </cell>
          <cell r="O645" t="str">
            <v/>
          </cell>
          <cell r="P645" t="str">
            <v/>
          </cell>
          <cell r="Q645" t="str">
            <v/>
          </cell>
          <cell r="R645" t="str">
            <v/>
          </cell>
          <cell r="S645" t="str">
            <v/>
          </cell>
          <cell r="T645" t="e">
            <v>#NUM!</v>
          </cell>
        </row>
        <row r="646">
          <cell r="B646" t="str">
            <v>FY1</v>
          </cell>
          <cell r="C646" t="str">
            <v/>
          </cell>
          <cell r="D646" t="str">
            <v/>
          </cell>
          <cell r="E646" t="str">
            <v/>
          </cell>
          <cell r="F646" t="str">
            <v/>
          </cell>
          <cell r="G646" t="str">
            <v/>
          </cell>
          <cell r="H646" t="str">
            <v/>
          </cell>
          <cell r="I646" t="str">
            <v/>
          </cell>
          <cell r="J646" t="e">
            <v>#NUM!</v>
          </cell>
          <cell r="M646" t="str">
            <v/>
          </cell>
          <cell r="N646" t="str">
            <v/>
          </cell>
          <cell r="O646" t="str">
            <v/>
          </cell>
          <cell r="P646" t="str">
            <v/>
          </cell>
          <cell r="Q646" t="str">
            <v/>
          </cell>
          <cell r="R646" t="str">
            <v/>
          </cell>
          <cell r="S646" t="str">
            <v/>
          </cell>
          <cell r="T646" t="e">
            <v>#NUM!</v>
          </cell>
        </row>
        <row r="647">
          <cell r="B647" t="str">
            <v>FY2</v>
          </cell>
          <cell r="C647" t="str">
            <v/>
          </cell>
          <cell r="D647" t="str">
            <v/>
          </cell>
          <cell r="E647" t="str">
            <v/>
          </cell>
          <cell r="F647" t="str">
            <v/>
          </cell>
          <cell r="G647" t="str">
            <v/>
          </cell>
          <cell r="H647" t="str">
            <v/>
          </cell>
          <cell r="I647" t="str">
            <v/>
          </cell>
          <cell r="J647" t="e">
            <v>#NUM!</v>
          </cell>
          <cell r="M647" t="str">
            <v/>
          </cell>
          <cell r="N647" t="str">
            <v/>
          </cell>
          <cell r="O647" t="str">
            <v/>
          </cell>
          <cell r="P647" t="str">
            <v/>
          </cell>
          <cell r="Q647" t="str">
            <v/>
          </cell>
          <cell r="R647" t="str">
            <v/>
          </cell>
          <cell r="S647" t="str">
            <v/>
          </cell>
          <cell r="T647" t="e">
            <v>#NUM!</v>
          </cell>
        </row>
        <row r="648">
          <cell r="B648" t="str">
            <v>FY1</v>
          </cell>
          <cell r="C648">
            <v>3.2045591556247421E-2</v>
          </cell>
          <cell r="D648">
            <v>5.1981526084222462E-2</v>
          </cell>
          <cell r="E648">
            <v>-4.4125390416967503E-2</v>
          </cell>
          <cell r="F648">
            <v>5.4178625789718916E-2</v>
          </cell>
          <cell r="G648">
            <v>5.2904749737220258E-2</v>
          </cell>
          <cell r="H648">
            <v>0.12167763905476112</v>
          </cell>
          <cell r="I648">
            <v>7.3259545141423105E-2</v>
          </cell>
          <cell r="J648">
            <v>4.8846040992375106E-2</v>
          </cell>
          <cell r="M648">
            <v>2.1177557729705754E-3</v>
          </cell>
          <cell r="N648">
            <v>0.14143994216824063</v>
          </cell>
          <cell r="O648">
            <v>-8.2462858476940015E-2</v>
          </cell>
          <cell r="P648">
            <v>6.3903958320594201E-2</v>
          </cell>
          <cell r="Q648">
            <v>-2.9552812927526595E-2</v>
          </cell>
          <cell r="R648">
            <v>8.4541000412301337E-2</v>
          </cell>
          <cell r="S648">
            <v>5.9908180705699046E-2</v>
          </cell>
          <cell r="T648">
            <v>3.4270737996477021E-2</v>
          </cell>
        </row>
        <row r="649">
          <cell r="B649" t="str">
            <v>P/Sales</v>
          </cell>
          <cell r="C649">
            <v>4.2170800013056932E-2</v>
          </cell>
          <cell r="D649">
            <v>-1.6635074979436306E-3</v>
          </cell>
          <cell r="E649">
            <v>1.6487959627819578E-2</v>
          </cell>
          <cell r="F649">
            <v>-3.0681145432907946E-3</v>
          </cell>
          <cell r="G649">
            <v>2.6563156961221496E-2</v>
          </cell>
          <cell r="H649">
            <v>2.2062146466399906E-2</v>
          </cell>
          <cell r="I649">
            <v>1.2012885143948698E-2</v>
          </cell>
          <cell r="J649">
            <v>1.6366475167316027E-2</v>
          </cell>
          <cell r="M649">
            <v>-4.4652141651022992E-2</v>
          </cell>
          <cell r="N649">
            <v>4.2435364098531644E-3</v>
          </cell>
          <cell r="O649">
            <v>4.1064536814966461E-2</v>
          </cell>
          <cell r="P649">
            <v>2.7104414595691538E-2</v>
          </cell>
          <cell r="Q649">
            <v>-9.9569220345095619E-3</v>
          </cell>
          <cell r="R649">
            <v>2.2843379017423959E-2</v>
          </cell>
          <cell r="S649">
            <v>0.13265176300151366</v>
          </cell>
          <cell r="T649">
            <v>2.4756938021988032E-2</v>
          </cell>
        </row>
        <row r="650">
          <cell r="B650" t="str">
            <v>FY0</v>
          </cell>
          <cell r="C650" t="e">
            <v>#VALUE!</v>
          </cell>
          <cell r="D650" t="e">
            <v>#VALUE!</v>
          </cell>
          <cell r="E650" t="e">
            <v>#VALUE!</v>
          </cell>
          <cell r="F650" t="e">
            <v>#VALUE!</v>
          </cell>
          <cell r="G650" t="e">
            <v>#VALUE!</v>
          </cell>
          <cell r="H650" t="e">
            <v>#VALUE!</v>
          </cell>
          <cell r="I650" t="e">
            <v>#VALUE!</v>
          </cell>
          <cell r="J650" t="e">
            <v>#VALUE!</v>
          </cell>
          <cell r="M650" t="e">
            <v>#VALUE!</v>
          </cell>
          <cell r="N650" t="e">
            <v>#VALUE!</v>
          </cell>
          <cell r="O650" t="e">
            <v>#VALUE!</v>
          </cell>
          <cell r="P650" t="e">
            <v>#VALUE!</v>
          </cell>
          <cell r="Q650" t="e">
            <v>#VALUE!</v>
          </cell>
          <cell r="R650" t="e">
            <v>#VALUE!</v>
          </cell>
          <cell r="S650" t="e">
            <v>#VALUE!</v>
          </cell>
          <cell r="T650" t="e">
            <v>#VALUE!</v>
          </cell>
        </row>
        <row r="651">
          <cell r="B651" t="str">
            <v>FY1</v>
          </cell>
          <cell r="C651" t="e">
            <v>#VALUE!</v>
          </cell>
          <cell r="D651" t="e">
            <v>#VALUE!</v>
          </cell>
          <cell r="E651" t="e">
            <v>#VALUE!</v>
          </cell>
          <cell r="F651" t="e">
            <v>#VALUE!</v>
          </cell>
          <cell r="G651" t="e">
            <v>#VALUE!</v>
          </cell>
          <cell r="H651" t="e">
            <v>#VALUE!</v>
          </cell>
          <cell r="I651" t="e">
            <v>#VALUE!</v>
          </cell>
          <cell r="J651" t="e">
            <v>#VALUE!</v>
          </cell>
          <cell r="M651" t="e">
            <v>#VALUE!</v>
          </cell>
          <cell r="N651" t="e">
            <v>#VALUE!</v>
          </cell>
          <cell r="O651" t="e">
            <v>#VALUE!</v>
          </cell>
          <cell r="P651" t="e">
            <v>#VALUE!</v>
          </cell>
          <cell r="Q651" t="e">
            <v>#VALUE!</v>
          </cell>
          <cell r="R651" t="e">
            <v>#VALUE!</v>
          </cell>
          <cell r="S651" t="e">
            <v>#VALUE!</v>
          </cell>
          <cell r="T651" t="e">
            <v>#VALUE!</v>
          </cell>
        </row>
        <row r="652">
          <cell r="B652" t="str">
            <v>FY2</v>
          </cell>
          <cell r="C652" t="e">
            <v>#VALUE!</v>
          </cell>
          <cell r="D652" t="e">
            <v>#VALUE!</v>
          </cell>
          <cell r="E652" t="e">
            <v>#VALUE!</v>
          </cell>
          <cell r="F652" t="e">
            <v>#VALUE!</v>
          </cell>
          <cell r="G652" t="e">
            <v>#VALUE!</v>
          </cell>
          <cell r="H652" t="e">
            <v>#VALUE!</v>
          </cell>
          <cell r="I652" t="e">
            <v>#VALUE!</v>
          </cell>
          <cell r="J652" t="e">
            <v>#VALUE!</v>
          </cell>
          <cell r="K652">
            <v>56.223660362650925</v>
          </cell>
          <cell r="M652" t="e">
            <v>#VALUE!</v>
          </cell>
          <cell r="N652" t="e">
            <v>#VALUE!</v>
          </cell>
          <cell r="O652" t="e">
            <v>#VALUE!</v>
          </cell>
          <cell r="P652" t="e">
            <v>#VALUE!</v>
          </cell>
          <cell r="Q652" t="e">
            <v>#VALUE!</v>
          </cell>
          <cell r="R652" t="e">
            <v>#VALUE!</v>
          </cell>
          <cell r="S652" t="e">
            <v>#VALUE!</v>
          </cell>
          <cell r="T652" t="e">
            <v>#VALUE!</v>
          </cell>
          <cell r="U652">
            <v>153.15566538025266</v>
          </cell>
        </row>
        <row r="653">
          <cell r="B653" t="str">
            <v>FY(1)</v>
          </cell>
          <cell r="C653">
            <v>52.896736253201503</v>
          </cell>
          <cell r="D653">
            <v>54.68105065666041</v>
          </cell>
          <cell r="E653">
            <v>55.200986054555663</v>
          </cell>
          <cell r="F653">
            <v>116.0395357985838</v>
          </cell>
          <cell r="G653">
            <v>107.16633806833863</v>
          </cell>
          <cell r="H653">
            <v>44.355497630331755</v>
          </cell>
          <cell r="I653">
            <v>39.693848600778857</v>
          </cell>
          <cell r="K653">
            <v>55.197959773596573</v>
          </cell>
          <cell r="M653">
            <v>242.96088319476624</v>
          </cell>
          <cell r="N653">
            <v>117.81253428199783</v>
          </cell>
          <cell r="O653">
            <v>125.25192944504418</v>
          </cell>
          <cell r="P653">
            <v>837.50417641254148</v>
          </cell>
          <cell r="Q653">
            <v>109.72222222222223</v>
          </cell>
          <cell r="R653">
            <v>252.39239646978953</v>
          </cell>
          <cell r="S653">
            <v>121.88537141352623</v>
          </cell>
          <cell r="U653">
            <v>161.87029690248212</v>
          </cell>
        </row>
        <row r="654">
          <cell r="B654" t="str">
            <v>Current Price/Book Value</v>
          </cell>
          <cell r="C654">
            <v>52.485891828461703</v>
          </cell>
          <cell r="D654">
            <v>53.160526907542184</v>
          </cell>
          <cell r="E654">
            <v>54.889643132953907</v>
          </cell>
          <cell r="F654">
            <v>112.69838123554675</v>
          </cell>
          <cell r="G654">
            <v>101.53403110118391</v>
          </cell>
          <cell r="H654">
            <v>46.163326249732442</v>
          </cell>
          <cell r="I654">
            <v>39.743768451555518</v>
          </cell>
          <cell r="K654">
            <v>54.489639577494366</v>
          </cell>
          <cell r="M654">
            <v>236.73855081325479</v>
          </cell>
          <cell r="N654">
            <v>123.57098885896485</v>
          </cell>
          <cell r="O654">
            <v>115.9958326004987</v>
          </cell>
          <cell r="P654">
            <v>782.12610361811073</v>
          </cell>
          <cell r="Q654">
            <v>98.708860759493675</v>
          </cell>
          <cell r="R654">
            <v>210.0189020305919</v>
          </cell>
          <cell r="S654">
            <v>123.20304255242671</v>
          </cell>
          <cell r="U654">
            <v>150.00822074468337</v>
          </cell>
        </row>
        <row r="655">
          <cell r="B655" t="str">
            <v>FY0</v>
          </cell>
          <cell r="C655" t="e">
            <v>#VALUE!</v>
          </cell>
          <cell r="D655" t="e">
            <v>#VALUE!</v>
          </cell>
          <cell r="E655" t="e">
            <v>#VALUE!</v>
          </cell>
          <cell r="F655" t="e">
            <v>#VALUE!</v>
          </cell>
          <cell r="G655" t="e">
            <v>#VALUE!</v>
          </cell>
          <cell r="H655" t="e">
            <v>#VALUE!</v>
          </cell>
          <cell r="I655" t="e">
            <v>#VALUE!</v>
          </cell>
          <cell r="J655" t="e">
            <v>#VALUE!</v>
          </cell>
          <cell r="K655">
            <v>54.172660862097118</v>
          </cell>
          <cell r="M655" t="e">
            <v>#VALUE!</v>
          </cell>
          <cell r="N655" t="e">
            <v>#VALUE!</v>
          </cell>
          <cell r="O655" t="e">
            <v>#VALUE!</v>
          </cell>
          <cell r="P655" t="e">
            <v>#VALUE!</v>
          </cell>
          <cell r="Q655" t="e">
            <v>#VALUE!</v>
          </cell>
          <cell r="R655" t="e">
            <v>#VALUE!</v>
          </cell>
          <cell r="S655" t="e">
            <v>#VALUE!</v>
          </cell>
          <cell r="T655" t="e">
            <v>#VALUE!</v>
          </cell>
          <cell r="U655">
            <v>149.72934531906631</v>
          </cell>
        </row>
        <row r="656">
          <cell r="B656" t="str">
            <v>FY1</v>
          </cell>
          <cell r="C656" t="e">
            <v>#VALUE!</v>
          </cell>
          <cell r="D656" t="e">
            <v>#VALUE!</v>
          </cell>
          <cell r="E656" t="e">
            <v>#VALUE!</v>
          </cell>
          <cell r="F656" t="e">
            <v>#VALUE!</v>
          </cell>
          <cell r="G656" t="e">
            <v>#VALUE!</v>
          </cell>
          <cell r="H656" t="e">
            <v>#VALUE!</v>
          </cell>
          <cell r="I656" t="e">
            <v>#VALUE!</v>
          </cell>
          <cell r="J656" t="e">
            <v>#VALUE!</v>
          </cell>
          <cell r="K656">
            <v>53.715653746568783</v>
          </cell>
          <cell r="M656" t="e">
            <v>#VALUE!</v>
          </cell>
          <cell r="N656" t="e">
            <v>#VALUE!</v>
          </cell>
          <cell r="O656" t="e">
            <v>#VALUE!</v>
          </cell>
          <cell r="P656" t="e">
            <v>#VALUE!</v>
          </cell>
          <cell r="Q656" t="e">
            <v>#VALUE!</v>
          </cell>
          <cell r="R656" t="e">
            <v>#VALUE!</v>
          </cell>
          <cell r="S656" t="e">
            <v>#VALUE!</v>
          </cell>
          <cell r="T656" t="e">
            <v>#VALUE!</v>
          </cell>
          <cell r="U656">
            <v>154.80379580954013</v>
          </cell>
        </row>
        <row r="657">
          <cell r="B657" t="str">
            <v>FY2</v>
          </cell>
          <cell r="C657" t="e">
            <v>#VALUE!</v>
          </cell>
          <cell r="D657" t="e">
            <v>#VALUE!</v>
          </cell>
          <cell r="E657" t="e">
            <v>#VALUE!</v>
          </cell>
          <cell r="F657" t="e">
            <v>#VALUE!</v>
          </cell>
          <cell r="G657" t="e">
            <v>#VALUE!</v>
          </cell>
          <cell r="H657" t="e">
            <v>#VALUE!</v>
          </cell>
          <cell r="I657" t="e">
            <v>#VALUE!</v>
          </cell>
          <cell r="J657" t="e">
            <v>#VALUE!</v>
          </cell>
          <cell r="M657" t="e">
            <v>#VALUE!</v>
          </cell>
          <cell r="N657" t="e">
            <v>#VALUE!</v>
          </cell>
          <cell r="O657" t="e">
            <v>#VALUE!</v>
          </cell>
          <cell r="P657" t="e">
            <v>#VALUE!</v>
          </cell>
          <cell r="Q657" t="e">
            <v>#VALUE!</v>
          </cell>
          <cell r="R657" t="e">
            <v>#VALUE!</v>
          </cell>
          <cell r="S657" t="e">
            <v>#VALUE!</v>
          </cell>
          <cell r="T657" t="e">
            <v>#VALUE!</v>
          </cell>
        </row>
        <row r="658">
          <cell r="B658" t="str">
            <v>FQ(2)</v>
          </cell>
          <cell r="C658">
            <v>12.814700234691701</v>
          </cell>
          <cell r="D658">
            <v>13.498469709167473</v>
          </cell>
          <cell r="E658">
            <v>12.693797820768248</v>
          </cell>
          <cell r="F658">
            <v>25.437727122563594</v>
          </cell>
          <cell r="G658">
            <v>20.671901141774427</v>
          </cell>
          <cell r="H658">
            <v>12.090222222222222</v>
          </cell>
          <cell r="I658">
            <v>9.2958492215560344</v>
          </cell>
          <cell r="M658">
            <v>53.777736225380202</v>
          </cell>
          <cell r="N658">
            <v>28.662728710283766</v>
          </cell>
          <cell r="O658">
            <v>25.077087883426593</v>
          </cell>
          <cell r="P658">
            <v>203.27393151549455</v>
          </cell>
          <cell r="Q658">
            <v>22.430379746835442</v>
          </cell>
          <cell r="R658">
            <v>44.332051787893519</v>
          </cell>
          <cell r="S658">
            <v>28.918464242741916</v>
          </cell>
        </row>
        <row r="659">
          <cell r="B659" t="str">
            <v>FQ(1)</v>
          </cell>
          <cell r="C659">
            <v>12.881374013228077</v>
          </cell>
          <cell r="D659">
            <v>13.370261720070904</v>
          </cell>
          <cell r="E659">
            <v>12.077279010454861</v>
          </cell>
          <cell r="F659">
            <v>28.694133748643164</v>
          </cell>
          <cell r="G659">
            <v>20.606334745343176</v>
          </cell>
          <cell r="H659">
            <v>12.718133333333334</v>
          </cell>
          <cell r="I659">
            <v>10.001760474286144</v>
          </cell>
          <cell r="M659">
            <v>53.785838942907006</v>
          </cell>
          <cell r="N659">
            <v>30.652612453091901</v>
          </cell>
          <cell r="O659">
            <v>26.417602443171933</v>
          </cell>
          <cell r="P659">
            <v>193.01066015097985</v>
          </cell>
          <cell r="Q659">
            <v>23.11392405063291</v>
          </cell>
          <cell r="R659">
            <v>47.655689419450738</v>
          </cell>
          <cell r="S659">
            <v>32.33000092580037</v>
          </cell>
        </row>
        <row r="660">
          <cell r="B660" t="str">
            <v>mstag:propertyPlantAndEquipmentNet</v>
          </cell>
          <cell r="C660">
            <v>13.694794111371881</v>
          </cell>
          <cell r="D660">
            <v>14.524133621940035</v>
          </cell>
          <cell r="E660">
            <v>13.193502540706465</v>
          </cell>
          <cell r="F660">
            <v>27.41988767756855</v>
          </cell>
          <cell r="G660">
            <v>21.618557551100253</v>
          </cell>
          <cell r="H660">
            <v>12.733822222222223</v>
          </cell>
          <cell r="I660">
            <v>10.927744956920218</v>
          </cell>
          <cell r="M660">
            <v>55.858015457491895</v>
          </cell>
          <cell r="N660">
            <v>35.692474062401246</v>
          </cell>
          <cell r="O660">
            <v>30.54107137185223</v>
          </cell>
          <cell r="P660">
            <v>782.12610361811073</v>
          </cell>
          <cell r="Q660">
            <v>25.924050632911392</v>
          </cell>
          <cell r="R660">
            <v>46.233173981263128</v>
          </cell>
          <cell r="S660">
            <v>34.019254632710343</v>
          </cell>
        </row>
        <row r="661">
          <cell r="B661" t="str">
            <v>Assets</v>
          </cell>
        </row>
        <row r="662">
          <cell r="B662" t="str">
            <v>FY(5)</v>
          </cell>
        </row>
        <row r="663">
          <cell r="B663" t="str">
            <v>FY(4)</v>
          </cell>
        </row>
        <row r="664">
          <cell r="B664" t="str">
            <v>FY(3)</v>
          </cell>
        </row>
        <row r="665">
          <cell r="B665" t="str">
            <v>FY(2)</v>
          </cell>
        </row>
        <row r="666">
          <cell r="B666" t="str">
            <v>FY(1)</v>
          </cell>
        </row>
        <row r="667">
          <cell r="B667" t="str">
            <v>FY0</v>
          </cell>
        </row>
        <row r="668">
          <cell r="B668" t="str">
            <v>FY1</v>
          </cell>
        </row>
        <row r="669">
          <cell r="B669" t="str">
            <v>FY2</v>
          </cell>
        </row>
        <row r="671">
          <cell r="A671" t="str">
            <v>mstag:inventories</v>
          </cell>
        </row>
        <row r="672">
          <cell r="B672" t="str">
            <v>Inventory</v>
          </cell>
        </row>
        <row r="673">
          <cell r="B673" t="str">
            <v>FY(5)</v>
          </cell>
          <cell r="C673">
            <v>1946.9770000000001</v>
          </cell>
          <cell r="D673">
            <v>3142</v>
          </cell>
          <cell r="E673">
            <v>3120</v>
          </cell>
          <cell r="F673">
            <v>917.18200000000002</v>
          </cell>
          <cell r="G673">
            <v>1516.271</v>
          </cell>
          <cell r="H673">
            <v>853.11199999999997</v>
          </cell>
          <cell r="I673">
            <v>2352.0320000000002</v>
          </cell>
          <cell r="M673">
            <v>211.19800000000001</v>
          </cell>
          <cell r="N673">
            <v>81.238</v>
          </cell>
          <cell r="O673">
            <v>170.57599999999999</v>
          </cell>
          <cell r="P673">
            <v>161.91300000000001</v>
          </cell>
          <cell r="Q673">
            <v>1814</v>
          </cell>
          <cell r="R673">
            <v>1142</v>
          </cell>
          <cell r="S673">
            <v>98.995999999999995</v>
          </cell>
        </row>
        <row r="674">
          <cell r="B674" t="str">
            <v>FY(4)</v>
          </cell>
          <cell r="C674">
            <v>2237.5680000000002</v>
          </cell>
          <cell r="D674">
            <v>3210</v>
          </cell>
          <cell r="E674">
            <v>5459</v>
          </cell>
          <cell r="F674">
            <v>955.97799999999995</v>
          </cell>
          <cell r="G674">
            <v>807.21100000000001</v>
          </cell>
          <cell r="H674">
            <v>938.09100000000001</v>
          </cell>
          <cell r="I674">
            <v>2365.8609999999999</v>
          </cell>
          <cell r="M674">
            <v>362.536</v>
          </cell>
          <cell r="N674">
            <v>91.908000000000001</v>
          </cell>
          <cell r="O674">
            <v>210.739</v>
          </cell>
          <cell r="P674">
            <v>184.41900000000001</v>
          </cell>
          <cell r="Q674">
            <v>1696</v>
          </cell>
          <cell r="R674">
            <v>1159.69</v>
          </cell>
          <cell r="S674">
            <v>140.37700000000001</v>
          </cell>
        </row>
        <row r="675">
          <cell r="B675" t="str">
            <v>FY(3)</v>
          </cell>
          <cell r="C675">
            <v>2578.3780000000002</v>
          </cell>
          <cell r="D675">
            <v>3400</v>
          </cell>
          <cell r="E675">
            <v>5317</v>
          </cell>
          <cell r="F675">
            <v>997.28899999999999</v>
          </cell>
          <cell r="G675">
            <v>785.30200000000002</v>
          </cell>
          <cell r="H675">
            <v>1051.729</v>
          </cell>
          <cell r="I675">
            <v>2581.9690000000001</v>
          </cell>
          <cell r="M675">
            <v>427.447</v>
          </cell>
          <cell r="N675">
            <v>101.476</v>
          </cell>
          <cell r="O675">
            <v>263.64400000000001</v>
          </cell>
          <cell r="P675">
            <v>233.494</v>
          </cell>
          <cell r="Q675">
            <v>1796</v>
          </cell>
          <cell r="R675">
            <v>1770</v>
          </cell>
          <cell r="S675">
            <v>154.387</v>
          </cell>
        </row>
        <row r="676">
          <cell r="B676" t="str">
            <v>FY(2)</v>
          </cell>
          <cell r="C676">
            <v>2855.7330000000002</v>
          </cell>
          <cell r="D676">
            <v>3641</v>
          </cell>
          <cell r="E676">
            <v>5060</v>
          </cell>
          <cell r="F676">
            <v>956</v>
          </cell>
          <cell r="G676">
            <v>857.173</v>
          </cell>
          <cell r="H676">
            <v>1025.2950000000001</v>
          </cell>
          <cell r="I676">
            <v>2737.3780000000002</v>
          </cell>
          <cell r="M676">
            <v>333.15300000000002</v>
          </cell>
          <cell r="N676">
            <v>136.488</v>
          </cell>
          <cell r="O676">
            <v>286.48500000000001</v>
          </cell>
          <cell r="P676">
            <v>291.19200000000001</v>
          </cell>
          <cell r="Q676">
            <v>1575</v>
          </cell>
          <cell r="R676">
            <v>1250.625</v>
          </cell>
          <cell r="S676">
            <v>171.92500000000001</v>
          </cell>
        </row>
        <row r="677">
          <cell r="B677" t="str">
            <v>FY(1)</v>
          </cell>
          <cell r="C677">
            <v>2799</v>
          </cell>
          <cell r="D677">
            <v>3259</v>
          </cell>
          <cell r="E677">
            <v>4769</v>
          </cell>
          <cell r="F677">
            <v>900</v>
          </cell>
          <cell r="G677">
            <v>728.84100000000001</v>
          </cell>
          <cell r="H677">
            <v>881.05799999999999</v>
          </cell>
          <cell r="I677">
            <v>2619.3359999999998</v>
          </cell>
          <cell r="M677">
            <v>372.42200000000003</v>
          </cell>
          <cell r="N677">
            <v>126.36</v>
          </cell>
          <cell r="O677">
            <v>294.928</v>
          </cell>
          <cell r="P677">
            <v>318.49</v>
          </cell>
          <cell r="Q677">
            <v>1506</v>
          </cell>
          <cell r="R677">
            <v>1181.865</v>
          </cell>
          <cell r="S677">
            <v>169.69800000000001</v>
          </cell>
        </row>
        <row r="678">
          <cell r="B678" t="str">
            <v>FY0</v>
          </cell>
          <cell r="C678">
            <v>2923</v>
          </cell>
          <cell r="D678">
            <v>3024</v>
          </cell>
          <cell r="E678">
            <v>4615</v>
          </cell>
          <cell r="F678">
            <v>898</v>
          </cell>
          <cell r="G678">
            <v>649.19600000000003</v>
          </cell>
          <cell r="H678">
            <v>872.49800000000005</v>
          </cell>
          <cell r="I678">
            <v>2532.3000000000002</v>
          </cell>
          <cell r="M678">
            <v>310.64499999999998</v>
          </cell>
          <cell r="N678">
            <v>132.91499999999999</v>
          </cell>
          <cell r="O678">
            <v>326.45400000000001</v>
          </cell>
          <cell r="P678">
            <v>326.14800000000002</v>
          </cell>
          <cell r="Q678">
            <v>1477</v>
          </cell>
          <cell r="R678">
            <v>1036.5530000000001</v>
          </cell>
          <cell r="S678">
            <v>186.13</v>
          </cell>
        </row>
        <row r="679">
          <cell r="B679" t="str">
            <v>FY1</v>
          </cell>
          <cell r="C679">
            <v>3123.9971107842498</v>
          </cell>
          <cell r="D679">
            <v>3252.61217088179</v>
          </cell>
          <cell r="E679">
            <v>4721.2360639694298</v>
          </cell>
          <cell r="F679">
            <v>914.11790804880604</v>
          </cell>
          <cell r="G679">
            <v>669.12691891221596</v>
          </cell>
          <cell r="H679">
            <v>834.78757252013304</v>
          </cell>
          <cell r="I679">
            <v>2625.2613280778201</v>
          </cell>
          <cell r="M679">
            <v>258.51078977779201</v>
          </cell>
          <cell r="N679">
            <v>145.12914927307301</v>
          </cell>
          <cell r="O679">
            <v>328.46417729998097</v>
          </cell>
          <cell r="P679">
            <v>343.01583673532502</v>
          </cell>
          <cell r="Q679">
            <v>1540.78859277573</v>
          </cell>
          <cell r="R679">
            <v>1056.0597821485901</v>
          </cell>
          <cell r="S679">
            <v>206.454753751087</v>
          </cell>
        </row>
        <row r="680">
          <cell r="B680" t="str">
            <v>FY2</v>
          </cell>
          <cell r="C680">
            <v>3334.1784300244799</v>
          </cell>
          <cell r="D680">
            <v>3343.2669776559701</v>
          </cell>
          <cell r="E680">
            <v>4712.7406133039703</v>
          </cell>
          <cell r="F680">
            <v>971.95523796844395</v>
          </cell>
          <cell r="G680">
            <v>697.66154527773404</v>
          </cell>
          <cell r="H680">
            <v>872.19591833105596</v>
          </cell>
          <cell r="I680">
            <v>2780.3311198893398</v>
          </cell>
          <cell r="M680">
            <v>269.88188642931402</v>
          </cell>
          <cell r="N680">
            <v>164.92922352314</v>
          </cell>
          <cell r="O680">
            <v>353.36622884730599</v>
          </cell>
          <cell r="P680">
            <v>366.82580611037599</v>
          </cell>
          <cell r="Q680">
            <v>1462.23084953795</v>
          </cell>
          <cell r="R680">
            <v>1070.8595931551099</v>
          </cell>
          <cell r="S680">
            <v>230.21031860692699</v>
          </cell>
        </row>
        <row r="681">
          <cell r="B681" t="str">
            <v>FQ(3)</v>
          </cell>
          <cell r="C681">
            <v>2804</v>
          </cell>
          <cell r="D681">
            <v>3237</v>
          </cell>
          <cell r="E681">
            <v>5026</v>
          </cell>
          <cell r="F681">
            <v>1004</v>
          </cell>
          <cell r="G681">
            <v>779.47400000000005</v>
          </cell>
          <cell r="H681">
            <v>917.66099999999994</v>
          </cell>
          <cell r="I681">
            <v>2817.7</v>
          </cell>
          <cell r="M681">
            <v>274.74200000000002</v>
          </cell>
          <cell r="N681">
            <v>128.929</v>
          </cell>
          <cell r="O681">
            <v>279.233</v>
          </cell>
          <cell r="P681">
            <v>357.67</v>
          </cell>
          <cell r="Q681">
            <v>1393</v>
          </cell>
          <cell r="R681">
            <v>1213.425</v>
          </cell>
          <cell r="S681">
            <v>189.881</v>
          </cell>
        </row>
        <row r="682">
          <cell r="B682" t="str">
            <v>FQ(2)</v>
          </cell>
          <cell r="C682">
            <v>2724</v>
          </cell>
          <cell r="D682">
            <v>3258</v>
          </cell>
          <cell r="E682">
            <v>4634</v>
          </cell>
          <cell r="F682">
            <v>929</v>
          </cell>
          <cell r="G682">
            <v>670.26300000000003</v>
          </cell>
          <cell r="H682">
            <v>926.24400000000003</v>
          </cell>
          <cell r="I682">
            <v>3100.1750000000002</v>
          </cell>
          <cell r="M682">
            <v>325.596</v>
          </cell>
          <cell r="N682">
            <v>200.99299999999999</v>
          </cell>
          <cell r="O682">
            <v>352.81900000000002</v>
          </cell>
          <cell r="P682">
            <v>326.14800000000002</v>
          </cell>
          <cell r="Q682">
            <v>1473</v>
          </cell>
          <cell r="R682">
            <v>1091</v>
          </cell>
          <cell r="S682">
            <v>217.05</v>
          </cell>
        </row>
        <row r="683">
          <cell r="B683" t="str">
            <v>FQ(1)</v>
          </cell>
          <cell r="C683">
            <v>3807</v>
          </cell>
          <cell r="D683">
            <v>4018</v>
          </cell>
          <cell r="E683">
            <v>6406</v>
          </cell>
          <cell r="F683">
            <v>1193</v>
          </cell>
          <cell r="G683">
            <v>799.11</v>
          </cell>
          <cell r="H683">
            <v>1014.638</v>
          </cell>
          <cell r="I683">
            <v>3267.6669999999999</v>
          </cell>
          <cell r="M683">
            <v>347.18</v>
          </cell>
          <cell r="N683">
            <v>221.51599999999999</v>
          </cell>
          <cell r="O683">
            <v>425.41500000000002</v>
          </cell>
          <cell r="P683">
            <v>337.54500000000002</v>
          </cell>
          <cell r="Q683">
            <v>1999</v>
          </cell>
          <cell r="R683">
            <v>1426.4559999999999</v>
          </cell>
          <cell r="S683">
            <v>234.52099999999999</v>
          </cell>
        </row>
        <row r="684">
          <cell r="B684" t="str">
            <v>Last Reported Q</v>
          </cell>
          <cell r="C684">
            <v>2923</v>
          </cell>
          <cell r="D684">
            <v>3024</v>
          </cell>
          <cell r="E684">
            <v>4615</v>
          </cell>
          <cell r="F684">
            <v>898</v>
          </cell>
          <cell r="G684">
            <v>649.19600000000003</v>
          </cell>
          <cell r="H684">
            <v>872.49800000000005</v>
          </cell>
          <cell r="I684">
            <v>2532.3000000000002</v>
          </cell>
          <cell r="M684">
            <v>310.64499999999998</v>
          </cell>
          <cell r="N684">
            <v>132.91499999999999</v>
          </cell>
          <cell r="O684">
            <v>326.45400000000001</v>
          </cell>
          <cell r="P684">
            <v>269.2</v>
          </cell>
          <cell r="Q684">
            <v>1477</v>
          </cell>
          <cell r="R684">
            <v>1036.5530000000001</v>
          </cell>
          <cell r="S684">
            <v>186.13</v>
          </cell>
        </row>
        <row r="686">
          <cell r="B686" t="str">
            <v>Inventory/Store</v>
          </cell>
        </row>
        <row r="687">
          <cell r="B687" t="str">
            <v>FY(5)</v>
          </cell>
          <cell r="C687">
            <v>3.5922084870848709</v>
          </cell>
          <cell r="D687">
            <v>3.1016781836130308E-2</v>
          </cell>
          <cell r="E687">
            <v>1.9948849104859334E-2</v>
          </cell>
          <cell r="F687">
            <v>4.7511305654122094E-2</v>
          </cell>
          <cell r="G687">
            <v>0.20216946666666666</v>
          </cell>
          <cell r="H687">
            <v>5.5930767717825999E-2</v>
          </cell>
          <cell r="I687">
            <v>3.5904500213714365E-2</v>
          </cell>
          <cell r="M687">
            <v>3.7781395348837211E-2</v>
          </cell>
          <cell r="N687">
            <v>4.1062350195056017E-2</v>
          </cell>
          <cell r="O687">
            <v>3.7571019989669815E-2</v>
          </cell>
          <cell r="P687">
            <v>0.20698026111422885</v>
          </cell>
          <cell r="Q687">
            <v>4.9562841530054642E-2</v>
          </cell>
          <cell r="R687">
            <v>0.11075550383086025</v>
          </cell>
          <cell r="S687">
            <v>5.6573701081058525E-2</v>
          </cell>
        </row>
        <row r="688">
          <cell r="B688" t="str">
            <v>FY(4)</v>
          </cell>
          <cell r="C688">
            <v>3.5126656200941917</v>
          </cell>
          <cell r="D688">
            <v>3.1656804733727811E-2</v>
          </cell>
          <cell r="E688">
            <v>3.4904092071611256E-2</v>
          </cell>
          <cell r="F688">
            <v>4.8353759388988643E-2</v>
          </cell>
          <cell r="G688">
            <v>0.10762813333333333</v>
          </cell>
          <cell r="H688">
            <v>5.4165425255499743E-2</v>
          </cell>
          <cell r="I688">
            <v>3.3522649663478565E-2</v>
          </cell>
          <cell r="M688">
            <v>6.0171950207468877E-2</v>
          </cell>
          <cell r="N688">
            <v>3.872296948566975E-2</v>
          </cell>
          <cell r="O688">
            <v>4.4157061087856289E-2</v>
          </cell>
          <cell r="P688">
            <v>0.20381483495351646</v>
          </cell>
          <cell r="Q688">
            <v>4.4867724867724869E-2</v>
          </cell>
          <cell r="R688">
            <v>0.11247114731839783</v>
          </cell>
          <cell r="S688">
            <v>6.6417827118810877E-2</v>
          </cell>
        </row>
        <row r="689">
          <cell r="B689" t="str">
            <v>FY(3)</v>
          </cell>
          <cell r="C689">
            <v>3.5223743169398909</v>
          </cell>
          <cell r="D689">
            <v>3.2977691561590687E-2</v>
          </cell>
          <cell r="E689">
            <v>3.3996163682864448E-2</v>
          </cell>
          <cell r="F689">
            <v>4.9567047713717692E-2</v>
          </cell>
          <cell r="G689">
            <v>0.10470693333333334</v>
          </cell>
          <cell r="H689">
            <v>5.6417176268640706E-2</v>
          </cell>
          <cell r="I689">
            <v>3.4897603633070678E-2</v>
          </cell>
          <cell r="M689">
            <v>6.3864784102793962E-2</v>
          </cell>
          <cell r="N689">
            <v>3.8642802741812643E-2</v>
          </cell>
          <cell r="O689">
            <v>5.0964756870443342E-2</v>
          </cell>
          <cell r="P689">
            <v>0.22479120836803163</v>
          </cell>
          <cell r="Q689">
            <v>4.6051282051282054E-2</v>
          </cell>
          <cell r="R689">
            <v>0.17166133255746291</v>
          </cell>
          <cell r="S689">
            <v>6.1813201112411009E-2</v>
          </cell>
        </row>
        <row r="690">
          <cell r="B690" t="str">
            <v>FY(2)</v>
          </cell>
          <cell r="C690">
            <v>3.495389228886169</v>
          </cell>
          <cell r="D690">
            <v>3.4155722326454037E-2</v>
          </cell>
          <cell r="E690">
            <v>3.2653377301385511E-2</v>
          </cell>
          <cell r="F690">
            <v>4.7010228166797799E-2</v>
          </cell>
          <cell r="G690">
            <v>0.11369850112747049</v>
          </cell>
          <cell r="H690">
            <v>4.8592180094786733E-2</v>
          </cell>
          <cell r="I690">
            <v>3.5820177963883801E-2</v>
          </cell>
          <cell r="M690">
            <v>4.5407250919994549E-2</v>
          </cell>
          <cell r="N690">
            <v>4.6500187039173288E-2</v>
          </cell>
          <cell r="O690">
            <v>5.0173101886327197E-2</v>
          </cell>
          <cell r="P690">
            <v>0.23790759748392731</v>
          </cell>
          <cell r="Q690">
            <v>3.9772727272727272E-2</v>
          </cell>
          <cell r="R690">
            <v>0.12129036950829211</v>
          </cell>
          <cell r="S690">
            <v>5.9560927615761435E-2</v>
          </cell>
        </row>
        <row r="691">
          <cell r="B691" t="str">
            <v>FY(1)</v>
          </cell>
          <cell r="C691">
            <v>3.0129171151776104</v>
          </cell>
          <cell r="D691">
            <v>2.9844988318980185E-2</v>
          </cell>
          <cell r="E691">
            <v>3.0949244277731991E-2</v>
          </cell>
          <cell r="F691">
            <v>4.247486903582047E-2</v>
          </cell>
          <cell r="G691">
            <v>9.6932003937825792E-2</v>
          </cell>
          <cell r="H691">
            <v>3.9158133333333331E-2</v>
          </cell>
          <cell r="I691">
            <v>3.3125257655656222E-2</v>
          </cell>
          <cell r="M691">
            <v>4.7992525773195877E-2</v>
          </cell>
          <cell r="N691">
            <v>3.8470273828218472E-2</v>
          </cell>
          <cell r="O691">
            <v>4.6605596849767082E-2</v>
          </cell>
          <cell r="P691">
            <v>0.21723459014982835</v>
          </cell>
          <cell r="Q691">
            <v>3.8126582278481015E-2</v>
          </cell>
          <cell r="R691">
            <v>0.10844489507537872</v>
          </cell>
          <cell r="S691">
            <v>5.0495503885011242E-2</v>
          </cell>
        </row>
        <row r="692">
          <cell r="B692" t="str">
            <v>FY0</v>
          </cell>
          <cell r="C692">
            <v>2.9113545816733066</v>
          </cell>
          <cell r="D692">
            <v>2.7318021416815018E-2</v>
          </cell>
          <cell r="E692">
            <v>2.9889896373056994E-2</v>
          </cell>
          <cell r="F692">
            <v>4.0224865058567941E-2</v>
          </cell>
          <cell r="G692">
            <v>8.6639688600556014E-2</v>
          </cell>
          <cell r="H692">
            <v>3.6814261603375531E-2</v>
          </cell>
          <cell r="I692">
            <v>3.0962136448200613E-2</v>
          </cell>
          <cell r="M692">
            <v>3.9587740537785139E-2</v>
          </cell>
          <cell r="N692">
            <v>3.8769084837835754E-2</v>
          </cell>
          <cell r="O692">
            <v>5.0977699540230355E-2</v>
          </cell>
          <cell r="P692">
            <v>0.19290833500424975</v>
          </cell>
          <cell r="Q692">
            <v>3.8067010309278351E-2</v>
          </cell>
          <cell r="R692">
            <v>9.4809567364858696E-2</v>
          </cell>
          <cell r="S692">
            <v>4.995653032417971E-2</v>
          </cell>
        </row>
        <row r="693">
          <cell r="B693" t="str">
            <v>FY1</v>
          </cell>
          <cell r="C693">
            <v>2.9527382899662098</v>
          </cell>
          <cell r="D693">
            <v>2.9330300917219145E-2</v>
          </cell>
          <cell r="E693">
            <v>3.0470411154580945E-2</v>
          </cell>
          <cell r="F693">
            <v>3.9293073303284999E-2</v>
          </cell>
          <cell r="G693">
            <v>8.8609781426668283E-2</v>
          </cell>
          <cell r="H693">
            <v>3.3681465125949293E-2</v>
          </cell>
          <cell r="I693">
            <v>3.0667679893737684E-2</v>
          </cell>
          <cell r="M693">
            <v>3.1708217119172578E-2</v>
          </cell>
          <cell r="N693">
            <v>4.0112064796655827E-2</v>
          </cell>
          <cell r="O693">
            <v>5.2295895435949875E-2</v>
          </cell>
          <cell r="P693">
            <v>0.18614099688799227</v>
          </cell>
          <cell r="Q693">
            <v>4.0743780641510838E-2</v>
          </cell>
          <cell r="R693">
            <v>9.7251438577294805E-2</v>
          </cell>
          <cell r="S693">
            <v>4.9148885064112975E-2</v>
          </cell>
        </row>
        <row r="694">
          <cell r="B694" t="str">
            <v>FY2</v>
          </cell>
          <cell r="C694">
            <v>3.0645022334783825</v>
          </cell>
          <cell r="D694">
            <v>3.0012585207337347E-2</v>
          </cell>
          <cell r="E694">
            <v>3.0433400395724029E-2</v>
          </cell>
          <cell r="F694">
            <v>4.0138235427392123E-2</v>
          </cell>
          <cell r="G694">
            <v>8.8748465123669365E-2</v>
          </cell>
          <cell r="H694">
            <v>3.3440798480200512E-2</v>
          </cell>
          <cell r="I694">
            <v>3.1080543928809247E-2</v>
          </cell>
          <cell r="M694">
            <v>3.0938014934536497E-2</v>
          </cell>
          <cell r="N694">
            <v>4.1486904049822193E-2</v>
          </cell>
          <cell r="O694">
            <v>5.2958724188948397E-2</v>
          </cell>
          <cell r="P694">
            <v>0.18836190825466373</v>
          </cell>
          <cell r="Q694">
            <v>4.0043346162256285E-2</v>
          </cell>
          <cell r="R694">
            <v>9.7349787106169941E-2</v>
          </cell>
          <cell r="S694">
            <v>4.9120105458739363E-2</v>
          </cell>
        </row>
        <row r="696">
          <cell r="B696" t="str">
            <v>Inventory/Store Y/Y ∆</v>
          </cell>
        </row>
        <row r="697">
          <cell r="B697" t="str">
            <v>FY(5)</v>
          </cell>
        </row>
        <row r="698">
          <cell r="B698" t="str">
            <v>FY(4)</v>
          </cell>
          <cell r="C698">
            <v>-2.2143165486263161E-2</v>
          </cell>
          <cell r="D698">
            <v>2.0634729321014289E-2</v>
          </cell>
          <cell r="E698">
            <v>0.7496794871794874</v>
          </cell>
          <cell r="F698">
            <v>1.7731647726112465E-2</v>
          </cell>
          <cell r="G698">
            <v>-0.46763408388078387</v>
          </cell>
          <cell r="H698">
            <v>-3.1562993578642007E-2</v>
          </cell>
          <cell r="I698">
            <v>-6.6338496178983353E-2</v>
          </cell>
          <cell r="J698">
            <v>2.8623875014563111E-2</v>
          </cell>
          <cell r="M698">
            <v>0.59263440780571308</v>
          </cell>
          <cell r="N698">
            <v>-5.697142755525797E-2</v>
          </cell>
          <cell r="O698">
            <v>0.17529577583992428</v>
          </cell>
          <cell r="P698">
            <v>-1.5293372148977302E-2</v>
          </cell>
          <cell r="Q698">
            <v>-9.473057874380908E-2</v>
          </cell>
          <cell r="R698">
            <v>1.5490367775831793E-2</v>
          </cell>
          <cell r="S698">
            <v>0.17400533904698468</v>
          </cell>
          <cell r="T698">
            <v>0.11291864457434421</v>
          </cell>
        </row>
        <row r="699">
          <cell r="B699" t="str">
            <v>FY(3)</v>
          </cell>
          <cell r="C699">
            <v>2.7639114836779388E-3</v>
          </cell>
          <cell r="D699">
            <v>4.1725210076416053E-2</v>
          </cell>
          <cell r="E699">
            <v>-2.6012090126396936E-2</v>
          </cell>
          <cell r="F699">
            <v>2.5091913018977063E-2</v>
          </cell>
          <cell r="G699">
            <v>-2.7141602381533403E-2</v>
          </cell>
          <cell r="H699">
            <v>4.1571740691029202E-2</v>
          </cell>
          <cell r="I699">
            <v>4.1015670998407527E-2</v>
          </cell>
          <cell r="J699">
            <v>1.4144964822939634E-2</v>
          </cell>
          <cell r="M699">
            <v>6.1371351312238254E-2</v>
          </cell>
          <cell r="N699">
            <v>-2.0702633326397102E-3</v>
          </cell>
          <cell r="O699">
            <v>0.15417003792535566</v>
          </cell>
          <cell r="P699">
            <v>0.10291877634569246</v>
          </cell>
          <cell r="Q699">
            <v>2.6378809869376019E-2</v>
          </cell>
          <cell r="R699">
            <v>0.52626995145254329</v>
          </cell>
          <cell r="S699">
            <v>-6.9328163930490017E-2</v>
          </cell>
          <cell r="T699">
            <v>0.11424435709172513</v>
          </cell>
        </row>
        <row r="700">
          <cell r="B700" t="str">
            <v>FY(2)</v>
          </cell>
          <cell r="C700">
            <v>-7.661050650961343E-3</v>
          </cell>
          <cell r="D700">
            <v>3.5722050546297401E-2</v>
          </cell>
          <cell r="E700">
            <v>-3.9498173794114355E-2</v>
          </cell>
          <cell r="F700">
            <v>-5.1583050935113395E-2</v>
          </cell>
          <cell r="G700">
            <v>8.5873661923729472E-2</v>
          </cell>
          <cell r="H700">
            <v>-0.13869882704858927</v>
          </cell>
          <cell r="I700">
            <v>2.643660981749596E-2</v>
          </cell>
          <cell r="J700">
            <v>-1.2772682877322219E-2</v>
          </cell>
          <cell r="M700">
            <v>-0.28900956046592086</v>
          </cell>
          <cell r="N700">
            <v>0.2033337061459759</v>
          </cell>
          <cell r="O700">
            <v>-1.5533380962232335E-2</v>
          </cell>
          <cell r="P700">
            <v>5.8349208632845428E-2</v>
          </cell>
          <cell r="Q700">
            <v>-0.13633832759667952</v>
          </cell>
          <cell r="R700">
            <v>-0.29343220338983056</v>
          </cell>
          <cell r="S700">
            <v>-3.6436771694668968E-2</v>
          </cell>
          <cell r="T700">
            <v>-7.2723904190072991E-2</v>
          </cell>
        </row>
        <row r="701">
          <cell r="B701" t="str">
            <v>FY(1)</v>
          </cell>
          <cell r="C701">
            <v>-0.13803101231799064</v>
          </cell>
          <cell r="D701">
            <v>-0.1262082519079134</v>
          </cell>
          <cell r="E701">
            <v>-5.2188568671615254E-2</v>
          </cell>
          <cell r="F701">
            <v>-9.6476007622965487E-2</v>
          </cell>
          <cell r="G701">
            <v>-0.14746454019518973</v>
          </cell>
          <cell r="H701">
            <v>-0.19414742748834901</v>
          </cell>
          <cell r="I701">
            <v>-7.5234699027591945E-2</v>
          </cell>
          <cell r="J701">
            <v>-0.11853578674737364</v>
          </cell>
          <cell r="M701">
            <v>5.6935286783964534E-2</v>
          </cell>
          <cell r="N701">
            <v>-0.17268561101034174</v>
          </cell>
          <cell r="O701">
            <v>-7.1103936221497688E-2</v>
          </cell>
          <cell r="P701">
            <v>-8.689511202136202E-2</v>
          </cell>
          <cell r="Q701">
            <v>-4.1388788426763079E-2</v>
          </cell>
          <cell r="R701">
            <v>-0.10590679610416398</v>
          </cell>
          <cell r="S701">
            <v>-0.15220420657705191</v>
          </cell>
          <cell r="T701">
            <v>-8.1892737653887979E-2</v>
          </cell>
        </row>
        <row r="702">
          <cell r="B702" t="str">
            <v>FY0</v>
          </cell>
          <cell r="C702">
            <v>-3.3709036665058312E-2</v>
          </cell>
          <cell r="D702">
            <v>-8.4669723276725839E-2</v>
          </cell>
          <cell r="E702">
            <v>-3.4228554828952595E-2</v>
          </cell>
          <cell r="F702">
            <v>-5.2972593637782062E-2</v>
          </cell>
          <cell r="G702">
            <v>-0.1061807753801467</v>
          </cell>
          <cell r="H702">
            <v>-5.9856574622840331E-2</v>
          </cell>
          <cell r="I702">
            <v>-6.5301264368769374E-2</v>
          </cell>
          <cell r="J702">
            <v>-6.2416931825753599E-2</v>
          </cell>
          <cell r="M702">
            <v>-0.17512696195924871</v>
          </cell>
          <cell r="N702">
            <v>7.767322139467181E-3</v>
          </cell>
          <cell r="O702">
            <v>9.3810679102699357E-2</v>
          </cell>
          <cell r="P702">
            <v>-0.1119814994877224</v>
          </cell>
          <cell r="Q702">
            <v>-1.5624786079051489E-3</v>
          </cell>
          <cell r="R702">
            <v>-0.12573508140740297</v>
          </cell>
          <cell r="S702">
            <v>-1.0673694078959683E-2</v>
          </cell>
          <cell r="T702">
            <v>-4.6214530614153197E-2</v>
          </cell>
        </row>
        <row r="703">
          <cell r="B703" t="str">
            <v>FY1</v>
          </cell>
          <cell r="C703">
            <v>1.4214588821783947E-2</v>
          </cell>
          <cell r="D703">
            <v>7.3661246167905592E-2</v>
          </cell>
          <cell r="E703">
            <v>1.9421772972328943E-2</v>
          </cell>
          <cell r="F703">
            <v>-2.3164571314937654E-2</v>
          </cell>
          <cell r="G703">
            <v>2.2738918594169766E-2</v>
          </cell>
          <cell r="H703">
            <v>-8.5097360125755972E-2</v>
          </cell>
          <cell r="I703">
            <v>-9.5102143534426808E-3</v>
          </cell>
          <cell r="J703">
            <v>1.7520543945788486E-3</v>
          </cell>
          <cell r="M703">
            <v>-0.19903948322314147</v>
          </cell>
          <cell r="N703">
            <v>3.464048647105078E-2</v>
          </cell>
          <cell r="O703">
            <v>2.5858285242535084E-2</v>
          </cell>
          <cell r="P703">
            <v>-3.5080589525115169E-2</v>
          </cell>
          <cell r="Q703">
            <v>7.0317324909018541E-2</v>
          </cell>
          <cell r="R703">
            <v>2.5755535863158041E-2</v>
          </cell>
          <cell r="S703">
            <v>-1.6166960652105655E-2</v>
          </cell>
          <cell r="T703">
            <v>-1.3387914416371407E-2</v>
          </cell>
        </row>
        <row r="704">
          <cell r="B704" t="str">
            <v>FY2</v>
          </cell>
          <cell r="C704">
            <v>3.7850948013903318E-2</v>
          </cell>
          <cell r="D704">
            <v>2.3262096493447348E-2</v>
          </cell>
          <cell r="E704">
            <v>-1.214645863134356E-3</v>
          </cell>
          <cell r="F704">
            <v>2.1509188593717532E-2</v>
          </cell>
          <cell r="G704">
            <v>1.5651059597281414E-3</v>
          </cell>
          <cell r="H704">
            <v>-7.1453734227067134E-3</v>
          </cell>
          <cell r="I704">
            <v>1.3462512863774423E-2</v>
          </cell>
          <cell r="J704">
            <v>1.2755690376961384E-2</v>
          </cell>
          <cell r="M704">
            <v>-2.4290302470849845E-2</v>
          </cell>
          <cell r="N704">
            <v>3.427495592999219E-2</v>
          </cell>
          <cell r="O704">
            <v>1.2674584639445152E-2</v>
          </cell>
          <cell r="P704">
            <v>1.1931339166555865E-2</v>
          </cell>
          <cell r="Q704">
            <v>-1.7191199938400681E-2</v>
          </cell>
          <cell r="R704">
            <v>1.0112809672935263E-3</v>
          </cell>
          <cell r="S704">
            <v>-5.8555967924944774E-4</v>
          </cell>
          <cell r="T704">
            <v>2.5464426592552514E-3</v>
          </cell>
        </row>
        <row r="706">
          <cell r="B706" t="str">
            <v>Sales Y/Y ∆ - Inventory Y/Y ∆</v>
          </cell>
        </row>
        <row r="707">
          <cell r="B707" t="str">
            <v>FY(5)</v>
          </cell>
        </row>
        <row r="708">
          <cell r="B708" t="str">
            <v>FY(4)</v>
          </cell>
          <cell r="C708">
            <v>1.4747710638552139E-2</v>
          </cell>
          <cell r="D708">
            <v>8.3652706789857124E-3</v>
          </cell>
          <cell r="E708">
            <v>-0.73667948717948739</v>
          </cell>
          <cell r="F708">
            <v>4.2432082369352635E-2</v>
          </cell>
          <cell r="G708">
            <v>0.5076340838807839</v>
          </cell>
          <cell r="H708">
            <v>9.1562993578642005E-2</v>
          </cell>
          <cell r="I708">
            <v>8.6338496178983357E-2</v>
          </cell>
          <cell r="J708">
            <v>2.0573071636874668E-3</v>
          </cell>
          <cell r="M708">
            <v>-0.33263440780571307</v>
          </cell>
          <cell r="N708">
            <v>9.1971427555257973E-2</v>
          </cell>
          <cell r="O708">
            <v>-2.0295775839924285E-2</v>
          </cell>
          <cell r="P708">
            <v>0.1972933721489773</v>
          </cell>
          <cell r="Q708">
            <v>4.4730578743809077E-2</v>
          </cell>
          <cell r="R708">
            <v>-2.5490367775831795E-2</v>
          </cell>
          <cell r="S708">
            <v>-6.5005339046984675E-2</v>
          </cell>
          <cell r="T708">
            <v>-1.5632930288629925E-2</v>
          </cell>
        </row>
        <row r="709">
          <cell r="B709" t="str">
            <v>FY(3)</v>
          </cell>
          <cell r="C709">
            <v>5.6236088516322058E-2</v>
          </cell>
          <cell r="D709">
            <v>-4.7252100764160546E-3</v>
          </cell>
          <cell r="E709">
            <v>7.0012090126396934E-2</v>
          </cell>
          <cell r="F709">
            <v>4.9908086981022934E-2</v>
          </cell>
          <cell r="G709">
            <v>7.6141602381533405E-2</v>
          </cell>
          <cell r="H709">
            <v>-1.5717406910292012E-3</v>
          </cell>
          <cell r="I709">
            <v>-1.0156709984075266E-3</v>
          </cell>
          <cell r="J709">
            <v>3.4997892319917505E-2</v>
          </cell>
          <cell r="M709">
            <v>-5.1371351312238252E-2</v>
          </cell>
          <cell r="N709">
            <v>2.2145462454071209E-2</v>
          </cell>
          <cell r="O709">
            <v>-3.4170037925355667E-2</v>
          </cell>
          <cell r="P709">
            <v>0.10408122365430753</v>
          </cell>
          <cell r="Q709">
            <v>-9.6378809869376025E-2</v>
          </cell>
          <cell r="R709">
            <v>-0.45626995145254329</v>
          </cell>
          <cell r="S709">
            <v>7.328163930490017E-3</v>
          </cell>
          <cell r="T709">
            <v>-7.209075721723493E-2</v>
          </cell>
        </row>
        <row r="710">
          <cell r="B710" t="str">
            <v>FY(2)</v>
          </cell>
          <cell r="C710">
            <v>-3.3775957382118672E-4</v>
          </cell>
          <cell r="D710">
            <v>-4.6722050546297397E-2</v>
          </cell>
          <cell r="E710">
            <v>2.6498173794114357E-2</v>
          </cell>
          <cell r="F710">
            <v>9.0583050935113402E-2</v>
          </cell>
          <cell r="G710">
            <v>3.2021143403546531E-2</v>
          </cell>
          <cell r="H710">
            <v>0.14869882704858928</v>
          </cell>
          <cell r="I710">
            <v>1.3563390182504041E-2</v>
          </cell>
          <cell r="J710">
            <v>3.7757825034821287E-2</v>
          </cell>
          <cell r="M710">
            <v>0.27900956046592085</v>
          </cell>
          <cell r="N710">
            <v>-0.1703337061459759</v>
          </cell>
          <cell r="O710">
            <v>2.5533380962232337E-2</v>
          </cell>
          <cell r="P710">
            <v>0.16465079136715458</v>
          </cell>
          <cell r="Q710">
            <v>9.6338327596679513E-2</v>
          </cell>
          <cell r="R710">
            <v>0.27343220338983054</v>
          </cell>
          <cell r="S710">
            <v>9.1436771694668961E-2</v>
          </cell>
          <cell r="T710">
            <v>0.10858104704721584</v>
          </cell>
        </row>
        <row r="711">
          <cell r="B711" t="str">
            <v>FY(1)</v>
          </cell>
          <cell r="C711">
            <v>6.9031012317990637E-2</v>
          </cell>
          <cell r="D711">
            <v>4.1208251907913399E-2</v>
          </cell>
          <cell r="E711">
            <v>7.1885686716152558E-3</v>
          </cell>
          <cell r="F711">
            <v>6.0835338562304914E-3</v>
          </cell>
          <cell r="G711">
            <v>8.6464540195189732E-2</v>
          </cell>
          <cell r="H711">
            <v>0.214147427488349</v>
          </cell>
          <cell r="I711">
            <v>6.8032782451344309E-2</v>
          </cell>
          <cell r="J711">
            <v>7.0308016698376122E-2</v>
          </cell>
          <cell r="M711">
            <v>-0.18693528678396454</v>
          </cell>
          <cell r="N711">
            <v>0.25268561101034176</v>
          </cell>
          <cell r="O711">
            <v>-2.8635683166373813E-2</v>
          </cell>
          <cell r="P711">
            <v>0.18489511202136202</v>
          </cell>
          <cell r="Q711">
            <v>-7.8611211573236917E-2</v>
          </cell>
          <cell r="R711">
            <v>2.1599926344653575E-2</v>
          </cell>
          <cell r="S711">
            <v>0.23020420657705193</v>
          </cell>
          <cell r="T711">
            <v>5.6457524918547719E-2</v>
          </cell>
        </row>
        <row r="712">
          <cell r="B712" t="str">
            <v>FY0</v>
          </cell>
          <cell r="C712">
            <v>4.0263149723217484E-2</v>
          </cell>
          <cell r="D712">
            <v>2.1590798269081543E-2</v>
          </cell>
          <cell r="E712">
            <v>-1.8771445171047403E-2</v>
          </cell>
          <cell r="F712">
            <v>1.8747962976605061E-2</v>
          </cell>
          <cell r="G712">
            <v>-4.0819224619853295E-2</v>
          </cell>
          <cell r="H712">
            <v>0.12128599911234253</v>
          </cell>
          <cell r="I712">
            <v>0.12204341768520897</v>
          </cell>
          <cell r="J712">
            <v>3.7762951139364988E-2</v>
          </cell>
          <cell r="M712">
            <v>-5.4873038040751304E-2</v>
          </cell>
          <cell r="N712">
            <v>9.4532305008133824E-2</v>
          </cell>
          <cell r="O712">
            <v>-0.13003070225556915</v>
          </cell>
          <cell r="P712">
            <v>4.3981499487722397E-2</v>
          </cell>
          <cell r="Q712">
            <v>-2.8376240839865553E-2</v>
          </cell>
          <cell r="R712">
            <v>8.7525402527508067E-2</v>
          </cell>
          <cell r="S712">
            <v>-1.2583025527034417E-2</v>
          </cell>
          <cell r="T712">
            <v>2.5171480020552993E-5</v>
          </cell>
        </row>
        <row r="713">
          <cell r="B713" t="str">
            <v>FY1</v>
          </cell>
          <cell r="C713">
            <v>3.8189580671070554E-2</v>
          </cell>
          <cell r="D713">
            <v>-5.5057896267013295E-2</v>
          </cell>
          <cell r="E713">
            <v>2.4258000180453758E-2</v>
          </cell>
          <cell r="F713">
            <v>6.2896131621855561E-2</v>
          </cell>
          <cell r="G713">
            <v>1.9853019004442134E-2</v>
          </cell>
          <cell r="H713">
            <v>0.13802114106915758</v>
          </cell>
          <cell r="I713">
            <v>4.8249392988002279E-2</v>
          </cell>
          <cell r="J713">
            <v>3.9487052752566934E-2</v>
          </cell>
          <cell r="M713">
            <v>0.15522199481682566</v>
          </cell>
          <cell r="N713">
            <v>1.6591947791695233E-3</v>
          </cell>
          <cell r="O713">
            <v>7.6484708422973127E-3</v>
          </cell>
          <cell r="P713">
            <v>5.6873403718557966E-2</v>
          </cell>
          <cell r="Q713">
            <v>-6.3855583503323071E-2</v>
          </cell>
          <cell r="R713">
            <v>4.4144378659531358E-2</v>
          </cell>
          <cell r="S713">
            <v>8.181051279234966E-2</v>
          </cell>
          <cell r="T713">
            <v>4.0500338872201204E-2</v>
          </cell>
        </row>
        <row r="714">
          <cell r="B714" t="str">
            <v>FY2</v>
          </cell>
          <cell r="C714">
            <v>2.1490519860966825E-3</v>
          </cell>
          <cell r="D714">
            <v>-3.262096493447348E-3</v>
          </cell>
          <cell r="E714">
            <v>1.1214645863134356E-2</v>
          </cell>
          <cell r="F714">
            <v>-1.5091885937175316E-3</v>
          </cell>
          <cell r="G714">
            <v>1.8434894040271859E-2</v>
          </cell>
          <cell r="H714">
            <v>2.7145373422706714E-2</v>
          </cell>
          <cell r="I714">
            <v>6.5374871362255775E-3</v>
          </cell>
          <cell r="J714">
            <v>8.6728810516100447E-3</v>
          </cell>
          <cell r="M714">
            <v>3.4740861372141343E-2</v>
          </cell>
          <cell r="N714">
            <v>-4.2749559299921913E-3</v>
          </cell>
          <cell r="O714">
            <v>2.7325415360554849E-2</v>
          </cell>
          <cell r="P714">
            <v>2.8068660833444135E-2</v>
          </cell>
          <cell r="Q714">
            <v>-1.3816588614358919E-2</v>
          </cell>
          <cell r="R714">
            <v>1.7198619622447973E-2</v>
          </cell>
          <cell r="S714">
            <v>5.1605746186286147E-2</v>
          </cell>
          <cell r="T714">
            <v>2.0121108404360481E-2</v>
          </cell>
        </row>
        <row r="716">
          <cell r="B716" t="str">
            <v>SG&amp;A per Sq Foot</v>
          </cell>
          <cell r="M716">
            <v>2008</v>
          </cell>
          <cell r="N716">
            <v>2009</v>
          </cell>
          <cell r="O716" t="str">
            <v>2010E</v>
          </cell>
          <cell r="Z716">
            <v>2008</v>
          </cell>
          <cell r="AA716">
            <v>2009</v>
          </cell>
          <cell r="AB716" t="str">
            <v>2010E</v>
          </cell>
        </row>
        <row r="717">
          <cell r="B717" t="str">
            <v>FY(2)</v>
          </cell>
          <cell r="C717">
            <v>52.896736253201503</v>
          </cell>
          <cell r="D717">
            <v>54.68105065666041</v>
          </cell>
          <cell r="E717">
            <v>55.200986054555663</v>
          </cell>
          <cell r="F717">
            <v>116.0395357985838</v>
          </cell>
          <cell r="G717">
            <v>107.16633806833863</v>
          </cell>
          <cell r="H717">
            <v>44.355497630331755</v>
          </cell>
          <cell r="I717">
            <v>39.693848600778857</v>
          </cell>
          <cell r="K717">
            <v>55.197959773596573</v>
          </cell>
          <cell r="M717">
            <v>234.55881150333923</v>
          </cell>
          <cell r="N717">
            <v>117.81253428199783</v>
          </cell>
          <cell r="O717">
            <v>125.25192944504418</v>
          </cell>
          <cell r="P717">
            <v>841.18741375408399</v>
          </cell>
          <cell r="Q717">
            <v>109.72222222222223</v>
          </cell>
          <cell r="R717">
            <v>252.39239646978953</v>
          </cell>
          <cell r="S717">
            <v>121.88537141352623</v>
          </cell>
          <cell r="U717">
            <v>158.71709387982401</v>
          </cell>
        </row>
        <row r="718">
          <cell r="B718" t="str">
            <v>FY(1)</v>
          </cell>
          <cell r="C718">
            <v>52.485891828461703</v>
          </cell>
          <cell r="D718">
            <v>53.160526907542184</v>
          </cell>
          <cell r="E718">
            <v>54.889643132953907</v>
          </cell>
          <cell r="F718">
            <v>112.69838123554675</v>
          </cell>
          <cell r="G718">
            <v>101.53403110118391</v>
          </cell>
          <cell r="H718">
            <v>46.163326249732442</v>
          </cell>
          <cell r="I718">
            <v>39.743768451555518</v>
          </cell>
          <cell r="K718">
            <v>54.489639577494366</v>
          </cell>
          <cell r="M718">
            <v>237.13353748243429</v>
          </cell>
          <cell r="N718">
            <v>123.57098885896485</v>
          </cell>
          <cell r="O718">
            <v>115.9958326004987</v>
          </cell>
          <cell r="P718">
            <v>837.50417641254148</v>
          </cell>
          <cell r="Q718">
            <v>98.708860759493675</v>
          </cell>
          <cell r="R718">
            <v>210.0189020305919</v>
          </cell>
          <cell r="S718">
            <v>123.20304255242671</v>
          </cell>
          <cell r="U718">
            <v>148.90036849942348</v>
          </cell>
        </row>
        <row r="719">
          <cell r="B719" t="str">
            <v>FY0</v>
          </cell>
          <cell r="C719">
            <v>52.859839787744271</v>
          </cell>
          <cell r="D719">
            <v>56.388587858386025</v>
          </cell>
          <cell r="E719">
            <v>52.215025906735754</v>
          </cell>
          <cell r="F719">
            <v>110.41680664740532</v>
          </cell>
          <cell r="G719">
            <v>88.533175162187149</v>
          </cell>
          <cell r="H719">
            <v>47.713628691983125</v>
          </cell>
          <cell r="I719">
            <v>40.702609626197031</v>
          </cell>
          <cell r="K719">
            <v>54.378279420653108</v>
          </cell>
          <cell r="M719">
            <v>222.50783739008537</v>
          </cell>
          <cell r="N719">
            <v>135.2132904908913</v>
          </cell>
          <cell r="O719">
            <v>118.09379313317174</v>
          </cell>
          <cell r="P719">
            <v>782.12610361811073</v>
          </cell>
          <cell r="Q719">
            <v>100.85051546391753</v>
          </cell>
          <cell r="R719">
            <v>198.15265709320406</v>
          </cell>
          <cell r="S719">
            <v>120.01618254064644</v>
          </cell>
          <cell r="U719">
            <v>148.49535433222312</v>
          </cell>
        </row>
        <row r="720">
          <cell r="B720" t="str">
            <v>FY1</v>
          </cell>
          <cell r="C720">
            <v>54.660697029543407</v>
          </cell>
          <cell r="D720">
            <v>56.330481381458142</v>
          </cell>
          <cell r="E720">
            <v>53.23223728048459</v>
          </cell>
          <cell r="F720">
            <v>111.3435621311129</v>
          </cell>
          <cell r="G720">
            <v>92.135174686125254</v>
          </cell>
          <cell r="H720">
            <v>48.868265359069312</v>
          </cell>
          <cell r="I720">
            <v>41.484965361504422</v>
          </cell>
          <cell r="K720">
            <v>55.26394523108582</v>
          </cell>
          <cell r="M720">
            <v>219.90137404078646</v>
          </cell>
          <cell r="N720">
            <v>139.38463296672333</v>
          </cell>
          <cell r="O720">
            <v>116.01069892276183</v>
          </cell>
          <cell r="P720">
            <v>771.48163062645665</v>
          </cell>
          <cell r="Q720">
            <v>105.38036877790195</v>
          </cell>
          <cell r="R720">
            <v>204.95568413596428</v>
          </cell>
          <cell r="S720">
            <v>120.49203233387102</v>
          </cell>
          <cell r="U720">
            <v>153.41770204011613</v>
          </cell>
        </row>
        <row r="721">
          <cell r="B721" t="str">
            <v>FY2</v>
          </cell>
          <cell r="C721">
            <v>56.368533000120259</v>
          </cell>
          <cell r="D721">
            <v>57.202401810027098</v>
          </cell>
          <cell r="E721">
            <v>53.550962635377644</v>
          </cell>
          <cell r="F721">
            <v>110.53303481797337</v>
          </cell>
          <cell r="G721">
            <v>93.691852969544541</v>
          </cell>
          <cell r="H721">
            <v>48.564815386543323</v>
          </cell>
          <cell r="I721">
            <v>42.183260739804915</v>
          </cell>
          <cell r="K721">
            <v>55.944695325662821</v>
          </cell>
          <cell r="M721">
            <v>218.51730193407133</v>
          </cell>
          <cell r="N721">
            <v>149.42657176224444</v>
          </cell>
          <cell r="O721">
            <v>118.29002202803564</v>
          </cell>
          <cell r="P721">
            <v>776.86874480702522</v>
          </cell>
          <cell r="Q721">
            <v>104.50149290532764</v>
          </cell>
          <cell r="R721">
            <v>208.31603147252716</v>
          </cell>
          <cell r="S721">
            <v>120.40219193875612</v>
          </cell>
          <cell r="U721">
            <v>156.06577308599788</v>
          </cell>
        </row>
        <row r="722">
          <cell r="B722" t="str">
            <v>FQ(3)</v>
          </cell>
          <cell r="C722">
            <v>12.258278483596103</v>
          </cell>
          <cell r="D722">
            <v>13.315728693249119</v>
          </cell>
          <cell r="E722">
            <v>12.66839378238342</v>
          </cell>
          <cell r="F722">
            <v>24.143877802414387</v>
          </cell>
          <cell r="G722">
            <v>20.743740500463378</v>
          </cell>
          <cell r="H722">
            <v>11.478059071729957</v>
          </cell>
          <cell r="I722">
            <v>8.9874561194191038</v>
          </cell>
          <cell r="M722">
            <v>53.097362049190771</v>
          </cell>
          <cell r="N722">
            <v>27.460815266470188</v>
          </cell>
          <cell r="O722">
            <v>24.780683022533758</v>
          </cell>
          <cell r="P722">
            <v>193.01066015097985</v>
          </cell>
          <cell r="Q722">
            <v>22.835051546391753</v>
          </cell>
          <cell r="R722">
            <v>44.191347297173692</v>
          </cell>
          <cell r="S722">
            <v>26.084056302344624</v>
          </cell>
        </row>
        <row r="723">
          <cell r="B723" t="str">
            <v>FQ(2)</v>
          </cell>
          <cell r="C723">
            <v>12.322057247818766</v>
          </cell>
          <cell r="D723">
            <v>13.189256371874976</v>
          </cell>
          <cell r="E723">
            <v>12.053108808290155</v>
          </cell>
          <cell r="F723">
            <v>27.234652511814375</v>
          </cell>
          <cell r="G723">
            <v>20.677946246524549</v>
          </cell>
          <cell r="H723">
            <v>12.074177215189874</v>
          </cell>
          <cell r="I723">
            <v>9.6699485154235703</v>
          </cell>
          <cell r="M723">
            <v>53.391359755320508</v>
          </cell>
          <cell r="N723">
            <v>29.367257266997552</v>
          </cell>
          <cell r="O723">
            <v>26.105353037910426</v>
          </cell>
          <cell r="P723">
            <v>193.78549218691313</v>
          </cell>
          <cell r="Q723">
            <v>23.530927835051546</v>
          </cell>
          <cell r="R723">
            <v>47.504436110857036</v>
          </cell>
          <cell r="S723">
            <v>29.161215385602134</v>
          </cell>
        </row>
        <row r="724">
          <cell r="B724" t="str">
            <v>FQ(1)</v>
          </cell>
          <cell r="C724">
            <v>13.100158171335272</v>
          </cell>
          <cell r="D724">
            <v>14.327507264242268</v>
          </cell>
          <cell r="E724">
            <v>13.167098445595855</v>
          </cell>
          <cell r="F724">
            <v>26.025218929875248</v>
          </cell>
          <cell r="G724">
            <v>21.69368674698794</v>
          </cell>
          <cell r="H724">
            <v>12.089071729957807</v>
          </cell>
          <cell r="I724">
            <v>10.565213133704855</v>
          </cell>
          <cell r="M724">
            <v>55.719255766534978</v>
          </cell>
          <cell r="N724">
            <v>34.195782492935429</v>
          </cell>
          <cell r="O724">
            <v>30.180083602715179</v>
          </cell>
          <cell r="P724">
            <v>193.37145980129992</v>
          </cell>
          <cell r="Q724">
            <v>26.391752577319586</v>
          </cell>
          <cell r="R724">
            <v>46.086435562059819</v>
          </cell>
          <cell r="S724">
            <v>30.684898954346391</v>
          </cell>
        </row>
        <row r="725">
          <cell r="B725" t="str">
            <v>Last Reported Q</v>
          </cell>
          <cell r="C725">
            <v>52.859839787744271</v>
          </cell>
          <cell r="D725">
            <v>56.388587858386025</v>
          </cell>
          <cell r="E725">
            <v>52.215025906735754</v>
          </cell>
          <cell r="F725">
            <v>110.41680664740532</v>
          </cell>
          <cell r="G725">
            <v>88.533175162187149</v>
          </cell>
          <cell r="H725">
            <v>47.713628691983125</v>
          </cell>
          <cell r="I725">
            <v>40.702609626197031</v>
          </cell>
          <cell r="M725">
            <v>222.50783739008537</v>
          </cell>
          <cell r="N725">
            <v>135.2132904908913</v>
          </cell>
          <cell r="O725">
            <v>118.09379313317174</v>
          </cell>
          <cell r="P725">
            <v>230.7355167035451</v>
          </cell>
          <cell r="Q725">
            <v>100.85051546391753</v>
          </cell>
          <cell r="R725">
            <v>198.15265709320406</v>
          </cell>
          <cell r="S725">
            <v>120.01618254064644</v>
          </cell>
        </row>
        <row r="727">
          <cell r="A727" t="str">
            <v>mstag:tradeAndOtherPayables</v>
          </cell>
        </row>
        <row r="728">
          <cell r="A728" t="str">
            <v>mstag:tradePayablesCurrent</v>
          </cell>
        </row>
        <row r="729">
          <cell r="B729" t="str">
            <v>Accounts Payable</v>
          </cell>
        </row>
        <row r="730">
          <cell r="B730" t="str">
            <v>FY(5)</v>
          </cell>
          <cell r="C730">
            <v>704.65499999999997</v>
          </cell>
          <cell r="D730">
            <v>2770</v>
          </cell>
          <cell r="E730">
            <v>2707</v>
          </cell>
          <cell r="F730">
            <v>482.39400000000001</v>
          </cell>
          <cell r="G730">
            <v>378.39400000000001</v>
          </cell>
          <cell r="H730">
            <v>711.56100000000004</v>
          </cell>
          <cell r="I730">
            <v>1276.0350000000001</v>
          </cell>
          <cell r="J730">
            <v>1290.0055714285716</v>
          </cell>
          <cell r="M730">
            <v>137.33699999999999</v>
          </cell>
          <cell r="N730">
            <v>44.857999999999997</v>
          </cell>
          <cell r="O730">
            <v>108.929</v>
          </cell>
          <cell r="P730">
            <v>44.771000000000001</v>
          </cell>
          <cell r="Q730">
            <v>1240</v>
          </cell>
          <cell r="R730">
            <v>496</v>
          </cell>
          <cell r="S730">
            <v>39.101999999999997</v>
          </cell>
          <cell r="T730">
            <v>301.57099999999997</v>
          </cell>
        </row>
        <row r="731">
          <cell r="B731" t="str">
            <v>FY(4)</v>
          </cell>
          <cell r="C731">
            <v>829.971</v>
          </cell>
          <cell r="D731">
            <v>2733</v>
          </cell>
          <cell r="E731">
            <v>5246</v>
          </cell>
          <cell r="F731">
            <v>540.01900000000001</v>
          </cell>
          <cell r="G731">
            <v>190.06399999999999</v>
          </cell>
          <cell r="H731">
            <v>803.39700000000005</v>
          </cell>
          <cell r="I731">
            <v>1313.472</v>
          </cell>
          <cell r="J731">
            <v>1665.1318571428571</v>
          </cell>
          <cell r="M731">
            <v>145.31299999999999</v>
          </cell>
          <cell r="N731">
            <v>57.164999999999999</v>
          </cell>
          <cell r="O731">
            <v>139.197</v>
          </cell>
          <cell r="P731">
            <v>64.984999999999999</v>
          </cell>
          <cell r="Q731">
            <v>1132</v>
          </cell>
          <cell r="R731">
            <v>534.96</v>
          </cell>
          <cell r="S731">
            <v>41.290999999999997</v>
          </cell>
          <cell r="T731">
            <v>302.13014285714286</v>
          </cell>
        </row>
        <row r="732">
          <cell r="B732" t="str">
            <v>FY(3)</v>
          </cell>
          <cell r="C732">
            <v>934.37599999999998</v>
          </cell>
          <cell r="D732">
            <v>3058</v>
          </cell>
          <cell r="E732">
            <v>4604</v>
          </cell>
          <cell r="F732">
            <v>576.79600000000005</v>
          </cell>
          <cell r="G732">
            <v>231.03800000000001</v>
          </cell>
          <cell r="H732">
            <v>1049.68</v>
          </cell>
          <cell r="I732">
            <v>1372.3520000000001</v>
          </cell>
          <cell r="J732">
            <v>1689.4631428571431</v>
          </cell>
          <cell r="M732">
            <v>128.31</v>
          </cell>
          <cell r="N732">
            <v>63.917999999999999</v>
          </cell>
          <cell r="O732">
            <v>171.15</v>
          </cell>
          <cell r="P732">
            <v>79.819000000000003</v>
          </cell>
          <cell r="Q732">
            <v>1109</v>
          </cell>
          <cell r="R732">
            <v>593</v>
          </cell>
          <cell r="S732">
            <v>58</v>
          </cell>
          <cell r="T732">
            <v>314.7424285714286</v>
          </cell>
        </row>
        <row r="733">
          <cell r="B733" t="str">
            <v>FY(2)</v>
          </cell>
          <cell r="C733">
            <v>835.98500000000001</v>
          </cell>
          <cell r="D733">
            <v>3135</v>
          </cell>
          <cell r="E733">
            <v>4127</v>
          </cell>
          <cell r="F733">
            <v>556</v>
          </cell>
          <cell r="G733">
            <v>176.84399999999999</v>
          </cell>
          <cell r="H733">
            <v>988.78700000000003</v>
          </cell>
          <cell r="I733">
            <v>1516.7539999999999</v>
          </cell>
          <cell r="J733">
            <v>1619.4814285714285</v>
          </cell>
          <cell r="M733">
            <v>151.798</v>
          </cell>
          <cell r="N733">
            <v>99.369</v>
          </cell>
          <cell r="O733">
            <v>157.928</v>
          </cell>
          <cell r="P733">
            <v>109.309</v>
          </cell>
          <cell r="Q733">
            <v>1006</v>
          </cell>
          <cell r="R733">
            <v>516.76099999999997</v>
          </cell>
          <cell r="S733">
            <v>74.02</v>
          </cell>
          <cell r="T733">
            <v>302.16928571428571</v>
          </cell>
        </row>
        <row r="734">
          <cell r="B734" t="str">
            <v>FY(1)</v>
          </cell>
          <cell r="C734">
            <v>881</v>
          </cell>
          <cell r="D734">
            <v>2794</v>
          </cell>
          <cell r="E734">
            <v>3910</v>
          </cell>
          <cell r="F734">
            <v>563</v>
          </cell>
          <cell r="G734">
            <v>90.207999999999998</v>
          </cell>
          <cell r="H734">
            <v>946.13900000000001</v>
          </cell>
          <cell r="I734">
            <v>1276.098</v>
          </cell>
          <cell r="J734">
            <v>1494.3492857142858</v>
          </cell>
          <cell r="M734">
            <v>149.75299999999999</v>
          </cell>
          <cell r="N734">
            <v>77.247</v>
          </cell>
          <cell r="O734">
            <v>152.06800000000001</v>
          </cell>
          <cell r="P734">
            <v>134.726</v>
          </cell>
          <cell r="Q734">
            <v>975</v>
          </cell>
          <cell r="R734">
            <v>493.90300000000002</v>
          </cell>
          <cell r="S734">
            <v>62.954999999999998</v>
          </cell>
          <cell r="T734">
            <v>292.23599999999999</v>
          </cell>
        </row>
        <row r="735">
          <cell r="B735" t="str">
            <v>FY0</v>
          </cell>
          <cell r="C735">
            <v>1188</v>
          </cell>
          <cell r="D735">
            <v>2856</v>
          </cell>
          <cell r="E735">
            <v>3938</v>
          </cell>
          <cell r="F735">
            <v>726</v>
          </cell>
          <cell r="G735">
            <v>101.739</v>
          </cell>
          <cell r="H735">
            <v>1136.115</v>
          </cell>
          <cell r="I735">
            <v>1507.9</v>
          </cell>
          <cell r="J735">
            <v>1636.2505714285712</v>
          </cell>
          <cell r="M735">
            <v>150.13399999999999</v>
          </cell>
          <cell r="N735">
            <v>90.85</v>
          </cell>
          <cell r="O735">
            <v>158.52600000000001</v>
          </cell>
          <cell r="P735">
            <v>103.029</v>
          </cell>
          <cell r="Q735">
            <v>1027</v>
          </cell>
          <cell r="R735">
            <v>488.45499999999998</v>
          </cell>
          <cell r="S735">
            <v>78.040999999999997</v>
          </cell>
          <cell r="T735">
            <v>299.43357142857138</v>
          </cell>
        </row>
        <row r="736">
          <cell r="B736" t="str">
            <v>FY1</v>
          </cell>
          <cell r="C736">
            <v>1269.6916071199801</v>
          </cell>
          <cell r="D736">
            <v>2892.1602847367799</v>
          </cell>
          <cell r="E736">
            <v>4118.1697470886402</v>
          </cell>
          <cell r="F736">
            <v>753.68267523087604</v>
          </cell>
          <cell r="G736">
            <v>108.63976761920701</v>
          </cell>
          <cell r="H736">
            <v>1173.2217283637401</v>
          </cell>
          <cell r="I736">
            <v>1593.30915259626</v>
          </cell>
          <cell r="J736">
            <v>1701.2678518222117</v>
          </cell>
          <cell r="M736">
            <v>141.50169895792101</v>
          </cell>
          <cell r="N736">
            <v>99.821948445322505</v>
          </cell>
          <cell r="O736">
            <v>135.073519008745</v>
          </cell>
          <cell r="P736">
            <v>104.31901523977101</v>
          </cell>
          <cell r="Q736">
            <v>1024.01699386411</v>
          </cell>
          <cell r="R736">
            <v>549.30521832310706</v>
          </cell>
          <cell r="S736">
            <v>107.28236147298099</v>
          </cell>
          <cell r="T736">
            <v>308.76010790170818</v>
          </cell>
        </row>
        <row r="737">
          <cell r="B737" t="str">
            <v>FY2</v>
          </cell>
          <cell r="C737">
            <v>1402.4585315177301</v>
          </cell>
          <cell r="D737">
            <v>2916.0701545976799</v>
          </cell>
          <cell r="E737">
            <v>4185.8680136579596</v>
          </cell>
          <cell r="F737">
            <v>796.08710155634799</v>
          </cell>
          <cell r="G737">
            <v>111.626232365036</v>
          </cell>
          <cell r="H737">
            <v>1227.77340097977</v>
          </cell>
          <cell r="I737">
            <v>1701.7828263164299</v>
          </cell>
          <cell r="J737">
            <v>1763.0951801415647</v>
          </cell>
          <cell r="M737">
            <v>146.245428790235</v>
          </cell>
          <cell r="N737">
            <v>110.33197556911</v>
          </cell>
          <cell r="O737">
            <v>142.28219595082501</v>
          </cell>
          <cell r="P737">
            <v>111.560175244902</v>
          </cell>
          <cell r="Q737">
            <v>989.89255577830295</v>
          </cell>
          <cell r="R737">
            <v>566.37945329844604</v>
          </cell>
          <cell r="S737">
            <v>125.897043188971</v>
          </cell>
          <cell r="T737">
            <v>313.22697540297031</v>
          </cell>
        </row>
        <row r="740">
          <cell r="A740" t="str">
            <v>Productivity Ratios</v>
          </cell>
        </row>
        <row r="741">
          <cell r="B741" t="str">
            <v>Sales/Ave. Sq. Ft.</v>
          </cell>
        </row>
        <row r="742">
          <cell r="B742" t="str">
            <v>FY(5)</v>
          </cell>
        </row>
        <row r="743">
          <cell r="B743" t="str">
            <v>FY(4)</v>
          </cell>
          <cell r="C743">
            <v>253.2875245433593</v>
          </cell>
          <cell r="D743">
            <v>185.30833744449927</v>
          </cell>
          <cell r="E743">
            <v>143.15856777493607</v>
          </cell>
          <cell r="F743">
            <v>395.27124760076777</v>
          </cell>
          <cell r="H743">
            <v>303.58461255065697</v>
          </cell>
          <cell r="I743">
            <v>234.50310472285295</v>
          </cell>
          <cell r="J743">
            <v>252.51889910617868</v>
          </cell>
          <cell r="M743">
            <v>476.65329315540254</v>
          </cell>
          <cell r="N743">
            <v>553.48342475357208</v>
          </cell>
          <cell r="O743">
            <v>498.67201169342724</v>
          </cell>
          <cell r="P743">
            <v>1958.0403995260501</v>
          </cell>
          <cell r="Q743">
            <v>430.72580645161293</v>
          </cell>
          <cell r="R743">
            <v>937.78488992338282</v>
          </cell>
          <cell r="S743">
            <v>565.36012422209126</v>
          </cell>
          <cell r="T743">
            <v>774.38856424650555</v>
          </cell>
          <cell r="V743">
            <v>577.11325836658148</v>
          </cell>
        </row>
        <row r="744">
          <cell r="B744" t="str">
            <v>FY(3)</v>
          </cell>
          <cell r="C744">
            <v>261.97745877527694</v>
          </cell>
          <cell r="D744">
            <v>194.6512273838631</v>
          </cell>
          <cell r="E744">
            <v>172.44245524296676</v>
          </cell>
          <cell r="F744">
            <v>429.20986199721739</v>
          </cell>
          <cell r="G744">
            <v>392.00040000000001</v>
          </cell>
          <cell r="H744">
            <v>309.79171880648482</v>
          </cell>
          <cell r="I744">
            <v>240.79131445331413</v>
          </cell>
          <cell r="J744">
            <v>285.83777666558899</v>
          </cell>
          <cell r="M744">
            <v>516.46107878597263</v>
          </cell>
          <cell r="N744">
            <v>565.34256096890169</v>
          </cell>
          <cell r="O744">
            <v>561.94145885517469</v>
          </cell>
          <cell r="P744">
            <v>2094.1925372681239</v>
          </cell>
          <cell r="Q744">
            <v>414.66145833333337</v>
          </cell>
          <cell r="R744">
            <v>1034.880418970032</v>
          </cell>
          <cell r="S744">
            <v>531.19438790314507</v>
          </cell>
          <cell r="T744">
            <v>816.95341444066901</v>
          </cell>
          <cell r="V744">
            <v>604.08022730275991</v>
          </cell>
        </row>
        <row r="745">
          <cell r="B745" t="str">
            <v>FY(2)</v>
          </cell>
          <cell r="C745">
            <v>249.13721398000695</v>
          </cell>
          <cell r="D745">
            <v>189.42231759656653</v>
          </cell>
          <cell r="E745">
            <v>169.01924133080252</v>
          </cell>
          <cell r="F745">
            <v>436.41556258651377</v>
          </cell>
          <cell r="G745">
            <v>434.15559545182526</v>
          </cell>
          <cell r="H745">
            <v>300.70011574656536</v>
          </cell>
          <cell r="I745">
            <v>243.82809310736866</v>
          </cell>
          <cell r="J745">
            <v>288.95401997137844</v>
          </cell>
          <cell r="K745">
            <v>1.0902139465754468E-2</v>
          </cell>
          <cell r="M745">
            <v>527.39215965787605</v>
          </cell>
          <cell r="N745">
            <v>569.36596937287436</v>
          </cell>
          <cell r="O745">
            <v>561.50323297893033</v>
          </cell>
          <cell r="P745">
            <v>2309.1635339591971</v>
          </cell>
          <cell r="Q745">
            <v>401.09414758269719</v>
          </cell>
          <cell r="R745">
            <v>978.20706042090967</v>
          </cell>
          <cell r="S745">
            <v>560.0572640800508</v>
          </cell>
          <cell r="T745">
            <v>843.82619543607655</v>
          </cell>
          <cell r="V745">
            <v>599.60330568222309</v>
          </cell>
          <cell r="W745">
            <v>-7.4111374916646655E-3</v>
          </cell>
        </row>
        <row r="746">
          <cell r="B746" t="str">
            <v>FY(1)</v>
          </cell>
          <cell r="C746">
            <v>226.23946549236962</v>
          </cell>
          <cell r="D746">
            <v>171.33161931310519</v>
          </cell>
          <cell r="E746">
            <v>161.08616025782069</v>
          </cell>
          <cell r="F746">
            <v>399.32570740517758</v>
          </cell>
          <cell r="G746">
            <v>403.35618655037223</v>
          </cell>
          <cell r="H746">
            <v>297.52931192660554</v>
          </cell>
          <cell r="I746">
            <v>244.3765571400719</v>
          </cell>
          <cell r="J746">
            <v>271.89214401221756</v>
          </cell>
          <cell r="K746">
            <v>-5.9047027485033432E-2</v>
          </cell>
          <cell r="M746">
            <v>461.55620321918263</v>
          </cell>
          <cell r="N746">
            <v>606.29683007311451</v>
          </cell>
          <cell r="O746">
            <v>496.5596312175204</v>
          </cell>
          <cell r="P746">
            <v>2364.8030958382346</v>
          </cell>
          <cell r="Q746">
            <v>367.28192161820476</v>
          </cell>
          <cell r="R746">
            <v>852.71093341128631</v>
          </cell>
          <cell r="S746">
            <v>587.34129849293402</v>
          </cell>
          <cell r="T746">
            <v>819.50713055292533</v>
          </cell>
          <cell r="V746">
            <v>561.95780300537376</v>
          </cell>
          <cell r="W746">
            <v>-6.2784014564457147E-2</v>
          </cell>
        </row>
        <row r="747">
          <cell r="B747" t="str">
            <v>FY0</v>
          </cell>
          <cell r="C747">
            <v>223.96797663441728</v>
          </cell>
          <cell r="D747">
            <v>159.69059484575871</v>
          </cell>
          <cell r="E747">
            <v>152.28321085542203</v>
          </cell>
          <cell r="F747">
            <v>379.56036632309514</v>
          </cell>
          <cell r="G747">
            <v>349.81129360689715</v>
          </cell>
          <cell r="H747">
            <v>311.00489177489175</v>
          </cell>
          <cell r="I747">
            <v>252.24865546942056</v>
          </cell>
          <cell r="J747">
            <v>261.22385564427179</v>
          </cell>
          <cell r="K747">
            <v>-3.923720711646006E-2</v>
          </cell>
          <cell r="M747">
            <v>375.29634138527587</v>
          </cell>
          <cell r="N747">
            <v>664.41481366723326</v>
          </cell>
          <cell r="O747">
            <v>469.76938312881236</v>
          </cell>
          <cell r="P747">
            <v>2046.6726460811669</v>
          </cell>
          <cell r="Q747">
            <v>362.6309067688378</v>
          </cell>
          <cell r="R747">
            <v>790.84035307104932</v>
          </cell>
          <cell r="S747">
            <v>546.90366330753955</v>
          </cell>
          <cell r="T747">
            <v>750.93258677284496</v>
          </cell>
          <cell r="V747">
            <v>534.97591022145798</v>
          </cell>
          <cell r="W747">
            <v>-4.801409045237115E-2</v>
          </cell>
        </row>
        <row r="748">
          <cell r="B748" t="str">
            <v>FY1</v>
          </cell>
          <cell r="C748">
            <v>232.98788437346485</v>
          </cell>
          <cell r="D748">
            <v>160.71132410829935</v>
          </cell>
          <cell r="E748">
            <v>158.68741877190834</v>
          </cell>
          <cell r="F748">
            <v>391.8289687419649</v>
          </cell>
          <cell r="G748">
            <v>363.92077385737963</v>
          </cell>
          <cell r="H748">
            <v>321.90975401001765</v>
          </cell>
          <cell r="I748">
            <v>263.52932791049108</v>
          </cell>
          <cell r="J748">
            <v>270.51077882478938</v>
          </cell>
          <cell r="K748">
            <v>3.5551589105875081E-2</v>
          </cell>
          <cell r="M748">
            <v>395.34836284270295</v>
          </cell>
          <cell r="N748">
            <v>689.78224411268457</v>
          </cell>
          <cell r="O748">
            <v>471.26119763265149</v>
          </cell>
          <cell r="P748">
            <v>1967.531611892407</v>
          </cell>
          <cell r="Q748">
            <v>366.96280945963935</v>
          </cell>
          <cell r="R748">
            <v>836.15261274183558</v>
          </cell>
          <cell r="S748">
            <v>570.6246939212491</v>
          </cell>
          <cell r="T748">
            <v>756.80907608616712</v>
          </cell>
          <cell r="V748">
            <v>555.02198678512718</v>
          </cell>
          <cell r="W748">
            <v>3.7470989217759376E-2</v>
          </cell>
        </row>
        <row r="749">
          <cell r="B749" t="str">
            <v>FY2</v>
          </cell>
          <cell r="C749">
            <v>244.17915207720719</v>
          </cell>
          <cell r="D749">
            <v>163.73484708508263</v>
          </cell>
          <cell r="E749">
            <v>159.78565538973211</v>
          </cell>
          <cell r="F749">
            <v>393.94969944487127</v>
          </cell>
          <cell r="G749">
            <v>380.50669178144102</v>
          </cell>
          <cell r="H749">
            <v>320.88863145898</v>
          </cell>
          <cell r="I749">
            <v>268.59091585605967</v>
          </cell>
          <cell r="J749">
            <v>275.94794187048194</v>
          </cell>
          <cell r="K749">
            <v>2.0099616988697555E-2</v>
          </cell>
          <cell r="M749">
            <v>404.94502377164315</v>
          </cell>
          <cell r="N749">
            <v>724.47485977030351</v>
          </cell>
          <cell r="O749">
            <v>510.34132156188548</v>
          </cell>
          <cell r="P749">
            <v>1961.5656721886198</v>
          </cell>
          <cell r="Q749">
            <v>363.46766466263972</v>
          </cell>
          <cell r="R749">
            <v>865.00671660501121</v>
          </cell>
          <cell r="S749">
            <v>580.63219499255422</v>
          </cell>
          <cell r="T749">
            <v>772.91906479323666</v>
          </cell>
          <cell r="V749">
            <v>574.8112968940062</v>
          </cell>
          <cell r="W749">
            <v>3.5655002108124334E-2</v>
          </cell>
        </row>
        <row r="751">
          <cell r="B751" t="str">
            <v>Gross Profit/Ave. Sq. Ft.</v>
          </cell>
        </row>
        <row r="752">
          <cell r="B752" t="str">
            <v>FY(5)</v>
          </cell>
        </row>
        <row r="753">
          <cell r="B753" t="str">
            <v>FY(4)</v>
          </cell>
          <cell r="C753">
            <v>89.970347356487451</v>
          </cell>
          <cell r="D753">
            <v>70.94227923038973</v>
          </cell>
          <cell r="E753">
            <v>58.29923273657289</v>
          </cell>
          <cell r="F753">
            <v>145.08452975047985</v>
          </cell>
          <cell r="G753">
            <v>136.46666666666664</v>
          </cell>
          <cell r="H753">
            <v>67.026157435834463</v>
          </cell>
          <cell r="I753">
            <v>55.088027159895049</v>
          </cell>
          <cell r="J753">
            <v>88.98246290518945</v>
          </cell>
          <cell r="M753">
            <v>319.27421437795954</v>
          </cell>
          <cell r="N753">
            <v>166.58313956654604</v>
          </cell>
          <cell r="O753">
            <v>231.0768377663681</v>
          </cell>
          <cell r="P753">
            <v>1502.6397383911672</v>
          </cell>
          <cell r="Q753">
            <v>157.7956989247312</v>
          </cell>
          <cell r="R753">
            <v>334.6084763844438</v>
          </cell>
          <cell r="S753">
            <v>232.23360338023238</v>
          </cell>
          <cell r="T753">
            <v>420.60167268449266</v>
          </cell>
        </row>
        <row r="754">
          <cell r="B754" t="str">
            <v>FY(3)</v>
          </cell>
          <cell r="C754">
            <v>95.267906069825671</v>
          </cell>
          <cell r="D754">
            <v>76.371638141809285</v>
          </cell>
          <cell r="E754">
            <v>70.019181585677757</v>
          </cell>
          <cell r="F754">
            <v>160.77757862147632</v>
          </cell>
          <cell r="G754">
            <v>151.42786666666669</v>
          </cell>
          <cell r="H754">
            <v>69.66897472261617</v>
          </cell>
          <cell r="I754">
            <v>57.98112920407852</v>
          </cell>
          <cell r="J754">
            <v>97.359182144592936</v>
          </cell>
          <cell r="M754">
            <v>346.07123761597734</v>
          </cell>
          <cell r="N754">
            <v>179.22561868996246</v>
          </cell>
          <cell r="O754">
            <v>269.55346470462376</v>
          </cell>
          <cell r="P754">
            <v>1627.5069833991522</v>
          </cell>
          <cell r="Q754">
            <v>147.31770833333331</v>
          </cell>
          <cell r="R754">
            <v>389.24565997478419</v>
          </cell>
          <cell r="S754">
            <v>196.01091433823262</v>
          </cell>
          <cell r="T754">
            <v>450.70451243658084</v>
          </cell>
        </row>
        <row r="755">
          <cell r="B755" t="str">
            <v>FY(2)</v>
          </cell>
          <cell r="C755">
            <v>90.953223537951999</v>
          </cell>
          <cell r="D755">
            <v>73.104434907010017</v>
          </cell>
          <cell r="E755">
            <v>68.319410587710081</v>
          </cell>
          <cell r="F755">
            <v>163.22107969151674</v>
          </cell>
          <cell r="G755">
            <v>169.377219230002</v>
          </cell>
          <cell r="H755">
            <v>68.290070957677031</v>
          </cell>
          <cell r="I755">
            <v>59.719483750821425</v>
          </cell>
          <cell r="J755">
            <v>98.997846094669882</v>
          </cell>
          <cell r="M755">
            <v>354.69223093371352</v>
          </cell>
          <cell r="N755">
            <v>196.18126545750619</v>
          </cell>
          <cell r="O755">
            <v>261.53420790247395</v>
          </cell>
          <cell r="P755">
            <v>1788.1279152299524</v>
          </cell>
          <cell r="Q755">
            <v>144.88549618320613</v>
          </cell>
          <cell r="R755">
            <v>335.9071864998545</v>
          </cell>
          <cell r="S755">
            <v>214.24700297798475</v>
          </cell>
          <cell r="T755">
            <v>470.79647216924167</v>
          </cell>
        </row>
        <row r="756">
          <cell r="B756" t="str">
            <v>FY(1)</v>
          </cell>
          <cell r="C756">
            <v>83.589801285192706</v>
          </cell>
          <cell r="D756">
            <v>64.097109304426311</v>
          </cell>
          <cell r="E756">
            <v>63.956874571269559</v>
          </cell>
          <cell r="F756">
            <v>137.8214087898856</v>
          </cell>
          <cell r="G756">
            <v>129.41795944979313</v>
          </cell>
          <cell r="H756">
            <v>70.163440366972495</v>
          </cell>
          <cell r="I756">
            <v>58.875923717719836</v>
          </cell>
          <cell r="J756">
            <v>86.846073926465664</v>
          </cell>
          <cell r="M756">
            <v>308.81565874014706</v>
          </cell>
          <cell r="N756">
            <v>210.35372682331408</v>
          </cell>
          <cell r="O756">
            <v>195.05588050073356</v>
          </cell>
          <cell r="P756">
            <v>1789.6131727137602</v>
          </cell>
          <cell r="Q756">
            <v>137.724399494311</v>
          </cell>
          <cell r="R756">
            <v>283.49789950634846</v>
          </cell>
          <cell r="S756">
            <v>228.41544941025407</v>
          </cell>
          <cell r="T756">
            <v>450.49659816983831</v>
          </cell>
        </row>
        <row r="757">
          <cell r="B757" t="str">
            <v>FY0</v>
          </cell>
          <cell r="C757">
            <v>84.713276136334002</v>
          </cell>
          <cell r="D757">
            <v>62.848543174558898</v>
          </cell>
          <cell r="E757">
            <v>61.69385816766129</v>
          </cell>
          <cell r="F757">
            <v>134.67084927666127</v>
          </cell>
          <cell r="G757">
            <v>127.57838539091584</v>
          </cell>
          <cell r="H757">
            <v>80.386796536796524</v>
          </cell>
          <cell r="I757">
            <v>66.144384006341227</v>
          </cell>
          <cell r="J757">
            <v>88.290870384181289</v>
          </cell>
          <cell r="M757">
            <v>241.37835586595756</v>
          </cell>
          <cell r="N757">
            <v>253.1053971479177</v>
          </cell>
          <cell r="O757">
            <v>181.91715913869484</v>
          </cell>
          <cell r="P757">
            <v>1471.4964997376783</v>
          </cell>
          <cell r="Q757">
            <v>146.20689655172413</v>
          </cell>
          <cell r="R757">
            <v>277.40821664307668</v>
          </cell>
          <cell r="S757">
            <v>221.87132434773477</v>
          </cell>
          <cell r="T757">
            <v>399.05483563325481</v>
          </cell>
        </row>
        <row r="758">
          <cell r="B758" t="str">
            <v>FY1</v>
          </cell>
          <cell r="C758">
            <v>89.441866664750805</v>
          </cell>
          <cell r="D758">
            <v>63.650239246080858</v>
          </cell>
          <cell r="E758">
            <v>64.649536084434075</v>
          </cell>
          <cell r="F758">
            <v>142.51297101066149</v>
          </cell>
          <cell r="G758">
            <v>138.56135541811679</v>
          </cell>
          <cell r="H758">
            <v>85.196708669039481</v>
          </cell>
          <cell r="I758">
            <v>70.318331251795755</v>
          </cell>
          <cell r="J758">
            <v>93.475858334982746</v>
          </cell>
          <cell r="M758">
            <v>254.11165435640649</v>
          </cell>
          <cell r="N758">
            <v>263.95313541078667</v>
          </cell>
          <cell r="O758">
            <v>199.76427781995659</v>
          </cell>
          <cell r="P758">
            <v>1423.9245515610419</v>
          </cell>
          <cell r="Q758">
            <v>150.411207625456</v>
          </cell>
          <cell r="R758">
            <v>301.09415930361337</v>
          </cell>
          <cell r="S758">
            <v>235.83035087439166</v>
          </cell>
          <cell r="T758">
            <v>404.15561956452171</v>
          </cell>
        </row>
        <row r="759">
          <cell r="B759" t="str">
            <v>FY2</v>
          </cell>
          <cell r="C759">
            <v>94.470626975915735</v>
          </cell>
          <cell r="D759">
            <v>65.17518498561455</v>
          </cell>
          <cell r="E759">
            <v>65.256745287340706</v>
          </cell>
          <cell r="F759">
            <v>143.6782563113386</v>
          </cell>
          <cell r="G759">
            <v>149.54497462907122</v>
          </cell>
          <cell r="H759">
            <v>84.926458142572343</v>
          </cell>
          <cell r="I759">
            <v>71.266043768232706</v>
          </cell>
          <cell r="J759">
            <v>96.331184300012268</v>
          </cell>
          <cell r="M759">
            <v>263.45795421699074</v>
          </cell>
          <cell r="N759">
            <v>268.96338053982186</v>
          </cell>
          <cell r="O759">
            <v>220.15043447163885</v>
          </cell>
          <cell r="P759">
            <v>1419.6069345194633</v>
          </cell>
          <cell r="Q759">
            <v>150.06901599080251</v>
          </cell>
          <cell r="R759">
            <v>315.80940397101631</v>
          </cell>
          <cell r="S759">
            <v>241.70819270352629</v>
          </cell>
          <cell r="T759">
            <v>411.39504520189433</v>
          </cell>
        </row>
        <row r="760">
          <cell r="L760">
            <v>2006</v>
          </cell>
          <cell r="M760">
            <v>2007</v>
          </cell>
          <cell r="N760">
            <v>2008</v>
          </cell>
          <cell r="O760">
            <v>2009</v>
          </cell>
          <cell r="P760" t="str">
            <v>2010E</v>
          </cell>
          <cell r="Q760" t="str">
            <v>2011E</v>
          </cell>
          <cell r="Y760">
            <v>2006</v>
          </cell>
          <cell r="Z760">
            <v>2007</v>
          </cell>
          <cell r="AA760">
            <v>2008</v>
          </cell>
          <cell r="AB760">
            <v>2009</v>
          </cell>
          <cell r="AC760" t="str">
            <v>2010E</v>
          </cell>
          <cell r="AD760" t="str">
            <v>2011E</v>
          </cell>
        </row>
        <row r="761">
          <cell r="B761" t="str">
            <v>SG&amp;A/Ave. Sq. Ft.</v>
          </cell>
        </row>
        <row r="762">
          <cell r="B762" t="str">
            <v>FY(5)</v>
          </cell>
        </row>
        <row r="763">
          <cell r="B763" t="str">
            <v>FY(4)</v>
          </cell>
          <cell r="C763">
            <v>56.00704205162176</v>
          </cell>
          <cell r="D763">
            <v>55.392205229403061</v>
          </cell>
          <cell r="E763">
            <v>44.629156010230183</v>
          </cell>
          <cell r="F763">
            <v>107.51969289827257</v>
          </cell>
          <cell r="G763">
            <v>106.87679102827374</v>
          </cell>
          <cell r="H763">
            <v>47.043104506938469</v>
          </cell>
          <cell r="I763">
            <v>39.524716547395336</v>
          </cell>
          <cell r="J763">
            <v>65.284672610305023</v>
          </cell>
          <cell r="M763">
            <v>218.41256995264743</v>
          </cell>
          <cell r="N763">
            <v>104.34292665631251</v>
          </cell>
          <cell r="O763">
            <v>116.46501475101104</v>
          </cell>
          <cell r="P763">
            <v>867.63254557082882</v>
          </cell>
          <cell r="Q763">
            <v>112.5</v>
          </cell>
          <cell r="R763">
            <v>241.87285423334305</v>
          </cell>
          <cell r="S763">
            <v>125.54061794744167</v>
          </cell>
          <cell r="T763">
            <v>255.25236130165493</v>
          </cell>
        </row>
        <row r="764">
          <cell r="B764" t="str">
            <v>FY(3)</v>
          </cell>
          <cell r="C764">
            <v>57.411944663898744</v>
          </cell>
          <cell r="D764">
            <v>58.063569682151588</v>
          </cell>
          <cell r="E764">
            <v>55.485933503836314</v>
          </cell>
          <cell r="F764">
            <v>115.15839610934933</v>
          </cell>
          <cell r="G764">
            <v>99.98234510535373</v>
          </cell>
          <cell r="H764">
            <v>47.998275910013625</v>
          </cell>
          <cell r="I764">
            <v>40.350299525463122</v>
          </cell>
          <cell r="J764">
            <v>67.778680642866632</v>
          </cell>
          <cell r="M764">
            <v>237.877181946847</v>
          </cell>
          <cell r="N764">
            <v>115.90657018986992</v>
          </cell>
          <cell r="O764">
            <v>133.85018750090495</v>
          </cell>
          <cell r="P764">
            <v>892.04303236676367</v>
          </cell>
          <cell r="Q764">
            <v>116.58854166666667</v>
          </cell>
          <cell r="R764">
            <v>275.18446319464653</v>
          </cell>
          <cell r="S764">
            <v>124.8842487674527</v>
          </cell>
          <cell r="T764">
            <v>270.90488937616448</v>
          </cell>
        </row>
        <row r="765">
          <cell r="B765" t="str">
            <v>FY(2)</v>
          </cell>
          <cell r="C765">
            <v>55.909441495394944</v>
          </cell>
          <cell r="D765">
            <v>55.593705293276109</v>
          </cell>
          <cell r="E765">
            <v>54.945866694929677</v>
          </cell>
          <cell r="F765">
            <v>116.65908641487049</v>
          </cell>
          <cell r="G765">
            <v>107.44424798154198</v>
          </cell>
          <cell r="H765">
            <v>47.098837501887168</v>
          </cell>
          <cell r="I765">
            <v>40.335940615417101</v>
          </cell>
          <cell r="J765">
            <v>68.283875142473917</v>
          </cell>
          <cell r="M765">
            <v>245.32544547398433</v>
          </cell>
          <cell r="N765">
            <v>124.36313366110349</v>
          </cell>
          <cell r="O765">
            <v>131.4307079198864</v>
          </cell>
          <cell r="P765">
            <v>910.05910674304778</v>
          </cell>
          <cell r="Q765">
            <v>110.55979643765903</v>
          </cell>
          <cell r="R765">
            <v>252.39239646978956</v>
          </cell>
          <cell r="S765">
            <v>130.68921569829229</v>
          </cell>
          <cell r="T765">
            <v>272.11711462910898</v>
          </cell>
        </row>
        <row r="766">
          <cell r="B766" t="str">
            <v>FY(1)</v>
          </cell>
          <cell r="C766">
            <v>54.334550424141192</v>
          </cell>
          <cell r="D766">
            <v>53.800422138836723</v>
          </cell>
          <cell r="E766">
            <v>54.735125480501665</v>
          </cell>
          <cell r="F766">
            <v>115.01341360626128</v>
          </cell>
          <cell r="G766">
            <v>101.39981901082912</v>
          </cell>
          <cell r="H766">
            <v>47.645634890778894</v>
          </cell>
          <cell r="I766">
            <v>40.422041776999137</v>
          </cell>
          <cell r="J766">
            <v>66.764429618335427</v>
          </cell>
          <cell r="M766">
            <v>243.77773741321985</v>
          </cell>
          <cell r="N766">
            <v>130.51261224586915</v>
          </cell>
          <cell r="O766">
            <v>121.95297613020131</v>
          </cell>
          <cell r="P766">
            <v>912.8896789346926</v>
          </cell>
          <cell r="Q766">
            <v>98.584070796460168</v>
          </cell>
          <cell r="R766">
            <v>215.83446884149876</v>
          </cell>
          <cell r="S766">
            <v>132.55323628783208</v>
          </cell>
          <cell r="T766">
            <v>265.15782580711056</v>
          </cell>
        </row>
        <row r="767">
          <cell r="B767" t="str">
            <v>FY0</v>
          </cell>
          <cell r="C767">
            <v>54.032910005997856</v>
          </cell>
          <cell r="D767">
            <v>56.772880824254223</v>
          </cell>
          <cell r="E767">
            <v>52.267327085717248</v>
          </cell>
          <cell r="F767">
            <v>113.29817183173039</v>
          </cell>
          <cell r="G767">
            <v>88.379605972524715</v>
          </cell>
          <cell r="H767">
            <v>48.952943722943722</v>
          </cell>
          <cell r="I767">
            <v>41.389159668084687</v>
          </cell>
          <cell r="J767">
            <v>65.013285587321832</v>
          </cell>
          <cell r="M767">
            <v>223.74818991478182</v>
          </cell>
          <cell r="N767">
            <v>138.10894996119467</v>
          </cell>
          <cell r="O767">
            <v>118.79586171124691</v>
          </cell>
          <cell r="P767">
            <v>837.76738647087723</v>
          </cell>
          <cell r="Q767">
            <v>99.94891443167306</v>
          </cell>
          <cell r="R767">
            <v>198.46761301434174</v>
          </cell>
          <cell r="S767">
            <v>126.20089584829444</v>
          </cell>
          <cell r="T767">
            <v>249.00540162177285</v>
          </cell>
        </row>
        <row r="768">
          <cell r="B768" t="str">
            <v>FY1</v>
          </cell>
          <cell r="C768">
            <v>55.348580166865275</v>
          </cell>
          <cell r="D768">
            <v>56.381275323190636</v>
          </cell>
          <cell r="E768">
            <v>53.326011039639944</v>
          </cell>
          <cell r="F768">
            <v>113.63839445500386</v>
          </cell>
          <cell r="G768">
            <v>92.492419639671866</v>
          </cell>
          <cell r="H768">
            <v>49.961621490643836</v>
          </cell>
          <cell r="I768">
            <v>42.430828483391224</v>
          </cell>
          <cell r="J768">
            <v>66.225590085486672</v>
          </cell>
          <cell r="M768">
            <v>224.104307425526</v>
          </cell>
          <cell r="N768">
            <v>143.13736750927575</v>
          </cell>
          <cell r="O768">
            <v>114.88595930240508</v>
          </cell>
          <cell r="P768">
            <v>804.68729077882745</v>
          </cell>
          <cell r="Q768">
            <v>104.02768504250595</v>
          </cell>
          <cell r="R768">
            <v>204.26032967175414</v>
          </cell>
          <cell r="S768">
            <v>127.70898912929687</v>
          </cell>
          <cell r="T768">
            <v>246.11598983708447</v>
          </cell>
        </row>
        <row r="769">
          <cell r="B769" t="str">
            <v>FY2</v>
          </cell>
          <cell r="C769">
            <v>57.518818378727502</v>
          </cell>
          <cell r="D769">
            <v>57.330946533195807</v>
          </cell>
          <cell r="E769">
            <v>53.535281598406499</v>
          </cell>
          <cell r="F769">
            <v>112.74721576913295</v>
          </cell>
          <cell r="G769">
            <v>95.574639597660976</v>
          </cell>
          <cell r="H769">
            <v>49.803139376464415</v>
          </cell>
          <cell r="I769">
            <v>43.111498751194262</v>
          </cell>
          <cell r="J769">
            <v>67.088791429254613</v>
          </cell>
          <cell r="M769">
            <v>225.90442975327224</v>
          </cell>
          <cell r="N769">
            <v>156.45874830429116</v>
          </cell>
          <cell r="O769">
            <v>121.86615690934654</v>
          </cell>
          <cell r="P769">
            <v>798.32419057795209</v>
          </cell>
          <cell r="Q769">
            <v>102.67340356034649</v>
          </cell>
          <cell r="R769">
            <v>209.66028850840351</v>
          </cell>
          <cell r="S769">
            <v>126.98749949091251</v>
          </cell>
          <cell r="T769">
            <v>248.83924530064638</v>
          </cell>
        </row>
        <row r="771">
          <cell r="B771" t="str">
            <v>Capex/Ave. Sq. Ft.</v>
          </cell>
        </row>
        <row r="772">
          <cell r="B772" t="str">
            <v>FY(5)</v>
          </cell>
        </row>
        <row r="773">
          <cell r="B773" t="str">
            <v>FY(4)</v>
          </cell>
          <cell r="C773">
            <v>15.650127041585197</v>
          </cell>
          <cell r="D773">
            <v>5.2787370498273312</v>
          </cell>
          <cell r="E773">
            <v>4.1943734015345262</v>
          </cell>
          <cell r="F773">
            <v>13.904491362763915</v>
          </cell>
          <cell r="G773">
            <v>17.349866666666664</v>
          </cell>
          <cell r="H773">
            <v>10.797678988087929</v>
          </cell>
          <cell r="I773">
            <v>7.2889045655959963</v>
          </cell>
          <cell r="J773">
            <v>10.637739868008794</v>
          </cell>
          <cell r="M773">
            <v>44.15359448988378</v>
          </cell>
          <cell r="N773">
            <v>26.787956747898207</v>
          </cell>
          <cell r="O773">
            <v>17.51286592697922</v>
          </cell>
          <cell r="P773">
            <v>112.13568379804623</v>
          </cell>
          <cell r="Q773">
            <v>16.129032258064516</v>
          </cell>
          <cell r="R773">
            <v>46.552225778295025</v>
          </cell>
          <cell r="S773">
            <v>66.123052655909831</v>
          </cell>
          <cell r="T773">
            <v>47.056344522153829</v>
          </cell>
        </row>
        <row r="774">
          <cell r="B774" t="str">
            <v>FY(3)</v>
          </cell>
          <cell r="C774">
            <v>19.550721957943221</v>
          </cell>
          <cell r="D774">
            <v>7.5501222493887532</v>
          </cell>
          <cell r="E774">
            <v>8.9002557544757028</v>
          </cell>
          <cell r="F774">
            <v>13.258144169664458</v>
          </cell>
          <cell r="G774">
            <v>16.490533333333335</v>
          </cell>
          <cell r="H774">
            <v>12.45543783543283</v>
          </cell>
          <cell r="I774">
            <v>5.2297422559178761</v>
          </cell>
          <cell r="J774">
            <v>11.919279650879451</v>
          </cell>
          <cell r="M774">
            <v>63.449598993552442</v>
          </cell>
          <cell r="N774">
            <v>17.981488056245905</v>
          </cell>
          <cell r="O774">
            <v>45.435185497999505</v>
          </cell>
          <cell r="P774">
            <v>137.7643293126859</v>
          </cell>
          <cell r="Q774">
            <v>14.895833333333334</v>
          </cell>
          <cell r="R774">
            <v>53.147124430220153</v>
          </cell>
          <cell r="S774">
            <v>91.962971749976475</v>
          </cell>
          <cell r="T774">
            <v>60.662361624859102</v>
          </cell>
        </row>
        <row r="775">
          <cell r="B775" t="str">
            <v>FY(2)</v>
          </cell>
          <cell r="C775">
            <v>23.315381939718403</v>
          </cell>
          <cell r="D775">
            <v>11.855030996661897</v>
          </cell>
          <cell r="E775">
            <v>7.0978703177340767</v>
          </cell>
          <cell r="F775">
            <v>24.767648803638519</v>
          </cell>
          <cell r="G775">
            <v>18.18285790278609</v>
          </cell>
          <cell r="H775">
            <v>11.882693372251019</v>
          </cell>
          <cell r="I775">
            <v>7.0074797050669178</v>
          </cell>
          <cell r="J775">
            <v>14.872709005408135</v>
          </cell>
          <cell r="M775">
            <v>57.497505345687813</v>
          </cell>
          <cell r="N775">
            <v>29.600011795985552</v>
          </cell>
          <cell r="O775">
            <v>46.018022425256582</v>
          </cell>
          <cell r="P775">
            <v>124.51749822997978</v>
          </cell>
          <cell r="Q775">
            <v>17.353689567430024</v>
          </cell>
          <cell r="R775">
            <v>72.640868974881201</v>
          </cell>
          <cell r="S775">
            <v>42.855195352011023</v>
          </cell>
          <cell r="T775">
            <v>55.783255955890283</v>
          </cell>
        </row>
        <row r="776">
          <cell r="B776" t="str">
            <v>FY(1)</v>
          </cell>
          <cell r="C776">
            <v>13.997694659755247</v>
          </cell>
          <cell r="D776">
            <v>8.980638941004786</v>
          </cell>
          <cell r="E776">
            <v>5.8048483750307396</v>
          </cell>
          <cell r="F776">
            <v>27.116195063214931</v>
          </cell>
          <cell r="G776">
            <v>16.908512704055976</v>
          </cell>
          <cell r="H776">
            <v>10.294403669724771</v>
          </cell>
          <cell r="I776">
            <v>7.4978224541521676</v>
          </cell>
          <cell r="J776">
            <v>12.942873695276946</v>
          </cell>
          <cell r="M776">
            <v>48.698681857322647</v>
          </cell>
          <cell r="N776">
            <v>26.700095243791303</v>
          </cell>
          <cell r="O776">
            <v>44.082541603952585</v>
          </cell>
          <cell r="P776">
            <v>129.89939090124025</v>
          </cell>
          <cell r="Q776">
            <v>10.897597977243993</v>
          </cell>
          <cell r="R776">
            <v>45.168864601849187</v>
          </cell>
          <cell r="S776">
            <v>36.033127969569257</v>
          </cell>
          <cell r="T776">
            <v>48.782900022138456</v>
          </cell>
        </row>
        <row r="777">
          <cell r="B777" t="str">
            <v>FY0</v>
          </cell>
          <cell r="C777">
            <v>8.6838605366782282</v>
          </cell>
          <cell r="D777">
            <v>5.4571817517706718</v>
          </cell>
          <cell r="E777">
            <v>2.9822588017154472</v>
          </cell>
          <cell r="F777">
            <v>16.54658898962391</v>
          </cell>
          <cell r="G777">
            <v>9.9355514673446681</v>
          </cell>
          <cell r="H777">
            <v>6.8609090909090904</v>
          </cell>
          <cell r="I777">
            <v>5.3375383441441961</v>
          </cell>
          <cell r="J777">
            <v>7.9719841403123155</v>
          </cell>
          <cell r="M777">
            <v>22.486320240917536</v>
          </cell>
          <cell r="N777">
            <v>16.053353274770263</v>
          </cell>
          <cell r="O777">
            <v>20.015510492988312</v>
          </cell>
          <cell r="P777">
            <v>86.815132055125204</v>
          </cell>
          <cell r="Q777">
            <v>8.5312899106002558</v>
          </cell>
          <cell r="R777">
            <v>18.505540210615035</v>
          </cell>
          <cell r="S777">
            <v>33.63074150631536</v>
          </cell>
          <cell r="T777">
            <v>29.433983955904569</v>
          </cell>
        </row>
        <row r="778">
          <cell r="B778" t="str">
            <v>FY1</v>
          </cell>
          <cell r="C778">
            <v>11.431281531312116</v>
          </cell>
          <cell r="D778">
            <v>4.6606283991406849</v>
          </cell>
          <cell r="E778">
            <v>3.6536938616378576</v>
          </cell>
          <cell r="F778">
            <v>19.971528510839402</v>
          </cell>
          <cell r="G778">
            <v>10.337560270578901</v>
          </cell>
          <cell r="H778">
            <v>8.9375148013948102</v>
          </cell>
          <cell r="I778">
            <v>5.631509653744514</v>
          </cell>
          <cell r="J778">
            <v>9.2319595755211843</v>
          </cell>
          <cell r="M778">
            <v>31.581589973941607</v>
          </cell>
          <cell r="N778">
            <v>22.536174951703867</v>
          </cell>
          <cell r="O778">
            <v>16.494141917142809</v>
          </cell>
          <cell r="P778">
            <v>61.969777790835089</v>
          </cell>
          <cell r="Q778">
            <v>15.358166476343248</v>
          </cell>
          <cell r="R778">
            <v>25.08457838225512</v>
          </cell>
          <cell r="S778">
            <v>37.499583215737189</v>
          </cell>
          <cell r="T778">
            <v>30.074858958279851</v>
          </cell>
        </row>
        <row r="779">
          <cell r="B779" t="str">
            <v>FY2</v>
          </cell>
          <cell r="C779">
            <v>13.201263919776572</v>
          </cell>
          <cell r="D779">
            <v>4.9120454125524784</v>
          </cell>
          <cell r="E779">
            <v>4.5538911786073388</v>
          </cell>
          <cell r="F779">
            <v>22.455132868357687</v>
          </cell>
          <cell r="G779">
            <v>4.7563336472679971</v>
          </cell>
          <cell r="H779">
            <v>9.2300529470413881</v>
          </cell>
          <cell r="I779">
            <v>6.0082645512141291</v>
          </cell>
          <cell r="J779">
            <v>9.3024263606882265</v>
          </cell>
          <cell r="M779">
            <v>31.943254449694578</v>
          </cell>
          <cell r="N779">
            <v>23.669632448856579</v>
          </cell>
          <cell r="O779">
            <v>16.841263611542193</v>
          </cell>
          <cell r="P779">
            <v>73.551267367681376</v>
          </cell>
          <cell r="Q779">
            <v>13.81177125718035</v>
          </cell>
          <cell r="R779">
            <v>29.323727692909848</v>
          </cell>
          <cell r="S779">
            <v>38.157243361192954</v>
          </cell>
          <cell r="T779">
            <v>32.47116574129398</v>
          </cell>
        </row>
        <row r="781">
          <cell r="B781" t="str">
            <v>Inventories/Ave. Sq. Ft.</v>
          </cell>
        </row>
        <row r="782">
          <cell r="B782" t="str">
            <v>FY(5)</v>
          </cell>
        </row>
        <row r="783">
          <cell r="B783" t="str">
            <v>FY(4)</v>
          </cell>
          <cell r="C783">
            <v>42.287688567357257</v>
          </cell>
          <cell r="D783">
            <v>31.672422298963983</v>
          </cell>
          <cell r="E783">
            <v>34.904092071611259</v>
          </cell>
          <cell r="F783">
            <v>48.93041586692258</v>
          </cell>
          <cell r="G783">
            <v>107.62813333333334</v>
          </cell>
          <cell r="H783">
            <v>57.601068402308734</v>
          </cell>
          <cell r="I783">
            <v>34.770853082310062</v>
          </cell>
          <cell r="J783">
            <v>51.113524803258166</v>
          </cell>
          <cell r="M783">
            <v>62.425484287559186</v>
          </cell>
          <cell r="N783">
            <v>42.238287306109697</v>
          </cell>
          <cell r="O783">
            <v>45.258984028274867</v>
          </cell>
          <cell r="P783">
            <v>218.62261787838176</v>
          </cell>
          <cell r="Q783">
            <v>45.591397849462368</v>
          </cell>
          <cell r="R783">
            <v>112.47114731839783</v>
          </cell>
          <cell r="S783">
            <v>72.670130452349909</v>
          </cell>
          <cell r="T783">
            <v>85.611149874362226</v>
          </cell>
        </row>
        <row r="784">
          <cell r="B784" t="str">
            <v>FY(3)</v>
          </cell>
          <cell r="C784">
            <v>43.340639760636066</v>
          </cell>
          <cell r="D784">
            <v>33.251833740831295</v>
          </cell>
          <cell r="E784">
            <v>33.996163682864449</v>
          </cell>
          <cell r="F784">
            <v>50.001328637144184</v>
          </cell>
          <cell r="G784">
            <v>104.70693333333334</v>
          </cell>
          <cell r="H784">
            <v>58.492756041266929</v>
          </cell>
          <cell r="I784">
            <v>35.721268383115891</v>
          </cell>
          <cell r="J784">
            <v>51.358703368456027</v>
          </cell>
          <cell r="M784">
            <v>67.219216857996543</v>
          </cell>
          <cell r="N784">
            <v>40.594662439556153</v>
          </cell>
          <cell r="O784">
            <v>53.017469518031781</v>
          </cell>
          <cell r="P784">
            <v>240.27566037629057</v>
          </cell>
          <cell r="Q784">
            <v>46.770833333333329</v>
          </cell>
          <cell r="R784">
            <v>171.66133255746291</v>
          </cell>
          <cell r="S784">
            <v>66.962006704571621</v>
          </cell>
          <cell r="T784">
            <v>98.071597398177559</v>
          </cell>
        </row>
        <row r="785">
          <cell r="B785" t="str">
            <v>FY(2)</v>
          </cell>
          <cell r="C785">
            <v>43.188194728006899</v>
          </cell>
          <cell r="D785">
            <v>34.725798760133522</v>
          </cell>
          <cell r="E785">
            <v>32.502464984375045</v>
          </cell>
          <cell r="F785">
            <v>47.261222068420011</v>
          </cell>
          <cell r="G785">
            <v>113.99335062171687</v>
          </cell>
          <cell r="H785">
            <v>51.597554224749636</v>
          </cell>
          <cell r="I785">
            <v>36.399609060748503</v>
          </cell>
          <cell r="J785">
            <v>51.381170635450069</v>
          </cell>
          <cell r="M785">
            <v>47.49151817533857</v>
          </cell>
          <cell r="N785">
            <v>49.085685247861349</v>
          </cell>
          <cell r="O785">
            <v>52.648181378713971</v>
          </cell>
          <cell r="P785">
            <v>257.38613311789618</v>
          </cell>
          <cell r="Q785">
            <v>40.07633587786259</v>
          </cell>
          <cell r="R785">
            <v>121.29036950829212</v>
          </cell>
          <cell r="S785">
            <v>63.863044646740875</v>
          </cell>
          <cell r="T785">
            <v>90.26303827895795</v>
          </cell>
        </row>
        <row r="786">
          <cell r="B786" t="str">
            <v>FY(1)</v>
          </cell>
          <cell r="C786">
            <v>38.638606856661674</v>
          </cell>
          <cell r="D786">
            <v>30.204233548745712</v>
          </cell>
          <cell r="E786">
            <v>30.862120290436561</v>
          </cell>
          <cell r="F786">
            <v>43.347381095725467</v>
          </cell>
          <cell r="G786">
            <v>96.803875006770056</v>
          </cell>
          <cell r="H786">
            <v>40.415504587155958</v>
          </cell>
          <cell r="I786">
            <v>33.690578447862052</v>
          </cell>
          <cell r="J786">
            <v>44.851757119051065</v>
          </cell>
          <cell r="M786">
            <v>49.337219315095716</v>
          </cell>
          <cell r="N786">
            <v>40.631348648226286</v>
          </cell>
          <cell r="O786">
            <v>48.999098611832324</v>
          </cell>
          <cell r="P786">
            <v>236.7883299458334</v>
          </cell>
          <cell r="Q786">
            <v>38.078381795195952</v>
          </cell>
          <cell r="R786">
            <v>111.44780827278598</v>
          </cell>
          <cell r="S786">
            <v>54.327736712304102</v>
          </cell>
          <cell r="T786">
            <v>82.801417614467681</v>
          </cell>
        </row>
        <row r="787">
          <cell r="B787" t="str">
            <v>FY0</v>
          </cell>
          <cell r="C787">
            <v>38.112499022087775</v>
          </cell>
          <cell r="D787">
            <v>27.504196028924184</v>
          </cell>
          <cell r="E787">
            <v>29.919835586775626</v>
          </cell>
          <cell r="F787">
            <v>41.274546979672976</v>
          </cell>
          <cell r="G787">
            <v>86.489403842931324</v>
          </cell>
          <cell r="H787">
            <v>37.770476190476195</v>
          </cell>
          <cell r="I787">
            <v>31.484389352146167</v>
          </cell>
          <cell r="J787">
            <v>41.793621000430612</v>
          </cell>
          <cell r="M787">
            <v>39.808419299032487</v>
          </cell>
          <cell r="N787">
            <v>39.599343958504335</v>
          </cell>
          <cell r="O787">
            <v>51.280762386127712</v>
          </cell>
          <cell r="P787">
            <v>206.63203912686348</v>
          </cell>
          <cell r="Q787">
            <v>37.726692209450832</v>
          </cell>
          <cell r="R787">
            <v>94.960263474919032</v>
          </cell>
          <cell r="S787">
            <v>52.530906640433855</v>
          </cell>
          <cell r="T787">
            <v>74.648346727904524</v>
          </cell>
        </row>
        <row r="788">
          <cell r="B788" t="str">
            <v>FY1</v>
          </cell>
          <cell r="C788">
            <v>39.347452029995708</v>
          </cell>
          <cell r="D788">
            <v>29.356748438334701</v>
          </cell>
          <cell r="E788">
            <v>30.52408774498835</v>
          </cell>
          <cell r="F788">
            <v>40.102918192343012</v>
          </cell>
          <cell r="G788">
            <v>88.953357019349212</v>
          </cell>
          <cell r="H788">
            <v>34.435038762035724</v>
          </cell>
          <cell r="I788">
            <v>31.366907365486593</v>
          </cell>
          <cell r="J788">
            <v>42.012358507504757</v>
          </cell>
          <cell r="M788">
            <v>32.314250277819518</v>
          </cell>
          <cell r="N788">
            <v>41.192025535021067</v>
          </cell>
          <cell r="O788">
            <v>51.788879564784338</v>
          </cell>
          <cell r="P788">
            <v>194.15276857213092</v>
          </cell>
          <cell r="Q788">
            <v>40.220785229448175</v>
          </cell>
          <cell r="R788">
            <v>96.921492997836197</v>
          </cell>
          <cell r="S788">
            <v>52.092692826174805</v>
          </cell>
          <cell r="T788">
            <v>72.668985000459287</v>
          </cell>
        </row>
        <row r="789">
          <cell r="B789" t="str">
            <v>FY2</v>
          </cell>
          <cell r="C789">
            <v>40.626498868924216</v>
          </cell>
          <cell r="D789">
            <v>30.080029219039286</v>
          </cell>
          <cell r="E789">
            <v>30.424488748700757</v>
          </cell>
          <cell r="F789">
            <v>40.942278457992401</v>
          </cell>
          <cell r="G789">
            <v>90.531911795975219</v>
          </cell>
          <cell r="H789">
            <v>34.293484579602911</v>
          </cell>
          <cell r="I789">
            <v>31.764467878342945</v>
          </cell>
          <cell r="J789">
            <v>42.666165649796817</v>
          </cell>
          <cell r="M789">
            <v>31.98389582712926</v>
          </cell>
          <cell r="N789">
            <v>43.439322753006394</v>
          </cell>
          <cell r="O789">
            <v>54.5597682803675</v>
          </cell>
          <cell r="P789">
            <v>193.56405949949226</v>
          </cell>
          <cell r="Q789">
            <v>39.34285076815766</v>
          </cell>
          <cell r="R789">
            <v>97.977982331153342</v>
          </cell>
          <cell r="S789">
            <v>51.806692772736874</v>
          </cell>
          <cell r="T789">
            <v>73.239224604577615</v>
          </cell>
        </row>
        <row r="791">
          <cell r="A791" t="str">
            <v>Turnover Ratios</v>
          </cell>
        </row>
        <row r="792">
          <cell r="B792" t="str">
            <v>Inventory Turnover</v>
          </cell>
          <cell r="C792" t="str">
            <v>COGS/ Average Inventory</v>
          </cell>
        </row>
        <row r="793">
          <cell r="B793" t="str">
            <v>FY(5)</v>
          </cell>
        </row>
        <row r="794">
          <cell r="B794" t="str">
            <v>FY(4)</v>
          </cell>
          <cell r="C794">
            <v>3.5887445581823387</v>
          </cell>
          <cell r="D794">
            <v>3.5071104387291983</v>
          </cell>
          <cell r="E794">
            <v>2.4632516703786194</v>
          </cell>
          <cell r="F794">
            <v>5.0049716705396659</v>
          </cell>
          <cell r="G794">
            <v>2.2038539088848883</v>
          </cell>
          <cell r="H794">
            <v>3.8723010121518526</v>
          </cell>
          <cell r="I794">
            <v>4.9345555526362066</v>
          </cell>
          <cell r="J794">
            <v>3.65354125878611</v>
          </cell>
          <cell r="M794">
            <v>2.3139206793057574</v>
          </cell>
          <cell r="N794">
            <v>8.706738923592436</v>
          </cell>
          <cell r="O794">
            <v>5.2531435569993015</v>
          </cell>
          <cell r="P794">
            <v>1.8384352724131579</v>
          </cell>
          <cell r="Q794">
            <v>5.8150057273768612</v>
          </cell>
          <cell r="R794">
            <v>4.2457406756346234</v>
          </cell>
          <cell r="S794">
            <v>4.366211613358483</v>
          </cell>
          <cell r="T794">
            <v>4.648456635525803</v>
          </cell>
        </row>
        <row r="795">
          <cell r="B795" t="str">
            <v>FY(3)</v>
          </cell>
          <cell r="C795">
            <v>3.6501712975682681</v>
          </cell>
          <cell r="D795">
            <v>3.4353324811816504</v>
          </cell>
          <cell r="E795">
            <v>3.0874048376216634</v>
          </cell>
          <cell r="F795">
            <v>5.4819834648124264</v>
          </cell>
          <cell r="G795">
            <v>2.1970428773649524</v>
          </cell>
          <cell r="H795">
            <v>4.1574165729428252</v>
          </cell>
          <cell r="I795">
            <v>4.9681673333211762</v>
          </cell>
          <cell r="J795">
            <v>3.8539312664018519</v>
          </cell>
          <cell r="M795">
            <v>2.8490901919537208</v>
          </cell>
          <cell r="N795">
            <v>8.1120757761678242</v>
          </cell>
          <cell r="O795">
            <v>5.2859602020616983</v>
          </cell>
          <cell r="P795">
            <v>1.7287047394205184</v>
          </cell>
          <cell r="Q795">
            <v>6.0907742509641052</v>
          </cell>
          <cell r="R795">
            <v>4.4077897786054212</v>
          </cell>
          <cell r="S795">
            <v>4.736546617960725</v>
          </cell>
          <cell r="T795">
            <v>4.7444202224477161</v>
          </cell>
        </row>
        <row r="796">
          <cell r="B796" t="str">
            <v>FY(2)</v>
          </cell>
          <cell r="C796">
            <v>3.6994142782691952</v>
          </cell>
          <cell r="D796">
            <v>3.5350521739130434</v>
          </cell>
          <cell r="E796">
            <v>3.1899481127276426</v>
          </cell>
          <cell r="F796">
            <v>5.954933189655172</v>
          </cell>
          <cell r="G796">
            <v>2.5106978879127166</v>
          </cell>
          <cell r="H796">
            <v>4.8450837803911453</v>
          </cell>
          <cell r="I796">
            <v>5.1694422378141152</v>
          </cell>
          <cell r="J796">
            <v>4.1292245229547193</v>
          </cell>
          <cell r="M796">
            <v>3.4340502427098456</v>
          </cell>
          <cell r="N796">
            <v>7.8956659362064769</v>
          </cell>
          <cell r="O796">
            <v>5.6148761723594065</v>
          </cell>
          <cell r="P796">
            <v>1.9336965828087429</v>
          </cell>
          <cell r="Q796">
            <v>6.5361895488477764</v>
          </cell>
          <cell r="R796">
            <v>5.4452466402739583</v>
          </cell>
          <cell r="S796">
            <v>5.4501716804781868</v>
          </cell>
          <cell r="T796">
            <v>5.1871281148120563</v>
          </cell>
        </row>
        <row r="797">
          <cell r="B797" t="str">
            <v>FY(1)</v>
          </cell>
          <cell r="C797">
            <v>3.6118885005242918</v>
          </cell>
          <cell r="D797">
            <v>3.6831045611032631</v>
          </cell>
          <cell r="E797">
            <v>3.198849104859335</v>
          </cell>
          <cell r="F797">
            <v>6.0394694104560624</v>
          </cell>
          <cell r="G797">
            <v>2.9933797133168416</v>
          </cell>
          <cell r="H797">
            <v>5.6531710421566235</v>
          </cell>
          <cell r="I797">
            <v>5.5990322297615744</v>
          </cell>
          <cell r="J797">
            <v>4.3969849374539987</v>
          </cell>
          <cell r="M797">
            <v>3.3758386805393905</v>
          </cell>
          <cell r="N797">
            <v>9.4984013113489549</v>
          </cell>
          <cell r="O797">
            <v>5.8410639509995459</v>
          </cell>
          <cell r="P797">
            <v>2.4002742624542766</v>
          </cell>
          <cell r="Q797">
            <v>6.0871605766007377</v>
          </cell>
          <cell r="R797">
            <v>5.4419906437830923</v>
          </cell>
          <cell r="S797">
            <v>6.3015839113279464</v>
          </cell>
          <cell r="T797">
            <v>5.5637590481505637</v>
          </cell>
        </row>
        <row r="798">
          <cell r="B798" t="str">
            <v>FY0</v>
          </cell>
          <cell r="C798">
            <v>3.5323317687561731</v>
          </cell>
          <cell r="D798">
            <v>3.392747310751735</v>
          </cell>
          <cell r="E798">
            <v>2.9932833540756003</v>
          </cell>
          <cell r="F798">
            <v>5.8804120596511433</v>
          </cell>
          <cell r="G798">
            <v>2.5306349090500406</v>
          </cell>
          <cell r="H798">
            <v>6.2406407993436952</v>
          </cell>
          <cell r="I798">
            <v>5.8044599173301963</v>
          </cell>
          <cell r="J798">
            <v>4.3392157312797979</v>
          </cell>
          <cell r="M798">
            <v>3.6722072190744006</v>
          </cell>
          <cell r="N798">
            <v>9.9304948772299113</v>
          </cell>
          <cell r="O798">
            <v>5.5960303546763486</v>
          </cell>
          <cell r="P798">
            <v>2.7134102297852838</v>
          </cell>
          <cell r="Q798">
            <v>5.615370155671922</v>
          </cell>
          <cell r="R798">
            <v>5.3564095066318336</v>
          </cell>
          <cell r="S798">
            <v>5.8671152610791442</v>
          </cell>
          <cell r="T798">
            <v>5.5358625148784055</v>
          </cell>
        </row>
        <row r="799">
          <cell r="B799" t="str">
            <v>FY1</v>
          </cell>
          <cell r="C799">
            <v>3.5294359731233071</v>
          </cell>
          <cell r="D799">
            <v>3.2608196426672098</v>
          </cell>
          <cell r="E799">
            <v>3.0835504775409524</v>
          </cell>
          <cell r="F799">
            <v>6.0262598083973495</v>
          </cell>
          <cell r="G799">
            <v>2.4805647249526515</v>
          </cell>
          <cell r="H799">
            <v>6.7235442342658001</v>
          </cell>
          <cell r="I799">
            <v>5.9830051554892743</v>
          </cell>
          <cell r="J799">
            <v>4.4410257166337912</v>
          </cell>
          <cell r="M799">
            <v>4.276666494651332</v>
          </cell>
          <cell r="N799">
            <v>9.6775044370445986</v>
          </cell>
          <cell r="O799">
            <v>5.0509147014061533</v>
          </cell>
          <cell r="P799">
            <v>2.7059775822106986</v>
          </cell>
          <cell r="Q799">
            <v>5.5249170463734361</v>
          </cell>
          <cell r="R799">
            <v>5.4821208658836831</v>
          </cell>
          <cell r="S799">
            <v>6.0772587951321562</v>
          </cell>
          <cell r="T799">
            <v>5.542194274671723</v>
          </cell>
        </row>
        <row r="800">
          <cell r="B800" t="str">
            <v>FY2</v>
          </cell>
          <cell r="C800">
            <v>4.0032845383298508</v>
          </cell>
          <cell r="D800">
            <v>3.3294959588521795</v>
          </cell>
          <cell r="E800">
            <v>3.0070600124608067</v>
          </cell>
          <cell r="F800">
            <v>6.0136541557279175</v>
          </cell>
          <cell r="G800">
            <v>2.409865145409928</v>
          </cell>
          <cell r="H800">
            <v>6.7058911884400656</v>
          </cell>
          <cell r="I800">
            <v>6.1706576678799614</v>
          </cell>
          <cell r="J800">
            <v>4.5199869524429586</v>
          </cell>
          <cell r="M800">
            <v>4.3842209929167737</v>
          </cell>
          <cell r="N800">
            <v>11.770801651037218</v>
          </cell>
          <cell r="O800">
            <v>5.9420682003315219</v>
          </cell>
          <cell r="P800">
            <v>2.8352770417443303</v>
          </cell>
          <cell r="Q800">
            <v>5.5555946367844902</v>
          </cell>
          <cell r="R800">
            <v>5.2554780722033101</v>
          </cell>
          <cell r="S800">
            <v>7.170138296630852</v>
          </cell>
          <cell r="T800">
            <v>6.1305112702355</v>
          </cell>
        </row>
        <row r="802">
          <cell r="B802" t="str">
            <v>Receivables Turnover</v>
          </cell>
        </row>
        <row r="803">
          <cell r="B803" t="str">
            <v>FY(5)</v>
          </cell>
        </row>
        <row r="804">
          <cell r="B804" t="str">
            <v>FY(4)</v>
          </cell>
        </row>
        <row r="805">
          <cell r="B805" t="str">
            <v>FY(3)</v>
          </cell>
        </row>
        <row r="806">
          <cell r="B806" t="str">
            <v>FY(2)</v>
          </cell>
        </row>
        <row r="807">
          <cell r="B807" t="str">
            <v>FY(1)</v>
          </cell>
        </row>
        <row r="808">
          <cell r="B808" t="str">
            <v>FY0</v>
          </cell>
        </row>
        <row r="809">
          <cell r="B809" t="str">
            <v>FY1</v>
          </cell>
        </row>
        <row r="810">
          <cell r="B810" t="str">
            <v>FY2</v>
          </cell>
        </row>
        <row r="812">
          <cell r="B812" t="str">
            <v>A/P Turnover</v>
          </cell>
          <cell r="C812" t="str">
            <v>COGS/ Average Accounts Payable</v>
          </cell>
        </row>
        <row r="813">
          <cell r="B813" t="str">
            <v>FY(5)</v>
          </cell>
        </row>
        <row r="814">
          <cell r="B814" t="str">
            <v>FY(4)</v>
          </cell>
          <cell r="C814">
            <v>9.7958054736398239</v>
          </cell>
          <cell r="D814">
            <v>4.0031082714557069</v>
          </cell>
          <cell r="E814">
            <v>2.6948223350253806</v>
          </cell>
          <cell r="F814">
            <v>8.753505280641825</v>
          </cell>
          <cell r="G814">
            <v>8.3344795322748411</v>
          </cell>
          <cell r="H814">
            <v>4.1580473990017675</v>
          </cell>
          <cell r="I814">
            <v>9.0904474753371769</v>
          </cell>
          <cell r="J814">
            <v>6.6900308239109316</v>
          </cell>
          <cell r="M814">
            <v>6.6805714431900833</v>
          </cell>
          <cell r="N814">
            <v>13.905701048041426</v>
          </cell>
          <cell r="O814">
            <v>8.0297280141261229</v>
          </cell>
          <cell r="P814">
            <v>5.3058340929808567</v>
          </cell>
          <cell r="Q814">
            <v>9.0611334225792053</v>
          </cell>
          <cell r="R814">
            <v>11.027610908188233</v>
          </cell>
          <cell r="S814">
            <v>12.961920012891399</v>
          </cell>
          <cell r="T814">
            <v>9.5674998488567606</v>
          </cell>
        </row>
        <row r="815">
          <cell r="B815" t="str">
            <v>FY(3)</v>
          </cell>
          <cell r="C815">
            <v>11.204175871474803</v>
          </cell>
          <cell r="D815">
            <v>3.9057284030356856</v>
          </cell>
          <cell r="E815">
            <v>3.669453670828084</v>
          </cell>
          <cell r="F815">
            <v>9.4526269513663532</v>
          </cell>
          <cell r="G815">
            <v>8.8471371622184858</v>
          </cell>
          <cell r="H815">
            <v>4.2360528769904047</v>
          </cell>
          <cell r="I815">
            <v>9.1472607789399216</v>
          </cell>
          <cell r="J815">
            <v>7.2089193878362483</v>
          </cell>
          <cell r="M815">
            <v>7.7363659731246521</v>
          </cell>
          <cell r="N815">
            <v>11.822018899238763</v>
          </cell>
          <cell r="O815">
            <v>8.8366891739952234</v>
          </cell>
          <cell r="P815">
            <v>4.7958376068461268</v>
          </cell>
          <cell r="Q815">
            <v>9.7078014184397166</v>
          </cell>
          <cell r="R815">
            <v>11.997430077286912</v>
          </cell>
          <cell r="S815">
            <v>11.707256476291473</v>
          </cell>
          <cell r="T815">
            <v>9.5147713750318381</v>
          </cell>
        </row>
        <row r="816">
          <cell r="B816" t="str">
            <v>FY(2)</v>
          </cell>
          <cell r="C816">
            <v>12.183682443352737</v>
          </cell>
          <cell r="D816">
            <v>4.1139922415247092</v>
          </cell>
          <cell r="E816">
            <v>3.9012069180042306</v>
          </cell>
          <cell r="F816">
            <v>9.8769937444146549</v>
          </cell>
          <cell r="G816">
            <v>14.910961161122177</v>
          </cell>
          <cell r="H816">
            <v>4.7735365590208625</v>
          </cell>
          <cell r="I816">
            <v>9.9150343833078871</v>
          </cell>
          <cell r="J816">
            <v>8.5250582072496091</v>
          </cell>
          <cell r="M816">
            <v>8.035058746281722</v>
          </cell>
          <cell r="N816">
            <v>11.75069076414368</v>
          </cell>
          <cell r="O816">
            <v>10.530981044916709</v>
          </cell>
          <cell r="P816">
            <v>4.8310283360993305</v>
          </cell>
          <cell r="Q816">
            <v>10.165572942958102</v>
          </cell>
          <cell r="R816">
            <v>13.105748300127441</v>
          </cell>
          <cell r="S816">
            <v>13.593020624201497</v>
          </cell>
          <cell r="T816">
            <v>10.287442965532639</v>
          </cell>
        </row>
        <row r="817">
          <cell r="B817" t="str">
            <v>FY(1)</v>
          </cell>
          <cell r="C817">
            <v>9.9889927501208309</v>
          </cell>
          <cell r="D817">
            <v>4.095742647329522</v>
          </cell>
          <cell r="E817">
            <v>3.8249235474006116</v>
          </cell>
          <cell r="F817">
            <v>8.424333591931731</v>
          </cell>
          <cell r="G817">
            <v>21.490244702964883</v>
          </cell>
          <cell r="H817">
            <v>4.7607794246042996</v>
          </cell>
          <cell r="I817">
            <v>10.360702845332504</v>
          </cell>
          <cell r="J817">
            <v>8.9922456442406258</v>
          </cell>
          <cell r="M817">
            <v>7.6893096399643879</v>
          </cell>
          <cell r="N817">
            <v>14.650457771405796</v>
          </cell>
          <cell r="O817">
            <v>11.685776286728011</v>
          </cell>
          <cell r="P817">
            <v>6.5079935227440009</v>
          </cell>
          <cell r="Q817">
            <v>9.06993006993007</v>
          </cell>
          <cell r="R817">
            <v>12.289419946699677</v>
          </cell>
          <cell r="S817">
            <v>15.90314618854436</v>
          </cell>
          <cell r="T817">
            <v>11.11371906085947</v>
          </cell>
        </row>
        <row r="818">
          <cell r="B818" t="str">
            <v>FY0</v>
          </cell>
          <cell r="C818">
            <v>8.691082289624811</v>
          </cell>
          <cell r="D818">
            <v>3.7046564480701401</v>
          </cell>
          <cell r="E818">
            <v>3.4688941367079806</v>
          </cell>
          <cell r="F818">
            <v>7.2015440731826743</v>
          </cell>
          <cell r="G818">
            <v>15.85803566469516</v>
          </cell>
          <cell r="H818">
            <v>4.6136866352743597</v>
          </cell>
          <cell r="I818">
            <v>9.6532857111354655</v>
          </cell>
          <cell r="J818">
            <v>7.598740708384371</v>
          </cell>
          <cell r="M818">
            <v>7.1666740644860711</v>
          </cell>
          <cell r="N818">
            <v>14.480976475633927</v>
          </cell>
          <cell r="O818">
            <v>12.482792929544404</v>
          </cell>
          <cell r="P818">
            <v>8.7568525693402997</v>
          </cell>
          <cell r="Q818">
            <v>8.2622426097376138</v>
          </cell>
          <cell r="R818">
            <v>10.801041321580231</v>
          </cell>
          <cell r="S818">
            <v>12.428762254756602</v>
          </cell>
          <cell r="T818">
            <v>10.625620317868449</v>
          </cell>
        </row>
        <row r="819">
          <cell r="B819" t="str">
            <v>FY1</v>
          </cell>
          <cell r="C819">
            <v>8.5301034342688062</v>
          </cell>
          <cell r="D819">
            <v>3.703016351168654</v>
          </cell>
          <cell r="E819">
            <v>3.503132346751415</v>
          </cell>
          <cell r="F819">
            <v>7.3339711264105985</v>
          </cell>
          <cell r="G819">
            <v>15.392331322057588</v>
          </cell>
          <cell r="H819">
            <v>4.7800925822942011</v>
          </cell>
          <cell r="I819">
            <v>9.8151091658853993</v>
          </cell>
          <cell r="J819">
            <v>7.5796794755480947</v>
          </cell>
          <cell r="M819">
            <v>7.8532817061926741</v>
          </cell>
          <cell r="N819">
            <v>14.27806448321237</v>
          </cell>
          <cell r="O819">
            <v>12.416788393118456</v>
          </cell>
          <cell r="P819">
            <v>8.897641167486471</v>
          </cell>
          <cell r="Q819">
            <v>8.2384202956759669</v>
          </cell>
          <cell r="R819">
            <v>10.451007694188212</v>
          </cell>
          <cell r="S819">
            <v>11.380621952277288</v>
          </cell>
          <cell r="T819">
            <v>10.502260813164492</v>
          </cell>
        </row>
        <row r="820">
          <cell r="B820" t="str">
            <v>FY2</v>
          </cell>
          <cell r="C820">
            <v>8.7606422044558485</v>
          </cell>
          <cell r="D820">
            <v>3.7565921169164573</v>
          </cell>
          <cell r="E820">
            <v>3.4980770266096792</v>
          </cell>
          <cell r="F820">
            <v>7.4631980628191394</v>
          </cell>
          <cell r="G820">
            <v>15.944717429726143</v>
          </cell>
          <cell r="H820">
            <v>4.8879482678263715</v>
          </cell>
          <cell r="I820">
            <v>10.14921913677626</v>
          </cell>
          <cell r="J820">
            <v>7.7800563207328421</v>
          </cell>
          <cell r="M820">
            <v>8.1635080695484721</v>
          </cell>
          <cell r="N820">
            <v>15.675178681317171</v>
          </cell>
          <cell r="O820">
            <v>13.209480413793205</v>
          </cell>
          <cell r="P820">
            <v>9.2064498885710986</v>
          </cell>
          <cell r="Q820">
            <v>8.0122358239186706</v>
          </cell>
          <cell r="R820">
            <v>10.598025334503671</v>
          </cell>
          <cell r="S820">
            <v>11.962603629636121</v>
          </cell>
          <cell r="T820">
            <v>10.975354548755488</v>
          </cell>
        </row>
        <row r="823">
          <cell r="A823" t="str">
            <v>DuPont Analysis: ROE</v>
          </cell>
        </row>
        <row r="825">
          <cell r="B825" t="str">
            <v>Net Profit/ Sales</v>
          </cell>
        </row>
        <row r="826">
          <cell r="B826" t="str">
            <v>FY(5)</v>
          </cell>
          <cell r="C826">
            <v>6.0125709402001584E-2</v>
          </cell>
        </row>
        <row r="827">
          <cell r="B827" t="str">
            <v>FY(4)</v>
          </cell>
        </row>
        <row r="828">
          <cell r="B828" t="str">
            <v>FY(3)</v>
          </cell>
        </row>
        <row r="829">
          <cell r="B829" t="str">
            <v>FY(2)</v>
          </cell>
        </row>
        <row r="830">
          <cell r="B830" t="str">
            <v>FY(1)</v>
          </cell>
        </row>
        <row r="831">
          <cell r="B831" t="str">
            <v>FY0</v>
          </cell>
        </row>
        <row r="832">
          <cell r="B832" t="str">
            <v>FY1</v>
          </cell>
        </row>
        <row r="833">
          <cell r="B833" t="str">
            <v>FY2</v>
          </cell>
        </row>
        <row r="835">
          <cell r="B835" t="str">
            <v>Sales/ Assets</v>
          </cell>
        </row>
        <row r="836">
          <cell r="B836" t="str">
            <v>FY(5)</v>
          </cell>
        </row>
        <row r="837">
          <cell r="B837" t="str">
            <v>FY(4)</v>
          </cell>
        </row>
        <row r="838">
          <cell r="B838" t="str">
            <v>FY(3)</v>
          </cell>
        </row>
        <row r="839">
          <cell r="B839" t="str">
            <v>FY(2)</v>
          </cell>
        </row>
        <row r="840">
          <cell r="B840" t="str">
            <v>FY(1)</v>
          </cell>
        </row>
        <row r="841">
          <cell r="B841" t="str">
            <v>FY0</v>
          </cell>
        </row>
        <row r="842">
          <cell r="B842" t="str">
            <v>FY1</v>
          </cell>
        </row>
        <row r="843">
          <cell r="B843" t="str">
            <v>FY2</v>
          </cell>
        </row>
        <row r="845">
          <cell r="B845" t="str">
            <v>Assets/ Equity</v>
          </cell>
        </row>
        <row r="846">
          <cell r="B846" t="str">
            <v>FY(5)</v>
          </cell>
        </row>
        <row r="847">
          <cell r="B847" t="str">
            <v>FY(4)</v>
          </cell>
        </row>
        <row r="848">
          <cell r="B848" t="str">
            <v>FY(3)</v>
          </cell>
        </row>
        <row r="849">
          <cell r="B849" t="str">
            <v>FY(2)</v>
          </cell>
        </row>
        <row r="850">
          <cell r="B850" t="str">
            <v>FY(1)</v>
          </cell>
        </row>
        <row r="851">
          <cell r="B851" t="str">
            <v>FY0</v>
          </cell>
        </row>
        <row r="852">
          <cell r="B852" t="str">
            <v>FY1</v>
          </cell>
        </row>
        <row r="853">
          <cell r="B853" t="str">
            <v>FY2</v>
          </cell>
        </row>
      </sheetData>
      <sheetData sheetId="5"/>
      <sheetData sheetId="6"/>
      <sheetData sheetId="7"/>
      <sheetData sheetId="8" refreshError="1"/>
      <sheetData sheetId="9" refreshError="1"/>
      <sheetData sheetId="10" refreshError="1"/>
      <sheetData sheetId="11" refreshError="1"/>
      <sheetData sheetId="12">
        <row r="1">
          <cell r="R1" t="str">
            <v>SmartCharts</v>
          </cell>
          <cell r="AO1" t="str">
            <v>SmartCharts</v>
          </cell>
          <cell r="CA1" t="str">
            <v>.</v>
          </cell>
        </row>
        <row r="2">
          <cell r="CA2" t="str">
            <v>.</v>
          </cell>
        </row>
        <row r="3">
          <cell r="CA3" t="str">
            <v>.</v>
          </cell>
        </row>
        <row r="4">
          <cell r="CA4" t="str">
            <v>.</v>
          </cell>
        </row>
        <row r="10">
          <cell r="B10" t="str">
            <v>Input your data here:</v>
          </cell>
          <cell r="C10">
            <v>40286</v>
          </cell>
          <cell r="AG10" t="str">
            <v>Base</v>
          </cell>
          <cell r="AJ10" t="str">
            <v>up</v>
          </cell>
          <cell r="AK10" t="str">
            <v>dn</v>
          </cell>
          <cell r="AO10" t="str">
            <v>PT</v>
          </cell>
          <cell r="AP10" t="str">
            <v>BEAR</v>
          </cell>
          <cell r="AQ10" t="str">
            <v>BASE</v>
          </cell>
          <cell r="AR10" t="str">
            <v>BULL</v>
          </cell>
          <cell r="CA10" t="str">
            <v>.</v>
          </cell>
        </row>
        <row r="11">
          <cell r="C11" t="str">
            <v>current
price</v>
          </cell>
          <cell r="D11" t="str">
            <v>Bear</v>
          </cell>
          <cell r="E11" t="str">
            <v>Base</v>
          </cell>
          <cell r="F11" t="str">
            <v>Bull</v>
          </cell>
          <cell r="G11" t="str">
            <v>price
target</v>
          </cell>
          <cell r="I11" t="str">
            <v>sortPT</v>
          </cell>
          <cell r="AC11" t="str">
            <v>Ticker</v>
          </cell>
          <cell r="AD11" t="str">
            <v>BearNeg</v>
          </cell>
          <cell r="AE11" t="str">
            <v>BearPos</v>
          </cell>
          <cell r="AF11" t="str">
            <v>BaseNeg</v>
          </cell>
          <cell r="AG11" t="str">
            <v>BasePos</v>
          </cell>
          <cell r="AH11" t="str">
            <v>BullPos</v>
          </cell>
          <cell r="AI11" t="str">
            <v>BullNeg</v>
          </cell>
          <cell r="AJ11" t="str">
            <v>PTPos</v>
          </cell>
          <cell r="AK11" t="str">
            <v>PTNeg</v>
          </cell>
          <cell r="AL11" t="str">
            <v>current
price</v>
          </cell>
          <cell r="AM11" t="str">
            <v>Legend+</v>
          </cell>
          <cell r="AN11" t="str">
            <v>Legend-</v>
          </cell>
          <cell r="AO11" t="str">
            <v>PT_label</v>
          </cell>
          <cell r="AP11" t="str">
            <v>Bear_label</v>
          </cell>
          <cell r="AQ11" t="str">
            <v>Base_label</v>
          </cell>
          <cell r="AR11" t="str">
            <v>Bull_label</v>
          </cell>
          <cell r="CA11" t="str">
            <v>.</v>
          </cell>
        </row>
        <row r="12">
          <cell r="B12" t="str">
            <v>PVH</v>
          </cell>
          <cell r="C12" t="str">
            <v>#Calc</v>
          </cell>
          <cell r="D12">
            <v>42</v>
          </cell>
          <cell r="E12">
            <v>65</v>
          </cell>
          <cell r="F12">
            <v>81</v>
          </cell>
          <cell r="G12">
            <v>65</v>
          </cell>
          <cell r="I12" t="e">
            <v>#VALUE!</v>
          </cell>
          <cell r="AC12" t="str">
            <v>PVH</v>
          </cell>
          <cell r="AD12" t="e">
            <v>#VALUE!</v>
          </cell>
          <cell r="AE12" t="e">
            <v>#VALUE!</v>
          </cell>
          <cell r="AF12" t="e">
            <v>#VALUE!</v>
          </cell>
          <cell r="AG12" t="e">
            <v>#VALUE!</v>
          </cell>
          <cell r="AH12" t="e">
            <v>#VALUE!</v>
          </cell>
          <cell r="AI12" t="e">
            <v>#VALUE!</v>
          </cell>
          <cell r="AJ12" t="e">
            <v>#VALUE!</v>
          </cell>
          <cell r="AK12" t="e">
            <v>#VALUE!</v>
          </cell>
          <cell r="AL12">
            <v>0</v>
          </cell>
          <cell r="AM12" t="e">
            <v>#N/A</v>
          </cell>
          <cell r="AN12" t="e">
            <v>#N/A</v>
          </cell>
          <cell r="AO12" t="e">
            <v>#N/A</v>
          </cell>
          <cell r="AP12" t="e">
            <v>#N/A</v>
          </cell>
          <cell r="AQ12" t="e">
            <v>#N/A</v>
          </cell>
          <cell r="AR12" t="e">
            <v>#N/A</v>
          </cell>
          <cell r="CA12" t="str">
            <v>.</v>
          </cell>
        </row>
        <row r="13">
          <cell r="B13" t="str">
            <v>JNY</v>
          </cell>
          <cell r="C13" t="str">
            <v>#Calc</v>
          </cell>
          <cell r="D13">
            <v>13</v>
          </cell>
          <cell r="E13">
            <v>21</v>
          </cell>
          <cell r="F13">
            <v>25</v>
          </cell>
          <cell r="G13">
            <v>21</v>
          </cell>
          <cell r="I13" t="e">
            <v>#VALUE!</v>
          </cell>
          <cell r="AC13" t="str">
            <v>JNY</v>
          </cell>
          <cell r="AD13" t="e">
            <v>#VALUE!</v>
          </cell>
          <cell r="AE13" t="e">
            <v>#VALUE!</v>
          </cell>
          <cell r="AF13" t="e">
            <v>#VALUE!</v>
          </cell>
          <cell r="AG13" t="e">
            <v>#VALUE!</v>
          </cell>
          <cell r="AH13" t="e">
            <v>#VALUE!</v>
          </cell>
          <cell r="AI13" t="e">
            <v>#VALUE!</v>
          </cell>
          <cell r="AJ13" t="e">
            <v>#VALUE!</v>
          </cell>
          <cell r="AK13" t="e">
            <v>#VALUE!</v>
          </cell>
          <cell r="AM13" t="e">
            <v>#N/A</v>
          </cell>
          <cell r="AN13" t="e">
            <v>#N/A</v>
          </cell>
          <cell r="AO13" t="e">
            <v>#N/A</v>
          </cell>
          <cell r="AP13" t="e">
            <v>#N/A</v>
          </cell>
          <cell r="AQ13" t="e">
            <v>#N/A</v>
          </cell>
          <cell r="AR13" t="e">
            <v>#N/A</v>
          </cell>
          <cell r="CA13" t="str">
            <v>.</v>
          </cell>
        </row>
        <row r="14">
          <cell r="B14" t="str">
            <v>WRC</v>
          </cell>
          <cell r="C14" t="str">
            <v>#Calc</v>
          </cell>
          <cell r="D14">
            <v>37</v>
          </cell>
          <cell r="E14">
            <v>48</v>
          </cell>
          <cell r="F14">
            <v>63</v>
          </cell>
          <cell r="G14">
            <v>48</v>
          </cell>
          <cell r="I14" t="e">
            <v>#VALUE!</v>
          </cell>
          <cell r="AC14" t="str">
            <v>WRC</v>
          </cell>
          <cell r="AD14" t="e">
            <v>#VALUE!</v>
          </cell>
          <cell r="AE14" t="e">
            <v>#VALUE!</v>
          </cell>
          <cell r="AF14" t="e">
            <v>#VALUE!</v>
          </cell>
          <cell r="AG14" t="e">
            <v>#VALUE!</v>
          </cell>
          <cell r="AH14" t="e">
            <v>#VALUE!</v>
          </cell>
          <cell r="AI14" t="e">
            <v>#VALUE!</v>
          </cell>
          <cell r="AJ14" t="e">
            <v>#VALUE!</v>
          </cell>
          <cell r="AK14" t="e">
            <v>#VALUE!</v>
          </cell>
          <cell r="AM14" t="e">
            <v>#N/A</v>
          </cell>
          <cell r="AN14" t="e">
            <v>#N/A</v>
          </cell>
          <cell r="AO14" t="e">
            <v>#N/A</v>
          </cell>
          <cell r="AP14" t="e">
            <v>#N/A</v>
          </cell>
          <cell r="AQ14" t="e">
            <v>#N/A</v>
          </cell>
          <cell r="AR14" t="e">
            <v>#N/A</v>
          </cell>
          <cell r="CA14" t="str">
            <v>.</v>
          </cell>
        </row>
        <row r="15">
          <cell r="B15" t="str">
            <v>GES</v>
          </cell>
          <cell r="C15" t="str">
            <v>#Calc</v>
          </cell>
          <cell r="D15">
            <v>39</v>
          </cell>
          <cell r="E15">
            <v>48</v>
          </cell>
          <cell r="F15">
            <v>52</v>
          </cell>
          <cell r="G15">
            <v>48</v>
          </cell>
          <cell r="I15" t="e">
            <v>#VALUE!</v>
          </cell>
          <cell r="AC15" t="str">
            <v>GES</v>
          </cell>
          <cell r="AD15" t="e">
            <v>#VALUE!</v>
          </cell>
          <cell r="AE15" t="e">
            <v>#VALUE!</v>
          </cell>
          <cell r="AF15" t="e">
            <v>#VALUE!</v>
          </cell>
          <cell r="AG15" t="e">
            <v>#VALUE!</v>
          </cell>
          <cell r="AH15" t="e">
            <v>#VALUE!</v>
          </cell>
          <cell r="AI15" t="e">
            <v>#VALUE!</v>
          </cell>
          <cell r="AJ15" t="e">
            <v>#VALUE!</v>
          </cell>
          <cell r="AK15" t="e">
            <v>#VALUE!</v>
          </cell>
          <cell r="AM15" t="e">
            <v>#N/A</v>
          </cell>
          <cell r="AN15" t="e">
            <v>#N/A</v>
          </cell>
          <cell r="AO15" t="e">
            <v>#N/A</v>
          </cell>
          <cell r="AP15" t="e">
            <v>#N/A</v>
          </cell>
          <cell r="AQ15" t="e">
            <v>#N/A</v>
          </cell>
          <cell r="AR15" t="e">
            <v>#N/A</v>
          </cell>
          <cell r="CA15" t="str">
            <v>.</v>
          </cell>
        </row>
        <row r="16">
          <cell r="B16" t="str">
            <v>RL</v>
          </cell>
          <cell r="C16" t="str">
            <v>#Calc</v>
          </cell>
          <cell r="D16">
            <v>60</v>
          </cell>
          <cell r="E16">
            <v>80</v>
          </cell>
          <cell r="F16">
            <v>107</v>
          </cell>
          <cell r="G16">
            <v>80</v>
          </cell>
          <cell r="I16" t="e">
            <v>#VALUE!</v>
          </cell>
          <cell r="AC16" t="str">
            <v>RL</v>
          </cell>
          <cell r="AD16" t="e">
            <v>#VALUE!</v>
          </cell>
          <cell r="AE16" t="e">
            <v>#VALUE!</v>
          </cell>
          <cell r="AF16" t="e">
            <v>#VALUE!</v>
          </cell>
          <cell r="AG16" t="e">
            <v>#VALUE!</v>
          </cell>
          <cell r="AH16" t="e">
            <v>#VALUE!</v>
          </cell>
          <cell r="AI16" t="e">
            <v>#VALUE!</v>
          </cell>
          <cell r="AJ16" t="e">
            <v>#VALUE!</v>
          </cell>
          <cell r="AK16" t="e">
            <v>#VALUE!</v>
          </cell>
          <cell r="AM16" t="e">
            <v>#N/A</v>
          </cell>
          <cell r="AN16" t="e">
            <v>#N/A</v>
          </cell>
          <cell r="AO16" t="e">
            <v>#N/A</v>
          </cell>
          <cell r="AP16" t="e">
            <v>#N/A</v>
          </cell>
          <cell r="AQ16" t="e">
            <v>#N/A</v>
          </cell>
          <cell r="AR16" t="e">
            <v>#N/A</v>
          </cell>
          <cell r="CA16" t="str">
            <v>.</v>
          </cell>
        </row>
        <row r="17">
          <cell r="B17" t="str">
            <v>UA</v>
          </cell>
          <cell r="C17" t="str">
            <v>#Calc</v>
          </cell>
          <cell r="D17">
            <v>21</v>
          </cell>
          <cell r="E17">
            <v>27</v>
          </cell>
          <cell r="F17">
            <v>35</v>
          </cell>
          <cell r="G17">
            <v>27</v>
          </cell>
          <cell r="I17" t="e">
            <v>#VALUE!</v>
          </cell>
          <cell r="AC17" t="str">
            <v>UA</v>
          </cell>
          <cell r="AD17" t="e">
            <v>#VALUE!</v>
          </cell>
          <cell r="AE17" t="e">
            <v>#VALUE!</v>
          </cell>
          <cell r="AF17" t="e">
            <v>#VALUE!</v>
          </cell>
          <cell r="AG17" t="e">
            <v>#VALUE!</v>
          </cell>
          <cell r="AH17" t="e">
            <v>#VALUE!</v>
          </cell>
          <cell r="AI17" t="e">
            <v>#VALUE!</v>
          </cell>
          <cell r="AJ17" t="e">
            <v>#VALUE!</v>
          </cell>
          <cell r="AK17" t="e">
            <v>#VALUE!</v>
          </cell>
          <cell r="AM17" t="e">
            <v>#N/A</v>
          </cell>
          <cell r="AN17" t="e">
            <v>#N/A</v>
          </cell>
          <cell r="AO17" t="e">
            <v>#N/A</v>
          </cell>
          <cell r="AP17" t="e">
            <v>#N/A</v>
          </cell>
          <cell r="AQ17" t="e">
            <v>#N/A</v>
          </cell>
          <cell r="AR17" t="e">
            <v>#N/A</v>
          </cell>
          <cell r="CA17" t="str">
            <v>.</v>
          </cell>
        </row>
        <row r="18">
          <cell r="B18" t="str">
            <v>LIZ</v>
          </cell>
          <cell r="C18" t="str">
            <v>#Calc</v>
          </cell>
          <cell r="D18">
            <v>2.5</v>
          </cell>
          <cell r="E18">
            <v>6</v>
          </cell>
          <cell r="F18">
            <v>12</v>
          </cell>
          <cell r="G18">
            <v>6</v>
          </cell>
          <cell r="I18" t="e">
            <v>#VALUE!</v>
          </cell>
          <cell r="AC18" t="str">
            <v>LIZ</v>
          </cell>
          <cell r="AD18" t="e">
            <v>#VALUE!</v>
          </cell>
          <cell r="AE18" t="e">
            <v>#VALUE!</v>
          </cell>
          <cell r="AF18" t="e">
            <v>#VALUE!</v>
          </cell>
          <cell r="AG18" t="e">
            <v>#VALUE!</v>
          </cell>
          <cell r="AH18" t="e">
            <v>#VALUE!</v>
          </cell>
          <cell r="AI18" t="e">
            <v>#VALUE!</v>
          </cell>
          <cell r="AJ18" t="e">
            <v>#VALUE!</v>
          </cell>
          <cell r="AK18" t="e">
            <v>#VALUE!</v>
          </cell>
          <cell r="AM18" t="e">
            <v>#N/A</v>
          </cell>
          <cell r="AN18" t="e">
            <v>#N/A</v>
          </cell>
          <cell r="AO18" t="e">
            <v>#N/A</v>
          </cell>
          <cell r="AP18" t="e">
            <v>#N/A</v>
          </cell>
          <cell r="AQ18" t="e">
            <v>#N/A</v>
          </cell>
          <cell r="AR18" t="e">
            <v>#N/A</v>
          </cell>
          <cell r="CA18" t="str">
            <v>.</v>
          </cell>
        </row>
        <row r="19">
          <cell r="I19" t="e">
            <v>#DIV/0!</v>
          </cell>
          <cell r="AC19">
            <v>0</v>
          </cell>
          <cell r="AD19" t="e">
            <v>#VALUE!</v>
          </cell>
          <cell r="AE19">
            <v>0</v>
          </cell>
          <cell r="AF19">
            <v>0</v>
          </cell>
          <cell r="AG19" t="e">
            <v>#VALUE!</v>
          </cell>
          <cell r="AH19" t="e">
            <v>#VALUE!</v>
          </cell>
          <cell r="AI19">
            <v>0</v>
          </cell>
          <cell r="AJ19" t="e">
            <v>#N/A</v>
          </cell>
          <cell r="AK19" t="e">
            <v>#N/A</v>
          </cell>
          <cell r="AM19">
            <v>1</v>
          </cell>
          <cell r="AN19">
            <v>-1</v>
          </cell>
          <cell r="AO19" t="e">
            <v>#VALUE!</v>
          </cell>
          <cell r="AP19" t="e">
            <v>#VALUE!</v>
          </cell>
          <cell r="AQ19" t="e">
            <v>#VALUE!</v>
          </cell>
          <cell r="AR19" t="e">
            <v>#VALUE!</v>
          </cell>
        </row>
        <row r="20">
          <cell r="I20" t="e">
            <v>#DIV/0!</v>
          </cell>
          <cell r="AC20" t="e">
            <v>#N/A</v>
          </cell>
          <cell r="AD20" t="e">
            <v>#VALUE!</v>
          </cell>
          <cell r="AE20">
            <v>0</v>
          </cell>
          <cell r="AF20">
            <v>0</v>
          </cell>
          <cell r="AG20" t="e">
            <v>#VALUE!</v>
          </cell>
          <cell r="AH20" t="e">
            <v>#VALUE!</v>
          </cell>
          <cell r="AI20">
            <v>0</v>
          </cell>
          <cell r="AJ20" t="e">
            <v>#N/A</v>
          </cell>
          <cell r="AK20" t="e">
            <v>#N/A</v>
          </cell>
          <cell r="AM20">
            <v>1</v>
          </cell>
          <cell r="AN20">
            <v>-1</v>
          </cell>
          <cell r="AO20" t="e">
            <v>#VALUE!</v>
          </cell>
          <cell r="AP20" t="e">
            <v>#VALUE!</v>
          </cell>
          <cell r="AQ20" t="e">
            <v>#VALUE!</v>
          </cell>
          <cell r="AR20" t="e">
            <v>#VALUE!</v>
          </cell>
          <cell r="CA20" t="str">
            <v>.</v>
          </cell>
        </row>
        <row r="21">
          <cell r="AD21" t="e">
            <v>#VALUE!</v>
          </cell>
          <cell r="AE21">
            <v>0</v>
          </cell>
          <cell r="AF21">
            <v>0</v>
          </cell>
          <cell r="AG21" t="e">
            <v>#VALUE!</v>
          </cell>
          <cell r="AH21" t="e">
            <v>#VALUE!</v>
          </cell>
          <cell r="AI21">
            <v>0</v>
          </cell>
          <cell r="AJ21" t="e">
            <v>#N/A</v>
          </cell>
          <cell r="AK21" t="e">
            <v>#N/A</v>
          </cell>
          <cell r="AM21">
            <v>2</v>
          </cell>
          <cell r="AN21">
            <v>-2</v>
          </cell>
          <cell r="AO21" t="e">
            <v>#VALUE!</v>
          </cell>
          <cell r="AP21" t="e">
            <v>#VALUE!</v>
          </cell>
          <cell r="AQ21" t="e">
            <v>#VALUE!</v>
          </cell>
          <cell r="AR21" t="e">
            <v>#VALUE!</v>
          </cell>
          <cell r="CA21" t="str">
            <v>.</v>
          </cell>
        </row>
        <row r="22">
          <cell r="B22" t="str">
            <v>GES</v>
          </cell>
          <cell r="C22" t="str">
            <v>#Calc</v>
          </cell>
          <cell r="D22">
            <v>39</v>
          </cell>
          <cell r="E22">
            <v>48</v>
          </cell>
          <cell r="F22">
            <v>52</v>
          </cell>
          <cell r="G22">
            <v>48</v>
          </cell>
          <cell r="CA22" t="str">
            <v>.</v>
          </cell>
        </row>
        <row r="23">
          <cell r="B23" t="str">
            <v>JNY</v>
          </cell>
          <cell r="C23" t="str">
            <v>#Calc</v>
          </cell>
          <cell r="D23">
            <v>13</v>
          </cell>
          <cell r="E23">
            <v>21</v>
          </cell>
          <cell r="F23">
            <v>25</v>
          </cell>
          <cell r="G23">
            <v>21</v>
          </cell>
          <cell r="AD23" t="e">
            <v>#VALUE!</v>
          </cell>
          <cell r="AE23" t="e">
            <v>#VALUE!</v>
          </cell>
          <cell r="AF23" t="e">
            <v>#VALUE!</v>
          </cell>
          <cell r="AG23" t="e">
            <v>#VALUE!</v>
          </cell>
          <cell r="CA23" t="str">
            <v>.</v>
          </cell>
        </row>
        <row r="24">
          <cell r="B24" t="str">
            <v>LIZ</v>
          </cell>
          <cell r="C24" t="str">
            <v>#Calc</v>
          </cell>
          <cell r="D24">
            <v>2.5</v>
          </cell>
          <cell r="E24">
            <v>6</v>
          </cell>
          <cell r="F24">
            <v>12</v>
          </cell>
          <cell r="G24">
            <v>6</v>
          </cell>
          <cell r="AD24" t="e">
            <v>#VALUE!</v>
          </cell>
          <cell r="AE24" t="e">
            <v>#VALUE!</v>
          </cell>
          <cell r="AF24" t="e">
            <v>#VALUE!</v>
          </cell>
          <cell r="AG24" t="e">
            <v>#VALUE!</v>
          </cell>
          <cell r="CA24" t="str">
            <v>.</v>
          </cell>
        </row>
        <row r="25">
          <cell r="B25" t="str">
            <v>PVH</v>
          </cell>
          <cell r="C25" t="str">
            <v>#Calc</v>
          </cell>
          <cell r="D25">
            <v>42</v>
          </cell>
          <cell r="E25">
            <v>65</v>
          </cell>
          <cell r="F25">
            <v>81</v>
          </cell>
          <cell r="G25">
            <v>65</v>
          </cell>
          <cell r="AD25" t="e">
            <v>#VALUE!</v>
          </cell>
          <cell r="AE25" t="e">
            <v>#VALUE!</v>
          </cell>
          <cell r="AF25" t="e">
            <v>#VALUE!</v>
          </cell>
          <cell r="AG25" t="e">
            <v>#VALUE!</v>
          </cell>
          <cell r="CA25" t="str">
            <v>.</v>
          </cell>
        </row>
        <row r="26">
          <cell r="B26" t="str">
            <v>RL</v>
          </cell>
          <cell r="C26" t="str">
            <v>#Calc</v>
          </cell>
          <cell r="D26">
            <v>60</v>
          </cell>
          <cell r="E26">
            <v>80</v>
          </cell>
          <cell r="F26">
            <v>107</v>
          </cell>
          <cell r="G26">
            <v>80</v>
          </cell>
          <cell r="AD26" t="e">
            <v>#VALUE!</v>
          </cell>
          <cell r="AE26" t="e">
            <v>#VALUE!</v>
          </cell>
          <cell r="AF26" t="e">
            <v>#VALUE!</v>
          </cell>
          <cell r="AG26" t="e">
            <v>#VALUE!</v>
          </cell>
          <cell r="CA26" t="str">
            <v>.</v>
          </cell>
        </row>
        <row r="27">
          <cell r="B27" t="str">
            <v>UA</v>
          </cell>
          <cell r="C27" t="str">
            <v>#Calc</v>
          </cell>
          <cell r="D27">
            <v>21</v>
          </cell>
          <cell r="E27">
            <v>27</v>
          </cell>
          <cell r="F27">
            <v>35</v>
          </cell>
          <cell r="G27">
            <v>27</v>
          </cell>
          <cell r="AD27" t="e">
            <v>#VALUE!</v>
          </cell>
          <cell r="AE27" t="e">
            <v>#VALUE!</v>
          </cell>
          <cell r="AF27" t="e">
            <v>#VALUE!</v>
          </cell>
          <cell r="AG27" t="e">
            <v>#VALUE!</v>
          </cell>
          <cell r="CA27" t="str">
            <v>.</v>
          </cell>
        </row>
        <row r="28">
          <cell r="B28" t="str">
            <v>WRC</v>
          </cell>
          <cell r="C28" t="str">
            <v>#Calc</v>
          </cell>
          <cell r="D28">
            <v>37</v>
          </cell>
          <cell r="E28">
            <v>48</v>
          </cell>
          <cell r="F28">
            <v>63</v>
          </cell>
          <cell r="G28">
            <v>48</v>
          </cell>
          <cell r="AD28" t="e">
            <v>#VALUE!</v>
          </cell>
          <cell r="AE28" t="e">
            <v>#VALUE!</v>
          </cell>
          <cell r="AF28" t="e">
            <v>#VALUE!</v>
          </cell>
          <cell r="AG28" t="e">
            <v>#VALUE!</v>
          </cell>
          <cell r="CA28" t="str">
            <v>.</v>
          </cell>
        </row>
        <row r="29">
          <cell r="AD29" t="e">
            <v>#VALUE!</v>
          </cell>
          <cell r="AE29" t="e">
            <v>#VALUE!</v>
          </cell>
          <cell r="AF29" t="e">
            <v>#VALUE!</v>
          </cell>
          <cell r="AG29" t="e">
            <v>#VALUE!</v>
          </cell>
          <cell r="CA29" t="str">
            <v>.</v>
          </cell>
        </row>
        <row r="30">
          <cell r="AD30" t="e">
            <v>#DIV/0!</v>
          </cell>
          <cell r="AE30" t="e">
            <v>#DIV/0!</v>
          </cell>
          <cell r="AF30" t="e">
            <v>#DIV/0!</v>
          </cell>
          <cell r="AG30" t="e">
            <v>#DIV/0!</v>
          </cell>
          <cell r="CA30" t="str">
            <v>.</v>
          </cell>
        </row>
        <row r="31">
          <cell r="B31" t="str">
            <v>GES</v>
          </cell>
          <cell r="D31" t="e">
            <v>#VALUE!</v>
          </cell>
          <cell r="E31" t="e">
            <v>#VALUE!</v>
          </cell>
          <cell r="F31" t="e">
            <v>#VALUE!</v>
          </cell>
          <cell r="G31" t="e">
            <v>#VALUE!</v>
          </cell>
          <cell r="AD31" t="e">
            <v>#DIV/0!</v>
          </cell>
          <cell r="AE31" t="e">
            <v>#DIV/0!</v>
          </cell>
          <cell r="AF31" t="e">
            <v>#DIV/0!</v>
          </cell>
          <cell r="AG31" t="e">
            <v>#DIV/0!</v>
          </cell>
          <cell r="CA31" t="str">
            <v>.</v>
          </cell>
        </row>
        <row r="32">
          <cell r="B32" t="str">
            <v>JNY</v>
          </cell>
          <cell r="D32" t="e">
            <v>#VALUE!</v>
          </cell>
          <cell r="E32" t="e">
            <v>#VALUE!</v>
          </cell>
          <cell r="F32" t="e">
            <v>#VALUE!</v>
          </cell>
          <cell r="G32" t="e">
            <v>#VALUE!</v>
          </cell>
          <cell r="CA32" t="str">
            <v>.</v>
          </cell>
        </row>
        <row r="33">
          <cell r="B33" t="str">
            <v>LIZ</v>
          </cell>
          <cell r="D33" t="e">
            <v>#VALUE!</v>
          </cell>
          <cell r="E33" t="e">
            <v>#VALUE!</v>
          </cell>
          <cell r="F33" t="e">
            <v>#VALUE!</v>
          </cell>
          <cell r="G33" t="e">
            <v>#VALUE!</v>
          </cell>
          <cell r="CA33" t="str">
            <v>.</v>
          </cell>
        </row>
        <row r="34">
          <cell r="B34" t="str">
            <v>PVH</v>
          </cell>
          <cell r="D34" t="e">
            <v>#VALUE!</v>
          </cell>
          <cell r="E34" t="e">
            <v>#VALUE!</v>
          </cell>
          <cell r="F34" t="e">
            <v>#VALUE!</v>
          </cell>
          <cell r="G34" t="e">
            <v>#VALUE!</v>
          </cell>
          <cell r="CA34" t="str">
            <v>.</v>
          </cell>
        </row>
        <row r="35">
          <cell r="B35" t="str">
            <v>RL</v>
          </cell>
          <cell r="D35" t="e">
            <v>#VALUE!</v>
          </cell>
          <cell r="E35" t="e">
            <v>#VALUE!</v>
          </cell>
          <cell r="F35" t="e">
            <v>#VALUE!</v>
          </cell>
          <cell r="G35" t="e">
            <v>#VALUE!</v>
          </cell>
        </row>
        <row r="36">
          <cell r="B36" t="str">
            <v>UA</v>
          </cell>
          <cell r="D36" t="e">
            <v>#VALUE!</v>
          </cell>
          <cell r="E36" t="e">
            <v>#VALUE!</v>
          </cell>
          <cell r="F36" t="e">
            <v>#VALUE!</v>
          </cell>
          <cell r="G36" t="e">
            <v>#VALUE!</v>
          </cell>
        </row>
        <row r="37">
          <cell r="B37" t="str">
            <v>WRC</v>
          </cell>
          <cell r="D37" t="e">
            <v>#VALUE!</v>
          </cell>
          <cell r="E37" t="e">
            <v>#VALUE!</v>
          </cell>
          <cell r="F37" t="e">
            <v>#VALUE!</v>
          </cell>
          <cell r="G37" t="e">
            <v>#VALUE!</v>
          </cell>
          <cell r="CA37" t="str">
            <v>.</v>
          </cell>
        </row>
        <row r="38">
          <cell r="D38" t="e">
            <v>#VALUE!</v>
          </cell>
          <cell r="E38" t="e">
            <v>#VALUE!</v>
          </cell>
          <cell r="F38" t="e">
            <v>#VALUE!</v>
          </cell>
          <cell r="G38" t="e">
            <v>#VALUE!</v>
          </cell>
          <cell r="I38" t="str">
            <v>click here for link to SmartChart FAQ</v>
          </cell>
          <cell r="CA38" t="str">
            <v>.</v>
          </cell>
        </row>
        <row r="39">
          <cell r="CA39" t="str">
            <v>.</v>
          </cell>
        </row>
        <row r="40">
          <cell r="I40" t="str">
            <v>Do not change the width of the exhibit or font sizes (they are optimized for export to Word).</v>
          </cell>
          <cell r="CA40" t="str">
            <v>.</v>
          </cell>
        </row>
        <row r="41">
          <cell r="CA41" t="str">
            <v>.</v>
          </cell>
        </row>
        <row r="42">
          <cell r="I42" t="str">
            <v>Do not delete any rows or columns (some gray cells are used for calculations).</v>
          </cell>
          <cell r="CA42" t="str">
            <v>.</v>
          </cell>
        </row>
        <row r="43">
          <cell r="B43" t="str">
            <v>Company Name</v>
          </cell>
          <cell r="C43" t="str">
            <v>Ticker</v>
          </cell>
          <cell r="D43" t="str">
            <v>Price</v>
          </cell>
          <cell r="E43" t="str">
            <v>Rating</v>
          </cell>
          <cell r="F43" t="str">
            <v>Price Target</v>
          </cell>
          <cell r="G43" t="str">
            <v>% to Price Target</v>
          </cell>
          <cell r="CA43" t="str">
            <v>.</v>
          </cell>
        </row>
        <row r="44">
          <cell r="B44" t="str">
            <v>Liz Claiborne</v>
          </cell>
          <cell r="C44" t="str">
            <v>PVH</v>
          </cell>
          <cell r="D44" t="str">
            <v>#Calc</v>
          </cell>
          <cell r="E44" t="str">
            <v>Underweight</v>
          </cell>
          <cell r="F44">
            <v>65</v>
          </cell>
          <cell r="G44" t="e">
            <v>#VALUE!</v>
          </cell>
          <cell r="I44" t="str">
            <v>You can move the worksheet into another workbook (please use MOVE; do not COPY)</v>
          </cell>
          <cell r="CA44" t="str">
            <v>.</v>
          </cell>
        </row>
        <row r="45">
          <cell r="B45" t="str">
            <v>Jones Apparel Group</v>
          </cell>
          <cell r="C45" t="str">
            <v>JNY</v>
          </cell>
          <cell r="D45" t="str">
            <v>#Calc</v>
          </cell>
          <cell r="E45" t="str">
            <v>Equal-Weight</v>
          </cell>
          <cell r="F45">
            <v>21</v>
          </cell>
          <cell r="G45" t="e">
            <v>#VALUE!</v>
          </cell>
          <cell r="CA45" t="str">
            <v>.</v>
          </cell>
        </row>
        <row r="46">
          <cell r="B46" t="str">
            <v>Under Armour</v>
          </cell>
          <cell r="C46" t="str">
            <v>WRC</v>
          </cell>
          <cell r="D46" t="str">
            <v>#Calc</v>
          </cell>
          <cell r="E46" t="str">
            <v>Underweight</v>
          </cell>
          <cell r="F46">
            <v>48</v>
          </cell>
          <cell r="G46" t="e">
            <v>#VALUE!</v>
          </cell>
          <cell r="I46" t="str">
            <v>Color palette may be affected after moving the worksheet to another workbook. See instructions in FAQ on the intranet</v>
          </cell>
          <cell r="CA46" t="str">
            <v>.</v>
          </cell>
        </row>
        <row r="47">
          <cell r="B47" t="str">
            <v>Polo Ralph Lauren</v>
          </cell>
          <cell r="C47" t="str">
            <v>GES</v>
          </cell>
          <cell r="D47" t="str">
            <v>#Calc</v>
          </cell>
          <cell r="E47" t="str">
            <v>Equal-Weight</v>
          </cell>
          <cell r="F47">
            <v>48</v>
          </cell>
          <cell r="G47" t="e">
            <v>#VALUE!</v>
          </cell>
          <cell r="CA47" t="str">
            <v>.</v>
          </cell>
        </row>
        <row r="48">
          <cell r="B48" t="str">
            <v>Phillips-Van Heusen</v>
          </cell>
          <cell r="C48" t="str">
            <v>RL</v>
          </cell>
          <cell r="D48" t="str">
            <v>#Calc</v>
          </cell>
          <cell r="E48" t="str">
            <v>Overweight</v>
          </cell>
          <cell r="F48">
            <v>80</v>
          </cell>
          <cell r="G48" t="e">
            <v>#VALUE!</v>
          </cell>
          <cell r="CA48" t="str">
            <v>.</v>
          </cell>
        </row>
        <row r="49">
          <cell r="B49" t="str">
            <v>Guess?</v>
          </cell>
          <cell r="C49" t="str">
            <v>UA</v>
          </cell>
          <cell r="D49" t="str">
            <v>#Calc</v>
          </cell>
          <cell r="E49" t="str">
            <v>Equal-Weight</v>
          </cell>
          <cell r="F49">
            <v>27</v>
          </cell>
          <cell r="G49" t="e">
            <v>#VALUE!</v>
          </cell>
          <cell r="CA49" t="str">
            <v>.</v>
          </cell>
        </row>
        <row r="50">
          <cell r="B50" t="str">
            <v>Warnaco</v>
          </cell>
          <cell r="C50" t="str">
            <v>LIZ</v>
          </cell>
          <cell r="D50" t="str">
            <v>#Calc</v>
          </cell>
          <cell r="E50" t="str">
            <v>Equal-Weight</v>
          </cell>
          <cell r="F50">
            <v>6</v>
          </cell>
          <cell r="G50" t="e">
            <v>#VALUE!</v>
          </cell>
          <cell r="CA50" t="str">
            <v>.</v>
          </cell>
        </row>
        <row r="51">
          <cell r="CA51" t="str">
            <v>.</v>
          </cell>
        </row>
        <row r="52">
          <cell r="CA52" t="str">
            <v>.</v>
          </cell>
        </row>
        <row r="53">
          <cell r="CA53" t="str">
            <v>.</v>
          </cell>
        </row>
        <row r="54">
          <cell r="CA54" t="str">
            <v>.</v>
          </cell>
        </row>
        <row r="55">
          <cell r="CA55" t="str">
            <v>.</v>
          </cell>
        </row>
        <row r="56">
          <cell r="CA56" t="str">
            <v>.</v>
          </cell>
        </row>
        <row r="57">
          <cell r="CA57" t="str">
            <v>.</v>
          </cell>
        </row>
        <row r="58">
          <cell r="CA58" t="str">
            <v>.</v>
          </cell>
        </row>
        <row r="59">
          <cell r="CA59" t="str">
            <v>.</v>
          </cell>
        </row>
        <row r="60">
          <cell r="CA60" t="str">
            <v>.</v>
          </cell>
        </row>
        <row r="61">
          <cell r="CA61" t="str">
            <v>.</v>
          </cell>
        </row>
        <row r="62">
          <cell r="CA62" t="str">
            <v>.</v>
          </cell>
        </row>
        <row r="63">
          <cell r="CA63" t="str">
            <v>.</v>
          </cell>
        </row>
        <row r="64">
          <cell r="CA64" t="str">
            <v>.</v>
          </cell>
        </row>
        <row r="65">
          <cell r="CA65" t="str">
            <v>.</v>
          </cell>
        </row>
        <row r="66">
          <cell r="CA66" t="str">
            <v>.</v>
          </cell>
        </row>
        <row r="67">
          <cell r="CA67" t="str">
            <v>.</v>
          </cell>
        </row>
        <row r="68">
          <cell r="CA68" t="str">
            <v>.</v>
          </cell>
        </row>
        <row r="69">
          <cell r="CA69" t="str">
            <v>.</v>
          </cell>
        </row>
        <row r="70">
          <cell r="CA70" t="str">
            <v>.</v>
          </cell>
        </row>
        <row r="71">
          <cell r="CA71" t="str">
            <v>.</v>
          </cell>
        </row>
        <row r="72">
          <cell r="CA72" t="str">
            <v>.</v>
          </cell>
        </row>
        <row r="73">
          <cell r="CA73" t="str">
            <v>.</v>
          </cell>
        </row>
        <row r="74">
          <cell r="CA74" t="str">
            <v>.</v>
          </cell>
        </row>
        <row r="75">
          <cell r="CA75" t="str">
            <v>.</v>
          </cell>
        </row>
        <row r="76">
          <cell r="CA76" t="str">
            <v>.</v>
          </cell>
        </row>
        <row r="77">
          <cell r="CA77" t="str">
            <v>.</v>
          </cell>
        </row>
        <row r="78">
          <cell r="CA78" t="str">
            <v>.</v>
          </cell>
        </row>
        <row r="79">
          <cell r="CA79" t="str">
            <v>.</v>
          </cell>
        </row>
        <row r="80">
          <cell r="CA80" t="str">
            <v>.</v>
          </cell>
        </row>
        <row r="81">
          <cell r="CA81" t="str">
            <v>.</v>
          </cell>
        </row>
        <row r="82">
          <cell r="CA82" t="str">
            <v>.</v>
          </cell>
        </row>
        <row r="83">
          <cell r="CA83" t="str">
            <v>.</v>
          </cell>
        </row>
        <row r="84">
          <cell r="CA84" t="str">
            <v>.</v>
          </cell>
        </row>
        <row r="85">
          <cell r="CA85" t="str">
            <v>.</v>
          </cell>
        </row>
        <row r="86">
          <cell r="CA86" t="str">
            <v>.</v>
          </cell>
        </row>
        <row r="87">
          <cell r="CA87" t="str">
            <v>.</v>
          </cell>
        </row>
        <row r="88">
          <cell r="CA88" t="str">
            <v>.</v>
          </cell>
        </row>
        <row r="89">
          <cell r="CA89" t="str">
            <v>.</v>
          </cell>
        </row>
        <row r="90">
          <cell r="CA90" t="str">
            <v>.</v>
          </cell>
        </row>
        <row r="91">
          <cell r="CA91" t="str">
            <v>.</v>
          </cell>
        </row>
        <row r="92">
          <cell r="CA92" t="str">
            <v>.</v>
          </cell>
        </row>
        <row r="93">
          <cell r="CA93" t="str">
            <v>.</v>
          </cell>
        </row>
        <row r="94">
          <cell r="CA94" t="str">
            <v>.</v>
          </cell>
        </row>
        <row r="95">
          <cell r="CA95" t="str">
            <v>.</v>
          </cell>
        </row>
        <row r="96">
          <cell r="CA96" t="str">
            <v>.</v>
          </cell>
        </row>
        <row r="97">
          <cell r="CA97" t="str">
            <v>.</v>
          </cell>
        </row>
        <row r="98">
          <cell r="CA98" t="str">
            <v>.</v>
          </cell>
        </row>
        <row r="99">
          <cell r="CA99" t="str">
            <v>.</v>
          </cell>
        </row>
        <row r="100">
          <cell r="CA100" t="str">
            <v>.</v>
          </cell>
        </row>
        <row r="101">
          <cell r="CA101" t="str">
            <v>.</v>
          </cell>
        </row>
        <row r="102">
          <cell r="CA102" t="str">
            <v>.</v>
          </cell>
        </row>
        <row r="103">
          <cell r="CA103" t="str">
            <v>.</v>
          </cell>
        </row>
        <row r="104">
          <cell r="CA104" t="str">
            <v>.</v>
          </cell>
        </row>
        <row r="105">
          <cell r="CA105" t="str">
            <v>.</v>
          </cell>
        </row>
        <row r="106">
          <cell r="CA106" t="str">
            <v>.</v>
          </cell>
        </row>
        <row r="107">
          <cell r="CA107" t="str">
            <v>.</v>
          </cell>
        </row>
        <row r="108">
          <cell r="CA108" t="str">
            <v>.</v>
          </cell>
        </row>
        <row r="109">
          <cell r="CA109" t="str">
            <v>.</v>
          </cell>
        </row>
        <row r="110">
          <cell r="CA110" t="str">
            <v>.</v>
          </cell>
        </row>
        <row r="111">
          <cell r="CA111" t="str">
            <v>.</v>
          </cell>
        </row>
        <row r="112">
          <cell r="CA112" t="str">
            <v>.</v>
          </cell>
        </row>
        <row r="113">
          <cell r="CA113" t="str">
            <v>.</v>
          </cell>
        </row>
        <row r="114">
          <cell r="CA114" t="str">
            <v>.</v>
          </cell>
        </row>
        <row r="115">
          <cell r="CA115" t="str">
            <v>.</v>
          </cell>
        </row>
        <row r="116">
          <cell r="CA116" t="str">
            <v>.</v>
          </cell>
        </row>
        <row r="117">
          <cell r="CA117" t="str">
            <v>.</v>
          </cell>
        </row>
        <row r="118">
          <cell r="CA118" t="str">
            <v>.</v>
          </cell>
        </row>
        <row r="119">
          <cell r="CA119" t="str">
            <v>.</v>
          </cell>
        </row>
        <row r="120">
          <cell r="CA120" t="str">
            <v>.</v>
          </cell>
        </row>
        <row r="121">
          <cell r="CA121" t="str">
            <v>.</v>
          </cell>
        </row>
        <row r="122">
          <cell r="CA122" t="str">
            <v>.</v>
          </cell>
        </row>
        <row r="123">
          <cell r="CA123" t="str">
            <v>.</v>
          </cell>
        </row>
        <row r="124">
          <cell r="CA124" t="str">
            <v>.</v>
          </cell>
        </row>
        <row r="125">
          <cell r="CA125" t="str">
            <v>.</v>
          </cell>
        </row>
        <row r="126">
          <cell r="CA126" t="str">
            <v>.</v>
          </cell>
        </row>
        <row r="127">
          <cell r="CA127" t="str">
            <v>.</v>
          </cell>
        </row>
        <row r="128">
          <cell r="CA128" t="str">
            <v>.</v>
          </cell>
        </row>
        <row r="129">
          <cell r="CA129" t="str">
            <v>.</v>
          </cell>
        </row>
        <row r="130">
          <cell r="CA130" t="str">
            <v>.</v>
          </cell>
        </row>
        <row r="131">
          <cell r="CA131" t="str">
            <v>.</v>
          </cell>
        </row>
        <row r="132">
          <cell r="CA132" t="str">
            <v>.</v>
          </cell>
        </row>
        <row r="133">
          <cell r="CA133" t="str">
            <v>.</v>
          </cell>
        </row>
        <row r="134">
          <cell r="CA134" t="str">
            <v>.</v>
          </cell>
        </row>
        <row r="135">
          <cell r="CA135" t="str">
            <v>.</v>
          </cell>
        </row>
        <row r="136">
          <cell r="CA136" t="str">
            <v>.</v>
          </cell>
        </row>
        <row r="137">
          <cell r="CA137" t="str">
            <v>.</v>
          </cell>
        </row>
        <row r="138">
          <cell r="CA138" t="str">
            <v>.</v>
          </cell>
        </row>
        <row r="139">
          <cell r="CA139" t="str">
            <v>.</v>
          </cell>
        </row>
        <row r="140">
          <cell r="CA140" t="str">
            <v>.</v>
          </cell>
        </row>
        <row r="141">
          <cell r="CA141" t="str">
            <v>.</v>
          </cell>
        </row>
        <row r="142">
          <cell r="CA142" t="str">
            <v>.</v>
          </cell>
        </row>
        <row r="143">
          <cell r="CA143" t="str">
            <v>.</v>
          </cell>
        </row>
        <row r="144">
          <cell r="CA144" t="str">
            <v>.</v>
          </cell>
        </row>
        <row r="145">
          <cell r="CA145" t="str">
            <v>.</v>
          </cell>
        </row>
        <row r="146">
          <cell r="CA146" t="str">
            <v>.</v>
          </cell>
        </row>
        <row r="147">
          <cell r="CA147" t="str">
            <v>.</v>
          </cell>
        </row>
        <row r="148">
          <cell r="CA148" t="str">
            <v>.</v>
          </cell>
        </row>
        <row r="149">
          <cell r="CA149" t="str">
            <v>.</v>
          </cell>
        </row>
        <row r="150">
          <cell r="CA150" t="str">
            <v>.</v>
          </cell>
        </row>
        <row r="151">
          <cell r="CA151" t="str">
            <v>.</v>
          </cell>
        </row>
        <row r="152">
          <cell r="CA152" t="str">
            <v>.</v>
          </cell>
        </row>
        <row r="153">
          <cell r="CA153" t="str">
            <v>.</v>
          </cell>
        </row>
        <row r="154">
          <cell r="CA154" t="str">
            <v>.</v>
          </cell>
        </row>
        <row r="155">
          <cell r="CA155" t="str">
            <v>.</v>
          </cell>
        </row>
        <row r="156">
          <cell r="CA156" t="str">
            <v>.</v>
          </cell>
        </row>
        <row r="157">
          <cell r="CA157" t="str">
            <v>.</v>
          </cell>
        </row>
        <row r="158">
          <cell r="CA158" t="str">
            <v>.</v>
          </cell>
        </row>
        <row r="159">
          <cell r="CA159" t="str">
            <v>.</v>
          </cell>
        </row>
        <row r="160">
          <cell r="CA160" t="str">
            <v>.</v>
          </cell>
        </row>
        <row r="161">
          <cell r="CA161" t="str">
            <v>.</v>
          </cell>
        </row>
        <row r="162">
          <cell r="CA162" t="str">
            <v>.</v>
          </cell>
        </row>
        <row r="163">
          <cell r="CA163" t="str">
            <v>.</v>
          </cell>
        </row>
        <row r="164">
          <cell r="CA164" t="str">
            <v>.</v>
          </cell>
        </row>
        <row r="165">
          <cell r="CA165" t="str">
            <v>.</v>
          </cell>
        </row>
        <row r="166">
          <cell r="CA166" t="str">
            <v>.</v>
          </cell>
        </row>
        <row r="167">
          <cell r="CA167" t="str">
            <v>.</v>
          </cell>
        </row>
        <row r="168">
          <cell r="CA168" t="str">
            <v>.</v>
          </cell>
        </row>
        <row r="169">
          <cell r="CA169" t="str">
            <v>.</v>
          </cell>
        </row>
        <row r="170">
          <cell r="CA170" t="str">
            <v>.</v>
          </cell>
        </row>
        <row r="171">
          <cell r="CA171" t="str">
            <v>.</v>
          </cell>
        </row>
        <row r="172">
          <cell r="CA172" t="str">
            <v>.</v>
          </cell>
        </row>
        <row r="173">
          <cell r="CA173" t="str">
            <v>.</v>
          </cell>
        </row>
        <row r="174">
          <cell r="CA174" t="str">
            <v>.</v>
          </cell>
        </row>
        <row r="175">
          <cell r="CA175" t="str">
            <v>.</v>
          </cell>
        </row>
        <row r="176">
          <cell r="CA176" t="str">
            <v>.</v>
          </cell>
        </row>
        <row r="177">
          <cell r="CA177" t="str">
            <v>.</v>
          </cell>
        </row>
        <row r="178">
          <cell r="CA178" t="str">
            <v>.</v>
          </cell>
        </row>
        <row r="179">
          <cell r="CA179" t="str">
            <v>.</v>
          </cell>
        </row>
        <row r="180">
          <cell r="CA180" t="str">
            <v>.</v>
          </cell>
        </row>
        <row r="181">
          <cell r="CA181" t="str">
            <v>.</v>
          </cell>
        </row>
        <row r="182">
          <cell r="CA182" t="str">
            <v>.</v>
          </cell>
        </row>
        <row r="183">
          <cell r="CA183" t="str">
            <v>.</v>
          </cell>
        </row>
        <row r="184">
          <cell r="CA184" t="str">
            <v>.</v>
          </cell>
        </row>
        <row r="185">
          <cell r="CA185" t="str">
            <v>.</v>
          </cell>
        </row>
        <row r="186">
          <cell r="CA186" t="str">
            <v>.</v>
          </cell>
        </row>
        <row r="187">
          <cell r="CA187" t="str">
            <v>.</v>
          </cell>
        </row>
        <row r="188">
          <cell r="CA188" t="str">
            <v>.</v>
          </cell>
        </row>
        <row r="189">
          <cell r="CA189" t="str">
            <v>.</v>
          </cell>
        </row>
        <row r="190">
          <cell r="CA190" t="str">
            <v>.</v>
          </cell>
        </row>
        <row r="191">
          <cell r="CA191" t="str">
            <v>.</v>
          </cell>
        </row>
        <row r="192">
          <cell r="CA192" t="str">
            <v>.</v>
          </cell>
        </row>
        <row r="193">
          <cell r="CA193" t="str">
            <v>.</v>
          </cell>
        </row>
        <row r="194">
          <cell r="CA194" t="str">
            <v>.</v>
          </cell>
        </row>
        <row r="195">
          <cell r="CA195" t="str">
            <v>.</v>
          </cell>
        </row>
        <row r="196">
          <cell r="CA196" t="str">
            <v>.</v>
          </cell>
        </row>
        <row r="197">
          <cell r="CA197" t="str">
            <v>.</v>
          </cell>
        </row>
        <row r="198">
          <cell r="CA198" t="str">
            <v>.</v>
          </cell>
        </row>
        <row r="199">
          <cell r="CA199" t="str">
            <v>.</v>
          </cell>
        </row>
        <row r="200">
          <cell r="CA200" t="str">
            <v>.</v>
          </cell>
        </row>
        <row r="201">
          <cell r="CA201" t="str">
            <v>.</v>
          </cell>
        </row>
        <row r="202">
          <cell r="CA202" t="str">
            <v>.</v>
          </cell>
        </row>
        <row r="203">
          <cell r="CA203" t="str">
            <v>.</v>
          </cell>
        </row>
        <row r="204">
          <cell r="CA204" t="str">
            <v>.</v>
          </cell>
        </row>
        <row r="205">
          <cell r="CA205" t="str">
            <v>.</v>
          </cell>
        </row>
        <row r="206">
          <cell r="CA206" t="str">
            <v>.</v>
          </cell>
        </row>
        <row r="207">
          <cell r="CA207" t="str">
            <v>.</v>
          </cell>
        </row>
        <row r="208">
          <cell r="CA208" t="str">
            <v>.</v>
          </cell>
        </row>
        <row r="209">
          <cell r="CA209" t="str">
            <v>.</v>
          </cell>
        </row>
        <row r="210">
          <cell r="CA210" t="str">
            <v>.</v>
          </cell>
        </row>
        <row r="211">
          <cell r="CA211" t="str">
            <v>.</v>
          </cell>
        </row>
        <row r="212">
          <cell r="CA212" t="str">
            <v>.</v>
          </cell>
        </row>
        <row r="213">
          <cell r="CA213" t="str">
            <v>.</v>
          </cell>
        </row>
        <row r="214">
          <cell r="CA214" t="str">
            <v>.</v>
          </cell>
        </row>
        <row r="215">
          <cell r="CA215" t="str">
            <v>.</v>
          </cell>
        </row>
        <row r="216">
          <cell r="CA216" t="str">
            <v>.</v>
          </cell>
        </row>
        <row r="217">
          <cell r="CA217" t="str">
            <v>.</v>
          </cell>
        </row>
        <row r="218">
          <cell r="CA218" t="str">
            <v>.</v>
          </cell>
        </row>
        <row r="219">
          <cell r="CA219" t="str">
            <v>.</v>
          </cell>
        </row>
        <row r="220">
          <cell r="CA220" t="str">
            <v>.</v>
          </cell>
        </row>
        <row r="221">
          <cell r="CA221" t="str">
            <v>.</v>
          </cell>
        </row>
        <row r="222">
          <cell r="CA222" t="str">
            <v>.</v>
          </cell>
        </row>
        <row r="223">
          <cell r="CA223" t="str">
            <v>.</v>
          </cell>
        </row>
        <row r="224">
          <cell r="CA224" t="str">
            <v>.</v>
          </cell>
        </row>
        <row r="225">
          <cell r="CA225" t="str">
            <v>.</v>
          </cell>
        </row>
        <row r="226">
          <cell r="CA226" t="str">
            <v>.</v>
          </cell>
        </row>
        <row r="227">
          <cell r="CA227" t="str">
            <v>.</v>
          </cell>
        </row>
        <row r="228">
          <cell r="CA228" t="str">
            <v>.</v>
          </cell>
        </row>
        <row r="229">
          <cell r="CA229" t="str">
            <v>.</v>
          </cell>
        </row>
        <row r="230">
          <cell r="CA230" t="str">
            <v>.</v>
          </cell>
        </row>
        <row r="231">
          <cell r="CA231" t="str">
            <v>.</v>
          </cell>
        </row>
        <row r="232">
          <cell r="CA232" t="str">
            <v>.</v>
          </cell>
        </row>
        <row r="233">
          <cell r="CA233" t="str">
            <v>.</v>
          </cell>
        </row>
        <row r="234">
          <cell r="CA234" t="str">
            <v>.</v>
          </cell>
        </row>
        <row r="235">
          <cell r="CA235" t="str">
            <v>.</v>
          </cell>
        </row>
        <row r="236">
          <cell r="CA236" t="str">
            <v>.</v>
          </cell>
        </row>
        <row r="237">
          <cell r="CA237" t="str">
            <v>.</v>
          </cell>
        </row>
        <row r="238">
          <cell r="CA238" t="str">
            <v>.</v>
          </cell>
        </row>
        <row r="239">
          <cell r="CA239" t="str">
            <v>.</v>
          </cell>
        </row>
        <row r="240">
          <cell r="CA240" t="str">
            <v>.</v>
          </cell>
        </row>
        <row r="241">
          <cell r="CA241" t="str">
            <v>.</v>
          </cell>
        </row>
        <row r="242">
          <cell r="CA242" t="str">
            <v>.</v>
          </cell>
        </row>
        <row r="243">
          <cell r="CA243" t="str">
            <v>.</v>
          </cell>
        </row>
        <row r="244">
          <cell r="CA244" t="str">
            <v>.</v>
          </cell>
        </row>
        <row r="245">
          <cell r="CA245" t="str">
            <v>.</v>
          </cell>
        </row>
        <row r="246">
          <cell r="CA246" t="str">
            <v>.</v>
          </cell>
        </row>
        <row r="247">
          <cell r="CA247" t="str">
            <v>.</v>
          </cell>
        </row>
        <row r="248">
          <cell r="CA248" t="str">
            <v>.</v>
          </cell>
        </row>
        <row r="249">
          <cell r="CA249" t="str">
            <v>.</v>
          </cell>
        </row>
        <row r="250">
          <cell r="CA250" t="str">
            <v>.</v>
          </cell>
        </row>
        <row r="251">
          <cell r="CA251" t="str">
            <v>.</v>
          </cell>
        </row>
        <row r="252">
          <cell r="CA252" t="str">
            <v>.</v>
          </cell>
        </row>
        <row r="253">
          <cell r="CA253" t="str">
            <v>.</v>
          </cell>
        </row>
        <row r="254">
          <cell r="CA254" t="str">
            <v>.</v>
          </cell>
        </row>
        <row r="255">
          <cell r="CA255" t="str">
            <v>.</v>
          </cell>
        </row>
        <row r="256">
          <cell r="CA256" t="str">
            <v>.</v>
          </cell>
        </row>
        <row r="257">
          <cell r="CA257" t="str">
            <v>.</v>
          </cell>
        </row>
        <row r="258">
          <cell r="CA258" t="str">
            <v>.</v>
          </cell>
        </row>
        <row r="259">
          <cell r="CA259" t="str">
            <v>.</v>
          </cell>
        </row>
        <row r="260">
          <cell r="CA260" t="str">
            <v>.</v>
          </cell>
        </row>
        <row r="261">
          <cell r="CA261" t="str">
            <v>.</v>
          </cell>
        </row>
        <row r="262">
          <cell r="CA262" t="str">
            <v>.</v>
          </cell>
        </row>
        <row r="263">
          <cell r="CA263" t="str">
            <v>.</v>
          </cell>
        </row>
        <row r="264">
          <cell r="CA264" t="str">
            <v>.</v>
          </cell>
        </row>
        <row r="265">
          <cell r="CA265" t="str">
            <v>.</v>
          </cell>
        </row>
        <row r="266">
          <cell r="CA266" t="str">
            <v>.</v>
          </cell>
        </row>
        <row r="267">
          <cell r="CA267" t="str">
            <v>.</v>
          </cell>
        </row>
        <row r="268">
          <cell r="CA268" t="str">
            <v>.</v>
          </cell>
        </row>
        <row r="269">
          <cell r="CA269" t="str">
            <v>.</v>
          </cell>
        </row>
        <row r="270">
          <cell r="CA270" t="str">
            <v>.</v>
          </cell>
        </row>
        <row r="271">
          <cell r="CA271" t="str">
            <v>.</v>
          </cell>
        </row>
        <row r="272">
          <cell r="CA272" t="str">
            <v>.</v>
          </cell>
        </row>
        <row r="273">
          <cell r="CA273" t="str">
            <v>.</v>
          </cell>
        </row>
        <row r="274">
          <cell r="CA274" t="str">
            <v>.</v>
          </cell>
        </row>
        <row r="275">
          <cell r="CA275" t="str">
            <v>.</v>
          </cell>
        </row>
        <row r="276">
          <cell r="CA276" t="str">
            <v>.</v>
          </cell>
        </row>
        <row r="277">
          <cell r="CA277" t="str">
            <v>.</v>
          </cell>
        </row>
        <row r="278">
          <cell r="CA278" t="str">
            <v>.</v>
          </cell>
        </row>
        <row r="279">
          <cell r="CA279" t="str">
            <v>.</v>
          </cell>
        </row>
        <row r="280">
          <cell r="CA280" t="str">
            <v>.</v>
          </cell>
        </row>
        <row r="281">
          <cell r="CA281" t="str">
            <v>.</v>
          </cell>
        </row>
        <row r="282">
          <cell r="CA282" t="str">
            <v>.</v>
          </cell>
        </row>
        <row r="283">
          <cell r="CA283" t="str">
            <v>.</v>
          </cell>
        </row>
        <row r="284">
          <cell r="CA284" t="str">
            <v>.</v>
          </cell>
        </row>
        <row r="285">
          <cell r="CA285" t="str">
            <v>.</v>
          </cell>
        </row>
        <row r="286">
          <cell r="CA286" t="str">
            <v>.</v>
          </cell>
        </row>
        <row r="287">
          <cell r="CA287" t="str">
            <v>.</v>
          </cell>
        </row>
        <row r="288">
          <cell r="CA288" t="str">
            <v>.</v>
          </cell>
        </row>
        <row r="289">
          <cell r="CA289" t="str">
            <v>.</v>
          </cell>
        </row>
        <row r="290">
          <cell r="CA290" t="str">
            <v>.</v>
          </cell>
        </row>
        <row r="291">
          <cell r="CA291" t="str">
            <v>.</v>
          </cell>
        </row>
        <row r="292">
          <cell r="CA292" t="str">
            <v>.</v>
          </cell>
        </row>
        <row r="293">
          <cell r="CA293" t="str">
            <v>.</v>
          </cell>
        </row>
        <row r="294">
          <cell r="CA294" t="str">
            <v>.</v>
          </cell>
        </row>
        <row r="295">
          <cell r="CA295" t="str">
            <v>.</v>
          </cell>
        </row>
        <row r="296">
          <cell r="CA296" t="str">
            <v>.</v>
          </cell>
        </row>
        <row r="297">
          <cell r="CA297" t="str">
            <v>.</v>
          </cell>
        </row>
        <row r="298">
          <cell r="CA298" t="str">
            <v>.</v>
          </cell>
        </row>
        <row r="299">
          <cell r="CA299" t="str">
            <v>.</v>
          </cell>
        </row>
        <row r="300">
          <cell r="CA300" t="str">
            <v>.</v>
          </cell>
        </row>
        <row r="301">
          <cell r="CA301" t="str">
            <v>.</v>
          </cell>
        </row>
        <row r="302">
          <cell r="CA302" t="str">
            <v>.</v>
          </cell>
        </row>
        <row r="303">
          <cell r="CA303" t="str">
            <v>.</v>
          </cell>
        </row>
        <row r="304">
          <cell r="CA304" t="str">
            <v>.</v>
          </cell>
        </row>
        <row r="305">
          <cell r="CA305" t="str">
            <v>.</v>
          </cell>
        </row>
        <row r="306">
          <cell r="CA306" t="str">
            <v>.</v>
          </cell>
        </row>
        <row r="307">
          <cell r="CA307" t="str">
            <v>.</v>
          </cell>
        </row>
        <row r="308">
          <cell r="CA308" t="str">
            <v>.</v>
          </cell>
        </row>
        <row r="309">
          <cell r="CA309" t="str">
            <v>.</v>
          </cell>
        </row>
        <row r="310">
          <cell r="CA310" t="str">
            <v>.</v>
          </cell>
        </row>
        <row r="311">
          <cell r="CA311" t="str">
            <v>.</v>
          </cell>
        </row>
        <row r="312">
          <cell r="CA312" t="str">
            <v>.</v>
          </cell>
        </row>
        <row r="313">
          <cell r="CA313" t="str">
            <v>.</v>
          </cell>
        </row>
        <row r="314">
          <cell r="CA314" t="str">
            <v>.</v>
          </cell>
        </row>
        <row r="315">
          <cell r="CA315" t="str">
            <v>.</v>
          </cell>
        </row>
        <row r="316">
          <cell r="CA316" t="str">
            <v>.</v>
          </cell>
        </row>
        <row r="317">
          <cell r="CA317" t="str">
            <v>.</v>
          </cell>
        </row>
        <row r="318">
          <cell r="CA318" t="str">
            <v>.</v>
          </cell>
        </row>
        <row r="319">
          <cell r="CA319" t="str">
            <v>.</v>
          </cell>
        </row>
        <row r="320">
          <cell r="CA320" t="str">
            <v>.</v>
          </cell>
        </row>
        <row r="321">
          <cell r="CA321" t="str">
            <v>.</v>
          </cell>
        </row>
        <row r="322">
          <cell r="CA322" t="str">
            <v>.</v>
          </cell>
        </row>
        <row r="323">
          <cell r="CA323" t="str">
            <v>.</v>
          </cell>
        </row>
        <row r="324">
          <cell r="CA324" t="str">
            <v>.</v>
          </cell>
        </row>
        <row r="325">
          <cell r="CA325" t="str">
            <v>.</v>
          </cell>
        </row>
        <row r="326">
          <cell r="CA326" t="str">
            <v>.</v>
          </cell>
        </row>
        <row r="327">
          <cell r="CA327" t="str">
            <v>.</v>
          </cell>
        </row>
        <row r="328">
          <cell r="CA328" t="str">
            <v>.</v>
          </cell>
        </row>
        <row r="329">
          <cell r="CA329" t="str">
            <v>.</v>
          </cell>
        </row>
        <row r="330">
          <cell r="CA330" t="str">
            <v>.</v>
          </cell>
        </row>
        <row r="331">
          <cell r="CA331" t="str">
            <v>.</v>
          </cell>
        </row>
        <row r="332">
          <cell r="CA332" t="str">
            <v>.</v>
          </cell>
        </row>
        <row r="333">
          <cell r="CA333" t="str">
            <v>.</v>
          </cell>
        </row>
        <row r="334">
          <cell r="CA334" t="str">
            <v>.</v>
          </cell>
        </row>
        <row r="335">
          <cell r="CA335" t="str">
            <v>.</v>
          </cell>
        </row>
        <row r="336">
          <cell r="CA336" t="str">
            <v>.</v>
          </cell>
        </row>
        <row r="337">
          <cell r="CA337" t="str">
            <v>.</v>
          </cell>
        </row>
        <row r="338">
          <cell r="CA338" t="str">
            <v>.</v>
          </cell>
        </row>
        <row r="339">
          <cell r="CA339" t="str">
            <v>.</v>
          </cell>
        </row>
        <row r="340">
          <cell r="CA340" t="str">
            <v>.</v>
          </cell>
        </row>
        <row r="341">
          <cell r="CA341" t="str">
            <v>.</v>
          </cell>
        </row>
        <row r="342">
          <cell r="CA342" t="str">
            <v>.</v>
          </cell>
        </row>
        <row r="343">
          <cell r="CA343" t="str">
            <v>.</v>
          </cell>
        </row>
        <row r="344">
          <cell r="CA344" t="str">
            <v>.</v>
          </cell>
        </row>
        <row r="345">
          <cell r="CA345" t="str">
            <v>.</v>
          </cell>
        </row>
        <row r="346">
          <cell r="CA346" t="str">
            <v>.</v>
          </cell>
        </row>
        <row r="347">
          <cell r="CA347" t="str">
            <v>.</v>
          </cell>
        </row>
        <row r="348">
          <cell r="CA348" t="str">
            <v>.</v>
          </cell>
        </row>
        <row r="349">
          <cell r="CA349" t="str">
            <v>.</v>
          </cell>
        </row>
        <row r="350">
          <cell r="CA350" t="str">
            <v>.</v>
          </cell>
        </row>
        <row r="351">
          <cell r="CA351" t="str">
            <v>.</v>
          </cell>
        </row>
        <row r="352">
          <cell r="CA352" t="str">
            <v>.</v>
          </cell>
        </row>
        <row r="353">
          <cell r="CA353" t="str">
            <v>.</v>
          </cell>
        </row>
        <row r="354">
          <cell r="CA354" t="str">
            <v>.</v>
          </cell>
        </row>
        <row r="355">
          <cell r="CA355" t="str">
            <v>.</v>
          </cell>
        </row>
        <row r="356">
          <cell r="CA356" t="str">
            <v>.</v>
          </cell>
        </row>
        <row r="357">
          <cell r="CA357" t="str">
            <v>.</v>
          </cell>
        </row>
        <row r="358">
          <cell r="CA358" t="str">
            <v>.</v>
          </cell>
        </row>
        <row r="359">
          <cell r="CA359" t="str">
            <v>.</v>
          </cell>
        </row>
        <row r="360">
          <cell r="CA360" t="str">
            <v>.</v>
          </cell>
        </row>
        <row r="361">
          <cell r="CA361" t="str">
            <v>.</v>
          </cell>
        </row>
        <row r="362">
          <cell r="CA362" t="str">
            <v>.</v>
          </cell>
        </row>
        <row r="363">
          <cell r="CA363" t="str">
            <v>.</v>
          </cell>
        </row>
        <row r="364">
          <cell r="CA364" t="str">
            <v>.</v>
          </cell>
        </row>
        <row r="365">
          <cell r="CA365" t="str">
            <v>.</v>
          </cell>
        </row>
        <row r="366">
          <cell r="CA366" t="str">
            <v>.</v>
          </cell>
        </row>
        <row r="367">
          <cell r="CA367" t="str">
            <v>.</v>
          </cell>
        </row>
        <row r="368">
          <cell r="CA368" t="str">
            <v>.</v>
          </cell>
        </row>
        <row r="369">
          <cell r="CA369" t="str">
            <v>.</v>
          </cell>
        </row>
        <row r="370">
          <cell r="CA370" t="str">
            <v>.</v>
          </cell>
        </row>
        <row r="371">
          <cell r="CA371" t="str">
            <v>.</v>
          </cell>
        </row>
        <row r="372">
          <cell r="CA372" t="str">
            <v>.</v>
          </cell>
        </row>
        <row r="373">
          <cell r="CA373" t="str">
            <v>.</v>
          </cell>
        </row>
        <row r="374">
          <cell r="CA374" t="str">
            <v>.</v>
          </cell>
        </row>
        <row r="375">
          <cell r="CA375" t="str">
            <v>.</v>
          </cell>
        </row>
        <row r="376">
          <cell r="CA376" t="str">
            <v>.</v>
          </cell>
        </row>
        <row r="377">
          <cell r="CA377" t="str">
            <v>.</v>
          </cell>
        </row>
        <row r="378">
          <cell r="CA378" t="str">
            <v>.</v>
          </cell>
        </row>
        <row r="379">
          <cell r="CA379" t="str">
            <v>.</v>
          </cell>
        </row>
        <row r="380">
          <cell r="CA380" t="str">
            <v>.</v>
          </cell>
        </row>
        <row r="381">
          <cell r="CA381" t="str">
            <v>.</v>
          </cell>
        </row>
        <row r="382">
          <cell r="CA382" t="str">
            <v>.</v>
          </cell>
        </row>
        <row r="383">
          <cell r="CA383" t="str">
            <v>.</v>
          </cell>
        </row>
        <row r="384">
          <cell r="CA384" t="str">
            <v>.</v>
          </cell>
        </row>
        <row r="385">
          <cell r="CA385" t="str">
            <v>.</v>
          </cell>
        </row>
        <row r="386">
          <cell r="CA386" t="str">
            <v>.</v>
          </cell>
        </row>
        <row r="387">
          <cell r="CA387" t="str">
            <v>.</v>
          </cell>
        </row>
        <row r="388">
          <cell r="CA388" t="str">
            <v>.</v>
          </cell>
        </row>
        <row r="389">
          <cell r="CA389" t="str">
            <v>.</v>
          </cell>
        </row>
        <row r="390">
          <cell r="CA390" t="str">
            <v>.</v>
          </cell>
        </row>
        <row r="391">
          <cell r="CA391" t="str">
            <v>.</v>
          </cell>
        </row>
        <row r="392">
          <cell r="CA392" t="str">
            <v>.</v>
          </cell>
        </row>
        <row r="393">
          <cell r="CA393" t="str">
            <v>.</v>
          </cell>
        </row>
        <row r="394">
          <cell r="CA394" t="str">
            <v>.</v>
          </cell>
        </row>
        <row r="395">
          <cell r="CA395" t="str">
            <v>.</v>
          </cell>
        </row>
        <row r="396">
          <cell r="CA396" t="str">
            <v>.</v>
          </cell>
        </row>
        <row r="397">
          <cell r="CA397" t="str">
            <v>.</v>
          </cell>
        </row>
        <row r="398">
          <cell r="CA398" t="str">
            <v>.</v>
          </cell>
        </row>
        <row r="399">
          <cell r="CA399" t="str">
            <v>.</v>
          </cell>
        </row>
        <row r="400">
          <cell r="CA400" t="str">
            <v>.</v>
          </cell>
        </row>
        <row r="401">
          <cell r="CA401" t="str">
            <v>.</v>
          </cell>
        </row>
        <row r="402">
          <cell r="CA402" t="str">
            <v>.</v>
          </cell>
        </row>
        <row r="403">
          <cell r="CA403" t="str">
            <v>.</v>
          </cell>
        </row>
        <row r="404">
          <cell r="CA404" t="str">
            <v>.</v>
          </cell>
        </row>
        <row r="405">
          <cell r="CA405" t="str">
            <v>.</v>
          </cell>
        </row>
        <row r="406">
          <cell r="CA406" t="str">
            <v>.</v>
          </cell>
        </row>
        <row r="407">
          <cell r="CA407" t="str">
            <v>.</v>
          </cell>
        </row>
        <row r="408">
          <cell r="CA408" t="str">
            <v>.</v>
          </cell>
        </row>
        <row r="409">
          <cell r="CA409" t="str">
            <v>.</v>
          </cell>
        </row>
        <row r="410">
          <cell r="CA410" t="str">
            <v>.</v>
          </cell>
        </row>
        <row r="411">
          <cell r="CA411" t="str">
            <v>.</v>
          </cell>
        </row>
        <row r="412">
          <cell r="CA412" t="str">
            <v>.</v>
          </cell>
        </row>
        <row r="413">
          <cell r="CA413" t="str">
            <v>.</v>
          </cell>
        </row>
        <row r="414">
          <cell r="CA414" t="str">
            <v>.</v>
          </cell>
        </row>
        <row r="415">
          <cell r="CA415" t="str">
            <v>.</v>
          </cell>
        </row>
        <row r="416">
          <cell r="CA416" t="str">
            <v>.</v>
          </cell>
        </row>
        <row r="417">
          <cell r="CA417" t="str">
            <v>.</v>
          </cell>
        </row>
        <row r="418">
          <cell r="CA418" t="str">
            <v>.</v>
          </cell>
        </row>
        <row r="419">
          <cell r="CA419" t="str">
            <v>.</v>
          </cell>
        </row>
        <row r="420">
          <cell r="CA420" t="str">
            <v>.</v>
          </cell>
        </row>
        <row r="421">
          <cell r="CA421" t="str">
            <v>.</v>
          </cell>
        </row>
        <row r="422">
          <cell r="CA422" t="str">
            <v>.</v>
          </cell>
        </row>
        <row r="423">
          <cell r="CA423" t="str">
            <v>.</v>
          </cell>
        </row>
        <row r="424">
          <cell r="CA424" t="str">
            <v>.</v>
          </cell>
        </row>
        <row r="425">
          <cell r="CA425" t="str">
            <v>.</v>
          </cell>
        </row>
        <row r="426">
          <cell r="CA426" t="str">
            <v>.</v>
          </cell>
        </row>
        <row r="427">
          <cell r="CA427" t="str">
            <v>.</v>
          </cell>
        </row>
        <row r="428">
          <cell r="CA428" t="str">
            <v>.</v>
          </cell>
        </row>
        <row r="429">
          <cell r="CA429" t="str">
            <v>.</v>
          </cell>
        </row>
        <row r="430">
          <cell r="CA430" t="str">
            <v>.</v>
          </cell>
        </row>
        <row r="431">
          <cell r="CA431" t="str">
            <v>.</v>
          </cell>
        </row>
        <row r="432">
          <cell r="CA432" t="str">
            <v>.</v>
          </cell>
        </row>
        <row r="433">
          <cell r="CA433" t="str">
            <v>.</v>
          </cell>
        </row>
        <row r="434">
          <cell r="CA434" t="str">
            <v>.</v>
          </cell>
        </row>
        <row r="435">
          <cell r="CA435" t="str">
            <v>.</v>
          </cell>
        </row>
        <row r="436">
          <cell r="CA436" t="str">
            <v>.</v>
          </cell>
        </row>
        <row r="437">
          <cell r="CA437" t="str">
            <v>.</v>
          </cell>
        </row>
        <row r="438">
          <cell r="CA438" t="str">
            <v>.</v>
          </cell>
        </row>
        <row r="439">
          <cell r="CA439" t="str">
            <v>.</v>
          </cell>
        </row>
        <row r="440">
          <cell r="CA440" t="str">
            <v>.</v>
          </cell>
        </row>
        <row r="441">
          <cell r="CA441" t="str">
            <v>.</v>
          </cell>
        </row>
        <row r="442">
          <cell r="CA442" t="str">
            <v>.</v>
          </cell>
        </row>
        <row r="443">
          <cell r="CA443" t="str">
            <v>.</v>
          </cell>
        </row>
        <row r="444">
          <cell r="CA444" t="str">
            <v>.</v>
          </cell>
        </row>
        <row r="445">
          <cell r="CA445" t="str">
            <v>.</v>
          </cell>
        </row>
        <row r="446">
          <cell r="CA446" t="str">
            <v>.</v>
          </cell>
        </row>
        <row r="447">
          <cell r="CA447" t="str">
            <v>.</v>
          </cell>
        </row>
        <row r="448">
          <cell r="CA448" t="str">
            <v>.</v>
          </cell>
        </row>
        <row r="449">
          <cell r="CA449" t="str">
            <v>.</v>
          </cell>
        </row>
        <row r="450">
          <cell r="CA450" t="str">
            <v>.</v>
          </cell>
        </row>
        <row r="451">
          <cell r="CA451" t="str">
            <v>.</v>
          </cell>
        </row>
        <row r="452">
          <cell r="CA452" t="str">
            <v>.</v>
          </cell>
        </row>
        <row r="453">
          <cell r="CA453" t="str">
            <v>.</v>
          </cell>
        </row>
        <row r="454">
          <cell r="CA454" t="str">
            <v>.</v>
          </cell>
        </row>
        <row r="455">
          <cell r="CA455" t="str">
            <v>.</v>
          </cell>
        </row>
        <row r="456">
          <cell r="CA456" t="str">
            <v>.</v>
          </cell>
        </row>
        <row r="457">
          <cell r="CA457" t="str">
            <v>.</v>
          </cell>
        </row>
        <row r="458">
          <cell r="CA458" t="str">
            <v>.</v>
          </cell>
        </row>
        <row r="459">
          <cell r="CA459" t="str">
            <v>.</v>
          </cell>
        </row>
        <row r="460">
          <cell r="CA460" t="str">
            <v>.</v>
          </cell>
        </row>
        <row r="461">
          <cell r="CA461" t="str">
            <v>.</v>
          </cell>
        </row>
        <row r="462">
          <cell r="CA462" t="str">
            <v>.</v>
          </cell>
        </row>
        <row r="463">
          <cell r="CA463" t="str">
            <v>.</v>
          </cell>
        </row>
        <row r="464">
          <cell r="CA464" t="str">
            <v>.</v>
          </cell>
        </row>
        <row r="465">
          <cell r="CA465" t="str">
            <v>.</v>
          </cell>
        </row>
        <row r="466">
          <cell r="CA466" t="str">
            <v>.</v>
          </cell>
        </row>
        <row r="467">
          <cell r="CA467" t="str">
            <v>.</v>
          </cell>
        </row>
        <row r="468">
          <cell r="CA468" t="str">
            <v>.</v>
          </cell>
        </row>
        <row r="469">
          <cell r="CA469" t="str">
            <v>.</v>
          </cell>
        </row>
        <row r="470">
          <cell r="CA470" t="str">
            <v>.</v>
          </cell>
        </row>
        <row r="471">
          <cell r="CA471" t="str">
            <v>.</v>
          </cell>
        </row>
        <row r="472">
          <cell r="CA472" t="str">
            <v>.</v>
          </cell>
        </row>
        <row r="473">
          <cell r="CA473" t="str">
            <v>.</v>
          </cell>
        </row>
        <row r="474">
          <cell r="CA474" t="str">
            <v>.</v>
          </cell>
        </row>
        <row r="475">
          <cell r="CA475" t="str">
            <v>.</v>
          </cell>
        </row>
        <row r="476">
          <cell r="CA476" t="str">
            <v>.</v>
          </cell>
        </row>
        <row r="477">
          <cell r="CA477" t="str">
            <v>.</v>
          </cell>
        </row>
        <row r="478">
          <cell r="CA478" t="str">
            <v>.</v>
          </cell>
        </row>
        <row r="479">
          <cell r="CA479" t="str">
            <v>.</v>
          </cell>
        </row>
        <row r="480">
          <cell r="CA480" t="str">
            <v>.</v>
          </cell>
        </row>
        <row r="481">
          <cell r="CA481" t="str">
            <v>.</v>
          </cell>
        </row>
        <row r="482">
          <cell r="CA482" t="str">
            <v>.</v>
          </cell>
        </row>
        <row r="483">
          <cell r="CA483" t="str">
            <v>.</v>
          </cell>
        </row>
        <row r="484">
          <cell r="CA484" t="str">
            <v>.</v>
          </cell>
        </row>
        <row r="485">
          <cell r="CA485" t="str">
            <v>.</v>
          </cell>
        </row>
        <row r="486">
          <cell r="CA486" t="str">
            <v>.</v>
          </cell>
        </row>
        <row r="487">
          <cell r="CA487" t="str">
            <v>.</v>
          </cell>
        </row>
        <row r="488">
          <cell r="CA488" t="str">
            <v>.</v>
          </cell>
        </row>
        <row r="489">
          <cell r="CA489" t="str">
            <v>.</v>
          </cell>
        </row>
        <row r="490">
          <cell r="CA490" t="str">
            <v>.</v>
          </cell>
        </row>
        <row r="491">
          <cell r="CA491" t="str">
            <v>.</v>
          </cell>
        </row>
        <row r="492">
          <cell r="CA492" t="str">
            <v>.</v>
          </cell>
        </row>
        <row r="493">
          <cell r="CA493" t="str">
            <v>.</v>
          </cell>
        </row>
        <row r="494">
          <cell r="CA494" t="str">
            <v>.</v>
          </cell>
        </row>
        <row r="495">
          <cell r="CA495" t="str">
            <v>.</v>
          </cell>
        </row>
        <row r="496">
          <cell r="CA496" t="str">
            <v>.</v>
          </cell>
        </row>
        <row r="497">
          <cell r="CA497" t="str">
            <v>.</v>
          </cell>
        </row>
        <row r="498">
          <cell r="CA498" t="str">
            <v>.</v>
          </cell>
        </row>
        <row r="499">
          <cell r="CA499" t="str">
            <v>.</v>
          </cell>
        </row>
        <row r="500">
          <cell r="CA500" t="str">
            <v>.</v>
          </cell>
        </row>
        <row r="501">
          <cell r="CA501" t="str">
            <v>.</v>
          </cell>
        </row>
        <row r="502">
          <cell r="CA502" t="str">
            <v>.</v>
          </cell>
        </row>
        <row r="503">
          <cell r="CA503" t="str">
            <v>.</v>
          </cell>
        </row>
        <row r="504">
          <cell r="CA504" t="str">
            <v>.</v>
          </cell>
        </row>
        <row r="505">
          <cell r="CA505" t="str">
            <v>.</v>
          </cell>
        </row>
        <row r="506">
          <cell r="CA506" t="str">
            <v>.</v>
          </cell>
        </row>
        <row r="507">
          <cell r="CA507" t="str">
            <v>.</v>
          </cell>
        </row>
        <row r="508">
          <cell r="CA508" t="str">
            <v>.</v>
          </cell>
        </row>
        <row r="509">
          <cell r="CA509" t="str">
            <v>.</v>
          </cell>
        </row>
        <row r="510">
          <cell r="CA510" t="str">
            <v>.</v>
          </cell>
        </row>
        <row r="511">
          <cell r="CA511" t="str">
            <v>.</v>
          </cell>
        </row>
        <row r="512">
          <cell r="CA512" t="str">
            <v>.</v>
          </cell>
        </row>
        <row r="513">
          <cell r="CA513" t="str">
            <v>.</v>
          </cell>
        </row>
        <row r="514">
          <cell r="CA514" t="str">
            <v>.</v>
          </cell>
        </row>
        <row r="515">
          <cell r="CA515" t="str">
            <v>.</v>
          </cell>
        </row>
        <row r="516">
          <cell r="CA516" t="str">
            <v>.</v>
          </cell>
        </row>
        <row r="517">
          <cell r="CA517" t="str">
            <v>.</v>
          </cell>
        </row>
        <row r="518">
          <cell r="CA518" t="str">
            <v>.</v>
          </cell>
        </row>
        <row r="519">
          <cell r="CA519" t="str">
            <v>.</v>
          </cell>
        </row>
        <row r="520">
          <cell r="CA520" t="str">
            <v>.</v>
          </cell>
        </row>
        <row r="521">
          <cell r="CA521" t="str">
            <v>.</v>
          </cell>
        </row>
        <row r="522">
          <cell r="CA522" t="str">
            <v>.</v>
          </cell>
        </row>
        <row r="523">
          <cell r="CA523" t="str">
            <v>.</v>
          </cell>
        </row>
        <row r="524">
          <cell r="CA524" t="str">
            <v>.</v>
          </cell>
        </row>
        <row r="525">
          <cell r="CA525" t="str">
            <v>.</v>
          </cell>
        </row>
        <row r="526">
          <cell r="CA526" t="str">
            <v>.</v>
          </cell>
        </row>
        <row r="527">
          <cell r="CA527" t="str">
            <v>.</v>
          </cell>
        </row>
        <row r="528">
          <cell r="CA528" t="str">
            <v>.</v>
          </cell>
        </row>
        <row r="529">
          <cell r="CA529" t="str">
            <v>.</v>
          </cell>
        </row>
        <row r="530">
          <cell r="CA530" t="str">
            <v>.</v>
          </cell>
        </row>
        <row r="531">
          <cell r="CA531" t="str">
            <v>.</v>
          </cell>
        </row>
        <row r="532">
          <cell r="CA532" t="str">
            <v>.</v>
          </cell>
        </row>
        <row r="533">
          <cell r="CA533" t="str">
            <v>.</v>
          </cell>
        </row>
        <row r="534">
          <cell r="CA534" t="str">
            <v>.</v>
          </cell>
        </row>
        <row r="535">
          <cell r="CA535" t="str">
            <v>.</v>
          </cell>
        </row>
        <row r="536">
          <cell r="CA536" t="str">
            <v>.</v>
          </cell>
        </row>
        <row r="537">
          <cell r="CA537" t="str">
            <v>.</v>
          </cell>
        </row>
        <row r="538">
          <cell r="CA538" t="str">
            <v>.</v>
          </cell>
        </row>
        <row r="539">
          <cell r="CA539" t="str">
            <v>.</v>
          </cell>
        </row>
        <row r="540">
          <cell r="CA540" t="str">
            <v>.</v>
          </cell>
        </row>
        <row r="541">
          <cell r="CA541" t="str">
            <v>.</v>
          </cell>
        </row>
        <row r="542">
          <cell r="CA542" t="str">
            <v>.</v>
          </cell>
        </row>
        <row r="543">
          <cell r="CA543" t="str">
            <v>.</v>
          </cell>
        </row>
        <row r="544">
          <cell r="CA544" t="str">
            <v>.</v>
          </cell>
        </row>
        <row r="545">
          <cell r="CA545" t="str">
            <v>.</v>
          </cell>
        </row>
        <row r="546">
          <cell r="CA546" t="str">
            <v>.</v>
          </cell>
        </row>
        <row r="547">
          <cell r="CA547" t="str">
            <v>.</v>
          </cell>
        </row>
        <row r="548">
          <cell r="CA548" t="str">
            <v>.</v>
          </cell>
        </row>
        <row r="549">
          <cell r="CA549" t="str">
            <v>.</v>
          </cell>
        </row>
        <row r="550">
          <cell r="CA550" t="str">
            <v>.</v>
          </cell>
        </row>
        <row r="551">
          <cell r="CA551" t="str">
            <v>.</v>
          </cell>
        </row>
        <row r="552">
          <cell r="CA552" t="str">
            <v>.</v>
          </cell>
        </row>
        <row r="553">
          <cell r="CA553" t="str">
            <v>.</v>
          </cell>
        </row>
        <row r="554">
          <cell r="CA554" t="str">
            <v>.</v>
          </cell>
        </row>
        <row r="555">
          <cell r="CA555" t="str">
            <v>.</v>
          </cell>
        </row>
        <row r="556">
          <cell r="CA556" t="str">
            <v>.</v>
          </cell>
        </row>
        <row r="557">
          <cell r="CA557" t="str">
            <v>.</v>
          </cell>
        </row>
        <row r="558">
          <cell r="CA558" t="str">
            <v>.</v>
          </cell>
        </row>
        <row r="559">
          <cell r="CA559" t="str">
            <v>.</v>
          </cell>
        </row>
        <row r="560">
          <cell r="CA560" t="str">
            <v>.</v>
          </cell>
        </row>
        <row r="561">
          <cell r="CA561" t="str">
            <v>.</v>
          </cell>
        </row>
        <row r="562">
          <cell r="CA562" t="str">
            <v>.</v>
          </cell>
        </row>
        <row r="563">
          <cell r="CA563" t="str">
            <v>.</v>
          </cell>
        </row>
        <row r="564">
          <cell r="CA564" t="str">
            <v>.</v>
          </cell>
        </row>
        <row r="565">
          <cell r="CA565" t="str">
            <v>.</v>
          </cell>
        </row>
        <row r="566">
          <cell r="CA566" t="str">
            <v>.</v>
          </cell>
        </row>
        <row r="567">
          <cell r="CA567" t="str">
            <v>.</v>
          </cell>
        </row>
        <row r="568">
          <cell r="CA568" t="str">
            <v>.</v>
          </cell>
        </row>
        <row r="569">
          <cell r="CA569" t="str">
            <v>.</v>
          </cell>
        </row>
        <row r="570">
          <cell r="CA570" t="str">
            <v>.</v>
          </cell>
        </row>
        <row r="571">
          <cell r="CA571" t="str">
            <v>.</v>
          </cell>
        </row>
        <row r="572">
          <cell r="CA572" t="str">
            <v>.</v>
          </cell>
        </row>
        <row r="573">
          <cell r="CA573" t="str">
            <v>.</v>
          </cell>
        </row>
        <row r="574">
          <cell r="CA574" t="str">
            <v>.</v>
          </cell>
        </row>
        <row r="575">
          <cell r="CA575" t="str">
            <v>.</v>
          </cell>
        </row>
        <row r="576">
          <cell r="CA576" t="str">
            <v>.</v>
          </cell>
        </row>
        <row r="577">
          <cell r="CA577" t="str">
            <v>.</v>
          </cell>
        </row>
        <row r="578">
          <cell r="CA578" t="str">
            <v>.</v>
          </cell>
        </row>
        <row r="579">
          <cell r="CA579" t="str">
            <v>.</v>
          </cell>
        </row>
        <row r="580">
          <cell r="CA580" t="str">
            <v>.</v>
          </cell>
        </row>
        <row r="581">
          <cell r="CA581" t="str">
            <v>.</v>
          </cell>
        </row>
        <row r="582">
          <cell r="CA582" t="str">
            <v>.</v>
          </cell>
        </row>
        <row r="583">
          <cell r="CA583" t="str">
            <v>.</v>
          </cell>
        </row>
        <row r="584">
          <cell r="CA584" t="str">
            <v>.</v>
          </cell>
        </row>
        <row r="585">
          <cell r="CA585" t="str">
            <v>.</v>
          </cell>
        </row>
        <row r="586">
          <cell r="CA586" t="str">
            <v>.</v>
          </cell>
        </row>
        <row r="587">
          <cell r="CA587" t="str">
            <v>.</v>
          </cell>
        </row>
        <row r="588">
          <cell r="CA588" t="str">
            <v>.</v>
          </cell>
        </row>
        <row r="589">
          <cell r="CA589" t="str">
            <v>.</v>
          </cell>
        </row>
        <row r="590">
          <cell r="CA590" t="str">
            <v>.</v>
          </cell>
        </row>
        <row r="591">
          <cell r="CA591" t="str">
            <v>.</v>
          </cell>
        </row>
        <row r="592">
          <cell r="CA592" t="str">
            <v>.</v>
          </cell>
        </row>
        <row r="593">
          <cell r="CA593" t="str">
            <v>.</v>
          </cell>
        </row>
        <row r="594">
          <cell r="CA594" t="str">
            <v>.</v>
          </cell>
        </row>
        <row r="595">
          <cell r="CA595" t="str">
            <v>.</v>
          </cell>
        </row>
        <row r="596">
          <cell r="CA596" t="str">
            <v>.</v>
          </cell>
        </row>
        <row r="597">
          <cell r="CA597" t="str">
            <v>.</v>
          </cell>
        </row>
        <row r="598">
          <cell r="CA598" t="str">
            <v>.</v>
          </cell>
        </row>
        <row r="599">
          <cell r="CA599" t="str">
            <v>.</v>
          </cell>
        </row>
        <row r="600">
          <cell r="CA600" t="str">
            <v>.</v>
          </cell>
        </row>
        <row r="601">
          <cell r="CA601" t="str">
            <v>.</v>
          </cell>
        </row>
        <row r="602">
          <cell r="CA602" t="str">
            <v>.</v>
          </cell>
        </row>
        <row r="603">
          <cell r="CA603" t="str">
            <v>.</v>
          </cell>
        </row>
        <row r="604">
          <cell r="CA604" t="str">
            <v>.</v>
          </cell>
        </row>
        <row r="605">
          <cell r="CA605" t="str">
            <v>.</v>
          </cell>
        </row>
        <row r="606">
          <cell r="CA606" t="str">
            <v>.</v>
          </cell>
        </row>
        <row r="607">
          <cell r="CA607" t="str">
            <v>.</v>
          </cell>
        </row>
        <row r="608">
          <cell r="CA608" t="str">
            <v>.</v>
          </cell>
        </row>
        <row r="609">
          <cell r="CA609" t="str">
            <v>.</v>
          </cell>
        </row>
        <row r="610">
          <cell r="CA610" t="str">
            <v>.</v>
          </cell>
        </row>
        <row r="611">
          <cell r="CA611" t="str">
            <v>.</v>
          </cell>
        </row>
        <row r="612">
          <cell r="CA612" t="str">
            <v>.</v>
          </cell>
        </row>
        <row r="613">
          <cell r="CA613" t="str">
            <v>.</v>
          </cell>
        </row>
        <row r="614">
          <cell r="CA614" t="str">
            <v>.</v>
          </cell>
        </row>
        <row r="615">
          <cell r="CA615" t="str">
            <v>.</v>
          </cell>
        </row>
        <row r="616">
          <cell r="CA616" t="str">
            <v>.</v>
          </cell>
        </row>
        <row r="617">
          <cell r="CA617" t="str">
            <v>.</v>
          </cell>
        </row>
        <row r="618">
          <cell r="CA618" t="str">
            <v>.</v>
          </cell>
        </row>
        <row r="619">
          <cell r="CA619" t="str">
            <v>.</v>
          </cell>
        </row>
        <row r="620">
          <cell r="CA620" t="str">
            <v>.</v>
          </cell>
        </row>
        <row r="621">
          <cell r="CA621" t="str">
            <v>.</v>
          </cell>
        </row>
        <row r="622">
          <cell r="CA622" t="str">
            <v>.</v>
          </cell>
        </row>
        <row r="623">
          <cell r="CA623" t="str">
            <v>.</v>
          </cell>
        </row>
        <row r="624">
          <cell r="CA624" t="str">
            <v>.</v>
          </cell>
        </row>
        <row r="625">
          <cell r="CA625" t="str">
            <v>.</v>
          </cell>
        </row>
        <row r="626">
          <cell r="CA626" t="str">
            <v>.</v>
          </cell>
        </row>
        <row r="627">
          <cell r="CA627" t="str">
            <v>.</v>
          </cell>
        </row>
        <row r="628">
          <cell r="CA628" t="str">
            <v>.</v>
          </cell>
        </row>
        <row r="629">
          <cell r="CA629" t="str">
            <v>.</v>
          </cell>
        </row>
        <row r="630">
          <cell r="CA630" t="str">
            <v>.</v>
          </cell>
        </row>
        <row r="631">
          <cell r="CA631" t="str">
            <v>.</v>
          </cell>
        </row>
        <row r="632">
          <cell r="CA632" t="str">
            <v>.</v>
          </cell>
        </row>
        <row r="633">
          <cell r="CA633" t="str">
            <v>.</v>
          </cell>
        </row>
        <row r="634">
          <cell r="CA634" t="str">
            <v>.</v>
          </cell>
        </row>
        <row r="635">
          <cell r="CA635" t="str">
            <v>.</v>
          </cell>
        </row>
        <row r="636">
          <cell r="CA636" t="str">
            <v>.</v>
          </cell>
        </row>
        <row r="637">
          <cell r="CA637" t="str">
            <v>.</v>
          </cell>
        </row>
        <row r="638">
          <cell r="CA638" t="str">
            <v>.</v>
          </cell>
        </row>
        <row r="639">
          <cell r="CA639" t="str">
            <v>.</v>
          </cell>
        </row>
        <row r="640">
          <cell r="CA640" t="str">
            <v>.</v>
          </cell>
        </row>
        <row r="641">
          <cell r="CA641" t="str">
            <v>.</v>
          </cell>
        </row>
        <row r="642">
          <cell r="CA642" t="str">
            <v>.</v>
          </cell>
        </row>
        <row r="643">
          <cell r="CA643" t="str">
            <v>.</v>
          </cell>
        </row>
        <row r="644">
          <cell r="CA644" t="str">
            <v>.</v>
          </cell>
        </row>
        <row r="645">
          <cell r="CA645" t="str">
            <v>.</v>
          </cell>
        </row>
        <row r="646">
          <cell r="CA646" t="str">
            <v>.</v>
          </cell>
        </row>
        <row r="647">
          <cell r="CA647" t="str">
            <v>.</v>
          </cell>
        </row>
        <row r="648">
          <cell r="CA648" t="str">
            <v>.</v>
          </cell>
        </row>
        <row r="649">
          <cell r="CA649" t="str">
            <v>.</v>
          </cell>
        </row>
        <row r="650">
          <cell r="CA650" t="str">
            <v>.</v>
          </cell>
        </row>
        <row r="651">
          <cell r="CA651" t="str">
            <v>.</v>
          </cell>
        </row>
        <row r="652">
          <cell r="CA652" t="str">
            <v>.</v>
          </cell>
        </row>
        <row r="653">
          <cell r="CA653" t="str">
            <v>.</v>
          </cell>
        </row>
        <row r="654">
          <cell r="CA654" t="str">
            <v>.</v>
          </cell>
        </row>
        <row r="655">
          <cell r="CA655" t="str">
            <v>.</v>
          </cell>
        </row>
        <row r="656">
          <cell r="CA656" t="str">
            <v>.</v>
          </cell>
        </row>
        <row r="657">
          <cell r="CA657" t="str">
            <v>.</v>
          </cell>
        </row>
        <row r="658">
          <cell r="CA658" t="str">
            <v>.</v>
          </cell>
        </row>
        <row r="659">
          <cell r="CA659" t="str">
            <v>.</v>
          </cell>
        </row>
        <row r="660">
          <cell r="CA660" t="str">
            <v>.</v>
          </cell>
        </row>
        <row r="661">
          <cell r="CA661" t="str">
            <v>.</v>
          </cell>
        </row>
        <row r="662">
          <cell r="CA662" t="str">
            <v>.</v>
          </cell>
        </row>
        <row r="663">
          <cell r="CA663" t="str">
            <v>.</v>
          </cell>
        </row>
        <row r="664">
          <cell r="CA664" t="str">
            <v>.</v>
          </cell>
        </row>
        <row r="665">
          <cell r="CA665" t="str">
            <v>.</v>
          </cell>
        </row>
        <row r="666">
          <cell r="CA666" t="str">
            <v>.</v>
          </cell>
        </row>
        <row r="667">
          <cell r="CA667" t="str">
            <v>.</v>
          </cell>
        </row>
        <row r="668">
          <cell r="CA668" t="str">
            <v>.</v>
          </cell>
        </row>
        <row r="669">
          <cell r="CA669" t="str">
            <v>.</v>
          </cell>
        </row>
        <row r="670">
          <cell r="CA670" t="str">
            <v>.</v>
          </cell>
        </row>
        <row r="671">
          <cell r="CA671" t="str">
            <v>.</v>
          </cell>
        </row>
        <row r="672">
          <cell r="CA672" t="str">
            <v>.</v>
          </cell>
        </row>
        <row r="673">
          <cell r="CA673" t="str">
            <v>.</v>
          </cell>
        </row>
        <row r="674">
          <cell r="CA674" t="str">
            <v>.</v>
          </cell>
        </row>
        <row r="675">
          <cell r="CA675" t="str">
            <v>.</v>
          </cell>
        </row>
        <row r="676">
          <cell r="CA676" t="str">
            <v>.</v>
          </cell>
        </row>
        <row r="677">
          <cell r="CA677" t="str">
            <v>.</v>
          </cell>
        </row>
        <row r="678">
          <cell r="CA678" t="str">
            <v>.</v>
          </cell>
        </row>
        <row r="679">
          <cell r="CA679" t="str">
            <v>.</v>
          </cell>
        </row>
        <row r="680">
          <cell r="CA680" t="str">
            <v>.</v>
          </cell>
        </row>
        <row r="681">
          <cell r="CA681" t="str">
            <v>.</v>
          </cell>
        </row>
        <row r="682">
          <cell r="CA682" t="str">
            <v>.</v>
          </cell>
        </row>
        <row r="683">
          <cell r="CA683" t="str">
            <v>.</v>
          </cell>
        </row>
        <row r="684">
          <cell r="CA684" t="str">
            <v>.</v>
          </cell>
        </row>
        <row r="685">
          <cell r="CA685" t="str">
            <v>.</v>
          </cell>
        </row>
        <row r="686">
          <cell r="CA686" t="str">
            <v>.</v>
          </cell>
        </row>
        <row r="687">
          <cell r="CA687" t="str">
            <v>.</v>
          </cell>
        </row>
        <row r="688">
          <cell r="CA688" t="str">
            <v>.</v>
          </cell>
        </row>
        <row r="689">
          <cell r="CA689" t="str">
            <v>.</v>
          </cell>
        </row>
        <row r="690">
          <cell r="CA690" t="str">
            <v>.</v>
          </cell>
        </row>
        <row r="691">
          <cell r="CA691" t="str">
            <v>.</v>
          </cell>
        </row>
        <row r="692">
          <cell r="CA692" t="str">
            <v>.</v>
          </cell>
        </row>
        <row r="693">
          <cell r="CA693" t="str">
            <v>.</v>
          </cell>
        </row>
        <row r="694">
          <cell r="CA694" t="str">
            <v>.</v>
          </cell>
        </row>
        <row r="695">
          <cell r="CA695" t="str">
            <v>.</v>
          </cell>
        </row>
        <row r="696">
          <cell r="CA696" t="str">
            <v>.</v>
          </cell>
        </row>
        <row r="697">
          <cell r="CA697" t="str">
            <v>.</v>
          </cell>
        </row>
        <row r="698">
          <cell r="CA698" t="str">
            <v>.</v>
          </cell>
        </row>
        <row r="699">
          <cell r="CA699" t="str">
            <v>.</v>
          </cell>
        </row>
        <row r="700">
          <cell r="CA700" t="str">
            <v>.</v>
          </cell>
        </row>
        <row r="701">
          <cell r="CA701" t="str">
            <v>.</v>
          </cell>
        </row>
        <row r="702">
          <cell r="CA702" t="str">
            <v>.</v>
          </cell>
        </row>
        <row r="703">
          <cell r="CA703" t="str">
            <v>.</v>
          </cell>
        </row>
        <row r="704">
          <cell r="CA704" t="str">
            <v>.</v>
          </cell>
        </row>
        <row r="705">
          <cell r="CA705" t="str">
            <v>.</v>
          </cell>
        </row>
        <row r="706">
          <cell r="CA706" t="str">
            <v>.</v>
          </cell>
        </row>
        <row r="707">
          <cell r="CA707" t="str">
            <v>.</v>
          </cell>
        </row>
        <row r="708">
          <cell r="CA708" t="str">
            <v>.</v>
          </cell>
        </row>
        <row r="709">
          <cell r="CA709" t="str">
            <v>.</v>
          </cell>
        </row>
        <row r="710">
          <cell r="CA710" t="str">
            <v>.</v>
          </cell>
        </row>
        <row r="711">
          <cell r="CA711" t="str">
            <v>.</v>
          </cell>
        </row>
        <row r="712">
          <cell r="CA712" t="str">
            <v>.</v>
          </cell>
        </row>
        <row r="713">
          <cell r="CA713" t="str">
            <v>.</v>
          </cell>
        </row>
        <row r="714">
          <cell r="CA714" t="str">
            <v>.</v>
          </cell>
        </row>
        <row r="715">
          <cell r="CA715" t="str">
            <v>.</v>
          </cell>
        </row>
        <row r="716">
          <cell r="CA716" t="str">
            <v>.</v>
          </cell>
        </row>
        <row r="717">
          <cell r="CA717" t="str">
            <v>.</v>
          </cell>
        </row>
        <row r="718">
          <cell r="CA718" t="str">
            <v>.</v>
          </cell>
        </row>
        <row r="719">
          <cell r="CA719" t="str">
            <v>.</v>
          </cell>
        </row>
        <row r="720">
          <cell r="CA720" t="str">
            <v>.</v>
          </cell>
        </row>
        <row r="721">
          <cell r="CA721" t="str">
            <v>.</v>
          </cell>
        </row>
        <row r="722">
          <cell r="CA722" t="str">
            <v>.</v>
          </cell>
        </row>
        <row r="723">
          <cell r="CA723" t="str">
            <v>.</v>
          </cell>
        </row>
        <row r="724">
          <cell r="CA724" t="str">
            <v>.</v>
          </cell>
        </row>
        <row r="725">
          <cell r="CA725" t="str">
            <v>.</v>
          </cell>
        </row>
        <row r="726">
          <cell r="CA726" t="str">
            <v>.</v>
          </cell>
        </row>
        <row r="727">
          <cell r="CA727" t="str">
            <v>.</v>
          </cell>
        </row>
        <row r="728">
          <cell r="CA728" t="str">
            <v>.</v>
          </cell>
        </row>
        <row r="729">
          <cell r="CA729" t="str">
            <v>.</v>
          </cell>
        </row>
        <row r="730">
          <cell r="CA730" t="str">
            <v>.</v>
          </cell>
        </row>
        <row r="731">
          <cell r="CA731" t="str">
            <v>.</v>
          </cell>
        </row>
        <row r="732">
          <cell r="CA732" t="str">
            <v>.</v>
          </cell>
        </row>
        <row r="733">
          <cell r="CA733" t="str">
            <v>.</v>
          </cell>
        </row>
        <row r="734">
          <cell r="CA734" t="str">
            <v>.</v>
          </cell>
        </row>
        <row r="735">
          <cell r="CA735" t="str">
            <v>.</v>
          </cell>
        </row>
        <row r="736">
          <cell r="CA736" t="str">
            <v>.</v>
          </cell>
        </row>
        <row r="737">
          <cell r="CA737" t="str">
            <v>.</v>
          </cell>
        </row>
        <row r="738">
          <cell r="CA738" t="str">
            <v>.</v>
          </cell>
        </row>
        <row r="739">
          <cell r="CA739" t="str">
            <v>.</v>
          </cell>
        </row>
        <row r="740">
          <cell r="CA740" t="str">
            <v>.</v>
          </cell>
        </row>
        <row r="741">
          <cell r="CA741" t="str">
            <v>.</v>
          </cell>
        </row>
        <row r="742">
          <cell r="CA742" t="str">
            <v>.</v>
          </cell>
        </row>
        <row r="743">
          <cell r="CA743" t="str">
            <v>.</v>
          </cell>
        </row>
        <row r="744">
          <cell r="CA744" t="str">
            <v>.</v>
          </cell>
        </row>
        <row r="745">
          <cell r="CA745" t="str">
            <v>.</v>
          </cell>
        </row>
        <row r="746">
          <cell r="CA746" t="str">
            <v>.</v>
          </cell>
        </row>
        <row r="747">
          <cell r="CA747" t="str">
            <v>.</v>
          </cell>
        </row>
        <row r="748">
          <cell r="CA748" t="str">
            <v>.</v>
          </cell>
        </row>
        <row r="749">
          <cell r="CA749" t="str">
            <v>.</v>
          </cell>
        </row>
        <row r="750">
          <cell r="CA750" t="str">
            <v>.</v>
          </cell>
        </row>
        <row r="751">
          <cell r="CA751" t="str">
            <v>.</v>
          </cell>
        </row>
        <row r="752">
          <cell r="CA752" t="str">
            <v>.</v>
          </cell>
        </row>
        <row r="753">
          <cell r="CA753" t="str">
            <v>.</v>
          </cell>
        </row>
        <row r="754">
          <cell r="CA754" t="str">
            <v>.</v>
          </cell>
        </row>
        <row r="755">
          <cell r="CA755" t="str">
            <v>.</v>
          </cell>
        </row>
        <row r="756">
          <cell r="CA756" t="str">
            <v>.</v>
          </cell>
        </row>
        <row r="757">
          <cell r="CA757" t="str">
            <v>.</v>
          </cell>
        </row>
        <row r="758">
          <cell r="CA758" t="str">
            <v>.</v>
          </cell>
        </row>
        <row r="759">
          <cell r="CA759" t="str">
            <v>.</v>
          </cell>
        </row>
        <row r="760">
          <cell r="CA760" t="str">
            <v>.</v>
          </cell>
        </row>
        <row r="761">
          <cell r="CA761" t="str">
            <v>.</v>
          </cell>
        </row>
        <row r="762">
          <cell r="CA762" t="str">
            <v>.</v>
          </cell>
        </row>
        <row r="763">
          <cell r="CA763" t="str">
            <v>.</v>
          </cell>
        </row>
        <row r="764">
          <cell r="CA764" t="str">
            <v>.</v>
          </cell>
        </row>
        <row r="765">
          <cell r="CA765" t="str">
            <v>.</v>
          </cell>
        </row>
        <row r="766">
          <cell r="CA766" t="str">
            <v>.</v>
          </cell>
        </row>
        <row r="767">
          <cell r="CA767" t="str">
            <v>.</v>
          </cell>
        </row>
        <row r="768">
          <cell r="CA768" t="str">
            <v>.</v>
          </cell>
        </row>
        <row r="769">
          <cell r="CA769" t="str">
            <v>.</v>
          </cell>
        </row>
        <row r="770">
          <cell r="CA770" t="str">
            <v>.</v>
          </cell>
        </row>
        <row r="771">
          <cell r="CA771" t="str">
            <v>.</v>
          </cell>
        </row>
        <row r="772">
          <cell r="CA772" t="str">
            <v>.</v>
          </cell>
        </row>
        <row r="773">
          <cell r="CA773" t="str">
            <v>.</v>
          </cell>
        </row>
        <row r="774">
          <cell r="CA774" t="str">
            <v>.</v>
          </cell>
        </row>
        <row r="775">
          <cell r="CA775" t="str">
            <v>.</v>
          </cell>
        </row>
        <row r="776">
          <cell r="CA776" t="str">
            <v>.</v>
          </cell>
        </row>
        <row r="777">
          <cell r="CA777" t="str">
            <v>.</v>
          </cell>
        </row>
        <row r="778">
          <cell r="CA778" t="str">
            <v>.</v>
          </cell>
        </row>
        <row r="779">
          <cell r="CA779" t="str">
            <v>.</v>
          </cell>
        </row>
        <row r="780">
          <cell r="CA780" t="str">
            <v>.</v>
          </cell>
        </row>
        <row r="781">
          <cell r="CA781" t="str">
            <v>.</v>
          </cell>
        </row>
        <row r="782">
          <cell r="CA782" t="str">
            <v>.</v>
          </cell>
        </row>
        <row r="783">
          <cell r="CA783" t="str">
            <v>.</v>
          </cell>
        </row>
        <row r="784">
          <cell r="CA784" t="str">
            <v>.</v>
          </cell>
        </row>
        <row r="785">
          <cell r="CA785" t="str">
            <v>.</v>
          </cell>
        </row>
        <row r="786">
          <cell r="CA786" t="str">
            <v>.</v>
          </cell>
        </row>
        <row r="787">
          <cell r="CA787" t="str">
            <v>.</v>
          </cell>
        </row>
        <row r="788">
          <cell r="CA788" t="str">
            <v>.</v>
          </cell>
        </row>
        <row r="789">
          <cell r="CA789" t="str">
            <v>.</v>
          </cell>
        </row>
        <row r="790">
          <cell r="CA790" t="str">
            <v>.</v>
          </cell>
        </row>
        <row r="791">
          <cell r="CA791" t="str">
            <v>.</v>
          </cell>
        </row>
        <row r="792">
          <cell r="CA792" t="str">
            <v>.</v>
          </cell>
        </row>
        <row r="793">
          <cell r="CA793" t="str">
            <v>.</v>
          </cell>
        </row>
        <row r="794">
          <cell r="CA794" t="str">
            <v>.</v>
          </cell>
        </row>
        <row r="795">
          <cell r="CA795" t="str">
            <v>.</v>
          </cell>
        </row>
        <row r="796">
          <cell r="CA796" t="str">
            <v>.</v>
          </cell>
        </row>
        <row r="797">
          <cell r="CA797" t="str">
            <v>.</v>
          </cell>
        </row>
        <row r="798">
          <cell r="CA798" t="str">
            <v>.</v>
          </cell>
        </row>
        <row r="799">
          <cell r="CA799" t="str">
            <v>.</v>
          </cell>
        </row>
        <row r="800">
          <cell r="CA800" t="str">
            <v>.</v>
          </cell>
        </row>
        <row r="801">
          <cell r="CA801" t="str">
            <v>.</v>
          </cell>
        </row>
        <row r="802">
          <cell r="CA802" t="str">
            <v>.</v>
          </cell>
        </row>
        <row r="803">
          <cell r="CA803" t="str">
            <v>.</v>
          </cell>
        </row>
        <row r="804">
          <cell r="CA804" t="str">
            <v>.</v>
          </cell>
        </row>
        <row r="805">
          <cell r="CA805" t="str">
            <v>.</v>
          </cell>
        </row>
        <row r="806">
          <cell r="CA806" t="str">
            <v>.</v>
          </cell>
        </row>
        <row r="807">
          <cell r="CA807" t="str">
            <v>.</v>
          </cell>
        </row>
        <row r="808">
          <cell r="CA808" t="str">
            <v>.</v>
          </cell>
        </row>
        <row r="809">
          <cell r="CA809" t="str">
            <v>.</v>
          </cell>
        </row>
        <row r="810">
          <cell r="CA810" t="str">
            <v>.</v>
          </cell>
        </row>
        <row r="811">
          <cell r="CA811" t="str">
            <v>.</v>
          </cell>
        </row>
        <row r="812">
          <cell r="CA812" t="str">
            <v>.</v>
          </cell>
        </row>
        <row r="813">
          <cell r="CA813" t="str">
            <v>.</v>
          </cell>
        </row>
        <row r="814">
          <cell r="CA814" t="str">
            <v>.</v>
          </cell>
        </row>
        <row r="815">
          <cell r="CA815" t="str">
            <v>.</v>
          </cell>
        </row>
        <row r="816">
          <cell r="CA816" t="str">
            <v>.</v>
          </cell>
        </row>
        <row r="817">
          <cell r="CA817" t="str">
            <v>.</v>
          </cell>
        </row>
        <row r="818">
          <cell r="CA818" t="str">
            <v>.</v>
          </cell>
        </row>
        <row r="819">
          <cell r="CA819" t="str">
            <v>.</v>
          </cell>
        </row>
        <row r="820">
          <cell r="CA820" t="str">
            <v>.</v>
          </cell>
        </row>
        <row r="821">
          <cell r="CA821" t="str">
            <v>.</v>
          </cell>
        </row>
        <row r="822">
          <cell r="CA822" t="str">
            <v>.</v>
          </cell>
        </row>
        <row r="823">
          <cell r="CA823" t="str">
            <v>.</v>
          </cell>
        </row>
        <row r="824">
          <cell r="CA824" t="str">
            <v>.</v>
          </cell>
        </row>
        <row r="825">
          <cell r="CA825" t="str">
            <v>.</v>
          </cell>
        </row>
        <row r="826">
          <cell r="CA826" t="str">
            <v>.</v>
          </cell>
        </row>
        <row r="827">
          <cell r="CA827" t="str">
            <v>.</v>
          </cell>
        </row>
        <row r="828">
          <cell r="CA828" t="str">
            <v>.</v>
          </cell>
        </row>
        <row r="829">
          <cell r="CA829" t="str">
            <v>.</v>
          </cell>
        </row>
        <row r="830">
          <cell r="CA830" t="str">
            <v>.</v>
          </cell>
        </row>
        <row r="831">
          <cell r="CA831" t="str">
            <v>.</v>
          </cell>
        </row>
        <row r="832">
          <cell r="CA832" t="str">
            <v>.</v>
          </cell>
        </row>
        <row r="833">
          <cell r="CA833" t="str">
            <v>.</v>
          </cell>
        </row>
        <row r="834">
          <cell r="CA834" t="str">
            <v>.</v>
          </cell>
        </row>
        <row r="835">
          <cell r="CA835" t="str">
            <v>.</v>
          </cell>
        </row>
        <row r="836">
          <cell r="CA836" t="str">
            <v>.</v>
          </cell>
        </row>
        <row r="837">
          <cell r="CA837" t="str">
            <v>.</v>
          </cell>
        </row>
        <row r="838">
          <cell r="CA838" t="str">
            <v>.</v>
          </cell>
        </row>
        <row r="839">
          <cell r="CA839" t="str">
            <v>.</v>
          </cell>
        </row>
        <row r="840">
          <cell r="CA840" t="str">
            <v>.</v>
          </cell>
        </row>
        <row r="841">
          <cell r="CA841" t="str">
            <v>.</v>
          </cell>
        </row>
        <row r="842">
          <cell r="CA842" t="str">
            <v>.</v>
          </cell>
        </row>
        <row r="843">
          <cell r="CA843" t="str">
            <v>.</v>
          </cell>
        </row>
        <row r="844">
          <cell r="CA844" t="str">
            <v>.</v>
          </cell>
        </row>
        <row r="845">
          <cell r="CA845" t="str">
            <v>.</v>
          </cell>
        </row>
        <row r="846">
          <cell r="CA846" t="str">
            <v>.</v>
          </cell>
        </row>
        <row r="847">
          <cell r="CA847" t="str">
            <v>.</v>
          </cell>
        </row>
        <row r="848">
          <cell r="CA848" t="str">
            <v>.</v>
          </cell>
        </row>
        <row r="849">
          <cell r="CA849" t="str">
            <v>.</v>
          </cell>
        </row>
        <row r="850">
          <cell r="CA850" t="str">
            <v>.</v>
          </cell>
        </row>
        <row r="851">
          <cell r="CA851" t="str">
            <v>.</v>
          </cell>
        </row>
        <row r="852">
          <cell r="CA852" t="str">
            <v>.</v>
          </cell>
        </row>
        <row r="853">
          <cell r="CA853" t="str">
            <v>.</v>
          </cell>
        </row>
        <row r="854">
          <cell r="CA854" t="str">
            <v>.</v>
          </cell>
        </row>
        <row r="855">
          <cell r="CA855" t="str">
            <v>.</v>
          </cell>
        </row>
        <row r="856">
          <cell r="CA856" t="str">
            <v>.</v>
          </cell>
        </row>
        <row r="857">
          <cell r="CA857" t="str">
            <v>.</v>
          </cell>
        </row>
        <row r="858">
          <cell r="CA858" t="str">
            <v>.</v>
          </cell>
        </row>
        <row r="859">
          <cell r="CA859" t="str">
            <v>.</v>
          </cell>
        </row>
        <row r="860">
          <cell r="CA860" t="str">
            <v>.</v>
          </cell>
        </row>
        <row r="861">
          <cell r="CA861" t="str">
            <v>.</v>
          </cell>
        </row>
        <row r="862">
          <cell r="CA862" t="str">
            <v>.</v>
          </cell>
        </row>
        <row r="863">
          <cell r="CA863" t="str">
            <v>.</v>
          </cell>
        </row>
        <row r="864">
          <cell r="CA864" t="str">
            <v>.</v>
          </cell>
        </row>
        <row r="865">
          <cell r="CA865" t="str">
            <v>.</v>
          </cell>
        </row>
        <row r="866">
          <cell r="CA866" t="str">
            <v>.</v>
          </cell>
        </row>
        <row r="867">
          <cell r="CA867" t="str">
            <v>.</v>
          </cell>
        </row>
        <row r="868">
          <cell r="CA868" t="str">
            <v>.</v>
          </cell>
        </row>
        <row r="869">
          <cell r="CA869" t="str">
            <v>.</v>
          </cell>
        </row>
        <row r="870">
          <cell r="CA870" t="str">
            <v>.</v>
          </cell>
        </row>
        <row r="871">
          <cell r="CA871" t="str">
            <v>.</v>
          </cell>
        </row>
        <row r="872">
          <cell r="CA872" t="str">
            <v>.</v>
          </cell>
        </row>
        <row r="873">
          <cell r="CA873" t="str">
            <v>.</v>
          </cell>
        </row>
        <row r="874">
          <cell r="CA874" t="str">
            <v>.</v>
          </cell>
        </row>
        <row r="875">
          <cell r="CA875" t="str">
            <v>.</v>
          </cell>
        </row>
        <row r="876">
          <cell r="CA876" t="str">
            <v>.</v>
          </cell>
        </row>
        <row r="877">
          <cell r="CA877" t="str">
            <v>.</v>
          </cell>
        </row>
        <row r="878">
          <cell r="CA878" t="str">
            <v>.</v>
          </cell>
        </row>
        <row r="879">
          <cell r="CA879" t="str">
            <v>.</v>
          </cell>
        </row>
        <row r="880">
          <cell r="CA880" t="str">
            <v>.</v>
          </cell>
        </row>
        <row r="881">
          <cell r="CA881" t="str">
            <v>.</v>
          </cell>
        </row>
        <row r="882">
          <cell r="CA882" t="str">
            <v>.</v>
          </cell>
        </row>
        <row r="883">
          <cell r="CA883" t="str">
            <v>.</v>
          </cell>
        </row>
        <row r="884">
          <cell r="CA884" t="str">
            <v>.</v>
          </cell>
        </row>
        <row r="885">
          <cell r="CA885" t="str">
            <v>.</v>
          </cell>
        </row>
        <row r="886">
          <cell r="CA886" t="str">
            <v>.</v>
          </cell>
        </row>
        <row r="887">
          <cell r="CA887" t="str">
            <v>.</v>
          </cell>
        </row>
        <row r="888">
          <cell r="CA888" t="str">
            <v>.</v>
          </cell>
        </row>
        <row r="889">
          <cell r="CA889" t="str">
            <v>.</v>
          </cell>
        </row>
        <row r="890">
          <cell r="CA890" t="str">
            <v>.</v>
          </cell>
        </row>
        <row r="891">
          <cell r="CA891" t="str">
            <v>.</v>
          </cell>
        </row>
        <row r="892">
          <cell r="CA892" t="str">
            <v>.</v>
          </cell>
        </row>
        <row r="893">
          <cell r="CA893" t="str">
            <v>.</v>
          </cell>
        </row>
        <row r="894">
          <cell r="CA894" t="str">
            <v>.</v>
          </cell>
        </row>
        <row r="895">
          <cell r="CA895" t="str">
            <v>.</v>
          </cell>
        </row>
        <row r="896">
          <cell r="CA896" t="str">
            <v>.</v>
          </cell>
        </row>
        <row r="897">
          <cell r="CA897" t="str">
            <v>.</v>
          </cell>
        </row>
        <row r="898">
          <cell r="CA898" t="str">
            <v>.</v>
          </cell>
        </row>
        <row r="899">
          <cell r="CA899" t="str">
            <v>.</v>
          </cell>
        </row>
        <row r="900">
          <cell r="CA900" t="str">
            <v>.</v>
          </cell>
        </row>
        <row r="901">
          <cell r="CA901" t="str">
            <v>.</v>
          </cell>
        </row>
        <row r="902">
          <cell r="CA902" t="str">
            <v>.</v>
          </cell>
        </row>
        <row r="903">
          <cell r="CA903" t="str">
            <v>.</v>
          </cell>
        </row>
        <row r="904">
          <cell r="CA904" t="str">
            <v>.</v>
          </cell>
        </row>
        <row r="905">
          <cell r="CA905" t="str">
            <v>.</v>
          </cell>
        </row>
        <row r="906">
          <cell r="CA906" t="str">
            <v>.</v>
          </cell>
        </row>
        <row r="907">
          <cell r="CA907" t="str">
            <v>.</v>
          </cell>
        </row>
        <row r="908">
          <cell r="CA908" t="str">
            <v>.</v>
          </cell>
        </row>
        <row r="909">
          <cell r="CA909" t="str">
            <v>.</v>
          </cell>
        </row>
        <row r="910">
          <cell r="CA910" t="str">
            <v>.</v>
          </cell>
        </row>
        <row r="911">
          <cell r="CA911" t="str">
            <v>.</v>
          </cell>
        </row>
        <row r="912">
          <cell r="CA912" t="str">
            <v>.</v>
          </cell>
        </row>
        <row r="913">
          <cell r="CA913" t="str">
            <v>.</v>
          </cell>
        </row>
        <row r="914">
          <cell r="CA914" t="str">
            <v>.</v>
          </cell>
        </row>
        <row r="915">
          <cell r="CA915" t="str">
            <v>.</v>
          </cell>
        </row>
        <row r="916">
          <cell r="CA916" t="str">
            <v>.</v>
          </cell>
        </row>
        <row r="917">
          <cell r="CA917" t="str">
            <v>.</v>
          </cell>
        </row>
        <row r="918">
          <cell r="CA918" t="str">
            <v>.</v>
          </cell>
        </row>
        <row r="919">
          <cell r="CA919" t="str">
            <v>.</v>
          </cell>
        </row>
        <row r="920">
          <cell r="CA920" t="str">
            <v>.</v>
          </cell>
        </row>
        <row r="921">
          <cell r="CA921" t="str">
            <v>.</v>
          </cell>
        </row>
        <row r="922">
          <cell r="CA922" t="str">
            <v>.</v>
          </cell>
        </row>
        <row r="923">
          <cell r="CA923" t="str">
            <v>.</v>
          </cell>
        </row>
        <row r="924">
          <cell r="CA924" t="str">
            <v>.</v>
          </cell>
        </row>
        <row r="925">
          <cell r="CA925" t="str">
            <v>.</v>
          </cell>
        </row>
        <row r="926">
          <cell r="CA926" t="str">
            <v>.</v>
          </cell>
        </row>
        <row r="927">
          <cell r="CA927" t="str">
            <v>.</v>
          </cell>
        </row>
        <row r="928">
          <cell r="CA928" t="str">
            <v>.</v>
          </cell>
        </row>
        <row r="929">
          <cell r="CA929" t="str">
            <v>.</v>
          </cell>
        </row>
        <row r="930">
          <cell r="CA930" t="str">
            <v>.</v>
          </cell>
        </row>
        <row r="931">
          <cell r="CA931" t="str">
            <v>.</v>
          </cell>
        </row>
        <row r="932">
          <cell r="CA932" t="str">
            <v>.</v>
          </cell>
        </row>
        <row r="933">
          <cell r="CA933" t="str">
            <v>.</v>
          </cell>
        </row>
        <row r="934">
          <cell r="CA934" t="str">
            <v>.</v>
          </cell>
        </row>
        <row r="935">
          <cell r="CA935" t="str">
            <v>.</v>
          </cell>
        </row>
        <row r="936">
          <cell r="CA936" t="str">
            <v>.</v>
          </cell>
        </row>
        <row r="937">
          <cell r="CA937" t="str">
            <v>.</v>
          </cell>
        </row>
        <row r="938">
          <cell r="CA938" t="str">
            <v>.</v>
          </cell>
        </row>
        <row r="939">
          <cell r="CA939" t="str">
            <v>.</v>
          </cell>
        </row>
        <row r="940">
          <cell r="CA940" t="str">
            <v>.</v>
          </cell>
        </row>
        <row r="941">
          <cell r="CA941" t="str">
            <v>.</v>
          </cell>
        </row>
        <row r="942">
          <cell r="CA942" t="str">
            <v>.</v>
          </cell>
        </row>
        <row r="943">
          <cell r="CA943" t="str">
            <v>.</v>
          </cell>
        </row>
        <row r="944">
          <cell r="CA944" t="str">
            <v>.</v>
          </cell>
        </row>
        <row r="945">
          <cell r="CA945" t="str">
            <v>.</v>
          </cell>
        </row>
        <row r="946">
          <cell r="CA946" t="str">
            <v>.</v>
          </cell>
        </row>
        <row r="947">
          <cell r="CA947" t="str">
            <v>.</v>
          </cell>
        </row>
        <row r="948">
          <cell r="CA948" t="str">
            <v>.</v>
          </cell>
        </row>
        <row r="949">
          <cell r="CA949" t="str">
            <v>.</v>
          </cell>
        </row>
        <row r="950">
          <cell r="CA950" t="str">
            <v>.</v>
          </cell>
        </row>
        <row r="951">
          <cell r="CA951" t="str">
            <v>.</v>
          </cell>
        </row>
        <row r="952">
          <cell r="CA952" t="str">
            <v>.</v>
          </cell>
        </row>
        <row r="953">
          <cell r="CA953" t="str">
            <v>.</v>
          </cell>
        </row>
        <row r="954">
          <cell r="CA954" t="str">
            <v>.</v>
          </cell>
        </row>
        <row r="955">
          <cell r="CA955" t="str">
            <v>.</v>
          </cell>
        </row>
        <row r="956">
          <cell r="CA956" t="str">
            <v>.</v>
          </cell>
        </row>
        <row r="957">
          <cell r="CA957" t="str">
            <v>.</v>
          </cell>
        </row>
        <row r="958">
          <cell r="CA958" t="str">
            <v>.</v>
          </cell>
        </row>
        <row r="959">
          <cell r="CA959" t="str">
            <v>.</v>
          </cell>
        </row>
        <row r="960">
          <cell r="CA960" t="str">
            <v>.</v>
          </cell>
        </row>
        <row r="961">
          <cell r="CA961" t="str">
            <v>.</v>
          </cell>
        </row>
        <row r="962">
          <cell r="CA962" t="str">
            <v>.</v>
          </cell>
        </row>
        <row r="963">
          <cell r="CA963" t="str">
            <v>.</v>
          </cell>
        </row>
        <row r="964">
          <cell r="CA964" t="str">
            <v>.</v>
          </cell>
        </row>
        <row r="965">
          <cell r="CA965" t="str">
            <v>.</v>
          </cell>
        </row>
        <row r="966">
          <cell r="CA966" t="str">
            <v>.</v>
          </cell>
        </row>
        <row r="967">
          <cell r="CA967" t="str">
            <v>.</v>
          </cell>
        </row>
        <row r="968">
          <cell r="CA968" t="str">
            <v>.</v>
          </cell>
        </row>
        <row r="969">
          <cell r="CA969" t="str">
            <v>.</v>
          </cell>
        </row>
        <row r="970">
          <cell r="CA970" t="str">
            <v>.</v>
          </cell>
        </row>
        <row r="971">
          <cell r="CA971" t="str">
            <v>.</v>
          </cell>
        </row>
        <row r="972">
          <cell r="CA972" t="str">
            <v>.</v>
          </cell>
        </row>
        <row r="973">
          <cell r="CA973" t="str">
            <v>.</v>
          </cell>
        </row>
        <row r="974">
          <cell r="CA974" t="str">
            <v>.</v>
          </cell>
        </row>
        <row r="975">
          <cell r="CA975" t="str">
            <v>.</v>
          </cell>
        </row>
        <row r="976">
          <cell r="CA976" t="str">
            <v>.</v>
          </cell>
        </row>
        <row r="977">
          <cell r="CA977" t="str">
            <v>.</v>
          </cell>
        </row>
        <row r="978">
          <cell r="CA978" t="str">
            <v>.</v>
          </cell>
        </row>
        <row r="979">
          <cell r="CA979" t="str">
            <v>.</v>
          </cell>
        </row>
        <row r="980">
          <cell r="CA980" t="str">
            <v>.</v>
          </cell>
        </row>
        <row r="981">
          <cell r="CA981" t="str">
            <v>.</v>
          </cell>
        </row>
        <row r="982">
          <cell r="CA982" t="str">
            <v>.</v>
          </cell>
        </row>
        <row r="983">
          <cell r="CA983" t="str">
            <v>.</v>
          </cell>
        </row>
        <row r="984">
          <cell r="CA984" t="str">
            <v>.</v>
          </cell>
        </row>
        <row r="985">
          <cell r="CA985" t="str">
            <v>.</v>
          </cell>
        </row>
        <row r="986">
          <cell r="CA986" t="str">
            <v>.</v>
          </cell>
        </row>
        <row r="987">
          <cell r="CA987" t="str">
            <v>.</v>
          </cell>
        </row>
        <row r="988">
          <cell r="CA988" t="str">
            <v>.</v>
          </cell>
        </row>
        <row r="989">
          <cell r="CA989" t="str">
            <v>.</v>
          </cell>
        </row>
        <row r="990">
          <cell r="CA990" t="str">
            <v>.</v>
          </cell>
        </row>
        <row r="991">
          <cell r="CA991" t="str">
            <v>.</v>
          </cell>
        </row>
        <row r="992">
          <cell r="CA992" t="str">
            <v>.</v>
          </cell>
        </row>
        <row r="993">
          <cell r="CA993" t="str">
            <v>.</v>
          </cell>
        </row>
        <row r="994">
          <cell r="CA994" t="str">
            <v>.</v>
          </cell>
        </row>
        <row r="995">
          <cell r="CA995" t="str">
            <v>.</v>
          </cell>
        </row>
        <row r="996">
          <cell r="CA996" t="str">
            <v>.</v>
          </cell>
        </row>
        <row r="997">
          <cell r="CA997" t="str">
            <v>.</v>
          </cell>
        </row>
        <row r="998">
          <cell r="CA998" t="str">
            <v>.</v>
          </cell>
        </row>
        <row r="999">
          <cell r="A999" t="str">
            <v>.</v>
          </cell>
          <cell r="B999" t="str">
            <v>.</v>
          </cell>
          <cell r="G999" t="str">
            <v>.</v>
          </cell>
          <cell r="I999" t="str">
            <v>.</v>
          </cell>
          <cell r="W999" t="str">
            <v>.</v>
          </cell>
          <cell r="AS999" t="str">
            <v>.</v>
          </cell>
          <cell r="AT999" t="str">
            <v>.</v>
          </cell>
          <cell r="AU999" t="str">
            <v>.</v>
          </cell>
          <cell r="AV999" t="str">
            <v>.</v>
          </cell>
          <cell r="AW999" t="str">
            <v>.</v>
          </cell>
          <cell r="AX999" t="str">
            <v>.</v>
          </cell>
          <cell r="AY999" t="str">
            <v>.</v>
          </cell>
          <cell r="AZ999" t="str">
            <v>.</v>
          </cell>
          <cell r="BA999" t="str">
            <v>.</v>
          </cell>
          <cell r="BB999" t="str">
            <v>.</v>
          </cell>
          <cell r="BC999" t="str">
            <v>.</v>
          </cell>
          <cell r="BD999" t="str">
            <v>.</v>
          </cell>
          <cell r="BE999" t="str">
            <v>.</v>
          </cell>
          <cell r="BF999" t="str">
            <v>.</v>
          </cell>
          <cell r="BG999" t="str">
            <v>.</v>
          </cell>
          <cell r="BH999" t="str">
            <v>.</v>
          </cell>
          <cell r="BI999" t="str">
            <v>.</v>
          </cell>
          <cell r="BJ999" t="str">
            <v>.</v>
          </cell>
          <cell r="BK999" t="str">
            <v>.</v>
          </cell>
          <cell r="BL999" t="str">
            <v>.</v>
          </cell>
          <cell r="BM999" t="str">
            <v>.</v>
          </cell>
          <cell r="BN999" t="str">
            <v>.</v>
          </cell>
          <cell r="BO999" t="str">
            <v>.</v>
          </cell>
          <cell r="BP999" t="str">
            <v>.</v>
          </cell>
          <cell r="BQ999" t="str">
            <v>.</v>
          </cell>
          <cell r="BR999" t="str">
            <v>.</v>
          </cell>
          <cell r="BS999" t="str">
            <v>.</v>
          </cell>
          <cell r="BT999" t="str">
            <v>.</v>
          </cell>
          <cell r="BU999" t="str">
            <v>.</v>
          </cell>
          <cell r="BV999" t="str">
            <v>.</v>
          </cell>
          <cell r="BW999" t="str">
            <v>.</v>
          </cell>
          <cell r="BX999" t="str">
            <v>.</v>
          </cell>
          <cell r="BY999" t="str">
            <v>.</v>
          </cell>
          <cell r="BZ999" t="str">
            <v>.</v>
          </cell>
          <cell r="CA999" t="str">
            <v>.</v>
          </cell>
        </row>
      </sheetData>
      <sheetData sheetId="13">
        <row r="1">
          <cell r="C1" t="str">
            <v>mstag:revenueNet</v>
          </cell>
          <cell r="G1" t="str">
            <v>Total Sales % Change</v>
          </cell>
          <cell r="K1" t="str">
            <v>Operating Margin</v>
          </cell>
          <cell r="O1" t="str">
            <v>mstag:adjEpsForConsensus</v>
          </cell>
        </row>
        <row r="2">
          <cell r="C2" t="str">
            <v>Sales</v>
          </cell>
          <cell r="G2" t="str">
            <v>Sales Growth</v>
          </cell>
          <cell r="K2" t="str">
            <v>Operating Margin</v>
          </cell>
          <cell r="O2" t="str">
            <v>EPS</v>
          </cell>
        </row>
        <row r="3">
          <cell r="A3" t="str">
            <v>Name</v>
          </cell>
          <cell r="B3" t="str">
            <v>Ticker</v>
          </cell>
          <cell r="C3" t="str">
            <v>MS</v>
          </cell>
          <cell r="D3" t="str">
            <v>Cons.</v>
          </cell>
          <cell r="E3" t="str">
            <v>MS vs C</v>
          </cell>
          <cell r="G3" t="str">
            <v>MS</v>
          </cell>
          <cell r="H3" t="str">
            <v>Cons.</v>
          </cell>
          <cell r="I3" t="str">
            <v>MS vs C</v>
          </cell>
          <cell r="K3" t="str">
            <v>MS</v>
          </cell>
          <cell r="L3" t="str">
            <v>Cons.</v>
          </cell>
          <cell r="M3" t="str">
            <v>MS vs C</v>
          </cell>
          <cell r="O3" t="str">
            <v>MS</v>
          </cell>
          <cell r="P3" t="str">
            <v>Cons.</v>
          </cell>
          <cell r="Q3" t="str">
            <v>MS vs C</v>
          </cell>
          <cell r="S3" t="str">
            <v>Name</v>
          </cell>
          <cell r="T3" t="str">
            <v>Ticker</v>
          </cell>
          <cell r="U3" t="str">
            <v>Release Date</v>
          </cell>
          <cell r="V3" t="str">
            <v>Release Time</v>
          </cell>
          <cell r="W3" t="str">
            <v>Conf Call Date</v>
          </cell>
          <cell r="X3" t="str">
            <v>Conf Call Time</v>
          </cell>
          <cell r="Y3" t="str">
            <v>Confirmed/Projected</v>
          </cell>
          <cell r="AB3" t="str">
            <v>UA</v>
          </cell>
          <cell r="AC3" t="str">
            <v>JNY</v>
          </cell>
          <cell r="AD3" t="str">
            <v>RL</v>
          </cell>
          <cell r="AE3" t="str">
            <v>WRC</v>
          </cell>
          <cell r="AF3" t="str">
            <v>LIZ</v>
          </cell>
          <cell r="AG3" t="str">
            <v>PVH</v>
          </cell>
          <cell r="AH3" t="str">
            <v>GES</v>
          </cell>
          <cell r="AI3" t="str">
            <v>Group Average</v>
          </cell>
        </row>
        <row r="4">
          <cell r="A4" t="str">
            <v>3Q09</v>
          </cell>
          <cell r="S4" t="str">
            <v>Under Armour</v>
          </cell>
          <cell r="T4" t="str">
            <v>UA</v>
          </cell>
          <cell r="U4" t="str">
            <v>7:00am</v>
          </cell>
          <cell r="V4">
            <v>0</v>
          </cell>
          <cell r="W4" t="str">
            <v>7:00am</v>
          </cell>
          <cell r="X4">
            <v>0</v>
          </cell>
          <cell r="Y4" t="str">
            <v>Confirmed</v>
          </cell>
          <cell r="AA4" t="str">
            <v>Sales</v>
          </cell>
          <cell r="AB4">
            <v>214.78640832525764</v>
          </cell>
          <cell r="AC4">
            <v>866.81399336316736</v>
          </cell>
          <cell r="AD4">
            <v>1269.2502193813905</v>
          </cell>
          <cell r="AE4">
            <v>597.08067638411103</v>
          </cell>
          <cell r="AF4">
            <v>628.96346254952391</v>
          </cell>
          <cell r="AG4">
            <v>599.47275927416752</v>
          </cell>
          <cell r="AH4">
            <v>512.7152527089213</v>
          </cell>
        </row>
        <row r="5">
          <cell r="A5" t="str">
            <v>Under Armour</v>
          </cell>
          <cell r="B5" t="str">
            <v>UA</v>
          </cell>
          <cell r="C5" t="e">
            <v>#N/A</v>
          </cell>
          <cell r="D5">
            <v>214.86</v>
          </cell>
          <cell r="E5" t="e">
            <v>#N/A</v>
          </cell>
          <cell r="G5" t="e">
            <v>#N/A</v>
          </cell>
          <cell r="H5">
            <v>7.4300000000000033E-2</v>
          </cell>
          <cell r="I5" t="e">
            <v>#N/A</v>
          </cell>
          <cell r="K5" t="e">
            <v>#N/A</v>
          </cell>
          <cell r="L5">
            <v>4.3015768407335002E-2</v>
          </cell>
          <cell r="M5" t="e">
            <v>#N/A</v>
          </cell>
          <cell r="O5" t="e">
            <v>#N/A</v>
          </cell>
          <cell r="P5">
            <v>0.10034075000000001</v>
          </cell>
          <cell r="Q5" t="e">
            <v>#N/A</v>
          </cell>
          <cell r="S5" t="str">
            <v>Jones Apparel Group</v>
          </cell>
          <cell r="T5" t="str">
            <v>JNY</v>
          </cell>
          <cell r="U5" t="str">
            <v>7:00am</v>
          </cell>
          <cell r="V5">
            <v>0</v>
          </cell>
          <cell r="W5" t="str">
            <v>7:00am</v>
          </cell>
          <cell r="X5">
            <v>0</v>
          </cell>
          <cell r="Y5" t="str">
            <v>Confirmed</v>
          </cell>
          <cell r="AA5" t="str">
            <v>Sales Growth</v>
          </cell>
          <cell r="AB5">
            <v>7.3932041626288303E-2</v>
          </cell>
          <cell r="AC5">
            <v>-2.8997430981105077E-2</v>
          </cell>
          <cell r="AD5">
            <v>3.663036538826403E-2</v>
          </cell>
          <cell r="AE5">
            <v>0.11013728215637064</v>
          </cell>
          <cell r="AF5">
            <v>-0.19329011492176262</v>
          </cell>
          <cell r="AG5">
            <v>7.5432137550643708E-2</v>
          </cell>
          <cell r="AH5">
            <v>0.16208996060507874</v>
          </cell>
          <cell r="AI5">
            <v>3.3704891631968249E-2</v>
          </cell>
        </row>
        <row r="6">
          <cell r="A6" t="str">
            <v>Jones Apparel</v>
          </cell>
          <cell r="B6" t="str">
            <v>JNY</v>
          </cell>
          <cell r="C6" t="e">
            <v>#N/A</v>
          </cell>
          <cell r="D6">
            <v>864.08680000000004</v>
          </cell>
          <cell r="E6" t="e">
            <v>#N/A</v>
          </cell>
          <cell r="G6" t="e">
            <v>#N/A</v>
          </cell>
          <cell r="H6">
            <v>-3.2052425226839709E-2</v>
          </cell>
          <cell r="I6" t="e">
            <v>#N/A</v>
          </cell>
          <cell r="K6" t="e">
            <v>#N/A</v>
          </cell>
          <cell r="L6">
            <v>6.2044600148966518E-2</v>
          </cell>
          <cell r="M6" t="e">
            <v>#N/A</v>
          </cell>
          <cell r="O6" t="e">
            <v>#N/A</v>
          </cell>
          <cell r="P6">
            <v>0.3370881</v>
          </cell>
          <cell r="Q6" t="e">
            <v>#N/A</v>
          </cell>
          <cell r="S6" t="str">
            <v>Polo Ralph Lauren</v>
          </cell>
          <cell r="T6" t="str">
            <v>RL</v>
          </cell>
          <cell r="U6" t="str">
            <v>8:00am</v>
          </cell>
          <cell r="V6">
            <v>0</v>
          </cell>
          <cell r="W6" t="str">
            <v>8:00am</v>
          </cell>
          <cell r="X6">
            <v>0</v>
          </cell>
          <cell r="Y6" t="str">
            <v>Confirmed</v>
          </cell>
        </row>
        <row r="7">
          <cell r="A7" t="str">
            <v>Ralph Lauren</v>
          </cell>
          <cell r="B7" t="str">
            <v>RL</v>
          </cell>
          <cell r="C7" t="e">
            <v>#N/A</v>
          </cell>
          <cell r="D7">
            <v>1236.9849999999999</v>
          </cell>
          <cell r="E7" t="e">
            <v>#N/A</v>
          </cell>
          <cell r="G7" t="e">
            <v>#N/A</v>
          </cell>
          <cell r="H7">
            <v>1.0278503756941948E-2</v>
          </cell>
          <cell r="I7" t="e">
            <v>#N/A</v>
          </cell>
          <cell r="K7" t="e">
            <v>#N/A</v>
          </cell>
          <cell r="L7">
            <v>7.646775021524109E-2</v>
          </cell>
          <cell r="M7" t="e">
            <v>#N/A</v>
          </cell>
          <cell r="O7" t="e">
            <v>#N/A</v>
          </cell>
          <cell r="P7">
            <v>0.61383189999999999</v>
          </cell>
          <cell r="Q7" t="e">
            <v>#N/A</v>
          </cell>
          <cell r="S7" t="str">
            <v>Warnaco</v>
          </cell>
          <cell r="T7" t="str">
            <v>WRC</v>
          </cell>
          <cell r="U7" t="str">
            <v>7:30am</v>
          </cell>
          <cell r="V7">
            <v>0</v>
          </cell>
          <cell r="W7" t="str">
            <v>7:30am</v>
          </cell>
          <cell r="X7">
            <v>0</v>
          </cell>
          <cell r="Y7" t="str">
            <v>Projected</v>
          </cell>
          <cell r="AA7" t="str">
            <v>Gross Profit</v>
          </cell>
          <cell r="AB7">
            <v>101.32656205948193</v>
          </cell>
          <cell r="AC7">
            <v>307.8665876663847</v>
          </cell>
          <cell r="AD7">
            <v>723.63931521014706</v>
          </cell>
          <cell r="AE7">
            <v>263.80059562174603</v>
          </cell>
          <cell r="AF7">
            <v>318.17316651223837</v>
          </cell>
          <cell r="AG7">
            <v>296.78759848752674</v>
          </cell>
          <cell r="AH7">
            <v>221.18263057082578</v>
          </cell>
        </row>
        <row r="8">
          <cell r="A8" t="str">
            <v>Warnaco</v>
          </cell>
          <cell r="B8" t="str">
            <v>WRC</v>
          </cell>
          <cell r="C8" t="e">
            <v>#N/A</v>
          </cell>
          <cell r="D8">
            <v>576.10699999999997</v>
          </cell>
          <cell r="E8" t="e">
            <v>#N/A</v>
          </cell>
          <cell r="G8" t="e">
            <v>#N/A</v>
          </cell>
          <cell r="H8">
            <v>7.1141446218605964E-2</v>
          </cell>
          <cell r="I8" t="e">
            <v>#N/A</v>
          </cell>
          <cell r="K8" t="e">
            <v>#N/A</v>
          </cell>
          <cell r="L8">
            <v>0.13685265063607979</v>
          </cell>
          <cell r="M8" t="e">
            <v>#N/A</v>
          </cell>
          <cell r="O8" t="e">
            <v>#N/A</v>
          </cell>
          <cell r="P8">
            <v>1.0554539999999999</v>
          </cell>
          <cell r="Q8" t="e">
            <v>#N/A</v>
          </cell>
          <cell r="S8" t="str">
            <v>Liz Claiborne</v>
          </cell>
          <cell r="T8" t="str">
            <v>LIZ</v>
          </cell>
          <cell r="U8" t="str">
            <v>7:00am</v>
          </cell>
          <cell r="V8">
            <v>0</v>
          </cell>
          <cell r="W8" t="str">
            <v>7:00am</v>
          </cell>
          <cell r="X8">
            <v>0</v>
          </cell>
          <cell r="Y8" t="str">
            <v>Projected</v>
          </cell>
          <cell r="AA8" t="str">
            <v>Gross Margin</v>
          </cell>
          <cell r="AB8">
            <v>0.47175500000000004</v>
          </cell>
          <cell r="AC8">
            <v>0.35517030184513698</v>
          </cell>
          <cell r="AD8">
            <v>0.57013132963083968</v>
          </cell>
          <cell r="AE8">
            <v>0.44181733902243908</v>
          </cell>
          <cell r="AF8">
            <v>0.5058690773904625</v>
          </cell>
          <cell r="AG8">
            <v>0.49508104229268507</v>
          </cell>
          <cell r="AH8">
            <v>0.43139467648409435</v>
          </cell>
          <cell r="AI8">
            <v>0.46731696666652262</v>
          </cell>
        </row>
        <row r="9">
          <cell r="A9" t="str">
            <v>Liz Claiborne</v>
          </cell>
          <cell r="B9" t="str">
            <v>LIZ</v>
          </cell>
          <cell r="C9" t="e">
            <v>#N/A</v>
          </cell>
          <cell r="D9">
            <v>833.25</v>
          </cell>
          <cell r="E9" t="e">
            <v>#N/A</v>
          </cell>
          <cell r="G9" t="e">
            <v>#N/A</v>
          </cell>
          <cell r="H9">
            <v>6.8728235844882191E-2</v>
          </cell>
          <cell r="I9" t="e">
            <v>#N/A</v>
          </cell>
          <cell r="K9" t="e">
            <v>#N/A</v>
          </cell>
          <cell r="L9" t="str">
            <v>NA</v>
          </cell>
          <cell r="M9" t="e">
            <v>#N/A</v>
          </cell>
          <cell r="O9" t="e">
            <v>#N/A</v>
          </cell>
          <cell r="P9">
            <v>-0.19700000000000001</v>
          </cell>
          <cell r="Q9" t="e">
            <v>#N/A</v>
          </cell>
          <cell r="S9" t="str">
            <v>Phillips-Van Heusen</v>
          </cell>
          <cell r="T9" t="str">
            <v>PVH</v>
          </cell>
          <cell r="U9" t="str">
            <v>4:00pm</v>
          </cell>
          <cell r="V9">
            <v>0</v>
          </cell>
          <cell r="W9" t="e">
            <v>#VALUE!</v>
          </cell>
          <cell r="X9">
            <v>0</v>
          </cell>
          <cell r="Y9" t="str">
            <v>Confirmed</v>
          </cell>
          <cell r="AA9" t="str">
            <v>Gross Margin ∆</v>
          </cell>
          <cell r="AB9">
            <v>190.00000000000017</v>
          </cell>
          <cell r="AC9">
            <v>260.26546935474846</v>
          </cell>
          <cell r="AD9">
            <v>520.00000000000045</v>
          </cell>
          <cell r="AE9">
            <v>201.9322496706244</v>
          </cell>
          <cell r="AF9">
            <v>580.13908824475823</v>
          </cell>
          <cell r="AG9">
            <v>59.999999999999496</v>
          </cell>
          <cell r="AH9">
            <v>290.76912018465293</v>
          </cell>
          <cell r="AI9">
            <v>300.44370392211198</v>
          </cell>
        </row>
        <row r="10">
          <cell r="A10" t="str">
            <v>Phillips Van Heusen</v>
          </cell>
          <cell r="B10" t="str">
            <v>PVH</v>
          </cell>
          <cell r="C10" t="e">
            <v>#N/A</v>
          </cell>
          <cell r="D10">
            <v>582.41770000000008</v>
          </cell>
          <cell r="E10" t="e">
            <v>#N/A</v>
          </cell>
          <cell r="G10" t="e">
            <v>#N/A</v>
          </cell>
          <cell r="H10">
            <v>4.4835986904067981E-2</v>
          </cell>
          <cell r="I10" t="e">
            <v>#N/A</v>
          </cell>
          <cell r="K10" t="e">
            <v>#N/A</v>
          </cell>
          <cell r="L10">
            <v>0.12305821062787069</v>
          </cell>
          <cell r="M10" t="e">
            <v>#N/A</v>
          </cell>
          <cell r="O10" t="e">
            <v>#N/A</v>
          </cell>
          <cell r="P10">
            <v>0.73555549999999992</v>
          </cell>
          <cell r="Q10" t="e">
            <v>#N/A</v>
          </cell>
          <cell r="S10" t="str">
            <v>Guess</v>
          </cell>
          <cell r="T10" t="str">
            <v>GES</v>
          </cell>
          <cell r="U10" t="str">
            <v>4:00pm</v>
          </cell>
          <cell r="V10">
            <v>0</v>
          </cell>
          <cell r="W10" t="str">
            <v>4:00pm</v>
          </cell>
          <cell r="X10">
            <v>0</v>
          </cell>
          <cell r="Y10" t="str">
            <v>Projected</v>
          </cell>
        </row>
        <row r="11">
          <cell r="A11" t="str">
            <v>Guess</v>
          </cell>
          <cell r="B11" t="str">
            <v>GES</v>
          </cell>
          <cell r="C11" t="e">
            <v>#N/A</v>
          </cell>
          <cell r="D11">
            <v>505.16060000000004</v>
          </cell>
          <cell r="E11" t="e">
            <v>#N/A</v>
          </cell>
          <cell r="G11" t="e">
            <v>#N/A</v>
          </cell>
          <cell r="H11">
            <v>0.14496703316628956</v>
          </cell>
          <cell r="I11" t="e">
            <v>#N/A</v>
          </cell>
          <cell r="K11" t="e">
            <v>#N/A</v>
          </cell>
          <cell r="L11">
            <v>0.13145639228395881</v>
          </cell>
          <cell r="M11" t="e">
            <v>#N/A</v>
          </cell>
          <cell r="O11" t="e">
            <v>#N/A</v>
          </cell>
          <cell r="P11">
            <v>0.48545459999999996</v>
          </cell>
          <cell r="Q11" t="e">
            <v>#N/A</v>
          </cell>
          <cell r="AA11" t="str">
            <v>SG&amp;A</v>
          </cell>
          <cell r="AB11">
            <v>91.201999999999998</v>
          </cell>
          <cell r="AC11">
            <v>242.72567459367625</v>
          </cell>
          <cell r="AD11">
            <v>617.58926113190068</v>
          </cell>
          <cell r="AE11">
            <v>179.21286391771531</v>
          </cell>
          <cell r="AF11">
            <v>349.54764148875796</v>
          </cell>
          <cell r="AG11">
            <v>225.35576</v>
          </cell>
          <cell r="AH11">
            <v>152.75932179216377</v>
          </cell>
        </row>
        <row r="12">
          <cell r="AA12" t="str">
            <v>SG&amp;A Growth</v>
          </cell>
          <cell r="AB12">
            <v>0.10340572258181591</v>
          </cell>
          <cell r="AC12">
            <v>-7.6710589627362324E-3</v>
          </cell>
          <cell r="AD12">
            <v>0.18607501657749315</v>
          </cell>
          <cell r="AE12">
            <v>0.18480010523413548</v>
          </cell>
          <cell r="AF12">
            <v>-0.11021486466988772</v>
          </cell>
          <cell r="AG12">
            <v>3.0000000000000027E-2</v>
          </cell>
          <cell r="AH12">
            <v>0.17989110746328296</v>
          </cell>
          <cell r="AI12">
            <v>8.0898004032014789E-2</v>
          </cell>
        </row>
        <row r="13">
          <cell r="A13" t="str">
            <v>4Q09</v>
          </cell>
          <cell r="AA13" t="str">
            <v>Expense Ratio</v>
          </cell>
          <cell r="AB13">
            <v>0.42461718463064951</v>
          </cell>
          <cell r="AC13">
            <v>0.28002048473158642</v>
          </cell>
          <cell r="AD13">
            <v>0.4865780219702483</v>
          </cell>
          <cell r="AE13">
            <v>0.30014849082542566</v>
          </cell>
          <cell r="AF13">
            <v>0.55575190341240999</v>
          </cell>
          <cell r="AG13">
            <v>0.37592327009630483</v>
          </cell>
          <cell r="AH13">
            <v>0.29794183220620568</v>
          </cell>
          <cell r="AI13">
            <v>0.3887115982675472</v>
          </cell>
        </row>
        <row r="14">
          <cell r="A14" t="str">
            <v>Under Armour</v>
          </cell>
          <cell r="B14" t="str">
            <v>UA</v>
          </cell>
          <cell r="C14" t="e">
            <v>#N/A</v>
          </cell>
          <cell r="D14">
            <v>187.67500000000001</v>
          </cell>
          <cell r="E14" t="e">
            <v>#N/A</v>
          </cell>
          <cell r="G14" t="e">
            <v>#N/A</v>
          </cell>
          <cell r="H14">
            <v>4.6832032753417963E-2</v>
          </cell>
          <cell r="I14" t="e">
            <v>#N/A</v>
          </cell>
          <cell r="K14" t="e">
            <v>#N/A</v>
          </cell>
          <cell r="L14">
            <v>2.0807481017716796E-2</v>
          </cell>
          <cell r="M14" t="e">
            <v>#N/A</v>
          </cell>
          <cell r="O14" t="e">
            <v>#N/A</v>
          </cell>
          <cell r="P14">
            <v>3.6795920000000003E-2</v>
          </cell>
          <cell r="Q14" t="e">
            <v>#N/A</v>
          </cell>
          <cell r="AA14" t="str">
            <v>Expense Ratio ∆</v>
          </cell>
          <cell r="AB14">
            <v>113.4218463064951</v>
          </cell>
          <cell r="AC14">
            <v>60.179853506112103</v>
          </cell>
          <cell r="AD14">
            <v>613.08502205465516</v>
          </cell>
          <cell r="AE14">
            <v>189.14527073854603</v>
          </cell>
          <cell r="AF14">
            <v>518.8806445593508</v>
          </cell>
          <cell r="AG14">
            <v>-165.81551180100129</v>
          </cell>
          <cell r="AH14">
            <v>44.950811788961317</v>
          </cell>
          <cell r="AI14">
            <v>196.2639910218742</v>
          </cell>
        </row>
        <row r="15">
          <cell r="A15" t="str">
            <v>Jones Apparel</v>
          </cell>
          <cell r="B15" t="str">
            <v>JNY</v>
          </cell>
          <cell r="C15" t="e">
            <v>#N/A</v>
          </cell>
          <cell r="D15">
            <v>798.6</v>
          </cell>
          <cell r="E15" t="e">
            <v>#N/A</v>
          </cell>
          <cell r="G15" t="e">
            <v>#N/A</v>
          </cell>
          <cell r="H15">
            <v>-5.8032554847841422E-2</v>
          </cell>
          <cell r="I15" t="e">
            <v>#N/A</v>
          </cell>
          <cell r="K15" t="e">
            <v>#N/A</v>
          </cell>
          <cell r="L15">
            <v>2.8737791134485349E-2</v>
          </cell>
          <cell r="M15" t="e">
            <v>#N/A</v>
          </cell>
          <cell r="O15" t="e">
            <v>#N/A</v>
          </cell>
          <cell r="P15">
            <v>8.1000000000000003E-2</v>
          </cell>
          <cell r="Q15" t="e">
            <v>#N/A</v>
          </cell>
        </row>
        <row r="16">
          <cell r="A16" t="str">
            <v>Ralph Lauren</v>
          </cell>
          <cell r="B16" t="str">
            <v>RL</v>
          </cell>
          <cell r="C16" t="e">
            <v>#N/A</v>
          </cell>
          <cell r="D16">
            <v>1108.462</v>
          </cell>
          <cell r="E16" t="e">
            <v>#N/A</v>
          </cell>
          <cell r="G16" t="e">
            <v>#N/A</v>
          </cell>
          <cell r="H16">
            <v>-0.10888174290537811</v>
          </cell>
          <cell r="I16" t="e">
            <v>#N/A</v>
          </cell>
          <cell r="K16" t="e">
            <v>#N/A</v>
          </cell>
          <cell r="L16">
            <v>0.112385900463886</v>
          </cell>
          <cell r="M16" t="e">
            <v>#N/A</v>
          </cell>
          <cell r="O16" t="e">
            <v>#N/A</v>
          </cell>
          <cell r="P16">
            <v>0.82237299999999991</v>
          </cell>
          <cell r="Q16" t="e">
            <v>#N/A</v>
          </cell>
          <cell r="AA16" t="str">
            <v>Operating Income</v>
          </cell>
          <cell r="AB16">
            <v>10.124562059481931</v>
          </cell>
          <cell r="AC16">
            <v>65.140913072708457</v>
          </cell>
          <cell r="AD16">
            <v>100.75005407824642</v>
          </cell>
          <cell r="AE16">
            <v>81.937834011523449</v>
          </cell>
          <cell r="AF16">
            <v>-31.374474976519593</v>
          </cell>
          <cell r="AG16">
            <v>71.431838487526733</v>
          </cell>
          <cell r="AH16">
            <v>68.423308778662005</v>
          </cell>
        </row>
        <row r="17">
          <cell r="A17" t="str">
            <v>Warnaco</v>
          </cell>
          <cell r="B17" t="str">
            <v>WRC</v>
          </cell>
          <cell r="C17" t="e">
            <v>#N/A</v>
          </cell>
          <cell r="D17">
            <v>0.10290132050622826</v>
          </cell>
          <cell r="E17" t="e">
            <v>#N/A</v>
          </cell>
          <cell r="G17" t="e">
            <v>#N/A</v>
          </cell>
          <cell r="H17">
            <v>-0.99976890544669572</v>
          </cell>
          <cell r="I17" t="e">
            <v>#N/A</v>
          </cell>
          <cell r="K17" t="e">
            <v>#N/A</v>
          </cell>
          <cell r="L17">
            <v>15</v>
          </cell>
          <cell r="M17" t="e">
            <v>#N/A</v>
          </cell>
          <cell r="O17" t="e">
            <v>#N/A</v>
          </cell>
          <cell r="P17">
            <v>6.2026000000000039</v>
          </cell>
          <cell r="Q17" t="e">
            <v>#N/A</v>
          </cell>
          <cell r="AA17" t="str">
            <v>Operating Margin</v>
          </cell>
          <cell r="AB17">
            <v>4.7137815369350543E-2</v>
          </cell>
          <cell r="AC17">
            <v>7.5149817113550565E-2</v>
          </cell>
          <cell r="AD17">
            <v>7.9377614074670144E-2</v>
          </cell>
          <cell r="AE17">
            <v>0.13723075834196249</v>
          </cell>
          <cell r="AF17">
            <v>-4.9882826021947498E-2</v>
          </cell>
          <cell r="AG17">
            <v>0.11915777219638023</v>
          </cell>
          <cell r="AH17">
            <v>0.13345284427788864</v>
          </cell>
          <cell r="AI17">
            <v>7.7374827907407878E-2</v>
          </cell>
        </row>
        <row r="18">
          <cell r="A18" t="str">
            <v>Liz Claiborne</v>
          </cell>
          <cell r="B18" t="str">
            <v>LIZ</v>
          </cell>
          <cell r="C18">
            <v>829.95670917128177</v>
          </cell>
          <cell r="D18">
            <v>586.43330000000003</v>
          </cell>
          <cell r="E18">
            <v>0.41526190475759428</v>
          </cell>
          <cell r="G18">
            <v>-9.9423699661363663E-2</v>
          </cell>
          <cell r="H18">
            <v>-0.35639741300499461</v>
          </cell>
          <cell r="I18">
            <v>2569.7371334363097</v>
          </cell>
          <cell r="K18">
            <v>-2.3757520567743219E-3</v>
          </cell>
          <cell r="L18">
            <v>-2.6772013117263294E-2</v>
          </cell>
          <cell r="M18">
            <v>243.9626106048897</v>
          </cell>
          <cell r="O18">
            <v>-9.6899689599035332E-2</v>
          </cell>
          <cell r="P18">
            <v>-0.28250000000000003</v>
          </cell>
          <cell r="Q18">
            <v>0.1856003104009647</v>
          </cell>
          <cell r="AA18" t="str">
            <v>Operating Margin ∆</v>
          </cell>
          <cell r="AB18">
            <v>76.578153693505413</v>
          </cell>
          <cell r="AC18">
            <v>200.08561584863631</v>
          </cell>
          <cell r="AD18">
            <v>-92.372176796585023</v>
          </cell>
          <cell r="AE18">
            <v>12.786978932077808</v>
          </cell>
          <cell r="AF18">
            <v>61.258443685408075</v>
          </cell>
          <cell r="AG18">
            <v>225.81551180100053</v>
          </cell>
          <cell r="AH18">
            <v>245.81830839569164</v>
          </cell>
          <cell r="AI18">
            <v>104.28154793710496</v>
          </cell>
        </row>
        <row r="19">
          <cell r="A19" t="str">
            <v>Phillips Van Heusen</v>
          </cell>
          <cell r="B19" t="str">
            <v>PVH</v>
          </cell>
          <cell r="C19" t="e">
            <v>#N/A</v>
          </cell>
          <cell r="D19">
            <v>576.50450000000001</v>
          </cell>
          <cell r="E19" t="e">
            <v>#N/A</v>
          </cell>
          <cell r="G19" t="e">
            <v>#N/A</v>
          </cell>
          <cell r="H19">
            <v>2.7115458278771154E-2</v>
          </cell>
          <cell r="I19" t="e">
            <v>#N/A</v>
          </cell>
          <cell r="K19" t="e">
            <v>#N/A</v>
          </cell>
          <cell r="L19">
            <v>0.12509456561050261</v>
          </cell>
          <cell r="M19" t="e">
            <v>#N/A</v>
          </cell>
          <cell r="O19" t="e">
            <v>#N/A</v>
          </cell>
          <cell r="P19">
            <v>0.68888879999999997</v>
          </cell>
          <cell r="Q19" t="e">
            <v>#N/A</v>
          </cell>
        </row>
        <row r="20">
          <cell r="A20" t="str">
            <v>Guess</v>
          </cell>
          <cell r="B20" t="str">
            <v>GES</v>
          </cell>
          <cell r="C20">
            <v>617.47692860256416</v>
          </cell>
          <cell r="D20">
            <v>590.62139999999999</v>
          </cell>
          <cell r="E20">
            <v>4.5469955207454671E-2</v>
          </cell>
          <cell r="G20">
            <v>0.10053456538856853</v>
          </cell>
          <cell r="H20">
            <v>5.2669720355748684E-2</v>
          </cell>
          <cell r="I20">
            <v>478.64845032819846</v>
          </cell>
          <cell r="K20">
            <v>0.1883119414517091</v>
          </cell>
          <cell r="L20">
            <v>0.18074387416371979</v>
          </cell>
          <cell r="M20">
            <v>75.680672879893109</v>
          </cell>
          <cell r="O20">
            <v>0.84066480668887278</v>
          </cell>
          <cell r="P20">
            <v>0.77545449999999994</v>
          </cell>
          <cell r="Q20">
            <v>6.5210306688872843E-2</v>
          </cell>
          <cell r="AA20" t="str">
            <v>EPS</v>
          </cell>
          <cell r="AB20">
            <v>0.10824466868765577</v>
          </cell>
          <cell r="AC20">
            <v>0.38370956721072103</v>
          </cell>
          <cell r="AD20">
            <v>0.63294858177896596</v>
          </cell>
          <cell r="AE20">
            <v>1.0792630922177753</v>
          </cell>
          <cell r="AF20">
            <v>-0.40562658531416712</v>
          </cell>
          <cell r="AG20">
            <v>0.55991220629973937</v>
          </cell>
          <cell r="AH20">
            <v>0.5042002207324322</v>
          </cell>
        </row>
        <row r="21">
          <cell r="AA21" t="str">
            <v>EPS Growth</v>
          </cell>
          <cell r="AB21">
            <v>0</v>
          </cell>
          <cell r="AC21">
            <v>0.36798361325009821</v>
          </cell>
          <cell r="AD21">
            <v>0.18607501657749315</v>
          </cell>
          <cell r="AE21">
            <v>0.11505908224347494</v>
          </cell>
          <cell r="AF21">
            <v>8.8453585105013444E-2</v>
          </cell>
          <cell r="AG21">
            <v>5.1789170036681265E-2</v>
          </cell>
          <cell r="AH21">
            <v>0.43586015999772165</v>
          </cell>
          <cell r="AI21">
            <v>0.17788866103006895</v>
          </cell>
        </row>
        <row r="22">
          <cell r="A22">
            <v>2009</v>
          </cell>
        </row>
        <row r="23">
          <cell r="A23" t="str">
            <v>Under Armour</v>
          </cell>
          <cell r="B23" t="str">
            <v>UA</v>
          </cell>
          <cell r="C23">
            <v>955.61670873865933</v>
          </cell>
          <cell r="D23">
            <v>953.822</v>
          </cell>
          <cell r="E23">
            <v>1.8815971309733559E-3</v>
          </cell>
          <cell r="G23">
            <v>0.11583890064310176</v>
          </cell>
          <cell r="H23">
            <v>0.31470985527222606</v>
          </cell>
          <cell r="I23">
            <v>-1988.709546291243</v>
          </cell>
          <cell r="K23">
            <v>9.9650993469039648E-2</v>
          </cell>
          <cell r="L23">
            <v>9.9845065431495614E-2</v>
          </cell>
          <cell r="M23">
            <v>-1.9407196245596614</v>
          </cell>
          <cell r="O23">
            <v>1.0485101164267066</v>
          </cell>
          <cell r="P23">
            <v>1.0471139999999999</v>
          </cell>
          <cell r="Q23">
            <v>1.3961164267066728E-3</v>
          </cell>
        </row>
        <row r="24">
          <cell r="A24" t="str">
            <v>Jones Apparel</v>
          </cell>
          <cell r="B24" t="str">
            <v>JNY</v>
          </cell>
          <cell r="C24">
            <v>3407.1067162675386</v>
          </cell>
          <cell r="D24">
            <v>3381.18</v>
          </cell>
          <cell r="E24">
            <v>7.6679491383300213E-3</v>
          </cell>
          <cell r="G24">
            <v>2.3032283289556199E-2</v>
          </cell>
          <cell r="H24">
            <v>1.5247417727600077E-2</v>
          </cell>
          <cell r="I24">
            <v>77.848655619561228</v>
          </cell>
          <cell r="K24">
            <v>7.1075925880296348E-2</v>
          </cell>
          <cell r="L24">
            <v>6.9552345630815277E-2</v>
          </cell>
          <cell r="M24">
            <v>15.235802494810713</v>
          </cell>
          <cell r="O24">
            <v>1.3645274997482593</v>
          </cell>
          <cell r="P24">
            <v>1.3541859999999999</v>
          </cell>
          <cell r="Q24">
            <v>1.0341499748259375E-2</v>
          </cell>
        </row>
        <row r="25">
          <cell r="A25" t="str">
            <v>Ralph Lauren</v>
          </cell>
          <cell r="B25" t="str">
            <v>RL</v>
          </cell>
          <cell r="C25">
            <v>4911.05021938139</v>
          </cell>
          <cell r="D25">
            <v>4875.2759999999998</v>
          </cell>
          <cell r="E25">
            <v>7.3378859743304936E-3</v>
          </cell>
          <cell r="G25">
            <v>-2.1488728729125883E-2</v>
          </cell>
          <cell r="H25">
            <v>-2.8616629141843819E-2</v>
          </cell>
          <cell r="I25">
            <v>71.279004127179363</v>
          </cell>
          <cell r="K25">
            <v>0.13230368761329642</v>
          </cell>
          <cell r="L25">
            <v>0.13159769826364703</v>
          </cell>
          <cell r="M25">
            <v>7.0598934964938298</v>
          </cell>
          <cell r="O25">
            <v>4.3340293193425694</v>
          </cell>
          <cell r="P25">
            <v>4.2647000000000004</v>
          </cell>
          <cell r="Q25">
            <v>6.9329319342569029E-2</v>
          </cell>
        </row>
        <row r="26">
          <cell r="A26" t="str">
            <v>Warnaco</v>
          </cell>
          <cell r="B26" t="str">
            <v>WRC</v>
          </cell>
          <cell r="C26">
            <v>2019.626</v>
          </cell>
          <cell r="D26">
            <v>2178.1950000000002</v>
          </cell>
          <cell r="E26">
            <v>-7.2798349091793946E-2</v>
          </cell>
          <cell r="G26">
            <v>-2.0953060548784763E-2</v>
          </cell>
          <cell r="H26">
            <v>5.591587169007517E-2</v>
          </cell>
          <cell r="I26">
            <v>-768.68932238859929</v>
          </cell>
          <cell r="K26">
            <v>0.11270849157220193</v>
          </cell>
          <cell r="L26">
            <v>0.11457160630705698</v>
          </cell>
          <cell r="M26">
            <v>-18.63114734855051</v>
          </cell>
          <cell r="O26">
            <v>2.8241511390163154</v>
          </cell>
          <cell r="P26">
            <v>3.2527269999999997</v>
          </cell>
          <cell r="Q26">
            <v>-0.42857586098368428</v>
          </cell>
        </row>
        <row r="27">
          <cell r="A27" t="str">
            <v>Liz Claiborne</v>
          </cell>
          <cell r="B27" t="str">
            <v>LIZ</v>
          </cell>
          <cell r="C27">
            <v>3011.8590000000004</v>
          </cell>
          <cell r="D27">
            <v>2703.2330000000002</v>
          </cell>
          <cell r="E27">
            <v>0.11416921885756803</v>
          </cell>
          <cell r="G27">
            <v>-0.24419076193253286</v>
          </cell>
          <cell r="H27">
            <v>-0.32163873738816018</v>
          </cell>
          <cell r="I27">
            <v>774.47975455627318</v>
          </cell>
          <cell r="K27">
            <v>-4.5223896603393245E-2</v>
          </cell>
          <cell r="L27">
            <v>4.7474017223080658E-3</v>
          </cell>
          <cell r="M27">
            <v>-499.71298325701309</v>
          </cell>
          <cell r="O27">
            <v>-1.4655063139449973</v>
          </cell>
          <cell r="P27">
            <v>-0.43044179999999999</v>
          </cell>
          <cell r="Q27">
            <v>-1.0350645139449974</v>
          </cell>
        </row>
        <row r="28">
          <cell r="A28" t="str">
            <v>Phillips Van Heusen</v>
          </cell>
          <cell r="B28" t="str">
            <v>PVH</v>
          </cell>
          <cell r="C28">
            <v>3749.1064498860405</v>
          </cell>
          <cell r="D28">
            <v>3066.89</v>
          </cell>
          <cell r="E28">
            <v>0.22244568598353398</v>
          </cell>
          <cell r="G28">
            <v>0.56295409943259211</v>
          </cell>
          <cell r="H28">
            <v>0.27854686498819592</v>
          </cell>
          <cell r="I28">
            <v>2844.0723444439618</v>
          </cell>
          <cell r="K28">
            <v>0.12811321863881991</v>
          </cell>
          <cell r="L28">
            <v>0.12899083436314965</v>
          </cell>
          <cell r="M28">
            <v>-8.7761572432973338</v>
          </cell>
          <cell r="O28">
            <v>3.6497830573148669</v>
          </cell>
          <cell r="P28">
            <v>3.4630000000000001</v>
          </cell>
          <cell r="Q28">
            <v>0.18678305731486677</v>
          </cell>
        </row>
        <row r="29">
          <cell r="A29" t="str">
            <v>Guess</v>
          </cell>
          <cell r="B29" t="str">
            <v>GES</v>
          </cell>
          <cell r="C29">
            <v>2339.5358472059361</v>
          </cell>
          <cell r="D29">
            <v>2363.75</v>
          </cell>
          <cell r="E29">
            <v>-1.0243956761105788E-2</v>
          </cell>
          <cell r="G29">
            <v>9.9165242576548573E-2</v>
          </cell>
          <cell r="H29">
            <v>0.11054158252938984</v>
          </cell>
          <cell r="I29">
            <v>-113.76339952841263</v>
          </cell>
          <cell r="K29">
            <v>0.1733295159390906</v>
          </cell>
          <cell r="L29">
            <v>0.17557652035959809</v>
          </cell>
          <cell r="M29">
            <v>-22.470044205074867</v>
          </cell>
          <cell r="O29">
            <v>2.9820721986947794</v>
          </cell>
          <cell r="P29">
            <v>3.0154540000000001</v>
          </cell>
          <cell r="Q29">
            <v>-3.3381801305220726E-2</v>
          </cell>
        </row>
        <row r="30">
          <cell r="A30" t="str">
            <v>Q2E2009E</v>
          </cell>
        </row>
        <row r="31">
          <cell r="A31" t="str">
            <v>Q3E2009E</v>
          </cell>
        </row>
        <row r="32">
          <cell r="A32" t="str">
            <v>Q4E2009E</v>
          </cell>
        </row>
      </sheetData>
      <sheetData sheetId="14"/>
      <sheetData sheetId="15">
        <row r="2">
          <cell r="A2" t="str">
            <v>Comps - 1H vs 2H</v>
          </cell>
        </row>
        <row r="4">
          <cell r="A4" t="str">
            <v>All</v>
          </cell>
        </row>
        <row r="5">
          <cell r="B5">
            <v>2005</v>
          </cell>
          <cell r="C5">
            <v>2006</v>
          </cell>
          <cell r="D5">
            <v>2007</v>
          </cell>
          <cell r="E5">
            <v>2008</v>
          </cell>
          <cell r="F5">
            <v>2009</v>
          </cell>
        </row>
        <row r="6">
          <cell r="A6" t="str">
            <v>1H Average</v>
          </cell>
          <cell r="B6">
            <v>7.343394807078546E-2</v>
          </cell>
          <cell r="C6">
            <v>3.6103699295473378E-2</v>
          </cell>
          <cell r="D6">
            <v>3.5750000000000004E-2</v>
          </cell>
          <cell r="E6">
            <v>-6.4642857142857158E-3</v>
          </cell>
          <cell r="F6">
            <v>-7.9104931190213501E-2</v>
          </cell>
          <cell r="I6" t="str">
            <v>adjust for COH, TJX</v>
          </cell>
        </row>
        <row r="7">
          <cell r="A7" t="str">
            <v>2H Average</v>
          </cell>
          <cell r="B7">
            <v>6.6390123171896021E-2</v>
          </cell>
          <cell r="C7">
            <v>5.727112891066783E-2</v>
          </cell>
          <cell r="D7">
            <v>1.8832722098564406E-2</v>
          </cell>
          <cell r="E7">
            <v>-7.3265786902211694E-2</v>
          </cell>
          <cell r="F7">
            <v>-3.1323701477169409E-3</v>
          </cell>
        </row>
        <row r="10">
          <cell r="A10" t="str">
            <v>Inventory performance - Gross Margin perf</v>
          </cell>
        </row>
        <row r="11">
          <cell r="B11">
            <v>2005</v>
          </cell>
          <cell r="C11">
            <v>2006</v>
          </cell>
          <cell r="D11">
            <v>2007</v>
          </cell>
          <cell r="E11">
            <v>2008</v>
          </cell>
          <cell r="F11">
            <v>2009</v>
          </cell>
        </row>
        <row r="12">
          <cell r="A12" t="str">
            <v>Avg. y/y inventory change</v>
          </cell>
          <cell r="B12">
            <v>5.7284524754549301E-2</v>
          </cell>
          <cell r="C12">
            <v>0.16859864286702</v>
          </cell>
          <cell r="D12">
            <v>-3.0164244389156207E-2</v>
          </cell>
          <cell r="E12">
            <v>-8.3614642141829371E-2</v>
          </cell>
          <cell r="F12">
            <v>-8.9823836642227775E-2</v>
          </cell>
          <cell r="G12" t="str">
            <v>inv</v>
          </cell>
        </row>
        <row r="13">
          <cell r="A13" t="str">
            <v>Avg. GM change, bps</v>
          </cell>
          <cell r="B13">
            <v>-46.259275288913322</v>
          </cell>
          <cell r="C13">
            <v>43.577692302823763</v>
          </cell>
          <cell r="D13">
            <v>2.0201815697073249</v>
          </cell>
          <cell r="E13">
            <v>-136.05015774008214</v>
          </cell>
          <cell r="F13">
            <v>115.57467902423799</v>
          </cell>
          <cell r="G13" t="str">
            <v>gm chg</v>
          </cell>
        </row>
        <row r="14">
          <cell r="B14">
            <v>2005</v>
          </cell>
          <cell r="C14">
            <v>2006</v>
          </cell>
          <cell r="D14">
            <v>2007</v>
          </cell>
          <cell r="E14">
            <v>2008</v>
          </cell>
          <cell r="F14">
            <v>2009</v>
          </cell>
        </row>
        <row r="15">
          <cell r="A15" t="str">
            <v>Avg. y/y inventory change - dept store</v>
          </cell>
          <cell r="B15">
            <v>6.4354638711914907E-4</v>
          </cell>
          <cell r="C15">
            <v>0.22375429462687266</v>
          </cell>
          <cell r="D15">
            <v>-7.9138376331201309E-3</v>
          </cell>
          <cell r="E15">
            <v>-0.11582389939374201</v>
          </cell>
          <cell r="F15">
            <v>-7.9383150790566556E-2</v>
          </cell>
          <cell r="G15" t="str">
            <v>inv</v>
          </cell>
        </row>
        <row r="16">
          <cell r="A16" t="str">
            <v>Avg. GM change, bps</v>
          </cell>
          <cell r="B16">
            <v>-20.136216979536993</v>
          </cell>
          <cell r="C16">
            <v>74.57171959282671</v>
          </cell>
          <cell r="D16">
            <v>3.9521848350601987</v>
          </cell>
          <cell r="E16">
            <v>-154.32368383100911</v>
          </cell>
          <cell r="F16">
            <v>191.11845927863604</v>
          </cell>
          <cell r="G16" t="str">
            <v>gm chg</v>
          </cell>
        </row>
        <row r="17">
          <cell r="B17">
            <v>2005</v>
          </cell>
          <cell r="C17">
            <v>2006</v>
          </cell>
          <cell r="D17">
            <v>2007</v>
          </cell>
          <cell r="E17">
            <v>2008</v>
          </cell>
          <cell r="F17">
            <v>2009</v>
          </cell>
        </row>
        <row r="18">
          <cell r="A18" t="str">
            <v>Avg. y/y inventory change - spec</v>
          </cell>
          <cell r="B18">
            <v>0.11392550312197945</v>
          </cell>
          <cell r="C18">
            <v>0.11344299110716731</v>
          </cell>
          <cell r="D18">
            <v>-5.2414651145192281E-2</v>
          </cell>
          <cell r="E18">
            <v>-5.140538488991675E-2</v>
          </cell>
          <cell r="F18">
            <v>-0.10026452249388899</v>
          </cell>
          <cell r="G18" t="str">
            <v>inv</v>
          </cell>
        </row>
        <row r="19">
          <cell r="A19" t="str">
            <v>Avg. GM change, bps</v>
          </cell>
          <cell r="B19">
            <v>-72.382333598289662</v>
          </cell>
          <cell r="C19">
            <v>12.583665012820811</v>
          </cell>
          <cell r="D19">
            <v>8.8178304354443071E-2</v>
          </cell>
          <cell r="E19">
            <v>-117.77663164915512</v>
          </cell>
          <cell r="F19">
            <v>40.030898769839915</v>
          </cell>
          <cell r="G19" t="str">
            <v>gm chg</v>
          </cell>
        </row>
        <row r="24">
          <cell r="A24" t="str">
            <v>Gross margins over past five years: peak (shaded), trough (outlined)</v>
          </cell>
        </row>
        <row r="25">
          <cell r="B25" t="str">
            <v>High</v>
          </cell>
          <cell r="C25" t="str">
            <v>Low</v>
          </cell>
        </row>
        <row r="27">
          <cell r="B27">
            <v>2005</v>
          </cell>
          <cell r="C27">
            <v>2006</v>
          </cell>
          <cell r="D27">
            <v>2007</v>
          </cell>
          <cell r="E27">
            <v>2008</v>
          </cell>
          <cell r="F27">
            <v>2009</v>
          </cell>
          <cell r="G27">
            <v>2010</v>
          </cell>
          <cell r="I27" t="str">
            <v>max</v>
          </cell>
          <cell r="J27" t="str">
            <v>min</v>
          </cell>
          <cell r="K27" t="str">
            <v>2010 vs peak</v>
          </cell>
        </row>
        <row r="28">
          <cell r="A28" t="str">
            <v>JCP</v>
          </cell>
          <cell r="B28">
            <v>0.3828337149246579</v>
          </cell>
          <cell r="C28">
            <v>0.39235117686260546</v>
          </cell>
          <cell r="D28">
            <v>0.38593358921258969</v>
          </cell>
          <cell r="E28">
            <v>0.37411138446832803</v>
          </cell>
          <cell r="F28">
            <v>0.39356446279921997</v>
          </cell>
          <cell r="G28">
            <v>0.39605323146481297</v>
          </cell>
          <cell r="I28">
            <v>0.39605323146481297</v>
          </cell>
          <cell r="J28">
            <v>0.37411138446832803</v>
          </cell>
          <cell r="K28">
            <v>0</v>
          </cell>
        </row>
        <row r="29">
          <cell r="A29" t="str">
            <v>JWN</v>
          </cell>
          <cell r="B29">
            <v>0.36705055232607831</v>
          </cell>
          <cell r="C29">
            <v>0.37458966546886718</v>
          </cell>
          <cell r="D29">
            <v>0.37400380207376371</v>
          </cell>
          <cell r="E29">
            <v>0.34513532746351461</v>
          </cell>
          <cell r="F29">
            <v>0.35480745943327685</v>
          </cell>
          <cell r="G29">
            <v>0.36371218664159566</v>
          </cell>
          <cell r="I29">
            <v>0.37458966546886718</v>
          </cell>
          <cell r="J29">
            <v>0.34513532746351461</v>
          </cell>
          <cell r="K29">
            <v>-108.77478827271526</v>
          </cell>
        </row>
        <row r="30">
          <cell r="A30" t="str">
            <v>KSS</v>
          </cell>
          <cell r="B30">
            <v>0.35521033860112516</v>
          </cell>
          <cell r="C30">
            <v>0.3636492487376406</v>
          </cell>
          <cell r="D30">
            <v>0.36507281302925265</v>
          </cell>
          <cell r="E30">
            <v>0.36947488849160115</v>
          </cell>
          <cell r="F30">
            <v>0.37823834196891193</v>
          </cell>
          <cell r="G30">
            <v>0.38389063407855639</v>
          </cell>
          <cell r="I30">
            <v>0.38389063407855639</v>
          </cell>
          <cell r="J30">
            <v>0.35521033860112516</v>
          </cell>
          <cell r="K30">
            <v>0</v>
          </cell>
        </row>
        <row r="31">
          <cell r="A31" t="str">
            <v>M</v>
          </cell>
          <cell r="B31">
            <v>0.40723537293434564</v>
          </cell>
          <cell r="C31">
            <v>0.40604375231738965</v>
          </cell>
          <cell r="D31">
            <v>0.40421084634971305</v>
          </cell>
          <cell r="E31">
            <v>0.39703519202956772</v>
          </cell>
          <cell r="F31">
            <v>0.4051258035676274</v>
          </cell>
          <cell r="G31">
            <v>0.40740177504153008</v>
          </cell>
          <cell r="I31">
            <v>0.40740177504153008</v>
          </cell>
          <cell r="J31">
            <v>0.39703519202956772</v>
          </cell>
          <cell r="K31">
            <v>0</v>
          </cell>
        </row>
        <row r="32">
          <cell r="A32" t="str">
            <v>SKS</v>
          </cell>
          <cell r="B32">
            <v>0.36838636693297744</v>
          </cell>
          <cell r="C32">
            <v>0.38629518405253327</v>
          </cell>
          <cell r="D32">
            <v>0.39013022290713839</v>
          </cell>
          <cell r="E32">
            <v>0.32085279404442968</v>
          </cell>
          <cell r="F32">
            <v>0.36470630800811976</v>
          </cell>
          <cell r="G32">
            <v>0.38074593530189327</v>
          </cell>
          <cell r="I32">
            <v>0.39013022290713839</v>
          </cell>
          <cell r="J32">
            <v>0.32085279404442968</v>
          </cell>
          <cell r="K32">
            <v>-93.842876052451231</v>
          </cell>
        </row>
        <row r="33">
          <cell r="A33" t="str">
            <v>Dept. store avg</v>
          </cell>
          <cell r="B33">
            <v>0.37614326914383689</v>
          </cell>
          <cell r="C33">
            <v>0.38458580548780724</v>
          </cell>
          <cell r="D33">
            <v>0.38387025471449154</v>
          </cell>
          <cell r="E33">
            <v>0.36132191729948826</v>
          </cell>
          <cell r="F33">
            <v>0.37928847515543118</v>
          </cell>
          <cell r="G33">
            <v>0.3863607525056777</v>
          </cell>
          <cell r="I33">
            <v>0.26466022730826666</v>
          </cell>
          <cell r="J33">
            <v>0.22078245953473774</v>
          </cell>
          <cell r="K33">
            <v>0</v>
          </cell>
        </row>
        <row r="34">
          <cell r="I34">
            <v>0.26683303831625027</v>
          </cell>
          <cell r="J34">
            <v>0.23491384996800246</v>
          </cell>
          <cell r="K34">
            <v>0</v>
          </cell>
        </row>
        <row r="35">
          <cell r="A35" t="str">
            <v>ROST</v>
          </cell>
          <cell r="B35">
            <v>0.22078245953473774</v>
          </cell>
          <cell r="C35">
            <v>0.22488972588107092</v>
          </cell>
          <cell r="D35">
            <v>0.22710357389829849</v>
          </cell>
          <cell r="E35">
            <v>0.2358202622546326</v>
          </cell>
          <cell r="F35">
            <v>0.25847437986596433</v>
          </cell>
          <cell r="G35">
            <v>0.26466022730826666</v>
          </cell>
          <cell r="I35">
            <v>0.67253982532430046</v>
          </cell>
          <cell r="J35">
            <v>0.64275377929795496</v>
          </cell>
          <cell r="K35">
            <v>-297.86046026345491</v>
          </cell>
        </row>
        <row r="36">
          <cell r="A36" t="str">
            <v>TJX</v>
          </cell>
          <cell r="B36">
            <v>0.23491384996800246</v>
          </cell>
          <cell r="C36">
            <v>0.24079410561679626</v>
          </cell>
          <cell r="D36">
            <v>0.24492454085068949</v>
          </cell>
          <cell r="E36">
            <v>0.24092296088766529</v>
          </cell>
          <cell r="F36">
            <v>0.26221897549166406</v>
          </cell>
          <cell r="G36">
            <v>0.26683303831625027</v>
          </cell>
          <cell r="I36">
            <v>0.38266153944036096</v>
          </cell>
          <cell r="J36">
            <v>0.30097222810369439</v>
          </cell>
          <cell r="K36">
            <v>0</v>
          </cell>
        </row>
        <row r="37">
          <cell r="A37" t="str">
            <v>Off-price avg</v>
          </cell>
          <cell r="B37">
            <v>0.2278481547513701</v>
          </cell>
          <cell r="C37">
            <v>0.23284191574893359</v>
          </cell>
          <cell r="D37">
            <v>0.23601405737449399</v>
          </cell>
          <cell r="E37">
            <v>0.23837161157114894</v>
          </cell>
          <cell r="F37">
            <v>0.2603466776788142</v>
          </cell>
          <cell r="G37">
            <v>0.26574663281225847</v>
          </cell>
          <cell r="I37">
            <v>0.47968246595255026</v>
          </cell>
          <cell r="J37">
            <v>0.38724779790259878</v>
          </cell>
          <cell r="K37">
            <v>-557.89561500711568</v>
          </cell>
        </row>
        <row r="38">
          <cell r="I38">
            <v>0.38266153944036096</v>
          </cell>
          <cell r="J38">
            <v>0.30097222810369439</v>
          </cell>
          <cell r="K38">
            <v>0</v>
          </cell>
        </row>
        <row r="39">
          <cell r="A39" t="str">
            <v>ANF</v>
          </cell>
          <cell r="B39">
            <v>0.66982483696775197</v>
          </cell>
          <cell r="C39">
            <v>0.67008193227159563</v>
          </cell>
          <cell r="D39">
            <v>0.67253982532430046</v>
          </cell>
          <cell r="E39">
            <v>0.66907487449258141</v>
          </cell>
          <cell r="F39">
            <v>0.6431673566946946</v>
          </cell>
          <cell r="G39">
            <v>0.64275377929795496</v>
          </cell>
          <cell r="I39">
            <v>0.77715250839458938</v>
          </cell>
          <cell r="J39">
            <v>0.7189701306436096</v>
          </cell>
          <cell r="K39">
            <v>-534.41365481116327</v>
          </cell>
        </row>
        <row r="40">
          <cell r="A40" t="str">
            <v>ARO</v>
          </cell>
          <cell r="B40">
            <v>0.30097222810369439</v>
          </cell>
          <cell r="C40">
            <v>0.31702127358463861</v>
          </cell>
          <cell r="D40">
            <v>0.34456092567946972</v>
          </cell>
          <cell r="E40">
            <v>0.34694841930469456</v>
          </cell>
          <cell r="F40">
            <v>0.38094484340423429</v>
          </cell>
          <cell r="G40">
            <v>0.38266153944036096</v>
          </cell>
          <cell r="I40">
            <v>0.40988133878454813</v>
          </cell>
          <cell r="J40">
            <v>0.35527224769201782</v>
          </cell>
          <cell r="K40">
            <v>0</v>
          </cell>
        </row>
        <row r="41">
          <cell r="A41" t="str">
            <v>AEO</v>
          </cell>
          <cell r="B41">
            <v>0.46338441369841543</v>
          </cell>
          <cell r="C41">
            <v>0.47968246595255026</v>
          </cell>
          <cell r="D41">
            <v>0.46577507045678512</v>
          </cell>
          <cell r="E41">
            <v>0.39281461528089534</v>
          </cell>
          <cell r="F41">
            <v>0.38724779790259878</v>
          </cell>
          <cell r="G41">
            <v>0.42389290445183869</v>
          </cell>
          <cell r="I41">
            <v>0.37612621984111183</v>
          </cell>
          <cell r="J41">
            <v>0.33246659377546584</v>
          </cell>
          <cell r="K41">
            <v>-160.31477906032765</v>
          </cell>
        </row>
        <row r="42">
          <cell r="A42" t="str">
            <v>COH</v>
          </cell>
          <cell r="B42">
            <v>0.76742019151131191</v>
          </cell>
          <cell r="C42">
            <v>0.77715250839458938</v>
          </cell>
          <cell r="D42">
            <v>0.77436175001607688</v>
          </cell>
          <cell r="E42">
            <v>0.75677047948019927</v>
          </cell>
          <cell r="F42">
            <v>0.7189701306436096</v>
          </cell>
          <cell r="G42">
            <v>0.72371114291347305</v>
          </cell>
          <cell r="I42">
            <v>0.41328451675268396</v>
          </cell>
          <cell r="J42">
            <v>0.36900034865197429</v>
          </cell>
          <cell r="K42">
            <v>0</v>
          </cell>
        </row>
        <row r="43">
          <cell r="A43" t="str">
            <v>GPS</v>
          </cell>
          <cell r="B43">
            <v>0.36634837421207012</v>
          </cell>
          <cell r="C43">
            <v>0.35527224769201782</v>
          </cell>
          <cell r="D43">
            <v>0.36122565501490833</v>
          </cell>
          <cell r="E43">
            <v>0.37498278948093078</v>
          </cell>
          <cell r="F43">
            <v>0.40318377121927162</v>
          </cell>
          <cell r="G43">
            <v>0.40988133878454813</v>
          </cell>
        </row>
        <row r="44">
          <cell r="A44" t="str">
            <v>LTD</v>
          </cell>
          <cell r="B44">
            <v>0.35680728062464451</v>
          </cell>
          <cell r="C44">
            <v>0.37612621984111183</v>
          </cell>
          <cell r="D44">
            <v>0.34339067881529917</v>
          </cell>
          <cell r="E44">
            <v>0.33246659377546584</v>
          </cell>
          <cell r="F44">
            <v>0.35077650699768259</v>
          </cell>
          <cell r="G44">
            <v>0.36009474193507907</v>
          </cell>
        </row>
        <row r="45">
          <cell r="A45" t="str">
            <v>URBN</v>
          </cell>
          <cell r="B45">
            <v>0.41077110576161491</v>
          </cell>
          <cell r="C45">
            <v>0.36900034865197429</v>
          </cell>
          <cell r="D45">
            <v>0.38254481589468625</v>
          </cell>
          <cell r="E45">
            <v>0.38889730723235016</v>
          </cell>
          <cell r="F45">
            <v>0.40568630132391381</v>
          </cell>
          <cell r="G45">
            <v>0.41328451675268396</v>
          </cell>
        </row>
        <row r="46">
          <cell r="A46" t="str">
            <v>Specialty avg</v>
          </cell>
          <cell r="B46">
            <v>0.47650406155421482</v>
          </cell>
          <cell r="C46">
            <v>0.47776242805549679</v>
          </cell>
          <cell r="D46">
            <v>0.47777124588593228</v>
          </cell>
          <cell r="E46">
            <v>0.46599358272101682</v>
          </cell>
          <cell r="F46">
            <v>0.46999667259800076</v>
          </cell>
          <cell r="G46">
            <v>0.47946856622513412</v>
          </cell>
        </row>
        <row r="57">
          <cell r="A57" t="str">
            <v>SG&amp;A Growth vs Sales Growth - Comps Growth</v>
          </cell>
        </row>
        <row r="58">
          <cell r="A58" t="str">
            <v>SG&amp;A growth</v>
          </cell>
          <cell r="B58">
            <v>2005</v>
          </cell>
          <cell r="C58">
            <v>2006</v>
          </cell>
          <cell r="D58">
            <v>2007</v>
          </cell>
          <cell r="E58">
            <v>2008</v>
          </cell>
          <cell r="F58">
            <v>2009</v>
          </cell>
          <cell r="G58">
            <v>2010</v>
          </cell>
        </row>
        <row r="59">
          <cell r="A59" t="str">
            <v>JCP</v>
          </cell>
          <cell r="B59">
            <v>1.9800181653042648E-2</v>
          </cell>
          <cell r="C59">
            <v>5.753473459209113E-2</v>
          </cell>
          <cell r="D59">
            <v>-1.8191005558362838E-2</v>
          </cell>
          <cell r="E59">
            <v>-4.1173443129182141E-3</v>
          </cell>
          <cell r="F59">
            <v>7.5279931093884533E-2</v>
          </cell>
          <cell r="G59">
            <v>7.7272891567914392E-4</v>
          </cell>
        </row>
        <row r="60">
          <cell r="A60" t="str">
            <v>JWN</v>
          </cell>
          <cell r="B60">
            <v>3.9813724456535526E-2</v>
          </cell>
          <cell r="C60">
            <v>9.3397522500006991E-2</v>
          </cell>
          <cell r="D60">
            <v>2.7392578486396646E-2</v>
          </cell>
          <cell r="E60">
            <v>1.1944333793828088E-2</v>
          </cell>
          <cell r="F60">
            <v>3.2259253272450383E-2</v>
          </cell>
          <cell r="G60">
            <v>5.0834702266653098E-2</v>
          </cell>
        </row>
        <row r="61">
          <cell r="A61" t="str">
            <v>KSS</v>
          </cell>
          <cell r="B61">
            <v>0.14732221151534408</v>
          </cell>
          <cell r="C61">
            <v>0.15252033069006243</v>
          </cell>
          <cell r="D61">
            <v>8.2391009909547508E-2</v>
          </cell>
          <cell r="E61">
            <v>6.4681760393843435E-2</v>
          </cell>
          <cell r="F61">
            <v>5.2839643680853365E-2</v>
          </cell>
          <cell r="G61">
            <v>6.0426926393679858E-2</v>
          </cell>
        </row>
        <row r="62">
          <cell r="A62" t="str">
            <v>M</v>
          </cell>
          <cell r="B62">
            <v>0.41553437436625429</v>
          </cell>
          <cell r="C62">
            <v>0.24326647564469916</v>
          </cell>
          <cell r="D62">
            <v>-1.4289006683567695E-2</v>
          </cell>
          <cell r="E62">
            <v>-1.1222819733458067E-2</v>
          </cell>
          <cell r="F62">
            <v>-4.6819579096713193E-2</v>
          </cell>
          <cell r="G62">
            <v>2.3079369153637952E-2</v>
          </cell>
        </row>
        <row r="63">
          <cell r="A63" t="str">
            <v>SKS</v>
          </cell>
          <cell r="B63">
            <v>6.2793070223896574E-3</v>
          </cell>
          <cell r="C63">
            <v>-6.4508354494813736E-2</v>
          </cell>
          <cell r="D63">
            <v>7.7426248732044733E-2</v>
          </cell>
          <cell r="E63">
            <v>-5.5058117202405166E-2</v>
          </cell>
          <cell r="F63">
            <v>-0.13106406133853599</v>
          </cell>
          <cell r="G63">
            <v>4.8787028931422949E-2</v>
          </cell>
        </row>
        <row r="64">
          <cell r="A64" t="str">
            <v>ROST</v>
          </cell>
          <cell r="B64">
            <v>0.16494036504740994</v>
          </cell>
          <cell r="C64">
            <v>0.12646317141425123</v>
          </cell>
          <cell r="D64">
            <v>8.4432460867660764E-2</v>
          </cell>
          <cell r="E64">
            <v>0.10981272658003349</v>
          </cell>
          <cell r="F64">
            <v>8.8707414272316543E-2</v>
          </cell>
          <cell r="G64">
            <v>7.1078079459742538E-2</v>
          </cell>
        </row>
        <row r="65">
          <cell r="A65" t="str">
            <v>TJX</v>
          </cell>
          <cell r="B65">
            <v>6.6846265118965631E-2</v>
          </cell>
          <cell r="C65">
            <v>8.4496792669717324E-2</v>
          </cell>
          <cell r="D65">
            <v>4.0062234300518362E-2</v>
          </cell>
          <cell r="E65">
            <v>3.6026224389584804E-2</v>
          </cell>
          <cell r="F65">
            <v>5.9267136455885217E-2</v>
          </cell>
          <cell r="G65">
            <v>6.6782449189689119E-2</v>
          </cell>
        </row>
        <row r="66">
          <cell r="A66" t="str">
            <v>ANF</v>
          </cell>
          <cell r="B66">
            <v>0.32517499320921894</v>
          </cell>
          <cell r="C66">
            <v>0.19254496302912805</v>
          </cell>
          <cell r="D66">
            <v>0.13770236688854931</v>
          </cell>
          <cell r="E66">
            <v>6.9262730911323844E-2</v>
          </cell>
          <cell r="F66">
            <v>-5.1157205166412423E-2</v>
          </cell>
          <cell r="G66">
            <v>2.6799926349323933E-2</v>
          </cell>
        </row>
        <row r="67">
          <cell r="A67" t="str">
            <v>ARO</v>
          </cell>
          <cell r="B67">
            <v>0.23408904373916317</v>
          </cell>
          <cell r="C67">
            <v>0.27612268987509014</v>
          </cell>
          <cell r="D67">
            <v>0.19351754700831103</v>
          </cell>
          <cell r="E67">
            <v>0.17373375168086058</v>
          </cell>
          <cell r="F67">
            <v>0.14210745461130436</v>
          </cell>
          <cell r="G67">
            <v>8.7894294822347341E-2</v>
          </cell>
        </row>
        <row r="68">
          <cell r="A68" t="str">
            <v>AEO</v>
          </cell>
          <cell r="B68">
            <v>0.21365220252042727</v>
          </cell>
          <cell r="C68">
            <v>0.22738915166099627</v>
          </cell>
          <cell r="D68">
            <v>7.4477882594383704E-2</v>
          </cell>
          <cell r="E68">
            <v>2.6372381778014153E-2</v>
          </cell>
          <cell r="F68">
            <v>3.0263977080299265E-2</v>
          </cell>
          <cell r="G68">
            <v>-3.6504660730932281E-2</v>
          </cell>
        </row>
        <row r="69">
          <cell r="A69" t="str">
            <v>COH</v>
          </cell>
          <cell r="B69">
            <v>0.26445354341591498</v>
          </cell>
          <cell r="C69">
            <v>0.18441894189124874</v>
          </cell>
          <cell r="D69">
            <v>0.18771473109049008</v>
          </cell>
          <cell r="E69">
            <v>0.19258655638317834</v>
          </cell>
          <cell r="F69">
            <v>7.6928088712685527E-2</v>
          </cell>
          <cell r="G69">
            <v>7.5120685716945523E-2</v>
          </cell>
        </row>
        <row r="70">
          <cell r="A70" t="str">
            <v>GPS</v>
          </cell>
          <cell r="B70">
            <v>-2.583798882681565E-2</v>
          </cell>
          <cell r="C70">
            <v>6.9772998805256892E-2</v>
          </cell>
          <cell r="D70">
            <v>-2.9484029484029506E-2</v>
          </cell>
          <cell r="E70">
            <v>-0.10264672036823941</v>
          </cell>
          <cell r="F70">
            <v>3.5906642728904536E-3</v>
          </cell>
          <cell r="G70">
            <v>1.8430965572890257E-2</v>
          </cell>
        </row>
        <row r="71">
          <cell r="A71" t="str">
            <v>LTD</v>
          </cell>
          <cell r="B71">
            <v>5.3515321049683484E-2</v>
          </cell>
          <cell r="C71">
            <v>0.13772363610993166</v>
          </cell>
          <cell r="D71">
            <v>-8.2824685886191962E-2</v>
          </cell>
          <cell r="E71">
            <v>-0.12049140453224649</v>
          </cell>
          <cell r="F71">
            <v>-5.3496757540580586E-2</v>
          </cell>
          <cell r="G71">
            <v>2.7337611856118382E-2</v>
          </cell>
        </row>
        <row r="72">
          <cell r="A72" t="str">
            <v>URBN</v>
          </cell>
          <cell r="B72">
            <v>0.27377825867719996</v>
          </cell>
          <cell r="C72">
            <v>0.18731418062159033</v>
          </cell>
          <cell r="D72">
            <v>0.2219100343136573</v>
          </cell>
          <cell r="E72">
            <v>0.17683691132289447</v>
          </cell>
          <cell r="F72">
            <v>7.9986861268032561E-2</v>
          </cell>
          <cell r="G72">
            <v>0.13189366124946944</v>
          </cell>
        </row>
        <row r="73">
          <cell r="A73" t="str">
            <v>Average</v>
          </cell>
          <cell r="B73">
            <v>0.15709727164033813</v>
          </cell>
          <cell r="C73">
            <v>0.14060408821494691</v>
          </cell>
          <cell r="D73">
            <v>7.0159883327100533E-2</v>
          </cell>
          <cell r="E73">
            <v>4.0551497934592416E-2</v>
          </cell>
          <cell r="F73">
            <v>2.5620915827025716E-2</v>
          </cell>
          <cell r="G73">
            <v>4.6623840653333373E-2</v>
          </cell>
        </row>
        <row r="75">
          <cell r="A75" t="str">
            <v>Total Sales</v>
          </cell>
          <cell r="B75">
            <v>2005</v>
          </cell>
          <cell r="C75">
            <v>2006</v>
          </cell>
          <cell r="D75">
            <v>2007</v>
          </cell>
          <cell r="E75">
            <v>2008</v>
          </cell>
          <cell r="F75">
            <v>2009</v>
          </cell>
          <cell r="G75">
            <v>2010</v>
          </cell>
        </row>
        <row r="76">
          <cell r="A76" t="str">
            <v>JCP</v>
          </cell>
          <cell r="B76">
            <v>3.7853669319186656E-2</v>
          </cell>
          <cell r="C76">
            <v>5.9745913423140395E-2</v>
          </cell>
          <cell r="D76">
            <v>-2.1181637743851178E-3</v>
          </cell>
          <cell r="E76">
            <v>-6.9204061506389691E-2</v>
          </cell>
          <cell r="F76">
            <v>-5.0252606220807183E-2</v>
          </cell>
          <cell r="G76">
            <v>1.4165050052032502E-2</v>
          </cell>
        </row>
        <row r="77">
          <cell r="A77" t="str">
            <v>JWN</v>
          </cell>
          <cell r="B77">
            <v>8.2900681814389365E-2</v>
          </cell>
          <cell r="C77">
            <v>0.10852364459071628</v>
          </cell>
          <cell r="D77">
            <v>3.1202595863094373E-2</v>
          </cell>
          <cell r="E77">
            <v>-6.0809391770148324E-2</v>
          </cell>
          <cell r="F77">
            <v>-3.9802195151369402E-3</v>
          </cell>
          <cell r="G77">
            <v>8.1553241749334093E-2</v>
          </cell>
        </row>
        <row r="78">
          <cell r="A78" t="str">
            <v>KSS</v>
          </cell>
          <cell r="B78">
            <v>0.14541865016622935</v>
          </cell>
          <cell r="C78">
            <v>0.16289124173643121</v>
          </cell>
          <cell r="D78">
            <v>5.7002363958193802E-2</v>
          </cell>
          <cell r="E78">
            <v>-5.147598900064887E-3</v>
          </cell>
          <cell r="F78">
            <v>4.8087425025474362E-2</v>
          </cell>
          <cell r="G78">
            <v>7.6911540806537948E-2</v>
          </cell>
        </row>
        <row r="79">
          <cell r="A79" t="str">
            <v>M</v>
          </cell>
          <cell r="B79">
            <v>0.41924442190669375</v>
          </cell>
          <cell r="C79">
            <v>0.20455560518088434</v>
          </cell>
          <cell r="D79">
            <v>-2.4360400444938812E-2</v>
          </cell>
          <cell r="E79">
            <v>-5.4003724394785846E-2</v>
          </cell>
          <cell r="F79">
            <v>-5.6363490278000916E-2</v>
          </cell>
          <cell r="G79">
            <v>4.4939125238239175E-2</v>
          </cell>
        </row>
        <row r="80">
          <cell r="A80" t="str">
            <v>SKS</v>
          </cell>
          <cell r="B80">
            <v>4.1041179597807176E-3</v>
          </cell>
          <cell r="C80">
            <v>5.8189569068934466E-2</v>
          </cell>
          <cell r="D80">
            <v>0.11041825467525013</v>
          </cell>
          <cell r="E80">
            <v>-6.9761287103328296E-2</v>
          </cell>
          <cell r="F80">
            <v>-0.13539452228728877</v>
          </cell>
          <cell r="G80">
            <v>4.2572459349391245E-2</v>
          </cell>
        </row>
        <row r="81">
          <cell r="A81" t="str">
            <v>ROST</v>
          </cell>
          <cell r="B81">
            <v>0.16608270302524297</v>
          </cell>
          <cell r="C81">
            <v>0.12661980887018864</v>
          </cell>
          <cell r="D81">
            <v>7.270856933580605E-2</v>
          </cell>
          <cell r="E81">
            <v>8.5507761063540411E-2</v>
          </cell>
          <cell r="F81">
            <v>0.10762550725477826</v>
          </cell>
          <cell r="G81">
            <v>8.6251364890475912E-2</v>
          </cell>
        </row>
        <row r="82">
          <cell r="A82" t="str">
            <v>TJX</v>
          </cell>
          <cell r="B82">
            <v>6.990050546877602E-2</v>
          </cell>
          <cell r="C82">
            <v>9.07933802470966E-2</v>
          </cell>
          <cell r="D82">
            <v>5.3554061483729987E-2</v>
          </cell>
          <cell r="E82">
            <v>3.6144893041429649E-2</v>
          </cell>
          <cell r="F82">
            <v>6.7840662164619481E-2</v>
          </cell>
          <cell r="G82">
            <v>8.7128931474232285E-2</v>
          </cell>
        </row>
        <row r="83">
          <cell r="A83" t="str">
            <v>ANF</v>
          </cell>
          <cell r="B83">
            <v>0.36952802567119236</v>
          </cell>
          <cell r="C83">
            <v>0.18640947573915412</v>
          </cell>
          <cell r="D83">
            <v>0.12650966330671687</v>
          </cell>
          <cell r="E83">
            <v>-5.8275418038866378E-2</v>
          </cell>
          <cell r="F83">
            <v>-0.1594210427670959</v>
          </cell>
          <cell r="G83">
            <v>7.9942840110693636E-2</v>
          </cell>
        </row>
        <row r="84">
          <cell r="A84" t="str">
            <v>ARO</v>
          </cell>
          <cell r="B84">
            <v>0.24904792721932512</v>
          </cell>
          <cell r="C84">
            <v>0.17342260992886604</v>
          </cell>
          <cell r="D84">
            <v>0.12027599617324558</v>
          </cell>
          <cell r="E84">
            <v>0.1909747641302364</v>
          </cell>
          <cell r="F84">
            <v>0.1827463987598188</v>
          </cell>
          <cell r="G84">
            <v>8.975332030843397E-2</v>
          </cell>
        </row>
        <row r="85">
          <cell r="A85" t="str">
            <v>AEO</v>
          </cell>
          <cell r="B85">
            <v>0.23427141977024735</v>
          </cell>
          <cell r="C85">
            <v>0.20346887675164371</v>
          </cell>
          <cell r="D85">
            <v>9.3404365645830545E-2</v>
          </cell>
          <cell r="E85">
            <v>-2.1797992353912776E-2</v>
          </cell>
          <cell r="F85">
            <v>5.8250471674914372E-4</v>
          </cell>
          <cell r="G85">
            <v>-5.5028288935698999E-4</v>
          </cell>
        </row>
        <row r="86">
          <cell r="A86" t="str">
            <v>COH</v>
          </cell>
          <cell r="B86">
            <v>0.29820325394954028</v>
          </cell>
          <cell r="C86">
            <v>0.23211241239350389</v>
          </cell>
          <cell r="D86">
            <v>0.283708542886415</v>
          </cell>
          <cell r="E86">
            <v>0.21753514700343279</v>
          </cell>
          <cell r="F86">
            <v>1.5628669527411265E-2</v>
          </cell>
          <cell r="G86">
            <v>7.6036142797213824E-2</v>
          </cell>
        </row>
        <row r="87">
          <cell r="A87" t="str">
            <v>GPS</v>
          </cell>
          <cell r="B87">
            <v>-1.4999692629249384E-2</v>
          </cell>
          <cell r="C87">
            <v>-6.2410285215003247E-3</v>
          </cell>
          <cell r="D87">
            <v>-1.0048357721534895E-2</v>
          </cell>
          <cell r="E87">
            <v>-7.8474909598426734E-2</v>
          </cell>
          <cell r="F87">
            <v>-2.2649043095139709E-2</v>
          </cell>
          <cell r="G87">
            <v>-9.811269648707488E-3</v>
          </cell>
          <cell r="M87">
            <v>2005</v>
          </cell>
          <cell r="N87">
            <v>2006</v>
          </cell>
          <cell r="O87">
            <v>2007</v>
          </cell>
          <cell r="P87">
            <v>2008</v>
          </cell>
          <cell r="Q87">
            <v>2009</v>
          </cell>
          <cell r="R87">
            <v>2010</v>
          </cell>
        </row>
        <row r="88">
          <cell r="A88" t="str">
            <v>LTD</v>
          </cell>
          <cell r="B88">
            <v>2.7761409272991866E-2</v>
          </cell>
          <cell r="C88">
            <v>0.10353710119447745</v>
          </cell>
          <cell r="D88">
            <v>-5.476319535113694E-2</v>
          </cell>
          <cell r="E88">
            <v>-0.10346635775899038</v>
          </cell>
          <cell r="F88">
            <v>-4.5358626808516544E-2</v>
          </cell>
          <cell r="G88">
            <v>5.5396224187859611E-2</v>
          </cell>
          <cell r="L88" t="str">
            <v>Avg - Dept Stores SG&amp;A growth</v>
          </cell>
          <cell r="M88">
            <v>0.12293377559713455</v>
          </cell>
          <cell r="N88">
            <v>9.9024381859430646E-2</v>
          </cell>
          <cell r="O88">
            <v>3.9889217150605352E-2</v>
          </cell>
          <cell r="P88">
            <v>2.1723823415501196E-2</v>
          </cell>
          <cell r="Q88">
            <v>1.8638534048591553E-2</v>
          </cell>
          <cell r="R88">
            <v>4.5965897758643522E-2</v>
          </cell>
        </row>
        <row r="89">
          <cell r="A89" t="str">
            <v>URBN</v>
          </cell>
          <cell r="B89">
            <v>0.31936816671700385</v>
          </cell>
          <cell r="C89">
            <v>0.12142583098542548</v>
          </cell>
          <cell r="D89">
            <v>0.23107950653089637</v>
          </cell>
          <cell r="E89">
            <v>0.21681289148411786</v>
          </cell>
          <cell r="F89">
            <v>5.6249856918443086E-2</v>
          </cell>
          <cell r="G89">
            <v>0.16704157529874619</v>
          </cell>
          <cell r="L89" t="str">
            <v>Avg - Dept Stores comps</v>
          </cell>
          <cell r="M89">
            <v>3.700780088861149E-2</v>
          </cell>
          <cell r="N89">
            <v>4.9142857142857134E-2</v>
          </cell>
          <cell r="O89">
            <v>2.4985142157499068E-2</v>
          </cell>
          <cell r="P89">
            <v>-4.8227770048997518E-2</v>
          </cell>
          <cell r="Q89">
            <v>-2.4653980686388615E-2</v>
          </cell>
          <cell r="R89">
            <v>4.1239107147145793E-2</v>
          </cell>
        </row>
        <row r="90">
          <cell r="A90" t="str">
            <v>Average</v>
          </cell>
          <cell r="B90">
            <v>0.17204894711652502</v>
          </cell>
          <cell r="C90">
            <v>0.13038960297064014</v>
          </cell>
          <cell r="D90">
            <v>7.7755271611941637E-2</v>
          </cell>
          <cell r="E90">
            <v>1.6145336806988844E-2</v>
          </cell>
          <cell r="F90">
            <v>3.815338139506027E-4</v>
          </cell>
          <cell r="G90">
            <v>6.3666447408937565E-2</v>
          </cell>
          <cell r="M90">
            <v>2005</v>
          </cell>
          <cell r="N90">
            <v>2006</v>
          </cell>
          <cell r="O90">
            <v>2007</v>
          </cell>
          <cell r="P90">
            <v>2008</v>
          </cell>
          <cell r="Q90">
            <v>2009</v>
          </cell>
          <cell r="R90">
            <v>2010</v>
          </cell>
        </row>
        <row r="91">
          <cell r="L91" t="str">
            <v>Avg - Specialty SG&amp;A growth</v>
          </cell>
          <cell r="M91">
            <v>0.19126076768354175</v>
          </cell>
          <cell r="N91">
            <v>0.18218379457046316</v>
          </cell>
          <cell r="O91">
            <v>0.10043054950359571</v>
          </cell>
          <cell r="P91">
            <v>5.937917245368364E-2</v>
          </cell>
          <cell r="Q91">
            <v>3.260329760545988E-2</v>
          </cell>
          <cell r="R91">
            <v>4.7281783548023225E-2</v>
          </cell>
        </row>
        <row r="92">
          <cell r="L92" t="str">
            <v>Avg - Specialty comps</v>
          </cell>
          <cell r="M92">
            <v>9.7285714285714295E-2</v>
          </cell>
          <cell r="N92">
            <v>4.2153599874490209E-2</v>
          </cell>
          <cell r="O92">
            <v>3.5857142857142858E-2</v>
          </cell>
          <cell r="P92">
            <v>-2.5435212735340273E-2</v>
          </cell>
          <cell r="Q92">
            <v>-4.6189359134132642E-2</v>
          </cell>
          <cell r="R92">
            <v>2.7112424455829794E-2</v>
          </cell>
        </row>
        <row r="93">
          <cell r="A93" t="str">
            <v>SG&amp;A growth less sales growth</v>
          </cell>
        </row>
        <row r="94">
          <cell r="B94">
            <v>2005</v>
          </cell>
          <cell r="C94">
            <v>2006</v>
          </cell>
          <cell r="D94">
            <v>2007</v>
          </cell>
          <cell r="E94">
            <v>2008</v>
          </cell>
          <cell r="F94">
            <v>2009</v>
          </cell>
          <cell r="G94">
            <v>2010</v>
          </cell>
        </row>
        <row r="95">
          <cell r="A95" t="str">
            <v>JCP</v>
          </cell>
          <cell r="B95">
            <v>-180.53487666144008</v>
          </cell>
          <cell r="C95">
            <v>-22.111788310492653</v>
          </cell>
          <cell r="D95">
            <v>-160.72841783977719</v>
          </cell>
          <cell r="E95">
            <v>650.86717193471475</v>
          </cell>
          <cell r="F95">
            <v>1255.3253731469172</v>
          </cell>
          <cell r="G95">
            <v>-133.92321136353357</v>
          </cell>
        </row>
        <row r="96">
          <cell r="A96" t="str">
            <v>JWN</v>
          </cell>
          <cell r="B96">
            <v>-430.86957357853839</v>
          </cell>
          <cell r="C96">
            <v>-151.26122090709293</v>
          </cell>
          <cell r="D96">
            <v>-38.100173766977278</v>
          </cell>
          <cell r="E96">
            <v>727.53725563976411</v>
          </cell>
          <cell r="F96">
            <v>362.39472787587323</v>
          </cell>
          <cell r="G96">
            <v>-307.18539482680995</v>
          </cell>
        </row>
        <row r="97">
          <cell r="A97" t="str">
            <v>KSS</v>
          </cell>
          <cell r="B97">
            <v>19.035613491147352</v>
          </cell>
          <cell r="C97">
            <v>-103.70911046368781</v>
          </cell>
          <cell r="D97">
            <v>253.88645951353706</v>
          </cell>
          <cell r="E97">
            <v>698.29359293908317</v>
          </cell>
          <cell r="F97">
            <v>47.522186553790036</v>
          </cell>
          <cell r="G97">
            <v>-164.8461441285809</v>
          </cell>
        </row>
        <row r="98">
          <cell r="A98" t="str">
            <v>M</v>
          </cell>
          <cell r="B98">
            <v>-37.100475404394651</v>
          </cell>
          <cell r="C98">
            <v>387.10870463814831</v>
          </cell>
          <cell r="D98">
            <v>100.71393761371117</v>
          </cell>
          <cell r="E98">
            <v>427.80904661327781</v>
          </cell>
          <cell r="F98">
            <v>95.439111812877229</v>
          </cell>
          <cell r="G98">
            <v>-218.59756084601224</v>
          </cell>
        </row>
        <row r="99">
          <cell r="A99" t="str">
            <v>SKS</v>
          </cell>
          <cell r="B99">
            <v>21.751890626089398</v>
          </cell>
          <cell r="C99">
            <v>-1226.9792356374819</v>
          </cell>
          <cell r="D99">
            <v>-329.92005943205396</v>
          </cell>
          <cell r="E99">
            <v>147.03169900923129</v>
          </cell>
          <cell r="F99">
            <v>43.304609487527792</v>
          </cell>
          <cell r="G99">
            <v>62.145695820317037</v>
          </cell>
        </row>
        <row r="100">
          <cell r="A100" t="str">
            <v>ROST</v>
          </cell>
          <cell r="B100">
            <v>-11.4233797783303</v>
          </cell>
          <cell r="C100">
            <v>-1.5663745593741396</v>
          </cell>
          <cell r="D100">
            <v>117.23891531854713</v>
          </cell>
          <cell r="E100">
            <v>243.04965516493081</v>
          </cell>
          <cell r="F100">
            <v>-189.18092982461721</v>
          </cell>
          <cell r="G100">
            <v>-151.73285430733375</v>
          </cell>
        </row>
        <row r="101">
          <cell r="A101" t="str">
            <v>TJX</v>
          </cell>
          <cell r="B101">
            <v>-30.542403498103887</v>
          </cell>
          <cell r="C101">
            <v>-62.96587577379276</v>
          </cell>
          <cell r="D101">
            <v>-134.91827183211623</v>
          </cell>
          <cell r="E101">
            <v>-1.1866865184484432</v>
          </cell>
          <cell r="F101">
            <v>-85.735257087342646</v>
          </cell>
          <cell r="G101">
            <v>-203.46482284543166</v>
          </cell>
        </row>
        <row r="102">
          <cell r="A102" t="str">
            <v>ANF</v>
          </cell>
          <cell r="B102">
            <v>-443.53032461973419</v>
          </cell>
          <cell r="C102">
            <v>61.354872899739291</v>
          </cell>
          <cell r="D102">
            <v>111.92703581832441</v>
          </cell>
          <cell r="E102">
            <v>1275.3814895019023</v>
          </cell>
          <cell r="F102">
            <v>1082.6383760068347</v>
          </cell>
          <cell r="G102">
            <v>-531.42913761369698</v>
          </cell>
        </row>
        <row r="103">
          <cell r="A103" t="str">
            <v>ARO</v>
          </cell>
          <cell r="B103">
            <v>-149.58883480161944</v>
          </cell>
          <cell r="C103">
            <v>1027.000799462241</v>
          </cell>
          <cell r="D103">
            <v>732.41550835065448</v>
          </cell>
          <cell r="E103">
            <v>-172.41012449375813</v>
          </cell>
          <cell r="F103">
            <v>-406.38944148514435</v>
          </cell>
          <cell r="G103">
            <v>-18.590254860866295</v>
          </cell>
        </row>
        <row r="104">
          <cell r="A104" t="str">
            <v>AEO</v>
          </cell>
          <cell r="B104">
            <v>-206.19217249820076</v>
          </cell>
          <cell r="C104">
            <v>239.20274909352557</v>
          </cell>
          <cell r="D104">
            <v>-189.2648305144684</v>
          </cell>
          <cell r="E104">
            <v>481.70374131926928</v>
          </cell>
          <cell r="F104">
            <v>296.8147236355012</v>
          </cell>
          <cell r="G104">
            <v>-359.54377841575291</v>
          </cell>
        </row>
        <row r="105">
          <cell r="A105" t="str">
            <v>COH</v>
          </cell>
          <cell r="B105">
            <v>-337.49710533625301</v>
          </cell>
          <cell r="C105">
            <v>-476.93470502255144</v>
          </cell>
          <cell r="D105">
            <v>-959.93811795924921</v>
          </cell>
          <cell r="E105">
            <v>-249.48590620254453</v>
          </cell>
          <cell r="F105">
            <v>612.99419185274257</v>
          </cell>
          <cell r="G105">
            <v>-9.1545708026830042</v>
          </cell>
        </row>
        <row r="106">
          <cell r="A106" t="str">
            <v>GPS</v>
          </cell>
          <cell r="B106">
            <v>-108.38296197566267</v>
          </cell>
          <cell r="C106">
            <v>760.14027326757218</v>
          </cell>
          <cell r="D106">
            <v>-194.3567176249461</v>
          </cell>
          <cell r="E106">
            <v>-241.71810769812674</v>
          </cell>
          <cell r="F106">
            <v>262.39707368030162</v>
          </cell>
          <cell r="G106">
            <v>282.42235221597747</v>
          </cell>
        </row>
        <row r="107">
          <cell r="A107" t="str">
            <v>LTD</v>
          </cell>
          <cell r="B107">
            <v>257.53911776691621</v>
          </cell>
          <cell r="C107">
            <v>341.86534915454206</v>
          </cell>
          <cell r="D107">
            <v>-280.6149053505502</v>
          </cell>
          <cell r="E107">
            <v>-170.25046773256113</v>
          </cell>
          <cell r="F107">
            <v>-81.381307320640417</v>
          </cell>
          <cell r="G107">
            <v>-280.58612331741227</v>
          </cell>
        </row>
        <row r="108">
          <cell r="A108" t="str">
            <v>URBN</v>
          </cell>
          <cell r="B108">
            <v>-455.89908039803896</v>
          </cell>
          <cell r="C108">
            <v>658.88349636164855</v>
          </cell>
          <cell r="D108">
            <v>-91.694722172390726</v>
          </cell>
          <cell r="E108">
            <v>-399.7598016122339</v>
          </cell>
          <cell r="F108">
            <v>237.37004349589475</v>
          </cell>
          <cell r="G108">
            <v>-351.4791404927675</v>
          </cell>
        </row>
        <row r="109">
          <cell r="A109" t="str">
            <v>Average</v>
          </cell>
          <cell r="B109">
            <v>-149.51675476186884</v>
          </cell>
          <cell r="C109">
            <v>102.14485244306739</v>
          </cell>
          <cell r="D109">
            <v>-75.953882848411084</v>
          </cell>
          <cell r="E109">
            <v>244.06161127603579</v>
          </cell>
          <cell r="F109">
            <v>252.39382013075115</v>
          </cell>
          <cell r="G109">
            <v>-170.42606755604191</v>
          </cell>
        </row>
        <row r="111">
          <cell r="A111" t="str">
            <v>Avg - Dept Stores</v>
          </cell>
          <cell r="B111">
            <v>-92.811886400510062</v>
          </cell>
          <cell r="C111">
            <v>-168.78355728768199</v>
          </cell>
          <cell r="D111">
            <v>-27.403944346447041</v>
          </cell>
          <cell r="E111">
            <v>413.34310496893619</v>
          </cell>
          <cell r="F111">
            <v>218.43854599500369</v>
          </cell>
          <cell r="G111">
            <v>-159.65775607105499</v>
          </cell>
        </row>
        <row r="113">
          <cell r="A113" t="str">
            <v>Avg - Spec</v>
          </cell>
          <cell r="B113">
            <v>-206.22162312322754</v>
          </cell>
          <cell r="C113">
            <v>373.07326217381677</v>
          </cell>
          <cell r="D113">
            <v>-124.50382135037511</v>
          </cell>
          <cell r="E113">
            <v>74.780117583135308</v>
          </cell>
          <cell r="F113">
            <v>286.34909426649858</v>
          </cell>
          <cell r="G113">
            <v>-181.19437904102878</v>
          </cell>
        </row>
        <row r="116">
          <cell r="A116" t="str">
            <v>2009 - in Order</v>
          </cell>
          <cell r="B116" t="str">
            <v>(hardcoded)</v>
          </cell>
        </row>
        <row r="117">
          <cell r="A117" t="str">
            <v>TJX</v>
          </cell>
          <cell r="B117">
            <v>-214.23431782687351</v>
          </cell>
        </row>
        <row r="118">
          <cell r="A118" t="str">
            <v>ARO</v>
          </cell>
          <cell r="B118">
            <v>-160.93243556556169</v>
          </cell>
        </row>
        <row r="119">
          <cell r="A119" t="str">
            <v>ROST</v>
          </cell>
          <cell r="B119">
            <v>-139.48426974530469</v>
          </cell>
        </row>
        <row r="120">
          <cell r="A120" t="str">
            <v>LTD</v>
          </cell>
          <cell r="B120">
            <v>-26.472566827170361</v>
          </cell>
        </row>
        <row r="121">
          <cell r="A121" t="str">
            <v>KSS</v>
          </cell>
          <cell r="B121">
            <v>19.20113782717614</v>
          </cell>
        </row>
        <row r="122">
          <cell r="A122" t="str">
            <v>SKS</v>
          </cell>
          <cell r="B122">
            <v>187.91141726734796</v>
          </cell>
        </row>
        <row r="123">
          <cell r="A123" t="str">
            <v>URBN</v>
          </cell>
          <cell r="B123">
            <v>210.07871886226326</v>
          </cell>
        </row>
        <row r="124">
          <cell r="A124" t="str">
            <v>AEO</v>
          </cell>
          <cell r="B124">
            <v>211.26231705635544</v>
          </cell>
        </row>
        <row r="125">
          <cell r="A125" t="str">
            <v>M</v>
          </cell>
          <cell r="B125">
            <v>256.49965099774573</v>
          </cell>
        </row>
        <row r="126">
          <cell r="A126" t="str">
            <v>GPS</v>
          </cell>
          <cell r="B126">
            <v>265.45830679659764</v>
          </cell>
        </row>
        <row r="127">
          <cell r="A127" t="str">
            <v>JWN</v>
          </cell>
          <cell r="B127">
            <v>341.94187585199984</v>
          </cell>
        </row>
        <row r="128">
          <cell r="A128" t="str">
            <v>COH</v>
          </cell>
          <cell r="B128">
            <v>612.99419185274257</v>
          </cell>
        </row>
        <row r="129">
          <cell r="A129" t="str">
            <v>ANF</v>
          </cell>
          <cell r="B129">
            <v>1018.4323376746818</v>
          </cell>
        </row>
        <row r="130">
          <cell r="A130" t="str">
            <v>JCP</v>
          </cell>
          <cell r="B130">
            <v>1358.9998352094078</v>
          </cell>
        </row>
        <row r="132">
          <cell r="A132" t="str">
            <v>2008 - in Order</v>
          </cell>
          <cell r="B132" t="str">
            <v>(hardcoded)</v>
          </cell>
        </row>
        <row r="133">
          <cell r="A133" t="str">
            <v>URBN</v>
          </cell>
          <cell r="B133">
            <v>-399.7598016122339</v>
          </cell>
        </row>
        <row r="134">
          <cell r="A134" t="str">
            <v>COH</v>
          </cell>
          <cell r="B134">
            <v>-249.48590620254453</v>
          </cell>
        </row>
        <row r="135">
          <cell r="A135" t="str">
            <v>GPS</v>
          </cell>
          <cell r="B135">
            <v>-241.71810769812674</v>
          </cell>
        </row>
        <row r="136">
          <cell r="A136" t="str">
            <v>ARO</v>
          </cell>
          <cell r="B136">
            <v>-172.41012449375813</v>
          </cell>
        </row>
        <row r="137">
          <cell r="A137" t="str">
            <v>LTD</v>
          </cell>
          <cell r="B137">
            <v>-170.25046773256113</v>
          </cell>
        </row>
        <row r="138">
          <cell r="A138" t="str">
            <v>TJX</v>
          </cell>
          <cell r="B138">
            <v>-1.1866865184484432</v>
          </cell>
        </row>
        <row r="139">
          <cell r="A139" t="str">
            <v>SKS</v>
          </cell>
          <cell r="B139">
            <v>159.52008591213817</v>
          </cell>
        </row>
        <row r="140">
          <cell r="A140" t="str">
            <v>ROST</v>
          </cell>
          <cell r="B140">
            <v>243.04965516493081</v>
          </cell>
        </row>
        <row r="141">
          <cell r="A141" t="str">
            <v>M</v>
          </cell>
          <cell r="B141">
            <v>427.80904661327781</v>
          </cell>
        </row>
        <row r="142">
          <cell r="A142" t="str">
            <v>AEO</v>
          </cell>
          <cell r="B142">
            <v>481.70374131926928</v>
          </cell>
        </row>
        <row r="143">
          <cell r="A143" t="str">
            <v>JCP</v>
          </cell>
          <cell r="B143">
            <v>650.86717193471475</v>
          </cell>
        </row>
        <row r="144">
          <cell r="A144" t="str">
            <v>KSS</v>
          </cell>
          <cell r="B144">
            <v>698.29359293908317</v>
          </cell>
        </row>
        <row r="145">
          <cell r="A145" t="str">
            <v>JWN</v>
          </cell>
          <cell r="B145">
            <v>727.53725563976411</v>
          </cell>
        </row>
        <row r="146">
          <cell r="A146" t="str">
            <v>ANF</v>
          </cell>
          <cell r="B146">
            <v>1212.4880986772769</v>
          </cell>
        </row>
        <row r="148">
          <cell r="A148" t="str">
            <v>2007 - in Order</v>
          </cell>
          <cell r="B148" t="str">
            <v>(hardcoded)</v>
          </cell>
        </row>
        <row r="149">
          <cell r="A149" t="str">
            <v>COH</v>
          </cell>
          <cell r="B149">
            <v>-959.93811795924921</v>
          </cell>
        </row>
        <row r="150">
          <cell r="A150" t="str">
            <v>SKS</v>
          </cell>
          <cell r="B150">
            <v>-329.92005943205396</v>
          </cell>
        </row>
        <row r="151">
          <cell r="A151" t="str">
            <v>LTD</v>
          </cell>
          <cell r="B151">
            <v>-280.6149053505502</v>
          </cell>
        </row>
        <row r="152">
          <cell r="A152" t="str">
            <v>GPS</v>
          </cell>
          <cell r="B152">
            <v>-194.3567176249461</v>
          </cell>
        </row>
        <row r="153">
          <cell r="A153" t="str">
            <v>AEO</v>
          </cell>
          <cell r="B153">
            <v>-189.2648305144684</v>
          </cell>
        </row>
        <row r="154">
          <cell r="A154" t="str">
            <v>JCP</v>
          </cell>
          <cell r="B154">
            <v>-160.72841783977719</v>
          </cell>
        </row>
        <row r="155">
          <cell r="A155" t="str">
            <v>TJX</v>
          </cell>
          <cell r="B155">
            <v>-134.91827183211623</v>
          </cell>
        </row>
        <row r="156">
          <cell r="A156" t="str">
            <v>URBN</v>
          </cell>
          <cell r="B156">
            <v>-91.694722172390726</v>
          </cell>
        </row>
        <row r="157">
          <cell r="A157" t="str">
            <v>JWN</v>
          </cell>
          <cell r="B157">
            <v>-38.100173766977278</v>
          </cell>
        </row>
        <row r="158">
          <cell r="A158" t="str">
            <v>M</v>
          </cell>
          <cell r="B158">
            <v>100.71393761371117</v>
          </cell>
        </row>
        <row r="159">
          <cell r="A159" t="str">
            <v>ROST</v>
          </cell>
          <cell r="B159">
            <v>117.23891531854713</v>
          </cell>
        </row>
        <row r="160">
          <cell r="A160" t="str">
            <v>ANF</v>
          </cell>
          <cell r="B160">
            <v>119.36625141564683</v>
          </cell>
        </row>
        <row r="161">
          <cell r="A161" t="str">
            <v>KSS</v>
          </cell>
          <cell r="B161">
            <v>253.88645951353706</v>
          </cell>
        </row>
        <row r="162">
          <cell r="A162" t="str">
            <v>ARO</v>
          </cell>
          <cell r="B162">
            <v>732.41550835065448</v>
          </cell>
        </row>
        <row r="165">
          <cell r="A165" t="str">
            <v>Operating margin per quarter - dept store and softines averages</v>
          </cell>
        </row>
        <row r="166">
          <cell r="B166" t="str">
            <v>1Q05</v>
          </cell>
          <cell r="C166" t="str">
            <v>2Q05</v>
          </cell>
          <cell r="D166" t="str">
            <v>3Q05</v>
          </cell>
          <cell r="E166" t="str">
            <v>4Q05</v>
          </cell>
          <cell r="F166" t="str">
            <v>1Q06</v>
          </cell>
          <cell r="G166" t="str">
            <v>2Q06</v>
          </cell>
          <cell r="H166" t="str">
            <v>3Q06</v>
          </cell>
          <cell r="I166" t="str">
            <v>4Q06</v>
          </cell>
          <cell r="J166" t="str">
            <v>1Q07</v>
          </cell>
          <cell r="K166" t="str">
            <v>2Q07</v>
          </cell>
          <cell r="L166" t="str">
            <v>3Q07</v>
          </cell>
          <cell r="M166" t="str">
            <v>4Q07</v>
          </cell>
          <cell r="N166" t="str">
            <v>1Q08</v>
          </cell>
          <cell r="O166" t="str">
            <v>2Q08</v>
          </cell>
          <cell r="P166" t="str">
            <v>3Q08</v>
          </cell>
          <cell r="Q166" t="str">
            <v>4Q08</v>
          </cell>
          <cell r="R166" t="str">
            <v>1Q09</v>
          </cell>
          <cell r="S166" t="str">
            <v>2Q09</v>
          </cell>
          <cell r="T166" t="str">
            <v>3Q09</v>
          </cell>
          <cell r="U166" t="str">
            <v>4Q09</v>
          </cell>
        </row>
        <row r="167">
          <cell r="A167" t="str">
            <v>Department Stores Average</v>
          </cell>
          <cell r="B167">
            <v>6.8895458045228869E-2</v>
          </cell>
          <cell r="C167">
            <v>5.0381614729388138E-2</v>
          </cell>
          <cell r="D167">
            <v>5.8850908929155663E-2</v>
          </cell>
          <cell r="E167">
            <v>9.61852868874606E-2</v>
          </cell>
          <cell r="F167">
            <v>7.2635663425478267E-2</v>
          </cell>
          <cell r="G167">
            <v>5.944892792875256E-2</v>
          </cell>
          <cell r="H167">
            <v>8.0497421892793006E-2</v>
          </cell>
          <cell r="I167">
            <v>0.1127214661643382</v>
          </cell>
          <cell r="J167">
            <v>8.4050034085017683E-2</v>
          </cell>
          <cell r="K167">
            <v>6.804467912976582E-2</v>
          </cell>
          <cell r="L167">
            <v>7.7674969272626404E-2</v>
          </cell>
          <cell r="M167">
            <v>0.11086515574020774</v>
          </cell>
          <cell r="N167">
            <v>6.8356473350861688E-2</v>
          </cell>
          <cell r="O167">
            <v>6.0966790403798217E-2</v>
          </cell>
          <cell r="P167">
            <v>4.9309735773725973E-2</v>
          </cell>
          <cell r="Q167">
            <v>5.6946938565969989E-2</v>
          </cell>
          <cell r="R167">
            <v>5.1272690672644061E-2</v>
          </cell>
          <cell r="S167">
            <v>4.8279382532345698E-2</v>
          </cell>
          <cell r="T167">
            <v>6.4633547072114189E-2</v>
          </cell>
          <cell r="U167">
            <v>0.1020897665719154</v>
          </cell>
        </row>
        <row r="168">
          <cell r="B168" t="str">
            <v>1Q05</v>
          </cell>
          <cell r="C168" t="str">
            <v>2Q05</v>
          </cell>
          <cell r="D168" t="str">
            <v>3Q05</v>
          </cell>
          <cell r="E168" t="str">
            <v>4Q05</v>
          </cell>
          <cell r="F168" t="str">
            <v>1Q06</v>
          </cell>
          <cell r="G168" t="str">
            <v>2Q06</v>
          </cell>
          <cell r="H168" t="str">
            <v>3Q06</v>
          </cell>
          <cell r="I168" t="str">
            <v>4Q06</v>
          </cell>
          <cell r="J168" t="str">
            <v>1Q07</v>
          </cell>
          <cell r="K168" t="str">
            <v>2Q07</v>
          </cell>
          <cell r="L168" t="str">
            <v>3Q07</v>
          </cell>
          <cell r="M168" t="str">
            <v>4Q07</v>
          </cell>
          <cell r="N168" t="str">
            <v>1Q08</v>
          </cell>
          <cell r="O168" t="str">
            <v>2Q08</v>
          </cell>
          <cell r="P168" t="str">
            <v>3Q08</v>
          </cell>
          <cell r="Q168" t="str">
            <v>4Q08</v>
          </cell>
          <cell r="R168" t="str">
            <v>1Q09</v>
          </cell>
          <cell r="S168" t="str">
            <v>2Q09</v>
          </cell>
          <cell r="T168" t="str">
            <v>3Q09</v>
          </cell>
          <cell r="U168" t="str">
            <v>4Q09</v>
          </cell>
        </row>
        <row r="169">
          <cell r="A169" t="str">
            <v>Specialty Stores</v>
          </cell>
          <cell r="B169">
            <v>0.15422920734198622</v>
          </cell>
          <cell r="C169">
            <v>0.14889808899378965</v>
          </cell>
          <cell r="D169">
            <v>0.1604035975191784</v>
          </cell>
          <cell r="E169">
            <v>0.21862254168681086</v>
          </cell>
          <cell r="F169">
            <v>0.14336442322773496</v>
          </cell>
          <cell r="G169">
            <v>0.13910215874741497</v>
          </cell>
          <cell r="H169">
            <v>0.16214181785163623</v>
          </cell>
          <cell r="I169">
            <v>0.21167570055926174</v>
          </cell>
          <cell r="J169">
            <v>0.14278819378862215</v>
          </cell>
          <cell r="K169">
            <v>0.14759061099706394</v>
          </cell>
          <cell r="L169">
            <v>0.16636766252483629</v>
          </cell>
          <cell r="M169">
            <v>0.21528973973658486</v>
          </cell>
          <cell r="N169">
            <v>0.13864206934579909</v>
          </cell>
          <cell r="O169">
            <v>0.15729483083185869</v>
          </cell>
          <cell r="P169">
            <v>0.14512414393148346</v>
          </cell>
          <cell r="Q169">
            <v>0.1573688038954609</v>
          </cell>
          <cell r="R169">
            <v>9.5018026082193244E-2</v>
          </cell>
          <cell r="S169">
            <v>0.12412464617273845</v>
          </cell>
          <cell r="T169">
            <v>0.14216244672037553</v>
          </cell>
          <cell r="U169">
            <v>0.19155284062283701</v>
          </cell>
        </row>
        <row r="171">
          <cell r="A171" t="str">
            <v>Group by quarter</v>
          </cell>
        </row>
        <row r="172">
          <cell r="B172" t="str">
            <v>1Q05</v>
          </cell>
          <cell r="C172" t="str">
            <v>1Q06</v>
          </cell>
          <cell r="D172" t="str">
            <v>1Q07</v>
          </cell>
          <cell r="E172" t="str">
            <v>1Q08</v>
          </cell>
          <cell r="F172" t="str">
            <v>1Q09</v>
          </cell>
          <cell r="G172" t="str">
            <v>2Q05</v>
          </cell>
          <cell r="H172" t="str">
            <v>2Q06</v>
          </cell>
          <cell r="I172" t="str">
            <v>2Q07</v>
          </cell>
          <cell r="J172" t="str">
            <v>2Q08</v>
          </cell>
          <cell r="K172" t="str">
            <v>2Q09</v>
          </cell>
          <cell r="L172" t="str">
            <v>3Q05</v>
          </cell>
          <cell r="M172" t="str">
            <v>3Q06</v>
          </cell>
          <cell r="N172" t="str">
            <v>3Q07</v>
          </cell>
          <cell r="O172" t="str">
            <v>3Q08</v>
          </cell>
          <cell r="P172" t="str">
            <v>3Q09</v>
          </cell>
          <cell r="Q172" t="str">
            <v>4Q05</v>
          </cell>
          <cell r="R172" t="str">
            <v>4Q06</v>
          </cell>
          <cell r="S172" t="str">
            <v>4Q07</v>
          </cell>
          <cell r="T172" t="str">
            <v>4Q08</v>
          </cell>
          <cell r="U172" t="str">
            <v>4Q09</v>
          </cell>
        </row>
        <row r="173">
          <cell r="A173" t="str">
            <v>Department Stores Average</v>
          </cell>
          <cell r="B173">
            <v>6.8895458045228869E-2</v>
          </cell>
          <cell r="C173">
            <v>7.2635663425478267E-2</v>
          </cell>
          <cell r="D173">
            <v>8.4050034085017683E-2</v>
          </cell>
          <cell r="E173">
            <v>6.8356473350861688E-2</v>
          </cell>
          <cell r="F173">
            <v>5.1272690672644061E-2</v>
          </cell>
          <cell r="G173">
            <v>5.0381614729388138E-2</v>
          </cell>
          <cell r="H173">
            <v>5.944892792875256E-2</v>
          </cell>
          <cell r="I173">
            <v>6.804467912976582E-2</v>
          </cell>
          <cell r="J173">
            <v>6.0966790403798217E-2</v>
          </cell>
          <cell r="K173">
            <v>4.8279382532345698E-2</v>
          </cell>
          <cell r="L173">
            <v>5.8850908929155663E-2</v>
          </cell>
          <cell r="M173">
            <v>8.0497421892793006E-2</v>
          </cell>
          <cell r="N173">
            <v>7.7674969272626404E-2</v>
          </cell>
          <cell r="O173">
            <v>4.9309735773725973E-2</v>
          </cell>
          <cell r="P173">
            <v>6.4633547072114189E-2</v>
          </cell>
          <cell r="Q173">
            <v>9.61852868874606E-2</v>
          </cell>
          <cell r="R173">
            <v>0.1127214661643382</v>
          </cell>
          <cell r="S173">
            <v>0.11086515574020774</v>
          </cell>
          <cell r="T173">
            <v>5.6946938565969989E-2</v>
          </cell>
          <cell r="U173">
            <v>0.1020897665719154</v>
          </cell>
        </row>
        <row r="174">
          <cell r="B174" t="str">
            <v>1Q05</v>
          </cell>
          <cell r="C174" t="str">
            <v>1Q06</v>
          </cell>
          <cell r="D174" t="str">
            <v>1Q07</v>
          </cell>
          <cell r="E174" t="str">
            <v>1Q08</v>
          </cell>
          <cell r="F174" t="str">
            <v>1Q09</v>
          </cell>
          <cell r="G174" t="str">
            <v>2Q05</v>
          </cell>
          <cell r="H174" t="str">
            <v>2Q06</v>
          </cell>
          <cell r="I174" t="str">
            <v>2Q07</v>
          </cell>
          <cell r="J174" t="str">
            <v>2Q08</v>
          </cell>
          <cell r="K174" t="str">
            <v>2Q09</v>
          </cell>
          <cell r="L174" t="str">
            <v>3Q05</v>
          </cell>
          <cell r="M174" t="str">
            <v>3Q06</v>
          </cell>
          <cell r="N174" t="str">
            <v>3Q07</v>
          </cell>
          <cell r="O174" t="str">
            <v>3Q08</v>
          </cell>
          <cell r="P174" t="str">
            <v>3Q09</v>
          </cell>
          <cell r="Q174" t="str">
            <v>4Q05</v>
          </cell>
          <cell r="R174" t="str">
            <v>4Q06</v>
          </cell>
          <cell r="S174" t="str">
            <v>4Q07</v>
          </cell>
          <cell r="T174" t="str">
            <v>4Q08</v>
          </cell>
          <cell r="U174" t="str">
            <v>4Q09</v>
          </cell>
        </row>
        <row r="175">
          <cell r="A175" t="str">
            <v>Specialty Stores</v>
          </cell>
          <cell r="B175">
            <v>0.15422920734198622</v>
          </cell>
          <cell r="C175">
            <v>0.14336442322773496</v>
          </cell>
          <cell r="D175">
            <v>0.14278819378862215</v>
          </cell>
          <cell r="E175">
            <v>0.13864206934579909</v>
          </cell>
          <cell r="F175">
            <v>9.5018026082193244E-2</v>
          </cell>
          <cell r="G175">
            <v>0.14889808899378965</v>
          </cell>
          <cell r="H175">
            <v>0.13910215874741497</v>
          </cell>
          <cell r="I175">
            <v>0.14759061099706394</v>
          </cell>
          <cell r="J175">
            <v>0.15729483083185869</v>
          </cell>
          <cell r="K175">
            <v>0.12412464617273845</v>
          </cell>
          <cell r="L175">
            <v>0.1604035975191784</v>
          </cell>
          <cell r="M175">
            <v>0.16214181785163623</v>
          </cell>
          <cell r="N175">
            <v>0.16636766252483629</v>
          </cell>
          <cell r="O175">
            <v>0.14512414393148346</v>
          </cell>
          <cell r="P175">
            <v>0.14216244672037553</v>
          </cell>
          <cell r="Q175">
            <v>0.21862254168681086</v>
          </cell>
          <cell r="R175">
            <v>0.21167570055926174</v>
          </cell>
          <cell r="S175">
            <v>0.21528973973658486</v>
          </cell>
          <cell r="T175">
            <v>0.1573688038954609</v>
          </cell>
          <cell r="U175">
            <v>0.19155284062283701</v>
          </cell>
        </row>
        <row r="177">
          <cell r="A177" t="str">
            <v>Teen retail comps - monthly</v>
          </cell>
        </row>
        <row r="178">
          <cell r="B178">
            <v>38353</v>
          </cell>
          <cell r="C178">
            <v>38384</v>
          </cell>
          <cell r="D178">
            <v>38415</v>
          </cell>
          <cell r="E178">
            <v>38446</v>
          </cell>
          <cell r="F178">
            <v>38477</v>
          </cell>
          <cell r="G178">
            <v>38508</v>
          </cell>
          <cell r="H178">
            <v>38539</v>
          </cell>
          <cell r="I178">
            <v>38570</v>
          </cell>
          <cell r="J178">
            <v>38601</v>
          </cell>
          <cell r="K178">
            <v>38632</v>
          </cell>
          <cell r="L178">
            <v>38663</v>
          </cell>
          <cell r="M178">
            <v>38694</v>
          </cell>
          <cell r="N178">
            <v>38725</v>
          </cell>
          <cell r="O178">
            <v>38756</v>
          </cell>
          <cell r="P178">
            <v>38787</v>
          </cell>
          <cell r="Q178">
            <v>38818</v>
          </cell>
          <cell r="R178">
            <v>38849</v>
          </cell>
          <cell r="S178">
            <v>38880</v>
          </cell>
          <cell r="T178">
            <v>38911</v>
          </cell>
          <cell r="U178">
            <v>38942</v>
          </cell>
          <cell r="V178">
            <v>38973</v>
          </cell>
          <cell r="W178">
            <v>39004</v>
          </cell>
          <cell r="X178">
            <v>39035</v>
          </cell>
          <cell r="Y178">
            <v>39066</v>
          </cell>
          <cell r="Z178">
            <v>39097</v>
          </cell>
          <cell r="AA178">
            <v>39128</v>
          </cell>
          <cell r="AB178">
            <v>39159</v>
          </cell>
          <cell r="AC178">
            <v>39190</v>
          </cell>
          <cell r="AD178">
            <v>39221</v>
          </cell>
          <cell r="AE178">
            <v>39252</v>
          </cell>
          <cell r="AF178">
            <v>39283</v>
          </cell>
          <cell r="AG178">
            <v>39314</v>
          </cell>
          <cell r="AH178">
            <v>39345</v>
          </cell>
          <cell r="AI178">
            <v>39376</v>
          </cell>
          <cell r="AJ178">
            <v>39407</v>
          </cell>
          <cell r="AK178">
            <v>39438</v>
          </cell>
          <cell r="AL178">
            <v>39469</v>
          </cell>
          <cell r="AM178">
            <v>39500</v>
          </cell>
          <cell r="AN178">
            <v>39531</v>
          </cell>
          <cell r="AO178">
            <v>39562</v>
          </cell>
          <cell r="AP178">
            <v>39593</v>
          </cell>
          <cell r="AQ178">
            <v>39624</v>
          </cell>
          <cell r="AR178">
            <v>39655</v>
          </cell>
          <cell r="AS178">
            <v>39686</v>
          </cell>
          <cell r="AT178">
            <v>39717</v>
          </cell>
          <cell r="AU178">
            <v>39748</v>
          </cell>
          <cell r="AV178">
            <v>39779</v>
          </cell>
          <cell r="AW178">
            <v>39810</v>
          </cell>
          <cell r="AX178">
            <v>39841</v>
          </cell>
          <cell r="AY178">
            <v>39872</v>
          </cell>
          <cell r="AZ178">
            <v>39903</v>
          </cell>
          <cell r="BA178">
            <v>39933</v>
          </cell>
          <cell r="BB178">
            <v>39964</v>
          </cell>
          <cell r="BC178">
            <v>39994</v>
          </cell>
          <cell r="BD178">
            <v>40024</v>
          </cell>
          <cell r="BE178">
            <v>40054</v>
          </cell>
          <cell r="BF178">
            <v>40084</v>
          </cell>
          <cell r="BG178">
            <v>40114</v>
          </cell>
          <cell r="BH178">
            <v>40144</v>
          </cell>
          <cell r="BI178">
            <v>40174</v>
          </cell>
          <cell r="IV178">
            <v>31</v>
          </cell>
        </row>
        <row r="179">
          <cell r="A179" t="str">
            <v>ARO</v>
          </cell>
          <cell r="B179">
            <v>9.0999999999999998E-2</v>
          </cell>
          <cell r="C179">
            <v>0</v>
          </cell>
          <cell r="D179">
            <v>0</v>
          </cell>
          <cell r="E179">
            <v>0</v>
          </cell>
          <cell r="F179">
            <v>0.13400000000000001</v>
          </cell>
          <cell r="G179">
            <v>6.8000000000000005E-2</v>
          </cell>
          <cell r="H179">
            <v>-5.7000000000000002E-2</v>
          </cell>
          <cell r="I179">
            <v>-4.9000000000000002E-2</v>
          </cell>
          <cell r="J179">
            <v>0.02</v>
          </cell>
          <cell r="K179">
            <v>-4.2000000000000003E-2</v>
          </cell>
          <cell r="L179">
            <v>1.2999999999999999E-2</v>
          </cell>
          <cell r="M179">
            <v>-4.2000000000000003E-2</v>
          </cell>
          <cell r="N179">
            <v>-2.5000000000000001E-2</v>
          </cell>
          <cell r="O179">
            <v>0</v>
          </cell>
          <cell r="P179">
            <v>0</v>
          </cell>
          <cell r="Q179">
            <v>0</v>
          </cell>
          <cell r="R179">
            <v>-5.3999999999999999E-2</v>
          </cell>
          <cell r="S179">
            <v>-9.2999999999999999E-2</v>
          </cell>
          <cell r="T179">
            <v>8.4000000000000005E-2</v>
          </cell>
          <cell r="U179">
            <v>-1.0999999999999999E-2</v>
          </cell>
          <cell r="V179">
            <v>5.2999999999999999E-2</v>
          </cell>
          <cell r="W179">
            <v>-1.9E-2</v>
          </cell>
          <cell r="X179">
            <v>3.3000000000000002E-2</v>
          </cell>
          <cell r="Y179">
            <v>8.5000000000000006E-2</v>
          </cell>
          <cell r="Z179">
            <v>5.6000000000000001E-2</v>
          </cell>
          <cell r="AA179">
            <v>0</v>
          </cell>
          <cell r="AB179">
            <v>0</v>
          </cell>
          <cell r="AC179">
            <v>0</v>
          </cell>
          <cell r="AD179">
            <v>2.3E-2</v>
          </cell>
          <cell r="AE179">
            <v>0.159</v>
          </cell>
          <cell r="AF179">
            <v>-0.14000000000000001</v>
          </cell>
          <cell r="AG179">
            <v>1.9E-2</v>
          </cell>
          <cell r="AH179">
            <v>2E-3</v>
          </cell>
          <cell r="AI179">
            <v>-0.11899999999999999</v>
          </cell>
          <cell r="AJ179">
            <v>1.7000000000000001E-2</v>
          </cell>
          <cell r="AK179">
            <v>1.2999999999999999E-2</v>
          </cell>
          <cell r="AL179">
            <v>0.03</v>
          </cell>
          <cell r="AM179">
            <v>0</v>
          </cell>
          <cell r="AN179">
            <v>0</v>
          </cell>
          <cell r="AO179">
            <v>0</v>
          </cell>
          <cell r="AP179">
            <v>7.0000000000000007E-2</v>
          </cell>
          <cell r="AQ179">
            <v>2.5000000000000001E-2</v>
          </cell>
          <cell r="AR179">
            <v>0.25</v>
          </cell>
          <cell r="AS179">
            <v>0.06</v>
          </cell>
          <cell r="AT179">
            <v>0.12</v>
          </cell>
          <cell r="AU179">
            <v>0.13</v>
          </cell>
          <cell r="AV179">
            <v>0.13</v>
          </cell>
          <cell r="AW179">
            <v>0.05</v>
          </cell>
          <cell r="AX179">
            <v>0.01</v>
          </cell>
          <cell r="AY179">
            <v>0</v>
          </cell>
          <cell r="AZ179">
            <v>0</v>
          </cell>
          <cell r="BA179">
            <v>0</v>
          </cell>
          <cell r="BB179">
            <v>0.11</v>
          </cell>
          <cell r="BC179">
            <v>0.03</v>
          </cell>
          <cell r="BD179">
            <v>0.2</v>
          </cell>
          <cell r="BE179">
            <v>0.19</v>
          </cell>
          <cell r="BF179">
            <v>0.12</v>
          </cell>
          <cell r="BG179">
            <v>0.06</v>
          </cell>
          <cell r="BH179">
            <v>0.19</v>
          </cell>
          <cell r="BI179">
            <v>0.12</v>
          </cell>
        </row>
        <row r="182">
          <cell r="A182" t="str">
            <v>URBN sales productivity by division</v>
          </cell>
        </row>
        <row r="183">
          <cell r="A183" t="str">
            <v>LTM Sales/Gross Average Sq. Ft.</v>
          </cell>
          <cell r="N183" t="str">
            <v>2000-2009</v>
          </cell>
        </row>
        <row r="184">
          <cell r="B184">
            <v>2000</v>
          </cell>
          <cell r="C184">
            <v>2001</v>
          </cell>
          <cell r="D184">
            <v>2002</v>
          </cell>
          <cell r="E184">
            <v>2003</v>
          </cell>
          <cell r="F184">
            <v>2004</v>
          </cell>
          <cell r="G184">
            <v>2005</v>
          </cell>
          <cell r="H184">
            <v>2006</v>
          </cell>
          <cell r="I184">
            <v>2007</v>
          </cell>
          <cell r="J184">
            <v>2008</v>
          </cell>
          <cell r="K184" t="str">
            <v>2009</v>
          </cell>
          <cell r="L184">
            <v>2010</v>
          </cell>
          <cell r="N184" t="str">
            <v>Max</v>
          </cell>
          <cell r="O184" t="str">
            <v>Min</v>
          </cell>
          <cell r="P184" t="str">
            <v>2010 vs max</v>
          </cell>
        </row>
        <row r="185">
          <cell r="A185" t="str">
            <v>Urban Outfitters (division)</v>
          </cell>
          <cell r="B185">
            <v>270.96178184451503</v>
          </cell>
          <cell r="C185">
            <v>264.44541967873494</v>
          </cell>
          <cell r="D185">
            <v>284.4972339992741</v>
          </cell>
          <cell r="E185">
            <v>318.46555482575133</v>
          </cell>
          <cell r="F185">
            <v>382.65593609442482</v>
          </cell>
          <cell r="G185">
            <v>421.72142644903295</v>
          </cell>
          <cell r="H185">
            <v>387.50814312663522</v>
          </cell>
          <cell r="I185">
            <v>387.49369418039146</v>
          </cell>
          <cell r="J185">
            <v>408.70311941571555</v>
          </cell>
          <cell r="K185">
            <v>368.97415400758092</v>
          </cell>
          <cell r="L185">
            <v>394.65492014811076</v>
          </cell>
          <cell r="N185">
            <v>421.72142644903295</v>
          </cell>
          <cell r="O185">
            <v>264.44541967873494</v>
          </cell>
          <cell r="P185">
            <v>-6.4181008133323503E-2</v>
          </cell>
        </row>
        <row r="186">
          <cell r="A186" t="str">
            <v>Anthropologie</v>
          </cell>
          <cell r="B186">
            <v>280.14666638523443</v>
          </cell>
          <cell r="C186">
            <v>307.40807612789365</v>
          </cell>
          <cell r="D186">
            <v>330.99998331831983</v>
          </cell>
          <cell r="E186">
            <v>348.37875117971998</v>
          </cell>
          <cell r="F186">
            <v>432.85046981315469</v>
          </cell>
          <cell r="G186">
            <v>442.81396763923766</v>
          </cell>
          <cell r="H186">
            <v>413.58764694304784</v>
          </cell>
          <cell r="I186">
            <v>459.54237922896903</v>
          </cell>
          <cell r="J186">
            <v>468.68309808032865</v>
          </cell>
          <cell r="K186">
            <v>454.35598884429891</v>
          </cell>
          <cell r="L186">
            <v>466.43259180928817</v>
          </cell>
          <cell r="N186">
            <v>468.68309808032865</v>
          </cell>
          <cell r="O186">
            <v>280.14666638523443</v>
          </cell>
          <cell r="P186">
            <v>-4.8017653725049847E-3</v>
          </cell>
        </row>
        <row r="187">
          <cell r="A187" t="str">
            <v>Free People (Retail)</v>
          </cell>
          <cell r="B187" t="str">
            <v>NM</v>
          </cell>
          <cell r="C187" t="str">
            <v>NM</v>
          </cell>
          <cell r="D187">
            <v>82.727272727267646</v>
          </cell>
          <cell r="E187">
            <v>394.54545454548133</v>
          </cell>
          <cell r="F187">
            <v>312.64762722782973</v>
          </cell>
          <cell r="G187">
            <v>306.08120521771826</v>
          </cell>
          <cell r="H187">
            <v>444.39894439894516</v>
          </cell>
          <cell r="I187">
            <v>408.45371602356954</v>
          </cell>
          <cell r="J187">
            <v>412.08895647215564</v>
          </cell>
          <cell r="K187">
            <v>406.20772163645915</v>
          </cell>
          <cell r="L187">
            <v>357.74086573642296</v>
          </cell>
          <cell r="N187">
            <v>444.39894439894516</v>
          </cell>
          <cell r="O187">
            <v>82.727272727267646</v>
          </cell>
          <cell r="P187">
            <v>-0.19500064020117847</v>
          </cell>
        </row>
        <row r="188">
          <cell r="A188" t="str">
            <v>Terrain</v>
          </cell>
          <cell r="B188" t="str">
            <v>NM</v>
          </cell>
          <cell r="C188" t="str">
            <v>NM</v>
          </cell>
          <cell r="D188" t="str">
            <v>NM</v>
          </cell>
          <cell r="E188" t="str">
            <v>NM</v>
          </cell>
          <cell r="F188" t="str">
            <v>NM</v>
          </cell>
          <cell r="G188" t="str">
            <v>NM</v>
          </cell>
          <cell r="H188" t="str">
            <v>NM</v>
          </cell>
          <cell r="I188" t="str">
            <v>NM</v>
          </cell>
          <cell r="J188">
            <v>297.68421052631578</v>
          </cell>
          <cell r="K188">
            <v>329.4736842105263</v>
          </cell>
          <cell r="L188">
            <v>152.85087719298247</v>
          </cell>
          <cell r="N188">
            <v>329.4736842105263</v>
          </cell>
          <cell r="O188">
            <v>297.68421052631578</v>
          </cell>
          <cell r="P188">
            <v>-0.5360756123535676</v>
          </cell>
        </row>
        <row r="190">
          <cell r="A190" t="str">
            <v>Urban Outfitters (division)</v>
          </cell>
          <cell r="C190">
            <v>-2.4049008393070559E-2</v>
          </cell>
          <cell r="D190">
            <v>7.5825908971686395E-2</v>
          </cell>
          <cell r="E190">
            <v>0.1193977190884179</v>
          </cell>
          <cell r="F190">
            <v>0.20156145710576245</v>
          </cell>
          <cell r="G190">
            <v>0.10209038112234659</v>
          </cell>
          <cell r="H190">
            <v>-8.1127685663210158E-2</v>
          </cell>
          <cell r="I190">
            <v>-3.7286819645099278E-5</v>
          </cell>
          <cell r="J190">
            <v>5.4734891312709699E-2</v>
          </cell>
          <cell r="K190">
            <v>-9.7207394611842912E-2</v>
          </cell>
          <cell r="L190">
            <v>6.9600447244340558E-2</v>
          </cell>
        </row>
        <row r="191">
          <cell r="A191" t="str">
            <v>Anthropologie</v>
          </cell>
          <cell r="C191">
            <v>9.731120521409875E-2</v>
          </cell>
          <cell r="D191">
            <v>7.6744591383510086E-2</v>
          </cell>
          <cell r="E191">
            <v>5.2503833043058279E-2</v>
          </cell>
          <cell r="F191">
            <v>0.24247092667789549</v>
          </cell>
          <cell r="G191">
            <v>2.3018336633396475E-2</v>
          </cell>
          <cell r="H191">
            <v>-6.6001352333132868E-2</v>
          </cell>
          <cell r="I191">
            <v>0.11111243922681591</v>
          </cell>
          <cell r="J191">
            <v>1.9890915973182155E-2</v>
          </cell>
          <cell r="K191">
            <v>-3.056886261679137E-2</v>
          </cell>
          <cell r="L191">
            <v>2.6579605554902797E-2</v>
          </cell>
        </row>
        <row r="192">
          <cell r="A192" t="str">
            <v>Free People (Retail)</v>
          </cell>
          <cell r="C192" t="e">
            <v>#VALUE!</v>
          </cell>
          <cell r="D192" t="e">
            <v>#VALUE!</v>
          </cell>
          <cell r="E192">
            <v>3.7692307692313856</v>
          </cell>
          <cell r="F192">
            <v>-0.20757513836269736</v>
          </cell>
          <cell r="G192">
            <v>-2.100262864085789E-2</v>
          </cell>
          <cell r="H192">
            <v>0.4518988321509001</v>
          </cell>
          <cell r="I192">
            <v>-8.0885044459302113E-2</v>
          </cell>
          <cell r="J192">
            <v>8.9000058170025653E-3</v>
          </cell>
          <cell r="K192">
            <v>-1.4271760364667485E-2</v>
          </cell>
          <cell r="L192">
            <v>-0.11931544704463359</v>
          </cell>
        </row>
        <row r="193">
          <cell r="A193" t="str">
            <v>Terrain</v>
          </cell>
          <cell r="C193" t="e">
            <v>#VALUE!</v>
          </cell>
          <cell r="D193" t="e">
            <v>#VALUE!</v>
          </cell>
          <cell r="E193" t="e">
            <v>#VALUE!</v>
          </cell>
          <cell r="F193" t="e">
            <v>#VALUE!</v>
          </cell>
          <cell r="G193" t="e">
            <v>#VALUE!</v>
          </cell>
          <cell r="H193" t="e">
            <v>#VALUE!</v>
          </cell>
          <cell r="I193" t="e">
            <v>#VALUE!</v>
          </cell>
          <cell r="J193" t="e">
            <v>#VALUE!</v>
          </cell>
          <cell r="K193">
            <v>0.10678925035360676</v>
          </cell>
          <cell r="L193">
            <v>-0.5360756123535676</v>
          </cell>
        </row>
        <row r="196">
          <cell r="A196" t="str">
            <v>GAP - Gap division sales productivity</v>
          </cell>
          <cell r="B196">
            <v>2000</v>
          </cell>
          <cell r="C196">
            <v>2001</v>
          </cell>
          <cell r="D196">
            <v>2002</v>
          </cell>
          <cell r="E196">
            <v>2003</v>
          </cell>
          <cell r="F196">
            <v>2004</v>
          </cell>
          <cell r="G196">
            <v>2005</v>
          </cell>
          <cell r="H196">
            <v>2006</v>
          </cell>
          <cell r="I196">
            <v>2007</v>
          </cell>
          <cell r="J196">
            <v>2008</v>
          </cell>
          <cell r="K196" t="str">
            <v>2009</v>
          </cell>
          <cell r="L196">
            <v>2010</v>
          </cell>
          <cell r="N196" t="str">
            <v>Max</v>
          </cell>
          <cell r="O196" t="str">
            <v>Min</v>
          </cell>
          <cell r="P196" t="str">
            <v>2010 vs max</v>
          </cell>
        </row>
        <row r="197">
          <cell r="A197" t="str">
            <v>Gap (division)</v>
          </cell>
          <cell r="B197" t="str">
            <v>NM</v>
          </cell>
          <cell r="C197">
            <v>395.07042253521126</v>
          </cell>
          <cell r="D197">
            <v>380.1398601398601</v>
          </cell>
          <cell r="E197">
            <v>414.12186379928318</v>
          </cell>
          <cell r="F197">
            <v>429.60747663551405</v>
          </cell>
          <cell r="G197">
            <v>420.11650485436894</v>
          </cell>
          <cell r="H197">
            <v>408.27037773359842</v>
          </cell>
          <cell r="I197">
            <v>392.63157894736844</v>
          </cell>
          <cell r="J197">
            <v>373.60995850622402</v>
          </cell>
          <cell r="K197">
            <v>354.94646680942179</v>
          </cell>
          <cell r="L197">
            <v>354.82623096253781</v>
          </cell>
          <cell r="N197">
            <v>429.60747663551405</v>
          </cell>
          <cell r="O197">
            <v>354.94646680942179</v>
          </cell>
          <cell r="P197">
            <v>-0.17406877147164235</v>
          </cell>
        </row>
        <row r="199">
          <cell r="A199" t="str">
            <v>VS calculations</v>
          </cell>
          <cell r="C199">
            <v>2001</v>
          </cell>
          <cell r="D199">
            <v>2002</v>
          </cell>
          <cell r="E199">
            <v>2003</v>
          </cell>
          <cell r="F199">
            <v>2004</v>
          </cell>
          <cell r="G199">
            <v>2005</v>
          </cell>
          <cell r="H199">
            <v>2006</v>
          </cell>
          <cell r="I199">
            <v>2007</v>
          </cell>
          <cell r="J199">
            <v>2008</v>
          </cell>
          <cell r="K199">
            <v>2009</v>
          </cell>
          <cell r="L199" t="str">
            <v>2010E</v>
          </cell>
          <cell r="N199" t="str">
            <v>Max</v>
          </cell>
          <cell r="O199" t="str">
            <v>Min</v>
          </cell>
          <cell r="P199" t="str">
            <v>2010 vs max</v>
          </cell>
        </row>
        <row r="200">
          <cell r="A200" t="str">
            <v>Victoria's Secret Stores</v>
          </cell>
          <cell r="C200">
            <v>550.8625136110951</v>
          </cell>
          <cell r="D200">
            <v>577.77050253724008</v>
          </cell>
          <cell r="E200">
            <v>601.54543032240872</v>
          </cell>
          <cell r="F200">
            <v>648.74439929144523</v>
          </cell>
          <cell r="G200">
            <v>652.34070550129047</v>
          </cell>
          <cell r="H200">
            <v>731.47827806059399</v>
          </cell>
          <cell r="I200">
            <v>682.69936370814185</v>
          </cell>
          <cell r="J200">
            <v>613.98471323961724</v>
          </cell>
          <cell r="K200">
            <v>578.92143670427492</v>
          </cell>
          <cell r="L200">
            <v>627.9275198661386</v>
          </cell>
          <cell r="N200">
            <v>731.47827806059399</v>
          </cell>
          <cell r="O200">
            <v>550.8625136110951</v>
          </cell>
          <cell r="P200">
            <v>-0.14156368179381196</v>
          </cell>
        </row>
        <row r="202">
          <cell r="A202" t="str">
            <v>AEO calculations</v>
          </cell>
          <cell r="B202">
            <v>2000</v>
          </cell>
          <cell r="C202">
            <v>2001</v>
          </cell>
          <cell r="D202">
            <v>2002</v>
          </cell>
          <cell r="E202">
            <v>2003</v>
          </cell>
          <cell r="F202">
            <v>2004</v>
          </cell>
          <cell r="G202">
            <v>2005</v>
          </cell>
          <cell r="H202">
            <v>2006</v>
          </cell>
          <cell r="I202">
            <v>2007</v>
          </cell>
          <cell r="J202">
            <v>2008</v>
          </cell>
          <cell r="K202" t="str">
            <v>2009</v>
          </cell>
          <cell r="L202">
            <v>2010</v>
          </cell>
          <cell r="N202" t="str">
            <v>Max</v>
          </cell>
          <cell r="O202" t="str">
            <v>Min</v>
          </cell>
          <cell r="P202" t="str">
            <v>2010 vs max</v>
          </cell>
        </row>
        <row r="203">
          <cell r="A203" t="str">
            <v>aerie</v>
          </cell>
          <cell r="B203" t="str">
            <v>NA</v>
          </cell>
          <cell r="C203" t="str">
            <v>NA</v>
          </cell>
          <cell r="D203" t="str">
            <v>NA</v>
          </cell>
          <cell r="E203" t="str">
            <v>NA</v>
          </cell>
          <cell r="F203" t="str">
            <v>NA</v>
          </cell>
          <cell r="G203" t="str">
            <v>NA</v>
          </cell>
          <cell r="H203" t="str">
            <v>NA</v>
          </cell>
          <cell r="I203">
            <v>65.076999999999998</v>
          </cell>
          <cell r="J203">
            <v>338.88775000000004</v>
          </cell>
          <cell r="K203">
            <v>514.66875000000005</v>
          </cell>
          <cell r="L203">
            <v>567.74511678832118</v>
          </cell>
          <cell r="N203">
            <v>514.66875000000005</v>
          </cell>
          <cell r="O203">
            <v>65.076999999999998</v>
          </cell>
          <cell r="P203">
            <v>0.10312723822521019</v>
          </cell>
        </row>
      </sheetData>
      <sheetData sheetId="16"/>
      <sheetData sheetId="17"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efreshError="1">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efreshError="1">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Analysis"/>
      <sheetName val="For Inv. Report"/>
      <sheetName val="Inv"/>
      <sheetName val="Debt"/>
      <sheetName val="  "/>
      <sheetName val="JCP"/>
      <sheetName val="JWN"/>
      <sheetName val="KSS"/>
      <sheetName val="M"/>
      <sheetName val="SKS"/>
      <sheetName val="CapEx"/>
      <sheetName val="__FDSCACHE__"/>
      <sheetName val="MW-Cache"/>
    </sheetNames>
    <sheetDataSet>
      <sheetData sheetId="0"/>
      <sheetData sheetId="1"/>
      <sheetData sheetId="2"/>
      <sheetData sheetId="3"/>
      <sheetData sheetId="4"/>
      <sheetData sheetId="5"/>
      <sheetData sheetId="6">
        <row r="54">
          <cell r="A54" t="str">
            <v>1 Yr Comps</v>
          </cell>
          <cell r="B54" t="str">
            <v>2007Q1</v>
          </cell>
          <cell r="C54" t="str">
            <v>2007Q2</v>
          </cell>
          <cell r="D54" t="str">
            <v>2007Q3</v>
          </cell>
          <cell r="E54" t="str">
            <v>2007Q4</v>
          </cell>
          <cell r="F54" t="str">
            <v>2008Q1</v>
          </cell>
          <cell r="G54" t="str">
            <v>2008Q2</v>
          </cell>
          <cell r="H54" t="str">
            <v>2008Q3</v>
          </cell>
          <cell r="I54" t="str">
            <v>2008Q4</v>
          </cell>
          <cell r="J54" t="str">
            <v>2009Q1</v>
          </cell>
          <cell r="K54" t="str">
            <v>2009Q2</v>
          </cell>
          <cell r="L54" t="str">
            <v>2009Q3</v>
          </cell>
          <cell r="M54" t="str">
            <v>2009Q4</v>
          </cell>
          <cell r="N54" t="str">
            <v>2010Q1</v>
          </cell>
          <cell r="O54" t="str">
            <v>2010Q2</v>
          </cell>
          <cell r="P54" t="str">
            <v>2010Q3</v>
          </cell>
          <cell r="Q54" t="str">
            <v>2010Q4</v>
          </cell>
          <cell r="R54" t="str">
            <v>2011Q1</v>
          </cell>
          <cell r="S54" t="str">
            <v>2011Q2</v>
          </cell>
          <cell r="T54" t="str">
            <v>2011Q3</v>
          </cell>
          <cell r="U54" t="str">
            <v>2011Q4e</v>
          </cell>
          <cell r="V54" t="str">
            <v>2012Q1e</v>
          </cell>
          <cell r="W54" t="str">
            <v>2012Q2e</v>
          </cell>
          <cell r="X54" t="str">
            <v>2012Q3e</v>
          </cell>
          <cell r="Y54" t="str">
            <v>2012Q4e</v>
          </cell>
        </row>
        <row r="55">
          <cell r="A55" t="str">
            <v>JCP</v>
          </cell>
          <cell r="B55">
            <v>2.1999999999999999E-2</v>
          </cell>
          <cell r="C55">
            <v>1.9E-2</v>
          </cell>
          <cell r="D55">
            <v>-3.5000000000000003E-2</v>
          </cell>
          <cell r="E55">
            <v>-3.5999999999999997E-2</v>
          </cell>
          <cell r="F55">
            <v>-7.3999999999999996E-2</v>
          </cell>
          <cell r="G55">
            <v>-4.2999999999999997E-2</v>
          </cell>
          <cell r="H55">
            <v>-0.10100000000000001</v>
          </cell>
          <cell r="I55">
            <v>-0.108</v>
          </cell>
          <cell r="J55">
            <v>-7.4999999999999997E-2</v>
          </cell>
          <cell r="K55">
            <v>-9.5000000000000001E-2</v>
          </cell>
          <cell r="L55">
            <v>-4.5999999999999999E-2</v>
          </cell>
          <cell r="M55">
            <v>-4.4999999999999998E-2</v>
          </cell>
          <cell r="N55">
            <v>1.6E-2</v>
          </cell>
          <cell r="O55">
            <v>8.9999999999999993E-3</v>
          </cell>
          <cell r="P55">
            <v>1.9E-2</v>
          </cell>
          <cell r="Q55">
            <v>4.4999999999999998E-2</v>
          </cell>
          <cell r="R55">
            <v>3.7999999999999999E-2</v>
          </cell>
          <cell r="S55">
            <v>1.4999999999999999E-2</v>
          </cell>
          <cell r="T55">
            <v>0</v>
          </cell>
          <cell r="U55">
            <v>0</v>
          </cell>
          <cell r="V55">
            <v>-2.1608157959071499E-2</v>
          </cell>
          <cell r="W55">
            <v>-1.1378008352056337E-2</v>
          </cell>
          <cell r="X55">
            <v>4.2433391807850905E-3</v>
          </cell>
          <cell r="Y55">
            <v>3.161220202750066E-3</v>
          </cell>
        </row>
        <row r="56">
          <cell r="A56" t="str">
            <v>M</v>
          </cell>
          <cell r="B56">
            <v>6.0000000000000001E-3</v>
          </cell>
          <cell r="C56">
            <v>-2.5999999999999999E-2</v>
          </cell>
          <cell r="D56">
            <v>-8.0000000000000002E-3</v>
          </cell>
          <cell r="E56">
            <v>-0.02</v>
          </cell>
          <cell r="F56">
            <v>-2.5999999999999999E-2</v>
          </cell>
          <cell r="G56">
            <v>-2.1000000000000001E-2</v>
          </cell>
          <cell r="H56">
            <v>-0.06</v>
          </cell>
          <cell r="I56">
            <v>-7.0000000000000007E-2</v>
          </cell>
          <cell r="J56">
            <v>-0.09</v>
          </cell>
          <cell r="K56">
            <v>-9.5000000000000001E-2</v>
          </cell>
          <cell r="L56">
            <v>-3.5999999999999997E-2</v>
          </cell>
          <cell r="M56">
            <v>-8.0000000000000002E-3</v>
          </cell>
          <cell r="N56">
            <v>5.5E-2</v>
          </cell>
          <cell r="O56">
            <v>4.9000000000000002E-2</v>
          </cell>
          <cell r="P56">
            <v>3.9E-2</v>
          </cell>
          <cell r="Q56">
            <v>4.2999999999999997E-2</v>
          </cell>
          <cell r="R56">
            <v>5.3999999999999999E-2</v>
          </cell>
          <cell r="S56">
            <v>6.4000000000000001E-2</v>
          </cell>
          <cell r="T56">
            <v>0.04</v>
          </cell>
          <cell r="U56">
            <v>5.1999999999999998E-2</v>
          </cell>
          <cell r="V56">
            <v>3.1230920582903131E-2</v>
          </cell>
          <cell r="W56">
            <v>2.9742596430138542E-2</v>
          </cell>
          <cell r="X56">
            <v>4.4925303944057193E-2</v>
          </cell>
          <cell r="Y56">
            <v>3.4620305559042677E-2</v>
          </cell>
        </row>
        <row r="57">
          <cell r="A57" t="str">
            <v>KSS</v>
          </cell>
          <cell r="B57">
            <v>3.9E-2</v>
          </cell>
          <cell r="C57">
            <v>1.2999999999999999E-2</v>
          </cell>
          <cell r="D57">
            <v>-2.5683781240196588E-2</v>
          </cell>
          <cell r="E57">
            <v>-0.04</v>
          </cell>
          <cell r="F57">
            <v>-6.7000000000000004E-2</v>
          </cell>
          <cell r="G57">
            <v>-4.5999999999999999E-2</v>
          </cell>
          <cell r="H57">
            <v>-6.7000000000000004E-2</v>
          </cell>
          <cell r="I57">
            <v>-9.0999999999999998E-2</v>
          </cell>
          <cell r="J57">
            <v>-4.2000000000000003E-2</v>
          </cell>
          <cell r="K57">
            <v>-2.3E-2</v>
          </cell>
          <cell r="L57">
            <v>2.4E-2</v>
          </cell>
          <cell r="M57">
            <v>4.4999999999999998E-2</v>
          </cell>
          <cell r="N57">
            <v>7.3999999999999996E-2</v>
          </cell>
          <cell r="O57">
            <v>4.5999999999999999E-2</v>
          </cell>
          <cell r="P57">
            <v>1.7999999999999999E-2</v>
          </cell>
          <cell r="Q57">
            <v>4.2999999999999997E-2</v>
          </cell>
          <cell r="R57">
            <v>1.2999999999999999E-2</v>
          </cell>
          <cell r="S57">
            <v>1.9E-2</v>
          </cell>
          <cell r="T57">
            <v>2.1000000000000001E-2</v>
          </cell>
          <cell r="U57">
            <v>-2.1000000000000001E-2</v>
          </cell>
          <cell r="V57">
            <v>-2.8459367930321836E-3</v>
          </cell>
          <cell r="W57">
            <v>3.7799915846087641E-3</v>
          </cell>
          <cell r="X57">
            <v>8.2509903068364102E-3</v>
          </cell>
          <cell r="Y57">
            <v>2.2272400277867151E-2</v>
          </cell>
        </row>
        <row r="58">
          <cell r="A58" t="str">
            <v>BONT</v>
          </cell>
          <cell r="B58">
            <v>-2.5000000000000001E-2</v>
          </cell>
          <cell r="C58">
            <v>-0.05</v>
          </cell>
          <cell r="D58">
            <v>-0.03</v>
          </cell>
          <cell r="E58">
            <v>-3.5999999999999997E-2</v>
          </cell>
          <cell r="F58">
            <v>-4.5999999999999999E-2</v>
          </cell>
          <cell r="G58">
            <v>-5.7000000000000002E-2</v>
          </cell>
          <cell r="H58">
            <v>-8.3000000000000004E-2</v>
          </cell>
          <cell r="I58">
            <v>-9.7000000000000003E-2</v>
          </cell>
          <cell r="J58">
            <v>-8.5999999999999993E-2</v>
          </cell>
          <cell r="K58">
            <v>-9.8000000000000004E-2</v>
          </cell>
          <cell r="L58">
            <v>-2.5999999999999999E-2</v>
          </cell>
          <cell r="M58">
            <v>-2.4E-2</v>
          </cell>
          <cell r="N58">
            <v>0.03</v>
          </cell>
          <cell r="O58">
            <v>2E-3</v>
          </cell>
          <cell r="P58">
            <v>-3.0000000000000001E-3</v>
          </cell>
          <cell r="Q58">
            <v>8.0000000000000002E-3</v>
          </cell>
          <cell r="R58">
            <v>-1.2E-2</v>
          </cell>
          <cell r="S58">
            <v>-1.4999999999999999E-2</v>
          </cell>
          <cell r="T58">
            <v>-5.8999999999999997E-2</v>
          </cell>
          <cell r="U58">
            <v>-0.03</v>
          </cell>
        </row>
        <row r="59">
          <cell r="A59" t="str">
            <v>DDS</v>
          </cell>
          <cell r="B59">
            <v>-0.05</v>
          </cell>
          <cell r="C59">
            <v>-0.03</v>
          </cell>
          <cell r="D59">
            <v>-0.06</v>
          </cell>
          <cell r="E59">
            <v>-0.05</v>
          </cell>
          <cell r="F59">
            <v>-0.06</v>
          </cell>
          <cell r="G59">
            <v>-0.04</v>
          </cell>
          <cell r="H59">
            <v>-0.09</v>
          </cell>
          <cell r="I59">
            <v>-0.08</v>
          </cell>
          <cell r="J59">
            <v>-0.13</v>
          </cell>
          <cell r="K59">
            <v>-0.13</v>
          </cell>
          <cell r="L59">
            <v>-0.09</v>
          </cell>
          <cell r="M59">
            <v>-0.08</v>
          </cell>
          <cell r="N59">
            <v>0.02</v>
          </cell>
          <cell r="O59">
            <v>0</v>
          </cell>
          <cell r="P59">
            <v>0.01</v>
          </cell>
          <cell r="Q59">
            <v>7.0000000000000007E-2</v>
          </cell>
          <cell r="R59">
            <v>0.02</v>
          </cell>
          <cell r="S59">
            <v>0.06</v>
          </cell>
          <cell r="T59">
            <v>0.05</v>
          </cell>
          <cell r="U59">
            <v>0.02</v>
          </cell>
        </row>
        <row r="60">
          <cell r="A60" t="str">
            <v>Spread</v>
          </cell>
          <cell r="B60">
            <v>-5.0000000000000044E-4</v>
          </cell>
          <cell r="C60">
            <v>2.5499999999999998E-2</v>
          </cell>
          <cell r="D60">
            <v>-1.8158109379901709E-2</v>
          </cell>
          <cell r="E60">
            <v>-5.9999999999999984E-3</v>
          </cell>
          <cell r="F60">
            <v>-2.7499999999999997E-2</v>
          </cell>
          <cell r="G60">
            <v>-9.4999999999999946E-3</v>
          </cell>
          <cell r="H60">
            <v>-3.7500000000000006E-2</v>
          </cell>
          <cell r="I60">
            <v>-2.7499999999999997E-2</v>
          </cell>
          <cell r="J60">
            <v>-8.9999999999999941E-3</v>
          </cell>
          <cell r="K60">
            <v>-3.6000000000000004E-2</v>
          </cell>
          <cell r="L60">
            <v>-0.04</v>
          </cell>
          <cell r="M60">
            <v>-6.3500000000000001E-2</v>
          </cell>
          <cell r="N60">
            <v>-4.8500000000000001E-2</v>
          </cell>
          <cell r="O60">
            <v>-3.85E-2</v>
          </cell>
          <cell r="P60">
            <v>-9.499999999999998E-3</v>
          </cell>
          <cell r="Q60">
            <v>2.0000000000000018E-3</v>
          </cell>
          <cell r="R60">
            <v>4.4999999999999971E-3</v>
          </cell>
          <cell r="S60">
            <v>-2.6500000000000003E-2</v>
          </cell>
          <cell r="T60">
            <v>-3.0499999999999999E-2</v>
          </cell>
          <cell r="U60">
            <v>-1.5499999999999998E-2</v>
          </cell>
          <cell r="V60">
            <v>-3.5800649854006973E-2</v>
          </cell>
          <cell r="W60">
            <v>-2.8139302359429991E-2</v>
          </cell>
          <cell r="X60">
            <v>-2.2344807944661711E-2</v>
          </cell>
          <cell r="Y60">
            <v>-2.5285132715704848E-2</v>
          </cell>
        </row>
        <row r="61">
          <cell r="G61" t="str">
            <v>2Q08</v>
          </cell>
          <cell r="H61" t="str">
            <v>3Q08</v>
          </cell>
          <cell r="I61" t="str">
            <v>4Q08</v>
          </cell>
          <cell r="J61" t="str">
            <v>1Q09</v>
          </cell>
          <cell r="K61" t="str">
            <v>2Q09</v>
          </cell>
          <cell r="L61" t="str">
            <v>3Q09</v>
          </cell>
          <cell r="M61" t="str">
            <v>4Q09</v>
          </cell>
          <cell r="N61" t="str">
            <v>1Q10</v>
          </cell>
          <cell r="O61" t="str">
            <v>2Q10</v>
          </cell>
          <cell r="P61" t="str">
            <v>3Q10</v>
          </cell>
          <cell r="Q61" t="str">
            <v>4Q10</v>
          </cell>
          <cell r="R61" t="str">
            <v>1Q11</v>
          </cell>
          <cell r="S61" t="str">
            <v>2Q11</v>
          </cell>
          <cell r="T61" t="str">
            <v xml:space="preserve">3Q11 </v>
          </cell>
          <cell r="U61" t="str">
            <v>4Q11e</v>
          </cell>
          <cell r="V61" t="str">
            <v>1Q12e</v>
          </cell>
          <cell r="W61" t="str">
            <v>2Q12e</v>
          </cell>
          <cell r="X61" t="str">
            <v>3Q12e</v>
          </cell>
          <cell r="Y61" t="str">
            <v>4Q11e</v>
          </cell>
        </row>
        <row r="62">
          <cell r="A62" t="str">
            <v>2 Yr Comps</v>
          </cell>
          <cell r="B62" t="str">
            <v>2007Q1</v>
          </cell>
          <cell r="C62" t="str">
            <v>2007Q2</v>
          </cell>
          <cell r="D62" t="str">
            <v>2007Q3</v>
          </cell>
          <cell r="E62" t="str">
            <v>2007Q4</v>
          </cell>
          <cell r="F62" t="str">
            <v>2008Q1</v>
          </cell>
          <cell r="G62" t="str">
            <v>2008Q2</v>
          </cell>
          <cell r="H62" t="str">
            <v>2008Q3</v>
          </cell>
          <cell r="I62" t="str">
            <v>2008Q4</v>
          </cell>
          <cell r="J62" t="str">
            <v>2009Q1</v>
          </cell>
          <cell r="K62" t="str">
            <v>2009Q2</v>
          </cell>
          <cell r="L62" t="str">
            <v>2009Q3</v>
          </cell>
          <cell r="M62" t="str">
            <v>2009Q4</v>
          </cell>
          <cell r="N62" t="str">
            <v>2010Q1</v>
          </cell>
          <cell r="O62" t="str">
            <v>2010Q2</v>
          </cell>
          <cell r="P62" t="str">
            <v>2010Q3</v>
          </cell>
          <cell r="Q62" t="str">
            <v>2010Q4</v>
          </cell>
          <cell r="R62" t="str">
            <v>2011Q1</v>
          </cell>
          <cell r="S62" t="str">
            <v>2011Q2</v>
          </cell>
          <cell r="T62" t="str">
            <v>2011Q3</v>
          </cell>
          <cell r="U62" t="str">
            <v>2011Q4e</v>
          </cell>
          <cell r="V62" t="str">
            <v>2012Q1e</v>
          </cell>
          <cell r="W62" t="str">
            <v>2012Q2e</v>
          </cell>
          <cell r="X62" t="str">
            <v>2012Q3e</v>
          </cell>
          <cell r="Y62" t="str">
            <v>2012Q4e</v>
          </cell>
        </row>
        <row r="63">
          <cell r="A63" t="str">
            <v>JCP</v>
          </cell>
          <cell r="F63">
            <v>-2.5999999999999999E-2</v>
          </cell>
          <cell r="G63">
            <v>-1.1999999999999999E-2</v>
          </cell>
          <cell r="H63">
            <v>-6.8000000000000005E-2</v>
          </cell>
          <cell r="I63">
            <v>-7.1999999999999995E-2</v>
          </cell>
          <cell r="J63">
            <v>-7.4499999999999997E-2</v>
          </cell>
          <cell r="K63">
            <v>-6.9000000000000006E-2</v>
          </cell>
          <cell r="L63">
            <v>-7.350000000000001E-2</v>
          </cell>
          <cell r="M63">
            <v>-7.6499999999999999E-2</v>
          </cell>
          <cell r="N63">
            <v>-2.9499999999999998E-2</v>
          </cell>
          <cell r="O63">
            <v>-4.3000000000000003E-2</v>
          </cell>
          <cell r="P63">
            <v>-1.35E-2</v>
          </cell>
          <cell r="Q63">
            <v>0</v>
          </cell>
          <cell r="R63">
            <v>2.7E-2</v>
          </cell>
          <cell r="S63">
            <v>1.2E-2</v>
          </cell>
          <cell r="T63">
            <v>9.4999999999999998E-3</v>
          </cell>
          <cell r="U63">
            <v>2.2499999999999999E-2</v>
          </cell>
          <cell r="V63">
            <v>8.1959210204642502E-3</v>
          </cell>
          <cell r="W63">
            <v>1.810995823971831E-3</v>
          </cell>
          <cell r="X63">
            <v>2.1216695903925453E-3</v>
          </cell>
          <cell r="Y63">
            <v>1.580610101375033E-3</v>
          </cell>
        </row>
        <row r="64">
          <cell r="A64" t="str">
            <v>M</v>
          </cell>
          <cell r="F64">
            <v>-9.9999999999999985E-3</v>
          </cell>
          <cell r="G64">
            <v>-2.35E-2</v>
          </cell>
          <cell r="H64">
            <v>-3.4000000000000002E-2</v>
          </cell>
          <cell r="I64">
            <v>-4.5000000000000005E-2</v>
          </cell>
          <cell r="J64">
            <v>-5.7999999999999996E-2</v>
          </cell>
          <cell r="K64">
            <v>-5.8000000000000003E-2</v>
          </cell>
          <cell r="L64">
            <v>-4.8000000000000001E-2</v>
          </cell>
          <cell r="M64">
            <v>-3.9000000000000007E-2</v>
          </cell>
          <cell r="N64">
            <v>-1.7499999999999998E-2</v>
          </cell>
          <cell r="O64">
            <v>-2.3E-2</v>
          </cell>
          <cell r="P64">
            <v>1.5000000000000013E-3</v>
          </cell>
          <cell r="Q64">
            <v>1.7499999999999998E-2</v>
          </cell>
          <cell r="R64">
            <v>5.45E-2</v>
          </cell>
          <cell r="S64">
            <v>5.6500000000000002E-2</v>
          </cell>
          <cell r="T64">
            <v>3.95E-2</v>
          </cell>
          <cell r="U64">
            <v>4.7500000000000001E-2</v>
          </cell>
          <cell r="V64">
            <v>4.2615460291451565E-2</v>
          </cell>
          <cell r="W64">
            <v>4.6871298215069274E-2</v>
          </cell>
          <cell r="X64">
            <v>4.2462651972028601E-2</v>
          </cell>
          <cell r="Y64">
            <v>4.3310152779521341E-2</v>
          </cell>
        </row>
        <row r="65">
          <cell r="A65" t="str">
            <v>KSS</v>
          </cell>
          <cell r="F65">
            <v>-1.4000000000000002E-2</v>
          </cell>
          <cell r="G65">
            <v>-1.6500000000000001E-2</v>
          </cell>
          <cell r="H65">
            <v>-4.6341890620098296E-2</v>
          </cell>
          <cell r="I65">
            <v>-6.5500000000000003E-2</v>
          </cell>
          <cell r="J65">
            <v>-5.4500000000000007E-2</v>
          </cell>
          <cell r="K65">
            <v>-3.4500000000000003E-2</v>
          </cell>
          <cell r="L65">
            <v>-2.1500000000000002E-2</v>
          </cell>
          <cell r="M65">
            <v>-2.3E-2</v>
          </cell>
          <cell r="N65">
            <v>1.5999999999999997E-2</v>
          </cell>
          <cell r="O65">
            <v>1.15E-2</v>
          </cell>
          <cell r="P65">
            <v>2.0999999999999998E-2</v>
          </cell>
          <cell r="Q65">
            <v>4.3999999999999997E-2</v>
          </cell>
          <cell r="R65">
            <v>4.3499999999999997E-2</v>
          </cell>
          <cell r="S65">
            <v>3.2500000000000001E-2</v>
          </cell>
          <cell r="T65">
            <v>1.95E-2</v>
          </cell>
          <cell r="U65">
            <v>1.0999999999999998E-2</v>
          </cell>
          <cell r="V65">
            <v>5.0770316034839079E-3</v>
          </cell>
          <cell r="W65">
            <v>1.1389995792304382E-2</v>
          </cell>
          <cell r="X65">
            <v>1.4625495153418206E-2</v>
          </cell>
          <cell r="Y65">
            <v>6.3620013893357467E-4</v>
          </cell>
        </row>
        <row r="68">
          <cell r="A68" t="str">
            <v>Spread</v>
          </cell>
          <cell r="F68">
            <v>-1.3999999999999999E-2</v>
          </cell>
          <cell r="G68">
            <v>8.0000000000000019E-3</v>
          </cell>
          <cell r="H68">
            <v>-2.7829054689950852E-2</v>
          </cell>
          <cell r="I68">
            <v>-1.6749999999999987E-2</v>
          </cell>
          <cell r="J68">
            <v>-1.8249999999999995E-2</v>
          </cell>
          <cell r="K68">
            <v>-2.2750000000000006E-2</v>
          </cell>
          <cell r="L68">
            <v>-3.8750000000000007E-2</v>
          </cell>
          <cell r="M68">
            <v>-4.5499999999999999E-2</v>
          </cell>
          <cell r="N68">
            <v>-2.8749999999999998E-2</v>
          </cell>
          <cell r="O68">
            <v>-3.7250000000000005E-2</v>
          </cell>
          <cell r="P68">
            <v>-2.4750000000000001E-2</v>
          </cell>
          <cell r="Q68">
            <v>-3.075E-2</v>
          </cell>
          <cell r="R68">
            <v>-2.2000000000000002E-2</v>
          </cell>
          <cell r="S68">
            <v>-3.2500000000000001E-2</v>
          </cell>
          <cell r="T68">
            <v>-1.9999999999999997E-2</v>
          </cell>
          <cell r="U68">
            <v>-6.7499999999999991E-3</v>
          </cell>
          <cell r="V68">
            <v>-1.5650324927003488E-2</v>
          </cell>
          <cell r="W68">
            <v>-2.7319651179714997E-2</v>
          </cell>
          <cell r="X68">
            <v>-2.6422403972330859E-2</v>
          </cell>
          <cell r="Y68">
            <v>-2.0392566357852426E-2</v>
          </cell>
        </row>
        <row r="90">
          <cell r="K90">
            <v>2000</v>
          </cell>
          <cell r="L90">
            <v>2001</v>
          </cell>
          <cell r="M90">
            <v>2002</v>
          </cell>
          <cell r="N90">
            <v>2003</v>
          </cell>
          <cell r="O90">
            <v>2004</v>
          </cell>
          <cell r="P90">
            <v>2005</v>
          </cell>
          <cell r="Q90">
            <v>2006</v>
          </cell>
          <cell r="R90">
            <v>2007</v>
          </cell>
          <cell r="S90">
            <v>2008</v>
          </cell>
          <cell r="T90">
            <v>2009</v>
          </cell>
          <cell r="U90">
            <v>2010</v>
          </cell>
          <cell r="V90" t="str">
            <v>1H11</v>
          </cell>
        </row>
        <row r="91">
          <cell r="C91" t="str">
            <v>2Q10</v>
          </cell>
          <cell r="D91" t="str">
            <v>3Q10</v>
          </cell>
          <cell r="E91" t="str">
            <v>4Q10</v>
          </cell>
          <cell r="F91" t="str">
            <v>1Q11</v>
          </cell>
          <cell r="G91" t="str">
            <v>2Q11</v>
          </cell>
          <cell r="H91" t="str">
            <v>3Q11</v>
          </cell>
          <cell r="J91" t="str">
            <v>JCP</v>
          </cell>
          <cell r="K91">
            <v>-2.4E-2</v>
          </cell>
          <cell r="L91">
            <v>3.125E-2</v>
          </cell>
          <cell r="M91">
            <v>2.8250000000000001E-2</v>
          </cell>
          <cell r="N91">
            <v>8.0000000000000002E-3</v>
          </cell>
          <cell r="O91">
            <v>4.9000000000000002E-2</v>
          </cell>
          <cell r="P91">
            <v>2.9000000000000001E-2</v>
          </cell>
          <cell r="Q91">
            <v>3.6999999999999998E-2</v>
          </cell>
          <cell r="R91">
            <v>-1.0999999999999999E-2</v>
          </cell>
          <cell r="S91">
            <v>-8.5000000000000006E-2</v>
          </cell>
          <cell r="T91">
            <v>-6.3078925007644338E-2</v>
          </cell>
          <cell r="U91">
            <v>0</v>
          </cell>
          <cell r="V91">
            <v>2.6499999999999999E-2</v>
          </cell>
        </row>
        <row r="92">
          <cell r="A92" t="str">
            <v>JCP</v>
          </cell>
          <cell r="C92">
            <v>-2.5000000000000001E-2</v>
          </cell>
          <cell r="D92">
            <v>-2.5000000000000001E-2</v>
          </cell>
          <cell r="E92">
            <v>-2.5000000000000001E-2</v>
          </cell>
          <cell r="F92">
            <v>-0.01</v>
          </cell>
          <cell r="G92">
            <v>-2.5000000000000001E-3</v>
          </cell>
          <cell r="H92">
            <v>2.5000000000000001E-3</v>
          </cell>
          <cell r="J92" t="str">
            <v>M</v>
          </cell>
          <cell r="K92">
            <v>0.02</v>
          </cell>
          <cell r="L92">
            <v>-5.2999999999999999E-2</v>
          </cell>
          <cell r="M92">
            <v>-0.03</v>
          </cell>
          <cell r="N92">
            <v>-9.0000000000000011E-3</v>
          </cell>
          <cell r="O92">
            <v>2.5999999999999999E-2</v>
          </cell>
          <cell r="P92">
            <v>1.2999999999999999E-2</v>
          </cell>
          <cell r="Q92">
            <v>4.3999999999999997E-2</v>
          </cell>
          <cell r="R92">
            <v>-1.2999999999999999E-2</v>
          </cell>
          <cell r="S92">
            <v>-4.4999999999999998E-2</v>
          </cell>
          <cell r="T92">
            <v>-5.2999999999999999E-2</v>
          </cell>
          <cell r="U92">
            <v>4.610434747830261E-2</v>
          </cell>
          <cell r="V92">
            <v>5.8999999999999997E-2</v>
          </cell>
        </row>
        <row r="93">
          <cell r="C93" t="str">
            <v>(LSD)</v>
          </cell>
          <cell r="D93" t="str">
            <v>(LSD)</v>
          </cell>
          <cell r="E93" t="str">
            <v>(LSD)</v>
          </cell>
          <cell r="F93">
            <v>-0.01</v>
          </cell>
          <cell r="G93" t="str">
            <v>Down slightly</v>
          </cell>
          <cell r="H93" t="str">
            <v>Up slightly</v>
          </cell>
          <cell r="J93" t="str">
            <v>KSS</v>
          </cell>
          <cell r="K93">
            <v>9.5515620428464607E-2</v>
          </cell>
          <cell r="L93">
            <v>6.8000000000000005E-2</v>
          </cell>
          <cell r="M93">
            <v>5.9056288469869427E-2</v>
          </cell>
          <cell r="N93">
            <v>-1.2342184383842436E-2</v>
          </cell>
          <cell r="O93">
            <v>5.4574854495884851E-3</v>
          </cell>
          <cell r="P93">
            <v>3.6890876124815335E-2</v>
          </cell>
          <cell r="Q93">
            <v>5.8999999999999997E-2</v>
          </cell>
          <cell r="R93">
            <v>-7.9988102247825314E-3</v>
          </cell>
          <cell r="S93">
            <v>-6.9000000000000006E-2</v>
          </cell>
          <cell r="T93">
            <v>6.5541130581591653E-3</v>
          </cell>
          <cell r="U93">
            <v>4.4736447175248759E-2</v>
          </cell>
          <cell r="V93">
            <v>1.6E-2</v>
          </cell>
        </row>
        <row r="94">
          <cell r="J94" t="str">
            <v>DDS</v>
          </cell>
          <cell r="L94">
            <v>-0.05</v>
          </cell>
          <cell r="M94">
            <v>-0.03</v>
          </cell>
          <cell r="N94">
            <v>-0.04</v>
          </cell>
          <cell r="O94">
            <v>-0.01</v>
          </cell>
          <cell r="P94">
            <v>0</v>
          </cell>
          <cell r="Q94">
            <v>0</v>
          </cell>
          <cell r="R94">
            <v>-0.06</v>
          </cell>
          <cell r="S94">
            <v>-7.0000000000000007E-2</v>
          </cell>
          <cell r="T94">
            <v>-0.1</v>
          </cell>
          <cell r="U94">
            <v>0.03</v>
          </cell>
          <cell r="V94">
            <v>0.04</v>
          </cell>
        </row>
        <row r="95">
          <cell r="J95" t="str">
            <v>Spread</v>
          </cell>
          <cell r="K95">
            <v>-8.1757810214232313E-2</v>
          </cell>
          <cell r="L95">
            <v>4.2916666666666665E-2</v>
          </cell>
          <cell r="M95">
            <v>2.8564570510043526E-2</v>
          </cell>
          <cell r="N95">
            <v>2.8447394794614146E-2</v>
          </cell>
          <cell r="O95">
            <v>4.1847504850137177E-2</v>
          </cell>
          <cell r="P95">
            <v>1.2369707958394892E-2</v>
          </cell>
          <cell r="Q95">
            <v>2.6666666666666644E-3</v>
          </cell>
          <cell r="R95">
            <v>1.5999603408260843E-2</v>
          </cell>
          <cell r="S95">
            <v>-2.3666666666666676E-2</v>
          </cell>
          <cell r="T95">
            <v>-1.4263629360364051E-2</v>
          </cell>
          <cell r="U95">
            <v>-4.0280264884517122E-2</v>
          </cell>
          <cell r="V95">
            <v>-1.1833333333333331E-2</v>
          </cell>
        </row>
        <row r="99">
          <cell r="K99" t="str">
            <v>2010Q3</v>
          </cell>
          <cell r="L99" t="str">
            <v>2010Q4</v>
          </cell>
          <cell r="M99" t="str">
            <v>2011Q1</v>
          </cell>
          <cell r="N99" t="str">
            <v>2011Q2</v>
          </cell>
        </row>
        <row r="100">
          <cell r="J100" t="str">
            <v>JCP</v>
          </cell>
          <cell r="K100">
            <v>1.9E-2</v>
          </cell>
          <cell r="L100">
            <v>4.4999999999999998E-2</v>
          </cell>
          <cell r="M100">
            <v>3.7999999999999999E-2</v>
          </cell>
          <cell r="N100">
            <v>1.4999999999999999E-2</v>
          </cell>
        </row>
        <row r="101">
          <cell r="J101" t="str">
            <v>KSS</v>
          </cell>
          <cell r="K101">
            <v>1.7999999999999999E-2</v>
          </cell>
          <cell r="L101">
            <v>4.2999999999999997E-2</v>
          </cell>
          <cell r="M101">
            <v>1.2999999999999999E-2</v>
          </cell>
          <cell r="N101">
            <v>1.9E-2</v>
          </cell>
        </row>
        <row r="102">
          <cell r="J102" t="str">
            <v>M</v>
          </cell>
          <cell r="K102">
            <v>3.9E-2</v>
          </cell>
          <cell r="L102">
            <v>4.2999999999999997E-2</v>
          </cell>
          <cell r="M102">
            <v>5.3999999999999999E-2</v>
          </cell>
          <cell r="N102">
            <v>6.4000000000000001E-2</v>
          </cell>
        </row>
        <row r="103">
          <cell r="J103" t="str">
            <v>DDS</v>
          </cell>
          <cell r="K103">
            <v>0.01</v>
          </cell>
          <cell r="L103">
            <v>7.0000000000000007E-2</v>
          </cell>
          <cell r="M103">
            <v>0.02</v>
          </cell>
          <cell r="N103">
            <v>3.6999999999999998E-2</v>
          </cell>
        </row>
        <row r="104">
          <cell r="J104" t="str">
            <v>Mid-Tier Avg</v>
          </cell>
          <cell r="K104">
            <v>2.233333333333333E-2</v>
          </cell>
          <cell r="L104">
            <v>5.1999999999999998E-2</v>
          </cell>
          <cell r="M104">
            <v>2.9000000000000001E-2</v>
          </cell>
          <cell r="N104">
            <v>0.04</v>
          </cell>
        </row>
        <row r="106">
          <cell r="K106" t="str">
            <v>2010Q3</v>
          </cell>
          <cell r="L106" t="str">
            <v>2010Q4</v>
          </cell>
          <cell r="M106" t="str">
            <v>2011Q1</v>
          </cell>
          <cell r="N106" t="str">
            <v>2011Q2</v>
          </cell>
          <cell r="O106" t="str">
            <v>2011Q3</v>
          </cell>
        </row>
        <row r="107">
          <cell r="J107" t="str">
            <v>JCP Comps</v>
          </cell>
          <cell r="K107">
            <v>1.9E-2</v>
          </cell>
          <cell r="L107">
            <v>4.4999999999999998E-2</v>
          </cell>
          <cell r="M107">
            <v>3.7999999999999999E-2</v>
          </cell>
          <cell r="N107">
            <v>1.4999999999999999E-2</v>
          </cell>
          <cell r="O107">
            <v>0</v>
          </cell>
        </row>
        <row r="108">
          <cell r="J108" t="str">
            <v>Inv/Sq Ft Growth</v>
          </cell>
          <cell r="K108">
            <v>5.4328650481654694E-2</v>
          </cell>
          <cell r="L108">
            <v>5.4855434578787277E-2</v>
          </cell>
          <cell r="M108">
            <v>6.4199331544402716E-2</v>
          </cell>
          <cell r="N108">
            <v>-0.9183550471876234</v>
          </cell>
          <cell r="O108">
            <v>-0.9182500174951681</v>
          </cell>
        </row>
        <row r="109">
          <cell r="J109" t="str">
            <v>Spread</v>
          </cell>
          <cell r="K109">
            <v>-353.28650481654694</v>
          </cell>
          <cell r="L109">
            <v>-98.554345787872776</v>
          </cell>
          <cell r="M109">
            <v>-261.99331544402719</v>
          </cell>
          <cell r="N109">
            <v>9333.550471876235</v>
          </cell>
          <cell r="O109">
            <v>9182.5001749516814</v>
          </cell>
        </row>
      </sheetData>
      <sheetData sheetId="7">
        <row r="20">
          <cell r="M20" t="str">
            <v>Valuation</v>
          </cell>
        </row>
        <row r="53">
          <cell r="B53" t="str">
            <v>2010Q1</v>
          </cell>
          <cell r="C53" t="str">
            <v>2010Q2</v>
          </cell>
          <cell r="D53" t="str">
            <v>2010Q3</v>
          </cell>
          <cell r="E53" t="str">
            <v>2010Q4</v>
          </cell>
          <cell r="F53" t="str">
            <v>2011Q1</v>
          </cell>
          <cell r="G53" t="str">
            <v>2011Q2E</v>
          </cell>
        </row>
        <row r="54">
          <cell r="A54" t="str">
            <v>JWN</v>
          </cell>
          <cell r="B54">
            <v>-1.2000000000000011E-2</v>
          </cell>
          <cell r="C54">
            <v>-1.3999999999999999E-2</v>
          </cell>
          <cell r="D54">
            <v>4.5999999999999999E-2</v>
          </cell>
          <cell r="E54">
            <v>0.13600000000000001</v>
          </cell>
          <cell r="F54">
            <v>0.185</v>
          </cell>
          <cell r="G54">
            <v>0.157</v>
          </cell>
        </row>
        <row r="55">
          <cell r="A55" t="str">
            <v>JCP</v>
          </cell>
          <cell r="B55">
            <v>-5.8999999999999997E-2</v>
          </cell>
          <cell r="C55">
            <v>-8.6000000000000007E-2</v>
          </cell>
          <cell r="D55">
            <v>-2.7E-2</v>
          </cell>
          <cell r="E55">
            <v>0</v>
          </cell>
          <cell r="F55">
            <v>5.3999999999999999E-2</v>
          </cell>
          <cell r="G55">
            <v>2.4E-2</v>
          </cell>
          <cell r="J55">
            <v>0.01</v>
          </cell>
        </row>
        <row r="56">
          <cell r="A56" t="str">
            <v>M</v>
          </cell>
          <cell r="B56">
            <v>-3.4999999999999996E-2</v>
          </cell>
          <cell r="C56">
            <v>-4.5999999999999999E-2</v>
          </cell>
          <cell r="D56">
            <v>3.0000000000000027E-3</v>
          </cell>
          <cell r="E56">
            <v>3.4999999999999996E-2</v>
          </cell>
          <cell r="F56">
            <v>0.109</v>
          </cell>
          <cell r="G56">
            <v>0.113</v>
          </cell>
          <cell r="J56" t="str">
            <v>+MSD</v>
          </cell>
        </row>
        <row r="57">
          <cell r="A57" t="str">
            <v>KSS</v>
          </cell>
          <cell r="B57">
            <v>3.1999999999999994E-2</v>
          </cell>
          <cell r="C57">
            <v>2.3E-2</v>
          </cell>
          <cell r="D57">
            <v>4.1999999999999996E-2</v>
          </cell>
          <cell r="E57">
            <v>8.7999999999999995E-2</v>
          </cell>
          <cell r="F57">
            <v>8.6999999999999994E-2</v>
          </cell>
          <cell r="G57">
            <v>6.5000000000000002E-2</v>
          </cell>
          <cell r="J57" t="str">
            <v>+LSD</v>
          </cell>
        </row>
        <row r="58">
          <cell r="A58" t="str">
            <v>Spread</v>
          </cell>
          <cell r="B58">
            <v>8.6666666666666593E-3</v>
          </cell>
          <cell r="C58">
            <v>2.2333333333333337E-2</v>
          </cell>
          <cell r="D58">
            <v>0.04</v>
          </cell>
          <cell r="E58">
            <v>9.5000000000000001E-2</v>
          </cell>
          <cell r="F58">
            <v>0.10166666666666667</v>
          </cell>
          <cell r="G58">
            <v>8.9666666666666658E-2</v>
          </cell>
          <cell r="J58" t="str">
            <v>+MSD</v>
          </cell>
        </row>
        <row r="60">
          <cell r="L60" t="str">
            <v>Feb '11</v>
          </cell>
          <cell r="M60" t="str">
            <v>Mar '11</v>
          </cell>
          <cell r="N60" t="str">
            <v>Apr '11</v>
          </cell>
          <cell r="O60" t="str">
            <v>May '11</v>
          </cell>
        </row>
        <row r="61">
          <cell r="J61" t="str">
            <v>JWN</v>
          </cell>
          <cell r="L61">
            <v>0.01</v>
          </cell>
          <cell r="M61">
            <v>0.05</v>
          </cell>
          <cell r="N61">
            <v>0.01</v>
          </cell>
          <cell r="O61">
            <v>0.05</v>
          </cell>
        </row>
      </sheetData>
      <sheetData sheetId="8"/>
      <sheetData sheetId="9"/>
      <sheetData sheetId="10"/>
      <sheetData sheetId="11"/>
      <sheetData sheetId="12"/>
      <sheetData sheetId="13"/>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sk-Reward_View_Chart"/>
      <sheetName val="Bear_to_Bull_Data"/>
      <sheetName val="Comparative_Risk-Reward_Chart"/>
      <sheetName val="Comparative_Risk-Reward_Data"/>
      <sheetName val="Value_of_Growth_Chart"/>
      <sheetName val="Value_of_Growth_Data"/>
    </sheetNames>
    <sheetDataSet>
      <sheetData sheetId="0"/>
      <sheetData sheetId="1"/>
      <sheetData sheetId="2">
        <row r="1">
          <cell r="C1" t="str">
            <v>Please Enter
POSITIVE
Nos. Only</v>
          </cell>
        </row>
        <row r="2">
          <cell r="R2" t="str">
            <v>Old</v>
          </cell>
          <cell r="S2" t="str">
            <v>New</v>
          </cell>
        </row>
        <row r="3">
          <cell r="R3">
            <v>0.125</v>
          </cell>
          <cell r="S3">
            <v>0.14285714285714285</v>
          </cell>
        </row>
        <row r="4">
          <cell r="R4">
            <v>0.5</v>
          </cell>
          <cell r="S4">
            <v>0.5</v>
          </cell>
        </row>
        <row r="5">
          <cell r="A5" t="str">
            <v>X-Axis Labels</v>
          </cell>
          <cell r="B5" t="str">
            <v>Cases</v>
          </cell>
          <cell r="C5" t="str">
            <v>Positive
Increments</v>
          </cell>
          <cell r="D5" t="str">
            <v>Price Target</v>
          </cell>
          <cell r="E5" t="str">
            <v>Invisible</v>
          </cell>
          <cell r="F5" t="str">
            <v>Labels</v>
          </cell>
          <cell r="R5">
            <v>0.375</v>
          </cell>
          <cell r="S5">
            <v>0.35714285714285715</v>
          </cell>
        </row>
        <row r="6">
          <cell r="A6" t="str">
            <v>Bear
Case</v>
          </cell>
          <cell r="B6">
            <v>10</v>
          </cell>
          <cell r="D6">
            <v>16</v>
          </cell>
        </row>
        <row r="7">
          <cell r="A7" t="str">
            <v>Label</v>
          </cell>
          <cell r="D7">
            <v>16</v>
          </cell>
          <cell r="E7">
            <v>10</v>
          </cell>
          <cell r="F7">
            <v>0</v>
          </cell>
        </row>
        <row r="8">
          <cell r="A8" t="str">
            <v>Optional</v>
          </cell>
          <cell r="D8">
            <v>16</v>
          </cell>
          <cell r="E8">
            <v>10</v>
          </cell>
          <cell r="F8">
            <v>0</v>
          </cell>
        </row>
        <row r="9">
          <cell r="A9" t="str">
            <v>Optional</v>
          </cell>
          <cell r="D9">
            <v>16</v>
          </cell>
          <cell r="E9">
            <v>10</v>
          </cell>
          <cell r="F9">
            <v>0</v>
          </cell>
        </row>
        <row r="10">
          <cell r="A10" t="str">
            <v>Comps further decline</v>
          </cell>
          <cell r="C10">
            <v>2.85</v>
          </cell>
          <cell r="D10">
            <v>16</v>
          </cell>
          <cell r="E10">
            <v>10</v>
          </cell>
          <cell r="F10">
            <v>2.85</v>
          </cell>
        </row>
        <row r="11">
          <cell r="A11" t="str">
            <v>Increased gross margin pressure</v>
          </cell>
          <cell r="C11">
            <v>3.05</v>
          </cell>
          <cell r="D11">
            <v>16</v>
          </cell>
          <cell r="E11">
            <v>12.85</v>
          </cell>
          <cell r="F11">
            <v>3.05</v>
          </cell>
        </row>
        <row r="12">
          <cell r="A12" t="str">
            <v>Expense deleverage</v>
          </cell>
          <cell r="C12">
            <v>0.1</v>
          </cell>
          <cell r="D12">
            <v>16</v>
          </cell>
          <cell r="E12">
            <v>15.899999999999999</v>
          </cell>
          <cell r="F12">
            <v>0.1</v>
          </cell>
        </row>
        <row r="13">
          <cell r="A13" t="str">
            <v>Base
Case</v>
          </cell>
          <cell r="B13">
            <v>15.999999999999998</v>
          </cell>
          <cell r="D13">
            <v>16</v>
          </cell>
        </row>
        <row r="14">
          <cell r="A14" t="str">
            <v>Comps increase</v>
          </cell>
          <cell r="C14">
            <v>2.2000000000000002</v>
          </cell>
          <cell r="D14">
            <v>16</v>
          </cell>
          <cell r="E14">
            <v>15.999999999999998</v>
          </cell>
          <cell r="F14">
            <v>2.2000000000000002</v>
          </cell>
          <cell r="R14">
            <v>0.33333333333333331</v>
          </cell>
          <cell r="S14">
            <v>0.31818181818181818</v>
          </cell>
        </row>
        <row r="15">
          <cell r="A15" t="str">
            <v>Less pressure from gross margin</v>
          </cell>
          <cell r="C15">
            <v>1.5</v>
          </cell>
          <cell r="D15">
            <v>16</v>
          </cell>
          <cell r="E15">
            <v>18.2</v>
          </cell>
          <cell r="F15">
            <v>1.5</v>
          </cell>
          <cell r="R15">
            <v>0.5</v>
          </cell>
          <cell r="S15">
            <v>0.5</v>
          </cell>
        </row>
        <row r="16">
          <cell r="A16" t="str">
            <v>Less expense deleverage</v>
          </cell>
          <cell r="C16">
            <v>0.3</v>
          </cell>
          <cell r="D16">
            <v>16</v>
          </cell>
          <cell r="E16">
            <v>19.7</v>
          </cell>
          <cell r="F16">
            <v>0.3</v>
          </cell>
          <cell r="R16">
            <v>0.16666666666666666</v>
          </cell>
          <cell r="S16">
            <v>0.18181818181818182</v>
          </cell>
        </row>
        <row r="17">
          <cell r="A17" t="str">
            <v>Optional</v>
          </cell>
          <cell r="D17">
            <v>16</v>
          </cell>
          <cell r="E17">
            <v>20</v>
          </cell>
          <cell r="F17">
            <v>0</v>
          </cell>
        </row>
        <row r="18">
          <cell r="A18" t="str">
            <v>Optional</v>
          </cell>
          <cell r="D18">
            <v>16</v>
          </cell>
          <cell r="E18">
            <v>20</v>
          </cell>
          <cell r="F18">
            <v>0</v>
          </cell>
        </row>
        <row r="19">
          <cell r="A19" t="str">
            <v>Optional</v>
          </cell>
          <cell r="D19">
            <v>16</v>
          </cell>
          <cell r="E19">
            <v>20</v>
          </cell>
          <cell r="F19">
            <v>0</v>
          </cell>
        </row>
        <row r="20">
          <cell r="A20" t="str">
            <v>Bull
Case</v>
          </cell>
          <cell r="B20">
            <v>20</v>
          </cell>
          <cell r="D20">
            <v>16</v>
          </cell>
        </row>
      </sheetData>
      <sheetData sheetId="3" refreshError="1"/>
      <sheetData sheetId="4">
        <row r="2">
          <cell r="B2" t="str">
            <v>Stock B</v>
          </cell>
          <cell r="C2" t="str">
            <v>Stock B</v>
          </cell>
          <cell r="D2" t="str">
            <v>Stock B</v>
          </cell>
          <cell r="E2">
            <v>0</v>
          </cell>
          <cell r="F2">
            <v>0</v>
          </cell>
          <cell r="G2">
            <v>0</v>
          </cell>
        </row>
        <row r="3">
          <cell r="B3" t="str">
            <v>Stock C</v>
          </cell>
          <cell r="C3" t="str">
            <v>Stock C</v>
          </cell>
          <cell r="D3" t="str">
            <v>Stock C</v>
          </cell>
          <cell r="E3">
            <v>0</v>
          </cell>
          <cell r="F3">
            <v>-9.9999999999999978E-2</v>
          </cell>
          <cell r="G3">
            <v>-0.4</v>
          </cell>
        </row>
        <row r="4">
          <cell r="A4" t="str">
            <v>Stock D</v>
          </cell>
          <cell r="B4" t="str">
            <v>Stock D</v>
          </cell>
          <cell r="C4" t="str">
            <v>Stock D</v>
          </cell>
          <cell r="D4" t="str">
            <v>Stock D</v>
          </cell>
          <cell r="E4">
            <v>0</v>
          </cell>
          <cell r="F4">
            <v>0</v>
          </cell>
          <cell r="G4">
            <v>-0.30000000000000004</v>
          </cell>
        </row>
        <row r="5">
          <cell r="B5" t="str">
            <v>Current
Price</v>
          </cell>
          <cell r="C5" t="str">
            <v>Bear 
Case</v>
          </cell>
          <cell r="D5" t="str">
            <v>Base 
Case</v>
          </cell>
          <cell r="E5" t="str">
            <v>Bull 
Case</v>
          </cell>
          <cell r="F5" t="str">
            <v>Price Target</v>
          </cell>
          <cell r="G5" t="str">
            <v>Bear 
Case</v>
          </cell>
          <cell r="H5" t="str">
            <v>Base 
Case</v>
          </cell>
          <cell r="I5" t="str">
            <v>Bull 
Case</v>
          </cell>
          <cell r="J5" t="str">
            <v>Price 
Target</v>
          </cell>
          <cell r="K5" t="str">
            <v>+ Bear 
Data</v>
          </cell>
          <cell r="L5" t="str">
            <v>+ Base 
Data</v>
          </cell>
          <cell r="M5" t="str">
            <v>+ Bull 
Data</v>
          </cell>
          <cell r="N5" t="str">
            <v>- Bear 
Data</v>
          </cell>
          <cell r="O5" t="str">
            <v>- Base 
Data</v>
          </cell>
          <cell r="P5" t="str">
            <v>- Bull 
Data</v>
          </cell>
        </row>
        <row r="6">
          <cell r="A6" t="str">
            <v>Stock A</v>
          </cell>
          <cell r="B6">
            <v>50</v>
          </cell>
          <cell r="C6">
            <v>30</v>
          </cell>
          <cell r="D6">
            <v>40</v>
          </cell>
          <cell r="E6">
            <v>45</v>
          </cell>
          <cell r="F6">
            <v>50</v>
          </cell>
          <cell r="G6">
            <v>-0.4</v>
          </cell>
          <cell r="H6">
            <v>-0.19999999999999996</v>
          </cell>
          <cell r="I6">
            <v>-9.9999999999999978E-2</v>
          </cell>
          <cell r="J6">
            <v>0</v>
          </cell>
          <cell r="K6">
            <v>0</v>
          </cell>
          <cell r="L6">
            <v>0</v>
          </cell>
          <cell r="M6">
            <v>0</v>
          </cell>
          <cell r="N6">
            <v>-0.20000000000000007</v>
          </cell>
          <cell r="O6">
            <v>-9.9999999999999978E-2</v>
          </cell>
          <cell r="P6">
            <v>-9.9999999999999978E-2</v>
          </cell>
        </row>
        <row r="7">
          <cell r="A7" t="str">
            <v>Stock B</v>
          </cell>
          <cell r="B7">
            <v>100</v>
          </cell>
          <cell r="C7">
            <v>110</v>
          </cell>
          <cell r="D7">
            <v>120</v>
          </cell>
          <cell r="E7">
            <v>150</v>
          </cell>
          <cell r="F7">
            <v>115</v>
          </cell>
          <cell r="G7">
            <v>0.10000000000000009</v>
          </cell>
          <cell r="H7">
            <v>0.19999999999999996</v>
          </cell>
          <cell r="I7">
            <v>0.5</v>
          </cell>
          <cell r="J7">
            <v>0.14999999999999991</v>
          </cell>
          <cell r="K7">
            <v>0.10000000000000009</v>
          </cell>
          <cell r="L7">
            <v>9.9999999999999867E-2</v>
          </cell>
          <cell r="M7">
            <v>0.30000000000000004</v>
          </cell>
          <cell r="N7">
            <v>0</v>
          </cell>
          <cell r="O7">
            <v>0</v>
          </cell>
          <cell r="P7">
            <v>0</v>
          </cell>
        </row>
        <row r="8">
          <cell r="A8" t="str">
            <v>Stock C</v>
          </cell>
          <cell r="B8">
            <v>60</v>
          </cell>
          <cell r="C8">
            <v>30</v>
          </cell>
          <cell r="D8">
            <v>54</v>
          </cell>
          <cell r="E8">
            <v>78</v>
          </cell>
          <cell r="F8">
            <v>69</v>
          </cell>
          <cell r="G8">
            <v>-0.5</v>
          </cell>
          <cell r="H8">
            <v>-9.9999999999999978E-2</v>
          </cell>
          <cell r="I8">
            <v>0.30000000000000004</v>
          </cell>
          <cell r="J8">
            <v>0.14999999999999991</v>
          </cell>
          <cell r="K8">
            <v>0</v>
          </cell>
          <cell r="L8">
            <v>0</v>
          </cell>
          <cell r="M8">
            <v>0.30000000000000004</v>
          </cell>
          <cell r="N8">
            <v>-0.4</v>
          </cell>
          <cell r="O8">
            <v>-9.9999999999999978E-2</v>
          </cell>
          <cell r="P8">
            <v>0</v>
          </cell>
        </row>
        <row r="9">
          <cell r="A9" t="str">
            <v>Stock D</v>
          </cell>
          <cell r="B9">
            <v>80</v>
          </cell>
          <cell r="C9">
            <v>56</v>
          </cell>
          <cell r="D9">
            <v>90</v>
          </cell>
          <cell r="E9">
            <v>104</v>
          </cell>
          <cell r="F9">
            <v>85</v>
          </cell>
          <cell r="G9">
            <v>-0.30000000000000004</v>
          </cell>
          <cell r="H9">
            <v>0.125</v>
          </cell>
          <cell r="I9">
            <v>0.30000000000000004</v>
          </cell>
          <cell r="J9">
            <v>6.25E-2</v>
          </cell>
          <cell r="K9">
            <v>0</v>
          </cell>
          <cell r="L9">
            <v>0.125</v>
          </cell>
          <cell r="M9">
            <v>0.17500000000000004</v>
          </cell>
          <cell r="N9">
            <v>-0.30000000000000004</v>
          </cell>
          <cell r="O9">
            <v>0</v>
          </cell>
          <cell r="P9">
            <v>0</v>
          </cell>
        </row>
        <row r="10">
          <cell r="A10" t="str">
            <v>Stock E</v>
          </cell>
          <cell r="B10">
            <v>40</v>
          </cell>
          <cell r="C10">
            <v>20</v>
          </cell>
          <cell r="D10">
            <v>60</v>
          </cell>
          <cell r="E10">
            <v>70</v>
          </cell>
          <cell r="F10">
            <v>49</v>
          </cell>
          <cell r="G10">
            <v>-0.5</v>
          </cell>
          <cell r="H10">
            <v>0.5</v>
          </cell>
          <cell r="I10">
            <v>0.75</v>
          </cell>
          <cell r="J10">
            <v>0.22500000000000009</v>
          </cell>
          <cell r="K10">
            <v>0</v>
          </cell>
          <cell r="L10">
            <v>0.5</v>
          </cell>
          <cell r="M10">
            <v>0.25</v>
          </cell>
          <cell r="N10">
            <v>-0.5</v>
          </cell>
          <cell r="O10">
            <v>0</v>
          </cell>
          <cell r="P10">
            <v>0</v>
          </cell>
        </row>
        <row r="11">
          <cell r="A11" t="str">
            <v>Stock F</v>
          </cell>
          <cell r="B11">
            <v>20</v>
          </cell>
          <cell r="C11">
            <v>10</v>
          </cell>
          <cell r="D11">
            <v>30</v>
          </cell>
          <cell r="E11">
            <v>35</v>
          </cell>
          <cell r="F11">
            <v>23</v>
          </cell>
          <cell r="G11">
            <v>-0.5</v>
          </cell>
          <cell r="H11">
            <v>0.5</v>
          </cell>
          <cell r="I11">
            <v>0.75</v>
          </cell>
          <cell r="J11">
            <v>0.14999999999999991</v>
          </cell>
          <cell r="K11">
            <v>0</v>
          </cell>
          <cell r="L11">
            <v>0.5</v>
          </cell>
          <cell r="M11">
            <v>0.25</v>
          </cell>
          <cell r="N11">
            <v>-0.5</v>
          </cell>
          <cell r="O11">
            <v>0</v>
          </cell>
          <cell r="P11">
            <v>0</v>
          </cell>
        </row>
        <row r="12">
          <cell r="A12" t="str">
            <v>Stock G</v>
          </cell>
          <cell r="B12">
            <v>65</v>
          </cell>
          <cell r="C12">
            <v>35</v>
          </cell>
          <cell r="D12">
            <v>75</v>
          </cell>
          <cell r="E12">
            <v>85</v>
          </cell>
          <cell r="F12">
            <v>64</v>
          </cell>
          <cell r="G12">
            <v>-0.46153846153846156</v>
          </cell>
          <cell r="H12">
            <v>0.15384615384615374</v>
          </cell>
          <cell r="I12">
            <v>0.30769230769230771</v>
          </cell>
          <cell r="J12">
            <v>-1.538461538461533E-2</v>
          </cell>
          <cell r="K12">
            <v>0</v>
          </cell>
          <cell r="L12">
            <v>0.15384615384615374</v>
          </cell>
          <cell r="M12">
            <v>0.15384615384615397</v>
          </cell>
          <cell r="N12">
            <v>-0.46153846153846156</v>
          </cell>
          <cell r="O12">
            <v>0</v>
          </cell>
          <cell r="P12">
            <v>0</v>
          </cell>
        </row>
        <row r="13">
          <cell r="A13" t="str">
            <v>Stock H</v>
          </cell>
          <cell r="B13">
            <v>35</v>
          </cell>
          <cell r="C13">
            <v>20</v>
          </cell>
          <cell r="D13">
            <v>45</v>
          </cell>
          <cell r="E13">
            <v>50</v>
          </cell>
          <cell r="F13">
            <v>30</v>
          </cell>
          <cell r="G13">
            <v>-0.4285714285714286</v>
          </cell>
          <cell r="H13">
            <v>0.28571428571428581</v>
          </cell>
          <cell r="I13">
            <v>0.4285714285714286</v>
          </cell>
          <cell r="J13">
            <v>-0.1428571428571429</v>
          </cell>
          <cell r="K13">
            <v>0</v>
          </cell>
          <cell r="L13">
            <v>0.28571428571428581</v>
          </cell>
          <cell r="M13">
            <v>0.14285714285714279</v>
          </cell>
          <cell r="N13">
            <v>-0.4285714285714286</v>
          </cell>
          <cell r="O13">
            <v>0</v>
          </cell>
          <cell r="P13">
            <v>0</v>
          </cell>
        </row>
        <row r="14">
          <cell r="A14" t="str">
            <v>Stock I</v>
          </cell>
          <cell r="B14">
            <v>16</v>
          </cell>
          <cell r="C14">
            <v>10</v>
          </cell>
          <cell r="D14">
            <v>20</v>
          </cell>
          <cell r="E14">
            <v>23</v>
          </cell>
          <cell r="F14">
            <v>22</v>
          </cell>
          <cell r="G14">
            <v>-0.375</v>
          </cell>
          <cell r="H14">
            <v>0.25</v>
          </cell>
          <cell r="I14">
            <v>0.4375</v>
          </cell>
          <cell r="J14">
            <v>0.375</v>
          </cell>
          <cell r="K14">
            <v>0</v>
          </cell>
          <cell r="L14">
            <v>0.25</v>
          </cell>
          <cell r="M14">
            <v>0.1875</v>
          </cell>
          <cell r="N14">
            <v>-0.375</v>
          </cell>
          <cell r="O14">
            <v>0</v>
          </cell>
          <cell r="P14">
            <v>0</v>
          </cell>
        </row>
      </sheetData>
      <sheetData sheetId="5" refreshError="1"/>
      <sheetData sheetId="6">
        <row r="5">
          <cell r="A5" t="str">
            <v>X-Axis Labels</v>
          </cell>
          <cell r="B5" t="str">
            <v>Invisible</v>
          </cell>
          <cell r="C5" t="str">
            <v>Input
Bases</v>
          </cell>
          <cell r="D5" t="str">
            <v>Input
Increments</v>
          </cell>
          <cell r="E5" t="str">
            <v>Value
Gap</v>
          </cell>
          <cell r="F5" t="str">
            <v>+ Data</v>
          </cell>
          <cell r="G5" t="str">
            <v>- Data</v>
          </cell>
          <cell r="H5" t="str">
            <v>Increment
Labels</v>
          </cell>
        </row>
        <row r="6">
          <cell r="A6" t="str">
            <v>Current
Earnings</v>
          </cell>
          <cell r="C6">
            <v>26</v>
          </cell>
        </row>
        <row r="7">
          <cell r="A7" t="str">
            <v>Growth in
Explicit
Forecast
Period</v>
          </cell>
          <cell r="B7">
            <v>22</v>
          </cell>
          <cell r="D7">
            <v>-4</v>
          </cell>
          <cell r="F7">
            <v>0</v>
          </cell>
          <cell r="G7">
            <v>4</v>
          </cell>
          <cell r="H7">
            <v>4</v>
          </cell>
        </row>
        <row r="8">
          <cell r="A8" t="str">
            <v>Growth in
Terminal
Forecast
Period</v>
          </cell>
          <cell r="B8">
            <v>22</v>
          </cell>
          <cell r="D8">
            <v>8</v>
          </cell>
          <cell r="F8">
            <v>8</v>
          </cell>
          <cell r="G8">
            <v>0</v>
          </cell>
          <cell r="H8">
            <v>8</v>
          </cell>
        </row>
        <row r="9">
          <cell r="A9" t="str">
            <v>Estimated
Intrinsic
Value</v>
          </cell>
          <cell r="C9">
            <v>30</v>
          </cell>
        </row>
        <row r="10">
          <cell r="A10" t="str">
            <v>Value
Gap</v>
          </cell>
          <cell r="B10">
            <v>30</v>
          </cell>
          <cell r="E10">
            <v>10</v>
          </cell>
        </row>
        <row r="11">
          <cell r="A11" t="str">
            <v>Current
Price</v>
          </cell>
          <cell r="C11">
            <v>20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Summary"/>
      <sheetName val="Balance Sheet"/>
      <sheetName val="Cash Flow"/>
      <sheetName val="Income"/>
      <sheetName val="May Co Acquisition"/>
      <sheetName val="Drivers"/>
      <sheetName val="__FDSCACHE__"/>
      <sheetName val="Trends"/>
      <sheetName val="Credit Income &amp; SG&amp;A Detail"/>
      <sheetName val="Variance-2Q12"/>
      <sheetName val="2012 Stores"/>
      <sheetName val="online"/>
      <sheetName val="PreFHT"/>
      <sheetName val="MainCode"/>
      <sheetName val="Debt"/>
      <sheetName val="CreditRatios"/>
      <sheetName val="Reported 2009"/>
      <sheetName val="Productivity"/>
      <sheetName val="MWA RR"/>
      <sheetName val="LEASES NEW"/>
      <sheetName val="RNOA - ROE"/>
      <sheetName val="Real Estate"/>
      <sheetName val="mwareValPrintout"/>
      <sheetName val="P Map"/>
      <sheetName val="Asset Sales"/>
      <sheetName val="Ledger"/>
      <sheetName val="Valuation "/>
      <sheetName val="MW-Cache"/>
      <sheetName val="LBO"/>
      <sheetName val="LINKED DATA"/>
      <sheetName val="mwareDates_38951_3819959"/>
      <sheetName val="mwareDates_38951_3889055"/>
      <sheetName val="mwareDates"/>
      <sheetName val="mwareSettings"/>
      <sheetName val="MacabacusCustomFormats"/>
      <sheetName val="Variance"/>
      <sheetName val="Disclosures"/>
      <sheetName val="Guidance"/>
      <sheetName val="Variance-1Q11"/>
      <sheetName val="Variance-2Q11"/>
      <sheetName val="LEASES"/>
      <sheetName val="Inv Turn"/>
      <sheetName val="msri"/>
      <sheetName val="Variance2"/>
      <sheetName val="NY UPLOAD shadow"/>
      <sheetName val="#REF"/>
      <sheetName val="M_working2"/>
      <sheetName val="Variance-1Q12"/>
      <sheetName val="Credit Income"/>
      <sheetName val="Variance-4Q11"/>
      <sheetName val="Variance-3Q11"/>
      <sheetName val="3Q EPS Cheat Sheet"/>
      <sheetName val="Shr Repo"/>
    </sheetNames>
    <sheetDataSet>
      <sheetData sheetId="0"/>
      <sheetData sheetId="1"/>
      <sheetData sheetId="2">
        <row r="3">
          <cell r="AM3" t="str">
            <v>Quarterly Balance Sheet: Base Case - 5/2/13</v>
          </cell>
        </row>
      </sheetData>
      <sheetData sheetId="3">
        <row r="2">
          <cell r="A2" t="str">
            <v>Macy's Inc.</v>
          </cell>
        </row>
      </sheetData>
      <sheetData sheetId="4">
        <row r="1">
          <cell r="EX1" t="str">
            <v>Q1-07</v>
          </cell>
          <cell r="EY1" t="str">
            <v>Q2-07</v>
          </cell>
          <cell r="EZ1" t="str">
            <v>Q3-07</v>
          </cell>
          <cell r="FA1" t="str">
            <v>Q4-07</v>
          </cell>
          <cell r="FD1" t="str">
            <v>Q1-08</v>
          </cell>
          <cell r="FE1" t="str">
            <v>Q2-08</v>
          </cell>
          <cell r="FF1" t="str">
            <v>Q3-08</v>
          </cell>
          <cell r="FG1" t="str">
            <v>Q4-08</v>
          </cell>
          <cell r="FJ1" t="str">
            <v>Q1-09</v>
          </cell>
          <cell r="FK1" t="str">
            <v>Q2-09</v>
          </cell>
          <cell r="FL1" t="str">
            <v>Q3-09</v>
          </cell>
          <cell r="FM1" t="str">
            <v>Q4-09</v>
          </cell>
          <cell r="FP1" t="str">
            <v>Q1-10</v>
          </cell>
          <cell r="FQ1" t="str">
            <v>Q2-10</v>
          </cell>
          <cell r="FR1" t="str">
            <v>Q3-10</v>
          </cell>
          <cell r="FS1" t="str">
            <v>Q4-10</v>
          </cell>
          <cell r="FV1" t="str">
            <v>Q1-11</v>
          </cell>
          <cell r="FW1" t="str">
            <v>Q2-11</v>
          </cell>
          <cell r="FX1" t="str">
            <v>Q3-11</v>
          </cell>
          <cell r="FY1" t="str">
            <v>Q4-11</v>
          </cell>
          <cell r="GB1" t="str">
            <v>Q1-12</v>
          </cell>
          <cell r="GC1" t="str">
            <v>Q2-12</v>
          </cell>
          <cell r="GD1" t="str">
            <v>Q3-12</v>
          </cell>
          <cell r="GE1" t="str">
            <v>Q4-12</v>
          </cell>
          <cell r="GS1" t="str">
            <v>ElementName</v>
          </cell>
          <cell r="GT1" t="str">
            <v>ScaleOverride</v>
          </cell>
          <cell r="GU1" t="str">
            <v>UnitOverride</v>
          </cell>
          <cell r="GV1" t="str">
            <v>ReverseSign</v>
          </cell>
          <cell r="GW1" t="str">
            <v>IsDrivinFYssumption</v>
          </cell>
          <cell r="GX1" t="str">
            <v>SegmentID</v>
          </cell>
        </row>
        <row r="2">
          <cell r="A2" t="str">
            <v>Macy's Inc.</v>
          </cell>
          <cell r="F2" t="str">
            <v>Federated (Post-Bankruptcy)</v>
          </cell>
          <cell r="K2" t="str">
            <v>Combined Federated + Macy's;  Adjusted for Broadway</v>
          </cell>
          <cell r="R2" t="str">
            <v>Ex-Fingerhut</v>
          </cell>
          <cell r="X2" t="str">
            <v>Proforma -- May Department Stores</v>
          </cell>
          <cell r="AN2" t="str">
            <v>Macy's Inc.</v>
          </cell>
          <cell r="AO2" t="str">
            <v>Not Adjusted For Consistency</v>
          </cell>
          <cell r="DH2" t="str">
            <v>Adjusted -- Fingerhut Disposition</v>
          </cell>
          <cell r="EN2" t="str">
            <v>Proforma -- May Department Stores</v>
          </cell>
        </row>
        <row r="3">
          <cell r="A3" t="str">
            <v>Annual Income Statement: Base Case - 5/2/13</v>
          </cell>
          <cell r="E3" t="str">
            <v>RPT'D</v>
          </cell>
          <cell r="F3" t="str">
            <v>PFMA</v>
          </cell>
          <cell r="J3" t="str">
            <v>91P-94E</v>
          </cell>
          <cell r="K3" t="str">
            <v>PFMA</v>
          </cell>
          <cell r="L3" t="str">
            <v>FD+MCO</v>
          </cell>
          <cell r="AN3" t="str">
            <v>Quarterly Income Statement: Base Case - 5/2/13</v>
          </cell>
          <cell r="BY3" t="str">
            <v>1995A</v>
          </cell>
          <cell r="CJ3">
            <v>1996</v>
          </cell>
          <cell r="CR3">
            <v>1997</v>
          </cell>
          <cell r="CX3">
            <v>1998</v>
          </cell>
          <cell r="DD3">
            <v>1999</v>
          </cell>
          <cell r="DJ3">
            <v>2000</v>
          </cell>
          <cell r="DP3">
            <v>2001</v>
          </cell>
          <cell r="DV3">
            <v>2002</v>
          </cell>
          <cell r="EB3">
            <v>2003</v>
          </cell>
          <cell r="EH3">
            <v>2004</v>
          </cell>
          <cell r="EN3">
            <v>2005</v>
          </cell>
          <cell r="ET3">
            <v>2006</v>
          </cell>
          <cell r="EX3">
            <v>39447</v>
          </cell>
          <cell r="FD3">
            <v>39813</v>
          </cell>
          <cell r="FJ3">
            <v>40178</v>
          </cell>
          <cell r="FP3">
            <v>40543</v>
          </cell>
          <cell r="FV3">
            <v>40908</v>
          </cell>
          <cell r="FZ3" t="str">
            <v xml:space="preserve"> </v>
          </cell>
          <cell r="GB3">
            <v>41274</v>
          </cell>
          <cell r="GF3" t="str">
            <v xml:space="preserve"> </v>
          </cell>
        </row>
        <row r="4">
          <cell r="A4" t="str">
            <v>($ Millions)</v>
          </cell>
          <cell r="C4">
            <v>32873</v>
          </cell>
          <cell r="D4">
            <v>1990</v>
          </cell>
          <cell r="E4">
            <v>1991</v>
          </cell>
          <cell r="F4">
            <v>1991</v>
          </cell>
          <cell r="G4" t="str">
            <v>1992</v>
          </cell>
          <cell r="H4">
            <v>1993</v>
          </cell>
          <cell r="I4">
            <v>1994</v>
          </cell>
          <cell r="J4" t="str">
            <v>CAGR</v>
          </cell>
          <cell r="K4" t="str">
            <v>1994P</v>
          </cell>
          <cell r="L4">
            <v>1995</v>
          </cell>
          <cell r="N4">
            <v>1995</v>
          </cell>
          <cell r="O4">
            <v>1996</v>
          </cell>
          <cell r="P4">
            <v>1997</v>
          </cell>
          <cell r="Q4">
            <v>1998</v>
          </cell>
          <cell r="R4">
            <v>1999</v>
          </cell>
          <cell r="S4">
            <v>2000</v>
          </cell>
          <cell r="T4">
            <v>2001</v>
          </cell>
          <cell r="U4">
            <v>2002</v>
          </cell>
          <cell r="V4">
            <v>2003</v>
          </cell>
          <cell r="W4">
            <v>2004</v>
          </cell>
          <cell r="X4">
            <v>2005</v>
          </cell>
          <cell r="Y4">
            <v>2006</v>
          </cell>
          <cell r="Z4">
            <v>2007</v>
          </cell>
          <cell r="AA4">
            <v>2008</v>
          </cell>
          <cell r="AB4">
            <v>2009</v>
          </cell>
          <cell r="AC4">
            <v>2010</v>
          </cell>
          <cell r="AD4">
            <v>2011</v>
          </cell>
          <cell r="AE4" t="str">
            <v>2012E</v>
          </cell>
          <cell r="AF4" t="str">
            <v>2013E</v>
          </cell>
          <cell r="AG4" t="str">
            <v>2014E</v>
          </cell>
          <cell r="AH4" t="str">
            <v>2015E</v>
          </cell>
          <cell r="AI4" t="str">
            <v>2016E</v>
          </cell>
          <cell r="AJ4" t="str">
            <v>2017E</v>
          </cell>
          <cell r="AK4" t="str">
            <v>2018E</v>
          </cell>
          <cell r="AL4" t="str">
            <v>2019E</v>
          </cell>
          <cell r="AN4" t="str">
            <v>($ Millions)</v>
          </cell>
          <cell r="AO4" t="str">
            <v>Q1</v>
          </cell>
          <cell r="AP4" t="str">
            <v>Q2</v>
          </cell>
          <cell r="AQ4" t="str">
            <v>Q3</v>
          </cell>
          <cell r="AR4" t="str">
            <v>Q4</v>
          </cell>
          <cell r="AS4" t="str">
            <v>Year</v>
          </cell>
          <cell r="AU4" t="str">
            <v>Q1</v>
          </cell>
          <cell r="AV4" t="str">
            <v>Q2</v>
          </cell>
          <cell r="AW4" t="str">
            <v>Q3</v>
          </cell>
          <cell r="AX4" t="str">
            <v>Q4</v>
          </cell>
          <cell r="AY4" t="str">
            <v>Year</v>
          </cell>
          <cell r="BA4" t="str">
            <v>Q1</v>
          </cell>
          <cell r="BB4" t="str">
            <v>Q2</v>
          </cell>
          <cell r="BC4" t="str">
            <v>Q3</v>
          </cell>
          <cell r="BD4" t="str">
            <v>Q4</v>
          </cell>
          <cell r="BE4" t="str">
            <v>Year</v>
          </cell>
          <cell r="BG4" t="str">
            <v>Q1</v>
          </cell>
          <cell r="BH4" t="str">
            <v>Q2</v>
          </cell>
          <cell r="BI4" t="str">
            <v>Q3</v>
          </cell>
          <cell r="BJ4" t="str">
            <v>Q4</v>
          </cell>
          <cell r="BK4" t="str">
            <v>Year</v>
          </cell>
          <cell r="BM4" t="str">
            <v>Q1</v>
          </cell>
          <cell r="BN4" t="str">
            <v>Q2</v>
          </cell>
          <cell r="BO4" t="str">
            <v>Q3</v>
          </cell>
          <cell r="BP4" t="str">
            <v>Q4</v>
          </cell>
          <cell r="BQ4" t="str">
            <v>Year</v>
          </cell>
          <cell r="BS4" t="str">
            <v>Q1P</v>
          </cell>
          <cell r="BT4" t="str">
            <v>Q2P</v>
          </cell>
          <cell r="BU4" t="str">
            <v>Q3P</v>
          </cell>
          <cell r="BV4" t="str">
            <v>Q4P</v>
          </cell>
          <cell r="BW4" t="str">
            <v>Year P</v>
          </cell>
          <cell r="BY4" t="str">
            <v>Q1</v>
          </cell>
          <cell r="BZ4" t="str">
            <v>Q2</v>
          </cell>
          <cell r="CA4" t="str">
            <v>Q3</v>
          </cell>
          <cell r="CB4" t="str">
            <v>Q3</v>
          </cell>
          <cell r="CC4" t="str">
            <v>Q3</v>
          </cell>
          <cell r="CD4" t="str">
            <v>Q4</v>
          </cell>
          <cell r="CE4" t="str">
            <v>Q4</v>
          </cell>
          <cell r="CF4" t="str">
            <v>Year</v>
          </cell>
          <cell r="CG4" t="str">
            <v>Year</v>
          </cell>
          <cell r="CH4" t="str">
            <v>Year</v>
          </cell>
          <cell r="CJ4" t="str">
            <v>Q1</v>
          </cell>
          <cell r="CK4" t="str">
            <v>Q2</v>
          </cell>
          <cell r="CL4" t="str">
            <v>Q3</v>
          </cell>
          <cell r="CM4" t="str">
            <v>Q4</v>
          </cell>
          <cell r="CN4" t="str">
            <v>Year</v>
          </cell>
          <cell r="CP4" t="str">
            <v>Q1</v>
          </cell>
          <cell r="CQ4" t="str">
            <v>Q2</v>
          </cell>
          <cell r="CR4" t="str">
            <v>Q3</v>
          </cell>
          <cell r="CS4" t="str">
            <v>Q4</v>
          </cell>
          <cell r="CT4" t="str">
            <v>Year</v>
          </cell>
          <cell r="CV4" t="str">
            <v>Q1</v>
          </cell>
          <cell r="CW4" t="str">
            <v>Q2</v>
          </cell>
          <cell r="CX4" t="str">
            <v>Q3</v>
          </cell>
          <cell r="CY4" t="str">
            <v>Q4</v>
          </cell>
          <cell r="CZ4" t="str">
            <v>Year</v>
          </cell>
          <cell r="DB4" t="str">
            <v>Q1</v>
          </cell>
          <cell r="DC4" t="str">
            <v>Q2</v>
          </cell>
          <cell r="DD4" t="str">
            <v>Q3</v>
          </cell>
          <cell r="DE4" t="str">
            <v>Q4</v>
          </cell>
          <cell r="DF4" t="str">
            <v>Year</v>
          </cell>
          <cell r="DH4" t="str">
            <v>Q1</v>
          </cell>
          <cell r="DI4" t="str">
            <v>Q2</v>
          </cell>
          <cell r="DJ4" t="str">
            <v>Q3</v>
          </cell>
          <cell r="DK4" t="str">
            <v>Q4</v>
          </cell>
          <cell r="DL4">
            <v>2000</v>
          </cell>
          <cell r="DN4" t="str">
            <v>Q1A</v>
          </cell>
          <cell r="DO4" t="str">
            <v>Q2A</v>
          </cell>
          <cell r="DP4" t="str">
            <v>Q3A</v>
          </cell>
          <cell r="DQ4" t="str">
            <v>Q4A</v>
          </cell>
          <cell r="DR4">
            <v>2001</v>
          </cell>
          <cell r="DT4" t="str">
            <v>Q1A</v>
          </cell>
          <cell r="DU4" t="str">
            <v>Q2A</v>
          </cell>
          <cell r="DV4" t="str">
            <v>Q3A</v>
          </cell>
          <cell r="DW4" t="str">
            <v>Q4A</v>
          </cell>
          <cell r="DX4">
            <v>2002</v>
          </cell>
          <cell r="DZ4" t="str">
            <v>Q1A</v>
          </cell>
          <cell r="EA4" t="str">
            <v>Q2A</v>
          </cell>
          <cell r="EB4" t="str">
            <v>Q3A</v>
          </cell>
          <cell r="EC4" t="str">
            <v>Q4A</v>
          </cell>
          <cell r="ED4">
            <v>2003</v>
          </cell>
          <cell r="EF4" t="str">
            <v>Q1A</v>
          </cell>
          <cell r="EG4" t="str">
            <v>Q2A</v>
          </cell>
          <cell r="EH4" t="str">
            <v>Q3A</v>
          </cell>
          <cell r="EI4" t="str">
            <v>Q4A</v>
          </cell>
          <cell r="EJ4">
            <v>2004</v>
          </cell>
          <cell r="EL4" t="str">
            <v>Q1A</v>
          </cell>
          <cell r="EM4" t="str">
            <v>Q2A</v>
          </cell>
          <cell r="EN4" t="str">
            <v>Q3A</v>
          </cell>
          <cell r="EO4" t="str">
            <v>Q4A</v>
          </cell>
          <cell r="EP4">
            <v>2005</v>
          </cell>
          <cell r="ER4" t="str">
            <v>Q1A</v>
          </cell>
          <cell r="ES4" t="str">
            <v>Q2A</v>
          </cell>
          <cell r="ET4" t="str">
            <v>Q3A</v>
          </cell>
          <cell r="EU4" t="str">
            <v>Q4A</v>
          </cell>
          <cell r="EV4">
            <v>2006</v>
          </cell>
          <cell r="EX4">
            <v>1</v>
          </cell>
          <cell r="EY4">
            <v>2</v>
          </cell>
          <cell r="EZ4">
            <v>3</v>
          </cell>
          <cell r="FA4">
            <v>4</v>
          </cell>
          <cell r="FB4" t="str">
            <v>Year</v>
          </cell>
          <cell r="FD4">
            <v>1</v>
          </cell>
          <cell r="FE4">
            <v>2</v>
          </cell>
          <cell r="FF4">
            <v>3</v>
          </cell>
          <cell r="FG4">
            <v>4</v>
          </cell>
          <cell r="FH4" t="str">
            <v>Year</v>
          </cell>
          <cell r="FJ4">
            <v>1</v>
          </cell>
          <cell r="FK4">
            <v>2</v>
          </cell>
          <cell r="FL4">
            <v>3</v>
          </cell>
          <cell r="FM4">
            <v>4</v>
          </cell>
          <cell r="FN4" t="str">
            <v>Year</v>
          </cell>
          <cell r="FP4">
            <v>1</v>
          </cell>
          <cell r="FQ4">
            <v>2</v>
          </cell>
          <cell r="FR4">
            <v>3</v>
          </cell>
          <cell r="FS4">
            <v>4</v>
          </cell>
          <cell r="FT4" t="str">
            <v>Year</v>
          </cell>
          <cell r="FV4">
            <v>1</v>
          </cell>
          <cell r="FW4">
            <v>2</v>
          </cell>
          <cell r="FX4">
            <v>3</v>
          </cell>
          <cell r="FY4">
            <v>4</v>
          </cell>
          <cell r="FZ4" t="str">
            <v>Year</v>
          </cell>
          <cell r="GB4">
            <v>1</v>
          </cell>
          <cell r="GC4">
            <v>2</v>
          </cell>
          <cell r="GD4">
            <v>3</v>
          </cell>
          <cell r="GE4">
            <v>4</v>
          </cell>
          <cell r="GF4" t="str">
            <v>Year</v>
          </cell>
        </row>
        <row r="5">
          <cell r="A5" t="str">
            <v>R=Restated  O=Originally Reported</v>
          </cell>
          <cell r="N5" t="str">
            <v>R-1999</v>
          </cell>
          <cell r="O5" t="str">
            <v>R-2000</v>
          </cell>
          <cell r="P5" t="str">
            <v>R-2001</v>
          </cell>
          <cell r="Q5" t="str">
            <v>R-2001</v>
          </cell>
          <cell r="R5" t="str">
            <v>R-2001</v>
          </cell>
          <cell r="S5" t="str">
            <v>R-2001</v>
          </cell>
          <cell r="T5" t="str">
            <v>R-2005</v>
          </cell>
          <cell r="U5" t="str">
            <v>R-2005</v>
          </cell>
          <cell r="V5" t="str">
            <v>R-2005</v>
          </cell>
          <cell r="W5" t="str">
            <v>R-2005</v>
          </cell>
          <cell r="X5" t="str">
            <v>O-2005</v>
          </cell>
          <cell r="Y5" t="str">
            <v>O-Q406</v>
          </cell>
          <cell r="Z5" t="str">
            <v>O-Q407</v>
          </cell>
          <cell r="DH5" t="str">
            <v>R-2001</v>
          </cell>
          <cell r="DI5" t="str">
            <v>R-2001</v>
          </cell>
          <cell r="DJ5" t="str">
            <v>R-2001</v>
          </cell>
          <cell r="DK5" t="str">
            <v>R-Q401</v>
          </cell>
          <cell r="DL5" t="str">
            <v>R-2001</v>
          </cell>
          <cell r="DN5" t="str">
            <v>R-Q102</v>
          </cell>
          <cell r="DO5" t="str">
            <v>R-Q202</v>
          </cell>
          <cell r="DP5" t="str">
            <v>R-Q302</v>
          </cell>
          <cell r="DQ5" t="str">
            <v>O-Q402</v>
          </cell>
          <cell r="DR5" t="str">
            <v>R-2005</v>
          </cell>
          <cell r="DT5" t="str">
            <v>O-Q102</v>
          </cell>
          <cell r="DU5" t="str">
            <v>O-Q202</v>
          </cell>
          <cell r="DV5" t="str">
            <v>O-Q302</v>
          </cell>
          <cell r="DW5" t="str">
            <v>O-Q402</v>
          </cell>
          <cell r="DX5" t="str">
            <v>R-2005</v>
          </cell>
          <cell r="DZ5" t="str">
            <v>O-Q103</v>
          </cell>
          <cell r="EA5" t="str">
            <v>O-Q203</v>
          </cell>
          <cell r="EB5" t="str">
            <v>O-Q303</v>
          </cell>
          <cell r="EC5" t="str">
            <v>O-Q403</v>
          </cell>
          <cell r="ED5" t="str">
            <v>R-2005</v>
          </cell>
          <cell r="EF5" t="str">
            <v>R-Q105</v>
          </cell>
          <cell r="EG5" t="str">
            <v>R-Q205</v>
          </cell>
          <cell r="EH5" t="str">
            <v>R-Q305</v>
          </cell>
          <cell r="EI5" t="str">
            <v>R-Q405</v>
          </cell>
          <cell r="EJ5" t="str">
            <v>R-2005</v>
          </cell>
          <cell r="EL5" t="str">
            <v>O-Q105</v>
          </cell>
          <cell r="EM5" t="str">
            <v>O-Q205</v>
          </cell>
          <cell r="EN5" t="str">
            <v>R-2005</v>
          </cell>
          <cell r="EO5" t="str">
            <v>O-Q405</v>
          </cell>
          <cell r="EP5" t="str">
            <v>O-2005</v>
          </cell>
          <cell r="ER5" t="str">
            <v>O-Q106</v>
          </cell>
          <cell r="ES5" t="str">
            <v>O-Q206</v>
          </cell>
          <cell r="ET5" t="str">
            <v>O-Q306</v>
          </cell>
          <cell r="EU5" t="str">
            <v>O-Q406</v>
          </cell>
          <cell r="EV5" t="str">
            <v>O-Q406</v>
          </cell>
          <cell r="FB5" t="str">
            <v>O-Q407</v>
          </cell>
          <cell r="GE5" t="str">
            <v>53rd Week</v>
          </cell>
        </row>
        <row r="7">
          <cell r="A7" t="str">
            <v>Retail Revenues</v>
          </cell>
          <cell r="C7">
            <v>7577.5860000000002</v>
          </cell>
          <cell r="D7">
            <v>7141.9830000000002</v>
          </cell>
          <cell r="E7">
            <v>6932.3230000000003</v>
          </cell>
          <cell r="F7">
            <v>6932.3230000000003</v>
          </cell>
          <cell r="G7">
            <v>7079.9410000000007</v>
          </cell>
          <cell r="H7">
            <v>7229.4059999999999</v>
          </cell>
          <cell r="I7">
            <v>7707.476999999999</v>
          </cell>
          <cell r="J7">
            <v>3.5963567590107104E-2</v>
          </cell>
          <cell r="K7">
            <v>13701.5</v>
          </cell>
          <cell r="L7">
            <v>13998.034</v>
          </cell>
          <cell r="N7">
            <v>14614</v>
          </cell>
          <cell r="O7">
            <v>14833</v>
          </cell>
          <cell r="P7">
            <v>15220</v>
          </cell>
          <cell r="Q7">
            <v>15365</v>
          </cell>
          <cell r="R7">
            <v>16029</v>
          </cell>
          <cell r="S7">
            <v>16638</v>
          </cell>
          <cell r="T7">
            <v>15785</v>
          </cell>
          <cell r="U7">
            <v>15571</v>
          </cell>
          <cell r="V7">
            <v>15412</v>
          </cell>
          <cell r="W7">
            <v>15776</v>
          </cell>
          <cell r="X7">
            <v>22390</v>
          </cell>
          <cell r="Y7">
            <v>26970</v>
          </cell>
          <cell r="Z7">
            <v>26313</v>
          </cell>
          <cell r="AA7">
            <v>24892</v>
          </cell>
          <cell r="AB7">
            <v>23895</v>
          </cell>
          <cell r="AC7">
            <v>25003</v>
          </cell>
          <cell r="AD7">
            <v>26405</v>
          </cell>
          <cell r="AE7">
            <v>27697.820605365057</v>
          </cell>
          <cell r="AF7">
            <v>28358.892641397051</v>
          </cell>
          <cell r="AG7">
            <v>28905.408744504351</v>
          </cell>
          <cell r="AH7">
            <v>29204.897015558319</v>
          </cell>
          <cell r="AI7">
            <v>29496.945985713905</v>
          </cell>
          <cell r="AJ7">
            <v>29791.915445571045</v>
          </cell>
          <cell r="AK7">
            <v>30089.834600026756</v>
          </cell>
          <cell r="AL7">
            <v>30390.732946027023</v>
          </cell>
          <cell r="AN7" t="str">
            <v>Retail Revenues</v>
          </cell>
          <cell r="AO7">
            <v>1590.46</v>
          </cell>
          <cell r="AP7">
            <v>1525.692</v>
          </cell>
          <cell r="AQ7">
            <v>1767.327</v>
          </cell>
          <cell r="AR7">
            <v>2258.5039999999999</v>
          </cell>
          <cell r="AS7">
            <v>7141.9830000000002</v>
          </cell>
          <cell r="AU7">
            <v>1593.4190000000001</v>
          </cell>
          <cell r="AV7">
            <v>1495.7429999999999</v>
          </cell>
          <cell r="AW7">
            <v>1708.9010000000001</v>
          </cell>
          <cell r="AX7">
            <v>2134.2600000000002</v>
          </cell>
          <cell r="AY7">
            <v>6932.3230000000003</v>
          </cell>
          <cell r="BA7">
            <v>1571.7260000000001</v>
          </cell>
          <cell r="BB7">
            <v>1457.212</v>
          </cell>
          <cell r="BC7">
            <v>1788.9649999999999</v>
          </cell>
          <cell r="BD7">
            <v>2262.038</v>
          </cell>
          <cell r="BE7">
            <v>7079.9410000000007</v>
          </cell>
          <cell r="BG7">
            <v>1590.259</v>
          </cell>
          <cell r="BH7">
            <v>1502.288</v>
          </cell>
          <cell r="BI7">
            <v>1789.3150000000001</v>
          </cell>
          <cell r="BJ7">
            <v>2347.5439999999999</v>
          </cell>
          <cell r="BK7">
            <v>7229.4059999999999</v>
          </cell>
          <cell r="BM7">
            <v>1653.6310000000001</v>
          </cell>
          <cell r="BN7">
            <v>1596.1</v>
          </cell>
          <cell r="BO7">
            <v>1926.8109999999999</v>
          </cell>
          <cell r="BP7">
            <v>2530.9349999999999</v>
          </cell>
          <cell r="BQ7">
            <v>7707.476999999999</v>
          </cell>
          <cell r="BS7">
            <v>2938</v>
          </cell>
          <cell r="BT7">
            <v>2930.8</v>
          </cell>
          <cell r="BU7">
            <v>3352.6</v>
          </cell>
          <cell r="BV7">
            <v>4480.1000000000004</v>
          </cell>
          <cell r="BW7">
            <v>13701.5</v>
          </cell>
          <cell r="BY7">
            <v>2988.0059999999999</v>
          </cell>
          <cell r="BZ7">
            <v>3047</v>
          </cell>
          <cell r="CA7">
            <v>3333.5279999999998</v>
          </cell>
          <cell r="CB7">
            <v>414.8</v>
          </cell>
          <cell r="CC7">
            <v>3748.3690000000001</v>
          </cell>
          <cell r="CD7">
            <v>4629.5</v>
          </cell>
          <cell r="CE7">
            <v>5264.9</v>
          </cell>
          <cell r="CF7">
            <v>13998.034</v>
          </cell>
          <cell r="CG7">
            <v>14633.433999999999</v>
          </cell>
          <cell r="CH7">
            <v>15048.233999999999</v>
          </cell>
          <cell r="CJ7">
            <v>3300.7</v>
          </cell>
          <cell r="CK7">
            <v>3284.2280000000001</v>
          </cell>
          <cell r="CL7">
            <v>3609.1480000000001</v>
          </cell>
          <cell r="CM7">
            <v>5034.9579999999996</v>
          </cell>
          <cell r="CN7">
            <v>15229.034</v>
          </cell>
          <cell r="CP7">
            <v>3409.0909999999999</v>
          </cell>
          <cell r="CQ7">
            <v>3452.8290000000002</v>
          </cell>
          <cell r="CR7">
            <v>3746.2759999999998</v>
          </cell>
          <cell r="CS7">
            <v>5060.116</v>
          </cell>
          <cell r="CT7">
            <v>15668.312</v>
          </cell>
          <cell r="CV7">
            <v>3357</v>
          </cell>
          <cell r="CW7">
            <v>3426</v>
          </cell>
          <cell r="CX7">
            <v>3548</v>
          </cell>
          <cell r="CY7">
            <v>5034</v>
          </cell>
          <cell r="CZ7">
            <v>15365</v>
          </cell>
          <cell r="DB7">
            <v>3470</v>
          </cell>
          <cell r="DC7">
            <v>3609</v>
          </cell>
          <cell r="DD7">
            <v>3691</v>
          </cell>
          <cell r="DE7">
            <v>5259</v>
          </cell>
          <cell r="DF7">
            <v>16029</v>
          </cell>
          <cell r="DH7">
            <v>3573</v>
          </cell>
          <cell r="DI7">
            <v>3679</v>
          </cell>
          <cell r="DJ7">
            <v>3782</v>
          </cell>
          <cell r="DK7">
            <v>5604</v>
          </cell>
          <cell r="DL7">
            <v>16638</v>
          </cell>
          <cell r="DN7">
            <v>3556</v>
          </cell>
          <cell r="DO7">
            <v>3488</v>
          </cell>
          <cell r="DP7">
            <v>3475</v>
          </cell>
          <cell r="DQ7">
            <v>5132</v>
          </cell>
          <cell r="DR7">
            <v>15785</v>
          </cell>
          <cell r="DT7">
            <v>3453</v>
          </cell>
          <cell r="DU7">
            <v>3486</v>
          </cell>
          <cell r="DV7">
            <v>3479</v>
          </cell>
          <cell r="DW7">
            <v>5017</v>
          </cell>
          <cell r="DX7">
            <v>15571</v>
          </cell>
          <cell r="DZ7">
            <v>3291</v>
          </cell>
          <cell r="EA7">
            <v>3434</v>
          </cell>
          <cell r="EB7">
            <v>3486</v>
          </cell>
          <cell r="EC7">
            <v>5053</v>
          </cell>
          <cell r="ED7">
            <v>15412</v>
          </cell>
          <cell r="EF7">
            <v>3550</v>
          </cell>
          <cell r="EG7">
            <v>3581</v>
          </cell>
          <cell r="EH7">
            <v>3525</v>
          </cell>
          <cell r="EI7">
            <v>5120</v>
          </cell>
          <cell r="EJ7">
            <v>15776</v>
          </cell>
          <cell r="EL7">
            <v>3641</v>
          </cell>
          <cell r="EM7">
            <v>3623</v>
          </cell>
          <cell r="EN7">
            <v>5555</v>
          </cell>
          <cell r="EO7">
            <v>9571</v>
          </cell>
          <cell r="EP7">
            <v>22390</v>
          </cell>
          <cell r="ER7">
            <v>5930</v>
          </cell>
          <cell r="ES7">
            <v>5995</v>
          </cell>
          <cell r="ET7">
            <v>5886</v>
          </cell>
          <cell r="EU7">
            <v>9159</v>
          </cell>
          <cell r="EV7">
            <v>26970</v>
          </cell>
          <cell r="EX7">
            <v>5921</v>
          </cell>
          <cell r="EY7">
            <v>5892</v>
          </cell>
          <cell r="EZ7">
            <v>5906</v>
          </cell>
          <cell r="FA7">
            <v>8594</v>
          </cell>
          <cell r="FB7">
            <v>26313</v>
          </cell>
          <cell r="FD7">
            <v>5747</v>
          </cell>
          <cell r="FE7">
            <v>5718</v>
          </cell>
          <cell r="FF7">
            <v>5493</v>
          </cell>
          <cell r="FG7">
            <v>7934</v>
          </cell>
          <cell r="FH7">
            <v>24892</v>
          </cell>
          <cell r="FJ7">
            <v>5288</v>
          </cell>
          <cell r="FK7">
            <v>5285</v>
          </cell>
          <cell r="FL7">
            <v>5385</v>
          </cell>
          <cell r="FM7">
            <v>7937</v>
          </cell>
          <cell r="FN7">
            <v>23895</v>
          </cell>
          <cell r="FP7">
            <v>5574</v>
          </cell>
          <cell r="FQ7">
            <v>5537</v>
          </cell>
          <cell r="FR7">
            <v>5623</v>
          </cell>
          <cell r="FS7">
            <v>8269</v>
          </cell>
          <cell r="FT7">
            <v>25003</v>
          </cell>
          <cell r="FV7">
            <v>5889</v>
          </cell>
          <cell r="FW7">
            <v>5939</v>
          </cell>
          <cell r="FX7">
            <v>5853</v>
          </cell>
          <cell r="FY7">
            <v>8724</v>
          </cell>
          <cell r="FZ7">
            <v>26405</v>
          </cell>
          <cell r="GB7">
            <v>6143</v>
          </cell>
          <cell r="GC7">
            <v>6118</v>
          </cell>
          <cell r="GD7">
            <v>6069.6866469352608</v>
          </cell>
          <cell r="GE7">
            <v>9367.1339584297966</v>
          </cell>
          <cell r="GF7">
            <v>27697.820605365057</v>
          </cell>
        </row>
        <row r="8">
          <cell r="A8" t="str">
            <v>Direct-to-consumer</v>
          </cell>
          <cell r="AN8" t="str">
            <v>Direct-to-consumer</v>
          </cell>
          <cell r="CP8" t="str">
            <v>--</v>
          </cell>
          <cell r="CQ8" t="str">
            <v>--</v>
          </cell>
          <cell r="CR8" t="str">
            <v>--</v>
          </cell>
          <cell r="CS8" t="str">
            <v>--</v>
          </cell>
          <cell r="CT8" t="str">
            <v>--</v>
          </cell>
          <cell r="DB8">
            <v>130</v>
          </cell>
          <cell r="DC8">
            <v>397</v>
          </cell>
          <cell r="DD8">
            <v>446</v>
          </cell>
          <cell r="DE8">
            <v>714</v>
          </cell>
          <cell r="DF8">
            <v>1687</v>
          </cell>
        </row>
        <row r="9">
          <cell r="A9" t="str">
            <v>Total Revenues</v>
          </cell>
          <cell r="K9">
            <v>13701.5</v>
          </cell>
          <cell r="L9">
            <v>13998.034</v>
          </cell>
          <cell r="N9">
            <v>14614</v>
          </cell>
          <cell r="O9">
            <v>14833</v>
          </cell>
          <cell r="P9">
            <v>15220</v>
          </cell>
          <cell r="Q9">
            <v>15365</v>
          </cell>
          <cell r="R9">
            <v>16029</v>
          </cell>
          <cell r="S9">
            <v>16638</v>
          </cell>
          <cell r="T9">
            <v>15785</v>
          </cell>
          <cell r="U9">
            <v>15571</v>
          </cell>
          <cell r="V9">
            <v>15412</v>
          </cell>
          <cell r="W9">
            <v>15776</v>
          </cell>
          <cell r="X9">
            <v>22390</v>
          </cell>
          <cell r="Y9">
            <v>26970</v>
          </cell>
          <cell r="Z9">
            <v>26313</v>
          </cell>
          <cell r="AA9">
            <v>24892</v>
          </cell>
          <cell r="AB9">
            <v>23895</v>
          </cell>
          <cell r="AC9">
            <v>25003</v>
          </cell>
          <cell r="AD9">
            <v>26405</v>
          </cell>
          <cell r="AE9">
            <v>27697.820605365057</v>
          </cell>
          <cell r="AF9">
            <v>28358.892641397051</v>
          </cell>
          <cell r="AG9">
            <v>28905.408744504351</v>
          </cell>
          <cell r="AH9">
            <v>29204.897015558319</v>
          </cell>
          <cell r="AI9">
            <v>29496.945985713905</v>
          </cell>
          <cell r="AJ9">
            <v>29791.915445571045</v>
          </cell>
          <cell r="AK9">
            <v>30089.834600026756</v>
          </cell>
          <cell r="AL9">
            <v>30390.732946027023</v>
          </cell>
          <cell r="AN9" t="str">
            <v>Total Revenues</v>
          </cell>
          <cell r="AO9">
            <v>1590.46</v>
          </cell>
          <cell r="AP9">
            <v>1525.692</v>
          </cell>
          <cell r="AQ9">
            <v>1767.327</v>
          </cell>
          <cell r="AR9">
            <v>2258.5039999999999</v>
          </cell>
          <cell r="AS9">
            <v>7141.9830000000002</v>
          </cell>
          <cell r="AU9">
            <v>1593.4190000000001</v>
          </cell>
          <cell r="AV9">
            <v>1495.7429999999999</v>
          </cell>
          <cell r="AW9">
            <v>1708.9010000000001</v>
          </cell>
          <cell r="AX9">
            <v>2134.2600000000002</v>
          </cell>
          <cell r="AY9">
            <v>6932.3230000000003</v>
          </cell>
          <cell r="BA9">
            <v>1571.7260000000001</v>
          </cell>
          <cell r="BB9">
            <v>1457.212</v>
          </cell>
          <cell r="BC9">
            <v>1788.9649999999999</v>
          </cell>
          <cell r="BD9">
            <v>2262.038</v>
          </cell>
          <cell r="BE9">
            <v>7079.9410000000007</v>
          </cell>
          <cell r="BG9">
            <v>1590.259</v>
          </cell>
          <cell r="BH9">
            <v>1502.288</v>
          </cell>
          <cell r="BI9">
            <v>1789.3150000000001</v>
          </cell>
          <cell r="BJ9">
            <v>2347.5439999999999</v>
          </cell>
          <cell r="BK9">
            <v>7229.4059999999999</v>
          </cell>
          <cell r="BM9">
            <v>1653.6310000000001</v>
          </cell>
          <cell r="BN9">
            <v>1596.1</v>
          </cell>
          <cell r="BO9">
            <v>1926.8109999999999</v>
          </cell>
          <cell r="BP9">
            <v>2530.9349999999999</v>
          </cell>
          <cell r="BQ9">
            <v>7707.476999999999</v>
          </cell>
          <cell r="BS9">
            <v>2938</v>
          </cell>
          <cell r="BT9">
            <v>2930.8</v>
          </cell>
          <cell r="BU9">
            <v>3352.6</v>
          </cell>
          <cell r="BV9">
            <v>4480.1000000000004</v>
          </cell>
          <cell r="BW9">
            <v>13701.5</v>
          </cell>
          <cell r="BY9">
            <v>2988.0059999999999</v>
          </cell>
          <cell r="BZ9">
            <v>3047</v>
          </cell>
          <cell r="CA9">
            <v>3333.5279999999998</v>
          </cell>
          <cell r="CB9">
            <v>414.8</v>
          </cell>
          <cell r="CC9">
            <v>3748.3690000000001</v>
          </cell>
          <cell r="CD9">
            <v>4629.5</v>
          </cell>
          <cell r="CE9">
            <v>5264.9</v>
          </cell>
          <cell r="CF9">
            <v>13998.034</v>
          </cell>
          <cell r="CG9">
            <v>14633.433999999999</v>
          </cell>
          <cell r="CH9">
            <v>15048.233999999999</v>
          </cell>
          <cell r="CJ9">
            <v>3300.7</v>
          </cell>
          <cell r="CK9">
            <v>3284.2280000000001</v>
          </cell>
          <cell r="CL9">
            <v>3609.1480000000001</v>
          </cell>
          <cell r="CM9">
            <v>5034.9579999999996</v>
          </cell>
          <cell r="CN9">
            <v>15229.034</v>
          </cell>
          <cell r="CP9">
            <v>3409.0909999999999</v>
          </cell>
          <cell r="CQ9">
            <v>3452.8290000000002</v>
          </cell>
          <cell r="CR9">
            <v>3746.2759999999998</v>
          </cell>
          <cell r="CS9">
            <v>5060.116</v>
          </cell>
          <cell r="CT9">
            <v>15668.312</v>
          </cell>
          <cell r="CV9">
            <v>3357</v>
          </cell>
          <cell r="CW9">
            <v>3426</v>
          </cell>
          <cell r="CX9">
            <v>3548</v>
          </cell>
          <cell r="CY9">
            <v>5034</v>
          </cell>
          <cell r="CZ9">
            <v>15365</v>
          </cell>
          <cell r="DB9">
            <v>3600</v>
          </cell>
          <cell r="DC9">
            <v>4006</v>
          </cell>
          <cell r="DD9">
            <v>4137</v>
          </cell>
          <cell r="DE9">
            <v>5973</v>
          </cell>
          <cell r="DF9">
            <v>17716</v>
          </cell>
          <cell r="DH9">
            <v>3573</v>
          </cell>
          <cell r="DI9">
            <v>3679</v>
          </cell>
          <cell r="DJ9">
            <v>3782</v>
          </cell>
          <cell r="DK9">
            <v>5604</v>
          </cell>
          <cell r="DL9">
            <v>16638</v>
          </cell>
          <cell r="DN9">
            <v>3556</v>
          </cell>
          <cell r="DO9">
            <v>3488</v>
          </cell>
          <cell r="DP9">
            <v>3475</v>
          </cell>
          <cell r="DQ9">
            <v>5132</v>
          </cell>
          <cell r="DR9">
            <v>15785</v>
          </cell>
          <cell r="DT9">
            <v>3453</v>
          </cell>
          <cell r="DU9">
            <v>3486</v>
          </cell>
          <cell r="DV9">
            <v>3479</v>
          </cell>
          <cell r="DW9">
            <v>5017</v>
          </cell>
          <cell r="DX9">
            <v>15571</v>
          </cell>
          <cell r="DZ9">
            <v>3291</v>
          </cell>
          <cell r="EA9">
            <v>3434</v>
          </cell>
          <cell r="EB9">
            <v>3486</v>
          </cell>
          <cell r="EC9">
            <v>5053</v>
          </cell>
          <cell r="ED9">
            <v>15412</v>
          </cell>
          <cell r="EF9">
            <v>3550</v>
          </cell>
          <cell r="EG9">
            <v>3581</v>
          </cell>
          <cell r="EH9">
            <v>3525</v>
          </cell>
          <cell r="EI9">
            <v>5120</v>
          </cell>
          <cell r="EJ9">
            <v>15776</v>
          </cell>
          <cell r="EK9" t="str">
            <v>Total Revenues</v>
          </cell>
          <cell r="EL9">
            <v>3641</v>
          </cell>
          <cell r="EM9">
            <v>3623</v>
          </cell>
          <cell r="EN9">
            <v>5555</v>
          </cell>
          <cell r="EO9">
            <v>9571</v>
          </cell>
          <cell r="EP9">
            <v>22390</v>
          </cell>
          <cell r="ER9">
            <v>5930</v>
          </cell>
          <cell r="ES9">
            <v>5995</v>
          </cell>
          <cell r="ET9">
            <v>5886</v>
          </cell>
          <cell r="EU9">
            <v>9159</v>
          </cell>
          <cell r="EV9">
            <v>26970</v>
          </cell>
          <cell r="EX9">
            <v>5921</v>
          </cell>
          <cell r="EY9">
            <v>5892</v>
          </cell>
          <cell r="EZ9">
            <v>5906</v>
          </cell>
          <cell r="FA9">
            <v>8594</v>
          </cell>
          <cell r="FB9">
            <v>26313</v>
          </cell>
          <cell r="FD9">
            <v>5747</v>
          </cell>
          <cell r="FE9">
            <v>5718</v>
          </cell>
          <cell r="FF9">
            <v>5493</v>
          </cell>
          <cell r="FG9">
            <v>7934</v>
          </cell>
          <cell r="FH9">
            <v>24892</v>
          </cell>
          <cell r="FJ9">
            <v>5288</v>
          </cell>
          <cell r="FK9">
            <v>5285</v>
          </cell>
          <cell r="FL9">
            <v>5385</v>
          </cell>
          <cell r="FM9">
            <v>7937</v>
          </cell>
          <cell r="FN9">
            <v>23895</v>
          </cell>
          <cell r="FP9">
            <v>5574</v>
          </cell>
          <cell r="FQ9">
            <v>5537</v>
          </cell>
          <cell r="FR9">
            <v>5623</v>
          </cell>
          <cell r="FS9">
            <v>8269</v>
          </cell>
          <cell r="FT9">
            <v>25003</v>
          </cell>
          <cell r="FV9">
            <v>5889</v>
          </cell>
          <cell r="FW9">
            <v>5939</v>
          </cell>
          <cell r="FX9">
            <v>5853</v>
          </cell>
          <cell r="FY9">
            <v>8724</v>
          </cell>
          <cell r="FZ9">
            <v>26405</v>
          </cell>
          <cell r="GB9">
            <v>6143</v>
          </cell>
          <cell r="GC9">
            <v>6118</v>
          </cell>
          <cell r="GD9">
            <v>6069.6866469352608</v>
          </cell>
          <cell r="GE9">
            <v>9367.1339584297966</v>
          </cell>
          <cell r="GF9">
            <v>27697.820605365057</v>
          </cell>
          <cell r="GS9" t="str">
            <v>mstag:revenueNet</v>
          </cell>
          <cell r="GT9">
            <v>6</v>
          </cell>
          <cell r="GU9" t="str">
            <v>ISO4217:USD</v>
          </cell>
          <cell r="GV9" t="b">
            <v>0</v>
          </cell>
          <cell r="GW9" t="b">
            <v>0</v>
          </cell>
        </row>
        <row r="10">
          <cell r="A10" t="str">
            <v>Y/Y Growth</v>
          </cell>
          <cell r="C10" t="str">
            <v>--</v>
          </cell>
          <cell r="D10">
            <v>-5.7485721706094783E-2</v>
          </cell>
          <cell r="E10" t="str">
            <v>--</v>
          </cell>
          <cell r="F10">
            <v>-2.935599258637267E-2</v>
          </cell>
          <cell r="G10">
            <v>2.1294160701975429E-2</v>
          </cell>
          <cell r="H10">
            <v>2.1111051631644839E-2</v>
          </cell>
          <cell r="I10">
            <v>6.6128669492348191E-2</v>
          </cell>
          <cell r="K10" t="str">
            <v xml:space="preserve">--  </v>
          </cell>
          <cell r="L10">
            <v>2.164244790716352E-2</v>
          </cell>
          <cell r="N10" t="str">
            <v>NA</v>
          </cell>
          <cell r="O10">
            <v>1.4985630217599466E-2</v>
          </cell>
          <cell r="P10">
            <v>2.6090473943234604E-2</v>
          </cell>
          <cell r="Q10">
            <v>9.5269382391589552E-3</v>
          </cell>
          <cell r="R10">
            <v>4.3215099251545652E-2</v>
          </cell>
          <cell r="S10">
            <v>3.7993636533782515E-2</v>
          </cell>
          <cell r="T10">
            <v>-5.126818127178745E-2</v>
          </cell>
          <cell r="U10">
            <v>-1.3557174532784266E-2</v>
          </cell>
          <cell r="V10">
            <v>-1.0211290218996805E-2</v>
          </cell>
          <cell r="W10">
            <v>2.361796003114458E-2</v>
          </cell>
          <cell r="X10">
            <v>0.41924442190669375</v>
          </cell>
          <cell r="Y10">
            <v>0.20455560518088434</v>
          </cell>
          <cell r="Z10">
            <v>-2.4360400444938812E-2</v>
          </cell>
          <cell r="AA10">
            <v>-5.4003724394785846E-2</v>
          </cell>
          <cell r="AB10">
            <v>-4.0053029085650005E-2</v>
          </cell>
          <cell r="AC10">
            <v>4.6369533375183014E-2</v>
          </cell>
          <cell r="AD10">
            <v>5.60732712074552E-2</v>
          </cell>
          <cell r="AE10">
            <v>4.8961204520547419E-2</v>
          </cell>
          <cell r="AF10">
            <v>2.3867294306323394E-2</v>
          </cell>
          <cell r="AG10">
            <v>1.9271419022529823E-2</v>
          </cell>
          <cell r="AH10">
            <v>1.0360976857347159E-2</v>
          </cell>
          <cell r="AI10">
            <v>1.0000000000000009E-2</v>
          </cell>
          <cell r="AJ10">
            <v>1.0000000000000009E-2</v>
          </cell>
          <cell r="AK10">
            <v>1.0000000000000009E-2</v>
          </cell>
          <cell r="AL10">
            <v>1.0000000000000009E-2</v>
          </cell>
          <cell r="AN10" t="str">
            <v>Y/Y Growth</v>
          </cell>
          <cell r="AS10">
            <v>-5.7485721706094783E-2</v>
          </cell>
          <cell r="AU10">
            <v>1.86046804069262E-3</v>
          </cell>
          <cell r="AV10">
            <v>-1.9629781109162359E-2</v>
          </cell>
          <cell r="AW10">
            <v>-3.3058964187159479E-2</v>
          </cell>
          <cell r="AX10">
            <v>-5.5011636021012E-2</v>
          </cell>
          <cell r="AY10">
            <v>-2.935599258637267E-2</v>
          </cell>
          <cell r="BA10">
            <v>-1.3614121583839567E-2</v>
          </cell>
          <cell r="BB10">
            <v>-2.5760441466214368E-2</v>
          </cell>
          <cell r="BC10">
            <v>4.6851163408529795E-2</v>
          </cell>
          <cell r="BD10">
            <v>5.9869931498505169E-2</v>
          </cell>
          <cell r="BE10">
            <v>2.1294160701975429E-2</v>
          </cell>
          <cell r="BG10">
            <v>1.1791495464221979E-2</v>
          </cell>
          <cell r="BH10">
            <v>3.0933042000752087E-2</v>
          </cell>
          <cell r="BI10">
            <v>1.9564384993575601E-4</v>
          </cell>
          <cell r="BJ10">
            <v>3.7800425987538633E-2</v>
          </cell>
          <cell r="BK10">
            <v>2.1111051631644839E-2</v>
          </cell>
          <cell r="BM10">
            <v>3.9850112465956933E-2</v>
          </cell>
          <cell r="BN10">
            <v>6.2446082242552547E-2</v>
          </cell>
          <cell r="BO10">
            <v>7.6842814149548744E-2</v>
          </cell>
          <cell r="BP10">
            <v>7.8120367498969223E-2</v>
          </cell>
          <cell r="BQ10">
            <v>6.6128669492348191E-2</v>
          </cell>
          <cell r="BS10" t="str">
            <v xml:space="preserve"> --  </v>
          </cell>
          <cell r="BT10" t="str">
            <v xml:space="preserve"> --  </v>
          </cell>
          <cell r="BU10" t="str">
            <v xml:space="preserve"> --  </v>
          </cell>
          <cell r="BV10" t="str">
            <v xml:space="preserve"> --  </v>
          </cell>
          <cell r="BW10" t="str">
            <v xml:space="preserve"> --  </v>
          </cell>
          <cell r="BY10">
            <v>1.7020422055820328E-2</v>
          </cell>
          <cell r="BZ10">
            <v>3.9647877712569946E-2</v>
          </cell>
          <cell r="CA10">
            <v>-5.6887192030066203E-3</v>
          </cell>
          <cell r="CC10">
            <v>0.11804838036151044</v>
          </cell>
          <cell r="CD10">
            <v>3.3347469922546225E-2</v>
          </cell>
          <cell r="CE10">
            <v>0.1751746612798819</v>
          </cell>
          <cell r="CF10">
            <v>2.164244790716352E-2</v>
          </cell>
          <cell r="CG10">
            <v>6.8016932452651169E-2</v>
          </cell>
          <cell r="CH10">
            <v>9.8290990037587012E-2</v>
          </cell>
          <cell r="CJ10">
            <v>0.10464972292558983</v>
          </cell>
          <cell r="CK10">
            <v>7.7856252051197838E-2</v>
          </cell>
          <cell r="CL10">
            <v>-3.7141754186954423E-2</v>
          </cell>
          <cell r="CM10">
            <v>-4.3674523732644466E-2</v>
          </cell>
          <cell r="CN10">
            <v>1.2014698867654605E-2</v>
          </cell>
          <cell r="CP10">
            <v>3.2838791771442555E-2</v>
          </cell>
          <cell r="CQ10">
            <v>5.1336569811840205E-2</v>
          </cell>
          <cell r="CR10">
            <v>3.799456270565793E-2</v>
          </cell>
          <cell r="CS10">
            <v>4.9966653147852647E-3</v>
          </cell>
          <cell r="CT10">
            <v>2.8844771112862544E-2</v>
          </cell>
          <cell r="CV10">
            <v>-1.528002625919922E-2</v>
          </cell>
          <cell r="CW10">
            <v>-7.7701502159533975E-3</v>
          </cell>
          <cell r="CX10">
            <v>-5.2926159204500611E-2</v>
          </cell>
          <cell r="CY10">
            <v>-5.1611465033607473E-3</v>
          </cell>
          <cell r="CZ10">
            <v>-1.9358307391376894E-2</v>
          </cell>
          <cell r="DB10">
            <v>3.3661006851355424E-2</v>
          </cell>
          <cell r="DC10">
            <v>5.3415061295972066E-2</v>
          </cell>
          <cell r="DD10">
            <v>4.0304396843291901E-2</v>
          </cell>
          <cell r="DE10">
            <v>4.4696066746126251E-2</v>
          </cell>
          <cell r="DF10">
            <v>4.3215099251545652E-2</v>
          </cell>
          <cell r="DH10">
            <v>2.9682997118155585E-2</v>
          </cell>
          <cell r="DI10">
            <v>1.9395954558049322E-2</v>
          </cell>
          <cell r="DJ10">
            <v>2.4654565158493735E-2</v>
          </cell>
          <cell r="DK10">
            <v>6.560182544209936E-2</v>
          </cell>
          <cell r="DL10">
            <v>3.7993636533782515E-2</v>
          </cell>
          <cell r="DN10">
            <v>-4.7579065211307281E-3</v>
          </cell>
          <cell r="DO10">
            <v>-5.191628159826045E-2</v>
          </cell>
          <cell r="DP10">
            <v>-8.1173982020095181E-2</v>
          </cell>
          <cell r="DQ10">
            <v>-8.4225553176302648E-2</v>
          </cell>
          <cell r="DR10">
            <v>-5.126818127178745E-2</v>
          </cell>
          <cell r="DT10">
            <v>-2.8965129358830111E-2</v>
          </cell>
          <cell r="DU10">
            <v>-5.7339449541282672E-4</v>
          </cell>
          <cell r="DV10">
            <v>1.1510791366906581E-3</v>
          </cell>
          <cell r="DW10">
            <v>-2.2408417770849565E-2</v>
          </cell>
          <cell r="DX10">
            <v>-1.3557174532784266E-2</v>
          </cell>
          <cell r="DZ10">
            <v>-4.6915725456125101E-2</v>
          </cell>
          <cell r="EA10">
            <v>-1.4916810097532984E-2</v>
          </cell>
          <cell r="EB10">
            <v>2.012072434607548E-3</v>
          </cell>
          <cell r="EC10">
            <v>7.1756029499701057E-3</v>
          </cell>
          <cell r="ED10">
            <v>-1.0211290218996805E-2</v>
          </cell>
          <cell r="EF10">
            <v>7.8699483439683915E-2</v>
          </cell>
          <cell r="EG10">
            <v>4.2807221898660375E-2</v>
          </cell>
          <cell r="EH10">
            <v>1.1187607573149849E-2</v>
          </cell>
          <cell r="EI10">
            <v>1.3259449831783066E-2</v>
          </cell>
          <cell r="EJ10">
            <v>2.361796003114458E-2</v>
          </cell>
          <cell r="EK10" t="str">
            <v>Y/Y Growth</v>
          </cell>
          <cell r="EL10">
            <v>2.5633802816901419E-2</v>
          </cell>
          <cell r="EM10">
            <v>1.1728567439262871E-2</v>
          </cell>
          <cell r="EN10">
            <v>0.57588652482269498</v>
          </cell>
          <cell r="EO10">
            <v>0.86933593750000004</v>
          </cell>
          <cell r="EP10">
            <v>0.41924442190669375</v>
          </cell>
          <cell r="ER10">
            <v>0.62867344136226322</v>
          </cell>
          <cell r="ES10">
            <v>0.65470604471432514</v>
          </cell>
          <cell r="ET10">
            <v>5.9585958595859578E-2</v>
          </cell>
          <cell r="EU10">
            <v>-4.3046703583742518E-2</v>
          </cell>
          <cell r="EV10">
            <v>0.20455560518088434</v>
          </cell>
          <cell r="EX10">
            <v>-1.5177065767284503E-3</v>
          </cell>
          <cell r="EY10">
            <v>-1.7180984153461254E-2</v>
          </cell>
          <cell r="EZ10">
            <v>3.397893306150257E-3</v>
          </cell>
          <cell r="FA10">
            <v>-6.1687957200567745E-2</v>
          </cell>
          <cell r="FB10">
            <v>-2.4360400444938812E-2</v>
          </cell>
          <cell r="FD10">
            <v>-2.9386927883803371E-2</v>
          </cell>
          <cell r="FE10">
            <v>-2.9531568228105876E-2</v>
          </cell>
          <cell r="FF10">
            <v>-6.9928885878767333E-2</v>
          </cell>
          <cell r="FG10">
            <v>-7.6797765883174329E-2</v>
          </cell>
          <cell r="FH10">
            <v>-5.4003724394785846E-2</v>
          </cell>
          <cell r="FJ10">
            <v>-7.9867757090655966E-2</v>
          </cell>
          <cell r="FK10">
            <v>-7.5725778244141284E-2</v>
          </cell>
          <cell r="FL10">
            <v>-1.9661387220098359E-2</v>
          </cell>
          <cell r="FM10">
            <v>3.7811948575749987E-4</v>
          </cell>
          <cell r="FN10">
            <v>-4.0053029085650005E-2</v>
          </cell>
          <cell r="FP10">
            <v>5.4084720121028829E-2</v>
          </cell>
          <cell r="FQ10">
            <v>4.7682119205298079E-2</v>
          </cell>
          <cell r="FR10">
            <v>4.4196843082636939E-2</v>
          </cell>
          <cell r="FS10">
            <v>4.182940657679235E-2</v>
          </cell>
          <cell r="FT10">
            <v>4.6369533375183014E-2</v>
          </cell>
          <cell r="FV10">
            <v>5.6512378902045191E-2</v>
          </cell>
          <cell r="FW10">
            <v>7.2602492324363332E-2</v>
          </cell>
          <cell r="FX10">
            <v>4.0903432331495626E-2</v>
          </cell>
          <cell r="FY10">
            <v>5.5024791389527206E-2</v>
          </cell>
          <cell r="FZ10">
            <v>5.60732712074552E-2</v>
          </cell>
          <cell r="GB10">
            <v>4.313126167430803E-2</v>
          </cell>
          <cell r="GC10">
            <v>3.0139754167368249E-2</v>
          </cell>
          <cell r="GD10">
            <v>3.7021467099822347E-2</v>
          </cell>
          <cell r="GE10">
            <v>7.372007776590972E-2</v>
          </cell>
          <cell r="GF10">
            <v>4.8961204520547419E-2</v>
          </cell>
        </row>
        <row r="11">
          <cell r="A11" t="str">
            <v xml:space="preserve">  % Same-Store</v>
          </cell>
          <cell r="C11" t="str">
            <v>--</v>
          </cell>
          <cell r="D11">
            <v>-4.2999999999999997E-2</v>
          </cell>
          <cell r="E11" t="str">
            <v>--</v>
          </cell>
          <cell r="F11">
            <v>1.4E-2</v>
          </cell>
          <cell r="G11">
            <v>5.1999999999999998E-2</v>
          </cell>
          <cell r="H11">
            <v>1.9E-2</v>
          </cell>
          <cell r="I11">
            <v>3.1E-2</v>
          </cell>
          <cell r="K11">
            <v>3.0898675327518884E-2</v>
          </cell>
          <cell r="L11">
            <v>2.7118808112624956E-2</v>
          </cell>
          <cell r="N11">
            <v>2.7E-2</v>
          </cell>
          <cell r="O11">
            <v>3.1E-2</v>
          </cell>
          <cell r="P11">
            <v>2.7E-2</v>
          </cell>
          <cell r="Q11">
            <v>2.1999999999999999E-2</v>
          </cell>
          <cell r="R11">
            <v>4.4999999999999998E-2</v>
          </cell>
          <cell r="S11">
            <v>0.02</v>
          </cell>
          <cell r="T11">
            <v>-5.2999999999999999E-2</v>
          </cell>
          <cell r="U11">
            <v>-0.03</v>
          </cell>
          <cell r="V11">
            <v>-9.0000000000000011E-3</v>
          </cell>
          <cell r="W11">
            <v>2.5999999999999999E-2</v>
          </cell>
          <cell r="X11">
            <v>1.2999999999999999E-2</v>
          </cell>
          <cell r="Y11">
            <v>4.3999999999999997E-2</v>
          </cell>
          <cell r="Z11">
            <v>-1.2999999999999999E-2</v>
          </cell>
          <cell r="AA11">
            <v>-4.4999999999999998E-2</v>
          </cell>
          <cell r="AB11">
            <v>-5.2999999999999999E-2</v>
          </cell>
          <cell r="AC11">
            <v>4.610434747830261E-2</v>
          </cell>
          <cell r="AD11">
            <v>5.2999999999999999E-2</v>
          </cell>
          <cell r="AE11">
            <v>4.02253638971692E-2</v>
          </cell>
          <cell r="AF11">
            <v>3.5000000000000003E-2</v>
          </cell>
          <cell r="AG11">
            <v>0.02</v>
          </cell>
          <cell r="AH11">
            <v>0.01</v>
          </cell>
          <cell r="AI11">
            <v>0.01</v>
          </cell>
          <cell r="AJ11">
            <v>0.01</v>
          </cell>
          <cell r="AK11">
            <v>0.01</v>
          </cell>
          <cell r="AL11">
            <v>0.01</v>
          </cell>
          <cell r="AN11" t="str">
            <v xml:space="preserve">  % Same-Store</v>
          </cell>
          <cell r="AS11">
            <v>-4.2999999999999997E-2</v>
          </cell>
          <cell r="AU11">
            <v>2.9000000000000001E-2</v>
          </cell>
          <cell r="AV11">
            <v>1.4E-2</v>
          </cell>
          <cell r="AW11">
            <v>1.7999999999999999E-2</v>
          </cell>
          <cell r="AX11">
            <v>-1E-3</v>
          </cell>
          <cell r="AY11">
            <v>1.4E-2</v>
          </cell>
          <cell r="BA11">
            <v>4.3999999999999997E-2</v>
          </cell>
          <cell r="BB11">
            <v>1.7000000000000001E-2</v>
          </cell>
          <cell r="BC11">
            <v>5.7000000000000002E-2</v>
          </cell>
          <cell r="BD11">
            <v>7.4999999999999997E-2</v>
          </cell>
          <cell r="BE11">
            <v>5.1999999999999998E-2</v>
          </cell>
          <cell r="BG11">
            <v>0.02</v>
          </cell>
          <cell r="BH11">
            <v>0.04</v>
          </cell>
          <cell r="BI11">
            <v>0</v>
          </cell>
          <cell r="BJ11">
            <v>2.1000000000000001E-2</v>
          </cell>
          <cell r="BK11">
            <v>1.9E-2</v>
          </cell>
          <cell r="BM11">
            <v>2.1000000000000001E-2</v>
          </cell>
          <cell r="BN11">
            <v>2.1999999999999999E-2</v>
          </cell>
          <cell r="BO11">
            <v>3.4000000000000002E-2</v>
          </cell>
          <cell r="BP11">
            <v>4.1000000000000002E-2</v>
          </cell>
          <cell r="BQ11">
            <v>3.1E-2</v>
          </cell>
          <cell r="BS11">
            <v>3.9E-2</v>
          </cell>
          <cell r="BT11">
            <v>8.0000000000000002E-3</v>
          </cell>
          <cell r="BU11">
            <v>3.6999999999999998E-2</v>
          </cell>
          <cell r="BV11">
            <v>3.5999999999999997E-2</v>
          </cell>
          <cell r="BW11">
            <v>3.0898675327518884E-2</v>
          </cell>
          <cell r="BY11">
            <v>1.2999999999999999E-2</v>
          </cell>
          <cell r="BZ11">
            <v>6.2E-2</v>
          </cell>
          <cell r="CA11">
            <v>1.4999999999999999E-2</v>
          </cell>
          <cell r="CC11">
            <v>1.4999999999999999E-2</v>
          </cell>
          <cell r="CD11">
            <v>2.1999999999999999E-2</v>
          </cell>
          <cell r="CE11">
            <v>2.1999999999999999E-2</v>
          </cell>
          <cell r="CF11">
            <v>2.7118808112624956E-2</v>
          </cell>
          <cell r="CG11">
            <v>2.7118808112624956E-2</v>
          </cell>
          <cell r="CH11">
            <v>2.7118808112624956E-2</v>
          </cell>
          <cell r="CJ11">
            <v>4.5999999999999999E-2</v>
          </cell>
          <cell r="CK11">
            <v>8.0000000000000002E-3</v>
          </cell>
          <cell r="CL11">
            <v>2.5000000000000001E-2</v>
          </cell>
          <cell r="CM11">
            <v>0.04</v>
          </cell>
          <cell r="CN11">
            <v>3.0844572544785176E-2</v>
          </cell>
          <cell r="CP11">
            <v>2.5000000000000001E-2</v>
          </cell>
          <cell r="CQ11">
            <v>4.3999999999999997E-2</v>
          </cell>
          <cell r="CR11">
            <v>3.1E-2</v>
          </cell>
          <cell r="CS11">
            <v>1.4E-2</v>
          </cell>
          <cell r="CT11">
            <v>2.7069152758765591E-2</v>
          </cell>
          <cell r="CV11">
            <v>2.4E-2</v>
          </cell>
          <cell r="CW11">
            <v>3.0187969924812031E-2</v>
          </cell>
          <cell r="CX11">
            <v>-1.2999999999999999E-2</v>
          </cell>
          <cell r="CY11">
            <v>4.1000000000000002E-2</v>
          </cell>
          <cell r="CZ11">
            <v>4.4999999999999998E-2</v>
          </cell>
          <cell r="DB11">
            <v>0.04</v>
          </cell>
          <cell r="DC11">
            <v>5.8999999999999997E-2</v>
          </cell>
          <cell r="DD11">
            <v>3.9E-2</v>
          </cell>
          <cell r="DE11">
            <v>4.3999999999999997E-2</v>
          </cell>
          <cell r="DF11">
            <v>4.4999999999999998E-2</v>
          </cell>
          <cell r="DH11">
            <v>2.9000000000000001E-2</v>
          </cell>
          <cell r="DI11">
            <v>1.9E-2</v>
          </cell>
          <cell r="DJ11">
            <v>1.9E-2</v>
          </cell>
          <cell r="DK11">
            <v>1.6E-2</v>
          </cell>
          <cell r="DL11">
            <v>0.02</v>
          </cell>
          <cell r="DN11">
            <v>-1.4999999999999999E-2</v>
          </cell>
          <cell r="DO11">
            <v>-4.8000000000000001E-2</v>
          </cell>
          <cell r="DP11">
            <v>-8.5999999999999993E-2</v>
          </cell>
          <cell r="DQ11">
            <v>-0.06</v>
          </cell>
          <cell r="DR11">
            <v>-5.2999999999999999E-2</v>
          </cell>
          <cell r="DT11">
            <v>-2.9000000000000001E-2</v>
          </cell>
          <cell r="DU11">
            <v>-2.8000000000000001E-2</v>
          </cell>
          <cell r="DV11">
            <v>-0.02</v>
          </cell>
          <cell r="DW11">
            <v>-3.9E-2</v>
          </cell>
          <cell r="DX11">
            <v>-0.03</v>
          </cell>
          <cell r="DZ11">
            <v>-0.05</v>
          </cell>
          <cell r="EA11">
            <v>-1.2E-2</v>
          </cell>
          <cell r="EB11">
            <v>2E-3</v>
          </cell>
          <cell r="EC11">
            <v>1.3999999999999999E-2</v>
          </cell>
          <cell r="ED11">
            <v>-9.0000000000000011E-3</v>
          </cell>
          <cell r="EF11">
            <v>6.9000000000000006E-2</v>
          </cell>
          <cell r="EG11">
            <v>3.3000000000000002E-2</v>
          </cell>
          <cell r="EH11">
            <v>4.0000000000000001E-3</v>
          </cell>
          <cell r="EI11">
            <v>8.0000000000000002E-3</v>
          </cell>
          <cell r="EJ11">
            <v>2.5999999999999999E-2</v>
          </cell>
          <cell r="EK11" t="str">
            <v xml:space="preserve">  % Same-Store</v>
          </cell>
          <cell r="EL11">
            <v>2.5999999999999999E-2</v>
          </cell>
          <cell r="EM11">
            <v>1.0999999999999999E-2</v>
          </cell>
          <cell r="EN11">
            <v>6.0000000000000001E-3</v>
          </cell>
          <cell r="EO11">
            <v>1.0999999999999999E-2</v>
          </cell>
          <cell r="EP11">
            <v>1.2999999999999999E-2</v>
          </cell>
          <cell r="ER11">
            <v>0</v>
          </cell>
          <cell r="ES11">
            <v>4.5999999999999999E-2</v>
          </cell>
          <cell r="ET11">
            <v>5.8999999999999997E-2</v>
          </cell>
          <cell r="EU11">
            <v>6.0999999999999999E-2</v>
          </cell>
          <cell r="EV11">
            <v>4.3999999999999997E-2</v>
          </cell>
          <cell r="EX11">
            <v>6.0000000000000001E-3</v>
          </cell>
          <cell r="EY11">
            <v>-2.5999999999999999E-2</v>
          </cell>
          <cell r="EZ11">
            <v>-8.0000000000000002E-3</v>
          </cell>
          <cell r="FA11">
            <v>-0.02</v>
          </cell>
          <cell r="FB11">
            <v>-1.2999999999999999E-2</v>
          </cell>
          <cell r="FD11">
            <v>-2.5999999999999999E-2</v>
          </cell>
          <cell r="FE11">
            <v>-2.1000000000000001E-2</v>
          </cell>
          <cell r="FF11">
            <v>-0.06</v>
          </cell>
          <cell r="FG11">
            <v>-7.0000000000000007E-2</v>
          </cell>
          <cell r="FH11">
            <v>-4.4999999999999998E-2</v>
          </cell>
          <cell r="FJ11">
            <v>-0.09</v>
          </cell>
          <cell r="FK11">
            <v>-9.5000000000000001E-2</v>
          </cell>
          <cell r="FL11">
            <v>-3.5999999999999997E-2</v>
          </cell>
          <cell r="FM11">
            <v>-8.0000000000000002E-3</v>
          </cell>
          <cell r="FN11">
            <v>-5.2999999999999999E-2</v>
          </cell>
          <cell r="FP11">
            <v>5.5E-2</v>
          </cell>
          <cell r="FQ11">
            <v>4.9000000000000002E-2</v>
          </cell>
          <cell r="FR11">
            <v>3.9E-2</v>
          </cell>
          <cell r="FS11">
            <v>4.2999999999999997E-2</v>
          </cell>
          <cell r="FT11">
            <v>4.610434747830261E-2</v>
          </cell>
          <cell r="FV11">
            <v>5.3999999999999999E-2</v>
          </cell>
          <cell r="FW11">
            <v>6.4000000000000001E-2</v>
          </cell>
          <cell r="FX11">
            <v>0.04</v>
          </cell>
          <cell r="FY11">
            <v>5.1999999999999998E-2</v>
          </cell>
          <cell r="FZ11">
            <v>5.2999999999999999E-2</v>
          </cell>
          <cell r="GB11">
            <v>4.3999999999999997E-2</v>
          </cell>
          <cell r="GC11">
            <v>0.03</v>
          </cell>
          <cell r="GD11">
            <v>4.4170626829774157E-2</v>
          </cell>
          <cell r="GE11">
            <v>4.1872044415560798E-2</v>
          </cell>
          <cell r="GF11">
            <v>4.02253638971692E-2</v>
          </cell>
          <cell r="GS11" t="str">
            <v>mstag:comparableStoreSalesGrowth</v>
          </cell>
          <cell r="GT11">
            <v>0</v>
          </cell>
          <cell r="GU11" t="str">
            <v>ms_eqr_gcim_Decimal:ms_eqr_gcim_decimal</v>
          </cell>
          <cell r="GV11" t="b">
            <v>0</v>
          </cell>
          <cell r="GW11" t="b">
            <v>0</v>
          </cell>
        </row>
        <row r="13">
          <cell r="A13" t="str">
            <v>Cost of Goods Sold</v>
          </cell>
          <cell r="C13">
            <v>5447.1210000000001</v>
          </cell>
          <cell r="D13">
            <v>4394.9759999999997</v>
          </cell>
          <cell r="E13">
            <v>4202.223</v>
          </cell>
          <cell r="F13">
            <v>4173.2920000000004</v>
          </cell>
          <cell r="G13">
            <v>4220.8230000000003</v>
          </cell>
          <cell r="H13">
            <v>4371.2170000000006</v>
          </cell>
          <cell r="I13">
            <v>4738.326</v>
          </cell>
          <cell r="K13">
            <v>8409.8680000000004</v>
          </cell>
          <cell r="L13">
            <v>8578.85</v>
          </cell>
          <cell r="N13">
            <v>9038</v>
          </cell>
          <cell r="O13">
            <v>9018</v>
          </cell>
          <cell r="P13">
            <v>9200</v>
          </cell>
          <cell r="Q13">
            <v>9218</v>
          </cell>
          <cell r="R13">
            <v>9576</v>
          </cell>
          <cell r="S13">
            <v>9955</v>
          </cell>
          <cell r="T13">
            <v>9603</v>
          </cell>
          <cell r="U13">
            <v>9324</v>
          </cell>
          <cell r="V13">
            <v>9175</v>
          </cell>
          <cell r="W13">
            <v>9346</v>
          </cell>
          <cell r="X13">
            <v>13272</v>
          </cell>
          <cell r="Y13">
            <v>16019</v>
          </cell>
          <cell r="Z13">
            <v>15677</v>
          </cell>
          <cell r="AA13">
            <v>15009</v>
          </cell>
          <cell r="AB13">
            <v>14278</v>
          </cell>
          <cell r="AC13">
            <v>14824</v>
          </cell>
          <cell r="AD13">
            <v>15738</v>
          </cell>
          <cell r="AE13">
            <v>16473.116703251519</v>
          </cell>
          <cell r="AF13">
            <v>16781.208749826241</v>
          </cell>
          <cell r="AG13">
            <v>17061.248342231931</v>
          </cell>
          <cell r="AH13">
            <v>17267.224438478806</v>
          </cell>
          <cell r="AI13">
            <v>17498.890574835023</v>
          </cell>
          <cell r="AJ13">
            <v>17673.879480583375</v>
          </cell>
          <cell r="AK13">
            <v>17850.618275389206</v>
          </cell>
          <cell r="AL13">
            <v>18029.124458143102</v>
          </cell>
          <cell r="AN13" t="str">
            <v>Cost of Goods Sold</v>
          </cell>
          <cell r="AO13">
            <v>955.19299999999998</v>
          </cell>
          <cell r="AP13">
            <v>949.21100000000001</v>
          </cell>
          <cell r="AQ13">
            <v>1068.867</v>
          </cell>
          <cell r="AR13">
            <v>1421.7049999999999</v>
          </cell>
          <cell r="AS13">
            <v>4394.9759999999997</v>
          </cell>
          <cell r="AU13">
            <v>954.02099999999996</v>
          </cell>
          <cell r="AV13">
            <v>897.43100000000004</v>
          </cell>
          <cell r="AW13">
            <v>1031.549</v>
          </cell>
          <cell r="AX13">
            <v>1319.222</v>
          </cell>
          <cell r="AY13">
            <v>4202.223</v>
          </cell>
          <cell r="BA13">
            <v>924.86599999999999</v>
          </cell>
          <cell r="BB13">
            <v>867.78200000000004</v>
          </cell>
          <cell r="BC13">
            <v>1063.415</v>
          </cell>
          <cell r="BD13">
            <v>1364.76</v>
          </cell>
          <cell r="BE13">
            <v>4220.8230000000003</v>
          </cell>
          <cell r="BG13">
            <v>947.86799999999994</v>
          </cell>
          <cell r="BH13">
            <v>900.06400000000008</v>
          </cell>
          <cell r="BI13">
            <v>1077.3520000000001</v>
          </cell>
          <cell r="BJ13">
            <v>1445.933</v>
          </cell>
          <cell r="BK13">
            <v>4371.2170000000006</v>
          </cell>
          <cell r="BM13">
            <v>1002.9349999999999</v>
          </cell>
          <cell r="BN13">
            <v>974.73500000000001</v>
          </cell>
          <cell r="BO13">
            <v>1182.5509999999999</v>
          </cell>
          <cell r="BP13">
            <v>1578.105</v>
          </cell>
          <cell r="BQ13">
            <v>4738.326</v>
          </cell>
          <cell r="BS13">
            <v>1781.979</v>
          </cell>
          <cell r="BT13">
            <v>1814.82</v>
          </cell>
          <cell r="BU13">
            <v>2045.9162000000001</v>
          </cell>
          <cell r="BV13">
            <v>2767.1528000000003</v>
          </cell>
          <cell r="BW13">
            <v>8409.8680000000004</v>
          </cell>
          <cell r="BY13">
            <v>1822.16</v>
          </cell>
          <cell r="BZ13">
            <v>1862.915</v>
          </cell>
          <cell r="CA13">
            <v>2039.616</v>
          </cell>
          <cell r="CB13">
            <v>288.96100000000024</v>
          </cell>
          <cell r="CC13">
            <v>2328.5770000000002</v>
          </cell>
          <cell r="CD13">
            <v>2854.1590000000001</v>
          </cell>
          <cell r="CE13">
            <v>3304.3710000000001</v>
          </cell>
          <cell r="CF13">
            <v>8578.85</v>
          </cell>
          <cell r="CG13">
            <v>9029.0619999999999</v>
          </cell>
          <cell r="CH13">
            <v>9318.023000000001</v>
          </cell>
          <cell r="CJ13">
            <v>2014.6479999999999</v>
          </cell>
          <cell r="CK13">
            <v>1995.5730000000001</v>
          </cell>
          <cell r="CL13">
            <v>2189.9029999999998</v>
          </cell>
          <cell r="CM13">
            <v>3088.5619999999999</v>
          </cell>
          <cell r="CN13">
            <v>9288.6859999999997</v>
          </cell>
          <cell r="CP13">
            <v>2086.8649999999998</v>
          </cell>
          <cell r="CQ13">
            <v>2098.6709999999998</v>
          </cell>
          <cell r="CR13">
            <v>2286.9189999999999</v>
          </cell>
          <cell r="CS13">
            <v>3108.3119999999999</v>
          </cell>
          <cell r="CT13">
            <v>9580.7669999999998</v>
          </cell>
          <cell r="CV13">
            <v>2022</v>
          </cell>
          <cell r="CW13">
            <v>2017</v>
          </cell>
          <cell r="CX13">
            <v>2145</v>
          </cell>
          <cell r="CY13">
            <v>3034</v>
          </cell>
          <cell r="CZ13">
            <v>9218</v>
          </cell>
          <cell r="DB13">
            <v>2174</v>
          </cell>
          <cell r="DC13">
            <v>2319</v>
          </cell>
          <cell r="DD13">
            <v>2454</v>
          </cell>
          <cell r="DE13">
            <v>3496</v>
          </cell>
          <cell r="DF13">
            <v>10443</v>
          </cell>
          <cell r="DH13">
            <v>2152</v>
          </cell>
          <cell r="DI13">
            <v>2173</v>
          </cell>
          <cell r="DJ13">
            <v>2295</v>
          </cell>
          <cell r="DK13">
            <v>3335</v>
          </cell>
          <cell r="DL13">
            <v>9955</v>
          </cell>
          <cell r="DN13">
            <v>2158</v>
          </cell>
          <cell r="DO13">
            <v>2128</v>
          </cell>
          <cell r="DP13">
            <v>2134</v>
          </cell>
          <cell r="DQ13">
            <v>3111</v>
          </cell>
          <cell r="DR13">
            <v>9603</v>
          </cell>
          <cell r="DT13">
            <v>2078</v>
          </cell>
          <cell r="DU13">
            <v>2051</v>
          </cell>
          <cell r="DV13">
            <v>2112</v>
          </cell>
          <cell r="DW13">
            <v>3014</v>
          </cell>
          <cell r="DX13">
            <v>9324</v>
          </cell>
          <cell r="DZ13">
            <v>2002</v>
          </cell>
          <cell r="EA13">
            <v>2025</v>
          </cell>
          <cell r="EB13">
            <v>2091</v>
          </cell>
          <cell r="EC13">
            <v>2981</v>
          </cell>
          <cell r="ED13">
            <v>9175</v>
          </cell>
          <cell r="EF13">
            <v>2119</v>
          </cell>
          <cell r="EG13">
            <v>2098</v>
          </cell>
          <cell r="EH13">
            <v>2107</v>
          </cell>
          <cell r="EI13">
            <v>3022</v>
          </cell>
          <cell r="EJ13">
            <v>9346</v>
          </cell>
          <cell r="EK13" t="str">
            <v>Cost of Goods Sold</v>
          </cell>
          <cell r="EL13">
            <v>2176</v>
          </cell>
          <cell r="EM13">
            <v>2126</v>
          </cell>
          <cell r="EN13">
            <v>3312</v>
          </cell>
          <cell r="EO13">
            <v>5658</v>
          </cell>
          <cell r="EP13">
            <v>13272</v>
          </cell>
          <cell r="ER13">
            <v>3627</v>
          </cell>
          <cell r="ES13">
            <v>3470</v>
          </cell>
          <cell r="ET13">
            <v>3513</v>
          </cell>
          <cell r="EU13">
            <v>5409</v>
          </cell>
          <cell r="EV13">
            <v>16019</v>
          </cell>
          <cell r="EX13">
            <v>3564</v>
          </cell>
          <cell r="EY13">
            <v>3507</v>
          </cell>
          <cell r="EZ13">
            <v>3585</v>
          </cell>
          <cell r="FA13">
            <v>5021</v>
          </cell>
          <cell r="FB13">
            <v>15677</v>
          </cell>
          <cell r="FD13">
            <v>3527</v>
          </cell>
          <cell r="FE13">
            <v>3346</v>
          </cell>
          <cell r="FF13">
            <v>3324</v>
          </cell>
          <cell r="FG13">
            <v>4812</v>
          </cell>
          <cell r="FH13">
            <v>15009</v>
          </cell>
          <cell r="FJ13">
            <v>3279</v>
          </cell>
          <cell r="FK13">
            <v>3117</v>
          </cell>
          <cell r="FL13">
            <v>3241</v>
          </cell>
          <cell r="FM13">
            <v>4641</v>
          </cell>
          <cell r="FN13">
            <v>14278</v>
          </cell>
          <cell r="FP13">
            <v>3378</v>
          </cell>
          <cell r="FQ13">
            <v>3214</v>
          </cell>
          <cell r="FR13">
            <v>3377</v>
          </cell>
          <cell r="FS13">
            <v>4855</v>
          </cell>
          <cell r="FT13">
            <v>14824</v>
          </cell>
          <cell r="FV13">
            <v>3586</v>
          </cell>
          <cell r="FW13">
            <v>3457</v>
          </cell>
          <cell r="FX13">
            <v>3544</v>
          </cell>
          <cell r="FY13">
            <v>5151</v>
          </cell>
          <cell r="FZ13">
            <v>15738</v>
          </cell>
          <cell r="GB13">
            <v>3757</v>
          </cell>
          <cell r="GC13">
            <v>3555</v>
          </cell>
          <cell r="GD13">
            <v>3666.0995494313679</v>
          </cell>
          <cell r="GE13">
            <v>5495.0171538201503</v>
          </cell>
          <cell r="GF13">
            <v>16473.116703251519</v>
          </cell>
          <cell r="GS13" t="str">
            <v>mstag:costOfSalesWithoutDepreciation</v>
          </cell>
          <cell r="GT13">
            <v>6</v>
          </cell>
          <cell r="GU13" t="str">
            <v>ISO4217:USD</v>
          </cell>
          <cell r="GV13" t="b">
            <v>0</v>
          </cell>
          <cell r="GW13" t="b">
            <v>0</v>
          </cell>
        </row>
        <row r="14">
          <cell r="A14" t="str">
            <v>Gross Profit</v>
          </cell>
          <cell r="C14">
            <v>2130.4650000000001</v>
          </cell>
          <cell r="D14">
            <v>2747.0070000000005</v>
          </cell>
          <cell r="E14">
            <v>2730.1000000000004</v>
          </cell>
          <cell r="F14">
            <v>2759.0309999999999</v>
          </cell>
          <cell r="G14">
            <v>2859.1180000000004</v>
          </cell>
          <cell r="H14">
            <v>2858.1889999999994</v>
          </cell>
          <cell r="I14">
            <v>2969.1509999999989</v>
          </cell>
          <cell r="K14">
            <v>5291.6319999999996</v>
          </cell>
          <cell r="L14">
            <v>5419.1839999999993</v>
          </cell>
          <cell r="N14">
            <v>5576</v>
          </cell>
          <cell r="O14">
            <v>5815</v>
          </cell>
          <cell r="P14">
            <v>6020</v>
          </cell>
          <cell r="Q14">
            <v>6147</v>
          </cell>
          <cell r="R14">
            <v>6453</v>
          </cell>
          <cell r="S14">
            <v>6683</v>
          </cell>
          <cell r="T14">
            <v>6182</v>
          </cell>
          <cell r="U14">
            <v>6247</v>
          </cell>
          <cell r="V14">
            <v>6237</v>
          </cell>
          <cell r="W14">
            <v>6430</v>
          </cell>
          <cell r="X14">
            <v>9118</v>
          </cell>
          <cell r="Y14">
            <v>10951</v>
          </cell>
          <cell r="Z14">
            <v>10636</v>
          </cell>
          <cell r="AA14">
            <v>9883</v>
          </cell>
          <cell r="AB14">
            <v>9617</v>
          </cell>
          <cell r="AC14">
            <v>10179</v>
          </cell>
          <cell r="AD14">
            <v>10667</v>
          </cell>
          <cell r="AE14">
            <v>11224.703902113539</v>
          </cell>
          <cell r="AF14">
            <v>11577.68389157081</v>
          </cell>
          <cell r="AG14">
            <v>11844.16040227242</v>
          </cell>
          <cell r="AH14">
            <v>11937.672577079513</v>
          </cell>
          <cell r="AI14">
            <v>11998.055410878882</v>
          </cell>
          <cell r="AJ14">
            <v>12118.03596498767</v>
          </cell>
          <cell r="AK14">
            <v>12239.216324637549</v>
          </cell>
          <cell r="AL14">
            <v>12361.608487883921</v>
          </cell>
          <cell r="AN14" t="str">
            <v>Gross Profit</v>
          </cell>
          <cell r="AO14">
            <v>635.26700000000005</v>
          </cell>
          <cell r="AP14">
            <v>576.48099999999999</v>
          </cell>
          <cell r="AQ14">
            <v>698.46</v>
          </cell>
          <cell r="AR14">
            <v>836.79899999999998</v>
          </cell>
          <cell r="AS14">
            <v>2747.0070000000001</v>
          </cell>
          <cell r="AU14">
            <v>639.39800000000014</v>
          </cell>
          <cell r="AV14">
            <v>598.3119999999999</v>
          </cell>
          <cell r="AW14">
            <v>677.35200000000009</v>
          </cell>
          <cell r="AX14">
            <v>815.03800000000024</v>
          </cell>
          <cell r="AY14">
            <v>2730.1000000000004</v>
          </cell>
          <cell r="BA14">
            <v>646.86000000000013</v>
          </cell>
          <cell r="BB14">
            <v>589.42999999999995</v>
          </cell>
          <cell r="BC14">
            <v>725.55</v>
          </cell>
          <cell r="BD14">
            <v>897.27800000000002</v>
          </cell>
          <cell r="BE14">
            <v>2859.1179999999999</v>
          </cell>
          <cell r="BG14">
            <v>642.39100000000008</v>
          </cell>
          <cell r="BH14">
            <v>602.22399999999993</v>
          </cell>
          <cell r="BI14">
            <v>711.96299999999997</v>
          </cell>
          <cell r="BJ14">
            <v>901.61099999999988</v>
          </cell>
          <cell r="BK14">
            <v>2858.1889999999994</v>
          </cell>
          <cell r="BM14">
            <v>650.69600000000014</v>
          </cell>
          <cell r="BN14">
            <v>621.3649999999999</v>
          </cell>
          <cell r="BO14">
            <v>744.26</v>
          </cell>
          <cell r="BP14">
            <v>952.82999999999993</v>
          </cell>
          <cell r="BQ14">
            <v>2969.1509999999989</v>
          </cell>
          <cell r="BS14">
            <v>1156.021</v>
          </cell>
          <cell r="BT14">
            <v>1115.9800000000002</v>
          </cell>
          <cell r="BU14">
            <v>1306.6837999999998</v>
          </cell>
          <cell r="BV14">
            <v>1712.9472000000001</v>
          </cell>
          <cell r="BW14">
            <v>5291.6319999999996</v>
          </cell>
          <cell r="BY14">
            <v>1165.8459999999998</v>
          </cell>
          <cell r="BZ14">
            <v>1184.085</v>
          </cell>
          <cell r="CA14">
            <v>1293.9119999999998</v>
          </cell>
          <cell r="CB14">
            <v>125.83899999999977</v>
          </cell>
          <cell r="CC14">
            <v>1419.7919999999999</v>
          </cell>
          <cell r="CD14">
            <v>1775.3409999999999</v>
          </cell>
          <cell r="CE14">
            <v>1960.5289999999995</v>
          </cell>
          <cell r="CF14">
            <v>5419.1839999999993</v>
          </cell>
          <cell r="CG14">
            <v>5604.3719999999994</v>
          </cell>
          <cell r="CH14">
            <v>5730.2109999999975</v>
          </cell>
          <cell r="CJ14">
            <v>1286.0519999999999</v>
          </cell>
          <cell r="CK14">
            <v>1288.655</v>
          </cell>
          <cell r="CL14">
            <v>1419.2450000000003</v>
          </cell>
          <cell r="CM14">
            <v>1946.3959999999997</v>
          </cell>
          <cell r="CN14">
            <v>5940.348</v>
          </cell>
          <cell r="CP14">
            <v>1322.2260000000001</v>
          </cell>
          <cell r="CQ14">
            <v>1354.1580000000004</v>
          </cell>
          <cell r="CR14">
            <v>1459.357</v>
          </cell>
          <cell r="CS14">
            <v>1951.8040000000001</v>
          </cell>
          <cell r="CT14">
            <v>6087.5450000000001</v>
          </cell>
          <cell r="CV14">
            <v>1335</v>
          </cell>
          <cell r="CW14">
            <v>1409</v>
          </cell>
          <cell r="CX14">
            <v>1403</v>
          </cell>
          <cell r="CY14">
            <v>2000</v>
          </cell>
          <cell r="CZ14">
            <v>6147</v>
          </cell>
          <cell r="DB14">
            <v>1426</v>
          </cell>
          <cell r="DC14">
            <v>1687</v>
          </cell>
          <cell r="DD14">
            <v>1683</v>
          </cell>
          <cell r="DE14">
            <v>2477</v>
          </cell>
          <cell r="DF14">
            <v>7273</v>
          </cell>
          <cell r="DH14">
            <v>1421</v>
          </cell>
          <cell r="DI14">
            <v>1506</v>
          </cell>
          <cell r="DJ14">
            <v>1487</v>
          </cell>
          <cell r="DK14">
            <v>2269</v>
          </cell>
          <cell r="DL14">
            <v>6683</v>
          </cell>
          <cell r="DN14">
            <v>1398</v>
          </cell>
          <cell r="DO14">
            <v>1360</v>
          </cell>
          <cell r="DP14">
            <v>1341</v>
          </cell>
          <cell r="DQ14">
            <v>2021</v>
          </cell>
          <cell r="DR14">
            <v>6182</v>
          </cell>
          <cell r="DT14">
            <v>1375</v>
          </cell>
          <cell r="DU14">
            <v>1435</v>
          </cell>
          <cell r="DV14">
            <v>1367</v>
          </cell>
          <cell r="DW14">
            <v>2003</v>
          </cell>
          <cell r="DX14">
            <v>6247</v>
          </cell>
          <cell r="DZ14">
            <v>1289</v>
          </cell>
          <cell r="EA14">
            <v>1409</v>
          </cell>
          <cell r="EB14">
            <v>1395</v>
          </cell>
          <cell r="EC14">
            <v>2072</v>
          </cell>
          <cell r="ED14">
            <v>6237</v>
          </cell>
          <cell r="EF14">
            <v>1431</v>
          </cell>
          <cell r="EG14">
            <v>1483</v>
          </cell>
          <cell r="EH14">
            <v>1418</v>
          </cell>
          <cell r="EI14">
            <v>2098</v>
          </cell>
          <cell r="EJ14">
            <v>6430</v>
          </cell>
          <cell r="EK14" t="str">
            <v>Gross Profit</v>
          </cell>
          <cell r="EL14">
            <v>1465</v>
          </cell>
          <cell r="EM14">
            <v>1497</v>
          </cell>
          <cell r="EN14">
            <v>2243</v>
          </cell>
          <cell r="EO14">
            <v>3913</v>
          </cell>
          <cell r="EP14">
            <v>9118</v>
          </cell>
          <cell r="ER14">
            <v>2303</v>
          </cell>
          <cell r="ES14">
            <v>2525</v>
          </cell>
          <cell r="ET14">
            <v>2373</v>
          </cell>
          <cell r="EU14">
            <v>3750</v>
          </cell>
          <cell r="EV14">
            <v>10951</v>
          </cell>
          <cell r="EX14">
            <v>2357</v>
          </cell>
          <cell r="EY14">
            <v>2385</v>
          </cell>
          <cell r="EZ14">
            <v>2321</v>
          </cell>
          <cell r="FA14">
            <v>3573</v>
          </cell>
          <cell r="FB14">
            <v>10636</v>
          </cell>
          <cell r="FD14">
            <v>2220</v>
          </cell>
          <cell r="FE14">
            <v>2372</v>
          </cell>
          <cell r="FF14">
            <v>2169</v>
          </cell>
          <cell r="FG14">
            <v>3122</v>
          </cell>
          <cell r="FH14">
            <v>9883</v>
          </cell>
          <cell r="FJ14">
            <v>2009</v>
          </cell>
          <cell r="FK14">
            <v>2168</v>
          </cell>
          <cell r="FL14">
            <v>2144</v>
          </cell>
          <cell r="FM14">
            <v>3296</v>
          </cell>
          <cell r="FN14">
            <v>9617</v>
          </cell>
          <cell r="FP14">
            <v>2196</v>
          </cell>
          <cell r="FQ14">
            <v>2323</v>
          </cell>
          <cell r="FR14">
            <v>2246</v>
          </cell>
          <cell r="FS14">
            <v>3414</v>
          </cell>
          <cell r="FT14">
            <v>10179</v>
          </cell>
          <cell r="FV14">
            <v>2303</v>
          </cell>
          <cell r="FW14">
            <v>2482</v>
          </cell>
          <cell r="FX14">
            <v>2309</v>
          </cell>
          <cell r="FY14">
            <v>3573</v>
          </cell>
          <cell r="FZ14">
            <v>10667</v>
          </cell>
          <cell r="GB14">
            <v>2386</v>
          </cell>
          <cell r="GC14">
            <v>2563</v>
          </cell>
          <cell r="GD14">
            <v>2403.5870975038929</v>
          </cell>
          <cell r="GE14">
            <v>3872.1168046096464</v>
          </cell>
          <cell r="GF14">
            <v>11224.703902113539</v>
          </cell>
        </row>
        <row r="16">
          <cell r="A16" t="str">
            <v>SG&amp;A Expense</v>
          </cell>
          <cell r="C16">
            <v>1881.0170000000001</v>
          </cell>
          <cell r="D16">
            <v>2611.8339999999998</v>
          </cell>
          <cell r="E16">
            <v>2463.1280000000002</v>
          </cell>
          <cell r="F16">
            <v>2458.1280000000002</v>
          </cell>
          <cell r="G16">
            <v>2420.6839999999997</v>
          </cell>
          <cell r="H16">
            <v>2347.5460000000003</v>
          </cell>
          <cell r="I16">
            <v>2328.047</v>
          </cell>
          <cell r="K16">
            <v>4608.8310000000001</v>
          </cell>
          <cell r="L16">
            <v>4424.5330000000004</v>
          </cell>
          <cell r="N16">
            <v>4913</v>
          </cell>
          <cell r="O16">
            <v>4922</v>
          </cell>
          <cell r="P16">
            <v>4679</v>
          </cell>
          <cell r="Q16">
            <v>4692</v>
          </cell>
          <cell r="R16">
            <v>4760</v>
          </cell>
          <cell r="S16">
            <v>4912</v>
          </cell>
          <cell r="T16">
            <v>4806</v>
          </cell>
          <cell r="U16">
            <v>4836</v>
          </cell>
          <cell r="V16">
            <v>4837</v>
          </cell>
          <cell r="W16">
            <v>4931</v>
          </cell>
          <cell r="X16">
            <v>6980</v>
          </cell>
          <cell r="Y16">
            <v>8678</v>
          </cell>
          <cell r="Z16">
            <v>8554</v>
          </cell>
          <cell r="AA16">
            <v>8458</v>
          </cell>
          <cell r="AB16">
            <v>8163</v>
          </cell>
          <cell r="AC16">
            <v>8260</v>
          </cell>
          <cell r="AD16">
            <v>8281</v>
          </cell>
          <cell r="AE16">
            <v>8553.4072798862726</v>
          </cell>
          <cell r="AF16">
            <v>8800.0923077192638</v>
          </cell>
          <cell r="AG16">
            <v>8940.7771652737574</v>
          </cell>
          <cell r="AH16">
            <v>9004.2074535542979</v>
          </cell>
          <cell r="AI16">
            <v>9064.7525821041272</v>
          </cell>
          <cell r="AJ16">
            <v>9125.6081924795981</v>
          </cell>
          <cell r="AK16">
            <v>9186.7744398043687</v>
          </cell>
          <cell r="AL16">
            <v>9248.2514512563848</v>
          </cell>
          <cell r="AN16" t="str">
            <v>SG&amp;A Expense</v>
          </cell>
          <cell r="AO16">
            <v>608.81899999999996</v>
          </cell>
          <cell r="AP16">
            <v>616.54300000000001</v>
          </cell>
          <cell r="AQ16">
            <v>656.14200000000005</v>
          </cell>
          <cell r="AR16">
            <v>730.33</v>
          </cell>
          <cell r="AS16">
            <v>2611.8340000000003</v>
          </cell>
          <cell r="AU16">
            <v>597.87800000000004</v>
          </cell>
          <cell r="AV16">
            <v>589.803</v>
          </cell>
          <cell r="AW16">
            <v>624.08500000000004</v>
          </cell>
          <cell r="AX16">
            <v>651.36199999999997</v>
          </cell>
          <cell r="AY16">
            <v>2463.1280000000002</v>
          </cell>
          <cell r="BA16">
            <v>562.19899999999996</v>
          </cell>
          <cell r="BB16">
            <v>557.755</v>
          </cell>
          <cell r="BC16">
            <v>614.78200000000004</v>
          </cell>
          <cell r="BD16">
            <v>685.94799999999998</v>
          </cell>
          <cell r="BE16">
            <v>2420.6839999999997</v>
          </cell>
          <cell r="BG16">
            <v>555.61</v>
          </cell>
          <cell r="BH16">
            <v>540.18899999999996</v>
          </cell>
          <cell r="BI16">
            <v>604.58100000000002</v>
          </cell>
          <cell r="BJ16">
            <v>647.16600000000005</v>
          </cell>
          <cell r="BK16">
            <v>2347.5460000000003</v>
          </cell>
          <cell r="BM16">
            <v>542.08799999999997</v>
          </cell>
          <cell r="BN16">
            <v>534.79100000000005</v>
          </cell>
          <cell r="BO16">
            <v>611.56299999999999</v>
          </cell>
          <cell r="BP16">
            <v>639.6049999999999</v>
          </cell>
          <cell r="BQ16">
            <v>2328.047</v>
          </cell>
          <cell r="BS16">
            <v>1095.52</v>
          </cell>
          <cell r="BT16">
            <v>1083.9040000000002</v>
          </cell>
          <cell r="BU16">
            <v>1182.6087999999997</v>
          </cell>
          <cell r="BV16">
            <v>1246.7982</v>
          </cell>
          <cell r="BW16">
            <v>4608.8310000000001</v>
          </cell>
          <cell r="BY16">
            <v>1069.9590000000001</v>
          </cell>
          <cell r="BZ16">
            <v>1067.8869999999999</v>
          </cell>
          <cell r="CA16">
            <v>1107.3150000000001</v>
          </cell>
          <cell r="CB16">
            <v>168.36500000000001</v>
          </cell>
          <cell r="CC16">
            <v>1275.68</v>
          </cell>
          <cell r="CD16">
            <v>1179.3720000000001</v>
          </cell>
          <cell r="CE16">
            <v>1334.8050000000001</v>
          </cell>
          <cell r="CF16">
            <v>4424.5330000000004</v>
          </cell>
          <cell r="CG16">
            <v>4579.9660000000003</v>
          </cell>
          <cell r="CH16">
            <v>4748.3310000000001</v>
          </cell>
          <cell r="CJ16">
            <v>1153.0650000000001</v>
          </cell>
          <cell r="CK16">
            <v>1113.9839999999999</v>
          </cell>
          <cell r="CL16">
            <v>1187.6289999999999</v>
          </cell>
          <cell r="CM16">
            <v>1283.8050000000001</v>
          </cell>
          <cell r="CN16">
            <v>4738.4830000000002</v>
          </cell>
          <cell r="CP16">
            <v>1174.1659999999999</v>
          </cell>
          <cell r="CQ16">
            <v>1142.298</v>
          </cell>
          <cell r="CR16">
            <v>1191.396</v>
          </cell>
          <cell r="CS16">
            <v>1238.9000000000001</v>
          </cell>
          <cell r="CT16">
            <v>4746.76</v>
          </cell>
          <cell r="CV16">
            <v>1154</v>
          </cell>
          <cell r="CW16">
            <v>1142</v>
          </cell>
          <cell r="CX16">
            <v>1146</v>
          </cell>
          <cell r="CY16">
            <v>1250</v>
          </cell>
          <cell r="CZ16">
            <v>4692</v>
          </cell>
          <cell r="DB16">
            <v>1201</v>
          </cell>
          <cell r="DC16">
            <v>1369</v>
          </cell>
          <cell r="DD16">
            <v>1381</v>
          </cell>
          <cell r="DE16">
            <v>1621</v>
          </cell>
          <cell r="DF16">
            <v>5572</v>
          </cell>
          <cell r="DH16">
            <v>1152</v>
          </cell>
          <cell r="DI16">
            <v>1104</v>
          </cell>
          <cell r="DJ16">
            <v>1218</v>
          </cell>
          <cell r="DK16">
            <v>1438</v>
          </cell>
          <cell r="DL16">
            <v>4912</v>
          </cell>
          <cell r="DN16">
            <v>1168</v>
          </cell>
          <cell r="DO16">
            <v>1106</v>
          </cell>
          <cell r="DP16">
            <v>1185</v>
          </cell>
          <cell r="DQ16">
            <v>1285</v>
          </cell>
          <cell r="DR16">
            <v>4806</v>
          </cell>
          <cell r="DT16">
            <v>1154</v>
          </cell>
          <cell r="DU16">
            <v>1135</v>
          </cell>
          <cell r="DV16">
            <v>1179</v>
          </cell>
          <cell r="DW16">
            <v>1301</v>
          </cell>
          <cell r="DX16">
            <v>4836</v>
          </cell>
          <cell r="DZ16">
            <v>1135</v>
          </cell>
          <cell r="EA16">
            <v>1135</v>
          </cell>
          <cell r="EB16">
            <v>1193</v>
          </cell>
          <cell r="EC16">
            <v>1302</v>
          </cell>
          <cell r="ED16">
            <v>4837</v>
          </cell>
          <cell r="EF16">
            <v>1195</v>
          </cell>
          <cell r="EG16">
            <v>1207</v>
          </cell>
          <cell r="EH16">
            <v>1207</v>
          </cell>
          <cell r="EI16">
            <v>1322</v>
          </cell>
          <cell r="EJ16">
            <v>4931</v>
          </cell>
          <cell r="EK16" t="str">
            <v>SG&amp;A Expense</v>
          </cell>
          <cell r="EL16">
            <v>1213</v>
          </cell>
          <cell r="EM16">
            <v>1206</v>
          </cell>
          <cell r="EN16">
            <v>1973</v>
          </cell>
          <cell r="EO16">
            <v>2588</v>
          </cell>
          <cell r="EP16">
            <v>6980</v>
          </cell>
          <cell r="ER16">
            <v>2154</v>
          </cell>
          <cell r="ES16">
            <v>2117</v>
          </cell>
          <cell r="ET16">
            <v>2094</v>
          </cell>
          <cell r="EU16">
            <v>2313</v>
          </cell>
          <cell r="EV16">
            <v>8678</v>
          </cell>
          <cell r="EX16">
            <v>2113</v>
          </cell>
          <cell r="EY16">
            <v>2038</v>
          </cell>
          <cell r="EZ16">
            <v>2121</v>
          </cell>
          <cell r="FA16">
            <v>2282</v>
          </cell>
          <cell r="FB16">
            <v>8554</v>
          </cell>
          <cell r="FD16">
            <v>2080</v>
          </cell>
          <cell r="FE16">
            <v>2037</v>
          </cell>
          <cell r="FF16">
            <v>2085</v>
          </cell>
          <cell r="FG16">
            <v>2256</v>
          </cell>
          <cell r="FH16">
            <v>8458</v>
          </cell>
          <cell r="FJ16">
            <v>1985</v>
          </cell>
          <cell r="FK16">
            <v>1886</v>
          </cell>
          <cell r="FL16">
            <v>2056</v>
          </cell>
          <cell r="FM16">
            <v>2236</v>
          </cell>
          <cell r="FN16">
            <v>8163</v>
          </cell>
          <cell r="FP16">
            <v>1993</v>
          </cell>
          <cell r="FQ16">
            <v>1953</v>
          </cell>
          <cell r="FR16">
            <v>2069</v>
          </cell>
          <cell r="FS16">
            <v>2245</v>
          </cell>
          <cell r="FT16">
            <v>8260</v>
          </cell>
          <cell r="FV16">
            <v>1973</v>
          </cell>
          <cell r="FW16">
            <v>1976</v>
          </cell>
          <cell r="FX16">
            <v>2018</v>
          </cell>
          <cell r="FY16">
            <v>2314</v>
          </cell>
          <cell r="FZ16">
            <v>8281</v>
          </cell>
          <cell r="GB16">
            <v>1995</v>
          </cell>
          <cell r="GC16">
            <v>2009</v>
          </cell>
          <cell r="GD16">
            <v>2122.0121029772449</v>
          </cell>
          <cell r="GE16">
            <v>2427.3951769090281</v>
          </cell>
          <cell r="GF16">
            <v>8553.4072798862726</v>
          </cell>
          <cell r="GS16" t="str">
            <v>mstag:sellingGeneralAndAdministrativeExpenses</v>
          </cell>
          <cell r="GT16">
            <v>6</v>
          </cell>
          <cell r="GU16" t="str">
            <v>ISO4217:USD</v>
          </cell>
          <cell r="GV16" t="b">
            <v>0</v>
          </cell>
          <cell r="GW16" t="b">
            <v>0</v>
          </cell>
        </row>
        <row r="17">
          <cell r="A17" t="str">
            <v>Operating Income</v>
          </cell>
          <cell r="C17">
            <v>249.44800000000009</v>
          </cell>
          <cell r="D17">
            <v>135.17300000000068</v>
          </cell>
          <cell r="E17">
            <v>266.97200000000021</v>
          </cell>
          <cell r="F17">
            <v>300.90299999999979</v>
          </cell>
          <cell r="G17">
            <v>438.43400000000065</v>
          </cell>
          <cell r="H17">
            <v>510.64299999999912</v>
          </cell>
          <cell r="I17">
            <v>641.1039999999989</v>
          </cell>
          <cell r="J17">
            <v>0.28676919756182384</v>
          </cell>
          <cell r="K17">
            <v>682.80099999999948</v>
          </cell>
          <cell r="L17">
            <v>994.65099999999893</v>
          </cell>
          <cell r="N17">
            <v>663</v>
          </cell>
          <cell r="O17">
            <v>893</v>
          </cell>
          <cell r="P17">
            <v>1341</v>
          </cell>
          <cell r="Q17">
            <v>1455</v>
          </cell>
          <cell r="R17">
            <v>1693</v>
          </cell>
          <cell r="S17">
            <v>1771</v>
          </cell>
          <cell r="T17">
            <v>1376</v>
          </cell>
          <cell r="U17">
            <v>1411</v>
          </cell>
          <cell r="V17">
            <v>1400</v>
          </cell>
          <cell r="W17">
            <v>1499</v>
          </cell>
          <cell r="X17">
            <v>2138</v>
          </cell>
          <cell r="Y17">
            <v>2273</v>
          </cell>
          <cell r="Z17">
            <v>2082</v>
          </cell>
          <cell r="AA17">
            <v>1425</v>
          </cell>
          <cell r="AB17">
            <v>1454</v>
          </cell>
          <cell r="AC17">
            <v>1919</v>
          </cell>
          <cell r="AD17">
            <v>2386</v>
          </cell>
          <cell r="AE17">
            <v>2671.2966222272662</v>
          </cell>
          <cell r="AF17">
            <v>2777.5915838515466</v>
          </cell>
          <cell r="AG17">
            <v>2903.3832369986631</v>
          </cell>
          <cell r="AH17">
            <v>2933.4651235252149</v>
          </cell>
          <cell r="AI17">
            <v>2933.3028287747547</v>
          </cell>
          <cell r="AJ17">
            <v>2992.4277725080719</v>
          </cell>
          <cell r="AK17">
            <v>3052.4418848331807</v>
          </cell>
          <cell r="AL17">
            <v>3113.3570366275362</v>
          </cell>
          <cell r="AN17" t="str">
            <v>Operating Income</v>
          </cell>
          <cell r="AO17">
            <v>26.448000000000093</v>
          </cell>
          <cell r="AP17">
            <v>-40.062000000000012</v>
          </cell>
          <cell r="AQ17">
            <v>42.317999999999984</v>
          </cell>
          <cell r="AR17">
            <v>106.46899999999994</v>
          </cell>
          <cell r="AS17">
            <v>135.173</v>
          </cell>
          <cell r="AU17">
            <v>41.520000000000095</v>
          </cell>
          <cell r="AV17">
            <v>8.5089999999999009</v>
          </cell>
          <cell r="AW17">
            <v>53.267000000000053</v>
          </cell>
          <cell r="AX17">
            <v>163.67600000000027</v>
          </cell>
          <cell r="AY17">
            <v>266.97200000000032</v>
          </cell>
          <cell r="BA17">
            <v>84.661000000000172</v>
          </cell>
          <cell r="BB17">
            <v>31.674999999999955</v>
          </cell>
          <cell r="BC17">
            <v>110.76799999999992</v>
          </cell>
          <cell r="BD17">
            <v>211.33000000000004</v>
          </cell>
          <cell r="BE17">
            <v>438.43400000000008</v>
          </cell>
          <cell r="BG17">
            <v>86.781000000000063</v>
          </cell>
          <cell r="BH17">
            <v>62.034999999999968</v>
          </cell>
          <cell r="BI17">
            <v>107.38199999999995</v>
          </cell>
          <cell r="BJ17">
            <v>254.44499999999982</v>
          </cell>
          <cell r="BK17">
            <v>510.64299999999912</v>
          </cell>
          <cell r="BM17">
            <v>108.60800000000017</v>
          </cell>
          <cell r="BN17">
            <v>86.573999999999842</v>
          </cell>
          <cell r="BO17">
            <v>132.697</v>
          </cell>
          <cell r="BP17">
            <v>313.22500000000002</v>
          </cell>
          <cell r="BQ17">
            <v>641.1039999999989</v>
          </cell>
          <cell r="BS17">
            <v>60.500999999999976</v>
          </cell>
          <cell r="BT17">
            <v>32.076000000000022</v>
          </cell>
          <cell r="BU17">
            <v>124.07500000000005</v>
          </cell>
          <cell r="BV17">
            <v>466.14900000000011</v>
          </cell>
          <cell r="BW17">
            <v>682.80099999999948</v>
          </cell>
          <cell r="BY17">
            <v>95.886999999999716</v>
          </cell>
          <cell r="BZ17">
            <v>116.19800000000009</v>
          </cell>
          <cell r="CA17">
            <v>186.59699999999975</v>
          </cell>
          <cell r="CB17">
            <v>-42.526000000000238</v>
          </cell>
          <cell r="CC17">
            <v>144.11199999999985</v>
          </cell>
          <cell r="CD17">
            <v>595.96899999999982</v>
          </cell>
          <cell r="CE17">
            <v>625.72399999999948</v>
          </cell>
          <cell r="CF17">
            <v>994.65099999999893</v>
          </cell>
          <cell r="CG17">
            <v>1024.405999999999</v>
          </cell>
          <cell r="CH17">
            <v>981.87999999999738</v>
          </cell>
          <cell r="CJ17">
            <v>132.98699999999985</v>
          </cell>
          <cell r="CK17">
            <v>174.67100000000005</v>
          </cell>
          <cell r="CL17">
            <v>231.61600000000044</v>
          </cell>
          <cell r="CM17">
            <v>662.59099999999967</v>
          </cell>
          <cell r="CN17">
            <v>1201.8649999999998</v>
          </cell>
          <cell r="CP17">
            <v>148.06000000000017</v>
          </cell>
          <cell r="CQ17">
            <v>211.86000000000035</v>
          </cell>
          <cell r="CR17">
            <v>267.96100000000001</v>
          </cell>
          <cell r="CS17">
            <v>712.904</v>
          </cell>
          <cell r="CT17">
            <v>1340.7850000000005</v>
          </cell>
          <cell r="CV17">
            <v>181</v>
          </cell>
          <cell r="CW17">
            <v>267</v>
          </cell>
          <cell r="CX17">
            <v>257</v>
          </cell>
          <cell r="CY17">
            <v>750</v>
          </cell>
          <cell r="CZ17">
            <v>1455</v>
          </cell>
          <cell r="DB17">
            <v>225</v>
          </cell>
          <cell r="DC17">
            <v>318</v>
          </cell>
          <cell r="DD17">
            <v>302</v>
          </cell>
          <cell r="DE17">
            <v>856</v>
          </cell>
          <cell r="DF17">
            <v>1701</v>
          </cell>
          <cell r="DH17">
            <v>269</v>
          </cell>
          <cell r="DI17">
            <v>402</v>
          </cell>
          <cell r="DJ17">
            <v>269</v>
          </cell>
          <cell r="DK17">
            <v>831</v>
          </cell>
          <cell r="DL17">
            <v>1771</v>
          </cell>
          <cell r="DN17">
            <v>230</v>
          </cell>
          <cell r="DO17">
            <v>254</v>
          </cell>
          <cell r="DP17">
            <v>156</v>
          </cell>
          <cell r="DQ17">
            <v>736</v>
          </cell>
          <cell r="DR17">
            <v>1376</v>
          </cell>
          <cell r="DT17">
            <v>221</v>
          </cell>
          <cell r="DU17">
            <v>300</v>
          </cell>
          <cell r="DV17">
            <v>188</v>
          </cell>
          <cell r="DW17">
            <v>702</v>
          </cell>
          <cell r="DX17">
            <v>1411</v>
          </cell>
          <cell r="DZ17">
            <v>154</v>
          </cell>
          <cell r="EA17">
            <v>274</v>
          </cell>
          <cell r="EB17">
            <v>202</v>
          </cell>
          <cell r="EC17">
            <v>770</v>
          </cell>
          <cell r="ED17">
            <v>1400</v>
          </cell>
          <cell r="EF17">
            <v>236</v>
          </cell>
          <cell r="EG17">
            <v>276</v>
          </cell>
          <cell r="EH17">
            <v>211</v>
          </cell>
          <cell r="EI17">
            <v>776</v>
          </cell>
          <cell r="EJ17">
            <v>1499</v>
          </cell>
          <cell r="EK17" t="str">
            <v>Operating Income</v>
          </cell>
          <cell r="EL17">
            <v>252</v>
          </cell>
          <cell r="EM17">
            <v>291</v>
          </cell>
          <cell r="EN17">
            <v>270</v>
          </cell>
          <cell r="EO17">
            <v>1325</v>
          </cell>
          <cell r="EP17">
            <v>2138</v>
          </cell>
          <cell r="ER17">
            <v>149</v>
          </cell>
          <cell r="ES17">
            <v>408</v>
          </cell>
          <cell r="ET17">
            <v>279</v>
          </cell>
          <cell r="EU17">
            <v>1437</v>
          </cell>
          <cell r="EV17">
            <v>2273</v>
          </cell>
          <cell r="EX17">
            <v>244</v>
          </cell>
          <cell r="EY17">
            <v>347</v>
          </cell>
          <cell r="EZ17">
            <v>200</v>
          </cell>
          <cell r="FA17">
            <v>1291</v>
          </cell>
          <cell r="FB17">
            <v>2082</v>
          </cell>
          <cell r="FD17">
            <v>140</v>
          </cell>
          <cell r="FE17">
            <v>335</v>
          </cell>
          <cell r="FF17">
            <v>84</v>
          </cell>
          <cell r="FG17">
            <v>866</v>
          </cell>
          <cell r="FH17">
            <v>1425</v>
          </cell>
          <cell r="FJ17">
            <v>24</v>
          </cell>
          <cell r="FK17">
            <v>282</v>
          </cell>
          <cell r="FL17">
            <v>88</v>
          </cell>
          <cell r="FM17">
            <v>1060</v>
          </cell>
          <cell r="FN17">
            <v>1454</v>
          </cell>
          <cell r="FP17">
            <v>203</v>
          </cell>
          <cell r="FQ17">
            <v>370</v>
          </cell>
          <cell r="FR17">
            <v>177</v>
          </cell>
          <cell r="FS17">
            <v>1169</v>
          </cell>
          <cell r="FT17">
            <v>1919</v>
          </cell>
          <cell r="FV17">
            <v>330</v>
          </cell>
          <cell r="FW17">
            <v>506</v>
          </cell>
          <cell r="FX17">
            <v>291</v>
          </cell>
          <cell r="FY17">
            <v>1259</v>
          </cell>
          <cell r="FZ17">
            <v>2386</v>
          </cell>
          <cell r="GB17">
            <v>391</v>
          </cell>
          <cell r="GC17">
            <v>554</v>
          </cell>
          <cell r="GD17">
            <v>281.57499452664797</v>
          </cell>
          <cell r="GE17">
            <v>1444.7216277006182</v>
          </cell>
          <cell r="GF17">
            <v>2671.2966222272662</v>
          </cell>
        </row>
        <row r="19">
          <cell r="A19" t="str">
            <v xml:space="preserve">Interest Expense, net </v>
          </cell>
          <cell r="C19">
            <v>806.66499999999996</v>
          </cell>
          <cell r="D19">
            <v>555.94200000000001</v>
          </cell>
          <cell r="E19">
            <v>436.99700000000001</v>
          </cell>
          <cell r="F19">
            <v>224.37599999999998</v>
          </cell>
          <cell r="G19">
            <v>197.85400000000001</v>
          </cell>
          <cell r="H19">
            <v>164.13899999999998</v>
          </cell>
          <cell r="I19">
            <v>199.44799999999998</v>
          </cell>
          <cell r="K19">
            <v>448</v>
          </cell>
          <cell r="L19">
            <v>413.26499999999999</v>
          </cell>
          <cell r="N19">
            <v>461</v>
          </cell>
          <cell r="O19">
            <v>452</v>
          </cell>
          <cell r="P19">
            <v>383</v>
          </cell>
          <cell r="Q19">
            <v>292</v>
          </cell>
          <cell r="R19">
            <v>307</v>
          </cell>
          <cell r="S19">
            <v>321</v>
          </cell>
          <cell r="T19">
            <v>324</v>
          </cell>
          <cell r="U19">
            <v>295</v>
          </cell>
          <cell r="V19">
            <v>257</v>
          </cell>
          <cell r="W19">
            <v>225</v>
          </cell>
          <cell r="X19">
            <v>397</v>
          </cell>
          <cell r="Y19">
            <v>461</v>
          </cell>
          <cell r="Z19">
            <v>543</v>
          </cell>
          <cell r="AA19">
            <v>560</v>
          </cell>
          <cell r="AB19">
            <v>556</v>
          </cell>
          <cell r="AC19">
            <v>574</v>
          </cell>
          <cell r="AD19">
            <v>443</v>
          </cell>
          <cell r="AE19">
            <v>437.94267925414607</v>
          </cell>
          <cell r="AF19">
            <v>437.64689230808881</v>
          </cell>
          <cell r="AG19">
            <v>333.89684092277935</v>
          </cell>
          <cell r="AH19">
            <v>328.47781900841903</v>
          </cell>
          <cell r="AI19">
            <v>261.10044333485752</v>
          </cell>
          <cell r="AJ19">
            <v>217.66232702027793</v>
          </cell>
          <cell r="AK19">
            <v>193.03041288077011</v>
          </cell>
          <cell r="AL19">
            <v>185.41379199688066</v>
          </cell>
          <cell r="AN19" t="str">
            <v xml:space="preserve">Interest Expense, net </v>
          </cell>
          <cell r="AO19">
            <v>150.16</v>
          </cell>
          <cell r="AP19">
            <v>137.041</v>
          </cell>
          <cell r="AQ19">
            <v>134.49700000000001</v>
          </cell>
          <cell r="AR19">
            <v>134.244</v>
          </cell>
          <cell r="AS19">
            <v>555.94200000000001</v>
          </cell>
          <cell r="AU19">
            <v>115.88100000000001</v>
          </cell>
          <cell r="AV19">
            <v>110.38499999999999</v>
          </cell>
          <cell r="AW19">
            <v>109.601</v>
          </cell>
          <cell r="AX19">
            <v>101.13</v>
          </cell>
          <cell r="AY19">
            <v>436.99700000000001</v>
          </cell>
          <cell r="BA19">
            <v>57.285000000000011</v>
          </cell>
          <cell r="BB19">
            <v>49.753999999999998</v>
          </cell>
          <cell r="BC19">
            <v>43.933</v>
          </cell>
          <cell r="BD19">
            <v>46.881999999999998</v>
          </cell>
          <cell r="BE19">
            <v>197.85400000000001</v>
          </cell>
          <cell r="BG19">
            <v>43.271999999999998</v>
          </cell>
          <cell r="BH19">
            <v>40.268999999999998</v>
          </cell>
          <cell r="BI19">
            <v>39.991999999999997</v>
          </cell>
          <cell r="BJ19">
            <v>40.606000000000002</v>
          </cell>
          <cell r="BK19">
            <v>164.13899999999998</v>
          </cell>
          <cell r="BM19">
            <v>45.338999999999999</v>
          </cell>
          <cell r="BN19">
            <v>48.698</v>
          </cell>
          <cell r="BO19">
            <v>50.985999999999997</v>
          </cell>
          <cell r="BP19">
            <v>54.424999999999997</v>
          </cell>
          <cell r="BQ19">
            <v>199.44799999999998</v>
          </cell>
          <cell r="BS19">
            <v>103.04</v>
          </cell>
          <cell r="BT19">
            <v>109.75999999999999</v>
          </cell>
          <cell r="BU19">
            <v>114.24000000000001</v>
          </cell>
          <cell r="BV19">
            <v>120.96000000000001</v>
          </cell>
          <cell r="BW19">
            <v>448</v>
          </cell>
          <cell r="BY19">
            <v>97.552000000000007</v>
          </cell>
          <cell r="BZ19">
            <v>103.21599999999999</v>
          </cell>
          <cell r="CA19">
            <v>104.617</v>
          </cell>
          <cell r="CB19">
            <v>25.671999999999983</v>
          </cell>
          <cell r="CC19">
            <v>130.28899999999999</v>
          </cell>
          <cell r="CD19">
            <v>107.88</v>
          </cell>
          <cell r="CE19">
            <v>129.971</v>
          </cell>
          <cell r="CF19">
            <v>413.26499999999999</v>
          </cell>
          <cell r="CG19">
            <v>435.35599999999999</v>
          </cell>
          <cell r="CH19">
            <v>461.02799999999996</v>
          </cell>
          <cell r="CJ19">
            <v>112.28100000000001</v>
          </cell>
          <cell r="CK19">
            <v>115.614</v>
          </cell>
          <cell r="CL19">
            <v>113.361</v>
          </cell>
          <cell r="CM19">
            <v>110.508</v>
          </cell>
          <cell r="CN19">
            <v>451.76400000000001</v>
          </cell>
          <cell r="CP19">
            <v>104.377</v>
          </cell>
          <cell r="CQ19">
            <v>99.263000000000005</v>
          </cell>
          <cell r="CR19">
            <v>91.878</v>
          </cell>
          <cell r="CS19">
            <v>86.977000000000004</v>
          </cell>
          <cell r="CT19">
            <v>382.495</v>
          </cell>
          <cell r="CV19">
            <v>77</v>
          </cell>
          <cell r="CW19">
            <v>74</v>
          </cell>
          <cell r="CX19">
            <v>72</v>
          </cell>
          <cell r="CY19">
            <v>69</v>
          </cell>
          <cell r="CZ19">
            <v>292</v>
          </cell>
          <cell r="DB19">
            <v>75</v>
          </cell>
          <cell r="DC19">
            <v>85</v>
          </cell>
          <cell r="DD19">
            <v>91</v>
          </cell>
          <cell r="DE19">
            <v>104</v>
          </cell>
          <cell r="DF19">
            <v>355</v>
          </cell>
          <cell r="DH19">
            <v>69</v>
          </cell>
          <cell r="DI19">
            <v>78</v>
          </cell>
          <cell r="DJ19">
            <v>84</v>
          </cell>
          <cell r="DK19">
            <v>90</v>
          </cell>
          <cell r="DL19">
            <v>321</v>
          </cell>
          <cell r="DN19">
            <v>78</v>
          </cell>
          <cell r="DO19">
            <v>78</v>
          </cell>
          <cell r="DP19">
            <v>80</v>
          </cell>
          <cell r="DQ19">
            <v>88</v>
          </cell>
          <cell r="DR19">
            <v>324</v>
          </cell>
          <cell r="DT19">
            <v>74</v>
          </cell>
          <cell r="DU19">
            <v>78</v>
          </cell>
          <cell r="DV19">
            <v>73</v>
          </cell>
          <cell r="DW19">
            <v>70</v>
          </cell>
          <cell r="DX19">
            <v>295</v>
          </cell>
          <cell r="DZ19">
            <v>70</v>
          </cell>
          <cell r="EA19">
            <v>65</v>
          </cell>
          <cell r="EB19">
            <v>61</v>
          </cell>
          <cell r="EC19">
            <v>61</v>
          </cell>
          <cell r="ED19">
            <v>257</v>
          </cell>
          <cell r="EF19">
            <v>60</v>
          </cell>
          <cell r="EG19">
            <v>60</v>
          </cell>
          <cell r="EH19">
            <v>55</v>
          </cell>
          <cell r="EI19">
            <v>50</v>
          </cell>
          <cell r="EJ19">
            <v>225</v>
          </cell>
          <cell r="EK19" t="str">
            <v xml:space="preserve">Interest Expense, net </v>
          </cell>
          <cell r="EL19">
            <v>54</v>
          </cell>
          <cell r="EM19">
            <v>54</v>
          </cell>
          <cell r="EN19">
            <v>145</v>
          </cell>
          <cell r="EO19">
            <v>144</v>
          </cell>
          <cell r="EP19">
            <v>397</v>
          </cell>
          <cell r="ER19">
            <v>138</v>
          </cell>
          <cell r="ES19">
            <v>116</v>
          </cell>
          <cell r="ET19">
            <v>104</v>
          </cell>
          <cell r="EU19">
            <v>103</v>
          </cell>
          <cell r="EV19">
            <v>461</v>
          </cell>
          <cell r="EX19">
            <v>125</v>
          </cell>
          <cell r="EY19">
            <v>137</v>
          </cell>
          <cell r="EZ19">
            <v>145</v>
          </cell>
          <cell r="FA19">
            <v>136</v>
          </cell>
          <cell r="FB19">
            <v>543</v>
          </cell>
          <cell r="FD19">
            <v>136</v>
          </cell>
          <cell r="FE19">
            <v>138</v>
          </cell>
          <cell r="FF19">
            <v>143</v>
          </cell>
          <cell r="FG19">
            <v>143</v>
          </cell>
          <cell r="FH19">
            <v>560</v>
          </cell>
          <cell r="FJ19">
            <v>141</v>
          </cell>
          <cell r="FK19">
            <v>139</v>
          </cell>
          <cell r="FL19">
            <v>137</v>
          </cell>
          <cell r="FM19">
            <v>139</v>
          </cell>
          <cell r="FN19">
            <v>556</v>
          </cell>
          <cell r="FP19">
            <v>162</v>
          </cell>
          <cell r="FQ19">
            <v>130</v>
          </cell>
          <cell r="FR19">
            <v>164</v>
          </cell>
          <cell r="FS19">
            <v>118</v>
          </cell>
          <cell r="FT19">
            <v>574</v>
          </cell>
          <cell r="FV19">
            <v>116</v>
          </cell>
          <cell r="FW19">
            <v>111</v>
          </cell>
          <cell r="FX19">
            <v>108</v>
          </cell>
          <cell r="FY19">
            <v>108</v>
          </cell>
          <cell r="FZ19">
            <v>443</v>
          </cell>
          <cell r="GB19">
            <v>112</v>
          </cell>
          <cell r="GC19">
            <v>105</v>
          </cell>
          <cell r="GD19">
            <v>106.92000000000002</v>
          </cell>
          <cell r="GE19">
            <v>114.02267925414607</v>
          </cell>
          <cell r="GF19">
            <v>437.94267925414607</v>
          </cell>
          <cell r="GS19" t="str">
            <v>mstag:interestExpense</v>
          </cell>
          <cell r="GT19">
            <v>6</v>
          </cell>
          <cell r="GU19" t="str">
            <v>ISO4217:USD</v>
          </cell>
          <cell r="GV19" t="b">
            <v>0</v>
          </cell>
          <cell r="GW19" t="b">
            <v>0</v>
          </cell>
        </row>
        <row r="20">
          <cell r="A20" t="str">
            <v>LIFO Charge</v>
          </cell>
          <cell r="C20">
            <v>0</v>
          </cell>
          <cell r="D20">
            <v>0</v>
          </cell>
          <cell r="E20">
            <v>0</v>
          </cell>
          <cell r="F20">
            <v>23.248000000000001</v>
          </cell>
          <cell r="G20">
            <v>8.5730000000000022</v>
          </cell>
          <cell r="H20">
            <v>2.7240000000000002</v>
          </cell>
          <cell r="I20">
            <v>-11.271000000000001</v>
          </cell>
          <cell r="K20">
            <v>-2.0990000000000002</v>
          </cell>
          <cell r="L20">
            <v>-0.2390000000000001</v>
          </cell>
          <cell r="AN20" t="str">
            <v>LIFO Charge</v>
          </cell>
          <cell r="AO20">
            <v>0</v>
          </cell>
          <cell r="AP20">
            <v>0</v>
          </cell>
          <cell r="AQ20">
            <v>0</v>
          </cell>
          <cell r="AR20">
            <v>0</v>
          </cell>
          <cell r="AS20">
            <v>0</v>
          </cell>
          <cell r="AU20">
            <v>0</v>
          </cell>
          <cell r="AV20">
            <v>0</v>
          </cell>
          <cell r="AW20">
            <v>0</v>
          </cell>
          <cell r="AX20">
            <v>10.055999999999999</v>
          </cell>
          <cell r="AY20">
            <v>23.248000000000001</v>
          </cell>
          <cell r="BA20">
            <v>4.4000000000000004</v>
          </cell>
          <cell r="BB20">
            <v>4.4000000000000004</v>
          </cell>
          <cell r="BC20">
            <v>11.3</v>
          </cell>
          <cell r="BD20">
            <v>-11.526999999999999</v>
          </cell>
          <cell r="BE20">
            <v>8.5730000000000022</v>
          </cell>
          <cell r="BG20">
            <v>3.85</v>
          </cell>
          <cell r="BH20">
            <v>3.6749999999999998</v>
          </cell>
          <cell r="BI20">
            <v>4.375</v>
          </cell>
          <cell r="BJ20">
            <v>-9.1760000000000002</v>
          </cell>
          <cell r="BK20">
            <v>2.7240000000000002</v>
          </cell>
          <cell r="BM20">
            <v>5.2009999999999996</v>
          </cell>
          <cell r="BN20">
            <v>0.60399999999999998</v>
          </cell>
          <cell r="BO20">
            <v>3.375</v>
          </cell>
          <cell r="BP20">
            <v>-20.451000000000001</v>
          </cell>
          <cell r="BQ20">
            <v>-11.271000000000001</v>
          </cell>
          <cell r="BS20">
            <v>10.201000000000001</v>
          </cell>
          <cell r="BT20">
            <v>2.2759999999999998</v>
          </cell>
          <cell r="BU20">
            <v>5.875</v>
          </cell>
          <cell r="BV20">
            <v>-20.451000000000001</v>
          </cell>
          <cell r="BW20">
            <v>-2.0990000000000002</v>
          </cell>
          <cell r="BY20">
            <v>1.7609999999999999</v>
          </cell>
          <cell r="BZ20">
            <v>0</v>
          </cell>
          <cell r="CA20">
            <v>0</v>
          </cell>
          <cell r="CB20">
            <v>0</v>
          </cell>
          <cell r="CC20">
            <v>0</v>
          </cell>
          <cell r="CD20">
            <v>-2</v>
          </cell>
          <cell r="CE20">
            <v>-1.7609999999999999</v>
          </cell>
          <cell r="CF20">
            <v>-0.2390000000000001</v>
          </cell>
          <cell r="CG20">
            <v>0</v>
          </cell>
          <cell r="CH20">
            <v>0</v>
          </cell>
        </row>
        <row r="21">
          <cell r="A21" t="str">
            <v>Pre-Tax Extraordinary Charges (FYins)</v>
          </cell>
          <cell r="C21">
            <v>1209.9270000000001</v>
          </cell>
          <cell r="D21">
            <v>127.032</v>
          </cell>
          <cell r="E21">
            <v>1679.9359999999999</v>
          </cell>
          <cell r="F21">
            <v>0</v>
          </cell>
          <cell r="G21">
            <v>0</v>
          </cell>
          <cell r="H21">
            <v>-24</v>
          </cell>
          <cell r="I21">
            <v>25.204999999999998</v>
          </cell>
          <cell r="K21">
            <v>144.60500000000002</v>
          </cell>
          <cell r="L21">
            <v>276.92599999999999</v>
          </cell>
          <cell r="N21">
            <v>0</v>
          </cell>
          <cell r="O21">
            <v>0</v>
          </cell>
          <cell r="P21">
            <v>0</v>
          </cell>
          <cell r="Q21">
            <v>0</v>
          </cell>
          <cell r="R21">
            <v>0</v>
          </cell>
          <cell r="S21">
            <v>80</v>
          </cell>
          <cell r="T21">
            <v>272</v>
          </cell>
          <cell r="U21">
            <v>68</v>
          </cell>
          <cell r="V21">
            <v>59</v>
          </cell>
          <cell r="W21">
            <v>158</v>
          </cell>
          <cell r="X21">
            <v>-303</v>
          </cell>
          <cell r="Y21">
            <v>437</v>
          </cell>
          <cell r="Z21">
            <v>219</v>
          </cell>
          <cell r="AA21">
            <v>421</v>
          </cell>
          <cell r="AB21">
            <v>391</v>
          </cell>
          <cell r="AC21">
            <v>25</v>
          </cell>
          <cell r="AD21">
            <v>-25</v>
          </cell>
          <cell r="AE21">
            <v>0</v>
          </cell>
          <cell r="AF21">
            <v>0</v>
          </cell>
          <cell r="AG21">
            <v>0</v>
          </cell>
          <cell r="AH21">
            <v>0</v>
          </cell>
          <cell r="AI21">
            <v>0</v>
          </cell>
          <cell r="AJ21">
            <v>0</v>
          </cell>
          <cell r="AK21">
            <v>0</v>
          </cell>
          <cell r="AL21">
            <v>0</v>
          </cell>
          <cell r="AN21" t="str">
            <v>Pre-Tax Extraordinary Charges (FYins)</v>
          </cell>
          <cell r="AO21">
            <v>19.689</v>
          </cell>
          <cell r="AP21">
            <v>9.3439999999999994</v>
          </cell>
          <cell r="AQ21">
            <v>29.286000000000001</v>
          </cell>
          <cell r="AR21">
            <v>68.712999999999994</v>
          </cell>
          <cell r="AS21">
            <v>127.032</v>
          </cell>
          <cell r="AU21">
            <v>10.657</v>
          </cell>
          <cell r="AV21">
            <v>108.504</v>
          </cell>
          <cell r="AW21">
            <v>23.658000000000001</v>
          </cell>
          <cell r="AX21">
            <v>1537.117</v>
          </cell>
          <cell r="AY21">
            <v>1679.9359999999999</v>
          </cell>
          <cell r="BA21">
            <v>0</v>
          </cell>
          <cell r="BB21">
            <v>0</v>
          </cell>
          <cell r="BC21">
            <v>0</v>
          </cell>
          <cell r="BD21">
            <v>0</v>
          </cell>
          <cell r="BE21">
            <v>0</v>
          </cell>
          <cell r="BG21">
            <v>0</v>
          </cell>
          <cell r="BH21">
            <v>0</v>
          </cell>
          <cell r="BI21">
            <v>0</v>
          </cell>
          <cell r="BJ21">
            <v>-24</v>
          </cell>
          <cell r="BK21">
            <v>-24</v>
          </cell>
          <cell r="BM21">
            <v>0</v>
          </cell>
          <cell r="BN21">
            <v>27.004999999999999</v>
          </cell>
          <cell r="BO21">
            <v>0</v>
          </cell>
          <cell r="BP21">
            <v>-1.8000000000000007</v>
          </cell>
          <cell r="BQ21">
            <v>25.204999999999998</v>
          </cell>
          <cell r="BS21">
            <v>0</v>
          </cell>
          <cell r="BT21">
            <v>7.5050000000000026</v>
          </cell>
          <cell r="BU21">
            <v>80</v>
          </cell>
          <cell r="BV21">
            <v>57.100000000000009</v>
          </cell>
          <cell r="BW21">
            <v>144.60500000000002</v>
          </cell>
          <cell r="BY21">
            <v>83.322000000000003</v>
          </cell>
          <cell r="BZ21">
            <v>114.604</v>
          </cell>
          <cell r="CA21">
            <v>39</v>
          </cell>
          <cell r="CB21">
            <v>0</v>
          </cell>
          <cell r="CC21">
            <v>39.134</v>
          </cell>
          <cell r="CD21">
            <v>40</v>
          </cell>
          <cell r="CE21">
            <v>82.450999999999993</v>
          </cell>
          <cell r="CF21">
            <v>276.92599999999999</v>
          </cell>
          <cell r="CG21">
            <v>319.37699999999995</v>
          </cell>
          <cell r="CH21">
            <v>319.37699999999995</v>
          </cell>
          <cell r="CJ21">
            <v>77.7</v>
          </cell>
          <cell r="CK21">
            <v>98.917000000000002</v>
          </cell>
          <cell r="CL21">
            <v>44.304000000000002</v>
          </cell>
          <cell r="CM21">
            <v>87.721999999999994</v>
          </cell>
          <cell r="CN21">
            <v>308.64300000000003</v>
          </cell>
          <cell r="CP21">
            <v>0</v>
          </cell>
          <cell r="CQ21">
            <v>0</v>
          </cell>
          <cell r="CR21">
            <v>0</v>
          </cell>
          <cell r="CS21">
            <v>0</v>
          </cell>
          <cell r="CT21">
            <v>0</v>
          </cell>
          <cell r="CV21">
            <v>0</v>
          </cell>
          <cell r="CW21">
            <v>0</v>
          </cell>
          <cell r="CX21">
            <v>0</v>
          </cell>
          <cell r="CY21">
            <v>0</v>
          </cell>
          <cell r="CZ21">
            <v>0</v>
          </cell>
          <cell r="DB21">
            <v>0</v>
          </cell>
          <cell r="DC21">
            <v>0</v>
          </cell>
          <cell r="DD21">
            <v>0</v>
          </cell>
          <cell r="DE21">
            <v>0</v>
          </cell>
          <cell r="DF21">
            <v>0</v>
          </cell>
          <cell r="DH21">
            <v>0</v>
          </cell>
          <cell r="DI21">
            <v>0</v>
          </cell>
          <cell r="DJ21">
            <v>0</v>
          </cell>
          <cell r="DK21">
            <v>80</v>
          </cell>
          <cell r="DL21">
            <v>80</v>
          </cell>
          <cell r="DN21">
            <v>52</v>
          </cell>
          <cell r="DO21">
            <v>41</v>
          </cell>
          <cell r="DP21">
            <v>30</v>
          </cell>
          <cell r="DQ21">
            <v>149</v>
          </cell>
          <cell r="DR21">
            <v>272</v>
          </cell>
          <cell r="DT21">
            <v>0</v>
          </cell>
          <cell r="DU21">
            <v>0</v>
          </cell>
          <cell r="DV21">
            <v>0</v>
          </cell>
          <cell r="DW21">
            <v>68</v>
          </cell>
          <cell r="DX21">
            <v>68</v>
          </cell>
          <cell r="DZ21">
            <v>8</v>
          </cell>
          <cell r="EA21">
            <v>10</v>
          </cell>
          <cell r="EB21">
            <v>29</v>
          </cell>
          <cell r="EC21">
            <v>12</v>
          </cell>
          <cell r="ED21">
            <v>59</v>
          </cell>
          <cell r="EF21">
            <v>19</v>
          </cell>
          <cell r="EG21">
            <v>90</v>
          </cell>
          <cell r="EH21">
            <v>36</v>
          </cell>
          <cell r="EI21">
            <v>13</v>
          </cell>
          <cell r="EJ21">
            <v>158</v>
          </cell>
          <cell r="EK21" t="str">
            <v>Pre-Tax Extraordinary Charges (FYins)</v>
          </cell>
          <cell r="EL21">
            <v>0</v>
          </cell>
          <cell r="EM21">
            <v>0</v>
          </cell>
          <cell r="EN21">
            <v>-417</v>
          </cell>
          <cell r="EO21">
            <v>114</v>
          </cell>
          <cell r="EP21">
            <v>-303</v>
          </cell>
          <cell r="ER21">
            <v>129</v>
          </cell>
          <cell r="ES21">
            <v>-14</v>
          </cell>
          <cell r="ET21">
            <v>145</v>
          </cell>
          <cell r="EU21">
            <v>177</v>
          </cell>
          <cell r="EV21">
            <v>437</v>
          </cell>
          <cell r="EX21">
            <v>36</v>
          </cell>
          <cell r="EY21">
            <v>97</v>
          </cell>
          <cell r="EZ21">
            <v>17</v>
          </cell>
          <cell r="FA21">
            <v>69</v>
          </cell>
          <cell r="FB21">
            <v>219</v>
          </cell>
          <cell r="FD21">
            <v>110</v>
          </cell>
          <cell r="FE21">
            <v>76</v>
          </cell>
          <cell r="FF21">
            <v>16</v>
          </cell>
          <cell r="FG21">
            <v>219</v>
          </cell>
          <cell r="FH21">
            <v>421</v>
          </cell>
          <cell r="FJ21">
            <v>138</v>
          </cell>
          <cell r="FK21">
            <v>34</v>
          </cell>
          <cell r="FL21">
            <v>33</v>
          </cell>
          <cell r="FM21">
            <v>186</v>
          </cell>
          <cell r="FN21">
            <v>391</v>
          </cell>
          <cell r="FP21">
            <v>0</v>
          </cell>
          <cell r="FQ21">
            <v>0</v>
          </cell>
          <cell r="FR21">
            <v>0</v>
          </cell>
          <cell r="FS21">
            <v>25</v>
          </cell>
          <cell r="FT21">
            <v>25</v>
          </cell>
          <cell r="FV21">
            <v>0</v>
          </cell>
          <cell r="FW21">
            <v>0</v>
          </cell>
          <cell r="FX21">
            <v>0</v>
          </cell>
          <cell r="FY21">
            <v>-25</v>
          </cell>
          <cell r="FZ21">
            <v>-25</v>
          </cell>
          <cell r="GB21">
            <v>0</v>
          </cell>
          <cell r="GC21">
            <v>0</v>
          </cell>
          <cell r="GD21">
            <v>0</v>
          </cell>
          <cell r="GE21">
            <v>0</v>
          </cell>
          <cell r="GF21">
            <v>0</v>
          </cell>
        </row>
        <row r="23">
          <cell r="A23" t="str">
            <v>Pretax Income</v>
          </cell>
          <cell r="C23">
            <v>-1767.144</v>
          </cell>
          <cell r="D23">
            <v>-547.80099999999936</v>
          </cell>
          <cell r="E23">
            <v>-1849.9609999999998</v>
          </cell>
          <cell r="F23">
            <v>53.278999999999812</v>
          </cell>
          <cell r="G23">
            <v>232.00700000000063</v>
          </cell>
          <cell r="H23">
            <v>367.77999999999912</v>
          </cell>
          <cell r="I23">
            <v>427.72199999999896</v>
          </cell>
          <cell r="J23">
            <v>1.0023277888444908</v>
          </cell>
          <cell r="K23">
            <v>92.294999999999447</v>
          </cell>
          <cell r="L23">
            <v>304.69899999999899</v>
          </cell>
          <cell r="N23">
            <v>202</v>
          </cell>
          <cell r="O23">
            <v>441</v>
          </cell>
          <cell r="P23">
            <v>958</v>
          </cell>
          <cell r="Q23">
            <v>1163</v>
          </cell>
          <cell r="R23">
            <v>1386</v>
          </cell>
          <cell r="S23">
            <v>1370</v>
          </cell>
          <cell r="T23">
            <v>780</v>
          </cell>
          <cell r="U23">
            <v>1048</v>
          </cell>
          <cell r="V23">
            <v>1084</v>
          </cell>
          <cell r="W23">
            <v>1116</v>
          </cell>
          <cell r="X23">
            <v>2044</v>
          </cell>
          <cell r="Y23">
            <v>1375</v>
          </cell>
          <cell r="Z23">
            <v>1320</v>
          </cell>
          <cell r="AA23">
            <v>444</v>
          </cell>
          <cell r="AB23">
            <v>507</v>
          </cell>
          <cell r="AC23">
            <v>1320</v>
          </cell>
          <cell r="AD23">
            <v>1968</v>
          </cell>
          <cell r="AE23">
            <v>2233.35394297312</v>
          </cell>
          <cell r="AF23">
            <v>2339.9446915434578</v>
          </cell>
          <cell r="AG23">
            <v>2569.4863960758839</v>
          </cell>
          <cell r="AH23">
            <v>2604.987304516796</v>
          </cell>
          <cell r="AI23">
            <v>2672.2023854398972</v>
          </cell>
          <cell r="AJ23">
            <v>2774.7654454877938</v>
          </cell>
          <cell r="AK23">
            <v>2859.4114719524105</v>
          </cell>
          <cell r="AL23">
            <v>2927.9432446306555</v>
          </cell>
          <cell r="AN23" t="str">
            <v>Pretax Income</v>
          </cell>
          <cell r="AO23">
            <v>-143.4009999999999</v>
          </cell>
          <cell r="AP23">
            <v>-186.447</v>
          </cell>
          <cell r="AQ23">
            <v>-121.46500000000003</v>
          </cell>
          <cell r="AR23">
            <v>-96.488000000000056</v>
          </cell>
          <cell r="AS23">
            <v>-547.80100000000004</v>
          </cell>
          <cell r="AT23">
            <v>0</v>
          </cell>
          <cell r="AU23">
            <v>-85.017999999999915</v>
          </cell>
          <cell r="AV23">
            <v>-210.38000000000011</v>
          </cell>
          <cell r="AW23">
            <v>-79.991999999999962</v>
          </cell>
          <cell r="AX23">
            <v>-1484.6269999999995</v>
          </cell>
          <cell r="AY23">
            <v>-1873.2089999999998</v>
          </cell>
          <cell r="AZ23">
            <v>0</v>
          </cell>
          <cell r="BA23">
            <v>22.976000000000163</v>
          </cell>
          <cell r="BB23">
            <v>-22.479000000000042</v>
          </cell>
          <cell r="BC23">
            <v>55.534999999999911</v>
          </cell>
          <cell r="BD23">
            <v>175.97500000000005</v>
          </cell>
          <cell r="BE23">
            <v>232.00700000000006</v>
          </cell>
          <cell r="BF23">
            <v>0</v>
          </cell>
          <cell r="BG23">
            <v>39.659000000000063</v>
          </cell>
          <cell r="BH23">
            <v>18.090999999999973</v>
          </cell>
          <cell r="BI23">
            <v>63.014999999999951</v>
          </cell>
          <cell r="BJ23">
            <v>247.01499999999982</v>
          </cell>
          <cell r="BK23">
            <v>367.77999999999918</v>
          </cell>
          <cell r="BL23">
            <v>0</v>
          </cell>
          <cell r="BM23">
            <v>58.068000000000175</v>
          </cell>
          <cell r="BN23">
            <v>10.26699999999984</v>
          </cell>
          <cell r="BO23">
            <v>78.336000000000013</v>
          </cell>
          <cell r="BP23">
            <v>281.05100000000004</v>
          </cell>
          <cell r="BQ23">
            <v>427.72199999999896</v>
          </cell>
          <cell r="BR23">
            <v>0</v>
          </cell>
          <cell r="BS23">
            <v>-52.740000000000038</v>
          </cell>
          <cell r="BT23">
            <v>-87.464999999999975</v>
          </cell>
          <cell r="BU23">
            <v>-76.039999999999964</v>
          </cell>
          <cell r="BV23">
            <v>308.54000000000008</v>
          </cell>
          <cell r="BW23">
            <v>92.294999999999391</v>
          </cell>
          <cell r="BX23">
            <v>0</v>
          </cell>
          <cell r="BY23">
            <v>-86.748000000000275</v>
          </cell>
          <cell r="BZ23">
            <v>-101.6219999999999</v>
          </cell>
          <cell r="CA23">
            <v>42.979999999999734</v>
          </cell>
          <cell r="CB23">
            <v>-68.198000000000221</v>
          </cell>
          <cell r="CC23">
            <v>-25.311000000000149</v>
          </cell>
          <cell r="CD23">
            <v>450.08899999999983</v>
          </cell>
          <cell r="CE23">
            <v>415.06299999999948</v>
          </cell>
          <cell r="CF23">
            <v>304.69899999999893</v>
          </cell>
          <cell r="CG23">
            <v>269.67299999999909</v>
          </cell>
          <cell r="CH23">
            <v>201.47499999999741</v>
          </cell>
          <cell r="CJ23">
            <v>-56.994000000000142</v>
          </cell>
          <cell r="CK23">
            <v>-39.859999999999957</v>
          </cell>
          <cell r="CL23">
            <v>73.95100000000042</v>
          </cell>
          <cell r="CM23">
            <v>464.36099999999965</v>
          </cell>
          <cell r="CN23">
            <v>441.45799999999974</v>
          </cell>
          <cell r="CP23">
            <v>43.683000000000177</v>
          </cell>
          <cell r="CQ23">
            <v>112.59700000000035</v>
          </cell>
          <cell r="CR23">
            <v>176.08300000000003</v>
          </cell>
          <cell r="CS23">
            <v>625.92700000000002</v>
          </cell>
          <cell r="CT23">
            <v>958.29000000000053</v>
          </cell>
          <cell r="CU23">
            <v>0</v>
          </cell>
          <cell r="CV23">
            <v>104</v>
          </cell>
          <cell r="CW23">
            <v>193</v>
          </cell>
          <cell r="CX23">
            <v>185</v>
          </cell>
          <cell r="CY23">
            <v>681</v>
          </cell>
          <cell r="CZ23">
            <v>1163</v>
          </cell>
          <cell r="DB23">
            <v>150</v>
          </cell>
          <cell r="DC23">
            <v>233</v>
          </cell>
          <cell r="DD23">
            <v>211</v>
          </cell>
          <cell r="DE23">
            <v>752</v>
          </cell>
          <cell r="DF23">
            <v>1346</v>
          </cell>
          <cell r="DH23">
            <v>200</v>
          </cell>
          <cell r="DI23">
            <v>324</v>
          </cell>
          <cell r="DJ23">
            <v>185</v>
          </cell>
          <cell r="DK23">
            <v>661</v>
          </cell>
          <cell r="DL23">
            <v>1370</v>
          </cell>
          <cell r="DN23">
            <v>100</v>
          </cell>
          <cell r="DO23">
            <v>135</v>
          </cell>
          <cell r="DP23">
            <v>46</v>
          </cell>
          <cell r="DQ23">
            <v>499</v>
          </cell>
          <cell r="DR23">
            <v>780</v>
          </cell>
          <cell r="DT23">
            <v>147</v>
          </cell>
          <cell r="DU23">
            <v>222</v>
          </cell>
          <cell r="DV23">
            <v>115</v>
          </cell>
          <cell r="DW23">
            <v>564</v>
          </cell>
          <cell r="DX23">
            <v>1048</v>
          </cell>
          <cell r="DZ23">
            <v>76</v>
          </cell>
          <cell r="EA23">
            <v>199</v>
          </cell>
          <cell r="EB23">
            <v>112</v>
          </cell>
          <cell r="EC23">
            <v>697</v>
          </cell>
          <cell r="ED23">
            <v>1084</v>
          </cell>
          <cell r="EF23">
            <v>157</v>
          </cell>
          <cell r="EG23">
            <v>126</v>
          </cell>
          <cell r="EH23">
            <v>120</v>
          </cell>
          <cell r="EI23">
            <v>713</v>
          </cell>
          <cell r="EJ23">
            <v>1116</v>
          </cell>
          <cell r="EK23" t="str">
            <v>Pretax Income</v>
          </cell>
          <cell r="EL23">
            <v>198</v>
          </cell>
          <cell r="EM23">
            <v>237</v>
          </cell>
          <cell r="EN23">
            <v>542</v>
          </cell>
          <cell r="EO23">
            <v>1067</v>
          </cell>
          <cell r="EP23">
            <v>2044</v>
          </cell>
          <cell r="ER23">
            <v>-118</v>
          </cell>
          <cell r="ES23">
            <v>306</v>
          </cell>
          <cell r="ET23">
            <v>30</v>
          </cell>
          <cell r="EU23">
            <v>1157</v>
          </cell>
          <cell r="EV23">
            <v>1375</v>
          </cell>
          <cell r="EX23">
            <v>83</v>
          </cell>
          <cell r="EY23">
            <v>113</v>
          </cell>
          <cell r="EZ23">
            <v>38</v>
          </cell>
          <cell r="FA23">
            <v>1086</v>
          </cell>
          <cell r="FB23">
            <v>1320</v>
          </cell>
          <cell r="FD23">
            <v>-106</v>
          </cell>
          <cell r="FE23">
            <v>121</v>
          </cell>
          <cell r="FF23">
            <v>-75</v>
          </cell>
          <cell r="FG23">
            <v>504</v>
          </cell>
          <cell r="FH23">
            <v>444</v>
          </cell>
          <cell r="FJ23">
            <v>-255</v>
          </cell>
          <cell r="FK23">
            <v>109</v>
          </cell>
          <cell r="FL23">
            <v>-82</v>
          </cell>
          <cell r="FM23">
            <v>735</v>
          </cell>
          <cell r="FN23">
            <v>507</v>
          </cell>
          <cell r="FP23">
            <v>41</v>
          </cell>
          <cell r="FQ23">
            <v>240</v>
          </cell>
          <cell r="FR23">
            <v>13</v>
          </cell>
          <cell r="FS23">
            <v>1026</v>
          </cell>
          <cell r="FT23">
            <v>1320</v>
          </cell>
          <cell r="FV23">
            <v>214</v>
          </cell>
          <cell r="FW23">
            <v>395</v>
          </cell>
          <cell r="FX23">
            <v>183</v>
          </cell>
          <cell r="FY23">
            <v>1176</v>
          </cell>
          <cell r="FZ23">
            <v>1968</v>
          </cell>
          <cell r="GB23">
            <v>279</v>
          </cell>
          <cell r="GC23">
            <v>449</v>
          </cell>
          <cell r="GD23">
            <v>174.65499452664795</v>
          </cell>
          <cell r="GE23">
            <v>1330.6989484464721</v>
          </cell>
          <cell r="GF23">
            <v>2233.35394297312</v>
          </cell>
        </row>
        <row r="24">
          <cell r="A24" t="str">
            <v>Income Taxes (Benefit)</v>
          </cell>
          <cell r="C24">
            <v>6.7830000000000004</v>
          </cell>
          <cell r="D24">
            <v>-276.35500000000002</v>
          </cell>
          <cell r="E24">
            <v>-613.98900000000003</v>
          </cell>
          <cell r="F24">
            <v>28.096</v>
          </cell>
          <cell r="G24">
            <v>99.299000000000007</v>
          </cell>
          <cell r="H24">
            <v>156.745</v>
          </cell>
          <cell r="I24">
            <v>180.869</v>
          </cell>
          <cell r="K24">
            <v>55.495050000000049</v>
          </cell>
          <cell r="L24">
            <v>155.708</v>
          </cell>
          <cell r="N24">
            <v>127</v>
          </cell>
          <cell r="O24">
            <v>175</v>
          </cell>
          <cell r="P24">
            <v>383</v>
          </cell>
          <cell r="Q24">
            <v>478</v>
          </cell>
          <cell r="R24">
            <v>561</v>
          </cell>
          <cell r="S24">
            <v>549</v>
          </cell>
          <cell r="T24">
            <v>306</v>
          </cell>
          <cell r="U24">
            <v>410</v>
          </cell>
          <cell r="V24">
            <v>429</v>
          </cell>
          <cell r="W24">
            <v>427</v>
          </cell>
          <cell r="X24">
            <v>765.40858992805761</v>
          </cell>
          <cell r="Y24">
            <v>511.75</v>
          </cell>
          <cell r="Z24">
            <v>489</v>
          </cell>
          <cell r="AA24">
            <v>-135</v>
          </cell>
          <cell r="AB24">
            <v>178</v>
          </cell>
          <cell r="AC24">
            <v>473</v>
          </cell>
          <cell r="AD24">
            <v>712</v>
          </cell>
          <cell r="AE24">
            <v>824.98095890005447</v>
          </cell>
          <cell r="AF24">
            <v>865.77953587107936</v>
          </cell>
          <cell r="AG24">
            <v>950.70996654807709</v>
          </cell>
          <cell r="AH24">
            <v>963.84530267121454</v>
          </cell>
          <cell r="AI24">
            <v>988.71488261276193</v>
          </cell>
          <cell r="AJ24">
            <v>1026.6632148304836</v>
          </cell>
          <cell r="AK24">
            <v>1057.9822446223918</v>
          </cell>
          <cell r="AL24">
            <v>1083.3390005133426</v>
          </cell>
          <cell r="AN24" t="str">
            <v>Income Taxes (Benefit)</v>
          </cell>
          <cell r="AO24">
            <v>-43.960999999999999</v>
          </cell>
          <cell r="AP24">
            <v>-60.075000000000003</v>
          </cell>
          <cell r="AQ24">
            <v>-34.662999999999997</v>
          </cell>
          <cell r="AR24">
            <v>-137.65600000000001</v>
          </cell>
          <cell r="AS24">
            <v>-276.35500000000002</v>
          </cell>
          <cell r="AU24">
            <v>-20.856999999999999</v>
          </cell>
          <cell r="AV24">
            <v>-66.552000000000007</v>
          </cell>
          <cell r="AW24">
            <v>-18.997</v>
          </cell>
          <cell r="AX24">
            <v>-507.58300000000003</v>
          </cell>
          <cell r="AY24">
            <v>-613.98900000000003</v>
          </cell>
          <cell r="BA24">
            <v>11.164</v>
          </cell>
          <cell r="BB24">
            <v>-6.69</v>
          </cell>
          <cell r="BC24">
            <v>23.952999999999999</v>
          </cell>
          <cell r="BD24">
            <v>70.872</v>
          </cell>
          <cell r="BE24">
            <v>99.299000000000007</v>
          </cell>
          <cell r="BG24">
            <v>17.959</v>
          </cell>
          <cell r="BH24">
            <v>9.2379999999999995</v>
          </cell>
          <cell r="BI24">
            <v>28.490999999999996</v>
          </cell>
          <cell r="BJ24">
            <v>101.057</v>
          </cell>
          <cell r="BK24">
            <v>156.745</v>
          </cell>
          <cell r="BM24">
            <v>25.846</v>
          </cell>
          <cell r="BN24">
            <v>6.4950000000000001</v>
          </cell>
          <cell r="BO24">
            <v>33.993000000000002</v>
          </cell>
          <cell r="BP24">
            <v>114.535</v>
          </cell>
          <cell r="BQ24">
            <v>180.869</v>
          </cell>
          <cell r="BS24">
            <v>-15.693600000000016</v>
          </cell>
          <cell r="BT24">
            <v>-29.236349999999991</v>
          </cell>
          <cell r="BU24">
            <v>-24.780599999999986</v>
          </cell>
          <cell r="BV24">
            <v>125.20560000000003</v>
          </cell>
          <cell r="BW24">
            <v>55.495050000000049</v>
          </cell>
          <cell r="BY24">
            <v>-29.748999999999999</v>
          </cell>
          <cell r="BZ24">
            <v>-34.447000000000003</v>
          </cell>
          <cell r="CA24">
            <v>21.084</v>
          </cell>
          <cell r="CB24">
            <v>0</v>
          </cell>
          <cell r="CC24">
            <v>21.084</v>
          </cell>
          <cell r="CD24">
            <v>198.82</v>
          </cell>
          <cell r="CE24">
            <v>170.41800000000001</v>
          </cell>
          <cell r="CF24">
            <v>155.708</v>
          </cell>
          <cell r="CG24">
            <v>127.30600000000001</v>
          </cell>
          <cell r="CH24">
            <v>127.30600000000001</v>
          </cell>
          <cell r="CJ24">
            <v>-19.071000000000002</v>
          </cell>
          <cell r="CK24">
            <v>-12.667</v>
          </cell>
          <cell r="CL24">
            <v>32.15</v>
          </cell>
          <cell r="CM24">
            <v>175.15899999999999</v>
          </cell>
          <cell r="CN24">
            <v>175.571</v>
          </cell>
          <cell r="CP24">
            <v>19.623999999999999</v>
          </cell>
          <cell r="CQ24">
            <v>46.226999999999997</v>
          </cell>
          <cell r="CR24">
            <v>70.968999999999994</v>
          </cell>
          <cell r="CS24">
            <v>246.84700000000001</v>
          </cell>
          <cell r="CT24">
            <v>383.66700000000003</v>
          </cell>
          <cell r="CV24">
            <v>43.765999999999998</v>
          </cell>
          <cell r="CW24">
            <v>86</v>
          </cell>
          <cell r="CX24">
            <v>75</v>
          </cell>
          <cell r="CY24">
            <v>273</v>
          </cell>
          <cell r="CZ24">
            <v>477.76599999999996</v>
          </cell>
          <cell r="DB24">
            <v>63</v>
          </cell>
          <cell r="DC24">
            <v>96</v>
          </cell>
          <cell r="DD24">
            <v>88</v>
          </cell>
          <cell r="DE24">
            <v>304</v>
          </cell>
          <cell r="DF24">
            <v>551</v>
          </cell>
          <cell r="DH24">
            <v>82</v>
          </cell>
          <cell r="DI24">
            <v>130</v>
          </cell>
          <cell r="DJ24">
            <v>76</v>
          </cell>
          <cell r="DK24">
            <v>261</v>
          </cell>
          <cell r="DL24">
            <v>549</v>
          </cell>
          <cell r="DN24">
            <v>42</v>
          </cell>
          <cell r="DO24">
            <v>55</v>
          </cell>
          <cell r="DP24">
            <v>20</v>
          </cell>
          <cell r="DQ24">
            <v>189</v>
          </cell>
          <cell r="DR24">
            <v>306</v>
          </cell>
          <cell r="DT24">
            <v>58</v>
          </cell>
          <cell r="DU24">
            <v>89</v>
          </cell>
          <cell r="DV24">
            <v>40</v>
          </cell>
          <cell r="DW24">
            <v>223</v>
          </cell>
          <cell r="DX24">
            <v>410</v>
          </cell>
          <cell r="DZ24">
            <v>30</v>
          </cell>
          <cell r="EA24">
            <v>79</v>
          </cell>
          <cell r="EB24">
            <v>45</v>
          </cell>
          <cell r="EC24">
            <v>275</v>
          </cell>
          <cell r="ED24">
            <v>429</v>
          </cell>
          <cell r="EF24">
            <v>60</v>
          </cell>
          <cell r="EG24">
            <v>48</v>
          </cell>
          <cell r="EH24">
            <v>46</v>
          </cell>
          <cell r="EI24">
            <v>273</v>
          </cell>
          <cell r="EJ24">
            <v>427</v>
          </cell>
          <cell r="EK24" t="str">
            <v>Income Taxes (Benefit)</v>
          </cell>
          <cell r="EL24">
            <v>74.646000000000001</v>
          </cell>
          <cell r="EM24">
            <v>89</v>
          </cell>
          <cell r="EN24">
            <v>202.76258992805757</v>
          </cell>
          <cell r="EO24">
            <v>399</v>
          </cell>
          <cell r="EP24">
            <v>765.40858992805761</v>
          </cell>
          <cell r="ER24">
            <v>-44</v>
          </cell>
          <cell r="ES24">
            <v>114.75</v>
          </cell>
          <cell r="ET24">
            <v>10</v>
          </cell>
          <cell r="EU24">
            <v>431</v>
          </cell>
          <cell r="EV24">
            <v>511.75</v>
          </cell>
          <cell r="EX24">
            <v>31</v>
          </cell>
          <cell r="EY24">
            <v>39</v>
          </cell>
          <cell r="EZ24">
            <v>5</v>
          </cell>
          <cell r="FA24">
            <v>414</v>
          </cell>
          <cell r="FB24">
            <v>489</v>
          </cell>
          <cell r="FD24">
            <v>-47</v>
          </cell>
          <cell r="FE24">
            <v>48</v>
          </cell>
          <cell r="FF24">
            <v>-31</v>
          </cell>
          <cell r="FG24">
            <v>-105</v>
          </cell>
          <cell r="FH24">
            <v>-135</v>
          </cell>
          <cell r="FJ24">
            <v>-167</v>
          </cell>
          <cell r="FK24">
            <v>102</v>
          </cell>
          <cell r="FL24">
            <v>-47</v>
          </cell>
          <cell r="FM24">
            <v>290</v>
          </cell>
          <cell r="FN24">
            <v>178</v>
          </cell>
          <cell r="FP24">
            <v>18</v>
          </cell>
          <cell r="FQ24">
            <v>93</v>
          </cell>
          <cell r="FR24">
            <v>3</v>
          </cell>
          <cell r="FS24">
            <v>359</v>
          </cell>
          <cell r="FT24">
            <v>473</v>
          </cell>
          <cell r="FV24">
            <v>83</v>
          </cell>
          <cell r="FW24">
            <v>154</v>
          </cell>
          <cell r="FX24">
            <v>44</v>
          </cell>
          <cell r="FY24">
            <v>431</v>
          </cell>
          <cell r="FZ24">
            <v>712</v>
          </cell>
          <cell r="GB24">
            <v>98</v>
          </cell>
          <cell r="GC24">
            <v>170</v>
          </cell>
          <cell r="GD24">
            <v>64.622347974859736</v>
          </cell>
          <cell r="GE24">
            <v>492.35861092519468</v>
          </cell>
          <cell r="GF24">
            <v>824.98095890005447</v>
          </cell>
          <cell r="GS24" t="str">
            <v>mstag:taxExpenseIncome</v>
          </cell>
          <cell r="GT24">
            <v>6</v>
          </cell>
          <cell r="GU24" t="str">
            <v>ISO4217:USD</v>
          </cell>
          <cell r="GV24" t="b">
            <v>0</v>
          </cell>
          <cell r="GW24" t="b">
            <v>0</v>
          </cell>
        </row>
        <row r="25">
          <cell r="A25" t="str">
            <v>Net Income Before Post-Tax Items</v>
          </cell>
          <cell r="C25">
            <v>-1773.9269999999999</v>
          </cell>
          <cell r="D25">
            <v>-271.44599999999934</v>
          </cell>
          <cell r="E25">
            <v>-1235.9719999999998</v>
          </cell>
          <cell r="F25">
            <v>25.182999999999812</v>
          </cell>
          <cell r="G25">
            <v>132.70800000000062</v>
          </cell>
          <cell r="H25">
            <v>211.03499999999912</v>
          </cell>
          <cell r="I25">
            <v>246.85299999999896</v>
          </cell>
          <cell r="J25">
            <v>1.1401472134972468</v>
          </cell>
          <cell r="K25">
            <v>36.799949999999399</v>
          </cell>
          <cell r="L25">
            <v>148.99099999999899</v>
          </cell>
          <cell r="N25">
            <v>75</v>
          </cell>
          <cell r="O25">
            <v>266</v>
          </cell>
          <cell r="P25">
            <v>575</v>
          </cell>
          <cell r="Q25">
            <v>685</v>
          </cell>
          <cell r="R25">
            <v>825</v>
          </cell>
          <cell r="S25">
            <v>821</v>
          </cell>
          <cell r="T25">
            <v>474</v>
          </cell>
          <cell r="U25">
            <v>638</v>
          </cell>
          <cell r="V25">
            <v>655</v>
          </cell>
          <cell r="W25">
            <v>689</v>
          </cell>
          <cell r="X25">
            <v>1278.5914100719424</v>
          </cell>
          <cell r="Y25">
            <v>863.25</v>
          </cell>
          <cell r="Z25">
            <v>831</v>
          </cell>
          <cell r="AA25">
            <v>579</v>
          </cell>
          <cell r="AB25">
            <v>329</v>
          </cell>
          <cell r="AC25">
            <v>847</v>
          </cell>
          <cell r="AD25">
            <v>1256</v>
          </cell>
          <cell r="AE25">
            <v>1408.3729840730655</v>
          </cell>
          <cell r="AF25">
            <v>1474.1651556723784</v>
          </cell>
          <cell r="AG25">
            <v>1618.7764295278068</v>
          </cell>
          <cell r="AH25">
            <v>1641.1420018455815</v>
          </cell>
          <cell r="AI25">
            <v>1683.4875028271354</v>
          </cell>
          <cell r="AJ25">
            <v>1748.1022306573102</v>
          </cell>
          <cell r="AK25">
            <v>1801.4292273300186</v>
          </cell>
          <cell r="AL25">
            <v>1844.6042441173129</v>
          </cell>
          <cell r="AN25" t="str">
            <v>Net Income Before Post-Tax Items</v>
          </cell>
          <cell r="AO25">
            <v>-99.439999999999898</v>
          </cell>
          <cell r="AP25">
            <v>-126.372</v>
          </cell>
          <cell r="AQ25">
            <v>-86.802000000000035</v>
          </cell>
          <cell r="AR25">
            <v>41.16799999999995</v>
          </cell>
          <cell r="AS25">
            <v>-271.44599999999997</v>
          </cell>
          <cell r="AU25">
            <v>-64.160999999999916</v>
          </cell>
          <cell r="AV25">
            <v>-143.82800000000009</v>
          </cell>
          <cell r="AW25">
            <v>-60.994999999999962</v>
          </cell>
          <cell r="AX25">
            <v>-977.04399999999941</v>
          </cell>
          <cell r="AY25">
            <v>-1246.0279999999993</v>
          </cell>
          <cell r="BA25">
            <v>11.812000000000163</v>
          </cell>
          <cell r="BB25">
            <v>-15.789000000000041</v>
          </cell>
          <cell r="BC25">
            <v>31.581999999999912</v>
          </cell>
          <cell r="BD25">
            <v>105.10300000000005</v>
          </cell>
          <cell r="BE25">
            <v>132.70800000000008</v>
          </cell>
          <cell r="BG25">
            <v>21.700000000000063</v>
          </cell>
          <cell r="BH25">
            <v>8.8529999999999731</v>
          </cell>
          <cell r="BI25">
            <v>34.523999999999958</v>
          </cell>
          <cell r="BJ25">
            <v>145.9579999999998</v>
          </cell>
          <cell r="BK25">
            <v>211.03499999999917</v>
          </cell>
          <cell r="BM25">
            <v>32.222000000000179</v>
          </cell>
          <cell r="BN25">
            <v>3.7719999999998395</v>
          </cell>
          <cell r="BO25">
            <v>44.343000000000011</v>
          </cell>
          <cell r="BP25">
            <v>166.51600000000005</v>
          </cell>
          <cell r="BQ25">
            <v>246.85299999999896</v>
          </cell>
          <cell r="BS25">
            <v>-37.04640000000002</v>
          </cell>
          <cell r="BT25">
            <v>-58.228649999999988</v>
          </cell>
          <cell r="BU25">
            <v>-51.259399999999978</v>
          </cell>
          <cell r="BV25">
            <v>183.33440000000004</v>
          </cell>
          <cell r="BW25">
            <v>36.799949999999342</v>
          </cell>
          <cell r="BY25">
            <v>-56.999000000000279</v>
          </cell>
          <cell r="BZ25">
            <v>-67.174999999999898</v>
          </cell>
          <cell r="CA25">
            <v>21.895999999999734</v>
          </cell>
          <cell r="CB25">
            <v>-68.198000000000221</v>
          </cell>
          <cell r="CC25">
            <v>-46.395000000000152</v>
          </cell>
          <cell r="CD25">
            <v>251.26899999999983</v>
          </cell>
          <cell r="CE25">
            <v>244.64499999999947</v>
          </cell>
          <cell r="CF25">
            <v>148.99099999999893</v>
          </cell>
          <cell r="CG25">
            <v>142.36699999999902</v>
          </cell>
          <cell r="CH25">
            <v>74.168999999998789</v>
          </cell>
          <cell r="CJ25">
            <v>-37.923000000000144</v>
          </cell>
          <cell r="CK25">
            <v>-27.192999999999955</v>
          </cell>
          <cell r="CL25">
            <v>41.801000000000421</v>
          </cell>
          <cell r="CM25">
            <v>289.20199999999966</v>
          </cell>
          <cell r="CN25">
            <v>265.88699999999972</v>
          </cell>
          <cell r="CP25">
            <v>24.059000000000179</v>
          </cell>
          <cell r="CQ25">
            <v>66.370000000000346</v>
          </cell>
          <cell r="CR25">
            <v>105.11400000000003</v>
          </cell>
          <cell r="CS25">
            <v>379.08000000000004</v>
          </cell>
          <cell r="CT25">
            <v>574.62300000000062</v>
          </cell>
          <cell r="CV25">
            <v>60.234000000000002</v>
          </cell>
          <cell r="CW25">
            <v>107</v>
          </cell>
          <cell r="CX25">
            <v>110</v>
          </cell>
          <cell r="CY25">
            <v>408</v>
          </cell>
          <cell r="CZ25">
            <v>685.23400000000004</v>
          </cell>
          <cell r="DB25">
            <v>87</v>
          </cell>
          <cell r="DC25">
            <v>137</v>
          </cell>
          <cell r="DD25">
            <v>123</v>
          </cell>
          <cell r="DE25">
            <v>448</v>
          </cell>
          <cell r="DF25">
            <v>795</v>
          </cell>
          <cell r="DH25">
            <v>118</v>
          </cell>
          <cell r="DI25">
            <v>194</v>
          </cell>
          <cell r="DJ25">
            <v>109</v>
          </cell>
          <cell r="DK25">
            <v>400</v>
          </cell>
          <cell r="DL25">
            <v>821</v>
          </cell>
          <cell r="DN25">
            <v>58</v>
          </cell>
          <cell r="DO25">
            <v>80</v>
          </cell>
          <cell r="DP25">
            <v>26</v>
          </cell>
          <cell r="DQ25">
            <v>310</v>
          </cell>
          <cell r="DR25">
            <v>474</v>
          </cell>
          <cell r="DT25">
            <v>89</v>
          </cell>
          <cell r="DU25">
            <v>133</v>
          </cell>
          <cell r="DV25">
            <v>75</v>
          </cell>
          <cell r="DW25">
            <v>341</v>
          </cell>
          <cell r="DX25">
            <v>638</v>
          </cell>
          <cell r="DZ25">
            <v>46</v>
          </cell>
          <cell r="EA25">
            <v>120</v>
          </cell>
          <cell r="EB25">
            <v>67</v>
          </cell>
          <cell r="EC25">
            <v>422</v>
          </cell>
          <cell r="ED25">
            <v>655</v>
          </cell>
          <cell r="EF25">
            <v>97</v>
          </cell>
          <cell r="EG25">
            <v>78</v>
          </cell>
          <cell r="EH25">
            <v>74</v>
          </cell>
          <cell r="EI25">
            <v>440</v>
          </cell>
          <cell r="EJ25">
            <v>689</v>
          </cell>
          <cell r="EK25" t="str">
            <v>Net Income Before Post-Tax Items</v>
          </cell>
          <cell r="EL25">
            <v>123.354</v>
          </cell>
          <cell r="EM25">
            <v>148</v>
          </cell>
          <cell r="EN25">
            <v>339.23741007194246</v>
          </cell>
          <cell r="EO25">
            <v>668</v>
          </cell>
          <cell r="EP25">
            <v>1278.5914100719424</v>
          </cell>
          <cell r="ER25">
            <v>-74</v>
          </cell>
          <cell r="ES25">
            <v>191.25</v>
          </cell>
          <cell r="ET25">
            <v>20</v>
          </cell>
          <cell r="EU25">
            <v>726</v>
          </cell>
          <cell r="EV25">
            <v>863.25</v>
          </cell>
          <cell r="EX25">
            <v>52</v>
          </cell>
          <cell r="EY25">
            <v>74</v>
          </cell>
          <cell r="EZ25">
            <v>33</v>
          </cell>
          <cell r="FA25">
            <v>672</v>
          </cell>
          <cell r="FB25">
            <v>831</v>
          </cell>
          <cell r="FD25">
            <v>-59</v>
          </cell>
          <cell r="FE25">
            <v>73</v>
          </cell>
          <cell r="FF25">
            <v>-44</v>
          </cell>
          <cell r="FG25">
            <v>609</v>
          </cell>
          <cell r="FH25">
            <v>579</v>
          </cell>
          <cell r="FJ25">
            <v>-88</v>
          </cell>
          <cell r="FK25">
            <v>7</v>
          </cell>
          <cell r="FL25">
            <v>-35</v>
          </cell>
          <cell r="FM25">
            <v>445</v>
          </cell>
          <cell r="FN25">
            <v>329</v>
          </cell>
          <cell r="FP25">
            <v>23</v>
          </cell>
          <cell r="FQ25">
            <v>147</v>
          </cell>
          <cell r="FR25">
            <v>10</v>
          </cell>
          <cell r="FS25">
            <v>667</v>
          </cell>
          <cell r="FT25">
            <v>847</v>
          </cell>
          <cell r="FV25">
            <v>131</v>
          </cell>
          <cell r="FW25">
            <v>241</v>
          </cell>
          <cell r="FX25">
            <v>139</v>
          </cell>
          <cell r="FY25">
            <v>745</v>
          </cell>
          <cell r="FZ25">
            <v>1256</v>
          </cell>
          <cell r="GB25">
            <v>181</v>
          </cell>
          <cell r="GC25">
            <v>279</v>
          </cell>
          <cell r="GD25">
            <v>110.03264655178822</v>
          </cell>
          <cell r="GE25">
            <v>838.34033752127743</v>
          </cell>
          <cell r="GF25">
            <v>1408.3729840730655</v>
          </cell>
        </row>
        <row r="26">
          <cell r="A26" t="str">
            <v>Discontinued Operations Charges (FYins)</v>
          </cell>
          <cell r="N26">
            <v>0</v>
          </cell>
          <cell r="O26">
            <v>0</v>
          </cell>
          <cell r="P26">
            <v>0</v>
          </cell>
          <cell r="Q26">
            <v>0</v>
          </cell>
          <cell r="R26">
            <v>30</v>
          </cell>
          <cell r="S26">
            <v>1005</v>
          </cell>
          <cell r="T26">
            <v>797</v>
          </cell>
          <cell r="U26">
            <v>-180</v>
          </cell>
          <cell r="V26">
            <v>0</v>
          </cell>
          <cell r="W26">
            <v>0</v>
          </cell>
          <cell r="X26">
            <v>-33</v>
          </cell>
          <cell r="Y26">
            <v>-7</v>
          </cell>
          <cell r="Z26">
            <v>16</v>
          </cell>
          <cell r="AA26">
            <v>0</v>
          </cell>
          <cell r="AB26">
            <v>0</v>
          </cell>
          <cell r="AC26">
            <v>0</v>
          </cell>
          <cell r="AD26">
            <v>0</v>
          </cell>
          <cell r="AE26">
            <v>0</v>
          </cell>
          <cell r="AF26">
            <v>0</v>
          </cell>
          <cell r="AG26">
            <v>0</v>
          </cell>
          <cell r="AH26">
            <v>0</v>
          </cell>
          <cell r="AI26">
            <v>0</v>
          </cell>
          <cell r="AJ26">
            <v>0</v>
          </cell>
          <cell r="AK26">
            <v>0</v>
          </cell>
          <cell r="AL26">
            <v>0</v>
          </cell>
          <cell r="AN26" t="str">
            <v>Discontinued Operations Charges (FYins)</v>
          </cell>
          <cell r="DB26">
            <v>0</v>
          </cell>
          <cell r="DC26">
            <v>0</v>
          </cell>
          <cell r="DD26">
            <v>0</v>
          </cell>
          <cell r="DE26">
            <v>0</v>
          </cell>
          <cell r="DF26">
            <v>0</v>
          </cell>
          <cell r="DH26">
            <v>29</v>
          </cell>
          <cell r="DI26">
            <v>131</v>
          </cell>
          <cell r="DJ26">
            <v>777</v>
          </cell>
          <cell r="DK26">
            <v>68</v>
          </cell>
          <cell r="DL26">
            <v>1005</v>
          </cell>
          <cell r="DN26">
            <v>0</v>
          </cell>
          <cell r="DO26">
            <v>14</v>
          </cell>
          <cell r="DP26">
            <v>13</v>
          </cell>
          <cell r="DQ26">
            <v>770</v>
          </cell>
          <cell r="DR26">
            <v>797</v>
          </cell>
          <cell r="DT26">
            <v>0</v>
          </cell>
          <cell r="DU26">
            <v>-149</v>
          </cell>
          <cell r="DV26">
            <v>-31</v>
          </cell>
          <cell r="DW26">
            <v>0</v>
          </cell>
          <cell r="DX26">
            <v>-180</v>
          </cell>
          <cell r="DZ26">
            <v>0</v>
          </cell>
          <cell r="EA26">
            <v>0</v>
          </cell>
          <cell r="EB26">
            <v>0</v>
          </cell>
          <cell r="EC26">
            <v>0</v>
          </cell>
          <cell r="ED26">
            <v>0</v>
          </cell>
          <cell r="EF26">
            <v>0</v>
          </cell>
          <cell r="EG26">
            <v>0</v>
          </cell>
          <cell r="EH26">
            <v>0</v>
          </cell>
          <cell r="EI26">
            <v>0</v>
          </cell>
          <cell r="EJ26">
            <v>0</v>
          </cell>
          <cell r="EK26" t="str">
            <v>Discontinued Operations Charges (FYins)</v>
          </cell>
          <cell r="EL26">
            <v>0</v>
          </cell>
          <cell r="EM26">
            <v>0</v>
          </cell>
          <cell r="EN26">
            <v>-12</v>
          </cell>
          <cell r="EO26">
            <v>-21</v>
          </cell>
          <cell r="EP26">
            <v>-33</v>
          </cell>
          <cell r="ER26">
            <v>-22</v>
          </cell>
          <cell r="ES26">
            <v>-35</v>
          </cell>
          <cell r="ET26">
            <v>23</v>
          </cell>
          <cell r="EU26">
            <v>27</v>
          </cell>
          <cell r="EV26">
            <v>-7</v>
          </cell>
          <cell r="EX26">
            <v>16</v>
          </cell>
          <cell r="EY26">
            <v>0</v>
          </cell>
          <cell r="EZ26">
            <v>0</v>
          </cell>
          <cell r="FA26">
            <v>0</v>
          </cell>
          <cell r="FB26">
            <v>16</v>
          </cell>
          <cell r="FD26">
            <v>0</v>
          </cell>
          <cell r="FE26">
            <v>0</v>
          </cell>
          <cell r="FF26">
            <v>0</v>
          </cell>
          <cell r="FG26">
            <v>0</v>
          </cell>
          <cell r="FH26">
            <v>0</v>
          </cell>
          <cell r="FJ26">
            <v>0</v>
          </cell>
          <cell r="FK26">
            <v>0</v>
          </cell>
          <cell r="FL26">
            <v>0</v>
          </cell>
          <cell r="FM26">
            <v>0</v>
          </cell>
          <cell r="FN26">
            <v>0</v>
          </cell>
          <cell r="FP26">
            <v>0</v>
          </cell>
          <cell r="FQ26">
            <v>0</v>
          </cell>
          <cell r="FR26">
            <v>0</v>
          </cell>
          <cell r="FS26">
            <v>0</v>
          </cell>
          <cell r="FT26">
            <v>0</v>
          </cell>
          <cell r="FV26">
            <v>0</v>
          </cell>
          <cell r="FW26">
            <v>0</v>
          </cell>
          <cell r="FX26">
            <v>0</v>
          </cell>
          <cell r="FY26">
            <v>0</v>
          </cell>
          <cell r="FZ26">
            <v>0</v>
          </cell>
          <cell r="GB26">
            <v>0</v>
          </cell>
          <cell r="GC26">
            <v>0</v>
          </cell>
          <cell r="GD26">
            <v>0</v>
          </cell>
          <cell r="GE26">
            <v>0</v>
          </cell>
          <cell r="GF26">
            <v>0</v>
          </cell>
          <cell r="GS26" t="str">
            <v>mstag:incomeLossFromDiscontinuedOperationsNetOfTax</v>
          </cell>
          <cell r="GT26">
            <v>6</v>
          </cell>
          <cell r="GU26" t="str">
            <v>ISO4217:USD</v>
          </cell>
          <cell r="GV26" t="b">
            <v>1</v>
          </cell>
          <cell r="GW26" t="b">
            <v>0</v>
          </cell>
        </row>
        <row r="27">
          <cell r="A27" t="str">
            <v>Post-Tax Extraordinary Charges (FYins)</v>
          </cell>
          <cell r="C27">
            <v>0</v>
          </cell>
          <cell r="D27">
            <v>0</v>
          </cell>
          <cell r="E27">
            <v>2072.364</v>
          </cell>
          <cell r="F27">
            <v>0</v>
          </cell>
          <cell r="G27">
            <v>-19.698999999999998</v>
          </cell>
          <cell r="H27">
            <v>-17.786999999999999</v>
          </cell>
          <cell r="I27">
            <v>0</v>
          </cell>
          <cell r="K27">
            <v>0</v>
          </cell>
          <cell r="L27">
            <v>0</v>
          </cell>
          <cell r="N27">
            <v>0</v>
          </cell>
          <cell r="O27">
            <v>0</v>
          </cell>
          <cell r="P27">
            <v>39</v>
          </cell>
          <cell r="Q27">
            <v>23</v>
          </cell>
          <cell r="R27">
            <v>0</v>
          </cell>
          <cell r="S27">
            <v>0</v>
          </cell>
          <cell r="T27">
            <v>-47</v>
          </cell>
          <cell r="U27">
            <v>0</v>
          </cell>
          <cell r="V27">
            <v>-38</v>
          </cell>
          <cell r="W27">
            <v>0</v>
          </cell>
          <cell r="X27">
            <v>-95</v>
          </cell>
          <cell r="Y27">
            <v>-124.625</v>
          </cell>
          <cell r="Z27">
            <v>-78</v>
          </cell>
          <cell r="AA27">
            <v>5382</v>
          </cell>
          <cell r="AB27">
            <v>0</v>
          </cell>
          <cell r="AC27">
            <v>41.4</v>
          </cell>
          <cell r="AD27">
            <v>0</v>
          </cell>
          <cell r="AE27">
            <v>0</v>
          </cell>
          <cell r="AF27">
            <v>0</v>
          </cell>
          <cell r="AG27">
            <v>0</v>
          </cell>
          <cell r="AH27">
            <v>0</v>
          </cell>
          <cell r="AI27">
            <v>0</v>
          </cell>
          <cell r="AJ27">
            <v>0</v>
          </cell>
          <cell r="AK27">
            <v>0</v>
          </cell>
          <cell r="AL27">
            <v>0</v>
          </cell>
          <cell r="AN27" t="str">
            <v>Post-Tax Extraordinary Charges (FYins)</v>
          </cell>
          <cell r="AO27">
            <v>0</v>
          </cell>
          <cell r="AP27">
            <v>0</v>
          </cell>
          <cell r="AQ27">
            <v>0</v>
          </cell>
          <cell r="AR27">
            <v>0</v>
          </cell>
          <cell r="AS27">
            <v>0</v>
          </cell>
          <cell r="AU27">
            <v>0</v>
          </cell>
          <cell r="AV27">
            <v>0</v>
          </cell>
          <cell r="AW27">
            <v>0</v>
          </cell>
          <cell r="AX27">
            <v>2165.5149999999999</v>
          </cell>
          <cell r="AY27">
            <v>2165.5149999999999</v>
          </cell>
          <cell r="BA27">
            <v>0</v>
          </cell>
          <cell r="BB27">
            <v>-13.574</v>
          </cell>
          <cell r="BC27">
            <v>0</v>
          </cell>
          <cell r="BD27">
            <v>-6.125</v>
          </cell>
          <cell r="BE27">
            <v>-19.698999999999998</v>
          </cell>
          <cell r="BG27">
            <v>-3.5449999999999999</v>
          </cell>
          <cell r="BH27">
            <v>0</v>
          </cell>
          <cell r="BI27">
            <v>-14.242000000000001</v>
          </cell>
          <cell r="BJ27">
            <v>0</v>
          </cell>
          <cell r="BK27">
            <v>-17.786999999999999</v>
          </cell>
          <cell r="BM27">
            <v>0</v>
          </cell>
          <cell r="BN27">
            <v>0</v>
          </cell>
          <cell r="BO27">
            <v>0</v>
          </cell>
          <cell r="BP27">
            <v>0</v>
          </cell>
          <cell r="BQ27">
            <v>0</v>
          </cell>
          <cell r="BS27">
            <v>0</v>
          </cell>
          <cell r="BT27">
            <v>0</v>
          </cell>
          <cell r="BU27">
            <v>0</v>
          </cell>
          <cell r="BV27">
            <v>0</v>
          </cell>
          <cell r="BW27">
            <v>0</v>
          </cell>
          <cell r="BY27">
            <v>0</v>
          </cell>
          <cell r="BZ27">
            <v>0</v>
          </cell>
          <cell r="CA27">
            <v>0</v>
          </cell>
          <cell r="CB27">
            <v>0</v>
          </cell>
          <cell r="CC27">
            <v>0</v>
          </cell>
          <cell r="CD27">
            <v>0</v>
          </cell>
          <cell r="CE27">
            <v>0</v>
          </cell>
          <cell r="CF27">
            <v>0</v>
          </cell>
          <cell r="CG27">
            <v>0</v>
          </cell>
          <cell r="CH27">
            <v>0</v>
          </cell>
          <cell r="CJ27">
            <v>0</v>
          </cell>
          <cell r="CK27">
            <v>0</v>
          </cell>
          <cell r="CL27">
            <v>0</v>
          </cell>
          <cell r="CM27">
            <v>0</v>
          </cell>
          <cell r="CN27">
            <v>0</v>
          </cell>
          <cell r="CP27">
            <v>0</v>
          </cell>
          <cell r="CQ27">
            <v>-38.673000000000002</v>
          </cell>
          <cell r="CR27">
            <v>0</v>
          </cell>
          <cell r="CS27">
            <v>0</v>
          </cell>
          <cell r="CT27">
            <v>-38.673000000000002</v>
          </cell>
          <cell r="CV27">
            <v>0</v>
          </cell>
          <cell r="CW27">
            <v>0</v>
          </cell>
          <cell r="CX27">
            <v>23</v>
          </cell>
          <cell r="CY27">
            <v>0</v>
          </cell>
          <cell r="CZ27">
            <v>23</v>
          </cell>
          <cell r="DB27">
            <v>0</v>
          </cell>
          <cell r="DC27">
            <v>0</v>
          </cell>
          <cell r="DD27">
            <v>0</v>
          </cell>
          <cell r="DE27">
            <v>0</v>
          </cell>
          <cell r="DF27">
            <v>0</v>
          </cell>
          <cell r="DH27">
            <v>0</v>
          </cell>
          <cell r="DI27">
            <v>0</v>
          </cell>
          <cell r="DJ27">
            <v>0</v>
          </cell>
          <cell r="DK27">
            <v>0</v>
          </cell>
          <cell r="DL27">
            <v>0</v>
          </cell>
          <cell r="DN27">
            <v>0</v>
          </cell>
          <cell r="DO27">
            <v>-44</v>
          </cell>
          <cell r="DP27">
            <v>10</v>
          </cell>
          <cell r="DQ27">
            <v>-13</v>
          </cell>
          <cell r="DR27">
            <v>-47</v>
          </cell>
          <cell r="DT27">
            <v>0</v>
          </cell>
          <cell r="DU27">
            <v>0</v>
          </cell>
          <cell r="DV27">
            <v>0</v>
          </cell>
          <cell r="DW27">
            <v>0</v>
          </cell>
          <cell r="DX27">
            <v>0</v>
          </cell>
          <cell r="DZ27">
            <v>0</v>
          </cell>
          <cell r="EA27">
            <v>0</v>
          </cell>
          <cell r="EB27">
            <v>0</v>
          </cell>
          <cell r="EC27">
            <v>-38</v>
          </cell>
          <cell r="ED27">
            <v>-38</v>
          </cell>
          <cell r="EF27">
            <v>0</v>
          </cell>
          <cell r="EG27">
            <v>0</v>
          </cell>
          <cell r="EH27">
            <v>0</v>
          </cell>
          <cell r="EI27">
            <v>0</v>
          </cell>
          <cell r="EJ27">
            <v>0</v>
          </cell>
          <cell r="EK27" t="str">
            <v>Post-Tax Extraordinary Charges (FYins)</v>
          </cell>
          <cell r="EL27">
            <v>0</v>
          </cell>
          <cell r="EM27">
            <v>0</v>
          </cell>
          <cell r="EN27">
            <v>-85</v>
          </cell>
          <cell r="EO27">
            <v>-10</v>
          </cell>
          <cell r="EP27">
            <v>-95</v>
          </cell>
          <cell r="ER27">
            <v>0</v>
          </cell>
          <cell r="ES27">
            <v>-90.625</v>
          </cell>
          <cell r="ET27">
            <v>0</v>
          </cell>
          <cell r="EU27">
            <v>-34</v>
          </cell>
          <cell r="EV27">
            <v>-124.625</v>
          </cell>
          <cell r="EX27">
            <v>0</v>
          </cell>
          <cell r="EY27">
            <v>0</v>
          </cell>
          <cell r="EZ27">
            <v>0</v>
          </cell>
          <cell r="FA27">
            <v>-78</v>
          </cell>
          <cell r="FB27">
            <v>-78</v>
          </cell>
          <cell r="FD27">
            <v>0</v>
          </cell>
          <cell r="FE27">
            <v>0</v>
          </cell>
          <cell r="FF27">
            <v>0</v>
          </cell>
          <cell r="FG27">
            <v>5382</v>
          </cell>
          <cell r="FH27">
            <v>5382</v>
          </cell>
          <cell r="FJ27">
            <v>0</v>
          </cell>
          <cell r="FK27">
            <v>0</v>
          </cell>
          <cell r="FL27">
            <v>0</v>
          </cell>
          <cell r="FM27">
            <v>0</v>
          </cell>
          <cell r="FN27">
            <v>0</v>
          </cell>
          <cell r="FP27">
            <v>17</v>
          </cell>
          <cell r="FQ27">
            <v>0</v>
          </cell>
          <cell r="FR27">
            <v>24.4</v>
          </cell>
          <cell r="FS27">
            <v>0</v>
          </cell>
          <cell r="FT27">
            <v>41.4</v>
          </cell>
          <cell r="FV27">
            <v>0</v>
          </cell>
          <cell r="FW27">
            <v>0</v>
          </cell>
          <cell r="FX27">
            <v>0</v>
          </cell>
          <cell r="FY27">
            <v>0</v>
          </cell>
          <cell r="FZ27">
            <v>0</v>
          </cell>
          <cell r="GB27">
            <v>0</v>
          </cell>
          <cell r="GC27">
            <v>0</v>
          </cell>
          <cell r="GD27">
            <v>0</v>
          </cell>
          <cell r="GE27">
            <v>0</v>
          </cell>
          <cell r="GF27">
            <v>0</v>
          </cell>
        </row>
        <row r="28">
          <cell r="A28" t="str">
            <v>Net Income, Reported</v>
          </cell>
          <cell r="C28">
            <v>-1773.9269999999999</v>
          </cell>
          <cell r="D28">
            <v>-271.44599999999934</v>
          </cell>
          <cell r="E28">
            <v>836.39200000000028</v>
          </cell>
          <cell r="F28">
            <v>25.182999999999812</v>
          </cell>
          <cell r="G28">
            <v>113.00900000000063</v>
          </cell>
          <cell r="H28">
            <v>193.24799999999911</v>
          </cell>
          <cell r="I28">
            <v>246.85299999999896</v>
          </cell>
          <cell r="K28">
            <v>36.799949999999399</v>
          </cell>
          <cell r="L28">
            <v>148.99099999999899</v>
          </cell>
          <cell r="N28">
            <v>75</v>
          </cell>
          <cell r="O28">
            <v>266</v>
          </cell>
          <cell r="P28">
            <v>536</v>
          </cell>
          <cell r="Q28">
            <v>662</v>
          </cell>
          <cell r="R28">
            <v>795</v>
          </cell>
          <cell r="S28">
            <v>-184</v>
          </cell>
          <cell r="T28">
            <v>-276</v>
          </cell>
          <cell r="U28">
            <v>818</v>
          </cell>
          <cell r="V28">
            <v>693</v>
          </cell>
          <cell r="W28">
            <v>689</v>
          </cell>
          <cell r="X28">
            <v>1406.5914100719424</v>
          </cell>
          <cell r="Y28">
            <v>994.875</v>
          </cell>
          <cell r="Z28">
            <v>893</v>
          </cell>
          <cell r="AA28">
            <v>-4803</v>
          </cell>
          <cell r="AB28">
            <v>329</v>
          </cell>
          <cell r="AC28">
            <v>805.6</v>
          </cell>
          <cell r="AD28">
            <v>1256</v>
          </cell>
          <cell r="AE28">
            <v>1408.3729840730655</v>
          </cell>
          <cell r="AF28">
            <v>1474.1651556723784</v>
          </cell>
          <cell r="AG28">
            <v>1618.7764295278068</v>
          </cell>
          <cell r="AH28">
            <v>1641.1420018455815</v>
          </cell>
          <cell r="AI28">
            <v>1683.4875028271354</v>
          </cell>
          <cell r="AJ28">
            <v>1748.1022306573102</v>
          </cell>
          <cell r="AK28">
            <v>1801.4292273300186</v>
          </cell>
          <cell r="AL28">
            <v>1844.6042441173129</v>
          </cell>
          <cell r="AN28" t="str">
            <v>Net Income, Reported</v>
          </cell>
          <cell r="AO28">
            <v>-99.439999999999898</v>
          </cell>
          <cell r="AP28">
            <v>-126.372</v>
          </cell>
          <cell r="AQ28">
            <v>-86.802000000000035</v>
          </cell>
          <cell r="AR28">
            <v>41.16799999999995</v>
          </cell>
          <cell r="AS28">
            <v>-271.44599999999997</v>
          </cell>
          <cell r="AU28">
            <v>-64.160999999999916</v>
          </cell>
          <cell r="AV28">
            <v>-143.82800000000009</v>
          </cell>
          <cell r="AW28">
            <v>-60.994999999999962</v>
          </cell>
          <cell r="AX28">
            <v>-3142.5589999999993</v>
          </cell>
          <cell r="AY28">
            <v>-3411.5429999999992</v>
          </cell>
          <cell r="BA28">
            <v>11.812000000000163</v>
          </cell>
          <cell r="BB28">
            <v>-2.2150000000000407</v>
          </cell>
          <cell r="BC28">
            <v>31.581999999999912</v>
          </cell>
          <cell r="BD28">
            <v>111.22800000000005</v>
          </cell>
          <cell r="BE28">
            <v>152.4070000000001</v>
          </cell>
          <cell r="BG28">
            <v>25.245000000000061</v>
          </cell>
          <cell r="BH28">
            <v>8.8529999999999731</v>
          </cell>
          <cell r="BI28">
            <v>48.765999999999963</v>
          </cell>
          <cell r="BJ28">
            <v>145.9579999999998</v>
          </cell>
          <cell r="BK28">
            <v>228.82199999999918</v>
          </cell>
          <cell r="BM28">
            <v>32.222000000000179</v>
          </cell>
          <cell r="BN28">
            <v>3.7719999999998395</v>
          </cell>
          <cell r="BO28">
            <v>44.343000000000011</v>
          </cell>
          <cell r="BP28">
            <v>166.51600000000005</v>
          </cell>
          <cell r="BQ28">
            <v>246.85299999999896</v>
          </cell>
          <cell r="BS28">
            <v>-37.04640000000002</v>
          </cell>
          <cell r="BT28">
            <v>-58.228649999999988</v>
          </cell>
          <cell r="BU28">
            <v>-51.259399999999978</v>
          </cell>
          <cell r="BV28">
            <v>183.33440000000004</v>
          </cell>
          <cell r="BW28">
            <v>36.799949999999342</v>
          </cell>
          <cell r="BY28">
            <v>-56.999000000000279</v>
          </cell>
          <cell r="BZ28">
            <v>-67.174999999999898</v>
          </cell>
          <cell r="CA28">
            <v>21.895999999999734</v>
          </cell>
          <cell r="CB28">
            <v>-68.198000000000221</v>
          </cell>
          <cell r="CC28">
            <v>-46.395000000000152</v>
          </cell>
          <cell r="CD28">
            <v>251.26899999999983</v>
          </cell>
          <cell r="CE28">
            <v>244.64499999999947</v>
          </cell>
          <cell r="CF28">
            <v>148.99099999999893</v>
          </cell>
          <cell r="CG28">
            <v>142.36699999999902</v>
          </cell>
          <cell r="CH28">
            <v>74.168999999998789</v>
          </cell>
          <cell r="CJ28">
            <v>-37.923000000000144</v>
          </cell>
          <cell r="CK28">
            <v>-27.192999999999955</v>
          </cell>
          <cell r="CL28">
            <v>41.801000000000421</v>
          </cell>
          <cell r="CM28">
            <v>289.20199999999966</v>
          </cell>
          <cell r="CN28">
            <v>265.88699999999972</v>
          </cell>
          <cell r="CP28">
            <v>24.059000000000179</v>
          </cell>
          <cell r="CQ28">
            <v>105.04300000000035</v>
          </cell>
          <cell r="CR28">
            <v>105.11400000000003</v>
          </cell>
          <cell r="CS28">
            <v>379.08000000000004</v>
          </cell>
          <cell r="CT28">
            <v>613.29600000000062</v>
          </cell>
          <cell r="CV28">
            <v>60.234000000000002</v>
          </cell>
          <cell r="CW28">
            <v>107</v>
          </cell>
          <cell r="CX28">
            <v>87</v>
          </cell>
          <cell r="CY28">
            <v>408</v>
          </cell>
          <cell r="CZ28">
            <v>662.23400000000004</v>
          </cell>
          <cell r="DB28">
            <v>87</v>
          </cell>
          <cell r="DC28">
            <v>137</v>
          </cell>
          <cell r="DD28">
            <v>123</v>
          </cell>
          <cell r="DE28">
            <v>448</v>
          </cell>
          <cell r="DF28">
            <v>795</v>
          </cell>
          <cell r="DH28">
            <v>89</v>
          </cell>
          <cell r="DI28">
            <v>63</v>
          </cell>
          <cell r="DJ28">
            <v>-668</v>
          </cell>
          <cell r="DK28">
            <v>332</v>
          </cell>
          <cell r="DL28">
            <v>-184</v>
          </cell>
          <cell r="DN28">
            <v>58</v>
          </cell>
          <cell r="DO28">
            <v>110</v>
          </cell>
          <cell r="DP28">
            <v>3</v>
          </cell>
          <cell r="DQ28">
            <v>-447</v>
          </cell>
          <cell r="DR28">
            <v>-276</v>
          </cell>
          <cell r="DT28">
            <v>89</v>
          </cell>
          <cell r="DU28">
            <v>282</v>
          </cell>
          <cell r="DV28">
            <v>106</v>
          </cell>
          <cell r="DW28">
            <v>341</v>
          </cell>
          <cell r="DX28">
            <v>818</v>
          </cell>
          <cell r="DZ28">
            <v>46</v>
          </cell>
          <cell r="EA28">
            <v>120</v>
          </cell>
          <cell r="EB28">
            <v>67</v>
          </cell>
          <cell r="EC28">
            <v>460</v>
          </cell>
          <cell r="ED28">
            <v>693</v>
          </cell>
          <cell r="EF28">
            <v>97</v>
          </cell>
          <cell r="EG28">
            <v>78</v>
          </cell>
          <cell r="EH28">
            <v>74</v>
          </cell>
          <cell r="EI28">
            <v>440</v>
          </cell>
          <cell r="EJ28">
            <v>689</v>
          </cell>
          <cell r="EK28" t="str">
            <v>Net Income, Reported</v>
          </cell>
          <cell r="EL28">
            <v>123.354</v>
          </cell>
          <cell r="EM28">
            <v>148</v>
          </cell>
          <cell r="EN28">
            <v>436.23741007194246</v>
          </cell>
          <cell r="EO28">
            <v>699</v>
          </cell>
          <cell r="EP28">
            <v>1406.5914100719424</v>
          </cell>
          <cell r="ER28">
            <v>-52</v>
          </cell>
          <cell r="ES28">
            <v>316.875</v>
          </cell>
          <cell r="ET28">
            <v>-3</v>
          </cell>
          <cell r="EU28">
            <v>733</v>
          </cell>
          <cell r="EV28">
            <v>994.875</v>
          </cell>
          <cell r="EX28">
            <v>36</v>
          </cell>
          <cell r="EY28">
            <v>74</v>
          </cell>
          <cell r="EZ28">
            <v>33</v>
          </cell>
          <cell r="FA28">
            <v>750</v>
          </cell>
          <cell r="FB28">
            <v>893</v>
          </cell>
          <cell r="FD28">
            <v>-59</v>
          </cell>
          <cell r="FE28">
            <v>73</v>
          </cell>
          <cell r="FF28">
            <v>-44</v>
          </cell>
          <cell r="FG28">
            <v>-4773</v>
          </cell>
          <cell r="FH28">
            <v>-4803</v>
          </cell>
          <cell r="FJ28">
            <v>-88</v>
          </cell>
          <cell r="FK28">
            <v>7</v>
          </cell>
          <cell r="FL28">
            <v>-35</v>
          </cell>
          <cell r="FM28">
            <v>445</v>
          </cell>
          <cell r="FN28">
            <v>329</v>
          </cell>
          <cell r="FP28">
            <v>23</v>
          </cell>
          <cell r="FQ28">
            <v>147</v>
          </cell>
          <cell r="FR28">
            <v>10</v>
          </cell>
          <cell r="FS28">
            <v>667</v>
          </cell>
          <cell r="FT28">
            <v>847</v>
          </cell>
          <cell r="FV28">
            <v>131</v>
          </cell>
          <cell r="FW28">
            <v>241</v>
          </cell>
          <cell r="FX28">
            <v>139</v>
          </cell>
          <cell r="FY28">
            <v>745</v>
          </cell>
          <cell r="FZ28">
            <v>1256</v>
          </cell>
          <cell r="GB28">
            <v>181</v>
          </cell>
          <cell r="GC28">
            <v>279</v>
          </cell>
          <cell r="GD28">
            <v>110.03264655178822</v>
          </cell>
          <cell r="GE28">
            <v>838.34033752127743</v>
          </cell>
          <cell r="GF28">
            <v>1408.3729840730655</v>
          </cell>
          <cell r="GS28" t="str">
            <v>mstag:netIncomeAsReported</v>
          </cell>
          <cell r="GT28">
            <v>6</v>
          </cell>
          <cell r="GU28" t="str">
            <v>ISO4217:USD</v>
          </cell>
          <cell r="GV28" t="b">
            <v>0</v>
          </cell>
        </row>
        <row r="30">
          <cell r="A30" t="str">
            <v>EPS, Before All Extraordinary Items</v>
          </cell>
          <cell r="C30" t="str">
            <v xml:space="preserve">--  </v>
          </cell>
          <cell r="D30" t="str">
            <v xml:space="preserve">--  </v>
          </cell>
          <cell r="E30" t="str">
            <v xml:space="preserve">--  </v>
          </cell>
          <cell r="F30">
            <v>0.22616075437808544</v>
          </cell>
          <cell r="G30">
            <v>1.0148989672204816</v>
          </cell>
          <cell r="H30">
            <v>1.5301560656568385</v>
          </cell>
          <cell r="I30">
            <v>1.9499735372413873</v>
          </cell>
          <cell r="K30">
            <v>0.20197557628978816</v>
          </cell>
          <cell r="L30">
            <v>0.81437207573570658</v>
          </cell>
          <cell r="N30">
            <v>0.19396284189183596</v>
          </cell>
          <cell r="O30">
            <v>0.59802158273381312</v>
          </cell>
          <cell r="P30">
            <v>1.2657726276118944</v>
          </cell>
          <cell r="Q30">
            <v>1.5161575918548031</v>
          </cell>
          <cell r="R30">
            <v>1.8784153005464481</v>
          </cell>
          <cell r="S30">
            <v>2.100160980880764</v>
          </cell>
          <cell r="T30">
            <v>1.6014336365037769</v>
          </cell>
          <cell r="U30">
            <v>1.7093897259149216</v>
          </cell>
          <cell r="V30">
            <v>1.8506172802885585</v>
          </cell>
          <cell r="W30">
            <v>2.2069208613414109</v>
          </cell>
          <cell r="X30">
            <v>2.5058780966631615</v>
          </cell>
          <cell r="Y30">
            <v>2.0770614304446693</v>
          </cell>
          <cell r="Z30">
            <v>2.129219701162147</v>
          </cell>
          <cell r="AA30">
            <v>1.2932312985703269</v>
          </cell>
          <cell r="AB30">
            <v>1.3637977980348048</v>
          </cell>
          <cell r="AC30">
            <v>2.1076672104404568</v>
          </cell>
          <cell r="AD30">
            <v>2.879879182156134</v>
          </cell>
          <cell r="AE30">
            <v>3.4254564468311228</v>
          </cell>
          <cell r="AF30">
            <v>3.9453943917559142</v>
          </cell>
          <cell r="AG30">
            <v>4.7983581094155907</v>
          </cell>
          <cell r="AH30">
            <v>5.2958753573867723</v>
          </cell>
          <cell r="AI30">
            <v>5.6959829769682733</v>
          </cell>
          <cell r="AJ30">
            <v>6.1538937066977288</v>
          </cell>
          <cell r="AK30">
            <v>6.8001516881883797</v>
          </cell>
          <cell r="AL30">
            <v>7.5529335978779351</v>
          </cell>
          <cell r="AN30" t="str">
            <v>EPS, Before All Extraordinary Items</v>
          </cell>
          <cell r="AO30">
            <v>-1.2429999999999988</v>
          </cell>
          <cell r="AP30">
            <v>-1.57965</v>
          </cell>
          <cell r="AQ30">
            <v>-1.0850250000000004</v>
          </cell>
          <cell r="AR30">
            <v>0.51459999999999939</v>
          </cell>
          <cell r="AS30">
            <v>-3.3930749999999996</v>
          </cell>
          <cell r="AU30">
            <v>-0.80231336751281623</v>
          </cell>
          <cell r="AV30">
            <v>-1.7985244466675014</v>
          </cell>
          <cell r="AW30">
            <v>-0.7627235213204947</v>
          </cell>
          <cell r="AX30">
            <v>-39.296723771414271</v>
          </cell>
          <cell r="AY30">
            <v>-42.660285106915083</v>
          </cell>
          <cell r="BA30">
            <v>0.14770538952107243</v>
          </cell>
          <cell r="BB30">
            <v>-1.9535728775290969E-2</v>
          </cell>
          <cell r="BC30">
            <v>0.25065079365079296</v>
          </cell>
          <cell r="BD30">
            <v>0.88256577903323108</v>
          </cell>
          <cell r="BE30">
            <v>1.3687202514593633</v>
          </cell>
          <cell r="BG30">
            <v>0.20002535476867783</v>
          </cell>
          <cell r="BH30">
            <v>7.0090017338431732E-2</v>
          </cell>
          <cell r="BI30">
            <v>0.38607880548804113</v>
          </cell>
          <cell r="BJ30">
            <v>1.1552976934888934</v>
          </cell>
          <cell r="BK30">
            <v>1.8118343851203089</v>
          </cell>
          <cell r="BM30">
            <v>0.25479187753036581</v>
          </cell>
          <cell r="BN30">
            <v>2.9799807233483223E-2</v>
          </cell>
          <cell r="BO30">
            <v>0.3502606635071091</v>
          </cell>
          <cell r="BP30">
            <v>1.3138393561622224</v>
          </cell>
          <cell r="BQ30">
            <v>1.9499735372413873</v>
          </cell>
          <cell r="BS30">
            <v>-0.20332821075740956</v>
          </cell>
          <cell r="BT30">
            <v>-0.31958644346871568</v>
          </cell>
          <cell r="BU30">
            <v>-0.28133589462129516</v>
          </cell>
          <cell r="BV30">
            <v>1.0062261251372122</v>
          </cell>
          <cell r="BW30">
            <v>0.20197557628978785</v>
          </cell>
          <cell r="BY30">
            <v>-0.31201213036862024</v>
          </cell>
          <cell r="BZ30">
            <v>-0.36741781983263083</v>
          </cell>
          <cell r="CA30">
            <v>0.11965027322404226</v>
          </cell>
          <cell r="CB30">
            <v>-0.34615287005689976</v>
          </cell>
          <cell r="CC30">
            <v>-0.23548729297471871</v>
          </cell>
          <cell r="CD30">
            <v>1.3712712428644704</v>
          </cell>
          <cell r="CE30">
            <v>1.207342410588703</v>
          </cell>
          <cell r="CF30">
            <v>0.81437207573570625</v>
          </cell>
          <cell r="CG30">
            <v>0.7435356421009699</v>
          </cell>
          <cell r="CH30">
            <v>0.38729941567494397</v>
          </cell>
          <cell r="CJ30">
            <v>-0.18345991969425834</v>
          </cell>
          <cell r="CK30">
            <v>-0.13094773743998667</v>
          </cell>
          <cell r="CL30">
            <v>0.19647851243942646</v>
          </cell>
          <cell r="CM30">
            <v>1.295707885304658</v>
          </cell>
          <cell r="CN30">
            <v>1.1955350719424447</v>
          </cell>
          <cell r="CP30">
            <v>0.11263576779026301</v>
          </cell>
          <cell r="CQ30">
            <v>0.29367256637168293</v>
          </cell>
          <cell r="CR30">
            <v>0.46448961555457374</v>
          </cell>
          <cell r="CS30">
            <v>1.6504702194357368</v>
          </cell>
          <cell r="CT30">
            <v>2.5298854420738444</v>
          </cell>
          <cell r="CV30">
            <v>0.26007772020725389</v>
          </cell>
          <cell r="CW30">
            <v>0.4604130808950086</v>
          </cell>
          <cell r="CX30">
            <v>0.48076923076923067</v>
          </cell>
          <cell r="CY30">
            <v>1.8793182865039153</v>
          </cell>
          <cell r="CZ30">
            <v>3.0333510402833115</v>
          </cell>
          <cell r="DB30">
            <v>0.20101663585951943</v>
          </cell>
          <cell r="DC30">
            <v>0.30869761153672826</v>
          </cell>
          <cell r="DD30">
            <v>0.27967257844474763</v>
          </cell>
          <cell r="DE30">
            <v>1.0186448385629832</v>
          </cell>
          <cell r="DF30">
            <v>1.8103153819879312</v>
          </cell>
          <cell r="DH30">
            <v>0.27276930189551551</v>
          </cell>
          <cell r="DI30">
            <v>0.46522781774580335</v>
          </cell>
          <cell r="DJ30">
            <v>0.27100944803580307</v>
          </cell>
          <cell r="DK30">
            <v>1.1121316908003744</v>
          </cell>
          <cell r="DL30">
            <v>2.100160980880764</v>
          </cell>
          <cell r="DN30">
            <v>0.21597256246937779</v>
          </cell>
          <cell r="DO30">
            <v>0.26126326727529131</v>
          </cell>
          <cell r="DP30">
            <v>0.11037133026498057</v>
          </cell>
          <cell r="DQ30">
            <v>1.0059098707159446</v>
          </cell>
          <cell r="DR30">
            <v>1.6014336365037769</v>
          </cell>
          <cell r="DT30">
            <v>0.21813725490196079</v>
          </cell>
          <cell r="DU30">
            <v>0.32678132678132676</v>
          </cell>
          <cell r="DV30">
            <v>0.19142419601837671</v>
          </cell>
          <cell r="DW30">
            <v>0.99768531377886427</v>
          </cell>
          <cell r="DX30">
            <v>1.7093897259149216</v>
          </cell>
          <cell r="DZ30">
            <v>0.13414803499513958</v>
          </cell>
          <cell r="EA30">
            <v>0.3366189923978869</v>
          </cell>
          <cell r="EB30">
            <v>0.22710881606277405</v>
          </cell>
          <cell r="EC30">
            <v>1.1671164307843058</v>
          </cell>
          <cell r="ED30">
            <v>1.8506172802885585</v>
          </cell>
          <cell r="EF30">
            <v>0.29516518323340046</v>
          </cell>
          <cell r="EG30">
            <v>0.36734693877551022</v>
          </cell>
          <cell r="EH30">
            <v>0.27580275229357798</v>
          </cell>
          <cell r="EI30">
            <v>1.2993690266609828</v>
          </cell>
          <cell r="EJ30">
            <v>2.2069208613414109</v>
          </cell>
          <cell r="EK30" t="str">
            <v>EPS, Before All Extraordinary Items</v>
          </cell>
          <cell r="EL30">
            <v>0.35692708333333328</v>
          </cell>
          <cell r="EM30">
            <v>0.42117245304496292</v>
          </cell>
          <cell r="EN30">
            <v>0.1606847608789124</v>
          </cell>
          <cell r="EO30">
            <v>1.3341216109951204</v>
          </cell>
          <cell r="EP30">
            <v>2.5058780966631615</v>
          </cell>
          <cell r="ER30">
            <v>1.2362553915314987E-2</v>
          </cell>
          <cell r="ES30">
            <v>0.32635908440629469</v>
          </cell>
          <cell r="ET30">
            <v>0.20415978662787176</v>
          </cell>
          <cell r="EU30">
            <v>1.5983670475799727</v>
          </cell>
          <cell r="EV30">
            <v>2.0770614304446693</v>
          </cell>
          <cell r="EX30">
            <v>0.16</v>
          </cell>
          <cell r="EY30">
            <v>0.34</v>
          </cell>
          <cell r="EZ30">
            <v>0.08</v>
          </cell>
          <cell r="FA30">
            <v>1.67</v>
          </cell>
          <cell r="FB30">
            <v>2.129219701162147</v>
          </cell>
          <cell r="FD30">
            <v>0.01</v>
          </cell>
          <cell r="FE30">
            <v>0.28999999999999998</v>
          </cell>
          <cell r="FF30">
            <v>-0.08</v>
          </cell>
          <cell r="FG30">
            <v>1.06</v>
          </cell>
          <cell r="FH30">
            <v>1.2932312985703269</v>
          </cell>
          <cell r="FJ30">
            <v>-0.16</v>
          </cell>
          <cell r="FK30">
            <v>0.2</v>
          </cell>
          <cell r="FL30">
            <v>-0.03</v>
          </cell>
          <cell r="FM30">
            <v>1.35</v>
          </cell>
          <cell r="FN30">
            <v>1.3637977980348048</v>
          </cell>
          <cell r="FP30">
            <v>9.3852651337400284E-2</v>
          </cell>
          <cell r="FQ30">
            <v>0.35</v>
          </cell>
          <cell r="FR30">
            <v>8.0449017773620193E-2</v>
          </cell>
          <cell r="FS30">
            <v>1.59</v>
          </cell>
          <cell r="FT30">
            <v>2.1076672104404568</v>
          </cell>
          <cell r="FV30">
            <v>0.30465116279069765</v>
          </cell>
          <cell r="FW30">
            <v>0.55453290381960418</v>
          </cell>
          <cell r="FX30">
            <v>0.32190829087540529</v>
          </cell>
          <cell r="FY30">
            <v>1.7048911771589044</v>
          </cell>
          <cell r="FZ30">
            <v>2.879879182156134</v>
          </cell>
          <cell r="GB30">
            <v>0.42718904885532216</v>
          </cell>
          <cell r="GC30">
            <v>0.66890433948693373</v>
          </cell>
          <cell r="GD30">
            <v>0.27084783703217807</v>
          </cell>
          <cell r="GE30">
            <v>2.1088022722950708</v>
          </cell>
          <cell r="GF30">
            <v>3.4254564468311224</v>
          </cell>
          <cell r="GS30" t="str">
            <v>mstag:adjEpsForConsensus</v>
          </cell>
          <cell r="GT30">
            <v>0</v>
          </cell>
          <cell r="GU30" t="str">
            <v>ISO4217:USD</v>
          </cell>
          <cell r="GV30" t="b">
            <v>0</v>
          </cell>
          <cell r="GW30" t="b">
            <v>0</v>
          </cell>
        </row>
        <row r="31">
          <cell r="A31" t="str">
            <v>EPS, Extraordinary/Discontinued</v>
          </cell>
          <cell r="K31">
            <v>-0.57276646542261256</v>
          </cell>
          <cell r="L31">
            <v>-0.9233288512833967</v>
          </cell>
          <cell r="N31">
            <v>0</v>
          </cell>
          <cell r="O31">
            <v>0</v>
          </cell>
          <cell r="P31">
            <v>-8.5852404307589364E-2</v>
          </cell>
          <cell r="Q31">
            <v>-5.090748118636565E-2</v>
          </cell>
          <cell r="R31">
            <v>-6.8306010928961755E-2</v>
          </cell>
          <cell r="S31">
            <v>-2.5448739718173199</v>
          </cell>
          <cell r="T31">
            <v>-2.2928164020348389</v>
          </cell>
          <cell r="U31">
            <v>0.34873079238926785</v>
          </cell>
          <cell r="V31">
            <v>6.29590299118425E-3</v>
          </cell>
          <cell r="W31">
            <v>-0.27369976145364439</v>
          </cell>
          <cell r="X31">
            <v>0.7306414847264896</v>
          </cell>
          <cell r="Y31">
            <v>-0.26060168971069103</v>
          </cell>
          <cell r="Z31">
            <v>-0.1348828629404164</v>
          </cell>
          <cell r="AA31">
            <v>-12.690277036246071</v>
          </cell>
          <cell r="AB31">
            <v>-0.58482301408784143</v>
          </cell>
          <cell r="AC31">
            <v>-0.13766721044045682</v>
          </cell>
          <cell r="AD31">
            <v>4.0120817843865897E-2</v>
          </cell>
          <cell r="AE31">
            <v>4.5435531688777786E-3</v>
          </cell>
          <cell r="AF31">
            <v>0</v>
          </cell>
          <cell r="AG31">
            <v>0</v>
          </cell>
          <cell r="AH31">
            <v>0</v>
          </cell>
          <cell r="AI31">
            <v>0</v>
          </cell>
          <cell r="AJ31">
            <v>0</v>
          </cell>
          <cell r="AK31">
            <v>0</v>
          </cell>
          <cell r="AL31">
            <v>0</v>
          </cell>
          <cell r="AN31" t="str">
            <v>EPS, Extraordinary/Discontinued</v>
          </cell>
          <cell r="AO31">
            <v>0.17066427012363927</v>
          </cell>
          <cell r="AP31">
            <v>7.9165927046291967E-2</v>
          </cell>
          <cell r="AQ31">
            <v>0.2616065710286915</v>
          </cell>
          <cell r="AR31">
            <v>-0.36646743429234646</v>
          </cell>
          <cell r="AS31">
            <v>0.14496933390627625</v>
          </cell>
          <cell r="AU31">
            <v>0.10056992116474267</v>
          </cell>
          <cell r="AV31">
            <v>0.92759338606906783</v>
          </cell>
          <cell r="AW31">
            <v>0.22557897123962739</v>
          </cell>
          <cell r="AX31">
            <v>12.649594309088322</v>
          </cell>
          <cell r="AY31">
            <v>13.90333658756176</v>
          </cell>
          <cell r="BA31">
            <v>0</v>
          </cell>
          <cell r="BB31">
            <v>-0.12</v>
          </cell>
          <cell r="BC31">
            <v>0</v>
          </cell>
          <cell r="BD31">
            <v>-0.05</v>
          </cell>
          <cell r="BE31">
            <v>-0.16999999999999998</v>
          </cell>
          <cell r="BG31">
            <v>-2.8088329675379727E-2</v>
          </cell>
          <cell r="BH31">
            <v>0</v>
          </cell>
          <cell r="BI31">
            <v>-0.11275344190133876</v>
          </cell>
          <cell r="BJ31">
            <v>0.11</v>
          </cell>
          <cell r="BK31">
            <v>-3.0841771576718482E-2</v>
          </cell>
          <cell r="BM31">
            <v>0</v>
          </cell>
          <cell r="BN31">
            <v>-0.12758141225173411</v>
          </cell>
          <cell r="BO31">
            <v>0</v>
          </cell>
          <cell r="BP31">
            <v>0</v>
          </cell>
          <cell r="BQ31">
            <v>-0.12758141225173411</v>
          </cell>
          <cell r="BS31">
            <v>0</v>
          </cell>
          <cell r="BT31">
            <v>-0.11375987925356752</v>
          </cell>
          <cell r="BU31">
            <v>-0.26783754116355651</v>
          </cell>
          <cell r="BV31">
            <v>-0.19116904500548851</v>
          </cell>
          <cell r="BW31">
            <v>-0.57276646542261256</v>
          </cell>
          <cell r="BY31">
            <v>-0.27822347029263966</v>
          </cell>
          <cell r="BZ31">
            <v>-0.38236853908001966</v>
          </cell>
          <cell r="CA31">
            <v>-0.12076142131979695</v>
          </cell>
          <cell r="CB31">
            <v>0</v>
          </cell>
          <cell r="CC31">
            <v>-0.12117634517766497</v>
          </cell>
          <cell r="CD31">
            <v>-0.13316015237014156</v>
          </cell>
          <cell r="CE31">
            <v>-0.24821034293864214</v>
          </cell>
          <cell r="CF31">
            <v>-0.9233288512833967</v>
          </cell>
          <cell r="CG31">
            <v>-1.0174801146897994</v>
          </cell>
          <cell r="CH31">
            <v>-1.0173207208242168</v>
          </cell>
          <cell r="CJ31">
            <v>-0.22177446664409073</v>
          </cell>
          <cell r="CK31">
            <v>-0.28818222312111447</v>
          </cell>
          <cell r="CL31">
            <v>-0.12598728090584768</v>
          </cell>
          <cell r="CM31">
            <v>-0.23777692652329746</v>
          </cell>
          <cell r="CN31">
            <v>-0.83960888039568349</v>
          </cell>
          <cell r="CP31">
            <v>0</v>
          </cell>
          <cell r="CQ31">
            <v>-0.17111946902654868</v>
          </cell>
          <cell r="CR31">
            <v>0</v>
          </cell>
          <cell r="CS31">
            <v>0</v>
          </cell>
          <cell r="CT31">
            <v>-0.17026512983525147</v>
          </cell>
          <cell r="CV31">
            <v>0</v>
          </cell>
          <cell r="CW31">
            <v>0</v>
          </cell>
          <cell r="CX31">
            <v>-0.10052447552447552</v>
          </cell>
          <cell r="CY31">
            <v>0</v>
          </cell>
          <cell r="CZ31">
            <v>-0.1018149623727313</v>
          </cell>
          <cell r="DB31">
            <v>0</v>
          </cell>
          <cell r="DC31">
            <v>0</v>
          </cell>
          <cell r="DD31">
            <v>0</v>
          </cell>
          <cell r="DE31">
            <v>0</v>
          </cell>
          <cell r="DF31">
            <v>0</v>
          </cell>
          <cell r="DH31">
            <v>-6.7036523347202961E-2</v>
          </cell>
          <cell r="DI31">
            <v>-0.31414868105515587</v>
          </cell>
          <cell r="DJ31">
            <v>-1.9318746892093486</v>
          </cell>
          <cell r="DK31">
            <v>-0.28871899238767618</v>
          </cell>
          <cell r="DL31">
            <v>-2.5448739718173199</v>
          </cell>
          <cell r="DN31">
            <v>-7.3885350318471349E-2</v>
          </cell>
          <cell r="DO31">
            <v>1.4287834929117501E-2</v>
          </cell>
          <cell r="DP31">
            <v>-0.10266321104606999</v>
          </cell>
          <cell r="DQ31">
            <v>-2.122851399951327</v>
          </cell>
          <cell r="DR31">
            <v>-2.2928164020348389</v>
          </cell>
          <cell r="DT31">
            <v>0</v>
          </cell>
          <cell r="DU31">
            <v>0.36609336609336607</v>
          </cell>
          <cell r="DV31">
            <v>7.9122001020929048E-2</v>
          </cell>
          <cell r="DW31">
            <v>-0.10734588819139679</v>
          </cell>
          <cell r="DX31">
            <v>0.34873079238926785</v>
          </cell>
          <cell r="DZ31">
            <v>-1.2776003332870435E-2</v>
          </cell>
          <cell r="EA31">
            <v>-1.6106171885066356E-2</v>
          </cell>
          <cell r="EB31">
            <v>-4.6710323871067008E-2</v>
          </cell>
          <cell r="EC31">
            <v>8.3563286453323213E-2</v>
          </cell>
          <cell r="ED31">
            <v>6.29590299118425E-3</v>
          </cell>
          <cell r="EF31">
            <v>-3.1864423189969363E-2</v>
          </cell>
          <cell r="EG31">
            <v>-0.15306122448979592</v>
          </cell>
          <cell r="EH31">
            <v>-6.3646788990825695E-2</v>
          </cell>
          <cell r="EI31">
            <v>-2.3266938493929443E-2</v>
          </cell>
          <cell r="EJ31">
            <v>-0.27369976145364439</v>
          </cell>
          <cell r="EK31" t="str">
            <v>EPS, Extraordinary/Discontinued</v>
          </cell>
          <cell r="EL31">
            <v>0</v>
          </cell>
          <cell r="EM31">
            <v>0</v>
          </cell>
          <cell r="EN31">
            <v>0.73526391456151163</v>
          </cell>
          <cell r="EO31">
            <v>-7.2844093853294434E-2</v>
          </cell>
          <cell r="EP31">
            <v>0.7306414847264896</v>
          </cell>
          <cell r="ER31">
            <v>-0.10555251807302107</v>
          </cell>
          <cell r="ES31">
            <v>0.24029864091559369</v>
          </cell>
          <cell r="ET31">
            <v>-0.21761532399830275</v>
          </cell>
          <cell r="EU31">
            <v>-0.19871075580987546</v>
          </cell>
          <cell r="EV31">
            <v>-0.26060168971069103</v>
          </cell>
          <cell r="EX31">
            <v>-8.3109782144382749E-2</v>
          </cell>
          <cell r="EY31">
            <v>-0.17624695729143616</v>
          </cell>
          <cell r="EZ31">
            <v>-3.9981575310916589E-3</v>
          </cell>
          <cell r="FA31">
            <v>0.17943409247757075</v>
          </cell>
          <cell r="FB31">
            <v>-0.1348828629404164</v>
          </cell>
          <cell r="FD31">
            <v>-0.15</v>
          </cell>
          <cell r="FE31">
            <v>-0.12</v>
          </cell>
          <cell r="FF31">
            <v>-0.02</v>
          </cell>
          <cell r="FG31">
            <v>-12.39</v>
          </cell>
          <cell r="FH31">
            <v>-12.690277036246071</v>
          </cell>
          <cell r="FJ31">
            <v>-0.05</v>
          </cell>
          <cell r="FK31">
            <v>-0.18</v>
          </cell>
          <cell r="FL31">
            <v>-0.05</v>
          </cell>
          <cell r="FM31">
            <v>-0.3</v>
          </cell>
          <cell r="FN31">
            <v>-0.58482301408784143</v>
          </cell>
          <cell r="FP31">
            <v>-4.3852651337400281E-2</v>
          </cell>
          <cell r="FQ31">
            <v>-5.3341148886283385E-3</v>
          </cell>
          <cell r="FR31">
            <v>-6.0449017773620189E-2</v>
          </cell>
          <cell r="FS31">
            <v>-4.0000000000000036E-2</v>
          </cell>
          <cell r="FT31">
            <v>-0.13766721044045682</v>
          </cell>
          <cell r="FV31">
            <v>-4.6511627906976605E-3</v>
          </cell>
          <cell r="FW31">
            <v>0</v>
          </cell>
          <cell r="FX31">
            <v>-1.908290875405283E-3</v>
          </cell>
          <cell r="FY31">
            <v>3.5108822841095622E-2</v>
          </cell>
          <cell r="FZ31">
            <v>4.0120817843865897E-2</v>
          </cell>
          <cell r="GB31">
            <v>2.8109511446778312E-3</v>
          </cell>
          <cell r="GC31">
            <v>1.09566051306631E-3</v>
          </cell>
          <cell r="GD31">
            <v>-8.4783703217805595E-4</v>
          </cell>
          <cell r="GE31">
            <v>1.1977277049290969E-3</v>
          </cell>
          <cell r="GF31">
            <v>4.5435531688777786E-3</v>
          </cell>
        </row>
        <row r="32">
          <cell r="A32" t="str">
            <v>EPS Basic, Reported</v>
          </cell>
          <cell r="C32" t="str">
            <v xml:space="preserve">--  </v>
          </cell>
          <cell r="D32" t="str">
            <v xml:space="preserve">--  </v>
          </cell>
          <cell r="E32" t="str">
            <v xml:space="preserve">--  </v>
          </cell>
          <cell r="F32">
            <v>0.22616075437808544</v>
          </cell>
          <cell r="G32">
            <v>1.1918096093399249</v>
          </cell>
          <cell r="H32">
            <v>1.78</v>
          </cell>
          <cell r="I32">
            <v>2.0775398323761891</v>
          </cell>
          <cell r="J32">
            <v>1.0943248139788602</v>
          </cell>
          <cell r="K32">
            <v>0.77474204171240069</v>
          </cell>
          <cell r="L32">
            <v>1.7377009270191033</v>
          </cell>
          <cell r="N32">
            <v>0.19424315098649622</v>
          </cell>
          <cell r="O32">
            <v>0.64003849855630413</v>
          </cell>
          <cell r="P32">
            <v>1.279376733483867</v>
          </cell>
          <cell r="Q32">
            <v>1.5799522673031026</v>
          </cell>
          <cell r="R32">
            <v>1.8892585551330798</v>
          </cell>
          <cell r="S32">
            <v>-0.44921875</v>
          </cell>
          <cell r="T32">
            <v>-0.70525105404369481</v>
          </cell>
          <cell r="U32">
            <v>2.0735107731305451</v>
          </cell>
          <cell r="V32">
            <v>1.8790672451193058</v>
          </cell>
          <cell r="W32">
            <v>1.966447173043975</v>
          </cell>
          <cell r="X32">
            <v>3.3018577701219307</v>
          </cell>
          <cell r="Y32">
            <v>1.8423611111111111</v>
          </cell>
          <cell r="Z32">
            <v>1.9545877791262072</v>
          </cell>
          <cell r="AA32">
            <v>-11.403810767495697</v>
          </cell>
          <cell r="AB32">
            <v>0.78012923113403276</v>
          </cell>
          <cell r="AC32">
            <v>1.996229083195852</v>
          </cell>
          <cell r="AD32">
            <v>2.9587750294464077</v>
          </cell>
          <cell r="AE32">
            <v>3.4768289072784784</v>
          </cell>
          <cell r="AF32">
            <v>4.0106022836648636</v>
          </cell>
          <cell r="AG32">
            <v>4.8863487599011481</v>
          </cell>
          <cell r="AH32">
            <v>5.401769994132783</v>
          </cell>
          <cell r="AI32">
            <v>5.8155175230849547</v>
          </cell>
          <cell r="AJ32">
            <v>6.2883768989543398</v>
          </cell>
          <cell r="AK32">
            <v>6.9597548987727658</v>
          </cell>
          <cell r="AL32">
            <v>7.7456035591899965</v>
          </cell>
          <cell r="AN32" t="str">
            <v>EPS Basic, Reported</v>
          </cell>
          <cell r="AO32">
            <v>-1.0723357298763596</v>
          </cell>
          <cell r="AP32">
            <v>-1.5004840729537079</v>
          </cell>
          <cell r="AQ32">
            <v>-0.82341842897130901</v>
          </cell>
          <cell r="AR32">
            <v>0.14813256570765293</v>
          </cell>
          <cell r="AS32">
            <v>-2.6062398109441198</v>
          </cell>
          <cell r="AU32">
            <v>-0.70174344634807351</v>
          </cell>
          <cell r="AV32">
            <v>-0.8709310605984335</v>
          </cell>
          <cell r="AW32">
            <v>-0.53714455008086737</v>
          </cell>
          <cell r="AX32">
            <v>0.43196269723388214</v>
          </cell>
          <cell r="AY32">
            <v>-1.4596868454619985</v>
          </cell>
          <cell r="BA32">
            <v>0.14770538952107243</v>
          </cell>
          <cell r="BB32">
            <v>-0.13925490818648498</v>
          </cell>
          <cell r="BC32">
            <v>0.25065079365079296</v>
          </cell>
          <cell r="BD32">
            <v>0.83396546799124038</v>
          </cell>
          <cell r="BE32">
            <v>1.19180960933992</v>
          </cell>
          <cell r="BG32">
            <v>0.17</v>
          </cell>
          <cell r="BH32">
            <v>7.0000000000000007E-2</v>
          </cell>
          <cell r="BI32">
            <v>0.27</v>
          </cell>
          <cell r="BJ32">
            <v>1.04</v>
          </cell>
          <cell r="BK32">
            <v>1.56</v>
          </cell>
          <cell r="BM32">
            <v>0.25</v>
          </cell>
          <cell r="BN32">
            <v>0.15738121948521733</v>
          </cell>
          <cell r="BO32">
            <v>0.35</v>
          </cell>
          <cell r="BP32">
            <v>1.31</v>
          </cell>
          <cell r="BQ32">
            <v>2.0775398323761891</v>
          </cell>
          <cell r="BS32">
            <v>-0.20332821075740956</v>
          </cell>
          <cell r="BT32">
            <v>-0.20582656421514811</v>
          </cell>
          <cell r="BU32">
            <v>-1.3498353457738645E-2</v>
          </cell>
          <cell r="BV32">
            <v>1.1973951701427006</v>
          </cell>
          <cell r="BW32">
            <v>0.77474204171240035</v>
          </cell>
          <cell r="BY32">
            <v>-3.378866007598056E-2</v>
          </cell>
          <cell r="BZ32">
            <v>1.4950719247388836E-2</v>
          </cell>
          <cell r="CA32">
            <v>0.24965027322404229</v>
          </cell>
          <cell r="CB32">
            <v>-0.34615287005689976</v>
          </cell>
          <cell r="CC32">
            <v>-0.11432140373673416</v>
          </cell>
          <cell r="CD32">
            <v>1.5044313952346118</v>
          </cell>
          <cell r="CE32">
            <v>1.4555527535273449</v>
          </cell>
          <cell r="CF32">
            <v>1.7377009270191031</v>
          </cell>
          <cell r="CG32">
            <v>1.7610157567907692</v>
          </cell>
          <cell r="CH32">
            <v>1.4012846587259669</v>
          </cell>
          <cell r="CJ32">
            <v>0.04</v>
          </cell>
          <cell r="CK32">
            <v>0.16</v>
          </cell>
          <cell r="CL32">
            <v>0.33</v>
          </cell>
          <cell r="CM32">
            <v>1.65</v>
          </cell>
          <cell r="CN32">
            <v>2.1800000000000002</v>
          </cell>
          <cell r="CP32">
            <v>0.11539088729016872</v>
          </cell>
          <cell r="CQ32">
            <v>0.3169531996179577</v>
          </cell>
          <cell r="CR32">
            <v>0.50221691352126152</v>
          </cell>
          <cell r="CS32">
            <v>1.8039573994232363</v>
          </cell>
          <cell r="CT32">
            <v>2.743131704196645</v>
          </cell>
          <cell r="CV32">
            <v>0.28887565258661607</v>
          </cell>
          <cell r="CW32">
            <v>0.50731353919239908</v>
          </cell>
          <cell r="CX32">
            <v>0.41527446300715992</v>
          </cell>
          <cell r="CY32">
            <v>1.9474940334128878</v>
          </cell>
          <cell r="CZ32">
            <v>3.1610214797136038</v>
          </cell>
          <cell r="DB32">
            <v>0.21113397129186603</v>
          </cell>
          <cell r="DC32">
            <v>0.32534587898999523</v>
          </cell>
          <cell r="DD32">
            <v>0.29230038022813687</v>
          </cell>
          <cell r="DE32">
            <v>1.0551106924163918</v>
          </cell>
          <cell r="DF32">
            <v>1.8892585551330801</v>
          </cell>
          <cell r="DH32">
            <v>0.21211654135338345</v>
          </cell>
          <cell r="DI32">
            <v>0.15346853823814133</v>
          </cell>
          <cell r="DJ32">
            <v>-1.6608652411735456</v>
          </cell>
          <cell r="DK32">
            <v>0.83543029693004534</v>
          </cell>
          <cell r="DL32">
            <v>-0.44921875</v>
          </cell>
          <cell r="DN32">
            <v>0.14946464646464647</v>
          </cell>
          <cell r="DO32">
            <v>0.28163103802672151</v>
          </cell>
          <cell r="DP32">
            <v>7.7760497667185065E-3</v>
          </cell>
          <cell r="DQ32">
            <v>-1.1333671399594321</v>
          </cell>
          <cell r="DR32">
            <v>-0.70525105404369481</v>
          </cell>
          <cell r="DT32">
            <v>0.22073412698412698</v>
          </cell>
          <cell r="DU32">
            <v>0.69975186104218368</v>
          </cell>
          <cell r="DV32">
            <v>0.27179487179487177</v>
          </cell>
          <cell r="DW32">
            <v>0.89113776846516501</v>
          </cell>
          <cell r="DX32">
            <v>2.0735107731305451</v>
          </cell>
          <cell r="DZ32">
            <v>0.12156448202959831</v>
          </cell>
          <cell r="EA32">
            <v>0.32327586206896552</v>
          </cell>
          <cell r="EB32">
            <v>0.18346111719605696</v>
          </cell>
          <cell r="EC32">
            <v>1.2749445676274944</v>
          </cell>
          <cell r="ED32">
            <v>1.8790672451193058</v>
          </cell>
          <cell r="EF32">
            <v>0.26869806094182824</v>
          </cell>
          <cell r="EG32">
            <v>0.21775544388609716</v>
          </cell>
          <cell r="EH32">
            <v>0.21511627906976744</v>
          </cell>
          <cell r="EI32">
            <v>1.3040901007705987</v>
          </cell>
          <cell r="EJ32">
            <v>1.966447173043975</v>
          </cell>
          <cell r="EK32" t="str">
            <v>EPS Basic, Reported</v>
          </cell>
          <cell r="EL32">
            <v>0.36538507109004736</v>
          </cell>
          <cell r="EM32">
            <v>0.43324299065420563</v>
          </cell>
          <cell r="EN32">
            <v>0.91167692805003653</v>
          </cell>
          <cell r="EO32">
            <v>1.2806888970318799</v>
          </cell>
          <cell r="EP32">
            <v>3.3018577701219307</v>
          </cell>
          <cell r="ER32">
            <v>-9.4511086877499081E-2</v>
          </cell>
          <cell r="ES32">
            <v>0.57384099963781232</v>
          </cell>
          <cell r="ET32">
            <v>-5.538120731031936E-3</v>
          </cell>
          <cell r="EU32">
            <v>1.4205426356589148</v>
          </cell>
          <cell r="EV32">
            <v>1.8423611111111111</v>
          </cell>
          <cell r="EX32">
            <v>7.6890217855617254E-2</v>
          </cell>
          <cell r="EY32">
            <v>0.16375304270856386</v>
          </cell>
          <cell r="EZ32">
            <v>7.6001842468908343E-2</v>
          </cell>
          <cell r="FA32">
            <v>1.7978979422385495</v>
          </cell>
          <cell r="FB32">
            <v>1.9545877791262072</v>
          </cell>
          <cell r="FD32">
            <v>-0.14000000000000001</v>
          </cell>
          <cell r="FE32">
            <v>0.17</v>
          </cell>
          <cell r="FF32">
            <v>-0.1</v>
          </cell>
          <cell r="FG32">
            <v>-11.33</v>
          </cell>
          <cell r="FH32">
            <v>-11.403810767495697</v>
          </cell>
          <cell r="FJ32">
            <v>-0.21</v>
          </cell>
          <cell r="FK32">
            <v>0.02</v>
          </cell>
          <cell r="FL32">
            <v>-0.08</v>
          </cell>
          <cell r="FM32">
            <v>1.05</v>
          </cell>
          <cell r="FN32">
            <v>0.78012923113403276</v>
          </cell>
          <cell r="FP32">
            <v>5.4424988168480827E-2</v>
          </cell>
          <cell r="FQ32">
            <v>0.3475177304964539</v>
          </cell>
          <cell r="FR32">
            <v>2.3612750885478158E-2</v>
          </cell>
          <cell r="FS32">
            <v>1.5757146231986769</v>
          </cell>
          <cell r="FT32">
            <v>1.996229083195852</v>
          </cell>
          <cell r="FV32">
            <v>0.30816278522700541</v>
          </cell>
          <cell r="FW32">
            <v>0.56374269005847955</v>
          </cell>
          <cell r="FX32">
            <v>0.32682812132612271</v>
          </cell>
          <cell r="FY32">
            <v>1.7738095238095237</v>
          </cell>
          <cell r="FZ32">
            <v>2.9587750294464077</v>
          </cell>
          <cell r="GB32">
            <v>0.43394869335890673</v>
          </cell>
          <cell r="GC32">
            <v>0.67850194552529186</v>
          </cell>
          <cell r="GD32">
            <v>0.27483932381768389</v>
          </cell>
          <cell r="GE32">
            <v>2.1405708013402154</v>
          </cell>
          <cell r="GF32">
            <v>3.4768289072784784</v>
          </cell>
        </row>
        <row r="33">
          <cell r="A33" t="str">
            <v>EPS Diluted, Reported</v>
          </cell>
          <cell r="N33">
            <v>0.19396284189183596</v>
          </cell>
          <cell r="O33">
            <v>0.62193570143884891</v>
          </cell>
          <cell r="P33">
            <v>1.2039336603062509</v>
          </cell>
          <cell r="Q33">
            <v>1.4807436918990704</v>
          </cell>
          <cell r="R33">
            <v>1.8101092896174864</v>
          </cell>
          <cell r="S33">
            <v>-0.44471299093655592</v>
          </cell>
          <cell r="T33">
            <v>-0.69138276553106215</v>
          </cell>
          <cell r="U33">
            <v>2.0581205183041891</v>
          </cell>
          <cell r="V33">
            <v>1.8569131832797428</v>
          </cell>
          <cell r="W33">
            <v>1.9312210998877666</v>
          </cell>
          <cell r="X33">
            <v>3.236519581389651</v>
          </cell>
          <cell r="Y33">
            <v>1.8164597407339782</v>
          </cell>
          <cell r="Z33">
            <v>1.9323052621090515</v>
          </cell>
          <cell r="AA33">
            <v>-11.397045737675745</v>
          </cell>
          <cell r="AB33">
            <v>0.7789747839469634</v>
          </cell>
          <cell r="AC33">
            <v>1.97</v>
          </cell>
          <cell r="AD33">
            <v>2.92</v>
          </cell>
          <cell r="AE33">
            <v>3.43</v>
          </cell>
          <cell r="AF33">
            <v>3.9453943917559142</v>
          </cell>
          <cell r="AG33">
            <v>4.7983581094155907</v>
          </cell>
          <cell r="AH33">
            <v>5.2958753573867723</v>
          </cell>
          <cell r="AI33">
            <v>5.6959829769682733</v>
          </cell>
          <cell r="AJ33">
            <v>6.1538937066977288</v>
          </cell>
          <cell r="AK33">
            <v>6.8001516881883797</v>
          </cell>
          <cell r="AL33">
            <v>7.5529335978779351</v>
          </cell>
          <cell r="AN33" t="str">
            <v>EPS Diluted, Reported</v>
          </cell>
          <cell r="CJ33">
            <v>4.3952880847563512E-2</v>
          </cell>
          <cell r="CK33">
            <v>0.1572344856811278</v>
          </cell>
          <cell r="CL33">
            <v>0.33496867229766447</v>
          </cell>
          <cell r="CM33">
            <v>1.5454023745519698</v>
          </cell>
          <cell r="CN33">
            <v>2.071115175359711</v>
          </cell>
          <cell r="CP33">
            <v>0.12199906367041283</v>
          </cell>
          <cell r="CQ33">
            <v>0.30544247787610773</v>
          </cell>
          <cell r="CR33">
            <v>0.47624392399469739</v>
          </cell>
          <cell r="CS33">
            <v>1.6620515499825848</v>
          </cell>
          <cell r="CT33">
            <v>2.5768180897619937</v>
          </cell>
          <cell r="CV33">
            <v>0.26107772020725389</v>
          </cell>
          <cell r="CW33">
            <v>0.4604130808950086</v>
          </cell>
          <cell r="CX33">
            <v>0.38024475524475521</v>
          </cell>
          <cell r="CY33">
            <v>1.8793182865039153</v>
          </cell>
          <cell r="CZ33">
            <v>2.9315360779105801</v>
          </cell>
          <cell r="DB33">
            <v>0.2020166358595194</v>
          </cell>
          <cell r="DC33">
            <v>0.30869761153672826</v>
          </cell>
          <cell r="DD33">
            <v>0.27967257844474763</v>
          </cell>
          <cell r="DE33">
            <v>1.0186448385629832</v>
          </cell>
          <cell r="DF33">
            <v>1.8103153819879312</v>
          </cell>
          <cell r="DH33">
            <v>0.20673277854831251</v>
          </cell>
          <cell r="DI33">
            <v>0.15107913669064749</v>
          </cell>
          <cell r="DJ33">
            <v>-1.6608652411735456</v>
          </cell>
          <cell r="DK33">
            <v>0.82341269841269848</v>
          </cell>
          <cell r="DL33">
            <v>-0.44471299093655592</v>
          </cell>
          <cell r="DN33">
            <v>0.14308721215090642</v>
          </cell>
          <cell r="DO33">
            <v>0.27555110220440882</v>
          </cell>
          <cell r="DP33">
            <v>7.7081192189105861E-3</v>
          </cell>
          <cell r="DQ33">
            <v>-1.1169415292353824</v>
          </cell>
          <cell r="DR33">
            <v>-0.69138276553106215</v>
          </cell>
          <cell r="DT33">
            <v>0.21613725490196078</v>
          </cell>
          <cell r="DU33">
            <v>0.69287469287469283</v>
          </cell>
          <cell r="DV33">
            <v>0.27054619703930577</v>
          </cell>
          <cell r="DW33">
            <v>0.89033942558746737</v>
          </cell>
          <cell r="DX33">
            <v>2.0581205183041891</v>
          </cell>
          <cell r="DZ33">
            <v>0.12137203166226913</v>
          </cell>
          <cell r="EA33">
            <v>0.32051282051282054</v>
          </cell>
          <cell r="EB33">
            <v>0.18039849219170706</v>
          </cell>
          <cell r="EC33">
            <v>1.2506797172376292</v>
          </cell>
          <cell r="ED33">
            <v>1.8569131832797428</v>
          </cell>
          <cell r="EF33">
            <v>0.26330076004343106</v>
          </cell>
          <cell r="EG33">
            <v>0.21428571428571427</v>
          </cell>
          <cell r="EH33">
            <v>0.2121559633027523</v>
          </cell>
          <cell r="EI33">
            <v>1.2761020881670533</v>
          </cell>
          <cell r="EJ33">
            <v>1.9312210998877666</v>
          </cell>
          <cell r="EK33" t="str">
            <v>EPS Diluted, Reported</v>
          </cell>
          <cell r="EL33">
            <v>0.35692708333333328</v>
          </cell>
          <cell r="EM33">
            <v>0.42117245304496304</v>
          </cell>
          <cell r="EN33">
            <v>0.89594867544042411</v>
          </cell>
          <cell r="EO33">
            <v>1.261277517141826</v>
          </cell>
          <cell r="EP33">
            <v>3.236519581389651</v>
          </cell>
          <cell r="ER33">
            <v>-9.3189964157706098E-2</v>
          </cell>
          <cell r="ES33">
            <v>0.56665772532188841</v>
          </cell>
          <cell r="ET33">
            <v>-5.4555373704309879E-3</v>
          </cell>
          <cell r="EU33">
            <v>1.3996562917700972</v>
          </cell>
          <cell r="EV33">
            <v>1.8164597407339782</v>
          </cell>
          <cell r="EX33">
            <v>7.5566750629722929E-2</v>
          </cell>
          <cell r="EY33">
            <v>0.16164263870685888</v>
          </cell>
          <cell r="EZ33">
            <v>7.532526820360648E-2</v>
          </cell>
          <cell r="FA33">
            <v>1.7778979422385495</v>
          </cell>
          <cell r="FB33">
            <v>1.9323052621090515</v>
          </cell>
          <cell r="FD33">
            <v>-0.14000000000000001</v>
          </cell>
          <cell r="FE33">
            <v>0.17</v>
          </cell>
          <cell r="FF33">
            <v>-0.1</v>
          </cell>
          <cell r="FG33">
            <v>-11.33</v>
          </cell>
          <cell r="FH33">
            <v>-11.397045737675745</v>
          </cell>
          <cell r="FJ33">
            <v>-0.21</v>
          </cell>
          <cell r="FK33">
            <v>0.02</v>
          </cell>
          <cell r="FL33">
            <v>-0.08</v>
          </cell>
          <cell r="FM33">
            <v>1.05</v>
          </cell>
          <cell r="FN33">
            <v>0.7789747839469634</v>
          </cell>
          <cell r="FP33">
            <v>0.05</v>
          </cell>
          <cell r="FQ33">
            <v>0.34466588511137164</v>
          </cell>
          <cell r="FR33">
            <v>0.02</v>
          </cell>
          <cell r="FS33">
            <v>1.55</v>
          </cell>
          <cell r="FT33">
            <v>1.97</v>
          </cell>
          <cell r="FV33">
            <v>0.3</v>
          </cell>
          <cell r="FW33">
            <v>0.55453290381960418</v>
          </cell>
          <cell r="FX33">
            <v>0.32</v>
          </cell>
          <cell r="FY33">
            <v>1.74</v>
          </cell>
          <cell r="FZ33">
            <v>2.92</v>
          </cell>
          <cell r="GB33">
            <v>0.43</v>
          </cell>
          <cell r="GC33">
            <v>0.67</v>
          </cell>
          <cell r="GD33">
            <v>0.27</v>
          </cell>
          <cell r="GE33">
            <v>2.11</v>
          </cell>
          <cell r="GF33">
            <v>3.43</v>
          </cell>
        </row>
        <row r="34">
          <cell r="A34" t="str">
            <v>Net Income, For Consensus</v>
          </cell>
          <cell r="W34">
            <v>786.54659498207877</v>
          </cell>
          <cell r="X34">
            <v>1089.0546208098101</v>
          </cell>
          <cell r="Y34">
            <v>1137.6065454545455</v>
          </cell>
          <cell r="Z34">
            <v>968.87045454545455</v>
          </cell>
          <cell r="AA34">
            <v>545</v>
          </cell>
          <cell r="AB34">
            <v>575.99999999999989</v>
          </cell>
          <cell r="AC34">
            <v>863</v>
          </cell>
          <cell r="AD34">
            <v>1239.5</v>
          </cell>
          <cell r="AE34">
            <v>1407.0129840730656</v>
          </cell>
          <cell r="AF34">
            <v>1474.1651556723784</v>
          </cell>
          <cell r="AG34">
            <v>1618.7764295278068</v>
          </cell>
          <cell r="AH34">
            <v>1641.1420018455815</v>
          </cell>
          <cell r="AI34">
            <v>1683.4875028271351</v>
          </cell>
          <cell r="AJ34">
            <v>1748.1022306573102</v>
          </cell>
          <cell r="AK34">
            <v>1801.4292273300186</v>
          </cell>
          <cell r="AL34">
            <v>1844.6042441173129</v>
          </cell>
          <cell r="ER34">
            <v>11</v>
          </cell>
          <cell r="ES34">
            <v>292</v>
          </cell>
          <cell r="ET34">
            <v>175</v>
          </cell>
          <cell r="EU34">
            <v>1334</v>
          </cell>
          <cell r="EV34">
            <v>1812</v>
          </cell>
          <cell r="EX34">
            <v>119</v>
          </cell>
          <cell r="EY34">
            <v>210</v>
          </cell>
          <cell r="EZ34">
            <v>55</v>
          </cell>
          <cell r="FA34">
            <v>1155</v>
          </cell>
          <cell r="FB34">
            <v>1539</v>
          </cell>
          <cell r="FD34">
            <v>4</v>
          </cell>
          <cell r="FE34">
            <v>120.99999999999999</v>
          </cell>
          <cell r="FF34">
            <v>-34</v>
          </cell>
          <cell r="FG34">
            <v>448</v>
          </cell>
          <cell r="FH34">
            <v>545</v>
          </cell>
          <cell r="FJ34">
            <v>-67.999999999999986</v>
          </cell>
          <cell r="FK34">
            <v>84</v>
          </cell>
          <cell r="FL34">
            <v>-12.000000000000002</v>
          </cell>
          <cell r="FM34">
            <v>572</v>
          </cell>
          <cell r="FN34">
            <v>575.99999999999989</v>
          </cell>
          <cell r="FP34">
            <v>23.000000000000004</v>
          </cell>
          <cell r="FQ34">
            <v>147</v>
          </cell>
          <cell r="FR34">
            <v>10</v>
          </cell>
          <cell r="FS34">
            <v>682.99999999999989</v>
          </cell>
          <cell r="FT34">
            <v>863</v>
          </cell>
          <cell r="FV34">
            <v>131</v>
          </cell>
          <cell r="FW34">
            <v>240.99999999999997</v>
          </cell>
          <cell r="FX34">
            <v>139</v>
          </cell>
          <cell r="FY34">
            <v>728.49999999999989</v>
          </cell>
          <cell r="FZ34">
            <v>1239.5</v>
          </cell>
          <cell r="GB34">
            <v>181</v>
          </cell>
          <cell r="GC34">
            <v>279.00000000000006</v>
          </cell>
          <cell r="GD34">
            <v>110.03264655178822</v>
          </cell>
          <cell r="GE34">
            <v>838.34033752127743</v>
          </cell>
          <cell r="GF34">
            <v>1408.3729840730653</v>
          </cell>
          <cell r="GS34" t="str">
            <v>mstag:netIncomeAdjustedForConsensus</v>
          </cell>
          <cell r="GT34">
            <v>6</v>
          </cell>
          <cell r="GU34" t="str">
            <v>ISO4217:USD</v>
          </cell>
          <cell r="GV34" t="b">
            <v>0</v>
          </cell>
        </row>
        <row r="35">
          <cell r="A35" t="str">
            <v>Average Basic Shares Outstanding</v>
          </cell>
          <cell r="C35" t="str">
            <v xml:space="preserve">--  </v>
          </cell>
          <cell r="D35" t="str">
            <v xml:space="preserve">--  </v>
          </cell>
          <cell r="E35" t="str">
            <v xml:space="preserve">--  </v>
          </cell>
          <cell r="F35">
            <v>111.35</v>
          </cell>
          <cell r="G35">
            <v>111.35</v>
          </cell>
          <cell r="H35">
            <v>126.29300000000001</v>
          </cell>
          <cell r="I35">
            <v>126.593</v>
          </cell>
          <cell r="K35">
            <v>182.2</v>
          </cell>
          <cell r="L35">
            <v>182.952</v>
          </cell>
          <cell r="N35">
            <v>386.11399999999998</v>
          </cell>
          <cell r="O35">
            <v>415.6</v>
          </cell>
          <cell r="P35">
            <v>418.95400000000001</v>
          </cell>
          <cell r="Q35">
            <v>419</v>
          </cell>
          <cell r="R35">
            <v>420.8</v>
          </cell>
          <cell r="S35">
            <v>409.6</v>
          </cell>
          <cell r="T35">
            <v>391.35</v>
          </cell>
          <cell r="U35">
            <v>394.5</v>
          </cell>
          <cell r="V35">
            <v>368.8</v>
          </cell>
          <cell r="W35">
            <v>350.2</v>
          </cell>
          <cell r="X35">
            <v>426</v>
          </cell>
          <cell r="Y35">
            <v>540</v>
          </cell>
          <cell r="Z35">
            <v>446.6</v>
          </cell>
          <cell r="AA35">
            <v>421.17499999999995</v>
          </cell>
          <cell r="AB35">
            <v>421.72500000000002</v>
          </cell>
          <cell r="AC35">
            <v>424.3</v>
          </cell>
          <cell r="AD35">
            <v>424.5</v>
          </cell>
          <cell r="AE35">
            <v>405.07399749373434</v>
          </cell>
          <cell r="AF35">
            <v>367.56702644803153</v>
          </cell>
          <cell r="AG35">
            <v>331.28548719485082</v>
          </cell>
          <cell r="AH35">
            <v>303.81560185423177</v>
          </cell>
          <cell r="AI35">
            <v>289.4819757905392</v>
          </cell>
          <cell r="AJ35">
            <v>277.98941741993752</v>
          </cell>
          <cell r="AK35">
            <v>258.83515346893466</v>
          </cell>
          <cell r="AL35">
            <v>238.1485484018516</v>
          </cell>
          <cell r="AN35" t="str">
            <v>Average Basic Shares Outstanding</v>
          </cell>
          <cell r="AO35">
            <v>80</v>
          </cell>
          <cell r="AP35">
            <v>80</v>
          </cell>
          <cell r="AQ35">
            <v>80</v>
          </cell>
          <cell r="AR35">
            <v>80</v>
          </cell>
          <cell r="AS35">
            <v>80</v>
          </cell>
          <cell r="AU35">
            <v>79.97</v>
          </cell>
          <cell r="AV35">
            <v>79.97</v>
          </cell>
          <cell r="AW35">
            <v>79.97</v>
          </cell>
          <cell r="AX35">
            <v>79.97</v>
          </cell>
          <cell r="AY35">
            <v>79.97</v>
          </cell>
          <cell r="BA35">
            <v>79.97</v>
          </cell>
          <cell r="BB35">
            <v>113.38200000000001</v>
          </cell>
          <cell r="BC35">
            <v>126</v>
          </cell>
          <cell r="BD35">
            <v>126.02800000000001</v>
          </cell>
          <cell r="BE35">
            <v>111.35</v>
          </cell>
          <cell r="BG35">
            <v>126.209</v>
          </cell>
          <cell r="BH35">
            <v>126.309</v>
          </cell>
          <cell r="BI35">
            <v>126.31100000000001</v>
          </cell>
          <cell r="BJ35">
            <v>126.33799999999999</v>
          </cell>
          <cell r="BK35">
            <v>126.29300000000001</v>
          </cell>
          <cell r="BM35">
            <v>126.464</v>
          </cell>
          <cell r="BN35">
            <v>126.578</v>
          </cell>
          <cell r="BO35">
            <v>126.6</v>
          </cell>
          <cell r="BP35">
            <v>126.74</v>
          </cell>
          <cell r="BQ35">
            <v>126.593</v>
          </cell>
          <cell r="BS35">
            <v>182.2</v>
          </cell>
          <cell r="BT35">
            <v>182.2</v>
          </cell>
          <cell r="BU35">
            <v>182.2</v>
          </cell>
          <cell r="BV35">
            <v>182.2</v>
          </cell>
          <cell r="BW35">
            <v>182.2</v>
          </cell>
          <cell r="BY35">
            <v>182.68199999999999</v>
          </cell>
          <cell r="BZ35">
            <v>182.83</v>
          </cell>
          <cell r="CA35">
            <v>183</v>
          </cell>
          <cell r="CB35">
            <v>197.017</v>
          </cell>
          <cell r="CC35">
            <v>197.017</v>
          </cell>
          <cell r="CD35">
            <v>183.238</v>
          </cell>
          <cell r="CE35">
            <v>202.631</v>
          </cell>
          <cell r="CF35">
            <v>182.952</v>
          </cell>
          <cell r="CG35">
            <v>191.47300000000001</v>
          </cell>
          <cell r="CH35">
            <v>191.50299999999999</v>
          </cell>
          <cell r="CJ35">
            <v>206.71</v>
          </cell>
          <cell r="CK35">
            <v>207.66300000000001</v>
          </cell>
          <cell r="CL35">
            <v>207.82</v>
          </cell>
          <cell r="CM35">
            <v>208.26</v>
          </cell>
          <cell r="CN35">
            <v>207.8</v>
          </cell>
          <cell r="CP35">
            <v>208.5</v>
          </cell>
          <cell r="CQ35">
            <v>209.4</v>
          </cell>
          <cell r="CR35">
            <v>209.3</v>
          </cell>
          <cell r="CS35">
            <v>210.13800000000001</v>
          </cell>
          <cell r="CT35">
            <v>209.477</v>
          </cell>
          <cell r="CV35">
            <v>210.7</v>
          </cell>
          <cell r="CW35">
            <v>210.5</v>
          </cell>
          <cell r="CX35">
            <v>209.5</v>
          </cell>
          <cell r="CY35">
            <v>209.5</v>
          </cell>
          <cell r="CZ35">
            <v>209.5</v>
          </cell>
          <cell r="DB35">
            <v>418</v>
          </cell>
          <cell r="DC35">
            <v>419.8</v>
          </cell>
          <cell r="DD35">
            <v>420.8</v>
          </cell>
          <cell r="DE35">
            <v>424.6</v>
          </cell>
          <cell r="DF35">
            <v>420.79999999999995</v>
          </cell>
          <cell r="DH35">
            <v>425.6</v>
          </cell>
          <cell r="DI35">
            <v>413.2</v>
          </cell>
          <cell r="DJ35">
            <v>402.2</v>
          </cell>
          <cell r="DK35">
            <v>397.4</v>
          </cell>
          <cell r="DL35">
            <v>409.6</v>
          </cell>
          <cell r="DN35">
            <v>396</v>
          </cell>
          <cell r="DO35">
            <v>389.2</v>
          </cell>
          <cell r="DP35">
            <v>385.8</v>
          </cell>
          <cell r="DQ35">
            <v>394.4</v>
          </cell>
          <cell r="DR35">
            <v>391.35</v>
          </cell>
          <cell r="DT35">
            <v>403.2</v>
          </cell>
          <cell r="DU35">
            <v>403</v>
          </cell>
          <cell r="DV35">
            <v>390</v>
          </cell>
          <cell r="DW35">
            <v>381.8</v>
          </cell>
          <cell r="DX35">
            <v>394.5</v>
          </cell>
          <cell r="DZ35">
            <v>378.4</v>
          </cell>
          <cell r="EA35">
            <v>371.2</v>
          </cell>
          <cell r="EB35">
            <v>365.2</v>
          </cell>
          <cell r="EC35">
            <v>360.8</v>
          </cell>
          <cell r="ED35">
            <v>368.8</v>
          </cell>
          <cell r="EF35">
            <v>361</v>
          </cell>
          <cell r="EG35">
            <v>358.2</v>
          </cell>
          <cell r="EH35">
            <v>344</v>
          </cell>
          <cell r="EI35">
            <v>337.4</v>
          </cell>
          <cell r="EJ35">
            <v>350.2</v>
          </cell>
          <cell r="EK35" t="str">
            <v>Average Basic Shares Outstanding</v>
          </cell>
          <cell r="EL35">
            <v>337.6</v>
          </cell>
          <cell r="EM35">
            <v>342.4</v>
          </cell>
          <cell r="EN35">
            <v>478.5</v>
          </cell>
          <cell r="EO35">
            <v>545.79999999999995</v>
          </cell>
          <cell r="EP35">
            <v>426</v>
          </cell>
          <cell r="ER35">
            <v>550.20000000000005</v>
          </cell>
          <cell r="ES35">
            <v>552.20000000000005</v>
          </cell>
          <cell r="ET35">
            <v>541.70000000000005</v>
          </cell>
          <cell r="EU35">
            <v>516</v>
          </cell>
          <cell r="EV35">
            <v>540</v>
          </cell>
          <cell r="EX35">
            <v>468.2</v>
          </cell>
          <cell r="EY35">
            <v>451.9</v>
          </cell>
          <cell r="EZ35">
            <v>434.2</v>
          </cell>
          <cell r="FA35">
            <v>432.1</v>
          </cell>
          <cell r="FB35">
            <v>446.6</v>
          </cell>
          <cell r="FD35">
            <v>420.9</v>
          </cell>
          <cell r="FE35">
            <v>421.1</v>
          </cell>
          <cell r="FF35">
            <v>421.3</v>
          </cell>
          <cell r="FG35">
            <v>421.4</v>
          </cell>
          <cell r="FH35">
            <v>421.17499999999995</v>
          </cell>
          <cell r="FJ35">
            <v>421.4</v>
          </cell>
          <cell r="FK35">
            <v>421.5</v>
          </cell>
          <cell r="FL35">
            <v>421.8</v>
          </cell>
          <cell r="FM35">
            <v>422.2</v>
          </cell>
          <cell r="FN35">
            <v>421.72500000000002</v>
          </cell>
          <cell r="FP35">
            <v>422.6</v>
          </cell>
          <cell r="FQ35">
            <v>423</v>
          </cell>
          <cell r="FR35">
            <v>423.5</v>
          </cell>
          <cell r="FS35">
            <v>423.3</v>
          </cell>
          <cell r="FT35">
            <v>424.3</v>
          </cell>
          <cell r="FV35">
            <v>425.1</v>
          </cell>
          <cell r="FW35">
            <v>427.5</v>
          </cell>
          <cell r="FX35">
            <v>425.3</v>
          </cell>
          <cell r="FY35">
            <v>420</v>
          </cell>
          <cell r="FZ35">
            <v>424.5</v>
          </cell>
          <cell r="GB35">
            <v>417.1</v>
          </cell>
          <cell r="GC35">
            <v>411.2</v>
          </cell>
          <cell r="GD35">
            <v>400.35263157894735</v>
          </cell>
          <cell r="GE35">
            <v>391.64335839598999</v>
          </cell>
          <cell r="GF35">
            <v>405.07399749373434</v>
          </cell>
          <cell r="GS35" t="str">
            <v>mstag:averageBasicSharesOutstanding</v>
          </cell>
          <cell r="GT35">
            <v>6</v>
          </cell>
          <cell r="GU35" t="str">
            <v>ms_eqr_gcim_Decimal:ms_eqr_gcim_decimal</v>
          </cell>
          <cell r="GV35" t="b">
            <v>0</v>
          </cell>
          <cell r="GW35" t="b">
            <v>0</v>
          </cell>
        </row>
        <row r="36">
          <cell r="A36" t="str">
            <v>Average Fully Diluted Shares Outstanding</v>
          </cell>
          <cell r="K36">
            <v>182.2</v>
          </cell>
          <cell r="L36">
            <v>182.952</v>
          </cell>
          <cell r="N36">
            <v>386.67200000000003</v>
          </cell>
          <cell r="O36">
            <v>444.8</v>
          </cell>
          <cell r="P36">
            <v>454.26799999999997</v>
          </cell>
          <cell r="Q36">
            <v>451.8</v>
          </cell>
          <cell r="R36">
            <v>439.2</v>
          </cell>
          <cell r="S36">
            <v>413.75</v>
          </cell>
          <cell r="T36">
            <v>399.2</v>
          </cell>
          <cell r="U36">
            <v>397.45</v>
          </cell>
          <cell r="V36">
            <v>373.2</v>
          </cell>
          <cell r="W36">
            <v>356.4</v>
          </cell>
          <cell r="X36">
            <v>434.6</v>
          </cell>
          <cell r="Y36">
            <v>547.70000000000005</v>
          </cell>
          <cell r="Z36">
            <v>451.75000000000006</v>
          </cell>
          <cell r="AA36">
            <v>421.42499999999995</v>
          </cell>
          <cell r="AB36">
            <v>422.35</v>
          </cell>
          <cell r="AC36">
            <v>429.1</v>
          </cell>
          <cell r="AD36">
            <v>430.4</v>
          </cell>
          <cell r="AE36">
            <v>411.14899749373433</v>
          </cell>
          <cell r="AF36">
            <v>373.64202644803152</v>
          </cell>
          <cell r="AG36">
            <v>337.3604871948508</v>
          </cell>
          <cell r="AH36">
            <v>309.89060185423176</v>
          </cell>
          <cell r="AI36">
            <v>295.55697579053918</v>
          </cell>
          <cell r="AJ36">
            <v>284.06441741993751</v>
          </cell>
          <cell r="AK36">
            <v>264.91015346893465</v>
          </cell>
          <cell r="AL36">
            <v>244.22354840185159</v>
          </cell>
          <cell r="AN36" t="str">
            <v>Average Fully Diluted Shares Outstanding</v>
          </cell>
          <cell r="AO36">
            <v>80</v>
          </cell>
          <cell r="AP36">
            <v>80</v>
          </cell>
          <cell r="AQ36">
            <v>80</v>
          </cell>
          <cell r="AR36">
            <v>80</v>
          </cell>
          <cell r="AS36">
            <v>80</v>
          </cell>
          <cell r="AU36">
            <v>79.97</v>
          </cell>
          <cell r="AV36">
            <v>79.97</v>
          </cell>
          <cell r="AW36">
            <v>79.97</v>
          </cell>
          <cell r="AX36">
            <v>79.97</v>
          </cell>
          <cell r="AY36">
            <v>79.97</v>
          </cell>
          <cell r="BA36">
            <v>79.97</v>
          </cell>
          <cell r="BB36">
            <v>113.38200000000001</v>
          </cell>
          <cell r="BC36">
            <v>126</v>
          </cell>
          <cell r="BD36">
            <v>126.02800000000001</v>
          </cell>
          <cell r="BE36">
            <v>111.35</v>
          </cell>
          <cell r="BG36">
            <v>126.209</v>
          </cell>
          <cell r="BH36">
            <v>126.309</v>
          </cell>
          <cell r="BI36">
            <v>126.31100000000001</v>
          </cell>
          <cell r="BJ36">
            <v>126.33799999999999</v>
          </cell>
          <cell r="BK36">
            <v>126.29300000000001</v>
          </cell>
          <cell r="BM36">
            <v>126.464</v>
          </cell>
          <cell r="BN36">
            <v>126.578</v>
          </cell>
          <cell r="BO36">
            <v>126.6</v>
          </cell>
          <cell r="BP36">
            <v>126.74</v>
          </cell>
          <cell r="BQ36">
            <v>126.593</v>
          </cell>
          <cell r="BS36">
            <v>182.2</v>
          </cell>
          <cell r="BT36">
            <v>182.2</v>
          </cell>
          <cell r="BU36">
            <v>182.2</v>
          </cell>
          <cell r="BV36">
            <v>182.2</v>
          </cell>
          <cell r="BW36">
            <v>182.2</v>
          </cell>
          <cell r="BY36">
            <v>182.68199999999999</v>
          </cell>
          <cell r="BZ36">
            <v>182.83</v>
          </cell>
          <cell r="CA36">
            <v>183</v>
          </cell>
          <cell r="CB36">
            <v>197.017</v>
          </cell>
          <cell r="CC36">
            <v>197.017</v>
          </cell>
          <cell r="CD36">
            <v>183.238</v>
          </cell>
          <cell r="CE36">
            <v>202.631</v>
          </cell>
          <cell r="CF36">
            <v>182.952</v>
          </cell>
          <cell r="CG36">
            <v>191.47300000000001</v>
          </cell>
          <cell r="CH36">
            <v>191.50299999999999</v>
          </cell>
          <cell r="CJ36">
            <v>206.71</v>
          </cell>
          <cell r="CK36">
            <v>207.66300000000001</v>
          </cell>
          <cell r="CL36">
            <v>212.751</v>
          </cell>
          <cell r="CM36">
            <v>223.2</v>
          </cell>
          <cell r="CN36">
            <v>222.4</v>
          </cell>
          <cell r="CP36">
            <v>213.6</v>
          </cell>
          <cell r="CQ36">
            <v>226</v>
          </cell>
          <cell r="CR36">
            <v>226.3</v>
          </cell>
          <cell r="CS36">
            <v>229.68</v>
          </cell>
          <cell r="CT36">
            <v>227.13399999999999</v>
          </cell>
          <cell r="CV36">
            <v>231.6</v>
          </cell>
          <cell r="CW36">
            <v>232.4</v>
          </cell>
          <cell r="CX36">
            <v>228.8</v>
          </cell>
          <cell r="CY36">
            <v>217.1</v>
          </cell>
          <cell r="CZ36">
            <v>225.9</v>
          </cell>
          <cell r="DB36">
            <v>432.8</v>
          </cell>
          <cell r="DC36">
            <v>443.8</v>
          </cell>
          <cell r="DD36">
            <v>439.8</v>
          </cell>
          <cell r="DE36">
            <v>439.8</v>
          </cell>
          <cell r="DF36">
            <v>439.15000000000003</v>
          </cell>
          <cell r="DH36">
            <v>432.6</v>
          </cell>
          <cell r="DI36">
            <v>417</v>
          </cell>
          <cell r="DJ36">
            <v>402.2</v>
          </cell>
          <cell r="DK36">
            <v>403.2</v>
          </cell>
          <cell r="DL36">
            <v>413.75</v>
          </cell>
          <cell r="DN36">
            <v>408.2</v>
          </cell>
          <cell r="DO36">
            <v>399.2</v>
          </cell>
          <cell r="DP36">
            <v>389.2</v>
          </cell>
          <cell r="DQ36">
            <v>400.2</v>
          </cell>
          <cell r="DR36">
            <v>399.2</v>
          </cell>
          <cell r="DT36">
            <v>408</v>
          </cell>
          <cell r="DU36">
            <v>407</v>
          </cell>
          <cell r="DV36">
            <v>391.8</v>
          </cell>
          <cell r="DW36">
            <v>383</v>
          </cell>
          <cell r="DX36">
            <v>397.45</v>
          </cell>
          <cell r="DZ36">
            <v>379</v>
          </cell>
          <cell r="EA36">
            <v>374.4</v>
          </cell>
          <cell r="EB36">
            <v>371.4</v>
          </cell>
          <cell r="EC36">
            <v>367.8</v>
          </cell>
          <cell r="ED36">
            <v>373.2</v>
          </cell>
          <cell r="EF36">
            <v>368.4</v>
          </cell>
          <cell r="EG36">
            <v>364</v>
          </cell>
          <cell r="EH36">
            <v>348.8</v>
          </cell>
          <cell r="EI36">
            <v>344.8</v>
          </cell>
          <cell r="EJ36">
            <v>356.4</v>
          </cell>
          <cell r="EK36" t="str">
            <v>Average Fully Diluted Shares Outstanding</v>
          </cell>
          <cell r="EL36">
            <v>345.6</v>
          </cell>
          <cell r="EM36">
            <v>351.4</v>
          </cell>
          <cell r="EN36">
            <v>486.9</v>
          </cell>
          <cell r="EO36">
            <v>554.20000000000005</v>
          </cell>
          <cell r="EP36">
            <v>434.6</v>
          </cell>
          <cell r="ER36">
            <v>558</v>
          </cell>
          <cell r="ES36">
            <v>559.20000000000005</v>
          </cell>
          <cell r="ET36">
            <v>549.9</v>
          </cell>
          <cell r="EU36">
            <v>523.70000000000005</v>
          </cell>
          <cell r="EV36">
            <v>547.70000000000005</v>
          </cell>
          <cell r="EX36">
            <v>476.4</v>
          </cell>
          <cell r="EY36">
            <v>457.8</v>
          </cell>
          <cell r="EZ36">
            <v>438.1</v>
          </cell>
          <cell r="FA36">
            <v>434.7</v>
          </cell>
          <cell r="FB36">
            <v>451.75000000000006</v>
          </cell>
          <cell r="FD36">
            <v>420.9</v>
          </cell>
          <cell r="FE36">
            <v>422.1</v>
          </cell>
          <cell r="FF36">
            <v>421.3</v>
          </cell>
          <cell r="FG36">
            <v>421.4</v>
          </cell>
          <cell r="FH36">
            <v>421.42499999999995</v>
          </cell>
          <cell r="FJ36">
            <v>421.4</v>
          </cell>
          <cell r="FK36">
            <v>422.1</v>
          </cell>
          <cell r="FL36">
            <v>421.8</v>
          </cell>
          <cell r="FM36">
            <v>424.1</v>
          </cell>
          <cell r="FN36">
            <v>422.35</v>
          </cell>
          <cell r="FP36">
            <v>426.2</v>
          </cell>
          <cell r="FQ36">
            <v>426.5</v>
          </cell>
          <cell r="FR36">
            <v>427.6</v>
          </cell>
          <cell r="FS36">
            <v>429</v>
          </cell>
          <cell r="FT36">
            <v>429.1</v>
          </cell>
          <cell r="FV36">
            <v>430</v>
          </cell>
          <cell r="FW36">
            <v>434.6</v>
          </cell>
          <cell r="FX36">
            <v>431.8</v>
          </cell>
          <cell r="FY36">
            <v>427.3</v>
          </cell>
          <cell r="FZ36">
            <v>430.4</v>
          </cell>
          <cell r="GB36">
            <v>423.7</v>
          </cell>
          <cell r="GC36">
            <v>417.1</v>
          </cell>
          <cell r="GD36">
            <v>406.25263157894739</v>
          </cell>
          <cell r="GE36">
            <v>397.54335839599003</v>
          </cell>
          <cell r="GF36">
            <v>411.14899749373433</v>
          </cell>
          <cell r="GS36" t="str">
            <v>mstag:averageDilutedSharesOutstanding</v>
          </cell>
          <cell r="GT36">
            <v>6</v>
          </cell>
          <cell r="GU36" t="str">
            <v>ms_eqr_gcim_Decimal:ms_eqr_gcim_decimal</v>
          </cell>
          <cell r="GV36" t="b">
            <v>0</v>
          </cell>
          <cell r="GW36" t="b">
            <v>0</v>
          </cell>
        </row>
        <row r="37">
          <cell r="A37" t="str">
            <v>Period End Basic Shares Outstanding</v>
          </cell>
          <cell r="N37">
            <v>414.918274</v>
          </cell>
          <cell r="O37">
            <v>416.75912199999999</v>
          </cell>
          <cell r="P37">
            <v>421.21032200000002</v>
          </cell>
          <cell r="Q37">
            <v>417.15312399999999</v>
          </cell>
          <cell r="R37">
            <v>423.09761800000001</v>
          </cell>
          <cell r="S37">
            <v>395.34445399999998</v>
          </cell>
          <cell r="T37">
            <v>402.252748</v>
          </cell>
          <cell r="U37">
            <v>374.65489600000001</v>
          </cell>
          <cell r="V37">
            <v>357</v>
          </cell>
          <cell r="W37">
            <v>335.19655599999999</v>
          </cell>
          <cell r="X37">
            <v>546.79999999999995</v>
          </cell>
          <cell r="Y37">
            <v>496.9</v>
          </cell>
          <cell r="Z37">
            <v>419.7</v>
          </cell>
          <cell r="AA37">
            <v>420.57529799999998</v>
          </cell>
          <cell r="AB37">
            <v>421.53</v>
          </cell>
          <cell r="AC37">
            <v>423.3</v>
          </cell>
          <cell r="AD37">
            <v>414.2</v>
          </cell>
          <cell r="AE37">
            <v>386.88145363408523</v>
          </cell>
          <cell r="AF37">
            <v>348.25259926197782</v>
          </cell>
          <cell r="AG37">
            <v>314.31837512772381</v>
          </cell>
          <cell r="AH37">
            <v>293.31282858073979</v>
          </cell>
          <cell r="AI37">
            <v>285.65112300033866</v>
          </cell>
          <cell r="AJ37">
            <v>270.32771183953639</v>
          </cell>
          <cell r="AK37">
            <v>247.34259509833296</v>
          </cell>
          <cell r="AL37">
            <v>228.95450170537021</v>
          </cell>
          <cell r="AN37" t="str">
            <v>Period End Basic Shares Outstanding</v>
          </cell>
          <cell r="CN37">
            <v>208.379561</v>
          </cell>
          <cell r="CT37">
            <v>210.60516100000001</v>
          </cell>
          <cell r="CZ37">
            <v>208.576562</v>
          </cell>
          <cell r="DH37">
            <v>415.872772</v>
          </cell>
          <cell r="DI37">
            <v>403.836004</v>
          </cell>
          <cell r="DJ37">
            <v>397.47889600000002</v>
          </cell>
          <cell r="DK37">
            <v>395.34445399999998</v>
          </cell>
          <cell r="DL37">
            <v>395.34445399999998</v>
          </cell>
          <cell r="DN37">
            <v>389.8</v>
          </cell>
          <cell r="DO37">
            <v>385.4</v>
          </cell>
          <cell r="DP37">
            <v>383.4</v>
          </cell>
          <cell r="DQ37">
            <v>402.252748</v>
          </cell>
          <cell r="DR37">
            <v>402.252748</v>
          </cell>
          <cell r="DT37">
            <v>403</v>
          </cell>
          <cell r="DU37">
            <v>392.4</v>
          </cell>
          <cell r="DV37">
            <v>380.4</v>
          </cell>
          <cell r="DW37">
            <v>374.65489600000001</v>
          </cell>
          <cell r="DX37">
            <v>374.65489600000001</v>
          </cell>
          <cell r="DZ37">
            <v>370.72</v>
          </cell>
          <cell r="EA37">
            <v>365.62</v>
          </cell>
          <cell r="EB37">
            <v>361.58</v>
          </cell>
          <cell r="EC37">
            <v>357</v>
          </cell>
          <cell r="ED37">
            <v>357</v>
          </cell>
          <cell r="EF37">
            <v>359.61200000000002</v>
          </cell>
          <cell r="EG37">
            <v>345.39600000000002</v>
          </cell>
          <cell r="EH37">
            <v>338.4</v>
          </cell>
          <cell r="EI37">
            <v>335.19655599999999</v>
          </cell>
          <cell r="EJ37">
            <v>335.19655599999999</v>
          </cell>
          <cell r="EK37" t="str">
            <v>Period End Basic Shares Outstanding</v>
          </cell>
          <cell r="EL37">
            <v>340.8</v>
          </cell>
          <cell r="EM37">
            <v>340.85399999999998</v>
          </cell>
          <cell r="EN37">
            <v>544.43164000000002</v>
          </cell>
          <cell r="EO37">
            <v>546.79999999999995</v>
          </cell>
          <cell r="EP37">
            <v>546.79999999999995</v>
          </cell>
          <cell r="ER37">
            <v>553.21778400000005</v>
          </cell>
          <cell r="ES37">
            <v>545</v>
          </cell>
          <cell r="ET37">
            <v>530</v>
          </cell>
          <cell r="EU37">
            <v>496.9</v>
          </cell>
          <cell r="EV37">
            <v>496.9</v>
          </cell>
          <cell r="EX37">
            <v>459.62333699999999</v>
          </cell>
          <cell r="EY37">
            <v>435.6</v>
          </cell>
          <cell r="EZ37">
            <v>432.98764799999998</v>
          </cell>
          <cell r="FA37">
            <v>419.7</v>
          </cell>
          <cell r="FB37">
            <v>419.7</v>
          </cell>
          <cell r="FD37">
            <v>420.477236</v>
          </cell>
          <cell r="FE37">
            <v>420.54819300000003</v>
          </cell>
          <cell r="FF37">
            <v>420.56348700000001</v>
          </cell>
          <cell r="FG37">
            <v>420.57529799999998</v>
          </cell>
          <cell r="FH37">
            <v>420.57529799999998</v>
          </cell>
          <cell r="FJ37">
            <v>420.56635599999998</v>
          </cell>
          <cell r="FK37">
            <v>420.5</v>
          </cell>
          <cell r="FL37">
            <v>421</v>
          </cell>
          <cell r="FM37">
            <v>421.53</v>
          </cell>
          <cell r="FN37">
            <v>421.53</v>
          </cell>
          <cell r="FP37">
            <v>422.10645299999999</v>
          </cell>
          <cell r="FQ37">
            <v>422.67482899999999</v>
          </cell>
          <cell r="FR37">
            <v>423</v>
          </cell>
          <cell r="FS37">
            <v>423.3</v>
          </cell>
          <cell r="FT37">
            <v>423.3</v>
          </cell>
          <cell r="FV37">
            <v>425.2</v>
          </cell>
          <cell r="FW37">
            <v>427.5</v>
          </cell>
          <cell r="FX37">
            <v>420.6</v>
          </cell>
          <cell r="FY37">
            <v>414.2</v>
          </cell>
          <cell r="FZ37">
            <v>414.2</v>
          </cell>
          <cell r="GB37">
            <v>414.6</v>
          </cell>
          <cell r="GC37">
            <v>404.3</v>
          </cell>
          <cell r="GD37">
            <v>396.40526315789475</v>
          </cell>
          <cell r="GE37">
            <v>386.88145363408523</v>
          </cell>
          <cell r="GF37">
            <v>386.88145363408523</v>
          </cell>
          <cell r="GS37" t="str">
            <v>mstag:periodEndBasicSharesOutstanding</v>
          </cell>
          <cell r="GT37">
            <v>6</v>
          </cell>
          <cell r="GU37" t="str">
            <v>ms_eqr_gcim_Decimal:ms_eqr_gcim_decimal</v>
          </cell>
          <cell r="GV37" t="b">
            <v>0</v>
          </cell>
          <cell r="GW37" t="b">
            <v>0</v>
          </cell>
        </row>
        <row r="38">
          <cell r="A38" t="str">
            <v>Average Repurchase Price</v>
          </cell>
          <cell r="Y38">
            <v>38.059090830879164</v>
          </cell>
          <cell r="Z38">
            <v>34.721403433168142</v>
          </cell>
          <cell r="AD38">
            <v>0</v>
          </cell>
          <cell r="AE38">
            <v>38.72816212438854</v>
          </cell>
          <cell r="AF38">
            <v>44.008553389238294</v>
          </cell>
          <cell r="AG38">
            <v>50.096916707872467</v>
          </cell>
          <cell r="AH38">
            <v>57.127768483238825</v>
          </cell>
          <cell r="AI38">
            <v>65.259620687985446</v>
          </cell>
          <cell r="AJ38">
            <v>65.259620687985446</v>
          </cell>
          <cell r="AK38">
            <v>65.259620687985446</v>
          </cell>
          <cell r="AL38">
            <v>65.259620687985446</v>
          </cell>
          <cell r="AN38" t="str">
            <v>Average Repurchase Price</v>
          </cell>
          <cell r="ER38">
            <v>33.869</v>
          </cell>
          <cell r="ES38">
            <v>35.432098765432102</v>
          </cell>
          <cell r="ET38">
            <v>41.758793969849251</v>
          </cell>
          <cell r="EU38">
            <v>41.176470588235297</v>
          </cell>
          <cell r="EV38">
            <v>38.059090830879164</v>
          </cell>
          <cell r="EX38">
            <v>44.244444444444447</v>
          </cell>
          <cell r="EY38">
            <v>38.991596638655459</v>
          </cell>
          <cell r="EZ38">
            <v>31.111111111111111</v>
          </cell>
          <cell r="FA38">
            <v>24.53846153846154</v>
          </cell>
          <cell r="FB38">
            <v>34.721403433168142</v>
          </cell>
          <cell r="GB38">
            <v>39.629629629629626</v>
          </cell>
          <cell r="GC38">
            <v>35.283018867924532</v>
          </cell>
          <cell r="GD38">
            <v>38</v>
          </cell>
          <cell r="GE38">
            <v>42</v>
          </cell>
          <cell r="GF38">
            <v>38.72816212438854</v>
          </cell>
        </row>
        <row r="40">
          <cell r="A40" t="str">
            <v>Depreciation &amp; Amortization (Reported)</v>
          </cell>
          <cell r="C40">
            <v>235.45400000000001</v>
          </cell>
          <cell r="D40">
            <v>212.18600000000001</v>
          </cell>
          <cell r="E40">
            <v>212.18600000000001</v>
          </cell>
          <cell r="F40">
            <v>212.18600000000001</v>
          </cell>
          <cell r="G40">
            <v>205.554</v>
          </cell>
          <cell r="H40">
            <v>207.91399999999999</v>
          </cell>
          <cell r="I40">
            <v>251.40600000000001</v>
          </cell>
          <cell r="K40">
            <v>551.07000000000005</v>
          </cell>
          <cell r="L40">
            <v>474.94499999999999</v>
          </cell>
          <cell r="N40">
            <v>497</v>
          </cell>
          <cell r="O40">
            <v>533</v>
          </cell>
          <cell r="P40">
            <v>590</v>
          </cell>
          <cell r="Q40">
            <v>624</v>
          </cell>
          <cell r="R40">
            <v>665</v>
          </cell>
          <cell r="S40">
            <v>651</v>
          </cell>
          <cell r="T40">
            <v>689</v>
          </cell>
          <cell r="U40">
            <v>680</v>
          </cell>
          <cell r="V40">
            <v>710</v>
          </cell>
          <cell r="W40">
            <v>737</v>
          </cell>
          <cell r="X40">
            <v>978</v>
          </cell>
          <cell r="Y40">
            <v>1265</v>
          </cell>
          <cell r="Z40">
            <v>1304</v>
          </cell>
          <cell r="AA40">
            <v>1278</v>
          </cell>
          <cell r="AB40">
            <v>1210</v>
          </cell>
          <cell r="AC40">
            <v>1150</v>
          </cell>
          <cell r="AD40">
            <v>1085</v>
          </cell>
          <cell r="AE40">
            <v>1058.1233144856478</v>
          </cell>
          <cell r="AF40">
            <v>1083.3778550448592</v>
          </cell>
          <cell r="AG40">
            <v>1104.2560836491582</v>
          </cell>
          <cell r="AH40">
            <v>1115.6972553764319</v>
          </cell>
          <cell r="AI40">
            <v>1126.8542279301962</v>
          </cell>
          <cell r="AJ40">
            <v>1138.1227702094982</v>
          </cell>
          <cell r="AK40">
            <v>1149.5039979115932</v>
          </cell>
          <cell r="AL40">
            <v>1160.9990378907089</v>
          </cell>
          <cell r="AN40" t="str">
            <v>Depreciation &amp; Amortization (Reported)</v>
          </cell>
          <cell r="DH40">
            <v>175</v>
          </cell>
          <cell r="DI40">
            <v>174</v>
          </cell>
          <cell r="DJ40">
            <v>177</v>
          </cell>
          <cell r="DK40">
            <v>166</v>
          </cell>
          <cell r="DL40">
            <v>651</v>
          </cell>
          <cell r="DN40">
            <v>169</v>
          </cell>
          <cell r="DO40">
            <v>168</v>
          </cell>
          <cell r="DP40">
            <v>174</v>
          </cell>
          <cell r="DQ40">
            <v>178</v>
          </cell>
          <cell r="DR40">
            <v>689</v>
          </cell>
          <cell r="DT40">
            <v>165</v>
          </cell>
          <cell r="DU40">
            <v>168</v>
          </cell>
          <cell r="DV40">
            <v>167</v>
          </cell>
          <cell r="DW40">
            <v>180</v>
          </cell>
          <cell r="DX40">
            <v>680</v>
          </cell>
          <cell r="DZ40">
            <v>180</v>
          </cell>
          <cell r="EA40">
            <v>173</v>
          </cell>
          <cell r="EB40">
            <v>176</v>
          </cell>
          <cell r="EC40">
            <v>181</v>
          </cell>
          <cell r="ED40">
            <v>710</v>
          </cell>
          <cell r="EF40">
            <v>177</v>
          </cell>
          <cell r="EG40">
            <v>178</v>
          </cell>
          <cell r="EH40">
            <v>178</v>
          </cell>
          <cell r="EI40">
            <v>204</v>
          </cell>
          <cell r="EJ40">
            <v>737</v>
          </cell>
          <cell r="EK40" t="str">
            <v>Depreciation &amp; Amortization (Reported)</v>
          </cell>
          <cell r="EL40">
            <v>177</v>
          </cell>
          <cell r="EM40">
            <v>178</v>
          </cell>
          <cell r="EN40">
            <v>295</v>
          </cell>
          <cell r="EO40">
            <v>328</v>
          </cell>
          <cell r="EP40">
            <v>978</v>
          </cell>
          <cell r="ER40">
            <v>316</v>
          </cell>
          <cell r="ES40">
            <v>314</v>
          </cell>
          <cell r="ET40">
            <v>315</v>
          </cell>
          <cell r="EU40">
            <v>320</v>
          </cell>
          <cell r="EV40">
            <v>1265</v>
          </cell>
          <cell r="EX40">
            <v>329</v>
          </cell>
          <cell r="EY40">
            <v>327</v>
          </cell>
          <cell r="EZ40">
            <v>321</v>
          </cell>
          <cell r="FA40">
            <v>327</v>
          </cell>
          <cell r="FB40">
            <v>1304</v>
          </cell>
          <cell r="FD40">
            <v>315</v>
          </cell>
          <cell r="FE40">
            <v>315</v>
          </cell>
          <cell r="FF40">
            <v>320</v>
          </cell>
          <cell r="FG40">
            <v>328</v>
          </cell>
          <cell r="FH40">
            <v>1278</v>
          </cell>
          <cell r="FJ40">
            <v>303</v>
          </cell>
          <cell r="FK40">
            <v>301</v>
          </cell>
          <cell r="FL40">
            <v>301</v>
          </cell>
          <cell r="FM40">
            <v>305</v>
          </cell>
          <cell r="FN40">
            <v>1210</v>
          </cell>
          <cell r="FP40">
            <v>287</v>
          </cell>
          <cell r="FQ40">
            <v>288</v>
          </cell>
          <cell r="FR40">
            <v>290</v>
          </cell>
          <cell r="FS40">
            <v>285</v>
          </cell>
          <cell r="FT40">
            <v>1150</v>
          </cell>
          <cell r="FV40">
            <v>268</v>
          </cell>
          <cell r="FW40">
            <v>268</v>
          </cell>
          <cell r="FX40">
            <v>282</v>
          </cell>
          <cell r="FY40">
            <v>267</v>
          </cell>
          <cell r="FZ40">
            <v>1085</v>
          </cell>
          <cell r="GB40">
            <v>256</v>
          </cell>
          <cell r="GC40">
            <v>257</v>
          </cell>
          <cell r="GD40">
            <v>275.44005372214991</v>
          </cell>
          <cell r="GE40">
            <v>269.68326076349791</v>
          </cell>
          <cell r="GF40">
            <v>1058.1233144856478</v>
          </cell>
        </row>
        <row r="41">
          <cell r="A41" t="str">
            <v>% of Sales</v>
          </cell>
          <cell r="N41">
            <v>3.4008485014369781E-2</v>
          </cell>
          <cell r="O41">
            <v>3.5933391761612622E-2</v>
          </cell>
          <cell r="P41">
            <v>3.8764783180026283E-2</v>
          </cell>
          <cell r="Q41">
            <v>4.0611780019524896E-2</v>
          </cell>
          <cell r="R41">
            <v>4.148730426102689E-2</v>
          </cell>
          <cell r="S41">
            <v>3.9127298954201223E-2</v>
          </cell>
          <cell r="T41">
            <v>4.3649033892936333E-2</v>
          </cell>
          <cell r="U41">
            <v>4.3670926722753835E-2</v>
          </cell>
          <cell r="V41">
            <v>4.6067998961847913E-2</v>
          </cell>
          <cell r="W41">
            <v>4.6716531440162273E-2</v>
          </cell>
          <cell r="X41">
            <v>4.3680214381420279E-2</v>
          </cell>
          <cell r="Y41">
            <v>4.6903967371153134E-2</v>
          </cell>
          <cell r="Z41">
            <v>4.9557253068825295E-2</v>
          </cell>
          <cell r="AA41">
            <v>5.134179656114414E-2</v>
          </cell>
          <cell r="AB41">
            <v>5.0638208830299229E-2</v>
          </cell>
          <cell r="AC41">
            <v>4.5994480662320522E-2</v>
          </cell>
          <cell r="AD41">
            <v>4.1090702518462412E-2</v>
          </cell>
          <cell r="AE41">
            <v>3.8202403342907414E-2</v>
          </cell>
          <cell r="AF41">
            <v>3.8202403342907414E-2</v>
          </cell>
          <cell r="AG41">
            <v>3.8202403342907414E-2</v>
          </cell>
          <cell r="AH41">
            <v>3.8202403342907414E-2</v>
          </cell>
          <cell r="AI41">
            <v>3.8202403342907414E-2</v>
          </cell>
          <cell r="AJ41">
            <v>3.8202403342907407E-2</v>
          </cell>
          <cell r="AK41">
            <v>3.8202403342907407E-2</v>
          </cell>
          <cell r="AL41">
            <v>3.8202403342907407E-2</v>
          </cell>
          <cell r="AN41" t="str">
            <v>% of Sales</v>
          </cell>
          <cell r="DH41">
            <v>4.897844948222782E-2</v>
          </cell>
          <cell r="DI41">
            <v>4.7295460723022563E-2</v>
          </cell>
          <cell r="DJ41">
            <v>4.6800634584875725E-2</v>
          </cell>
          <cell r="DK41">
            <v>2.9621698786581014E-2</v>
          </cell>
          <cell r="DL41">
            <v>3.9127298954201223E-2</v>
          </cell>
          <cell r="DN41">
            <v>4.7525309336332956E-2</v>
          </cell>
          <cell r="DO41">
            <v>4.8165137614678902E-2</v>
          </cell>
          <cell r="DP41">
            <v>5.0071942446043169E-2</v>
          </cell>
          <cell r="DQ41">
            <v>3.4684333593141076E-2</v>
          </cell>
          <cell r="DR41">
            <v>4.3649033892936333E-2</v>
          </cell>
          <cell r="DT41">
            <v>4.778453518679409E-2</v>
          </cell>
          <cell r="DU41">
            <v>4.8192771084337352E-2</v>
          </cell>
          <cell r="DV41">
            <v>4.8002299511353839E-2</v>
          </cell>
          <cell r="DW41">
            <v>3.5878014749850508E-2</v>
          </cell>
          <cell r="DX41">
            <v>4.3670926722753835E-2</v>
          </cell>
          <cell r="DZ41">
            <v>5.4694621695533276E-2</v>
          </cell>
          <cell r="EA41">
            <v>5.0378567268491554E-2</v>
          </cell>
          <cell r="EB41">
            <v>5.0487664945496273E-2</v>
          </cell>
          <cell r="EC41">
            <v>3.5820304769443895E-2</v>
          </cell>
          <cell r="ED41">
            <v>4.6067998961847913E-2</v>
          </cell>
          <cell r="EF41">
            <v>4.9859154929577466E-2</v>
          </cell>
          <cell r="EG41">
            <v>4.9706785814018432E-2</v>
          </cell>
          <cell r="EH41">
            <v>5.0496453900709219E-2</v>
          </cell>
          <cell r="EI41">
            <v>3.9843749999999997E-2</v>
          </cell>
          <cell r="EJ41">
            <v>4.6716531440162273E-2</v>
          </cell>
          <cell r="EK41" t="str">
            <v>% of Sales</v>
          </cell>
          <cell r="EL41">
            <v>4.861301840153804E-2</v>
          </cell>
          <cell r="EM41">
            <v>4.9130554788849021E-2</v>
          </cell>
          <cell r="EN41">
            <v>5.3105310531053107E-2</v>
          </cell>
          <cell r="EO41">
            <v>3.4270191202591158E-2</v>
          </cell>
          <cell r="EP41">
            <v>4.3680214381420279E-2</v>
          </cell>
          <cell r="ER41">
            <v>5.3288364249578418E-2</v>
          </cell>
          <cell r="ES41">
            <v>5.237698081734779E-2</v>
          </cell>
          <cell r="ET41">
            <v>5.3516819571865444E-2</v>
          </cell>
          <cell r="EU41">
            <v>3.493831204279943E-2</v>
          </cell>
          <cell r="EV41">
            <v>4.6903967371153134E-2</v>
          </cell>
          <cell r="EX41">
            <v>5.5564938355007601E-2</v>
          </cell>
          <cell r="EY41">
            <v>5.54989816700611E-2</v>
          </cell>
          <cell r="EZ41">
            <v>5.4351506942092787E-2</v>
          </cell>
          <cell r="FA41">
            <v>3.8049802187572722E-2</v>
          </cell>
          <cell r="FB41">
            <v>4.9557253068825295E-2</v>
          </cell>
          <cell r="FD41">
            <v>5.4811205846528627E-2</v>
          </cell>
          <cell r="FE41">
            <v>5.5089192025183628E-2</v>
          </cell>
          <cell r="FF41">
            <v>5.8255962133624613E-2</v>
          </cell>
          <cell r="FG41">
            <v>4.1341063776153264E-2</v>
          </cell>
          <cell r="FH41">
            <v>5.134179656114414E-2</v>
          </cell>
          <cell r="FJ41">
            <v>5.7299546142208772E-2</v>
          </cell>
          <cell r="FK41">
            <v>5.6953642384105961E-2</v>
          </cell>
          <cell r="FL41">
            <v>5.5896007428040857E-2</v>
          </cell>
          <cell r="FM41">
            <v>3.8427617487715761E-2</v>
          </cell>
          <cell r="FN41">
            <v>5.0638208830299229E-2</v>
          </cell>
          <cell r="FP41">
            <v>5.1489056332974521E-2</v>
          </cell>
          <cell r="FQ41">
            <v>5.2013725844320027E-2</v>
          </cell>
          <cell r="FR41">
            <v>5.1573892939711895E-2</v>
          </cell>
          <cell r="FS41">
            <v>3.4466078123110415E-2</v>
          </cell>
          <cell r="FT41">
            <v>4.5994480662320522E-2</v>
          </cell>
          <cell r="FV41">
            <v>4.5508575309899817E-2</v>
          </cell>
          <cell r="FW41">
            <v>4.512544199360162E-2</v>
          </cell>
          <cell r="FX41">
            <v>4.8180420297283442E-2</v>
          </cell>
          <cell r="FY41">
            <v>3.0605226960110043E-2</v>
          </cell>
          <cell r="FZ41">
            <v>4.1090702518462412E-2</v>
          </cell>
          <cell r="GB41">
            <v>4.1673449454663843E-2</v>
          </cell>
          <cell r="GC41">
            <v>4.2007191892775415E-2</v>
          </cell>
          <cell r="GD41">
            <v>4.5379616732146563E-2</v>
          </cell>
          <cell r="GE41">
            <v>2.8790370881885484E-2</v>
          </cell>
          <cell r="GF41">
            <v>3.8202403342907414E-2</v>
          </cell>
        </row>
        <row r="42">
          <cell r="A42" t="str">
            <v>EBITDA (FIFO)</v>
          </cell>
          <cell r="C42" t="str">
            <v xml:space="preserve">NM </v>
          </cell>
          <cell r="D42" t="str">
            <v xml:space="preserve">NM </v>
          </cell>
          <cell r="E42">
            <v>479.15800000000024</v>
          </cell>
          <cell r="F42">
            <v>513.08899999999983</v>
          </cell>
          <cell r="G42">
            <v>643.98800000000062</v>
          </cell>
          <cell r="H42">
            <v>718.55699999999911</v>
          </cell>
          <cell r="I42">
            <v>892.50999999999885</v>
          </cell>
          <cell r="J42">
            <v>0.20265241838785197</v>
          </cell>
          <cell r="K42">
            <v>1233.8709999999996</v>
          </cell>
          <cell r="L42">
            <v>1469.5959999999989</v>
          </cell>
          <cell r="N42">
            <v>1160</v>
          </cell>
          <cell r="O42">
            <v>1426</v>
          </cell>
          <cell r="P42">
            <v>1931</v>
          </cell>
          <cell r="Q42">
            <v>2079</v>
          </cell>
          <cell r="R42">
            <v>2358</v>
          </cell>
          <cell r="S42">
            <v>2422</v>
          </cell>
          <cell r="T42">
            <v>2065</v>
          </cell>
          <cell r="U42">
            <v>2091</v>
          </cell>
          <cell r="V42">
            <v>2110</v>
          </cell>
          <cell r="W42">
            <v>2236</v>
          </cell>
          <cell r="X42">
            <v>3116</v>
          </cell>
          <cell r="Y42">
            <v>3538</v>
          </cell>
          <cell r="Z42">
            <v>3386</v>
          </cell>
          <cell r="AA42">
            <v>2703</v>
          </cell>
          <cell r="AB42">
            <v>2664</v>
          </cell>
          <cell r="AC42">
            <v>3069</v>
          </cell>
          <cell r="AD42">
            <v>3471</v>
          </cell>
          <cell r="AE42">
            <v>3729.419936712914</v>
          </cell>
          <cell r="AF42">
            <v>3860.9694388964058</v>
          </cell>
          <cell r="AG42">
            <v>4007.6393206478215</v>
          </cell>
          <cell r="AH42">
            <v>4049.1623789016467</v>
          </cell>
          <cell r="AI42">
            <v>4060.1570567049512</v>
          </cell>
          <cell r="AJ42">
            <v>4130.5505427175704</v>
          </cell>
          <cell r="AK42">
            <v>4201.9458827447743</v>
          </cell>
          <cell r="AL42">
            <v>4274.3560745182449</v>
          </cell>
          <cell r="AN42" t="str">
            <v>EBITDA (FIFO)</v>
          </cell>
          <cell r="DH42">
            <v>444</v>
          </cell>
          <cell r="DI42">
            <v>576</v>
          </cell>
          <cell r="DJ42">
            <v>446</v>
          </cell>
          <cell r="DK42">
            <v>997</v>
          </cell>
          <cell r="DL42">
            <v>2422</v>
          </cell>
          <cell r="DN42">
            <v>399</v>
          </cell>
          <cell r="DO42">
            <v>422</v>
          </cell>
          <cell r="DP42">
            <v>330</v>
          </cell>
          <cell r="DQ42">
            <v>914</v>
          </cell>
          <cell r="DR42">
            <v>2065</v>
          </cell>
          <cell r="DT42">
            <v>386</v>
          </cell>
          <cell r="DU42">
            <v>468</v>
          </cell>
          <cell r="DV42">
            <v>355</v>
          </cell>
          <cell r="DW42">
            <v>882</v>
          </cell>
          <cell r="DX42">
            <v>2091</v>
          </cell>
          <cell r="DZ42">
            <v>334</v>
          </cell>
          <cell r="EA42">
            <v>447</v>
          </cell>
          <cell r="EB42">
            <v>378</v>
          </cell>
          <cell r="EC42">
            <v>951</v>
          </cell>
          <cell r="ED42">
            <v>2110</v>
          </cell>
          <cell r="EF42">
            <v>413</v>
          </cell>
          <cell r="EG42">
            <v>454</v>
          </cell>
          <cell r="EH42">
            <v>389</v>
          </cell>
          <cell r="EI42">
            <v>980</v>
          </cell>
          <cell r="EJ42">
            <v>2236</v>
          </cell>
          <cell r="EK42" t="str">
            <v>EBITDA (FIFO)</v>
          </cell>
          <cell r="EL42">
            <v>429</v>
          </cell>
          <cell r="EM42">
            <v>469</v>
          </cell>
          <cell r="EN42">
            <v>565</v>
          </cell>
          <cell r="EO42">
            <v>1653</v>
          </cell>
          <cell r="EP42">
            <v>3116</v>
          </cell>
          <cell r="ER42">
            <v>465</v>
          </cell>
          <cell r="ES42">
            <v>722</v>
          </cell>
          <cell r="ET42">
            <v>594</v>
          </cell>
          <cell r="EU42">
            <v>1757</v>
          </cell>
          <cell r="EV42">
            <v>3538</v>
          </cell>
          <cell r="EX42">
            <v>573</v>
          </cell>
          <cell r="EY42">
            <v>674</v>
          </cell>
          <cell r="EZ42">
            <v>521</v>
          </cell>
          <cell r="FA42">
            <v>1618</v>
          </cell>
          <cell r="FB42">
            <v>3386</v>
          </cell>
          <cell r="FD42">
            <v>455</v>
          </cell>
          <cell r="FE42">
            <v>650</v>
          </cell>
          <cell r="FF42">
            <v>404</v>
          </cell>
          <cell r="FG42">
            <v>1194</v>
          </cell>
          <cell r="FH42">
            <v>2703</v>
          </cell>
          <cell r="FJ42">
            <v>327</v>
          </cell>
          <cell r="FK42">
            <v>583</v>
          </cell>
          <cell r="FL42">
            <v>389</v>
          </cell>
          <cell r="FM42">
            <v>1365</v>
          </cell>
          <cell r="FN42">
            <v>2664</v>
          </cell>
          <cell r="FP42">
            <v>490</v>
          </cell>
          <cell r="FQ42">
            <v>658</v>
          </cell>
          <cell r="FR42">
            <v>467</v>
          </cell>
          <cell r="FS42">
            <v>1454</v>
          </cell>
          <cell r="FT42">
            <v>3069</v>
          </cell>
          <cell r="FV42">
            <v>598</v>
          </cell>
          <cell r="FW42">
            <v>774</v>
          </cell>
          <cell r="FX42">
            <v>573</v>
          </cell>
          <cell r="FY42">
            <v>1526</v>
          </cell>
          <cell r="FZ42">
            <v>3471</v>
          </cell>
          <cell r="GB42">
            <v>647</v>
          </cell>
          <cell r="GC42">
            <v>811</v>
          </cell>
          <cell r="GD42">
            <v>557.01504824879794</v>
          </cell>
          <cell r="GE42">
            <v>1714.4048884641161</v>
          </cell>
          <cell r="GF42">
            <v>3729.419936712914</v>
          </cell>
          <cell r="GS42" t="str">
            <v>mstag:tag013</v>
          </cell>
          <cell r="GT42">
            <v>6</v>
          </cell>
          <cell r="GU42" t="str">
            <v>ISO4217:USD</v>
          </cell>
          <cell r="GV42" t="b">
            <v>0</v>
          </cell>
          <cell r="GW42" t="b">
            <v>0</v>
          </cell>
        </row>
        <row r="43">
          <cell r="A43" t="str">
            <v>EBITDA Margin</v>
          </cell>
          <cell r="E43">
            <v>6.9119399081664284E-2</v>
          </cell>
          <cell r="F43">
            <v>7.4014006560282869E-2</v>
          </cell>
          <cell r="G43">
            <v>9.0959515058105789E-2</v>
          </cell>
          <cell r="H43">
            <v>9.9393643129186429E-2</v>
          </cell>
          <cell r="I43">
            <v>0.11579794529390085</v>
          </cell>
          <cell r="K43">
            <v>9.0053716746341619E-2</v>
          </cell>
          <cell r="L43">
            <v>0.10498588587511638</v>
          </cell>
          <cell r="N43">
            <v>7.9375940878609552E-2</v>
          </cell>
          <cell r="O43">
            <v>9.6136991842513314E-2</v>
          </cell>
          <cell r="P43">
            <v>0.12687253613666227</v>
          </cell>
          <cell r="Q43">
            <v>0.13530751708428246</v>
          </cell>
          <cell r="R43">
            <v>0.14710836608646827</v>
          </cell>
          <cell r="S43">
            <v>0.14557038105541531</v>
          </cell>
          <cell r="T43">
            <v>0.13082039911308205</v>
          </cell>
          <cell r="U43">
            <v>0.13428809967246805</v>
          </cell>
          <cell r="V43">
            <v>0.13690630677394239</v>
          </cell>
          <cell r="W43">
            <v>0.14173427991886409</v>
          </cell>
          <cell r="X43">
            <v>0.13916927199642698</v>
          </cell>
          <cell r="Y43">
            <v>0.13118279569892474</v>
          </cell>
          <cell r="Z43">
            <v>0.12868164025386691</v>
          </cell>
          <cell r="AA43">
            <v>0.10858910493331191</v>
          </cell>
          <cell r="AB43">
            <v>0.11148775894538607</v>
          </cell>
          <cell r="AC43">
            <v>0.1227452705675319</v>
          </cell>
          <cell r="AD43">
            <v>0.13145237644385532</v>
          </cell>
          <cell r="AE43">
            <v>0.13464669259900278</v>
          </cell>
          <cell r="AF43">
            <v>0.13614669259900275</v>
          </cell>
          <cell r="AG43">
            <v>0.13864669259900278</v>
          </cell>
          <cell r="AH43">
            <v>0.13864669259900272</v>
          </cell>
          <cell r="AI43">
            <v>0.13764669259900278</v>
          </cell>
          <cell r="AJ43">
            <v>0.13864669259900272</v>
          </cell>
          <cell r="AK43">
            <v>0.13964669259900278</v>
          </cell>
          <cell r="AL43">
            <v>0.14064669259900264</v>
          </cell>
          <cell r="AN43" t="str">
            <v>EBITDA Margin</v>
          </cell>
          <cell r="DH43">
            <v>0.12426532325776658</v>
          </cell>
          <cell r="DI43">
            <v>0.15656428377276435</v>
          </cell>
          <cell r="DJ43">
            <v>0.11792702273929138</v>
          </cell>
          <cell r="DK43">
            <v>0.17790863668807994</v>
          </cell>
          <cell r="DL43">
            <v>0.14557038105541531</v>
          </cell>
          <cell r="DN43">
            <v>0.11220472440944881</v>
          </cell>
          <cell r="DO43">
            <v>0.12098623853211009</v>
          </cell>
          <cell r="DP43">
            <v>9.4964028776978418E-2</v>
          </cell>
          <cell r="DQ43">
            <v>0.17809820732657833</v>
          </cell>
          <cell r="DR43">
            <v>0.13082039911308205</v>
          </cell>
          <cell r="DT43">
            <v>0.11178685201274255</v>
          </cell>
          <cell r="DU43">
            <v>0.13425129087779691</v>
          </cell>
          <cell r="DV43">
            <v>0.10204081632653061</v>
          </cell>
          <cell r="DW43">
            <v>0.17580227227426748</v>
          </cell>
          <cell r="DX43">
            <v>0.13428809967246805</v>
          </cell>
          <cell r="DZ43">
            <v>0.10148890914615619</v>
          </cell>
          <cell r="EA43">
            <v>0.13016889924286545</v>
          </cell>
          <cell r="EB43">
            <v>0.10843373493975904</v>
          </cell>
          <cell r="EC43">
            <v>0.18820502671680189</v>
          </cell>
          <cell r="ED43">
            <v>0.13690630677394239</v>
          </cell>
          <cell r="EF43">
            <v>0.11633802816901409</v>
          </cell>
          <cell r="EG43">
            <v>0.12678022898631666</v>
          </cell>
          <cell r="EH43">
            <v>0.11035460992907802</v>
          </cell>
          <cell r="EI43">
            <v>0.19140625</v>
          </cell>
          <cell r="EJ43">
            <v>0.14173427991886409</v>
          </cell>
          <cell r="EK43" t="str">
            <v>EBITDA Margin</v>
          </cell>
          <cell r="EL43">
            <v>0.11782477341389729</v>
          </cell>
          <cell r="EM43">
            <v>0.12945073143803479</v>
          </cell>
          <cell r="EN43">
            <v>0.10171017101710171</v>
          </cell>
          <cell r="EO43">
            <v>0.17270922578622924</v>
          </cell>
          <cell r="EP43">
            <v>0.13916927199642698</v>
          </cell>
          <cell r="ER43">
            <v>7.8414839797639121E-2</v>
          </cell>
          <cell r="ES43">
            <v>0.12043369474562135</v>
          </cell>
          <cell r="ET43">
            <v>0.10091743119266056</v>
          </cell>
          <cell r="EU43">
            <v>0.19183316955999563</v>
          </cell>
          <cell r="EV43">
            <v>0.13118279569892474</v>
          </cell>
          <cell r="EX43">
            <v>9.6774193548387094E-2</v>
          </cell>
          <cell r="EY43">
            <v>0.11439239646978955</v>
          </cell>
          <cell r="EZ43">
            <v>8.8215374195733151E-2</v>
          </cell>
          <cell r="FA43">
            <v>0.18827088666511518</v>
          </cell>
          <cell r="FB43">
            <v>0.12868164025386691</v>
          </cell>
          <cell r="FD43">
            <v>7.9171741778319121E-2</v>
          </cell>
          <cell r="FE43">
            <v>0.1136761105281567</v>
          </cell>
          <cell r="FF43">
            <v>7.3548152193701075E-2</v>
          </cell>
          <cell r="FG43">
            <v>0.15049155533148476</v>
          </cell>
          <cell r="FH43">
            <v>0.10858910493331191</v>
          </cell>
          <cell r="FJ43">
            <v>6.1838124054462935E-2</v>
          </cell>
          <cell r="FK43">
            <v>0.11031220435193945</v>
          </cell>
          <cell r="FL43">
            <v>7.2237697307335189E-2</v>
          </cell>
          <cell r="FM43">
            <v>0.17197933728108858</v>
          </cell>
          <cell r="FN43">
            <v>0.11148775894538607</v>
          </cell>
          <cell r="FP43">
            <v>8.7908144958737E-2</v>
          </cell>
          <cell r="FQ43">
            <v>0.11883691529709228</v>
          </cell>
          <cell r="FR43">
            <v>8.3051751733949852E-2</v>
          </cell>
          <cell r="FS43">
            <v>0.17583746523158786</v>
          </cell>
          <cell r="FT43">
            <v>0.1227452705675319</v>
          </cell>
          <cell r="FV43">
            <v>0.10154525386313466</v>
          </cell>
          <cell r="FW43">
            <v>0.13032497053375988</v>
          </cell>
          <cell r="FX43">
            <v>9.7898513582778068E-2</v>
          </cell>
          <cell r="FY43">
            <v>0.17491976157725814</v>
          </cell>
          <cell r="FZ43">
            <v>0.13145237644385532</v>
          </cell>
          <cell r="GB43">
            <v>0.10532313202018558</v>
          </cell>
          <cell r="GC43">
            <v>0.13255966001961425</v>
          </cell>
          <cell r="GD43">
            <v>9.1769984292360302E-2</v>
          </cell>
          <cell r="GE43">
            <v>0.18302341955100002</v>
          </cell>
          <cell r="GF43">
            <v>0.13464669259900278</v>
          </cell>
        </row>
        <row r="44">
          <cell r="A44" t="str">
            <v>EBITDA (FIFO)/Share</v>
          </cell>
          <cell r="C44" t="str">
            <v xml:space="preserve">NM </v>
          </cell>
          <cell r="D44" t="str">
            <v xml:space="preserve">NM </v>
          </cell>
          <cell r="E44" t="str">
            <v xml:space="preserve">NM </v>
          </cell>
          <cell r="F44">
            <v>4.6078940278401426</v>
          </cell>
          <cell r="G44">
            <v>5.783457566232606</v>
          </cell>
          <cell r="H44">
            <v>5.8796370345149693</v>
          </cell>
          <cell r="I44">
            <v>6.8511292093559586</v>
          </cell>
          <cell r="K44">
            <v>6.7720691547749707</v>
          </cell>
          <cell r="L44">
            <v>8.0326861690497999</v>
          </cell>
          <cell r="N44">
            <v>2.9999586212603964</v>
          </cell>
          <cell r="O44">
            <v>3.2059352517985609</v>
          </cell>
          <cell r="P44">
            <v>4.2507946850757703</v>
          </cell>
          <cell r="Q44">
            <v>4.6015936254980074</v>
          </cell>
          <cell r="R44">
            <v>5.3688524590163933</v>
          </cell>
          <cell r="S44">
            <v>5.853776435045317</v>
          </cell>
          <cell r="T44">
            <v>5.1728456913827658</v>
          </cell>
          <cell r="U44">
            <v>5.2610391244181658</v>
          </cell>
          <cell r="V44">
            <v>5.6538049303322619</v>
          </cell>
          <cell r="W44">
            <v>6.2738496071829406</v>
          </cell>
          <cell r="X44">
            <v>7.1698113207547163</v>
          </cell>
          <cell r="Y44">
            <v>6.4597407339784549</v>
          </cell>
          <cell r="Z44">
            <v>7.4952960708356384</v>
          </cell>
          <cell r="AA44">
            <v>6.4139526606157684</v>
          </cell>
          <cell r="AB44">
            <v>6.3075648159109736</v>
          </cell>
          <cell r="AC44">
            <v>7.1521789792589132</v>
          </cell>
          <cell r="AD44">
            <v>8.0645910780669148</v>
          </cell>
          <cell r="AE44">
            <v>9.0707260857902199</v>
          </cell>
          <cell r="AF44">
            <v>10.333338237135949</v>
          </cell>
          <cell r="AG44">
            <v>11.879397477669373</v>
          </cell>
          <cell r="AH44">
            <v>13.066425230947521</v>
          </cell>
          <cell r="AI44">
            <v>13.737307488158827</v>
          </cell>
          <cell r="AJ44">
            <v>14.540893858632437</v>
          </cell>
          <cell r="AK44">
            <v>15.861777390263473</v>
          </cell>
          <cell r="AL44">
            <v>17.501817914319677</v>
          </cell>
          <cell r="AN44" t="str">
            <v>EBITDA (FIFO)/Share</v>
          </cell>
          <cell r="DH44">
            <v>1.0263522884882108</v>
          </cell>
          <cell r="DI44">
            <v>1.3812949640287771</v>
          </cell>
          <cell r="DJ44">
            <v>1.1089010442565888</v>
          </cell>
          <cell r="DK44">
            <v>2.472718253968254</v>
          </cell>
          <cell r="DL44">
            <v>5.853776435045317</v>
          </cell>
          <cell r="DN44">
            <v>0.97746202841744245</v>
          </cell>
          <cell r="DO44">
            <v>1.0571142284569139</v>
          </cell>
          <cell r="DP44">
            <v>0.84789311408016443</v>
          </cell>
          <cell r="DQ44">
            <v>2.2838580709645178</v>
          </cell>
          <cell r="DR44">
            <v>5.1728456913827658</v>
          </cell>
          <cell r="DT44">
            <v>0.94607843137254899</v>
          </cell>
          <cell r="DU44">
            <v>1.1498771498771498</v>
          </cell>
          <cell r="DV44">
            <v>0.9060745278203165</v>
          </cell>
          <cell r="DW44">
            <v>2.3028720626631856</v>
          </cell>
          <cell r="DX44">
            <v>5.2610391244181658</v>
          </cell>
          <cell r="DZ44">
            <v>0.8812664907651715</v>
          </cell>
          <cell r="EA44">
            <v>1.1939102564102564</v>
          </cell>
          <cell r="EB44">
            <v>1.0177705977382876</v>
          </cell>
          <cell r="EC44">
            <v>2.5856443719412723</v>
          </cell>
          <cell r="ED44">
            <v>5.6538049303322619</v>
          </cell>
          <cell r="EF44">
            <v>1.1210640608034745</v>
          </cell>
          <cell r="EG44">
            <v>1.2472527472527473</v>
          </cell>
          <cell r="EH44">
            <v>1.1152522935779816</v>
          </cell>
          <cell r="EI44">
            <v>2.8422273781902549</v>
          </cell>
          <cell r="EJ44">
            <v>6.2738496071829406</v>
          </cell>
          <cell r="EK44" t="str">
            <v>EBITDA (FIFO)/Share</v>
          </cell>
          <cell r="EL44">
            <v>1.2413194444444444</v>
          </cell>
          <cell r="EM44">
            <v>1.3346613545816735</v>
          </cell>
          <cell r="EN44">
            <v>1.1604025467241734</v>
          </cell>
          <cell r="EO44">
            <v>2.9826777336701551</v>
          </cell>
          <cell r="EP44">
            <v>7.1698113207547163</v>
          </cell>
          <cell r="ER44">
            <v>0.83333333333333337</v>
          </cell>
          <cell r="ES44">
            <v>1.2911301859799713</v>
          </cell>
          <cell r="ET44">
            <v>1.0801963993453356</v>
          </cell>
          <cell r="EU44">
            <v>3.354974221882757</v>
          </cell>
          <cell r="EV44">
            <v>6.4597407339784549</v>
          </cell>
          <cell r="EX44">
            <v>1.2027707808564232</v>
          </cell>
          <cell r="EY44">
            <v>1.472258628221931</v>
          </cell>
          <cell r="EZ44">
            <v>1.1892262040629993</v>
          </cell>
          <cell r="FA44">
            <v>3.72210720036807</v>
          </cell>
          <cell r="FB44">
            <v>7.4952960708356384</v>
          </cell>
          <cell r="FD44">
            <v>1.0810168686148729</v>
          </cell>
          <cell r="FE44">
            <v>1.5399194503672116</v>
          </cell>
          <cell r="FF44">
            <v>0.95893662473296937</v>
          </cell>
          <cell r="FG44">
            <v>2.8334124347413385</v>
          </cell>
          <cell r="FH44">
            <v>6.4139526606157684</v>
          </cell>
          <cell r="FJ44">
            <v>0.77598481252966311</v>
          </cell>
          <cell r="FK44">
            <v>1.3811892916370527</v>
          </cell>
          <cell r="FL44">
            <v>0.92223802750118533</v>
          </cell>
          <cell r="FM44">
            <v>3.2185805234614477</v>
          </cell>
          <cell r="FN44">
            <v>6.3075648159109736</v>
          </cell>
          <cell r="FP44">
            <v>1.1496949788831534</v>
          </cell>
          <cell r="FQ44">
            <v>1.5427901524032825</v>
          </cell>
          <cell r="FR44">
            <v>1.0921421889616463</v>
          </cell>
          <cell r="FS44">
            <v>3.3892773892773893</v>
          </cell>
          <cell r="FT44">
            <v>7.1521789792589132</v>
          </cell>
          <cell r="FV44">
            <v>1.3906976744186046</v>
          </cell>
          <cell r="FW44">
            <v>1.7809479981592269</v>
          </cell>
          <cell r="FX44">
            <v>1.3270032422417786</v>
          </cell>
          <cell r="FY44">
            <v>3.5712614088462438</v>
          </cell>
          <cell r="FZ44">
            <v>8.0645910780669148</v>
          </cell>
          <cell r="GB44">
            <v>1.5270238376209582</v>
          </cell>
          <cell r="GC44">
            <v>1.9443778470390793</v>
          </cell>
          <cell r="GD44">
            <v>1.3711050832677567</v>
          </cell>
          <cell r="GE44">
            <v>4.3124978754051018</v>
          </cell>
          <cell r="GF44">
            <v>9.0707260857902199</v>
          </cell>
        </row>
        <row r="46">
          <cell r="A46" t="str">
            <v>Pre-Tax Extraordinary Charges/(FYins)</v>
          </cell>
          <cell r="N46">
            <v>0</v>
          </cell>
          <cell r="O46">
            <v>0</v>
          </cell>
          <cell r="P46">
            <v>64.977391304347833</v>
          </cell>
          <cell r="Q46">
            <v>39.049635036496348</v>
          </cell>
          <cell r="R46">
            <v>0</v>
          </cell>
          <cell r="S46">
            <v>80</v>
          </cell>
          <cell r="T46">
            <v>194.65822784810126</v>
          </cell>
          <cell r="U46">
            <v>68</v>
          </cell>
          <cell r="V46">
            <v>-3.8885496183206101</v>
          </cell>
          <cell r="W46">
            <v>158</v>
          </cell>
          <cell r="X46">
            <v>-454.87025227165736</v>
          </cell>
          <cell r="Y46">
            <v>238.49507674485955</v>
          </cell>
          <cell r="Z46">
            <v>95.101083032490976</v>
          </cell>
          <cell r="AA46">
            <v>4548.1295336787571</v>
          </cell>
          <cell r="AB46">
            <v>391</v>
          </cell>
          <cell r="AC46">
            <v>89.519480519480524</v>
          </cell>
          <cell r="AD46">
            <v>-25</v>
          </cell>
          <cell r="AE46">
            <v>0</v>
          </cell>
          <cell r="AF46">
            <v>0</v>
          </cell>
          <cell r="AG46">
            <v>0</v>
          </cell>
          <cell r="AH46">
            <v>0</v>
          </cell>
          <cell r="AI46">
            <v>0</v>
          </cell>
          <cell r="AJ46">
            <v>0</v>
          </cell>
          <cell r="AK46">
            <v>0</v>
          </cell>
          <cell r="AL46">
            <v>0</v>
          </cell>
          <cell r="AN46" t="str">
            <v>Pre-Tax Extraordinary Charges/(FYins)</v>
          </cell>
          <cell r="FY46">
            <v>1151</v>
          </cell>
          <cell r="GS46" t="str">
            <v>mstag:incomeLossFromExtraordinaryItemsPretax</v>
          </cell>
          <cell r="GT46">
            <v>6</v>
          </cell>
          <cell r="GU46" t="str">
            <v>ISO4217:USD</v>
          </cell>
          <cell r="GV46" t="b">
            <v>1</v>
          </cell>
          <cell r="GW46" t="b">
            <v>0</v>
          </cell>
        </row>
        <row r="47">
          <cell r="A47" t="str">
            <v>Taxes (Benefit) on Extraordinary Charges</v>
          </cell>
          <cell r="N47">
            <v>0</v>
          </cell>
          <cell r="O47">
            <v>0</v>
          </cell>
          <cell r="P47">
            <v>-25.97739130434783</v>
          </cell>
          <cell r="Q47">
            <v>-16.049635036496348</v>
          </cell>
          <cell r="R47">
            <v>0</v>
          </cell>
          <cell r="S47">
            <v>0</v>
          </cell>
          <cell r="T47">
            <v>30.341772151898731</v>
          </cell>
          <cell r="U47">
            <v>0</v>
          </cell>
          <cell r="V47">
            <v>24.888549618320614</v>
          </cell>
          <cell r="W47">
            <v>0</v>
          </cell>
          <cell r="X47">
            <v>56.870252271657364</v>
          </cell>
          <cell r="Y47">
            <v>73.879923255140454</v>
          </cell>
          <cell r="Z47">
            <v>45.898916967509031</v>
          </cell>
          <cell r="AA47">
            <v>1254.8704663212436</v>
          </cell>
          <cell r="AB47">
            <v>0</v>
          </cell>
          <cell r="AC47">
            <v>-23.119480519480522</v>
          </cell>
          <cell r="AD47">
            <v>0</v>
          </cell>
          <cell r="AE47">
            <v>0</v>
          </cell>
          <cell r="AF47">
            <v>0</v>
          </cell>
          <cell r="AG47">
            <v>0</v>
          </cell>
          <cell r="AH47">
            <v>0</v>
          </cell>
          <cell r="AI47">
            <v>0</v>
          </cell>
          <cell r="AJ47">
            <v>0</v>
          </cell>
          <cell r="AK47">
            <v>0</v>
          </cell>
          <cell r="AL47">
            <v>0</v>
          </cell>
          <cell r="AN47" t="str">
            <v>Taxes (Benefit) on Extraordinary Charges</v>
          </cell>
          <cell r="FY47">
            <v>0.6329278887923544</v>
          </cell>
          <cell r="GS47" t="str">
            <v>mstag:taxOnIncomeLossFromExtraordinaryItems</v>
          </cell>
          <cell r="GT47">
            <v>6</v>
          </cell>
          <cell r="GU47" t="str">
            <v>ISO4217:USD</v>
          </cell>
          <cell r="GV47" t="b">
            <v>0</v>
          </cell>
        </row>
        <row r="48">
          <cell r="A48" t="str">
            <v>Post-Tax Extraordinary Charges/(FYins)</v>
          </cell>
          <cell r="N48">
            <v>0</v>
          </cell>
          <cell r="O48">
            <v>0</v>
          </cell>
          <cell r="P48">
            <v>39</v>
          </cell>
          <cell r="Q48">
            <v>23</v>
          </cell>
          <cell r="R48">
            <v>0</v>
          </cell>
          <cell r="S48">
            <v>80</v>
          </cell>
          <cell r="T48">
            <v>225</v>
          </cell>
          <cell r="U48">
            <v>68</v>
          </cell>
          <cell r="V48">
            <v>21.000000000000004</v>
          </cell>
          <cell r="W48">
            <v>158</v>
          </cell>
          <cell r="X48">
            <v>-398</v>
          </cell>
          <cell r="Y48">
            <v>312.375</v>
          </cell>
          <cell r="Z48">
            <v>141</v>
          </cell>
          <cell r="AA48">
            <v>5803.0000000000009</v>
          </cell>
          <cell r="AB48">
            <v>391</v>
          </cell>
          <cell r="AC48">
            <v>66.400000000000006</v>
          </cell>
          <cell r="AD48">
            <v>-25</v>
          </cell>
          <cell r="AE48">
            <v>0</v>
          </cell>
          <cell r="AF48">
            <v>0</v>
          </cell>
          <cell r="AG48">
            <v>0</v>
          </cell>
          <cell r="AH48">
            <v>0</v>
          </cell>
          <cell r="AI48">
            <v>0</v>
          </cell>
          <cell r="AJ48">
            <v>0</v>
          </cell>
          <cell r="AK48">
            <v>0</v>
          </cell>
          <cell r="AL48">
            <v>0</v>
          </cell>
          <cell r="AN48" t="str">
            <v>Post-Tax Extraordinary Charges/(FYins)</v>
          </cell>
        </row>
        <row r="50">
          <cell r="A50" t="str">
            <v>Extraordinary Charges (FYins)</v>
          </cell>
          <cell r="AN50" t="str">
            <v>Extraordinary Charges (FYins)</v>
          </cell>
          <cell r="FD50">
            <v>110</v>
          </cell>
          <cell r="FE50">
            <v>76</v>
          </cell>
          <cell r="FF50">
            <v>16</v>
          </cell>
          <cell r="FG50">
            <v>219</v>
          </cell>
          <cell r="FH50">
            <v>421</v>
          </cell>
          <cell r="FJ50">
            <v>138</v>
          </cell>
          <cell r="FK50">
            <v>34</v>
          </cell>
          <cell r="FL50">
            <v>33</v>
          </cell>
          <cell r="FM50">
            <v>186</v>
          </cell>
          <cell r="FN50">
            <v>391</v>
          </cell>
          <cell r="FP50">
            <v>0</v>
          </cell>
          <cell r="FQ50">
            <v>0</v>
          </cell>
          <cell r="FR50">
            <v>0</v>
          </cell>
          <cell r="FS50">
            <v>25</v>
          </cell>
          <cell r="FT50">
            <v>25</v>
          </cell>
          <cell r="FV50">
            <v>0</v>
          </cell>
          <cell r="FW50">
            <v>0</v>
          </cell>
          <cell r="FX50">
            <v>0</v>
          </cell>
          <cell r="FY50">
            <v>-25</v>
          </cell>
          <cell r="FZ50">
            <v>-25</v>
          </cell>
          <cell r="GB50">
            <v>0</v>
          </cell>
          <cell r="GC50">
            <v>0</v>
          </cell>
          <cell r="GD50">
            <v>0</v>
          </cell>
          <cell r="GE50">
            <v>0</v>
          </cell>
          <cell r="GF50">
            <v>0</v>
          </cell>
        </row>
        <row r="51">
          <cell r="A51" t="str">
            <v>Taxes on Extraordinary Charges (FYins)</v>
          </cell>
          <cell r="AN51" t="str">
            <v>Taxes on Extraordinary Charges (FYins)</v>
          </cell>
          <cell r="FD51">
            <v>41</v>
          </cell>
          <cell r="FE51">
            <v>28</v>
          </cell>
          <cell r="FF51">
            <v>6</v>
          </cell>
          <cell r="FG51">
            <v>81</v>
          </cell>
          <cell r="FH51">
            <v>156</v>
          </cell>
          <cell r="FJ51">
            <v>118</v>
          </cell>
          <cell r="FK51">
            <v>-43</v>
          </cell>
          <cell r="FL51">
            <v>10</v>
          </cell>
          <cell r="FM51">
            <v>59</v>
          </cell>
          <cell r="FN51">
            <v>144</v>
          </cell>
          <cell r="FP51">
            <v>0</v>
          </cell>
          <cell r="FQ51">
            <v>0</v>
          </cell>
          <cell r="FR51">
            <v>0</v>
          </cell>
          <cell r="FS51">
            <v>0</v>
          </cell>
          <cell r="FT51">
            <v>0</v>
          </cell>
          <cell r="FV51">
            <v>0</v>
          </cell>
          <cell r="FW51">
            <v>0</v>
          </cell>
          <cell r="FX51">
            <v>0</v>
          </cell>
          <cell r="FY51">
            <v>0</v>
          </cell>
          <cell r="FZ51">
            <v>0</v>
          </cell>
          <cell r="GB51">
            <v>0</v>
          </cell>
          <cell r="GC51">
            <v>0</v>
          </cell>
          <cell r="GD51">
            <v>0</v>
          </cell>
          <cell r="GE51">
            <v>0</v>
          </cell>
          <cell r="GF51">
            <v>0</v>
          </cell>
        </row>
        <row r="52">
          <cell r="A52" t="str">
            <v>Tax Rate on Extraordinary Charges (FYins)</v>
          </cell>
          <cell r="AN52" t="str">
            <v>Tax Rate on Extraordinary Charges (FYins)</v>
          </cell>
          <cell r="FD52">
            <v>0.37272727272727274</v>
          </cell>
          <cell r="FE52">
            <v>0.36842105263157893</v>
          </cell>
          <cell r="FF52">
            <v>0.375</v>
          </cell>
          <cell r="FG52">
            <v>0.36986301369863012</v>
          </cell>
          <cell r="FH52">
            <v>0.37054631828978624</v>
          </cell>
          <cell r="FJ52">
            <v>0.85507246376811596</v>
          </cell>
          <cell r="FK52">
            <v>-1.2647058823529411</v>
          </cell>
          <cell r="FL52">
            <v>0.30303030303030304</v>
          </cell>
          <cell r="FM52">
            <v>0.31720430107526881</v>
          </cell>
          <cell r="FN52">
            <v>0.36828644501278773</v>
          </cell>
          <cell r="FP52" t="str">
            <v>NM</v>
          </cell>
          <cell r="FQ52" t="str">
            <v>NM</v>
          </cell>
          <cell r="FR52" t="str">
            <v>NM</v>
          </cell>
          <cell r="FS52" t="str">
            <v>NM</v>
          </cell>
          <cell r="FT52" t="str">
            <v>NM</v>
          </cell>
          <cell r="FV52" t="str">
            <v>NM</v>
          </cell>
          <cell r="FW52" t="str">
            <v>NM</v>
          </cell>
          <cell r="FX52" t="str">
            <v>NM</v>
          </cell>
          <cell r="FY52" t="str">
            <v>NM</v>
          </cell>
          <cell r="FZ52" t="str">
            <v>NM</v>
          </cell>
          <cell r="GB52" t="str">
            <v>NM</v>
          </cell>
          <cell r="GC52" t="str">
            <v>NM</v>
          </cell>
          <cell r="GD52">
            <v>0.37</v>
          </cell>
          <cell r="GE52">
            <v>0.37</v>
          </cell>
          <cell r="GF52">
            <v>0.37</v>
          </cell>
        </row>
        <row r="54">
          <cell r="A54" t="str">
            <v>Continuing Pre-Tax Income</v>
          </cell>
          <cell r="FD54">
            <v>4</v>
          </cell>
          <cell r="FE54">
            <v>197</v>
          </cell>
          <cell r="FF54">
            <v>-59</v>
          </cell>
          <cell r="FG54">
            <v>723</v>
          </cell>
          <cell r="FH54">
            <v>865</v>
          </cell>
          <cell r="FJ54">
            <v>-117</v>
          </cell>
          <cell r="FK54">
            <v>143</v>
          </cell>
          <cell r="FL54">
            <v>-49</v>
          </cell>
          <cell r="FM54">
            <v>921</v>
          </cell>
          <cell r="FN54">
            <v>898</v>
          </cell>
          <cell r="FP54">
            <v>41</v>
          </cell>
          <cell r="FQ54">
            <v>240</v>
          </cell>
          <cell r="FR54">
            <v>13</v>
          </cell>
          <cell r="FS54">
            <v>1051</v>
          </cell>
          <cell r="FT54">
            <v>1345</v>
          </cell>
          <cell r="FV54">
            <v>214</v>
          </cell>
          <cell r="FW54">
            <v>395</v>
          </cell>
          <cell r="FX54">
            <v>183</v>
          </cell>
          <cell r="FY54">
            <v>1151</v>
          </cell>
          <cell r="FZ54">
            <v>1943</v>
          </cell>
          <cell r="GB54">
            <v>279</v>
          </cell>
          <cell r="GC54">
            <v>449</v>
          </cell>
          <cell r="GD54">
            <v>174.65499452664795</v>
          </cell>
          <cell r="GE54">
            <v>1330.6989484464721</v>
          </cell>
          <cell r="GF54">
            <v>2233.35394297312</v>
          </cell>
        </row>
        <row r="55">
          <cell r="A55" t="str">
            <v>Continuing Taxes</v>
          </cell>
          <cell r="FD55">
            <v>-6</v>
          </cell>
          <cell r="FE55">
            <v>76</v>
          </cell>
          <cell r="FF55">
            <v>-25</v>
          </cell>
          <cell r="FG55">
            <v>275</v>
          </cell>
          <cell r="FH55">
            <v>320</v>
          </cell>
          <cell r="FJ55">
            <v>-49</v>
          </cell>
          <cell r="FK55">
            <v>59</v>
          </cell>
          <cell r="FL55">
            <v>-37</v>
          </cell>
          <cell r="FM55">
            <v>349</v>
          </cell>
          <cell r="FN55">
            <v>322</v>
          </cell>
          <cell r="FP55">
            <v>18</v>
          </cell>
          <cell r="FQ55">
            <v>93</v>
          </cell>
          <cell r="FR55">
            <v>3</v>
          </cell>
          <cell r="FS55">
            <v>368</v>
          </cell>
          <cell r="FT55">
            <v>482</v>
          </cell>
          <cell r="FV55">
            <v>83</v>
          </cell>
          <cell r="FW55">
            <v>154</v>
          </cell>
          <cell r="FX55">
            <v>44</v>
          </cell>
          <cell r="FY55">
            <v>422.5</v>
          </cell>
          <cell r="FZ55">
            <v>703.5</v>
          </cell>
          <cell r="GB55">
            <v>98</v>
          </cell>
          <cell r="GC55">
            <v>170</v>
          </cell>
          <cell r="GD55">
            <v>64.622347974859736</v>
          </cell>
          <cell r="GE55">
            <v>492.35861092519468</v>
          </cell>
          <cell r="GF55">
            <v>824.98095890005447</v>
          </cell>
        </row>
        <row r="56">
          <cell r="A56" t="str">
            <v>Tax Rate on Continuing Operations</v>
          </cell>
          <cell r="N56">
            <v>0.62871287128712872</v>
          </cell>
          <cell r="O56">
            <v>0.3968253968253968</v>
          </cell>
          <cell r="P56">
            <v>0.39979123173277664</v>
          </cell>
          <cell r="Q56">
            <v>0.411006018916595</v>
          </cell>
          <cell r="R56">
            <v>0.40476190476190477</v>
          </cell>
          <cell r="S56">
            <v>0.40072992700729926</v>
          </cell>
          <cell r="T56">
            <v>0.3923076923076923</v>
          </cell>
          <cell r="U56">
            <v>0.39122137404580154</v>
          </cell>
          <cell r="V56">
            <v>0.39575645756457567</v>
          </cell>
          <cell r="W56">
            <v>0.38261648745519711</v>
          </cell>
          <cell r="X56">
            <v>0.37446604203916711</v>
          </cell>
          <cell r="Y56">
            <v>0.37218181818181817</v>
          </cell>
          <cell r="Z56">
            <v>0.37045454545454548</v>
          </cell>
          <cell r="AA56">
            <v>0.36994219653179189</v>
          </cell>
          <cell r="AB56">
            <v>0.35857461024498888</v>
          </cell>
          <cell r="AC56">
            <v>0.35836431226765797</v>
          </cell>
          <cell r="AD56">
            <v>0.36206896551724138</v>
          </cell>
          <cell r="AE56">
            <v>0.37</v>
          </cell>
          <cell r="AF56">
            <v>0.37</v>
          </cell>
          <cell r="AG56">
            <v>0.37</v>
          </cell>
          <cell r="AH56">
            <v>0.37</v>
          </cell>
          <cell r="AI56">
            <v>0.37</v>
          </cell>
          <cell r="AJ56">
            <v>0.37</v>
          </cell>
          <cell r="AK56">
            <v>0.37</v>
          </cell>
          <cell r="AL56">
            <v>0.37</v>
          </cell>
          <cell r="FE56">
            <v>0.38578680203045684</v>
          </cell>
          <cell r="FF56">
            <v>0.42372881355932202</v>
          </cell>
          <cell r="FG56">
            <v>0.38035961272475793</v>
          </cell>
          <cell r="FH56">
            <v>0.36994219653179189</v>
          </cell>
          <cell r="FJ56">
            <v>0.41880341880341881</v>
          </cell>
          <cell r="FK56">
            <v>0.41258741258741261</v>
          </cell>
          <cell r="FL56">
            <v>0.75510204081632648</v>
          </cell>
          <cell r="FM56">
            <v>0.37893593919652552</v>
          </cell>
          <cell r="FN56">
            <v>0.35857461024498888</v>
          </cell>
          <cell r="FP56">
            <v>0.43902439024390244</v>
          </cell>
          <cell r="FQ56">
            <v>0.38750000000000001</v>
          </cell>
          <cell r="FR56">
            <v>0.23076923076923078</v>
          </cell>
          <cell r="FS56">
            <v>0.35014272121788775</v>
          </cell>
          <cell r="FT56">
            <v>0.35836431226765797</v>
          </cell>
          <cell r="FV56">
            <v>0.38785046728971961</v>
          </cell>
          <cell r="FW56">
            <v>0.38987341772151901</v>
          </cell>
          <cell r="FX56">
            <v>0.24043715846994534</v>
          </cell>
          <cell r="FY56">
            <v>0.36707211120764555</v>
          </cell>
          <cell r="FZ56">
            <v>0.36206896551724138</v>
          </cell>
          <cell r="GB56">
            <v>0.35125448028673834</v>
          </cell>
          <cell r="GC56">
            <v>0.37861915367483295</v>
          </cell>
          <cell r="GD56">
            <v>0.37</v>
          </cell>
          <cell r="GE56">
            <v>0.37</v>
          </cell>
          <cell r="GF56">
            <v>0.36939105039562631</v>
          </cell>
          <cell r="GS56" t="str">
            <v>mstag:statutoryTaxRate</v>
          </cell>
          <cell r="GT56">
            <v>0</v>
          </cell>
          <cell r="GU56" t="str">
            <v>ms_eqr_gcim_Decimal:ms_eqr_gcim_decimal</v>
          </cell>
          <cell r="GV56" t="b">
            <v>0</v>
          </cell>
        </row>
        <row r="58">
          <cell r="A58" t="str">
            <v>Total Tax Expense</v>
          </cell>
          <cell r="FD58">
            <v>-47</v>
          </cell>
          <cell r="FE58">
            <v>48</v>
          </cell>
          <cell r="FF58">
            <v>-31</v>
          </cell>
          <cell r="FG58">
            <v>-105</v>
          </cell>
          <cell r="FH58">
            <v>-135</v>
          </cell>
          <cell r="FJ58">
            <v>-167</v>
          </cell>
          <cell r="FK58">
            <v>102</v>
          </cell>
          <cell r="FL58">
            <v>-47</v>
          </cell>
          <cell r="FM58">
            <v>290</v>
          </cell>
          <cell r="FN58">
            <v>178</v>
          </cell>
          <cell r="FP58">
            <v>18</v>
          </cell>
          <cell r="FQ58">
            <v>93</v>
          </cell>
          <cell r="FR58">
            <v>3</v>
          </cell>
          <cell r="FS58">
            <v>359</v>
          </cell>
          <cell r="FT58">
            <v>473</v>
          </cell>
          <cell r="FV58">
            <v>83</v>
          </cell>
          <cell r="FW58">
            <v>154</v>
          </cell>
          <cell r="FX58">
            <v>44</v>
          </cell>
          <cell r="FY58">
            <v>431</v>
          </cell>
          <cell r="FZ58">
            <v>712</v>
          </cell>
          <cell r="GB58">
            <v>98</v>
          </cell>
          <cell r="GC58">
            <v>170</v>
          </cell>
          <cell r="GD58">
            <v>64.622347974859736</v>
          </cell>
          <cell r="GE58">
            <v>492.35861092519468</v>
          </cell>
          <cell r="GF58">
            <v>824.98095890005447</v>
          </cell>
        </row>
        <row r="59">
          <cell r="A59" t="str">
            <v>Tax Rate</v>
          </cell>
          <cell r="FD59">
            <v>0.44339622641509435</v>
          </cell>
          <cell r="FE59">
            <v>0.39669421487603307</v>
          </cell>
          <cell r="FF59">
            <v>0.41333333333333333</v>
          </cell>
          <cell r="FG59">
            <v>-0.20833333333333334</v>
          </cell>
          <cell r="FH59">
            <v>-0.30405405405405406</v>
          </cell>
          <cell r="FJ59">
            <v>0.65490196078431373</v>
          </cell>
          <cell r="FK59">
            <v>0.93577981651376152</v>
          </cell>
          <cell r="FL59">
            <v>0.57317073170731703</v>
          </cell>
          <cell r="FM59">
            <v>0.39455782312925169</v>
          </cell>
          <cell r="FN59">
            <v>0.35108481262327418</v>
          </cell>
          <cell r="FP59">
            <v>0.43902439024390244</v>
          </cell>
          <cell r="FQ59">
            <v>0.38750000000000001</v>
          </cell>
          <cell r="FR59">
            <v>0.23076923076923078</v>
          </cell>
          <cell r="FS59">
            <v>0.34990253411306044</v>
          </cell>
          <cell r="FT59">
            <v>0.35833333333333334</v>
          </cell>
          <cell r="FV59">
            <v>0.38785046728971961</v>
          </cell>
          <cell r="FW59">
            <v>0.38987341772151901</v>
          </cell>
          <cell r="FX59">
            <v>0.24043715846994534</v>
          </cell>
          <cell r="FY59">
            <v>0.36649659863945577</v>
          </cell>
          <cell r="FZ59">
            <v>0.36178861788617889</v>
          </cell>
          <cell r="GB59">
            <v>0.35125448028673834</v>
          </cell>
          <cell r="GC59">
            <v>0.37861915367483295</v>
          </cell>
          <cell r="GD59">
            <v>0.36999999999999994</v>
          </cell>
          <cell r="GE59">
            <v>0.37</v>
          </cell>
          <cell r="GF59">
            <v>0.36939105039562631</v>
          </cell>
        </row>
        <row r="61">
          <cell r="A61" t="str">
            <v>As a % of Sales</v>
          </cell>
          <cell r="AN61" t="str">
            <v>As % of Sales</v>
          </cell>
        </row>
        <row r="62">
          <cell r="A62" t="str">
            <v>Cost of Goods Sold (FIFO)</v>
          </cell>
          <cell r="K62">
            <v>0.61379177462321644</v>
          </cell>
          <cell r="L62">
            <v>0.61286106320358991</v>
          </cell>
          <cell r="N62">
            <v>0.61844806350075265</v>
          </cell>
          <cell r="O62">
            <v>0.60796871839816624</v>
          </cell>
          <cell r="P62">
            <v>0.60446780551905388</v>
          </cell>
          <cell r="Q62">
            <v>0.59993491701919943</v>
          </cell>
          <cell r="R62">
            <v>0.59741718135878719</v>
          </cell>
          <cell r="S62">
            <v>0.5983291260968866</v>
          </cell>
          <cell r="T62">
            <v>0.60836236933797905</v>
          </cell>
          <cell r="U62">
            <v>0.59880547171023057</v>
          </cell>
          <cell r="V62">
            <v>0.59531533869711917</v>
          </cell>
          <cell r="W62">
            <v>0.59241886409736311</v>
          </cell>
          <cell r="X62">
            <v>0.59276462706565436</v>
          </cell>
          <cell r="Y62">
            <v>0.59395624768261035</v>
          </cell>
          <cell r="Z62">
            <v>0.59578915365028695</v>
          </cell>
          <cell r="AA62">
            <v>0.60296480797043228</v>
          </cell>
          <cell r="AB62">
            <v>0.59753086419753088</v>
          </cell>
          <cell r="AC62">
            <v>0.59288885333759944</v>
          </cell>
          <cell r="AD62">
            <v>0.59602348040143915</v>
          </cell>
          <cell r="AE62">
            <v>0.59474414748937621</v>
          </cell>
          <cell r="AF62">
            <v>0.5917441474893762</v>
          </cell>
          <cell r="AG62">
            <v>0.59024414748937615</v>
          </cell>
          <cell r="AH62">
            <v>0.59124414748937626</v>
          </cell>
          <cell r="AI62">
            <v>0.59324414748937615</v>
          </cell>
          <cell r="AJ62">
            <v>0.59324414748937626</v>
          </cell>
          <cell r="AK62">
            <v>0.59324414748937615</v>
          </cell>
          <cell r="AL62">
            <v>0.59324414748937626</v>
          </cell>
          <cell r="AN62" t="str">
            <v>Cost of Goods Sold (FIFO)</v>
          </cell>
          <cell r="AO62">
            <v>0.60057656275542926</v>
          </cell>
          <cell r="AP62">
            <v>0.6221511287992596</v>
          </cell>
          <cell r="AQ62">
            <v>0.60479300095568056</v>
          </cell>
          <cell r="AR62">
            <v>0.6294896976051404</v>
          </cell>
          <cell r="AS62">
            <v>0.6153719492191454</v>
          </cell>
          <cell r="AU62">
            <v>0.59872575888702217</v>
          </cell>
          <cell r="AV62">
            <v>0.59999010525203866</v>
          </cell>
          <cell r="AW62">
            <v>0.60363297815379591</v>
          </cell>
          <cell r="AX62">
            <v>0.6181168180071781</v>
          </cell>
          <cell r="AY62">
            <v>0.60617818875433238</v>
          </cell>
          <cell r="BA62">
            <v>0.58843971531933681</v>
          </cell>
          <cell r="BB62">
            <v>0.59550840920881798</v>
          </cell>
          <cell r="BC62">
            <v>0.59443029908354827</v>
          </cell>
          <cell r="BD62">
            <v>0.60333203951480918</v>
          </cell>
          <cell r="BE62">
            <v>0.59616640873137217</v>
          </cell>
          <cell r="BG62">
            <v>0.59604630440701789</v>
          </cell>
          <cell r="BH62">
            <v>0.59912879554386378</v>
          </cell>
          <cell r="BI62">
            <v>0.60210303943129073</v>
          </cell>
          <cell r="BJ62">
            <v>0.61593435522401285</v>
          </cell>
          <cell r="BK62">
            <v>0.60464400533045182</v>
          </cell>
          <cell r="BM62">
            <v>0.60650471598560973</v>
          </cell>
          <cell r="BN62">
            <v>0.61069795125618698</v>
          </cell>
          <cell r="BO62">
            <v>0.61373481882758607</v>
          </cell>
          <cell r="BP62">
            <v>0.62352648329569904</v>
          </cell>
          <cell r="BQ62">
            <v>0.61477004731898655</v>
          </cell>
          <cell r="BS62">
            <v>0.60652791014295437</v>
          </cell>
          <cell r="BT62">
            <v>0.6192234202265593</v>
          </cell>
          <cell r="BU62">
            <v>0.61024762870607896</v>
          </cell>
          <cell r="BV62">
            <v>0.61765424878908959</v>
          </cell>
          <cell r="BW62">
            <v>0.61379177462321644</v>
          </cell>
          <cell r="BY62">
            <v>0.60982474600117942</v>
          </cell>
          <cell r="BZ62">
            <v>0.61139317361339018</v>
          </cell>
          <cell r="CA62">
            <v>0.61184906801442795</v>
          </cell>
          <cell r="CB62">
            <v>0.69662729026036696</v>
          </cell>
          <cell r="CC62">
            <v>0.62122405771683631</v>
          </cell>
          <cell r="CD62">
            <v>0.61651560643698022</v>
          </cell>
          <cell r="CE62">
            <v>0.62762274687078579</v>
          </cell>
          <cell r="CF62">
            <v>0.61286106320358991</v>
          </cell>
          <cell r="CG62">
            <v>0.61701593761245654</v>
          </cell>
          <cell r="CH62">
            <v>0.61921040036990405</v>
          </cell>
          <cell r="CJ62">
            <v>0.61036992153179626</v>
          </cell>
          <cell r="CK62">
            <v>0.60762316136394912</v>
          </cell>
          <cell r="CL62">
            <v>0.60676453279278098</v>
          </cell>
          <cell r="CM62">
            <v>0.6134235876446239</v>
          </cell>
          <cell r="CN62">
            <v>0.60993271142476924</v>
          </cell>
          <cell r="CP62">
            <v>0.6121470503427453</v>
          </cell>
          <cell r="CQ62">
            <v>0.60781202891889508</v>
          </cell>
          <cell r="CR62">
            <v>0.61045128548991046</v>
          </cell>
          <cell r="CS62">
            <v>0.61427682685535268</v>
          </cell>
          <cell r="CT62">
            <v>0.61147410135820623</v>
          </cell>
          <cell r="CV62">
            <v>0.6023235031277927</v>
          </cell>
          <cell r="CW62">
            <v>0.58873321657910094</v>
          </cell>
          <cell r="CX62">
            <v>0.60456595264937996</v>
          </cell>
          <cell r="CY62">
            <v>0.60270162892332146</v>
          </cell>
          <cell r="CZ62">
            <v>0.59993491701919943</v>
          </cell>
          <cell r="DB62">
            <v>0.60388888888888892</v>
          </cell>
          <cell r="DC62">
            <v>0.57888167748377439</v>
          </cell>
          <cell r="DD62">
            <v>0.59318346627991303</v>
          </cell>
          <cell r="DE62">
            <v>0.5853005190021765</v>
          </cell>
          <cell r="DF62">
            <v>0.58946714834048319</v>
          </cell>
          <cell r="DH62">
            <v>0.6022949902043101</v>
          </cell>
          <cell r="DI62">
            <v>0.59064963305245988</v>
          </cell>
          <cell r="DJ62">
            <v>0.60682178741406667</v>
          </cell>
          <cell r="DK62">
            <v>0.59511063526052821</v>
          </cell>
          <cell r="DL62">
            <v>0.5983291260968866</v>
          </cell>
          <cell r="DN62">
            <v>0.60686164229471318</v>
          </cell>
          <cell r="DO62">
            <v>0.61009174311926606</v>
          </cell>
          <cell r="DP62">
            <v>0.61410071942446043</v>
          </cell>
          <cell r="DQ62">
            <v>0.60619641465315666</v>
          </cell>
          <cell r="DR62">
            <v>0.60836236933797905</v>
          </cell>
          <cell r="DT62">
            <v>0.60179554011004921</v>
          </cell>
          <cell r="DU62">
            <v>0.58835341365461846</v>
          </cell>
          <cell r="DV62">
            <v>0.60707099741304971</v>
          </cell>
          <cell r="DW62">
            <v>0.60075742475583016</v>
          </cell>
          <cell r="DX62">
            <v>0.59880547171023057</v>
          </cell>
          <cell r="DZ62">
            <v>0.60832573685809788</v>
          </cell>
          <cell r="EA62">
            <v>0.58969132207338382</v>
          </cell>
          <cell r="EB62">
            <v>0.59982788296041312</v>
          </cell>
          <cell r="EC62">
            <v>0.58994656639620024</v>
          </cell>
          <cell r="ED62">
            <v>0.59531533869711917</v>
          </cell>
          <cell r="EF62">
            <v>0.59690140845070427</v>
          </cell>
          <cell r="EG62">
            <v>0.58586986875174529</v>
          </cell>
          <cell r="EH62">
            <v>0.59773049645390075</v>
          </cell>
          <cell r="EI62">
            <v>0.59023437499999998</v>
          </cell>
          <cell r="EJ62">
            <v>0.59241886409736311</v>
          </cell>
          <cell r="EK62" t="str">
            <v>Cost of Goods Sold (FIFO)</v>
          </cell>
          <cell r="EL62">
            <v>0.5976380115352925</v>
          </cell>
          <cell r="EM62">
            <v>0.58680651393872485</v>
          </cell>
          <cell r="EN62">
            <v>0.59621962196219624</v>
          </cell>
          <cell r="EO62">
            <v>0.59116079824469747</v>
          </cell>
          <cell r="EP62">
            <v>0.59276462706565436</v>
          </cell>
          <cell r="ER62">
            <v>0.61163575042158513</v>
          </cell>
          <cell r="ES62">
            <v>0.57881567973311088</v>
          </cell>
          <cell r="ET62">
            <v>0.59683995922528033</v>
          </cell>
          <cell r="EU62">
            <v>0.59056665574844414</v>
          </cell>
          <cell r="EV62">
            <v>0.59395624768261035</v>
          </cell>
          <cell r="EX62">
            <v>0.60192535044755957</v>
          </cell>
          <cell r="EY62">
            <v>0.59521384928716903</v>
          </cell>
          <cell r="EZ62">
            <v>0.60700982052150354</v>
          </cell>
          <cell r="FA62">
            <v>0.58424482196881544</v>
          </cell>
          <cell r="FB62">
            <v>0.59578915365028695</v>
          </cell>
          <cell r="FD62">
            <v>0.61371150165303634</v>
          </cell>
          <cell r="FE62">
            <v>0.5851696397341728</v>
          </cell>
          <cell r="FF62">
            <v>0.60513380666302563</v>
          </cell>
          <cell r="FG62">
            <v>0.60650365515502902</v>
          </cell>
          <cell r="FH62">
            <v>0.60296480797043228</v>
          </cell>
          <cell r="FJ62">
            <v>0.62008320726172461</v>
          </cell>
          <cell r="FK62">
            <v>0.58978240302743612</v>
          </cell>
          <cell r="FL62">
            <v>0.6018570102135562</v>
          </cell>
          <cell r="FM62">
            <v>0.58472974675570111</v>
          </cell>
          <cell r="FN62">
            <v>0.59753086419753088</v>
          </cell>
          <cell r="FP62">
            <v>0.60602798708288486</v>
          </cell>
          <cell r="FQ62">
            <v>0.58045873216543253</v>
          </cell>
          <cell r="FR62">
            <v>0.60056909123243818</v>
          </cell>
          <cell r="FS62">
            <v>0.58713266416737209</v>
          </cell>
          <cell r="FT62">
            <v>0.59288885333759944</v>
          </cell>
          <cell r="FV62">
            <v>0.60893190694515198</v>
          </cell>
          <cell r="FW62">
            <v>0.58208452601448057</v>
          </cell>
          <cell r="FX62">
            <v>0.60550145224671104</v>
          </cell>
          <cell r="FY62">
            <v>0.59044016506189823</v>
          </cell>
          <cell r="FZ62">
            <v>0.59602348040143915</v>
          </cell>
          <cell r="GB62">
            <v>0.61159042812957842</v>
          </cell>
          <cell r="GC62">
            <v>0.58107224583197126</v>
          </cell>
          <cell r="GD62">
            <v>0.60400145224671109</v>
          </cell>
          <cell r="GE62">
            <v>0.58662736950345429</v>
          </cell>
          <cell r="GF62">
            <v>0.59474414748937621</v>
          </cell>
        </row>
        <row r="63">
          <cell r="A63" t="str">
            <v>Gross Margin (FIFO)</v>
          </cell>
          <cell r="K63">
            <v>0.38620822537678351</v>
          </cell>
          <cell r="L63">
            <v>0.38713893679641009</v>
          </cell>
          <cell r="N63">
            <v>0.38155193649924729</v>
          </cell>
          <cell r="O63">
            <v>0.39203128160183376</v>
          </cell>
          <cell r="P63">
            <v>0.39553219448094612</v>
          </cell>
          <cell r="Q63">
            <v>0.40006508298080051</v>
          </cell>
          <cell r="R63">
            <v>0.40258281864121281</v>
          </cell>
          <cell r="S63">
            <v>0.40167087390311335</v>
          </cell>
          <cell r="T63">
            <v>0.3916376306620209</v>
          </cell>
          <cell r="U63">
            <v>0.40119452828976943</v>
          </cell>
          <cell r="V63">
            <v>0.40468466130288089</v>
          </cell>
          <cell r="W63">
            <v>0.40758113590263689</v>
          </cell>
          <cell r="X63">
            <v>0.4072353729343457</v>
          </cell>
          <cell r="Y63">
            <v>0.40604375231738971</v>
          </cell>
          <cell r="Z63">
            <v>0.40421084634971305</v>
          </cell>
          <cell r="AA63">
            <v>0.39703519202956772</v>
          </cell>
          <cell r="AB63">
            <v>0.40246913580246912</v>
          </cell>
          <cell r="AC63">
            <v>0.4071111466624005</v>
          </cell>
          <cell r="AD63">
            <v>0.4039765195985609</v>
          </cell>
          <cell r="AE63">
            <v>0.40525585251062379</v>
          </cell>
          <cell r="AF63">
            <v>0.40825585251062385</v>
          </cell>
          <cell r="AG63">
            <v>0.4097558525106238</v>
          </cell>
          <cell r="AH63">
            <v>0.4087558525106238</v>
          </cell>
          <cell r="AI63">
            <v>0.40675585251062379</v>
          </cell>
          <cell r="AJ63">
            <v>0.40675585251062374</v>
          </cell>
          <cell r="AK63">
            <v>0.40675585251062385</v>
          </cell>
          <cell r="AL63">
            <v>0.40675585251062374</v>
          </cell>
          <cell r="AN63" t="str">
            <v>Gross Margin (FIFO)</v>
          </cell>
          <cell r="AO63">
            <v>0.3994234372445708</v>
          </cell>
          <cell r="AP63">
            <v>0.3778488712007404</v>
          </cell>
          <cell r="AQ63">
            <v>0.3952069990443195</v>
          </cell>
          <cell r="AR63">
            <v>0.3705103023948596</v>
          </cell>
          <cell r="AS63">
            <v>0.38462805078085455</v>
          </cell>
          <cell r="AU63">
            <v>0.40127424111297788</v>
          </cell>
          <cell r="AV63">
            <v>0.40000989474796134</v>
          </cell>
          <cell r="AW63">
            <v>0.39636702184620409</v>
          </cell>
          <cell r="AX63">
            <v>0.38188318199282195</v>
          </cell>
          <cell r="AY63">
            <v>0.39382181124566762</v>
          </cell>
          <cell r="BA63">
            <v>0.41156028468066325</v>
          </cell>
          <cell r="BB63">
            <v>0.40449159079118202</v>
          </cell>
          <cell r="BC63">
            <v>0.40556970091645167</v>
          </cell>
          <cell r="BD63">
            <v>0.39666796048519082</v>
          </cell>
          <cell r="BE63">
            <v>0.40383359126862778</v>
          </cell>
          <cell r="BG63">
            <v>0.40395369559298205</v>
          </cell>
          <cell r="BH63">
            <v>0.40087120445613617</v>
          </cell>
          <cell r="BI63">
            <v>0.39789696056870921</v>
          </cell>
          <cell r="BJ63">
            <v>0.38406564477598715</v>
          </cell>
          <cell r="BK63">
            <v>0.39535599466954813</v>
          </cell>
          <cell r="BM63">
            <v>0.39349528401439021</v>
          </cell>
          <cell r="BN63">
            <v>0.38930204874381302</v>
          </cell>
          <cell r="BO63">
            <v>0.38626518117241393</v>
          </cell>
          <cell r="BP63">
            <v>0.37647351670430096</v>
          </cell>
          <cell r="BQ63">
            <v>0.38522995268101345</v>
          </cell>
          <cell r="BS63">
            <v>0.39347208985704557</v>
          </cell>
          <cell r="BT63">
            <v>0.38077657977344076</v>
          </cell>
          <cell r="BU63">
            <v>0.3897523712939211</v>
          </cell>
          <cell r="BV63">
            <v>0.38234575121091047</v>
          </cell>
          <cell r="BW63">
            <v>0.38620822537678351</v>
          </cell>
          <cell r="BY63">
            <v>0.39017525399882058</v>
          </cell>
          <cell r="BZ63">
            <v>0.38860682638660982</v>
          </cell>
          <cell r="CA63">
            <v>0.38815093198557199</v>
          </cell>
          <cell r="CB63">
            <v>0.30337270973963298</v>
          </cell>
          <cell r="CC63">
            <v>0.37877594228316364</v>
          </cell>
          <cell r="CD63">
            <v>0.38348439356301972</v>
          </cell>
          <cell r="CE63">
            <v>0.37237725312921416</v>
          </cell>
          <cell r="CF63">
            <v>0.38713893679641009</v>
          </cell>
          <cell r="CG63">
            <v>0.38298406238754346</v>
          </cell>
          <cell r="CH63">
            <v>0.38078959963009601</v>
          </cell>
          <cell r="CJ63">
            <v>0.38963007846820369</v>
          </cell>
          <cell r="CK63">
            <v>0.39237683863605083</v>
          </cell>
          <cell r="CL63">
            <v>0.39323546720721908</v>
          </cell>
          <cell r="CM63">
            <v>0.38657641235537615</v>
          </cell>
          <cell r="CN63">
            <v>0.39006728857523071</v>
          </cell>
          <cell r="CP63">
            <v>0.3878529496572547</v>
          </cell>
          <cell r="CQ63">
            <v>0.39218797108110487</v>
          </cell>
          <cell r="CR63">
            <v>0.38954871451008949</v>
          </cell>
          <cell r="CS63">
            <v>0.38572317314464727</v>
          </cell>
          <cell r="CT63">
            <v>0.38852589864179371</v>
          </cell>
          <cell r="CV63">
            <v>0.39767649687220735</v>
          </cell>
          <cell r="CW63">
            <v>0.41126678342089901</v>
          </cell>
          <cell r="CX63">
            <v>0.39543404735062004</v>
          </cell>
          <cell r="CY63">
            <v>0.39729837107667859</v>
          </cell>
          <cell r="CZ63">
            <v>0.40006508298080051</v>
          </cell>
          <cell r="DB63">
            <v>0.39611111111111114</v>
          </cell>
          <cell r="DC63">
            <v>0.42111832251622566</v>
          </cell>
          <cell r="DD63">
            <v>0.40681653372008703</v>
          </cell>
          <cell r="DE63">
            <v>0.41469948099782356</v>
          </cell>
          <cell r="DF63">
            <v>0.41053285165951681</v>
          </cell>
          <cell r="DH63">
            <v>0.3977050097956899</v>
          </cell>
          <cell r="DI63">
            <v>0.40935036694754007</v>
          </cell>
          <cell r="DJ63">
            <v>0.39317821258593338</v>
          </cell>
          <cell r="DK63">
            <v>0.40488936473947179</v>
          </cell>
          <cell r="DL63">
            <v>0.40167087390311335</v>
          </cell>
          <cell r="DN63">
            <v>0.39313835770528682</v>
          </cell>
          <cell r="DO63">
            <v>0.38990825688073394</v>
          </cell>
          <cell r="DP63">
            <v>0.38589928057553957</v>
          </cell>
          <cell r="DQ63">
            <v>0.39380358534684334</v>
          </cell>
          <cell r="DR63">
            <v>0.3916376306620209</v>
          </cell>
          <cell r="DT63">
            <v>0.39820445988995079</v>
          </cell>
          <cell r="DU63">
            <v>0.41164658634538154</v>
          </cell>
          <cell r="DV63">
            <v>0.39292900258695029</v>
          </cell>
          <cell r="DW63">
            <v>0.39924257524416984</v>
          </cell>
          <cell r="DX63">
            <v>0.40119452828976943</v>
          </cell>
          <cell r="DZ63">
            <v>0.39167426314190218</v>
          </cell>
          <cell r="EA63">
            <v>0.41030867792661618</v>
          </cell>
          <cell r="EB63">
            <v>0.40017211703958694</v>
          </cell>
          <cell r="EC63">
            <v>0.4100534336037997</v>
          </cell>
          <cell r="ED63">
            <v>0.40468466130288089</v>
          </cell>
          <cell r="EF63">
            <v>0.40309859154929578</v>
          </cell>
          <cell r="EG63">
            <v>0.41413013124825465</v>
          </cell>
          <cell r="EH63">
            <v>0.40226950354609931</v>
          </cell>
          <cell r="EI63">
            <v>0.40976562500000002</v>
          </cell>
          <cell r="EJ63">
            <v>0.40758113590263689</v>
          </cell>
          <cell r="EK63" t="str">
            <v>Gross Margin (FIFO)</v>
          </cell>
          <cell r="EL63">
            <v>0.4023619884647075</v>
          </cell>
          <cell r="EM63">
            <v>0.41319348606127521</v>
          </cell>
          <cell r="EN63">
            <v>0.40378037803780376</v>
          </cell>
          <cell r="EO63">
            <v>0.40883920175530247</v>
          </cell>
          <cell r="EP63">
            <v>0.4072353729343457</v>
          </cell>
          <cell r="ER63">
            <v>0.38836424957841487</v>
          </cell>
          <cell r="ES63">
            <v>0.42118432026688907</v>
          </cell>
          <cell r="ET63">
            <v>0.40316004077471967</v>
          </cell>
          <cell r="EU63">
            <v>0.40943334425155586</v>
          </cell>
          <cell r="EV63">
            <v>0.40604375231738971</v>
          </cell>
          <cell r="EX63">
            <v>0.39807464955244048</v>
          </cell>
          <cell r="EY63">
            <v>0.40478615071283097</v>
          </cell>
          <cell r="EZ63">
            <v>0.39299017947849646</v>
          </cell>
          <cell r="FA63">
            <v>0.41575517803118456</v>
          </cell>
          <cell r="FB63">
            <v>0.40421084634971305</v>
          </cell>
          <cell r="FD63">
            <v>0.38628849834696366</v>
          </cell>
          <cell r="FE63">
            <v>0.4148303602658272</v>
          </cell>
          <cell r="FF63">
            <v>0.39486619333697431</v>
          </cell>
          <cell r="FG63">
            <v>0.39349634484497104</v>
          </cell>
          <cell r="FH63">
            <v>0.39703519202956772</v>
          </cell>
          <cell r="FJ63">
            <v>0.37991679273827533</v>
          </cell>
          <cell r="FK63">
            <v>0.41021759697256388</v>
          </cell>
          <cell r="FL63">
            <v>0.3981429897864438</v>
          </cell>
          <cell r="FM63">
            <v>0.41527025324429884</v>
          </cell>
          <cell r="FN63">
            <v>0.40246913580246912</v>
          </cell>
          <cell r="FP63">
            <v>0.3939720129171152</v>
          </cell>
          <cell r="FQ63">
            <v>0.41954126783456747</v>
          </cell>
          <cell r="FR63">
            <v>0.39943090876756182</v>
          </cell>
          <cell r="FS63">
            <v>0.41286733583262791</v>
          </cell>
          <cell r="FT63">
            <v>0.4071111466624005</v>
          </cell>
          <cell r="FV63">
            <v>0.39106809305484802</v>
          </cell>
          <cell r="FW63">
            <v>0.41791547398551943</v>
          </cell>
          <cell r="FX63">
            <v>0.39449854775328891</v>
          </cell>
          <cell r="FY63">
            <v>0.40955983493810177</v>
          </cell>
          <cell r="FZ63">
            <v>0.4039765195985609</v>
          </cell>
          <cell r="GB63">
            <v>0.38840957187042163</v>
          </cell>
          <cell r="GC63">
            <v>0.41892775416802874</v>
          </cell>
          <cell r="GD63">
            <v>0.39599854775328891</v>
          </cell>
          <cell r="GE63">
            <v>0.41337263049654577</v>
          </cell>
          <cell r="GF63">
            <v>0.40525585251062379</v>
          </cell>
        </row>
        <row r="64">
          <cell r="A64" t="str">
            <v>Y/Y ∆ bps</v>
          </cell>
          <cell r="O64">
            <v>104.79345102586468</v>
          </cell>
          <cell r="P64">
            <v>35.009128791123615</v>
          </cell>
          <cell r="Q64">
            <v>45.328884998543927</v>
          </cell>
          <cell r="R64">
            <v>25.177356604123013</v>
          </cell>
          <cell r="S64">
            <v>-9.1194473809946821</v>
          </cell>
          <cell r="T64">
            <v>-100.33243241092448</v>
          </cell>
          <cell r="U64">
            <v>95.568976277485291</v>
          </cell>
          <cell r="V64">
            <v>34.901330131114626</v>
          </cell>
          <cell r="W64">
            <v>28.964745997560048</v>
          </cell>
          <cell r="X64">
            <v>-3.4576296829119668</v>
          </cell>
          <cell r="Y64">
            <v>-11.916206169559906</v>
          </cell>
          <cell r="Z64">
            <v>-18.329059676766569</v>
          </cell>
          <cell r="AA64">
            <v>-71.756543201453297</v>
          </cell>
          <cell r="AB64">
            <v>54.339437729014065</v>
          </cell>
          <cell r="AC64">
            <v>46.420108599313778</v>
          </cell>
          <cell r="AD64">
            <v>-31.346270638396014</v>
          </cell>
          <cell r="AE64">
            <v>12.793329120628915</v>
          </cell>
          <cell r="AF64">
            <v>30.000000000000583</v>
          </cell>
          <cell r="AG64">
            <v>14.999999999999458</v>
          </cell>
          <cell r="AH64">
            <v>-10.000000000000009</v>
          </cell>
          <cell r="AI64">
            <v>-20.000000000000018</v>
          </cell>
          <cell r="AJ64">
            <v>-5.5511151231257827E-13</v>
          </cell>
          <cell r="AK64">
            <v>1.1102230246251565E-12</v>
          </cell>
          <cell r="AL64">
            <v>-1.1102230246251565E-12</v>
          </cell>
          <cell r="AN64" t="str">
            <v>Y/Y ∆ bps</v>
          </cell>
          <cell r="DH64">
            <v>15.93898684578765</v>
          </cell>
          <cell r="DI64">
            <v>-117.67955568685595</v>
          </cell>
          <cell r="DJ64">
            <v>-136.38321134153642</v>
          </cell>
          <cell r="DK64">
            <v>-98.101162583517649</v>
          </cell>
          <cell r="DL64">
            <v>-88.619777564034607</v>
          </cell>
          <cell r="DN64">
            <v>-45.666520904030783</v>
          </cell>
          <cell r="DO64">
            <v>-194.42110066806129</v>
          </cell>
          <cell r="DP64">
            <v>-72.789320103938124</v>
          </cell>
          <cell r="DQ64">
            <v>-110.85779392628447</v>
          </cell>
          <cell r="DR64">
            <v>-100.33243241092448</v>
          </cell>
          <cell r="DT64">
            <v>50.661021846639677</v>
          </cell>
          <cell r="DU64">
            <v>217.38329464647597</v>
          </cell>
          <cell r="DV64">
            <v>70.297220114107219</v>
          </cell>
          <cell r="DW64">
            <v>54.389898973264962</v>
          </cell>
          <cell r="DX64">
            <v>95.568976277485291</v>
          </cell>
          <cell r="DZ64">
            <v>-65.301967480486113</v>
          </cell>
          <cell r="EA64">
            <v>-13.379084187653545</v>
          </cell>
          <cell r="EB64">
            <v>72.431144526366452</v>
          </cell>
          <cell r="EC64">
            <v>108.1085835962986</v>
          </cell>
          <cell r="ED64">
            <v>34.901330131114626</v>
          </cell>
          <cell r="EF64">
            <v>114.24328407393602</v>
          </cell>
          <cell r="EG64">
            <v>38.21453321638468</v>
          </cell>
          <cell r="EH64">
            <v>20.973865065123665</v>
          </cell>
          <cell r="EI64">
            <v>-2.8780860379967743</v>
          </cell>
          <cell r="EJ64">
            <v>28.964745997560048</v>
          </cell>
          <cell r="EK64" t="str">
            <v>Y/Y ∆ bps</v>
          </cell>
          <cell r="EL64">
            <v>-7.3660308458828316</v>
          </cell>
          <cell r="EM64">
            <v>-9.3664518697944565</v>
          </cell>
          <cell r="EN64">
            <v>15.108744917044504</v>
          </cell>
          <cell r="EO64">
            <v>-9.2642324469754946</v>
          </cell>
          <cell r="EP64">
            <v>-3.4576296829119668</v>
          </cell>
          <cell r="ER64">
            <v>-139.97738886292632</v>
          </cell>
          <cell r="ES64">
            <v>79.908342056138622</v>
          </cell>
          <cell r="ET64">
            <v>-6.2033726308408088</v>
          </cell>
          <cell r="EU64">
            <v>5.9414249625339144</v>
          </cell>
          <cell r="EV64">
            <v>-11.916206169559906</v>
          </cell>
          <cell r="EX64">
            <v>97.103999740256185</v>
          </cell>
          <cell r="EY64">
            <v>-163.98169554058094</v>
          </cell>
          <cell r="EZ64">
            <v>-101.69861296223215</v>
          </cell>
          <cell r="FA64">
            <v>63.218337796286939</v>
          </cell>
          <cell r="FB64">
            <v>-18.329059676766569</v>
          </cell>
          <cell r="FD64">
            <v>-117.86151205476824</v>
          </cell>
          <cell r="FE64">
            <v>100.4420955299623</v>
          </cell>
          <cell r="FF64">
            <v>18.760138584778542</v>
          </cell>
          <cell r="FG64">
            <v>-222.58833186213522</v>
          </cell>
          <cell r="FH64">
            <v>-71.756543201453297</v>
          </cell>
          <cell r="FJ64">
            <v>-63.717056086883275</v>
          </cell>
          <cell r="FK64">
            <v>-46.127632932633219</v>
          </cell>
          <cell r="FL64">
            <v>32.76796449469488</v>
          </cell>
          <cell r="FM64">
            <v>217.73908399327803</v>
          </cell>
          <cell r="FN64">
            <v>54.339437729014065</v>
          </cell>
          <cell r="FP64">
            <v>140.55220178839866</v>
          </cell>
          <cell r="FQ64">
            <v>93.236708620035856</v>
          </cell>
          <cell r="FR64">
            <v>12.879189811180192</v>
          </cell>
          <cell r="FS64">
            <v>-24.029174116709239</v>
          </cell>
          <cell r="FT64">
            <v>46.420108599313778</v>
          </cell>
          <cell r="FV64">
            <v>-29.03919862267179</v>
          </cell>
          <cell r="FW64">
            <v>-16.257938490480406</v>
          </cell>
          <cell r="FX64">
            <v>-49.323610142729123</v>
          </cell>
          <cell r="FY64">
            <v>-33.075008945261388</v>
          </cell>
          <cell r="FZ64">
            <v>-31.346270638396014</v>
          </cell>
          <cell r="GB64">
            <v>-26.585211844263878</v>
          </cell>
          <cell r="GC64">
            <v>10.122801825093175</v>
          </cell>
          <cell r="GD64">
            <v>15.000000000000014</v>
          </cell>
          <cell r="GE64">
            <v>38.127955584439931</v>
          </cell>
          <cell r="GF64">
            <v>12.793329120628915</v>
          </cell>
        </row>
        <row r="65">
          <cell r="A65" t="str">
            <v>SG&amp;A Expense</v>
          </cell>
          <cell r="K65">
            <v>0.33637419260664891</v>
          </cell>
          <cell r="L65">
            <v>0.31608245843666333</v>
          </cell>
          <cell r="N65">
            <v>0.33618448063500755</v>
          </cell>
          <cell r="O65">
            <v>0.33182768152093306</v>
          </cell>
          <cell r="P65">
            <v>0.30742444152431014</v>
          </cell>
          <cell r="Q65">
            <v>0.30536934591604298</v>
          </cell>
          <cell r="R65">
            <v>0.29696175681577142</v>
          </cell>
          <cell r="S65">
            <v>0.29522779180189929</v>
          </cell>
          <cell r="T65">
            <v>0.30446626544187522</v>
          </cell>
          <cell r="U65">
            <v>0.31057735534005521</v>
          </cell>
          <cell r="V65">
            <v>0.31384635349078638</v>
          </cell>
          <cell r="W65">
            <v>0.31256338742393508</v>
          </cell>
          <cell r="X65">
            <v>0.311746315319339</v>
          </cell>
          <cell r="Y65">
            <v>0.32176492398961809</v>
          </cell>
          <cell r="Z65">
            <v>0.32508645916467144</v>
          </cell>
          <cell r="AA65">
            <v>0.33978788365739998</v>
          </cell>
          <cell r="AB65">
            <v>0.34161958568738232</v>
          </cell>
          <cell r="AC65">
            <v>0.33036035675718911</v>
          </cell>
          <cell r="AD65">
            <v>0.31361484567316794</v>
          </cell>
          <cell r="AE65">
            <v>0.30881156325452847</v>
          </cell>
          <cell r="AF65">
            <v>0.31031156325452852</v>
          </cell>
          <cell r="AG65">
            <v>0.30931156325452847</v>
          </cell>
          <cell r="AH65">
            <v>0.30831156325452846</v>
          </cell>
          <cell r="AI65">
            <v>0.30731156325452846</v>
          </cell>
          <cell r="AJ65">
            <v>0.30631156325452846</v>
          </cell>
          <cell r="AK65">
            <v>0.30531156325452846</v>
          </cell>
          <cell r="AL65">
            <v>0.30431156325452846</v>
          </cell>
          <cell r="AN65" t="str">
            <v>SG&amp;A Expense</v>
          </cell>
          <cell r="AO65">
            <v>0.38279428592985676</v>
          </cell>
          <cell r="AP65">
            <v>0.40410711991673287</v>
          </cell>
          <cell r="AQ65">
            <v>0.37126236401073487</v>
          </cell>
          <cell r="AR65">
            <v>0.32336892031185249</v>
          </cell>
          <cell r="AS65">
            <v>0.3657015145513508</v>
          </cell>
          <cell r="AU65">
            <v>0.37521706468919974</v>
          </cell>
          <cell r="AV65">
            <v>0.39432108323421872</v>
          </cell>
          <cell r="AW65">
            <v>0.36519669659038179</v>
          </cell>
          <cell r="AX65">
            <v>0.305193369130284</v>
          </cell>
          <cell r="AY65">
            <v>0.3553106224277201</v>
          </cell>
          <cell r="BA65">
            <v>0.35769529803540817</v>
          </cell>
          <cell r="BB65">
            <v>0.38275487712151696</v>
          </cell>
          <cell r="BC65">
            <v>0.34365233528884026</v>
          </cell>
          <cell r="BD65">
            <v>0.30324335842280281</v>
          </cell>
          <cell r="BE65">
            <v>0.34190736900208624</v>
          </cell>
          <cell r="BG65">
            <v>0.34938333944344918</v>
          </cell>
          <cell r="BH65">
            <v>0.35957752441609064</v>
          </cell>
          <cell r="BI65">
            <v>0.33788405060036941</v>
          </cell>
          <cell r="BJ65">
            <v>0.2756778999669442</v>
          </cell>
          <cell r="BK65">
            <v>0.32472183745109906</v>
          </cell>
          <cell r="BM65">
            <v>0.32781678621167598</v>
          </cell>
          <cell r="BN65">
            <v>0.3350610863980954</v>
          </cell>
          <cell r="BO65">
            <v>0.31739646493610429</v>
          </cell>
          <cell r="BP65">
            <v>0.25271490575617306</v>
          </cell>
          <cell r="BQ65">
            <v>0.30205046346554137</v>
          </cell>
          <cell r="BS65">
            <v>0.37287950987066032</v>
          </cell>
          <cell r="BT65">
            <v>0.36983212774669039</v>
          </cell>
          <cell r="BU65">
            <v>0.35274378094613129</v>
          </cell>
          <cell r="BV65">
            <v>0.27829695765719514</v>
          </cell>
          <cell r="BW65">
            <v>0.33637419260664891</v>
          </cell>
          <cell r="BY65">
            <v>0.35808462232003552</v>
          </cell>
          <cell r="BZ65">
            <v>0.35047161142106986</v>
          </cell>
          <cell r="CA65">
            <v>0.33217510097410313</v>
          </cell>
          <cell r="CB65">
            <v>0.40589440694310513</v>
          </cell>
          <cell r="CC65">
            <v>0.3403293539136622</v>
          </cell>
          <cell r="CD65">
            <v>0.25475148504158118</v>
          </cell>
          <cell r="CE65">
            <v>0.25352903189044429</v>
          </cell>
          <cell r="CF65">
            <v>0.31608245843666333</v>
          </cell>
          <cell r="CG65">
            <v>0.31297957813593175</v>
          </cell>
          <cell r="CH65">
            <v>0.31554074717338931</v>
          </cell>
          <cell r="CJ65">
            <v>0.34933953403823437</v>
          </cell>
          <cell r="CK65">
            <v>0.33919204147824084</v>
          </cell>
          <cell r="CL65">
            <v>0.32906076447959459</v>
          </cell>
          <cell r="CM65">
            <v>0.25497829376133824</v>
          </cell>
          <cell r="CN65">
            <v>0.31114796907013276</v>
          </cell>
          <cell r="CP65">
            <v>0.34442201748207951</v>
          </cell>
          <cell r="CQ65">
            <v>0.33082958930198975</v>
          </cell>
          <cell r="CR65">
            <v>0.31802141646798049</v>
          </cell>
          <cell r="CS65">
            <v>0.24483628438557536</v>
          </cell>
          <cell r="CT65">
            <v>0.30295286435450097</v>
          </cell>
          <cell r="CV65">
            <v>0.34375930890676198</v>
          </cell>
          <cell r="CW65">
            <v>0.33333333333333331</v>
          </cell>
          <cell r="CX65">
            <v>0.32299887260428412</v>
          </cell>
          <cell r="CY65">
            <v>0.24831148192292413</v>
          </cell>
          <cell r="CZ65">
            <v>0.30536934591604298</v>
          </cell>
          <cell r="DB65">
            <v>0.33361111111111114</v>
          </cell>
          <cell r="DC65">
            <v>0.34173739390913632</v>
          </cell>
          <cell r="DD65">
            <v>0.33381677544114091</v>
          </cell>
          <cell r="DE65">
            <v>0.27138791227189019</v>
          </cell>
          <cell r="DF65">
            <v>0.31451794987581849</v>
          </cell>
          <cell r="DH65">
            <v>0.32241813602015112</v>
          </cell>
          <cell r="DI65">
            <v>0.30008154389779834</v>
          </cell>
          <cell r="DJ65">
            <v>0.3220518244315177</v>
          </cell>
          <cell r="DK65">
            <v>0.25660242683797285</v>
          </cell>
          <cell r="DL65">
            <v>0.29522779180189929</v>
          </cell>
          <cell r="DN65">
            <v>0.32845894263217096</v>
          </cell>
          <cell r="DO65">
            <v>0.31708715596330272</v>
          </cell>
          <cell r="DP65">
            <v>0.34100719424460429</v>
          </cell>
          <cell r="DQ65">
            <v>0.25038971161340606</v>
          </cell>
          <cell r="DR65">
            <v>0.30446626544187522</v>
          </cell>
          <cell r="DT65">
            <v>0.33420214306400231</v>
          </cell>
          <cell r="DU65">
            <v>0.32558806655192196</v>
          </cell>
          <cell r="DV65">
            <v>0.3388904857717735</v>
          </cell>
          <cell r="DW65">
            <v>0.25931831771975283</v>
          </cell>
          <cell r="DX65">
            <v>0.31057735534005521</v>
          </cell>
          <cell r="DZ65">
            <v>0.34487997569127926</v>
          </cell>
          <cell r="EA65">
            <v>0.33051834595224228</v>
          </cell>
          <cell r="EB65">
            <v>0.34222604704532417</v>
          </cell>
          <cell r="EC65">
            <v>0.25766871165644173</v>
          </cell>
          <cell r="ED65">
            <v>0.31384635349078638</v>
          </cell>
          <cell r="EF65">
            <v>0.33661971830985915</v>
          </cell>
          <cell r="EG65">
            <v>0.33705668807595646</v>
          </cell>
          <cell r="EH65">
            <v>0.3424113475177305</v>
          </cell>
          <cell r="EI65">
            <v>0.25820312499999998</v>
          </cell>
          <cell r="EJ65">
            <v>0.31256338742393508</v>
          </cell>
          <cell r="EK65" t="str">
            <v>SG&amp;A Expense</v>
          </cell>
          <cell r="EL65">
            <v>0.33315023345234823</v>
          </cell>
          <cell r="EM65">
            <v>0.33287330941208942</v>
          </cell>
          <cell r="EN65">
            <v>0.35517551755175519</v>
          </cell>
          <cell r="EO65">
            <v>0.27040016717166443</v>
          </cell>
          <cell r="EP65">
            <v>0.311746315319339</v>
          </cell>
          <cell r="ER65">
            <v>0.36323777403035412</v>
          </cell>
          <cell r="ES65">
            <v>0.35312760633861551</v>
          </cell>
          <cell r="ET65">
            <v>0.35575942915392456</v>
          </cell>
          <cell r="EU65">
            <v>0.25253848673435964</v>
          </cell>
          <cell r="EV65">
            <v>0.32176492398961809</v>
          </cell>
          <cell r="EX65">
            <v>0.35686539435906095</v>
          </cell>
          <cell r="EY65">
            <v>0.34589273591310249</v>
          </cell>
          <cell r="EZ65">
            <v>0.35912631222485608</v>
          </cell>
          <cell r="FA65">
            <v>0.2655340935536421</v>
          </cell>
          <cell r="FB65">
            <v>0.32508645916467144</v>
          </cell>
          <cell r="FD65">
            <v>0.36192796241517311</v>
          </cell>
          <cell r="FE65">
            <v>0.35624344176285416</v>
          </cell>
          <cell r="FF65">
            <v>0.37957400327689789</v>
          </cell>
          <cell r="FG65">
            <v>0.28434585328963952</v>
          </cell>
          <cell r="FH65">
            <v>0.33978788365739998</v>
          </cell>
          <cell r="FJ65">
            <v>0.37537821482602118</v>
          </cell>
          <cell r="FK65">
            <v>0.35685903500473037</v>
          </cell>
          <cell r="FL65">
            <v>0.38180129990714951</v>
          </cell>
          <cell r="FM65">
            <v>0.28171853345092607</v>
          </cell>
          <cell r="FN65">
            <v>0.34161958568738232</v>
          </cell>
          <cell r="FP65">
            <v>0.35755292429135271</v>
          </cell>
          <cell r="FQ65">
            <v>0.3527180783817952</v>
          </cell>
          <cell r="FR65">
            <v>0.36795304997332384</v>
          </cell>
          <cell r="FS65">
            <v>0.27149594872415045</v>
          </cell>
          <cell r="FT65">
            <v>0.33036035675718911</v>
          </cell>
          <cell r="FV65">
            <v>0.33503141450161317</v>
          </cell>
          <cell r="FW65">
            <v>0.33271594544536115</v>
          </cell>
          <cell r="FX65">
            <v>0.34478045446779432</v>
          </cell>
          <cell r="FY65">
            <v>0.26524530032095367</v>
          </cell>
          <cell r="FZ65">
            <v>0.31361484567316794</v>
          </cell>
          <cell r="GB65">
            <v>0.32475988930489991</v>
          </cell>
          <cell r="GC65">
            <v>0.32837528604118993</v>
          </cell>
          <cell r="GD65">
            <v>0.34960818019307516</v>
          </cell>
          <cell r="GE65">
            <v>0.25913958182743124</v>
          </cell>
          <cell r="GF65">
            <v>0.30881156325452847</v>
          </cell>
        </row>
        <row r="66">
          <cell r="A66" t="str">
            <v>Y/Y ∆ bps</v>
          </cell>
          <cell r="O66">
            <v>-43.567991140744944</v>
          </cell>
          <cell r="P66">
            <v>-244.03239996622915</v>
          </cell>
          <cell r="Q66">
            <v>-20.550956082671657</v>
          </cell>
          <cell r="R66">
            <v>-84.075891002715622</v>
          </cell>
          <cell r="S66">
            <v>-17.339650138721296</v>
          </cell>
          <cell r="T66">
            <v>92.384736399759305</v>
          </cell>
          <cell r="U66">
            <v>61.110898981799892</v>
          </cell>
          <cell r="V66">
            <v>32.689981507311728</v>
          </cell>
          <cell r="W66">
            <v>-12.829660668512988</v>
          </cell>
          <cell r="X66">
            <v>-8.170721045960839</v>
          </cell>
          <cell r="Y66">
            <v>100.18608670279094</v>
          </cell>
          <cell r="Z66">
            <v>33.215351750533472</v>
          </cell>
          <cell r="AA66">
            <v>147.01424492728543</v>
          </cell>
          <cell r="AB66">
            <v>18.317020299823405</v>
          </cell>
          <cell r="AC66">
            <v>-112.5922893019321</v>
          </cell>
          <cell r="AD66">
            <v>-167.45511084021169</v>
          </cell>
          <cell r="AE66">
            <v>-48.032824186394762</v>
          </cell>
          <cell r="AF66">
            <v>15.000000000000568</v>
          </cell>
          <cell r="AG66">
            <v>-10.000000000000565</v>
          </cell>
          <cell r="AH66">
            <v>-10.000000000000009</v>
          </cell>
          <cell r="AI66">
            <v>-10.000000000000009</v>
          </cell>
          <cell r="AJ66">
            <v>-10.000000000000009</v>
          </cell>
          <cell r="AK66">
            <v>-10.000000000000009</v>
          </cell>
          <cell r="AL66">
            <v>-10.000000000000009</v>
          </cell>
          <cell r="AN66" t="str">
            <v>Y/Y ∆ bps</v>
          </cell>
          <cell r="DH66">
            <v>-111.92975090960012</v>
          </cell>
          <cell r="DI66">
            <v>-416.55850011337981</v>
          </cell>
          <cell r="DJ66">
            <v>-117.64951009623215</v>
          </cell>
          <cell r="DK66">
            <v>-147.85485433917333</v>
          </cell>
          <cell r="DL66">
            <v>-192.90158073919207</v>
          </cell>
          <cell r="DN66">
            <v>60.408066120198335</v>
          </cell>
          <cell r="DO66">
            <v>170.05612065504383</v>
          </cell>
          <cell r="DP66">
            <v>189.55369813086597</v>
          </cell>
          <cell r="DQ66">
            <v>-62.127152245667894</v>
          </cell>
          <cell r="DR66">
            <v>92.384736399759305</v>
          </cell>
          <cell r="DT66">
            <v>57.432004318313524</v>
          </cell>
          <cell r="DU66">
            <v>85.009105886192373</v>
          </cell>
          <cell r="DV66">
            <v>-21.167084728307973</v>
          </cell>
          <cell r="DW66">
            <v>89.286061063467699</v>
          </cell>
          <cell r="DX66">
            <v>61.110898981799892</v>
          </cell>
          <cell r="DZ66">
            <v>106.7783262727695</v>
          </cell>
          <cell r="EA66">
            <v>49.302794003203147</v>
          </cell>
          <cell r="EB66">
            <v>33.355612735506689</v>
          </cell>
          <cell r="EC66">
            <v>-16.496060633111043</v>
          </cell>
          <cell r="ED66">
            <v>32.689981507311728</v>
          </cell>
          <cell r="EF66">
            <v>-82.602573814201108</v>
          </cell>
          <cell r="EG66">
            <v>65.383421237141803</v>
          </cell>
          <cell r="EH66">
            <v>1.8530047240633563</v>
          </cell>
          <cell r="EI66">
            <v>5.3441334355824877</v>
          </cell>
          <cell r="EJ66">
            <v>-12.829660668512988</v>
          </cell>
          <cell r="EK66" t="str">
            <v>Y/Y ∆ bps</v>
          </cell>
          <cell r="EL66">
            <v>-34.694848575109184</v>
          </cell>
          <cell r="EM66">
            <v>-41.833786638670325</v>
          </cell>
          <cell r="EN66">
            <v>127.64170034024691</v>
          </cell>
          <cell r="EO66">
            <v>121.97042171664452</v>
          </cell>
          <cell r="EP66">
            <v>-8.170721045960839</v>
          </cell>
          <cell r="ER66">
            <v>300.87540578005888</v>
          </cell>
          <cell r="ES66">
            <v>202.54296926526084</v>
          </cell>
          <cell r="ET66">
            <v>5.8391160216936244</v>
          </cell>
          <cell r="EU66">
            <v>-178.61680437304796</v>
          </cell>
          <cell r="EV66">
            <v>100.18608670279094</v>
          </cell>
          <cell r="EX66">
            <v>-63.723796712931716</v>
          </cell>
          <cell r="EY66">
            <v>-72.348704255130187</v>
          </cell>
          <cell r="EZ66">
            <v>33.668830709315259</v>
          </cell>
          <cell r="FA66">
            <v>129.95606819282469</v>
          </cell>
          <cell r="FB66">
            <v>33.215351750533472</v>
          </cell>
          <cell r="FD66">
            <v>50.625680561121598</v>
          </cell>
          <cell r="FE66">
            <v>103.50705849751674</v>
          </cell>
          <cell r="FF66">
            <v>204.47691052041804</v>
          </cell>
          <cell r="FG66">
            <v>188.11759735997413</v>
          </cell>
          <cell r="FH66">
            <v>147.01424492728543</v>
          </cell>
          <cell r="FJ66">
            <v>134.50252410848074</v>
          </cell>
          <cell r="FK66">
            <v>6.1559324187621112</v>
          </cell>
          <cell r="FL66">
            <v>22.272966302516185</v>
          </cell>
          <cell r="FM66">
            <v>-26.273198387134489</v>
          </cell>
          <cell r="FN66">
            <v>18.317020299823405</v>
          </cell>
          <cell r="FP66">
            <v>-178.25290534668468</v>
          </cell>
          <cell r="FQ66">
            <v>-41.409566229351768</v>
          </cell>
          <cell r="FR66">
            <v>-138.48249933825662</v>
          </cell>
          <cell r="FS66">
            <v>-102.22584726775619</v>
          </cell>
          <cell r="FT66">
            <v>-112.5922893019321</v>
          </cell>
          <cell r="FV66">
            <v>-225.21509789739548</v>
          </cell>
          <cell r="FW66">
            <v>-200.02132936434046</v>
          </cell>
          <cell r="FX66">
            <v>-231.72595505529526</v>
          </cell>
          <cell r="FY66">
            <v>-62.506484031967787</v>
          </cell>
          <cell r="FZ66">
            <v>-167.45511084021169</v>
          </cell>
          <cell r="GB66">
            <v>-102.7152519671326</v>
          </cell>
          <cell r="GC66">
            <v>-43.406594041712211</v>
          </cell>
          <cell r="GD66">
            <v>48.277257252808404</v>
          </cell>
          <cell r="GE66">
            <v>-61.057184935224271</v>
          </cell>
          <cell r="GF66">
            <v>-48.032824186394762</v>
          </cell>
        </row>
        <row r="67">
          <cell r="A67" t="str">
            <v xml:space="preserve">     1H &amp; 2H</v>
          </cell>
          <cell r="AN67" t="str">
            <v xml:space="preserve">     1H &amp; 2H</v>
          </cell>
          <cell r="EK67" t="str">
            <v xml:space="preserve">     1H &amp; 2H</v>
          </cell>
          <cell r="EL67">
            <v>0.33301211453744495</v>
          </cell>
          <cell r="EN67">
            <v>0.3015337828903874</v>
          </cell>
          <cell r="ER67">
            <v>0.35815513626834383</v>
          </cell>
          <cell r="ET67">
            <v>0.2929212362911266</v>
          </cell>
        </row>
        <row r="68">
          <cell r="A68" t="str">
            <v>EBITDA</v>
          </cell>
          <cell r="K68">
            <v>9.0053716746341619E-2</v>
          </cell>
          <cell r="L68">
            <v>0.10498588587511638</v>
          </cell>
          <cell r="N68">
            <v>7.9375940878609552E-2</v>
          </cell>
          <cell r="O68">
            <v>9.6136991842513314E-2</v>
          </cell>
          <cell r="P68">
            <v>0.12687253613666227</v>
          </cell>
          <cell r="Q68">
            <v>0.13530751708428246</v>
          </cell>
          <cell r="R68">
            <v>0.14710836608646827</v>
          </cell>
          <cell r="S68">
            <v>0.14557038105541531</v>
          </cell>
          <cell r="T68">
            <v>0.13082039911308205</v>
          </cell>
          <cell r="U68">
            <v>0.13428809967246805</v>
          </cell>
          <cell r="V68">
            <v>0.13690630677394239</v>
          </cell>
          <cell r="W68">
            <v>0.14173427991886409</v>
          </cell>
          <cell r="X68">
            <v>0.13916927199642698</v>
          </cell>
          <cell r="Y68">
            <v>0.13118279569892474</v>
          </cell>
          <cell r="Z68">
            <v>0.12868164025386691</v>
          </cell>
          <cell r="AA68">
            <v>0.10858910493331191</v>
          </cell>
          <cell r="AB68">
            <v>0.11148775894538607</v>
          </cell>
          <cell r="AC68">
            <v>0.1227452705675319</v>
          </cell>
          <cell r="AD68">
            <v>0.13145237644385532</v>
          </cell>
          <cell r="AE68">
            <v>0.13464669259900278</v>
          </cell>
          <cell r="AF68">
            <v>0.13614669259900275</v>
          </cell>
          <cell r="AG68">
            <v>0.13864669259900278</v>
          </cell>
          <cell r="AH68">
            <v>0.13864669259900272</v>
          </cell>
          <cell r="AI68">
            <v>0.13764669259900278</v>
          </cell>
          <cell r="AJ68">
            <v>0.13864669259900272</v>
          </cell>
          <cell r="AK68">
            <v>0.13964669259900278</v>
          </cell>
          <cell r="AL68">
            <v>0.14064669259900264</v>
          </cell>
          <cell r="AN68" t="str">
            <v>EBITDA</v>
          </cell>
          <cell r="AO68">
            <v>0</v>
          </cell>
          <cell r="AP68">
            <v>0</v>
          </cell>
          <cell r="AQ68">
            <v>0</v>
          </cell>
          <cell r="AR68">
            <v>0</v>
          </cell>
          <cell r="AS68">
            <v>0</v>
          </cell>
          <cell r="AU68">
            <v>6.7943208911152742E-2</v>
          </cell>
          <cell r="AV68">
            <v>4.9845461419508498E-2</v>
          </cell>
          <cell r="AW68">
            <v>6.8649383434148642E-2</v>
          </cell>
          <cell r="AX68">
            <v>0.10669880895486035</v>
          </cell>
          <cell r="AY68">
            <v>7.6144172739787269E-2</v>
          </cell>
          <cell r="BA68">
            <v>9.0037958270080251E-2</v>
          </cell>
          <cell r="BB68">
            <v>6.1182587022341257E-2</v>
          </cell>
          <cell r="BC68">
            <v>9.4692741333676139E-2</v>
          </cell>
          <cell r="BD68">
            <v>0.11869075585821284</v>
          </cell>
          <cell r="BE68">
            <v>9.4429600472659303E-2</v>
          </cell>
          <cell r="BG68">
            <v>9.0051997819223198E-2</v>
          </cell>
          <cell r="BH68">
            <v>7.8816445315412209E-2</v>
          </cell>
          <cell r="BI68">
            <v>9.2409106278100797E-2</v>
          </cell>
          <cell r="BJ68">
            <v>0.13352806166785364</v>
          </cell>
          <cell r="BK68">
            <v>0.10241823463781106</v>
          </cell>
          <cell r="BM68">
            <v>0.10189758174586723</v>
          </cell>
          <cell r="BN68">
            <v>9.2698452477914833E-2</v>
          </cell>
          <cell r="BO68">
            <v>0.10149360783180084</v>
          </cell>
          <cell r="BP68">
            <v>0.15033732592895513</v>
          </cell>
          <cell r="BQ68">
            <v>0.11579794529390085</v>
          </cell>
          <cell r="BS68">
            <v>6.7008509189925111E-2</v>
          </cell>
          <cell r="BT68">
            <v>5.9258905418315827E-2</v>
          </cell>
          <cell r="BU68">
            <v>7.7574121577283314E-2</v>
          </cell>
          <cell r="BV68">
            <v>0.13465078904488742</v>
          </cell>
          <cell r="BW68">
            <v>9.0053716746341619E-2</v>
          </cell>
          <cell r="BY68">
            <v>7.0664182066568715E-2</v>
          </cell>
          <cell r="BZ68">
            <v>7.784640630127998E-2</v>
          </cell>
          <cell r="CA68">
            <v>9.2753683184901944E-2</v>
          </cell>
          <cell r="CB68">
            <v>0</v>
          </cell>
          <cell r="CC68">
            <v>7.4262165757960283E-2</v>
          </cell>
          <cell r="CD68">
            <v>0.15499146776109726</v>
          </cell>
          <cell r="CE68">
            <v>0.14389713004995339</v>
          </cell>
          <cell r="CF68">
            <v>0.10498588587511638</v>
          </cell>
          <cell r="CG68">
            <v>0.1039617221767631</v>
          </cell>
          <cell r="CH68">
            <v>9.8270069431402887E-2</v>
          </cell>
          <cell r="CJ68">
            <v>8.0683491380616187E-2</v>
          </cell>
          <cell r="CK68">
            <v>9.3772722234875303E-2</v>
          </cell>
          <cell r="CL68">
            <v>0.10165612493585756</v>
          </cell>
          <cell r="CM68">
            <v>0.15770796896418993</v>
          </cell>
          <cell r="CN68">
            <v>0.11394209245313917</v>
          </cell>
          <cell r="CP68">
            <v>8.6164904368935924E-2</v>
          </cell>
          <cell r="CQ68">
            <v>0.10346704108428201</v>
          </cell>
          <cell r="CR68">
            <v>0.11096806535343365</v>
          </cell>
          <cell r="CS68">
            <v>0.17081762552479032</v>
          </cell>
          <cell r="CT68">
            <v>0.12324697133935045</v>
          </cell>
          <cell r="CV68">
            <v>0.10008936550491511</v>
          </cell>
          <cell r="CW68">
            <v>0.1234676007005254</v>
          </cell>
          <cell r="CX68">
            <v>0.11668545659526494</v>
          </cell>
          <cell r="CY68">
            <v>0.1799761620977354</v>
          </cell>
          <cell r="CZ68">
            <v>0.13530751708428246</v>
          </cell>
          <cell r="DB68">
            <v>0.11055555555555556</v>
          </cell>
          <cell r="DC68">
            <v>0.12606090863704444</v>
          </cell>
          <cell r="DD68">
            <v>0.11916847957457094</v>
          </cell>
          <cell r="DE68">
            <v>0.17461911937050059</v>
          </cell>
          <cell r="DF68">
            <v>0.13767216075863625</v>
          </cell>
          <cell r="DH68">
            <v>0.12426532325776658</v>
          </cell>
          <cell r="DI68">
            <v>0.15656428377276435</v>
          </cell>
          <cell r="DJ68">
            <v>0.11792702273929138</v>
          </cell>
          <cell r="DK68">
            <v>0.17790863668807994</v>
          </cell>
          <cell r="DL68">
            <v>0.14557038105541531</v>
          </cell>
          <cell r="DN68">
            <v>0.11220472440944881</v>
          </cell>
          <cell r="DO68">
            <v>0.12098623853211009</v>
          </cell>
          <cell r="DP68">
            <v>9.4964028776978418E-2</v>
          </cell>
          <cell r="DQ68">
            <v>0.17809820732657833</v>
          </cell>
          <cell r="DR68">
            <v>0.13082039911308205</v>
          </cell>
          <cell r="DT68">
            <v>0.11178685201274255</v>
          </cell>
          <cell r="DU68">
            <v>0.13425129087779691</v>
          </cell>
          <cell r="DV68">
            <v>0.10204081632653061</v>
          </cell>
          <cell r="DW68">
            <v>0.17580227227426748</v>
          </cell>
          <cell r="DX68">
            <v>0.13428809967246805</v>
          </cell>
          <cell r="DZ68">
            <v>0.10148890914615619</v>
          </cell>
          <cell r="EA68">
            <v>0.13016889924286545</v>
          </cell>
          <cell r="EB68">
            <v>0.10843373493975904</v>
          </cell>
          <cell r="EC68">
            <v>0.18820502671680189</v>
          </cell>
          <cell r="ED68">
            <v>0.13690630677394239</v>
          </cell>
          <cell r="EF68">
            <v>0.11633802816901409</v>
          </cell>
          <cell r="EG68">
            <v>0.12678022898631666</v>
          </cell>
          <cell r="EH68">
            <v>0.11035460992907802</v>
          </cell>
          <cell r="EI68">
            <v>0.19140625</v>
          </cell>
          <cell r="EJ68">
            <v>0.14173427991886409</v>
          </cell>
          <cell r="EK68" t="str">
            <v>EBITDA</v>
          </cell>
          <cell r="EL68">
            <v>0.11782477341389729</v>
          </cell>
          <cell r="EM68">
            <v>0.12945073143803479</v>
          </cell>
          <cell r="EN68">
            <v>0.10171017101710171</v>
          </cell>
          <cell r="EO68">
            <v>0.17270922578622924</v>
          </cell>
          <cell r="EP68">
            <v>0.13916927199642698</v>
          </cell>
          <cell r="ER68">
            <v>7.8414839797639121E-2</v>
          </cell>
          <cell r="ES68">
            <v>0.12043369474562135</v>
          </cell>
          <cell r="ET68">
            <v>0.10091743119266056</v>
          </cell>
          <cell r="EU68">
            <v>0.19183316955999563</v>
          </cell>
          <cell r="EV68">
            <v>0.13118279569892474</v>
          </cell>
          <cell r="EX68">
            <v>9.6774193548387094E-2</v>
          </cell>
          <cell r="EY68">
            <v>0.11439239646978955</v>
          </cell>
          <cell r="EZ68">
            <v>8.8215374195733151E-2</v>
          </cell>
          <cell r="FA68">
            <v>0.18827088666511518</v>
          </cell>
          <cell r="FB68">
            <v>0.12868164025386691</v>
          </cell>
          <cell r="FD68">
            <v>7.9171741778319121E-2</v>
          </cell>
          <cell r="FE68">
            <v>0.1136761105281567</v>
          </cell>
          <cell r="FF68">
            <v>7.3548152193701075E-2</v>
          </cell>
          <cell r="FG68">
            <v>0.15049155533148476</v>
          </cell>
          <cell r="FH68">
            <v>0.10858910493331191</v>
          </cell>
          <cell r="FJ68">
            <v>6.1838124054462935E-2</v>
          </cell>
          <cell r="FK68">
            <v>0.11031220435193945</v>
          </cell>
          <cell r="FL68">
            <v>7.2237697307335189E-2</v>
          </cell>
          <cell r="FM68">
            <v>0.17197933728108858</v>
          </cell>
          <cell r="FN68">
            <v>0.11148775894538607</v>
          </cell>
          <cell r="FP68">
            <v>8.7908144958737E-2</v>
          </cell>
          <cell r="FQ68">
            <v>0.11883691529709228</v>
          </cell>
          <cell r="FR68">
            <v>8.3051751733949852E-2</v>
          </cell>
          <cell r="FS68">
            <v>0.17583746523158786</v>
          </cell>
          <cell r="FT68">
            <v>0.1227452705675319</v>
          </cell>
          <cell r="FV68">
            <v>0.10154525386313466</v>
          </cell>
          <cell r="FW68">
            <v>0.13032497053375988</v>
          </cell>
          <cell r="FX68">
            <v>9.7898513582778068E-2</v>
          </cell>
          <cell r="FY68">
            <v>0.17491976157725814</v>
          </cell>
          <cell r="FZ68">
            <v>0.13145237644385532</v>
          </cell>
          <cell r="GB68">
            <v>0.10532313202018558</v>
          </cell>
          <cell r="GC68">
            <v>0.13255966001961425</v>
          </cell>
          <cell r="GD68">
            <v>9.1769984292360302E-2</v>
          </cell>
          <cell r="GE68">
            <v>0.18302341955100002</v>
          </cell>
          <cell r="GF68">
            <v>0.13464669259900278</v>
          </cell>
        </row>
        <row r="69">
          <cell r="A69" t="str">
            <v>Operating Income</v>
          </cell>
          <cell r="K69">
            <v>4.9834032770134616E-2</v>
          </cell>
          <cell r="L69">
            <v>7.1056478359746725E-2</v>
          </cell>
          <cell r="N69">
            <v>4.5367455864239771E-2</v>
          </cell>
          <cell r="O69">
            <v>6.0203600080900692E-2</v>
          </cell>
          <cell r="P69">
            <v>8.8107752956636004E-2</v>
          </cell>
          <cell r="Q69">
            <v>9.4695737064757562E-2</v>
          </cell>
          <cell r="R69">
            <v>0.10562106182544138</v>
          </cell>
          <cell r="S69">
            <v>0.10644308210121409</v>
          </cell>
          <cell r="T69">
            <v>8.7171365220145708E-2</v>
          </cell>
          <cell r="U69">
            <v>9.0617172949714206E-2</v>
          </cell>
          <cell r="V69">
            <v>9.0838307812094468E-2</v>
          </cell>
          <cell r="W69">
            <v>9.5017748478701827E-2</v>
          </cell>
          <cell r="X69">
            <v>9.5489057615006701E-2</v>
          </cell>
          <cell r="Y69">
            <v>8.4278828327771602E-2</v>
          </cell>
          <cell r="Z69">
            <v>7.9124387185041611E-2</v>
          </cell>
          <cell r="AA69">
            <v>5.7247308372167766E-2</v>
          </cell>
          <cell r="AB69">
            <v>6.0849550115086838E-2</v>
          </cell>
          <cell r="AC69">
            <v>7.6750789905211378E-2</v>
          </cell>
          <cell r="AD69">
            <v>9.0361673925392919E-2</v>
          </cell>
          <cell r="AE69">
            <v>9.644428925609537E-2</v>
          </cell>
          <cell r="AF69">
            <v>9.7944289256095343E-2</v>
          </cell>
          <cell r="AG69">
            <v>0.10044428925609535</v>
          </cell>
          <cell r="AH69">
            <v>0.10044428925609533</v>
          </cell>
          <cell r="AI69">
            <v>9.9444289256095372E-2</v>
          </cell>
          <cell r="AJ69">
            <v>0.10044428925609532</v>
          </cell>
          <cell r="AK69">
            <v>0.10144428925609536</v>
          </cell>
          <cell r="AL69">
            <v>0.10244428925609525</v>
          </cell>
          <cell r="AN69" t="str">
            <v>Operating Income</v>
          </cell>
          <cell r="AO69">
            <v>1.6629151314714041E-2</v>
          </cell>
          <cell r="AP69">
            <v>-2.6258248715992489E-2</v>
          </cell>
          <cell r="AQ69">
            <v>2.3944635033584606E-2</v>
          </cell>
          <cell r="AR69">
            <v>4.7141382083007131E-2</v>
          </cell>
          <cell r="AS69">
            <v>1.8926536229503767E-2</v>
          </cell>
          <cell r="AU69">
            <v>2.6057176423778111E-2</v>
          </cell>
          <cell r="AV69">
            <v>5.6888115137426025E-3</v>
          </cell>
          <cell r="AW69">
            <v>3.1170325255822338E-2</v>
          </cell>
          <cell r="AX69">
            <v>7.6689812862537954E-2</v>
          </cell>
          <cell r="AY69">
            <v>3.8511188817947503E-2</v>
          </cell>
          <cell r="BA69">
            <v>5.3864986645255068E-2</v>
          </cell>
          <cell r="BB69">
            <v>2.1736713669665054E-2</v>
          </cell>
          <cell r="BC69">
            <v>6.1917365627611451E-2</v>
          </cell>
          <cell r="BD69">
            <v>9.3424602062388007E-2</v>
          </cell>
          <cell r="BE69">
            <v>6.1926222266541493E-2</v>
          </cell>
          <cell r="BG69">
            <v>5.4570356149532914E-2</v>
          </cell>
          <cell r="BH69">
            <v>4.1293680040045563E-2</v>
          </cell>
          <cell r="BI69">
            <v>6.0012909968339807E-2</v>
          </cell>
          <cell r="BJ69">
            <v>0.10838774480904291</v>
          </cell>
          <cell r="BK69">
            <v>7.0634157218449081E-2</v>
          </cell>
          <cell r="BM69">
            <v>6.5678497802714245E-2</v>
          </cell>
          <cell r="BN69">
            <v>5.424096234571759E-2</v>
          </cell>
          <cell r="BO69">
            <v>6.8868716236309635E-2</v>
          </cell>
          <cell r="BP69">
            <v>0.12375861094812787</v>
          </cell>
          <cell r="BQ69">
            <v>8.3179489215472066E-2</v>
          </cell>
          <cell r="BS69">
            <v>2.0592579986385289E-2</v>
          </cell>
          <cell r="BT69">
            <v>1.0944452026750382E-2</v>
          </cell>
          <cell r="BU69">
            <v>3.7008590347789791E-2</v>
          </cell>
          <cell r="BV69">
            <v>0.10404879355371534</v>
          </cell>
          <cell r="BW69">
            <v>4.9834032770134616E-2</v>
          </cell>
          <cell r="BY69">
            <v>3.2090631678785023E-2</v>
          </cell>
          <cell r="BZ69">
            <v>3.8135214965539906E-2</v>
          </cell>
          <cell r="CA69">
            <v>5.5975831011468857E-2</v>
          </cell>
          <cell r="CB69">
            <v>-0.10252169720347212</v>
          </cell>
          <cell r="CC69">
            <v>3.8446588369501468E-2</v>
          </cell>
          <cell r="CD69">
            <v>0.12873290852143857</v>
          </cell>
          <cell r="CE69">
            <v>0.11884822123876988</v>
          </cell>
          <cell r="CF69">
            <v>7.1056478359746725E-2</v>
          </cell>
          <cell r="CG69">
            <v>7.0004484251611696E-2</v>
          </cell>
          <cell r="CH69">
            <v>6.524885245670671E-2</v>
          </cell>
          <cell r="CJ69">
            <v>4.0290544429969356E-2</v>
          </cell>
          <cell r="CK69">
            <v>5.3184797157810007E-2</v>
          </cell>
          <cell r="CL69">
            <v>6.4174702727624475E-2</v>
          </cell>
          <cell r="CM69">
            <v>0.13159811859403786</v>
          </cell>
          <cell r="CN69">
            <v>7.8919319505097951E-2</v>
          </cell>
          <cell r="CP69">
            <v>4.3430932175175192E-2</v>
          </cell>
          <cell r="CQ69">
            <v>6.1358381779115137E-2</v>
          </cell>
          <cell r="CR69">
            <v>7.1527298042109028E-2</v>
          </cell>
          <cell r="CS69">
            <v>0.14088688875907193</v>
          </cell>
          <cell r="CT69">
            <v>8.5573034287292751E-2</v>
          </cell>
          <cell r="CV69">
            <v>5.391718796544534E-2</v>
          </cell>
          <cell r="CW69">
            <v>7.7933450087565678E-2</v>
          </cell>
          <cell r="CX69">
            <v>7.243517474633597E-2</v>
          </cell>
          <cell r="CY69">
            <v>0.14898688915375446</v>
          </cell>
          <cell r="CZ69">
            <v>9.4695737064757562E-2</v>
          </cell>
          <cell r="DB69">
            <v>6.25E-2</v>
          </cell>
          <cell r="DC69">
            <v>7.9380928607089368E-2</v>
          </cell>
          <cell r="DD69">
            <v>7.29997582789461E-2</v>
          </cell>
          <cell r="DE69">
            <v>0.14331156872593337</v>
          </cell>
          <cell r="DF69">
            <v>9.6014901783698356E-2</v>
          </cell>
          <cell r="DH69">
            <v>7.5286873775538762E-2</v>
          </cell>
          <cell r="DI69">
            <v>0.10926882304974178</v>
          </cell>
          <cell r="DJ69">
            <v>7.112638815441566E-2</v>
          </cell>
          <cell r="DK69">
            <v>0.14828693790149894</v>
          </cell>
          <cell r="DL69">
            <v>0.10644308210121409</v>
          </cell>
          <cell r="DN69">
            <v>6.4679415073115865E-2</v>
          </cell>
          <cell r="DO69">
            <v>7.2821100917431186E-2</v>
          </cell>
          <cell r="DP69">
            <v>4.4892086330935249E-2</v>
          </cell>
          <cell r="DQ69">
            <v>0.14341387373343725</v>
          </cell>
          <cell r="DR69">
            <v>8.7171365220145708E-2</v>
          </cell>
          <cell r="DT69">
            <v>6.4002316825948452E-2</v>
          </cell>
          <cell r="DU69">
            <v>8.6058519793459548E-2</v>
          </cell>
          <cell r="DV69">
            <v>5.4038516815176775E-2</v>
          </cell>
          <cell r="DW69">
            <v>0.13992425752441698</v>
          </cell>
          <cell r="DX69">
            <v>9.0617172949714206E-2</v>
          </cell>
          <cell r="DZ69">
            <v>4.6794287450622911E-2</v>
          </cell>
          <cell r="EA69">
            <v>7.9790331974373907E-2</v>
          </cell>
          <cell r="EB69">
            <v>5.7946069994262765E-2</v>
          </cell>
          <cell r="EC69">
            <v>0.152384721947358</v>
          </cell>
          <cell r="ED69">
            <v>9.0838307812094468E-2</v>
          </cell>
          <cell r="EF69">
            <v>6.6478873239436617E-2</v>
          </cell>
          <cell r="EG69">
            <v>7.7073443172298237E-2</v>
          </cell>
          <cell r="EH69">
            <v>5.9858156028368796E-2</v>
          </cell>
          <cell r="EI69">
            <v>0.15156249999999999</v>
          </cell>
          <cell r="EJ69">
            <v>9.5017748478701827E-2</v>
          </cell>
          <cell r="EK69" t="str">
            <v>Operating Income</v>
          </cell>
          <cell r="EL69">
            <v>6.9211755012359238E-2</v>
          </cell>
          <cell r="EM69">
            <v>8.0320176649185754E-2</v>
          </cell>
          <cell r="EN69">
            <v>4.8604860486048604E-2</v>
          </cell>
          <cell r="EO69">
            <v>0.13843903458363807</v>
          </cell>
          <cell r="EP69">
            <v>9.5489057615006701E-2</v>
          </cell>
          <cell r="ER69">
            <v>2.5126475548060707E-2</v>
          </cell>
          <cell r="ES69">
            <v>6.805671392827356E-2</v>
          </cell>
          <cell r="ET69">
            <v>4.7400611620795105E-2</v>
          </cell>
          <cell r="EU69">
            <v>0.1568948575171962</v>
          </cell>
          <cell r="EV69">
            <v>8.4278828327771602E-2</v>
          </cell>
          <cell r="EX69">
            <v>4.12092551933795E-2</v>
          </cell>
          <cell r="EY69">
            <v>5.8893414799728448E-2</v>
          </cell>
          <cell r="EZ69">
            <v>3.3863867253640365E-2</v>
          </cell>
          <cell r="FA69">
            <v>0.15022108447754248</v>
          </cell>
          <cell r="FB69">
            <v>7.9124387185041611E-2</v>
          </cell>
          <cell r="FD69">
            <v>2.4360535931790498E-2</v>
          </cell>
          <cell r="FE69">
            <v>5.8586918502973068E-2</v>
          </cell>
          <cell r="FF69">
            <v>1.5292190060076462E-2</v>
          </cell>
          <cell r="FG69">
            <v>0.10915049155533149</v>
          </cell>
          <cell r="FH69">
            <v>5.7247308372167766E-2</v>
          </cell>
          <cell r="FJ69">
            <v>4.5385779122541605E-3</v>
          </cell>
          <cell r="FK69">
            <v>5.3358561967833493E-2</v>
          </cell>
          <cell r="FL69">
            <v>1.6341689879294335E-2</v>
          </cell>
          <cell r="FM69">
            <v>0.1335517197933728</v>
          </cell>
          <cell r="FN69">
            <v>6.0849550115086838E-2</v>
          </cell>
          <cell r="FP69">
            <v>3.6419088625762472E-2</v>
          </cell>
          <cell r="FQ69">
            <v>6.6823189452772255E-2</v>
          </cell>
          <cell r="FR69">
            <v>3.1477858794237951E-2</v>
          </cell>
          <cell r="FS69">
            <v>0.14137138710847744</v>
          </cell>
          <cell r="FT69">
            <v>7.6750789905211378E-2</v>
          </cell>
          <cell r="FV69">
            <v>5.6036678553234846E-2</v>
          </cell>
          <cell r="FW69">
            <v>8.5199528540158276E-2</v>
          </cell>
          <cell r="FX69">
            <v>4.9718093285494619E-2</v>
          </cell>
          <cell r="FY69">
            <v>0.1443145346171481</v>
          </cell>
          <cell r="FZ69">
            <v>9.0361673925392919E-2</v>
          </cell>
          <cell r="GB69">
            <v>6.3649682565521726E-2</v>
          </cell>
          <cell r="GC69">
            <v>9.0552468126838842E-2</v>
          </cell>
          <cell r="GD69">
            <v>4.6390367560213731E-2</v>
          </cell>
          <cell r="GE69">
            <v>0.15423304866911453</v>
          </cell>
          <cell r="GF69">
            <v>9.644428925609537E-2</v>
          </cell>
        </row>
        <row r="70">
          <cell r="A70" t="str">
            <v>Y/Y ∆ bps</v>
          </cell>
          <cell r="O70">
            <v>148.36144216660921</v>
          </cell>
          <cell r="P70">
            <v>279.04152875735315</v>
          </cell>
          <cell r="Q70">
            <v>65.879841081215588</v>
          </cell>
          <cell r="R70">
            <v>109.25324760683822</v>
          </cell>
          <cell r="S70">
            <v>8.22020275772703</v>
          </cell>
          <cell r="T70">
            <v>-192.7171688106838</v>
          </cell>
          <cell r="U70">
            <v>34.45807729568498</v>
          </cell>
          <cell r="V70">
            <v>2.2113486238026225</v>
          </cell>
          <cell r="W70">
            <v>41.794406666073591</v>
          </cell>
          <cell r="X70">
            <v>4.7130913630487328</v>
          </cell>
          <cell r="Y70">
            <v>-112.10229287235099</v>
          </cell>
          <cell r="Z70">
            <v>-51.544411427299899</v>
          </cell>
          <cell r="AA70">
            <v>-218.77078812873845</v>
          </cell>
          <cell r="AB70">
            <v>36.022417429190725</v>
          </cell>
          <cell r="AC70">
            <v>159.01239790124541</v>
          </cell>
          <cell r="AD70">
            <v>136.10884020181541</v>
          </cell>
          <cell r="AE70">
            <v>60.826153307024512</v>
          </cell>
          <cell r="AF70">
            <v>14.999999999999735</v>
          </cell>
          <cell r="AG70">
            <v>25.000000000000021</v>
          </cell>
          <cell r="AH70">
            <v>-1.3877787807814457E-13</v>
          </cell>
          <cell r="AI70">
            <v>-9.9999999999995932</v>
          </cell>
          <cell r="AJ70">
            <v>9.9999999999994529</v>
          </cell>
          <cell r="AK70">
            <v>10.000000000000425</v>
          </cell>
          <cell r="AL70">
            <v>9.9999999999988987</v>
          </cell>
          <cell r="AN70" t="str">
            <v>Y/Y ∆ bps</v>
          </cell>
          <cell r="DH70">
            <v>127.86873775538763</v>
          </cell>
          <cell r="DI70">
            <v>298.87894442652413</v>
          </cell>
          <cell r="DJ70">
            <v>-18.733701245304406</v>
          </cell>
          <cell r="DK70">
            <v>49.753691755655694</v>
          </cell>
          <cell r="DL70">
            <v>104.28180317515731</v>
          </cell>
          <cell r="DN70">
            <v>-106.07458702422898</v>
          </cell>
          <cell r="DO70">
            <v>-364.47722132310594</v>
          </cell>
          <cell r="DP70">
            <v>-262.34301823480411</v>
          </cell>
          <cell r="DQ70">
            <v>-48.730641680616863</v>
          </cell>
          <cell r="DR70">
            <v>-192.7171688106838</v>
          </cell>
          <cell r="DT70">
            <v>-6.7709824716741256</v>
          </cell>
          <cell r="DU70">
            <v>132.37418876028363</v>
          </cell>
          <cell r="DV70">
            <v>91.46430484241526</v>
          </cell>
          <cell r="DW70">
            <v>-34.896162090202743</v>
          </cell>
          <cell r="DX70">
            <v>34.45807729568498</v>
          </cell>
          <cell r="DZ70">
            <v>-172.0802937532554</v>
          </cell>
          <cell r="EA70">
            <v>-62.681878190856409</v>
          </cell>
          <cell r="EB70">
            <v>39.075531790859905</v>
          </cell>
          <cell r="EC70">
            <v>124.6046442294102</v>
          </cell>
          <cell r="ED70">
            <v>2.2113486238026225</v>
          </cell>
          <cell r="EF70">
            <v>196.84585788813706</v>
          </cell>
          <cell r="EG70">
            <v>-27.168888020756704</v>
          </cell>
          <cell r="EH70">
            <v>19.120860341060308</v>
          </cell>
          <cell r="EI70">
            <v>-8.2222194735800951</v>
          </cell>
          <cell r="EJ70">
            <v>41.794406666073591</v>
          </cell>
          <cell r="EK70" t="str">
            <v>Y/Y ∆ bps</v>
          </cell>
          <cell r="EL70">
            <v>27.328817729226213</v>
          </cell>
          <cell r="EM70">
            <v>32.467334768875169</v>
          </cell>
          <cell r="EN70">
            <v>-112.53295542320193</v>
          </cell>
          <cell r="EO70">
            <v>-131.23465416361918</v>
          </cell>
          <cell r="EP70">
            <v>4.7130913630487328</v>
          </cell>
          <cell r="ER70">
            <v>-440.85279464298537</v>
          </cell>
          <cell r="ES70">
            <v>-122.63462720912194</v>
          </cell>
          <cell r="ET70">
            <v>-12.042488652534988</v>
          </cell>
          <cell r="EU70">
            <v>184.5582293355813</v>
          </cell>
          <cell r="EV70">
            <v>-112.10229287235099</v>
          </cell>
          <cell r="EX70">
            <v>160.82779645318794</v>
          </cell>
          <cell r="EY70">
            <v>-91.632991285451112</v>
          </cell>
          <cell r="EZ70">
            <v>-135.36744367154739</v>
          </cell>
          <cell r="FA70">
            <v>-66.737730396537188</v>
          </cell>
          <cell r="FB70">
            <v>-51.544411427299899</v>
          </cell>
          <cell r="FD70">
            <v>-168.48719261589002</v>
          </cell>
          <cell r="FE70">
            <v>-3.0649629675538055</v>
          </cell>
          <cell r="FF70">
            <v>-185.71677193563903</v>
          </cell>
          <cell r="FG70">
            <v>-410.70592922210989</v>
          </cell>
          <cell r="FH70">
            <v>-218.77078812873845</v>
          </cell>
          <cell r="FJ70">
            <v>-198.21958019536339</v>
          </cell>
          <cell r="FK70">
            <v>-52.283565351395751</v>
          </cell>
          <cell r="FL70">
            <v>10.494998192178731</v>
          </cell>
          <cell r="FM70">
            <v>244.01228238041307</v>
          </cell>
          <cell r="FN70">
            <v>36.022417429190725</v>
          </cell>
          <cell r="FP70">
            <v>318.80510713508306</v>
          </cell>
          <cell r="FQ70">
            <v>134.64627484938762</v>
          </cell>
          <cell r="FR70">
            <v>151.36168914943616</v>
          </cell>
          <cell r="FS70">
            <v>78.196673151046397</v>
          </cell>
          <cell r="FT70">
            <v>159.01239790124541</v>
          </cell>
          <cell r="FV70">
            <v>196.17589927472375</v>
          </cell>
          <cell r="FW70">
            <v>183.7633908738602</v>
          </cell>
          <cell r="FX70">
            <v>182.40234491256669</v>
          </cell>
          <cell r="FY70">
            <v>29.431475086706683</v>
          </cell>
          <cell r="FZ70">
            <v>136.10884020181541</v>
          </cell>
          <cell r="GB70">
            <v>76.130040122868792</v>
          </cell>
          <cell r="GC70">
            <v>53.529395866805665</v>
          </cell>
          <cell r="GD70">
            <v>-33.277257252808873</v>
          </cell>
          <cell r="GE70">
            <v>99.185140519664202</v>
          </cell>
          <cell r="GF70">
            <v>60.826153307024512</v>
          </cell>
        </row>
        <row r="71">
          <cell r="A71" t="str">
            <v>Interest Expense, net</v>
          </cell>
          <cell r="K71">
            <v>3.2697149947086085E-2</v>
          </cell>
          <cell r="L71">
            <v>2.9523074454598411E-2</v>
          </cell>
          <cell r="N71">
            <v>3.1545093745723278E-2</v>
          </cell>
          <cell r="O71">
            <v>3.0472594889772803E-2</v>
          </cell>
          <cell r="P71">
            <v>2.5164257555847568E-2</v>
          </cell>
          <cell r="Q71">
            <v>1.9004230393752035E-2</v>
          </cell>
          <cell r="R71">
            <v>1.9152785576143239E-2</v>
          </cell>
          <cell r="S71">
            <v>1.9293184276956366E-2</v>
          </cell>
          <cell r="T71">
            <v>2.0525815647766867E-2</v>
          </cell>
          <cell r="U71">
            <v>1.8945475563547622E-2</v>
          </cell>
          <cell r="V71">
            <v>1.6675317934077342E-2</v>
          </cell>
          <cell r="W71">
            <v>1.4262170385395538E-2</v>
          </cell>
          <cell r="X71">
            <v>1.7731129968736044E-2</v>
          </cell>
          <cell r="Y71">
            <v>1.7093066370040787E-2</v>
          </cell>
          <cell r="Z71">
            <v>2.0636187435868203E-2</v>
          </cell>
          <cell r="AA71">
            <v>2.2497187851518559E-2</v>
          </cell>
          <cell r="AB71">
            <v>2.3268466206319314E-2</v>
          </cell>
          <cell r="AC71">
            <v>2.2957245130584329E-2</v>
          </cell>
          <cell r="AD71">
            <v>1.677712554440447E-2</v>
          </cell>
          <cell r="AE71">
            <v>1.5811449048425012E-2</v>
          </cell>
          <cell r="AF71">
            <v>1.5432439405946033E-2</v>
          </cell>
          <cell r="AG71">
            <v>1.1551362026190394E-2</v>
          </cell>
          <cell r="AH71">
            <v>1.1247354128091228E-2</v>
          </cell>
          <cell r="AI71">
            <v>8.8517788743727871E-3</v>
          </cell>
          <cell r="AJ71">
            <v>7.3060870294808875E-3</v>
          </cell>
          <cell r="AK71">
            <v>6.4151370536479606E-3</v>
          </cell>
          <cell r="AL71">
            <v>6.1009977063129633E-3</v>
          </cell>
          <cell r="AN71" t="str">
            <v>Interest Expense, net</v>
          </cell>
          <cell r="AO71">
            <v>9.4412937137683436E-2</v>
          </cell>
          <cell r="AP71">
            <v>8.9822192159361131E-2</v>
          </cell>
          <cell r="AQ71">
            <v>7.6101932466374367E-2</v>
          </cell>
          <cell r="AR71">
            <v>5.9439345690775844E-2</v>
          </cell>
          <cell r="AS71">
            <v>7.7841406231294583E-2</v>
          </cell>
          <cell r="AU71">
            <v>7.2724750991421602E-2</v>
          </cell>
          <cell r="AV71">
            <v>7.3799442818719529E-2</v>
          </cell>
          <cell r="AW71">
            <v>6.4135371212258638E-2</v>
          </cell>
          <cell r="AX71">
            <v>4.7384105029377857E-2</v>
          </cell>
          <cell r="AY71">
            <v>6.303759937325483E-2</v>
          </cell>
          <cell r="BA71">
            <v>3.6447192449574548E-2</v>
          </cell>
          <cell r="BB71">
            <v>3.4143281828587738E-2</v>
          </cell>
          <cell r="BC71">
            <v>2.4557775026342047E-2</v>
          </cell>
          <cell r="BD71">
            <v>2.0725558102914272E-2</v>
          </cell>
          <cell r="BE71">
            <v>2.7945713106931256E-2</v>
          </cell>
          <cell r="BG71">
            <v>2.7210661911047193E-2</v>
          </cell>
          <cell r="BH71">
            <v>2.6805113267229716E-2</v>
          </cell>
          <cell r="BI71">
            <v>2.2350452547483253E-2</v>
          </cell>
          <cell r="BJ71">
            <v>1.729722637786555E-2</v>
          </cell>
          <cell r="BK71">
            <v>2.2704354963602815E-2</v>
          </cell>
          <cell r="BM71">
            <v>2.7417845940236968E-2</v>
          </cell>
          <cell r="BN71">
            <v>3.0510619635361193E-2</v>
          </cell>
          <cell r="BO71">
            <v>2.6461339487889576E-2</v>
          </cell>
          <cell r="BP71">
            <v>2.1503910610110491E-2</v>
          </cell>
          <cell r="BQ71">
            <v>2.587720988333796E-2</v>
          </cell>
          <cell r="BS71">
            <v>3.5071477195371001E-2</v>
          </cell>
          <cell r="BT71">
            <v>3.7450525453801002E-2</v>
          </cell>
          <cell r="BU71">
            <v>3.4075046232774568E-2</v>
          </cell>
          <cell r="BV71">
            <v>2.6999397334880916E-2</v>
          </cell>
          <cell r="BW71">
            <v>3.2697149947086085E-2</v>
          </cell>
          <cell r="BY71">
            <v>3.2647859475516454E-2</v>
          </cell>
          <cell r="BZ71">
            <v>3.3874630784378072E-2</v>
          </cell>
          <cell r="CA71">
            <v>3.1383267217194519E-2</v>
          </cell>
          <cell r="CB71">
            <v>6.1890067502410759E-2</v>
          </cell>
          <cell r="CC71">
            <v>3.4758851116312182E-2</v>
          </cell>
          <cell r="CD71">
            <v>2.3302732476509342E-2</v>
          </cell>
          <cell r="CE71">
            <v>2.4686318828467779E-2</v>
          </cell>
          <cell r="CF71">
            <v>2.9523074454598411E-2</v>
          </cell>
          <cell r="CG71">
            <v>2.9750774835216397E-2</v>
          </cell>
          <cell r="CH71">
            <v>3.0636684676753432E-2</v>
          </cell>
          <cell r="CJ71">
            <v>3.4017329657345413E-2</v>
          </cell>
          <cell r="CK71">
            <v>3.5202793472316786E-2</v>
          </cell>
          <cell r="CL71">
            <v>3.140935201327294E-2</v>
          </cell>
          <cell r="CM71">
            <v>2.1948147333105857E-2</v>
          </cell>
          <cell r="CN71">
            <v>2.966465240014567E-2</v>
          </cell>
          <cell r="CP71">
            <v>3.0617252516873267E-2</v>
          </cell>
          <cell r="CQ71">
            <v>2.8748310443407421E-2</v>
          </cell>
          <cell r="CR71">
            <v>2.4525155114038584E-2</v>
          </cell>
          <cell r="CS71">
            <v>1.7188736384699484E-2</v>
          </cell>
          <cell r="CT71">
            <v>2.4412010687558432E-2</v>
          </cell>
          <cell r="CV71">
            <v>2.2937146261543043E-2</v>
          </cell>
          <cell r="CW71">
            <v>2.1599532983070636E-2</v>
          </cell>
          <cell r="CX71">
            <v>2.0293122886133032E-2</v>
          </cell>
          <cell r="CY71">
            <v>1.3706793802145411E-2</v>
          </cell>
          <cell r="CZ71">
            <v>1.9004230393752035E-2</v>
          </cell>
          <cell r="DB71">
            <v>2.0833333333333332E-2</v>
          </cell>
          <cell r="DC71">
            <v>2.1218172740888667E-2</v>
          </cell>
          <cell r="DD71">
            <v>2.1996615905245348E-2</v>
          </cell>
          <cell r="DE71">
            <v>1.7411685919973212E-2</v>
          </cell>
          <cell r="DF71">
            <v>2.003838338225333E-2</v>
          </cell>
          <cell r="DH71">
            <v>1.9311502938706968E-2</v>
          </cell>
          <cell r="DI71">
            <v>2.1201413427561839E-2</v>
          </cell>
          <cell r="DJ71">
            <v>2.2210470650449499E-2</v>
          </cell>
          <cell r="DK71">
            <v>1.6059957173447537E-2</v>
          </cell>
          <cell r="DL71">
            <v>1.9293184276956366E-2</v>
          </cell>
          <cell r="DN71">
            <v>2.1934758155230598E-2</v>
          </cell>
          <cell r="DO71">
            <v>2.2362385321100919E-2</v>
          </cell>
          <cell r="DP71">
            <v>2.302158273381295E-2</v>
          </cell>
          <cell r="DQ71">
            <v>1.7147310989867499E-2</v>
          </cell>
          <cell r="DR71">
            <v>2.0525815647766867E-2</v>
          </cell>
          <cell r="DT71">
            <v>2.143064002316826E-2</v>
          </cell>
          <cell r="DU71">
            <v>2.2375215146299483E-2</v>
          </cell>
          <cell r="DV71">
            <v>2.0983041103765449E-2</v>
          </cell>
          <cell r="DW71">
            <v>1.3952561291608531E-2</v>
          </cell>
          <cell r="DX71">
            <v>1.8945475563547622E-2</v>
          </cell>
          <cell r="DZ71">
            <v>2.127013065937405E-2</v>
          </cell>
          <cell r="EA71">
            <v>1.8928363424577752E-2</v>
          </cell>
          <cell r="EB71">
            <v>1.7498565691336777E-2</v>
          </cell>
          <cell r="EC71">
            <v>1.2072036414011479E-2</v>
          </cell>
          <cell r="ED71">
            <v>1.6675317934077342E-2</v>
          </cell>
          <cell r="EF71">
            <v>1.6901408450704224E-2</v>
          </cell>
          <cell r="EG71">
            <v>1.6755096341803964E-2</v>
          </cell>
          <cell r="EH71">
            <v>1.5602836879432624E-2</v>
          </cell>
          <cell r="EI71">
            <v>9.765625E-3</v>
          </cell>
          <cell r="EJ71">
            <v>1.4262170385395538E-2</v>
          </cell>
          <cell r="EK71" t="str">
            <v>Interest Expense, net</v>
          </cell>
          <cell r="EL71">
            <v>1.4831090359791266E-2</v>
          </cell>
          <cell r="EM71">
            <v>1.4904775048302512E-2</v>
          </cell>
          <cell r="EN71">
            <v>2.6102610261026102E-2</v>
          </cell>
          <cell r="EO71">
            <v>1.5045449796259535E-2</v>
          </cell>
          <cell r="EP71">
            <v>1.7731129968736044E-2</v>
          </cell>
          <cell r="ER71">
            <v>2.3271500843170319E-2</v>
          </cell>
          <cell r="ES71">
            <v>1.9349457881567972E-2</v>
          </cell>
          <cell r="ET71">
            <v>1.7669045191980971E-2</v>
          </cell>
          <cell r="EU71">
            <v>1.1245769188776067E-2</v>
          </cell>
          <cell r="EV71">
            <v>1.7093066370040787E-2</v>
          </cell>
          <cell r="EX71">
            <v>2.1111298767100151E-2</v>
          </cell>
          <cell r="EY71">
            <v>2.3251866938221316E-2</v>
          </cell>
          <cell r="EZ71">
            <v>2.4551303758889264E-2</v>
          </cell>
          <cell r="FA71">
            <v>1.5824994181987434E-2</v>
          </cell>
          <cell r="FB71">
            <v>2.0636187435868203E-2</v>
          </cell>
          <cell r="FD71">
            <v>2.3664520619453629E-2</v>
          </cell>
          <cell r="FE71">
            <v>2.4134312696747113E-2</v>
          </cell>
          <cell r="FF71">
            <v>2.60331330784635E-2</v>
          </cell>
          <cell r="FG71">
            <v>1.8023695487774136E-2</v>
          </cell>
          <cell r="FH71">
            <v>2.2497187851518559E-2</v>
          </cell>
          <cell r="FJ71">
            <v>2.6664145234493192E-2</v>
          </cell>
          <cell r="FK71">
            <v>2.6300851466414379E-2</v>
          </cell>
          <cell r="FL71">
            <v>2.544103992571959E-2</v>
          </cell>
          <cell r="FM71">
            <v>1.7512914199319642E-2</v>
          </cell>
          <cell r="FN71">
            <v>2.3268466206319314E-2</v>
          </cell>
          <cell r="FP71">
            <v>2.9063509149623249E-2</v>
          </cell>
          <cell r="FQ71">
            <v>2.3478417915838903E-2</v>
          </cell>
          <cell r="FR71">
            <v>2.9165925662457761E-2</v>
          </cell>
          <cell r="FS71">
            <v>1.4270165679042206E-2</v>
          </cell>
          <cell r="FT71">
            <v>2.2957245130584329E-2</v>
          </cell>
          <cell r="FV71">
            <v>1.9697741552046188E-2</v>
          </cell>
          <cell r="FW71">
            <v>1.869001515406634E-2</v>
          </cell>
          <cell r="FX71">
            <v>1.8452075858534086E-2</v>
          </cell>
          <cell r="FY71">
            <v>1.2379642365887207E-2</v>
          </cell>
          <cell r="FZ71">
            <v>1.677712554440447E-2</v>
          </cell>
          <cell r="GB71">
            <v>1.8232134136415432E-2</v>
          </cell>
          <cell r="GC71">
            <v>1.7162471395881007E-2</v>
          </cell>
          <cell r="GD71">
            <v>1.7615406893202082E-2</v>
          </cell>
          <cell r="GE71">
            <v>1.2172632499990378E-2</v>
          </cell>
          <cell r="GF71">
            <v>1.5811449048425012E-2</v>
          </cell>
        </row>
        <row r="72">
          <cell r="A72" t="str">
            <v>Pretax Income</v>
          </cell>
          <cell r="K72">
            <v>6.7361237820676165E-3</v>
          </cell>
          <cell r="L72">
            <v>2.1767271032489204E-2</v>
          </cell>
          <cell r="N72">
            <v>1.3822362118516491E-2</v>
          </cell>
          <cell r="O72">
            <v>2.9731005191127889E-2</v>
          </cell>
          <cell r="P72">
            <v>6.2943495400788432E-2</v>
          </cell>
          <cell r="Q72">
            <v>7.5691506671005535E-2</v>
          </cell>
          <cell r="R72">
            <v>8.6468276249298148E-2</v>
          </cell>
          <cell r="S72">
            <v>8.2341627599471084E-2</v>
          </cell>
          <cell r="T72">
            <v>4.9414000633512832E-2</v>
          </cell>
          <cell r="U72">
            <v>6.7304604713891214E-2</v>
          </cell>
          <cell r="V72">
            <v>7.0334804048793151E-2</v>
          </cell>
          <cell r="W72">
            <v>7.074036511156187E-2</v>
          </cell>
          <cell r="X72">
            <v>9.1290754801250554E-2</v>
          </cell>
          <cell r="Y72">
            <v>5.0982573229514272E-2</v>
          </cell>
          <cell r="Z72">
            <v>5.0165317523657507E-2</v>
          </cell>
          <cell r="AA72">
            <v>1.783705608227543E-2</v>
          </cell>
          <cell r="AB72">
            <v>2.1217827997489013E-2</v>
          </cell>
          <cell r="AC72">
            <v>5.2793664760228773E-2</v>
          </cell>
          <cell r="AD72">
            <v>7.4531338761598176E-2</v>
          </cell>
          <cell r="AE72">
            <v>8.063284020767035E-2</v>
          </cell>
          <cell r="AF72">
            <v>8.251184985014931E-2</v>
          </cell>
          <cell r="AG72">
            <v>8.8892927229904967E-2</v>
          </cell>
          <cell r="AH72">
            <v>8.9196935128004098E-2</v>
          </cell>
          <cell r="AI72">
            <v>9.0592510381722585E-2</v>
          </cell>
          <cell r="AJ72">
            <v>9.3138202226614425E-2</v>
          </cell>
          <cell r="AK72">
            <v>9.5029152202447398E-2</v>
          </cell>
          <cell r="AL72">
            <v>9.6343291549782287E-2</v>
          </cell>
          <cell r="AN72" t="str">
            <v>Pretax Income</v>
          </cell>
          <cell r="AO72">
            <v>-9.0163223218439878E-2</v>
          </cell>
          <cell r="AP72">
            <v>-0.12220487490266711</v>
          </cell>
          <cell r="AQ72">
            <v>-6.8728084842250486E-2</v>
          </cell>
          <cell r="AR72">
            <v>-4.2722085061616032E-2</v>
          </cell>
          <cell r="AS72">
            <v>-7.6701526732841571E-2</v>
          </cell>
          <cell r="AU72">
            <v>-5.3355708699343932E-2</v>
          </cell>
          <cell r="AV72">
            <v>-0.14065250514292904</v>
          </cell>
          <cell r="AW72">
            <v>-4.6809031067335062E-2</v>
          </cell>
          <cell r="AX72">
            <v>-0.69561674772520654</v>
          </cell>
          <cell r="AY72">
            <v>-0.27021375085956034</v>
          </cell>
          <cell r="BA72">
            <v>1.4618324059028203E-2</v>
          </cell>
          <cell r="BB72">
            <v>-1.5426032725505995E-2</v>
          </cell>
          <cell r="BC72">
            <v>3.1043089160492192E-2</v>
          </cell>
          <cell r="BD72">
            <v>7.7794891155674686E-2</v>
          </cell>
          <cell r="BE72">
            <v>3.2769623362680571E-2</v>
          </cell>
          <cell r="BG72">
            <v>2.4938704953092587E-2</v>
          </cell>
          <cell r="BH72">
            <v>1.204229814789173E-2</v>
          </cell>
          <cell r="BI72">
            <v>3.5217387659523307E-2</v>
          </cell>
          <cell r="BJ72">
            <v>0.10522273490933497</v>
          </cell>
          <cell r="BK72">
            <v>5.0872782632487255E-2</v>
          </cell>
          <cell r="BM72">
            <v>3.5115451996243524E-2</v>
          </cell>
          <cell r="BN72">
            <v>6.4325543512310261E-3</v>
          </cell>
          <cell r="BO72">
            <v>4.065577786300785E-2</v>
          </cell>
          <cell r="BP72">
            <v>0.11104631292387993</v>
          </cell>
          <cell r="BQ72">
            <v>5.5494424440059829E-2</v>
          </cell>
          <cell r="BS72">
            <v>-1.7950987066031328E-2</v>
          </cell>
          <cell r="BT72">
            <v>-2.984338747099767E-2</v>
          </cell>
          <cell r="BU72">
            <v>-2.2680904372725637E-2</v>
          </cell>
          <cell r="BV72">
            <v>6.8868998459855821E-2</v>
          </cell>
          <cell r="BW72">
            <v>6.7361237820676122E-3</v>
          </cell>
          <cell r="BY72">
            <v>-2.9032070216726567E-2</v>
          </cell>
          <cell r="BZ72">
            <v>-3.3351493272070855E-2</v>
          </cell>
          <cell r="CA72">
            <v>1.2893247034373114E-2</v>
          </cell>
          <cell r="CB72">
            <v>-0.16441176470588287</v>
          </cell>
          <cell r="CC72">
            <v>-6.752536903383885E-3</v>
          </cell>
          <cell r="CD72">
            <v>9.7221946214493968E-2</v>
          </cell>
          <cell r="CE72">
            <v>7.8835875325267243E-2</v>
          </cell>
          <cell r="CF72">
            <v>2.17672710324892E-2</v>
          </cell>
          <cell r="CG72">
            <v>1.8428552040484762E-2</v>
          </cell>
          <cell r="CH72">
            <v>1.3388614238720465E-2</v>
          </cell>
          <cell r="CJ72">
            <v>-1.7267246341685142E-2</v>
          </cell>
          <cell r="CK72">
            <v>-1.2136794400388754E-2</v>
          </cell>
          <cell r="CL72">
            <v>2.0489877389345192E-2</v>
          </cell>
          <cell r="CM72">
            <v>9.2227383028815668E-2</v>
          </cell>
          <cell r="CN72">
            <v>2.8987918734701083E-2</v>
          </cell>
          <cell r="CP72">
            <v>1.2813679658301928E-2</v>
          </cell>
          <cell r="CQ72">
            <v>3.2610071335707716E-2</v>
          </cell>
          <cell r="CR72">
            <v>4.7002142928070444E-2</v>
          </cell>
          <cell r="CS72">
            <v>0.12369815237437246</v>
          </cell>
          <cell r="CT72">
            <v>6.1161023599734327E-2</v>
          </cell>
          <cell r="CV72">
            <v>3.0980041703902294E-2</v>
          </cell>
          <cell r="CW72">
            <v>5.6333917104495035E-2</v>
          </cell>
          <cell r="CX72">
            <v>5.2142051860202931E-2</v>
          </cell>
          <cell r="CY72">
            <v>0.13528009535160906</v>
          </cell>
          <cell r="CZ72">
            <v>7.5691506671005535E-2</v>
          </cell>
          <cell r="DB72">
            <v>4.1666666666666664E-2</v>
          </cell>
          <cell r="DC72">
            <v>5.8162755866200698E-2</v>
          </cell>
          <cell r="DD72">
            <v>5.1003142373700752E-2</v>
          </cell>
          <cell r="DE72">
            <v>0.12589988280596015</v>
          </cell>
          <cell r="DF72">
            <v>7.5976518401445023E-2</v>
          </cell>
          <cell r="DH72">
            <v>5.5975370836831795E-2</v>
          </cell>
          <cell r="DI72">
            <v>8.8067409622179946E-2</v>
          </cell>
          <cell r="DJ72">
            <v>4.8915917503966157E-2</v>
          </cell>
          <cell r="DK72">
            <v>0.11795146324054247</v>
          </cell>
          <cell r="DL72">
            <v>8.2341627599471084E-2</v>
          </cell>
          <cell r="DN72">
            <v>2.81214848143982E-2</v>
          </cell>
          <cell r="DO72">
            <v>3.8704128440366969E-2</v>
          </cell>
          <cell r="DP72">
            <v>1.3237410071942447E-2</v>
          </cell>
          <cell r="DQ72">
            <v>9.7233047544816834E-2</v>
          </cell>
          <cell r="DR72">
            <v>4.9414000633512832E-2</v>
          </cell>
          <cell r="DT72">
            <v>4.2571676802780192E-2</v>
          </cell>
          <cell r="DU72">
            <v>6.3683304647160072E-2</v>
          </cell>
          <cell r="DV72">
            <v>3.3055475711411327E-2</v>
          </cell>
          <cell r="DW72">
            <v>0.1124177795495316</v>
          </cell>
          <cell r="DX72">
            <v>6.7304604713891214E-2</v>
          </cell>
          <cell r="DZ72">
            <v>2.3093284715891827E-2</v>
          </cell>
          <cell r="EA72">
            <v>5.7949912638322658E-2</v>
          </cell>
          <cell r="EB72">
            <v>3.2128514056224897E-2</v>
          </cell>
          <cell r="EC72">
            <v>0.13793785869780328</v>
          </cell>
          <cell r="ED72">
            <v>7.0334804048793151E-2</v>
          </cell>
          <cell r="EF72">
            <v>4.4225352112676058E-2</v>
          </cell>
          <cell r="EG72">
            <v>3.518570231778833E-2</v>
          </cell>
          <cell r="EH72">
            <v>3.4042553191489362E-2</v>
          </cell>
          <cell r="EI72">
            <v>0.13925781249999999</v>
          </cell>
          <cell r="EJ72">
            <v>7.074036511156187E-2</v>
          </cell>
          <cell r="EK72" t="str">
            <v>Pretax Income</v>
          </cell>
          <cell r="EL72">
            <v>5.4380664652567974E-2</v>
          </cell>
          <cell r="EM72">
            <v>6.5415401600883244E-2</v>
          </cell>
          <cell r="EN72">
            <v>9.7569756975697572E-2</v>
          </cell>
          <cell r="EO72">
            <v>0.11148260369867308</v>
          </cell>
          <cell r="EP72">
            <v>9.1290754801250554E-2</v>
          </cell>
          <cell r="ER72">
            <v>-1.9898819561551432E-2</v>
          </cell>
          <cell r="ES72">
            <v>5.104253544620517E-2</v>
          </cell>
          <cell r="ET72">
            <v>5.0968399592252805E-3</v>
          </cell>
          <cell r="EU72">
            <v>0.12632383447974671</v>
          </cell>
          <cell r="EV72">
            <v>5.0982573229514272E-2</v>
          </cell>
          <cell r="EX72">
            <v>1.4017902381354501E-2</v>
          </cell>
          <cell r="EY72">
            <v>1.9178547182620503E-2</v>
          </cell>
          <cell r="EZ72">
            <v>6.4341347781916693E-3</v>
          </cell>
          <cell r="FA72">
            <v>0.12636723295322319</v>
          </cell>
          <cell r="FB72">
            <v>5.0165317523657507E-2</v>
          </cell>
          <cell r="FD72">
            <v>-1.8444405776927093E-2</v>
          </cell>
          <cell r="FE72">
            <v>2.1161245190626093E-2</v>
          </cell>
          <cell r="FF72">
            <v>-1.3653741125068269E-2</v>
          </cell>
          <cell r="FG72">
            <v>6.3524073607259895E-2</v>
          </cell>
          <cell r="FH72">
            <v>1.783705608227543E-2</v>
          </cell>
          <cell r="FJ72">
            <v>-4.8222390317700453E-2</v>
          </cell>
          <cell r="FK72">
            <v>2.0624408703878903E-2</v>
          </cell>
          <cell r="FL72">
            <v>-1.5227483751160632E-2</v>
          </cell>
          <cell r="FM72">
            <v>9.2604258535970777E-2</v>
          </cell>
          <cell r="FN72">
            <v>2.1217827997489013E-2</v>
          </cell>
          <cell r="FP72">
            <v>7.3555794761392176E-3</v>
          </cell>
          <cell r="FQ72">
            <v>4.3344771536933356E-2</v>
          </cell>
          <cell r="FR72">
            <v>2.3119331317801887E-3</v>
          </cell>
          <cell r="FS72">
            <v>0.12407788124319749</v>
          </cell>
          <cell r="FT72">
            <v>5.2793664760228773E-2</v>
          </cell>
          <cell r="FV72">
            <v>3.6338937001188655E-2</v>
          </cell>
          <cell r="FW72">
            <v>6.6509513386091929E-2</v>
          </cell>
          <cell r="FX72">
            <v>3.1266017426960536E-2</v>
          </cell>
          <cell r="FY72">
            <v>0.13480055020632736</v>
          </cell>
          <cell r="FZ72">
            <v>7.4531338761598176E-2</v>
          </cell>
          <cell r="GB72">
            <v>4.5417548429106301E-2</v>
          </cell>
          <cell r="GC72">
            <v>7.3389996730957835E-2</v>
          </cell>
          <cell r="GD72">
            <v>2.877496066701165E-2</v>
          </cell>
          <cell r="GE72">
            <v>0.14206041616912413</v>
          </cell>
          <cell r="GF72">
            <v>8.063284020767035E-2</v>
          </cell>
        </row>
        <row r="73">
          <cell r="A73" t="str">
            <v>Tax Rate</v>
          </cell>
          <cell r="K73">
            <v>0.60127905086949873</v>
          </cell>
          <cell r="L73">
            <v>0.51102235320759348</v>
          </cell>
          <cell r="N73">
            <v>0.62871287128712872</v>
          </cell>
          <cell r="O73">
            <v>0.3968253968253968</v>
          </cell>
          <cell r="P73">
            <v>0.39979123173277664</v>
          </cell>
          <cell r="Q73">
            <v>0.411006018916595</v>
          </cell>
          <cell r="R73">
            <v>0.40476190476190477</v>
          </cell>
          <cell r="S73">
            <v>0.40072992700729926</v>
          </cell>
          <cell r="T73">
            <v>0.3923076923076923</v>
          </cell>
          <cell r="U73">
            <v>0.39122137404580154</v>
          </cell>
          <cell r="V73">
            <v>0.39575645756457567</v>
          </cell>
          <cell r="W73">
            <v>0.38261648745519711</v>
          </cell>
          <cell r="X73">
            <v>0.37446604203916711</v>
          </cell>
          <cell r="Y73">
            <v>0.37218181818181817</v>
          </cell>
          <cell r="Z73">
            <v>0.37045454545454548</v>
          </cell>
          <cell r="AA73">
            <v>-0.30405405405405406</v>
          </cell>
          <cell r="AB73">
            <v>0.35108481262327418</v>
          </cell>
          <cell r="AC73">
            <v>0.35833333333333334</v>
          </cell>
          <cell r="AD73">
            <v>0.36178861788617889</v>
          </cell>
          <cell r="AE73">
            <v>0.36939105039562631</v>
          </cell>
          <cell r="AF73">
            <v>0.37</v>
          </cell>
          <cell r="AG73">
            <v>0.37</v>
          </cell>
          <cell r="AH73">
            <v>0.37</v>
          </cell>
          <cell r="AI73">
            <v>0.37</v>
          </cell>
          <cell r="AJ73">
            <v>0.37</v>
          </cell>
          <cell r="AK73">
            <v>0.37</v>
          </cell>
          <cell r="AL73">
            <v>0.37000000000000005</v>
          </cell>
          <cell r="AN73" t="str">
            <v>Tax Rate</v>
          </cell>
          <cell r="AO73">
            <v>0.30655992636034635</v>
          </cell>
          <cell r="AP73">
            <v>0.32220952871325365</v>
          </cell>
          <cell r="AQ73">
            <v>0.28537438768369477</v>
          </cell>
          <cell r="AR73">
            <v>1.4266644556836074</v>
          </cell>
          <cell r="AS73">
            <v>0.50448064169287754</v>
          </cell>
          <cell r="AU73">
            <v>0.24532451951351503</v>
          </cell>
          <cell r="AV73">
            <v>0.31634185759102562</v>
          </cell>
          <cell r="AW73">
            <v>0.23748624862486259</v>
          </cell>
          <cell r="AX73">
            <v>0.34189261006299915</v>
          </cell>
          <cell r="AY73">
            <v>0.32777388961936449</v>
          </cell>
          <cell r="BA73">
            <v>0.48589832869080435</v>
          </cell>
          <cell r="BB73">
            <v>0.29761110369678312</v>
          </cell>
          <cell r="BC73">
            <v>0.43131358602683062</v>
          </cell>
          <cell r="BD73">
            <v>0.40273902542974843</v>
          </cell>
          <cell r="BE73">
            <v>0.42800001724085901</v>
          </cell>
          <cell r="BG73">
            <v>0.45283542197231325</v>
          </cell>
          <cell r="BH73">
            <v>0.51064065004698544</v>
          </cell>
          <cell r="BI73">
            <v>0.4521304451321117</v>
          </cell>
          <cell r="BJ73">
            <v>0.40911280691456015</v>
          </cell>
          <cell r="BK73">
            <v>0.42619228886834615</v>
          </cell>
          <cell r="BM73">
            <v>0.44509884962457674</v>
          </cell>
          <cell r="BN73">
            <v>0.63260933086589088</v>
          </cell>
          <cell r="BO73">
            <v>0.43393841911764702</v>
          </cell>
          <cell r="BP73">
            <v>0.4075239013559816</v>
          </cell>
          <cell r="BQ73">
            <v>0.42286578665581953</v>
          </cell>
          <cell r="BS73">
            <v>0.29756541524459623</v>
          </cell>
          <cell r="BT73">
            <v>0.3342634196535757</v>
          </cell>
          <cell r="BU73">
            <v>0.32588900578642815</v>
          </cell>
          <cell r="BV73">
            <v>0.40580022039281777</v>
          </cell>
          <cell r="BW73">
            <v>0.60127905086949907</v>
          </cell>
          <cell r="BY73">
            <v>0.34293586019274108</v>
          </cell>
          <cell r="BZ73">
            <v>0.33897187616854652</v>
          </cell>
          <cell r="CA73">
            <v>0.49055374592834178</v>
          </cell>
          <cell r="CB73">
            <v>0</v>
          </cell>
          <cell r="CC73">
            <v>-0.83299751096360775</v>
          </cell>
          <cell r="CD73">
            <v>0.44173485688386088</v>
          </cell>
          <cell r="CE73">
            <v>0.41058345359620158</v>
          </cell>
          <cell r="CF73">
            <v>0.51102235320759359</v>
          </cell>
          <cell r="CG73">
            <v>0.47207543951378311</v>
          </cell>
          <cell r="CH73">
            <v>0.63186995905199972</v>
          </cell>
          <cell r="CJ73">
            <v>0.33461416991262155</v>
          </cell>
          <cell r="CK73">
            <v>0.31778725539387892</v>
          </cell>
          <cell r="CL73">
            <v>0.43474733269326737</v>
          </cell>
          <cell r="CM73">
            <v>0.3772043733216186</v>
          </cell>
          <cell r="CN73">
            <v>0.39770714314838579</v>
          </cell>
          <cell r="CP73">
            <v>0.44923654510907951</v>
          </cell>
          <cell r="CQ73">
            <v>0.41055267902341852</v>
          </cell>
          <cell r="CR73">
            <v>0.40304288318577025</v>
          </cell>
          <cell r="CS73">
            <v>0.394370270015513</v>
          </cell>
          <cell r="CT73">
            <v>0.40036627743167497</v>
          </cell>
          <cell r="CV73">
            <v>0.42082692307692304</v>
          </cell>
          <cell r="CW73">
            <v>0.44559585492227977</v>
          </cell>
          <cell r="CX73">
            <v>0.40540540540540543</v>
          </cell>
          <cell r="CY73">
            <v>0.40088105726872247</v>
          </cell>
          <cell r="CZ73">
            <v>0.41080481513327599</v>
          </cell>
          <cell r="DB73">
            <v>0.42</v>
          </cell>
          <cell r="DC73">
            <v>0.41201716738197425</v>
          </cell>
          <cell r="DD73">
            <v>0.41706161137440756</v>
          </cell>
          <cell r="DE73">
            <v>0.40425531914893614</v>
          </cell>
          <cell r="DF73">
            <v>0.40936106983655274</v>
          </cell>
          <cell r="DH73">
            <v>0.41</v>
          </cell>
          <cell r="DI73">
            <v>0.40123456790123457</v>
          </cell>
          <cell r="DJ73">
            <v>0.41081081081081083</v>
          </cell>
          <cell r="DK73">
            <v>0.39485627836611198</v>
          </cell>
          <cell r="DL73">
            <v>0.40072992700729926</v>
          </cell>
          <cell r="DN73">
            <v>0.42</v>
          </cell>
          <cell r="DO73">
            <v>0.40740740740740738</v>
          </cell>
          <cell r="DP73">
            <v>0.43478260869565216</v>
          </cell>
          <cell r="DQ73">
            <v>0.37875751503006011</v>
          </cell>
          <cell r="DR73">
            <v>0.3923076923076923</v>
          </cell>
          <cell r="DT73">
            <v>0.39455782312925169</v>
          </cell>
          <cell r="DU73">
            <v>0.40090090090090091</v>
          </cell>
          <cell r="DV73">
            <v>0.34782608695652173</v>
          </cell>
          <cell r="DW73">
            <v>0.3953900709219858</v>
          </cell>
          <cell r="DX73">
            <v>0.39122137404580154</v>
          </cell>
          <cell r="DZ73">
            <v>0.39473684210526316</v>
          </cell>
          <cell r="EA73">
            <v>0.39698492462311558</v>
          </cell>
          <cell r="EB73">
            <v>0.4017857142857143</v>
          </cell>
          <cell r="EC73">
            <v>0.39454806312769009</v>
          </cell>
          <cell r="ED73">
            <v>0.39575645756457567</v>
          </cell>
          <cell r="EF73">
            <v>0.38216560509554143</v>
          </cell>
          <cell r="EG73">
            <v>0.38095238095238093</v>
          </cell>
          <cell r="EH73">
            <v>0.38333333333333336</v>
          </cell>
          <cell r="EI73">
            <v>0.38288920056100983</v>
          </cell>
          <cell r="EJ73">
            <v>0.38261648745519711</v>
          </cell>
          <cell r="EK73" t="str">
            <v>Tax Rate</v>
          </cell>
          <cell r="EL73">
            <v>0.377</v>
          </cell>
          <cell r="EM73">
            <v>0.37552742616033757</v>
          </cell>
          <cell r="EN73">
            <v>0.37410071942446044</v>
          </cell>
          <cell r="EO73">
            <v>0.37394564198687907</v>
          </cell>
          <cell r="EP73">
            <v>0.37446604203916711</v>
          </cell>
          <cell r="ER73">
            <v>0.3728813559322034</v>
          </cell>
          <cell r="ES73">
            <v>0.375</v>
          </cell>
          <cell r="ET73">
            <v>0.33333333333333331</v>
          </cell>
          <cell r="EU73">
            <v>0.37251512532411407</v>
          </cell>
          <cell r="EV73">
            <v>0.37218181818181817</v>
          </cell>
          <cell r="EX73">
            <v>0.37349397590361444</v>
          </cell>
          <cell r="EY73">
            <v>0.34513274336283184</v>
          </cell>
          <cell r="EZ73">
            <v>0.13157894736842105</v>
          </cell>
          <cell r="FA73">
            <v>0.38121546961325969</v>
          </cell>
          <cell r="FB73">
            <v>0.375</v>
          </cell>
          <cell r="FD73">
            <v>0.44339622641509435</v>
          </cell>
          <cell r="FE73">
            <v>0.39669421487603307</v>
          </cell>
          <cell r="FF73">
            <v>0.41333333333333333</v>
          </cell>
          <cell r="FG73">
            <v>-0.20833333333333334</v>
          </cell>
          <cell r="FH73">
            <v>-0.30405405405405406</v>
          </cell>
          <cell r="FJ73">
            <v>0.65490196078431373</v>
          </cell>
          <cell r="FK73">
            <v>0.93577981651376152</v>
          </cell>
          <cell r="FL73">
            <v>0.57317073170731703</v>
          </cell>
          <cell r="FM73">
            <v>0.39455782312925169</v>
          </cell>
          <cell r="FN73">
            <v>0.35108481262327418</v>
          </cell>
          <cell r="FP73">
            <v>0.43902439024390244</v>
          </cell>
          <cell r="FQ73">
            <v>0.38750000000000001</v>
          </cell>
          <cell r="FR73">
            <v>0.23076923076923078</v>
          </cell>
          <cell r="FS73">
            <v>0.34990253411306044</v>
          </cell>
          <cell r="FT73">
            <v>0.35833333333333334</v>
          </cell>
          <cell r="FV73">
            <v>0.38785046728971961</v>
          </cell>
          <cell r="FW73">
            <v>0.38987341772151901</v>
          </cell>
          <cell r="FX73">
            <v>0.24043715846994534</v>
          </cell>
          <cell r="FY73">
            <v>0.36649659863945577</v>
          </cell>
          <cell r="FZ73">
            <v>0.36178861788617889</v>
          </cell>
          <cell r="GB73">
            <v>0.35125448028673834</v>
          </cell>
          <cell r="GC73">
            <v>0.37861915367483295</v>
          </cell>
          <cell r="GD73">
            <v>0.36999999999999994</v>
          </cell>
          <cell r="GE73">
            <v>0.37</v>
          </cell>
          <cell r="GF73">
            <v>0.36939105039562631</v>
          </cell>
        </row>
        <row r="74">
          <cell r="A74" t="str">
            <v>Effective Tax rate</v>
          </cell>
          <cell r="N74">
            <v>0.62871287128712872</v>
          </cell>
          <cell r="O74">
            <v>0.3968253968253968</v>
          </cell>
          <cell r="P74">
            <v>0.39979123173277664</v>
          </cell>
          <cell r="Q74">
            <v>0.411006018916595</v>
          </cell>
          <cell r="R74">
            <v>0.40476190476190477</v>
          </cell>
          <cell r="S74">
            <v>0.40072992700729926</v>
          </cell>
          <cell r="T74">
            <v>0.3923076923076923</v>
          </cell>
          <cell r="U74">
            <v>0.39122137404580154</v>
          </cell>
          <cell r="V74">
            <v>0.39575645756457567</v>
          </cell>
          <cell r="W74">
            <v>0.38261648745519711</v>
          </cell>
          <cell r="X74">
            <v>0.37446604203916711</v>
          </cell>
          <cell r="Y74">
            <v>0.37218181818181817</v>
          </cell>
          <cell r="Z74">
            <v>0.37045454545454548</v>
          </cell>
          <cell r="AA74">
            <v>-0.30405405405405406</v>
          </cell>
          <cell r="AB74">
            <v>0.35108481262327418</v>
          </cell>
          <cell r="AC74">
            <v>0.35833333333333334</v>
          </cell>
          <cell r="AD74">
            <v>0.36178861788617889</v>
          </cell>
          <cell r="AE74">
            <v>0.36939105039562631</v>
          </cell>
          <cell r="AF74">
            <v>0.37</v>
          </cell>
          <cell r="AG74">
            <v>0.37</v>
          </cell>
          <cell r="AH74">
            <v>0.37</v>
          </cell>
          <cell r="AI74">
            <v>0.37</v>
          </cell>
          <cell r="AJ74">
            <v>0.37</v>
          </cell>
          <cell r="AK74">
            <v>0.37</v>
          </cell>
          <cell r="AL74">
            <v>0.37000000000000005</v>
          </cell>
          <cell r="AN74" t="str">
            <v>Effective Tax rate</v>
          </cell>
          <cell r="EF74">
            <v>0.38216560509554143</v>
          </cell>
          <cell r="EG74">
            <v>0.38095238095238093</v>
          </cell>
          <cell r="EH74">
            <v>0.38333333333333336</v>
          </cell>
          <cell r="EI74">
            <v>0.38288920056100983</v>
          </cell>
          <cell r="EK74" t="str">
            <v>Effective Tax rate</v>
          </cell>
          <cell r="EL74">
            <v>0.377</v>
          </cell>
          <cell r="EM74">
            <v>0.37552742616033757</v>
          </cell>
          <cell r="EN74">
            <v>0.37410071942446044</v>
          </cell>
          <cell r="EO74">
            <v>0.37394564198687907</v>
          </cell>
          <cell r="EP74">
            <v>0.37446604203916711</v>
          </cell>
          <cell r="ER74">
            <v>0.3728813559322034</v>
          </cell>
          <cell r="ES74">
            <v>0.375</v>
          </cell>
          <cell r="ET74">
            <v>0.33333333333333331</v>
          </cell>
          <cell r="EU74">
            <v>0.37251512532411407</v>
          </cell>
          <cell r="EV74">
            <v>0.37218181818181817</v>
          </cell>
          <cell r="EX74">
            <v>0.37815126050420167</v>
          </cell>
          <cell r="EY74">
            <v>0.3619047619047619</v>
          </cell>
          <cell r="EZ74">
            <v>0.4</v>
          </cell>
          <cell r="FA74">
            <v>0.375</v>
          </cell>
          <cell r="FB74">
            <v>0.37483263750443169</v>
          </cell>
          <cell r="FD74">
            <v>0.37</v>
          </cell>
          <cell r="FE74">
            <v>0.37</v>
          </cell>
          <cell r="FF74">
            <v>0.37</v>
          </cell>
          <cell r="FG74">
            <v>0.37</v>
          </cell>
          <cell r="FH74">
            <v>0.37</v>
          </cell>
          <cell r="FJ74">
            <v>0.37</v>
          </cell>
          <cell r="FK74">
            <v>0.37</v>
          </cell>
          <cell r="FL74">
            <v>0.37</v>
          </cell>
          <cell r="FM74">
            <v>0.37</v>
          </cell>
          <cell r="FN74">
            <v>0.37</v>
          </cell>
          <cell r="FP74">
            <v>0.37</v>
          </cell>
          <cell r="FQ74">
            <v>0.37</v>
          </cell>
          <cell r="FR74">
            <v>0.37</v>
          </cell>
          <cell r="FS74">
            <v>0.37</v>
          </cell>
          <cell r="FT74">
            <v>0.37</v>
          </cell>
          <cell r="FV74">
            <v>0.37</v>
          </cell>
          <cell r="FW74">
            <v>0.37</v>
          </cell>
          <cell r="FX74">
            <v>0.37</v>
          </cell>
          <cell r="FY74">
            <v>0.38</v>
          </cell>
          <cell r="FZ74">
            <v>0.38</v>
          </cell>
          <cell r="GB74">
            <v>0.37</v>
          </cell>
          <cell r="GC74">
            <v>0.37</v>
          </cell>
          <cell r="GD74">
            <v>0.37</v>
          </cell>
          <cell r="GE74">
            <v>0.37</v>
          </cell>
          <cell r="GF74">
            <v>0.37</v>
          </cell>
        </row>
        <row r="75">
          <cell r="A75" t="str">
            <v>Statutory Tax Rate</v>
          </cell>
          <cell r="N75">
            <v>0.35</v>
          </cell>
          <cell r="O75">
            <v>0.35</v>
          </cell>
          <cell r="P75">
            <v>0.35</v>
          </cell>
          <cell r="Q75">
            <v>0.35</v>
          </cell>
          <cell r="R75">
            <v>0.35</v>
          </cell>
          <cell r="S75">
            <v>0.35</v>
          </cell>
          <cell r="T75">
            <v>0.35</v>
          </cell>
          <cell r="U75">
            <v>0.35</v>
          </cell>
          <cell r="V75">
            <v>0.35</v>
          </cell>
          <cell r="W75">
            <v>0.35</v>
          </cell>
          <cell r="X75">
            <v>0.35</v>
          </cell>
          <cell r="Y75">
            <v>0.35</v>
          </cell>
          <cell r="Z75">
            <v>0.35</v>
          </cell>
          <cell r="AA75">
            <v>0.35</v>
          </cell>
          <cell r="AB75">
            <v>0.35</v>
          </cell>
          <cell r="AC75">
            <v>0.35</v>
          </cell>
          <cell r="AD75">
            <v>0.35</v>
          </cell>
          <cell r="AE75">
            <v>0.35</v>
          </cell>
          <cell r="AF75">
            <v>0.35</v>
          </cell>
          <cell r="AG75">
            <v>0.35</v>
          </cell>
          <cell r="AH75">
            <v>0.35</v>
          </cell>
          <cell r="AI75">
            <v>0.35</v>
          </cell>
          <cell r="AJ75">
            <v>0.35</v>
          </cell>
          <cell r="AK75">
            <v>0.35</v>
          </cell>
          <cell r="AL75">
            <v>0.35</v>
          </cell>
          <cell r="AN75" t="str">
            <v>Statutory Tax Rate</v>
          </cell>
          <cell r="DH75">
            <v>0.35</v>
          </cell>
          <cell r="DI75">
            <v>0.35</v>
          </cell>
          <cell r="DJ75">
            <v>0.35</v>
          </cell>
          <cell r="DK75">
            <v>0.35</v>
          </cell>
          <cell r="DL75">
            <v>0.35</v>
          </cell>
          <cell r="DN75">
            <v>0.35</v>
          </cell>
          <cell r="DO75">
            <v>0.35</v>
          </cell>
          <cell r="DP75">
            <v>0.35</v>
          </cell>
          <cell r="DQ75">
            <v>0.35</v>
          </cell>
          <cell r="DR75">
            <v>0.35</v>
          </cell>
          <cell r="DT75">
            <v>0.35</v>
          </cell>
          <cell r="DU75">
            <v>0.35</v>
          </cell>
          <cell r="DV75">
            <v>0.35</v>
          </cell>
          <cell r="DW75">
            <v>0.35</v>
          </cell>
          <cell r="DX75">
            <v>0.35</v>
          </cell>
          <cell r="DZ75">
            <v>0.35</v>
          </cell>
          <cell r="EA75">
            <v>0.35</v>
          </cell>
          <cell r="EB75">
            <v>0.35</v>
          </cell>
          <cell r="EC75">
            <v>0.35</v>
          </cell>
          <cell r="ED75">
            <v>0.35</v>
          </cell>
          <cell r="EF75">
            <v>0.35</v>
          </cell>
          <cell r="EG75">
            <v>0.35</v>
          </cell>
          <cell r="EH75">
            <v>0.35</v>
          </cell>
          <cell r="EI75">
            <v>0.35</v>
          </cell>
          <cell r="EJ75">
            <v>0.35</v>
          </cell>
          <cell r="EK75" t="str">
            <v>Statutory Tax Rate</v>
          </cell>
          <cell r="EL75">
            <v>0.35</v>
          </cell>
          <cell r="EM75">
            <v>0.35</v>
          </cell>
          <cell r="EN75">
            <v>0.35</v>
          </cell>
          <cell r="EO75">
            <v>0.35</v>
          </cell>
          <cell r="EP75">
            <v>0.35</v>
          </cell>
          <cell r="ER75">
            <v>0.35</v>
          </cell>
          <cell r="ES75">
            <v>0.35</v>
          </cell>
          <cell r="ET75">
            <v>0.35</v>
          </cell>
          <cell r="EU75">
            <v>0.35</v>
          </cell>
          <cell r="EV75">
            <v>0.35</v>
          </cell>
          <cell r="EX75">
            <v>0.35</v>
          </cell>
          <cell r="EY75">
            <v>0.35</v>
          </cell>
          <cell r="EZ75">
            <v>0.35</v>
          </cell>
          <cell r="FA75">
            <v>0.35</v>
          </cell>
          <cell r="FB75">
            <v>0.35</v>
          </cell>
          <cell r="FD75">
            <v>0.35</v>
          </cell>
          <cell r="FE75">
            <v>0.35</v>
          </cell>
          <cell r="FF75">
            <v>0.35</v>
          </cell>
          <cell r="FG75">
            <v>0.35</v>
          </cell>
          <cell r="FH75">
            <v>0.35</v>
          </cell>
          <cell r="FJ75">
            <v>0.35</v>
          </cell>
          <cell r="FK75">
            <v>0.35</v>
          </cell>
          <cell r="FL75">
            <v>0.35</v>
          </cell>
          <cell r="FM75">
            <v>0.35</v>
          </cell>
          <cell r="FN75">
            <v>0.35</v>
          </cell>
          <cell r="FP75">
            <v>0.35</v>
          </cell>
          <cell r="FQ75">
            <v>0.35</v>
          </cell>
          <cell r="FR75">
            <v>0.35</v>
          </cell>
          <cell r="FS75">
            <v>0.35</v>
          </cell>
          <cell r="FT75">
            <v>0.35</v>
          </cell>
          <cell r="FV75">
            <v>0.35</v>
          </cell>
          <cell r="FW75">
            <v>0.35</v>
          </cell>
          <cell r="FX75">
            <v>0.35</v>
          </cell>
          <cell r="FY75">
            <v>0.35</v>
          </cell>
          <cell r="FZ75">
            <v>0.35</v>
          </cell>
          <cell r="GB75">
            <v>0.35</v>
          </cell>
          <cell r="GC75">
            <v>0.35</v>
          </cell>
          <cell r="GD75">
            <v>0.35</v>
          </cell>
          <cell r="GE75">
            <v>0.35</v>
          </cell>
          <cell r="GF75">
            <v>0.35</v>
          </cell>
        </row>
        <row r="76">
          <cell r="A76" t="str">
            <v>Net Income, Reported</v>
          </cell>
          <cell r="K76">
            <v>2.6858336678465423E-3</v>
          </cell>
          <cell r="L76">
            <v>1.064370896655909E-2</v>
          </cell>
          <cell r="N76">
            <v>5.1320651430135488E-3</v>
          </cell>
          <cell r="O76">
            <v>1.7932987258140631E-2</v>
          </cell>
          <cell r="P76">
            <v>3.521681997371879E-2</v>
          </cell>
          <cell r="Q76">
            <v>4.3084933289944678E-2</v>
          </cell>
          <cell r="R76">
            <v>4.959760434212989E-2</v>
          </cell>
          <cell r="S76">
            <v>-1.1059021517009255E-2</v>
          </cell>
          <cell r="T76">
            <v>-1.7484954070319924E-2</v>
          </cell>
          <cell r="U76">
            <v>5.2533555969430351E-2</v>
          </cell>
          <cell r="V76">
            <v>4.4964962366986765E-2</v>
          </cell>
          <cell r="W76">
            <v>4.3673935091277892E-2</v>
          </cell>
          <cell r="X76">
            <v>6.2822305050109079E-2</v>
          </cell>
          <cell r="Y76">
            <v>3.6888209121245831E-2</v>
          </cell>
          <cell r="Z76">
            <v>3.3937597385322843E-2</v>
          </cell>
          <cell r="AA76">
            <v>-0.19295355937650652</v>
          </cell>
          <cell r="AB76">
            <v>1.3768570830717723E-2</v>
          </cell>
          <cell r="AC76">
            <v>3.2220133583969926E-2</v>
          </cell>
          <cell r="AD76">
            <v>4.7566748721832988E-2</v>
          </cell>
          <cell r="AE76">
            <v>5.0847790666976311E-2</v>
          </cell>
          <cell r="AF76">
            <v>5.1982465405594071E-2</v>
          </cell>
          <cell r="AG76">
            <v>5.6002544154840128E-2</v>
          </cell>
          <cell r="AH76">
            <v>5.6194069130642586E-2</v>
          </cell>
          <cell r="AI76">
            <v>5.707328154048523E-2</v>
          </cell>
          <cell r="AJ76">
            <v>5.867706740276709E-2</v>
          </cell>
          <cell r="AK76">
            <v>5.9868365887541859E-2</v>
          </cell>
          <cell r="AL76">
            <v>6.0696273676362836E-2</v>
          </cell>
          <cell r="AN76" t="str">
            <v>Net Income, Reported</v>
          </cell>
          <cell r="AO76">
            <v>-6.2522792148183473E-2</v>
          </cell>
          <cell r="AP76">
            <v>-8.2829299753816629E-2</v>
          </cell>
          <cell r="AQ76">
            <v>-4.9114849713720231E-2</v>
          </cell>
          <cell r="AR76">
            <v>1.8227995168483186E-2</v>
          </cell>
          <cell r="AS76">
            <v>-3.8007091307834251E-2</v>
          </cell>
          <cell r="AU76">
            <v>-4.0266245099374307E-2</v>
          </cell>
          <cell r="AV76">
            <v>-9.6158230391183569E-2</v>
          </cell>
          <cell r="AW76">
            <v>-3.5692529877389009E-2</v>
          </cell>
          <cell r="AX76">
            <v>-0.45779052224190087</v>
          </cell>
          <cell r="AY76">
            <v>-0.17974176910106457</v>
          </cell>
          <cell r="BA76">
            <v>7.5153048304858238E-3</v>
          </cell>
          <cell r="BB76">
            <v>-1.083507410040546E-2</v>
          </cell>
          <cell r="BC76">
            <v>1.765378305332967E-2</v>
          </cell>
          <cell r="BD76">
            <v>4.6463852508224907E-2</v>
          </cell>
          <cell r="BE76">
            <v>1.8744223998476833E-2</v>
          </cell>
          <cell r="BG76">
            <v>1.3645575972215886E-2</v>
          </cell>
          <cell r="BH76">
            <v>5.8930111935926888E-3</v>
          </cell>
          <cell r="BI76">
            <v>1.9294534500632898E-2</v>
          </cell>
          <cell r="BJ76">
            <v>6.2174766479350253E-2</v>
          </cell>
          <cell r="BK76">
            <v>2.9191194961245663E-2</v>
          </cell>
          <cell r="BM76">
            <v>1.9485604708668485E-2</v>
          </cell>
          <cell r="BN76">
            <v>2.3632604473402918E-3</v>
          </cell>
          <cell r="BO76">
            <v>2.3013673889135992E-2</v>
          </cell>
          <cell r="BP76">
            <v>6.5792286249943224E-2</v>
          </cell>
          <cell r="BQ76">
            <v>3.2027730994201996E-2</v>
          </cell>
          <cell r="BS76">
            <v>-1.2609394145677338E-2</v>
          </cell>
          <cell r="BT76">
            <v>-1.9867834720895313E-2</v>
          </cell>
          <cell r="BU76">
            <v>-1.5289446996361027E-2</v>
          </cell>
          <cell r="BV76">
            <v>4.09219437066137E-2</v>
          </cell>
          <cell r="BW76">
            <v>2.6858336678465379E-3</v>
          </cell>
          <cell r="BY76">
            <v>-1.9075932243777384E-2</v>
          </cell>
          <cell r="BZ76">
            <v>-2.2046275024614342E-2</v>
          </cell>
          <cell r="CA76">
            <v>6.568416404481899E-3</v>
          </cell>
          <cell r="CB76">
            <v>-0.16441176470588287</v>
          </cell>
          <cell r="CC76">
            <v>-1.2377383336592569E-2</v>
          </cell>
          <cell r="CD76">
            <v>5.4275623717464055E-2</v>
          </cell>
          <cell r="CE76">
            <v>4.6467169366939447E-2</v>
          </cell>
          <cell r="CF76">
            <v>1.0643708966559084E-2</v>
          </cell>
          <cell r="CG76">
            <v>9.7288852363702893E-3</v>
          </cell>
          <cell r="CH76">
            <v>4.9287511079372367E-3</v>
          </cell>
          <cell r="CJ76">
            <v>-1.1489381040385417E-2</v>
          </cell>
          <cell r="CK76">
            <v>-8.2798758186094137E-3</v>
          </cell>
          <cell r="CL76">
            <v>1.1581957847115281E-2</v>
          </cell>
          <cell r="CM76">
            <v>5.7438810810338373E-2</v>
          </cell>
          <cell r="CN76">
            <v>1.7459216388905543E-2</v>
          </cell>
          <cell r="CP76">
            <v>7.0573064784718795E-3</v>
          </cell>
          <cell r="CQ76">
            <v>1.9221919185688125E-2</v>
          </cell>
          <cell r="CR76">
            <v>2.8058263726431273E-2</v>
          </cell>
          <cell r="CS76">
            <v>7.4915278622071119E-2</v>
          </cell>
          <cell r="CT76">
            <v>3.6674212257197879E-2</v>
          </cell>
          <cell r="CV76">
            <v>1.7942806076854334E-2</v>
          </cell>
          <cell r="CW76">
            <v>3.1231757151196731E-2</v>
          </cell>
          <cell r="CX76">
            <v>3.1003382187147689E-2</v>
          </cell>
          <cell r="CY76">
            <v>8.1048867699642438E-2</v>
          </cell>
          <cell r="CZ76">
            <v>4.4597071265863979E-2</v>
          </cell>
          <cell r="DB76">
            <v>2.4166666666666666E-2</v>
          </cell>
          <cell r="DC76">
            <v>3.4198701947079378E-2</v>
          </cell>
          <cell r="DD76">
            <v>2.9731689630166789E-2</v>
          </cell>
          <cell r="DE76">
            <v>7.5004185501423071E-2</v>
          </cell>
          <cell r="DF76">
            <v>4.4874689546172949E-2</v>
          </cell>
          <cell r="DH76">
            <v>2.4909040022390149E-2</v>
          </cell>
          <cell r="DI76">
            <v>1.7124218537646098E-2</v>
          </cell>
          <cell r="DJ76">
            <v>-0.17662612374405076</v>
          </cell>
          <cell r="DK76">
            <v>5.9243397573162028E-2</v>
          </cell>
          <cell r="DL76">
            <v>-1.1059021517009255E-2</v>
          </cell>
          <cell r="DN76">
            <v>1.6310461192350956E-2</v>
          </cell>
          <cell r="DO76">
            <v>3.153669724770642E-2</v>
          </cell>
          <cell r="DP76">
            <v>8.6330935251798565E-4</v>
          </cell>
          <cell r="DQ76">
            <v>-8.7100545596258766E-2</v>
          </cell>
          <cell r="DR76">
            <v>-1.7484954070319924E-2</v>
          </cell>
          <cell r="DT76">
            <v>2.5774688676513176E-2</v>
          </cell>
          <cell r="DU76">
            <v>8.0895008605851984E-2</v>
          </cell>
          <cell r="DV76">
            <v>3.046852543834435E-2</v>
          </cell>
          <cell r="DW76">
            <v>6.796890572055013E-2</v>
          </cell>
          <cell r="DX76">
            <v>5.2533555969430351E-2</v>
          </cell>
          <cell r="DZ76">
            <v>1.3977514433302947E-2</v>
          </cell>
          <cell r="EA76">
            <v>3.4944670937682006E-2</v>
          </cell>
          <cell r="EB76">
            <v>1.9219736087205966E-2</v>
          </cell>
          <cell r="EC76">
            <v>9.1035028695824263E-2</v>
          </cell>
          <cell r="ED76">
            <v>4.4964962366986765E-2</v>
          </cell>
          <cell r="EF76">
            <v>2.7323943661971831E-2</v>
          </cell>
          <cell r="EG76">
            <v>2.1781625244345154E-2</v>
          </cell>
          <cell r="EH76">
            <v>2.099290780141844E-2</v>
          </cell>
          <cell r="EI76">
            <v>8.59375E-2</v>
          </cell>
          <cell r="EJ76">
            <v>4.3673935091277892E-2</v>
          </cell>
          <cell r="EK76" t="str">
            <v>Net Income, Reported</v>
          </cell>
          <cell r="EL76">
            <v>3.3879154078549849E-2</v>
          </cell>
          <cell r="EM76">
            <v>4.0850124206458734E-2</v>
          </cell>
          <cell r="EN76">
            <v>7.8530586871636804E-2</v>
          </cell>
          <cell r="EO76">
            <v>7.3033120886009828E-2</v>
          </cell>
          <cell r="EP76">
            <v>6.2822305050109079E-2</v>
          </cell>
          <cell r="ER76">
            <v>-8.7689713322091061E-3</v>
          </cell>
          <cell r="ES76">
            <v>5.2856547122602168E-2</v>
          </cell>
          <cell r="ET76">
            <v>-5.0968399592252807E-4</v>
          </cell>
          <cell r="EU76">
            <v>8.0030571023037456E-2</v>
          </cell>
          <cell r="EV76">
            <v>3.6888209121245831E-2</v>
          </cell>
          <cell r="EX76">
            <v>6.0800540449248439E-3</v>
          </cell>
          <cell r="EY76">
            <v>1.2559402579769178E-2</v>
          </cell>
          <cell r="EZ76">
            <v>5.5875380968506607E-3</v>
          </cell>
          <cell r="FA76">
            <v>8.7270188503607168E-2</v>
          </cell>
          <cell r="FB76">
            <v>3.3937597385322843E-2</v>
          </cell>
          <cell r="FD76">
            <v>-1.0266225856968854E-2</v>
          </cell>
          <cell r="FE76">
            <v>1.2766701643931445E-2</v>
          </cell>
          <cell r="FF76">
            <v>-8.0101947933733843E-3</v>
          </cell>
          <cell r="FG76">
            <v>-0.60158810184018152</v>
          </cell>
          <cell r="FH76">
            <v>-0.19295355937650652</v>
          </cell>
          <cell r="FJ76">
            <v>-1.6641452344931921E-2</v>
          </cell>
          <cell r="FK76">
            <v>1.3245033112582781E-3</v>
          </cell>
          <cell r="FL76">
            <v>-6.4995357474466105E-3</v>
          </cell>
          <cell r="FM76">
            <v>5.6066523875519719E-2</v>
          </cell>
          <cell r="FN76">
            <v>1.3768570830717723E-2</v>
          </cell>
          <cell r="FP76">
            <v>4.1263006817366344E-3</v>
          </cell>
          <cell r="FQ76">
            <v>2.6548672566371681E-2</v>
          </cell>
          <cell r="FR76">
            <v>1.7784101013693758E-3</v>
          </cell>
          <cell r="FS76">
            <v>8.0662716168823312E-2</v>
          </cell>
          <cell r="FT76">
            <v>3.3875934887813465E-2</v>
          </cell>
          <cell r="FV76">
            <v>2.2244863304465953E-2</v>
          </cell>
          <cell r="FW76">
            <v>4.0579222091261156E-2</v>
          </cell>
          <cell r="FX76">
            <v>2.3748505040150351E-2</v>
          </cell>
          <cell r="FY76">
            <v>8.5396607060981206E-2</v>
          </cell>
          <cell r="FZ76">
            <v>4.7566748721832988E-2</v>
          </cell>
          <cell r="GB76">
            <v>2.9464431059742797E-2</v>
          </cell>
          <cell r="GC76">
            <v>4.5603138280483818E-2</v>
          </cell>
          <cell r="GD76">
            <v>1.8128225220217339E-2</v>
          </cell>
          <cell r="GE76">
            <v>8.9498062186548211E-2</v>
          </cell>
          <cell r="GF76">
            <v>5.0847790666976311E-2</v>
          </cell>
        </row>
        <row r="78">
          <cell r="A78" t="str">
            <v>% Change</v>
          </cell>
          <cell r="AN78" t="str">
            <v>% Change</v>
          </cell>
        </row>
        <row r="79">
          <cell r="A79" t="str">
            <v>Sales</v>
          </cell>
          <cell r="C79" t="str">
            <v>--</v>
          </cell>
          <cell r="D79" t="str">
            <v>--</v>
          </cell>
          <cell r="E79" t="str">
            <v>--</v>
          </cell>
          <cell r="F79">
            <v>-2.935599258637267E-2</v>
          </cell>
          <cell r="G79">
            <v>2.1294160701975429E-2</v>
          </cell>
          <cell r="H79">
            <v>2.1111051631644839E-2</v>
          </cell>
          <cell r="I79">
            <v>6.6128669492348191E-2</v>
          </cell>
          <cell r="K79" t="str">
            <v xml:space="preserve">--  </v>
          </cell>
          <cell r="L79">
            <v>2.164244790716352E-2</v>
          </cell>
          <cell r="N79" t="str">
            <v>NA</v>
          </cell>
          <cell r="O79">
            <v>1.4985630217599466E-2</v>
          </cell>
          <cell r="P79">
            <v>2.6090473943234604E-2</v>
          </cell>
          <cell r="Q79">
            <v>9.5269382391589552E-3</v>
          </cell>
          <cell r="R79">
            <v>4.3215099251545652E-2</v>
          </cell>
          <cell r="S79">
            <v>3.7993636533782515E-2</v>
          </cell>
          <cell r="T79">
            <v>-5.126818127178745E-2</v>
          </cell>
          <cell r="U79">
            <v>-1.3557174532784266E-2</v>
          </cell>
          <cell r="V79">
            <v>-1.0211290218996805E-2</v>
          </cell>
          <cell r="W79">
            <v>2.361796003114458E-2</v>
          </cell>
          <cell r="X79">
            <v>0.41924442190669375</v>
          </cell>
          <cell r="Y79">
            <v>0.20455560518088434</v>
          </cell>
          <cell r="Z79">
            <v>-2.4360400444938812E-2</v>
          </cell>
          <cell r="AA79">
            <v>-5.4003724394785846E-2</v>
          </cell>
          <cell r="AB79">
            <v>-4.0053029085650005E-2</v>
          </cell>
          <cell r="AC79">
            <v>4.6369533375183014E-2</v>
          </cell>
          <cell r="AD79">
            <v>5.60732712074552E-2</v>
          </cell>
          <cell r="AE79">
            <v>4.8961204520547419E-2</v>
          </cell>
          <cell r="AF79">
            <v>2.3867294306323394E-2</v>
          </cell>
          <cell r="AG79">
            <v>1.9271419022529823E-2</v>
          </cell>
          <cell r="AH79">
            <v>1.0360976857347159E-2</v>
          </cell>
          <cell r="AI79">
            <v>1.0000000000000009E-2</v>
          </cell>
          <cell r="AJ79">
            <v>1.0000000000000009E-2</v>
          </cell>
          <cell r="AK79">
            <v>1.0000000000000009E-2</v>
          </cell>
          <cell r="AL79">
            <v>1.0000000000000009E-2</v>
          </cell>
          <cell r="AN79" t="str">
            <v>Sales</v>
          </cell>
          <cell r="AU79">
            <v>1.86046804069262E-3</v>
          </cell>
          <cell r="AV79">
            <v>-1.9629781109162359E-2</v>
          </cell>
          <cell r="AW79">
            <v>-3.3058964187159479E-2</v>
          </cell>
          <cell r="AX79">
            <v>-5.5011636021012E-2</v>
          </cell>
          <cell r="AY79">
            <v>-2.935599258637267E-2</v>
          </cell>
          <cell r="BA79">
            <v>-1.3614121583839567E-2</v>
          </cell>
          <cell r="BB79">
            <v>-2.5760441466214368E-2</v>
          </cell>
          <cell r="BC79">
            <v>4.6851163408529795E-2</v>
          </cell>
          <cell r="BD79">
            <v>5.9869931498505169E-2</v>
          </cell>
          <cell r="BE79">
            <v>2.1294160701975429E-2</v>
          </cell>
          <cell r="BG79">
            <v>1.1791495464221979E-2</v>
          </cell>
          <cell r="BH79">
            <v>3.0933042000752087E-2</v>
          </cell>
          <cell r="BI79">
            <v>1.9564384993575601E-4</v>
          </cell>
          <cell r="BJ79">
            <v>3.7800425987538633E-2</v>
          </cell>
          <cell r="BK79">
            <v>2.1111051631644839E-2</v>
          </cell>
          <cell r="BM79">
            <v>3.9850112465956933E-2</v>
          </cell>
          <cell r="BN79">
            <v>6.2446082242552547E-2</v>
          </cell>
          <cell r="BO79">
            <v>7.6842814149548744E-2</v>
          </cell>
          <cell r="BP79">
            <v>7.8120367498969223E-2</v>
          </cell>
          <cell r="BQ79">
            <v>6.6128669492348191E-2</v>
          </cell>
          <cell r="BS79" t="str">
            <v xml:space="preserve"> --  </v>
          </cell>
          <cell r="BT79" t="str">
            <v xml:space="preserve"> --  </v>
          </cell>
          <cell r="BU79" t="str">
            <v xml:space="preserve"> --  </v>
          </cell>
          <cell r="BV79" t="str">
            <v xml:space="preserve"> --  </v>
          </cell>
          <cell r="BW79" t="str">
            <v xml:space="preserve"> --  </v>
          </cell>
          <cell r="BY79">
            <v>1.7020422055820328E-2</v>
          </cell>
          <cell r="BZ79">
            <v>3.9647877712569946E-2</v>
          </cell>
          <cell r="CA79">
            <v>-5.6887192030066203E-3</v>
          </cell>
          <cell r="CC79">
            <v>0.11804838036151044</v>
          </cell>
          <cell r="CD79">
            <v>3.3347469922546225E-2</v>
          </cell>
          <cell r="CE79">
            <v>0.1751746612798819</v>
          </cell>
          <cell r="CF79">
            <v>2.164244790716352E-2</v>
          </cell>
          <cell r="CG79">
            <v>6.8016932452651169E-2</v>
          </cell>
          <cell r="CH79">
            <v>9.8290990037587012E-2</v>
          </cell>
          <cell r="CJ79">
            <v>0.10464972292558983</v>
          </cell>
          <cell r="CK79">
            <v>7.7856252051197838E-2</v>
          </cell>
          <cell r="CL79">
            <v>-3.7141754186954423E-2</v>
          </cell>
          <cell r="CM79">
            <v>-4.3674523732644466E-2</v>
          </cell>
          <cell r="CN79">
            <v>1.2014698867654605E-2</v>
          </cell>
          <cell r="CP79">
            <v>3.2838791771442555E-2</v>
          </cell>
          <cell r="CQ79">
            <v>5.1336569811840205E-2</v>
          </cell>
          <cell r="CR79">
            <v>3.799456270565793E-2</v>
          </cell>
          <cell r="CS79">
            <v>4.9966653147852647E-3</v>
          </cell>
          <cell r="CT79">
            <v>2.8844771112862544E-2</v>
          </cell>
          <cell r="CZ79">
            <v>-1.9358307391376894E-2</v>
          </cell>
          <cell r="DF79">
            <v>4.3215099251545652E-2</v>
          </cell>
          <cell r="DH79">
            <v>-7.4999999999999512E-3</v>
          </cell>
          <cell r="DI79">
            <v>-8.1627558662006994E-2</v>
          </cell>
          <cell r="DJ79">
            <v>-8.5810974135847262E-2</v>
          </cell>
          <cell r="DK79">
            <v>-6.1778001004520355E-2</v>
          </cell>
          <cell r="DL79">
            <v>-6.0848950101603072E-2</v>
          </cell>
          <cell r="DN79">
            <v>-4.7579065211307281E-3</v>
          </cell>
          <cell r="DO79">
            <v>-5.191628159826045E-2</v>
          </cell>
          <cell r="DP79">
            <v>-8.1173982020095181E-2</v>
          </cell>
          <cell r="DQ79">
            <v>-8.4225553176302648E-2</v>
          </cell>
          <cell r="DR79">
            <v>-5.126818127178745E-2</v>
          </cell>
          <cell r="DT79">
            <v>-2.8965129358830111E-2</v>
          </cell>
          <cell r="DU79">
            <v>-5.7339449541282672E-4</v>
          </cell>
          <cell r="DV79">
            <v>1.1510791366906581E-3</v>
          </cell>
          <cell r="DW79">
            <v>-2.2408417770849565E-2</v>
          </cell>
          <cell r="DX79">
            <v>-1.3557174532784266E-2</v>
          </cell>
          <cell r="DZ79">
            <v>-4.6915725456125101E-2</v>
          </cell>
          <cell r="EA79">
            <v>-1.4916810097532984E-2</v>
          </cell>
          <cell r="EB79">
            <v>2.012072434607548E-3</v>
          </cell>
          <cell r="EC79">
            <v>7.1756029499701057E-3</v>
          </cell>
          <cell r="ED79">
            <v>-1.0211290218996805E-2</v>
          </cell>
          <cell r="EF79">
            <v>7.8699483439683915E-2</v>
          </cell>
          <cell r="EG79">
            <v>4.2807221898660375E-2</v>
          </cell>
          <cell r="EH79">
            <v>1.1187607573149849E-2</v>
          </cell>
          <cell r="EI79">
            <v>1.3259449831783066E-2</v>
          </cell>
          <cell r="EJ79">
            <v>2.361796003114458E-2</v>
          </cell>
          <cell r="EK79" t="str">
            <v>Sales</v>
          </cell>
          <cell r="EL79">
            <v>2.5633802816901419E-2</v>
          </cell>
          <cell r="EM79">
            <v>1.1728567439262871E-2</v>
          </cell>
          <cell r="EN79">
            <v>0.57588652482269498</v>
          </cell>
          <cell r="EO79">
            <v>0.86933593750000004</v>
          </cell>
          <cell r="EP79">
            <v>0.41924442190669375</v>
          </cell>
          <cell r="ER79">
            <v>0.62867344136226322</v>
          </cell>
          <cell r="ES79">
            <v>0.65470604471432514</v>
          </cell>
          <cell r="ET79">
            <v>5.9585958595859578E-2</v>
          </cell>
          <cell r="EU79">
            <v>-4.3046703583742518E-2</v>
          </cell>
          <cell r="EV79">
            <v>0.20455560518088434</v>
          </cell>
          <cell r="EX79">
            <v>-1.5177065767284503E-3</v>
          </cell>
          <cell r="EY79">
            <v>-1.7180984153461254E-2</v>
          </cell>
          <cell r="EZ79">
            <v>3.397893306150257E-3</v>
          </cell>
          <cell r="FA79">
            <v>-6.1687957200567745E-2</v>
          </cell>
          <cell r="FB79">
            <v>-2.4360400444938812E-2</v>
          </cell>
          <cell r="FD79">
            <v>-2.9386927883803371E-2</v>
          </cell>
          <cell r="FE79">
            <v>-2.9531568228105876E-2</v>
          </cell>
          <cell r="FF79">
            <v>-6.9928885878767333E-2</v>
          </cell>
          <cell r="FG79">
            <v>-7.6797765883174329E-2</v>
          </cell>
          <cell r="FH79">
            <v>-5.4003724394785846E-2</v>
          </cell>
          <cell r="FJ79">
            <v>-7.9867757090655966E-2</v>
          </cell>
          <cell r="FK79">
            <v>-7.5725778244141284E-2</v>
          </cell>
          <cell r="FL79">
            <v>-1.9661387220098359E-2</v>
          </cell>
          <cell r="FM79">
            <v>3.7811948575749987E-4</v>
          </cell>
          <cell r="FN79">
            <v>-4.0053029085650005E-2</v>
          </cell>
          <cell r="FP79">
            <v>5.4084720121028829E-2</v>
          </cell>
          <cell r="FQ79">
            <v>4.7682119205298079E-2</v>
          </cell>
          <cell r="FR79">
            <v>4.4196843082636939E-2</v>
          </cell>
          <cell r="FS79">
            <v>4.182940657679235E-2</v>
          </cell>
          <cell r="FT79">
            <v>4.6369533375183014E-2</v>
          </cell>
          <cell r="FV79">
            <v>5.6512378902045191E-2</v>
          </cell>
          <cell r="FW79">
            <v>7.2602492324363332E-2</v>
          </cell>
          <cell r="FX79">
            <v>4.0903432331495626E-2</v>
          </cell>
          <cell r="FY79">
            <v>5.5024791389527206E-2</v>
          </cell>
          <cell r="FZ79">
            <v>5.60732712074552E-2</v>
          </cell>
          <cell r="GB79">
            <v>4.313126167430803E-2</v>
          </cell>
          <cell r="GC79">
            <v>3.0139754167368249E-2</v>
          </cell>
          <cell r="GD79">
            <v>3.7021467099822347E-2</v>
          </cell>
          <cell r="GE79">
            <v>7.372007776590972E-2</v>
          </cell>
          <cell r="GF79">
            <v>4.8961204520547419E-2</v>
          </cell>
        </row>
        <row r="80">
          <cell r="A80" t="str">
            <v>Gross Profit</v>
          </cell>
          <cell r="C80" t="str">
            <v>--</v>
          </cell>
          <cell r="D80" t="str">
            <v>--</v>
          </cell>
          <cell r="E80" t="str">
            <v>--</v>
          </cell>
          <cell r="F80">
            <v>4.3771275428128309E-3</v>
          </cell>
          <cell r="G80">
            <v>3.6276141877347623E-2</v>
          </cell>
          <cell r="H80">
            <v>-3.2492537908579422E-4</v>
          </cell>
          <cell r="I80">
            <v>3.8822485147063324E-2</v>
          </cell>
          <cell r="K80" t="str">
            <v xml:space="preserve">--  </v>
          </cell>
          <cell r="L80">
            <v>2.4104472873397009E-2</v>
          </cell>
          <cell r="N80" t="str">
            <v>NA</v>
          </cell>
          <cell r="O80">
            <v>4.2862266857962794E-2</v>
          </cell>
          <cell r="P80">
            <v>3.5253654342218388E-2</v>
          </cell>
          <cell r="Q80">
            <v>2.109634551495021E-2</v>
          </cell>
          <cell r="R80">
            <v>4.9780380673499325E-2</v>
          </cell>
          <cell r="S80">
            <v>3.5642336897567128E-2</v>
          </cell>
          <cell r="T80">
            <v>-7.4966332485410736E-2</v>
          </cell>
          <cell r="U80">
            <v>1.0514396635393108E-2</v>
          </cell>
          <cell r="V80">
            <v>-1.6007683688170626E-3</v>
          </cell>
          <cell r="W80">
            <v>3.0944364277697645E-2</v>
          </cell>
          <cell r="X80">
            <v>0.418040435458787</v>
          </cell>
          <cell r="Y80">
            <v>0.2010309278350515</v>
          </cell>
          <cell r="Z80">
            <v>-2.8764496393023475E-2</v>
          </cell>
          <cell r="AA80">
            <v>-7.0797292215118435E-2</v>
          </cell>
          <cell r="AB80">
            <v>-2.6914904381260762E-2</v>
          </cell>
          <cell r="AC80">
            <v>5.843818238535925E-2</v>
          </cell>
          <cell r="AD80">
            <v>4.7941841045289424E-2</v>
          </cell>
          <cell r="AE80">
            <v>5.2283106976051208E-2</v>
          </cell>
          <cell r="AF80">
            <v>3.1446708308341842E-2</v>
          </cell>
          <cell r="AG80">
            <v>2.3016391982823015E-2</v>
          </cell>
          <cell r="AH80">
            <v>7.895213474916396E-3</v>
          </cell>
          <cell r="AI80">
            <v>5.0581747329294657E-3</v>
          </cell>
          <cell r="AJ80">
            <v>1.0000000000000009E-2</v>
          </cell>
          <cell r="AK80">
            <v>1.0000000000000231E-2</v>
          </cell>
          <cell r="AL80">
            <v>9.9999999999997868E-3</v>
          </cell>
          <cell r="AN80" t="str">
            <v>Gross Profit</v>
          </cell>
          <cell r="AU80">
            <v>6.5027775722650283E-3</v>
          </cell>
          <cell r="AV80">
            <v>3.7869418072755012E-2</v>
          </cell>
          <cell r="AW80">
            <v>-3.0220771411390679E-2</v>
          </cell>
          <cell r="AX80">
            <v>-2.6005050197239421E-2</v>
          </cell>
          <cell r="AY80">
            <v>-6.1546985500945395E-3</v>
          </cell>
          <cell r="BA80">
            <v>1.1670352425249941E-2</v>
          </cell>
          <cell r="BB80">
            <v>-1.4845097541082208E-2</v>
          </cell>
          <cell r="BC80">
            <v>7.1156503560925177E-2</v>
          </cell>
          <cell r="BD80">
            <v>0.10090327076774308</v>
          </cell>
          <cell r="BE80">
            <v>4.7257609611369489E-2</v>
          </cell>
          <cell r="BG80">
            <v>-6.9087592369292405E-3</v>
          </cell>
          <cell r="BH80">
            <v>2.1705715691430649E-2</v>
          </cell>
          <cell r="BI80">
            <v>-1.8726483357452972E-2</v>
          </cell>
          <cell r="BJ80">
            <v>4.8290496367902058E-3</v>
          </cell>
          <cell r="BK80">
            <v>-3.249253790856832E-4</v>
          </cell>
          <cell r="BM80">
            <v>1.2928263316267063E-2</v>
          </cell>
          <cell r="BN80">
            <v>3.1783854512606569E-2</v>
          </cell>
          <cell r="BO80">
            <v>4.5363312419325119E-2</v>
          </cell>
          <cell r="BP80">
            <v>5.6808313119516063E-2</v>
          </cell>
          <cell r="BQ80">
            <v>3.8822485147063324E-2</v>
          </cell>
          <cell r="BS80" t="str">
            <v xml:space="preserve"> --  </v>
          </cell>
          <cell r="BT80" t="str">
            <v xml:space="preserve"> --  </v>
          </cell>
          <cell r="BU80" t="str">
            <v xml:space="preserve"> --  </v>
          </cell>
          <cell r="BV80" t="str">
            <v xml:space="preserve"> --  </v>
          </cell>
          <cell r="BW80" t="str">
            <v xml:space="preserve"> --  </v>
          </cell>
          <cell r="BY80">
            <v>8.4989805548514319E-3</v>
          </cell>
          <cell r="BZ80">
            <v>6.1027079338339174E-2</v>
          </cell>
          <cell r="CA80">
            <v>-9.7742085728773631E-3</v>
          </cell>
          <cell r="CC80">
            <v>8.6561262946705408E-2</v>
          </cell>
          <cell r="CD80">
            <v>3.642482383578427E-2</v>
          </cell>
          <cell r="CE80">
            <v>0.1941411403085509</v>
          </cell>
          <cell r="CF80">
            <v>2.4104472873397009E-2</v>
          </cell>
          <cell r="CG80">
            <v>5.9100859621379565E-2</v>
          </cell>
          <cell r="CH80">
            <v>8.2881613838603707E-2</v>
          </cell>
          <cell r="CJ80">
            <v>0.1031062421623441</v>
          </cell>
          <cell r="CK80">
            <v>8.8312916724728296E-2</v>
          </cell>
          <cell r="CL80">
            <v>-3.8526770118407772E-4</v>
          </cell>
          <cell r="CM80">
            <v>-7.2087686537662954E-3</v>
          </cell>
          <cell r="CN80">
            <v>3.6671773517589878E-2</v>
          </cell>
          <cell r="CP80">
            <v>2.8127945059764459E-2</v>
          </cell>
          <cell r="CQ80">
            <v>5.0830517089523797E-2</v>
          </cell>
          <cell r="CR80">
            <v>2.8262914436901099E-2</v>
          </cell>
          <cell r="CS80">
            <v>2.7784685130880504E-3</v>
          </cell>
          <cell r="CT80">
            <v>2.4779188020634502E-2</v>
          </cell>
          <cell r="CV80">
            <v>9.6609808005589937E-3</v>
          </cell>
          <cell r="CW80">
            <v>4.0498966885695431E-2</v>
          </cell>
          <cell r="CX80">
            <v>-3.8617692586529473E-2</v>
          </cell>
          <cell r="CY80">
            <v>2.4693053195915082E-2</v>
          </cell>
          <cell r="CZ80">
            <v>9.7666629158388307E-3</v>
          </cell>
          <cell r="DB80">
            <v>6.8164794007490537E-2</v>
          </cell>
          <cell r="DC80">
            <v>0.19730305180979424</v>
          </cell>
          <cell r="DD80">
            <v>0.1995723449750535</v>
          </cell>
          <cell r="DE80">
            <v>0.23849999999999993</v>
          </cell>
          <cell r="DF80">
            <v>0.18317878639986995</v>
          </cell>
          <cell r="DH80">
            <v>-3.5063113604487661E-3</v>
          </cell>
          <cell r="DI80">
            <v>-0.10729104919976284</v>
          </cell>
          <cell r="DJ80">
            <v>-0.11645870469399877</v>
          </cell>
          <cell r="DK80">
            <v>-8.3972547436415024E-2</v>
          </cell>
          <cell r="DL80">
            <v>-8.1121957926577726E-2</v>
          </cell>
          <cell r="DN80">
            <v>-1.6185784658691027E-2</v>
          </cell>
          <cell r="DO80">
            <v>-9.6945551128818086E-2</v>
          </cell>
          <cell r="DP80">
            <v>-9.8184263618022904E-2</v>
          </cell>
          <cell r="DQ80">
            <v>-0.1092992507712649</v>
          </cell>
          <cell r="DR80">
            <v>-7.4966332485410736E-2</v>
          </cell>
          <cell r="DT80">
            <v>-1.6452074391988591E-2</v>
          </cell>
          <cell r="DU80">
            <v>5.5147058823529438E-2</v>
          </cell>
          <cell r="DV80">
            <v>1.9388516032811332E-2</v>
          </cell>
          <cell r="DW80">
            <v>-8.9064819396338368E-3</v>
          </cell>
          <cell r="DX80">
            <v>1.0514396635393108E-2</v>
          </cell>
          <cell r="DZ80">
            <v>-6.2545454545454571E-2</v>
          </cell>
          <cell r="EA80">
            <v>-1.8118466898954688E-2</v>
          </cell>
          <cell r="EB80">
            <v>2.0482809070958341E-2</v>
          </cell>
          <cell r="EC80">
            <v>3.4448327508736831E-2</v>
          </cell>
          <cell r="ED80">
            <v>-1.6007683688170626E-3</v>
          </cell>
          <cell r="EF80">
            <v>0.11016291698991476</v>
          </cell>
          <cell r="EG80">
            <v>5.2519517388218695E-2</v>
          </cell>
          <cell r="EH80">
            <v>1.6487455197132572E-2</v>
          </cell>
          <cell r="EI80">
            <v>1.2548262548262468E-2</v>
          </cell>
          <cell r="EJ80">
            <v>3.0944364277697645E-2</v>
          </cell>
          <cell r="EK80" t="str">
            <v>Gross Profit</v>
          </cell>
          <cell r="EL80">
            <v>2.3759608665268939E-2</v>
          </cell>
          <cell r="EM80">
            <v>9.4403236682401026E-3</v>
          </cell>
          <cell r="EN80">
            <v>0.58180535966149516</v>
          </cell>
          <cell r="EO80">
            <v>0.86510962821734982</v>
          </cell>
          <cell r="EP80">
            <v>0.418040435458787</v>
          </cell>
          <cell r="ER80">
            <v>0.57201365187713304</v>
          </cell>
          <cell r="ES80">
            <v>0.6867067468269874</v>
          </cell>
          <cell r="ET80">
            <v>5.7958091841284087E-2</v>
          </cell>
          <cell r="EU80">
            <v>-4.1656018400204498E-2</v>
          </cell>
          <cell r="EV80">
            <v>0.2010309278350515</v>
          </cell>
          <cell r="EX80">
            <v>2.3447676943117779E-2</v>
          </cell>
          <cell r="EY80">
            <v>-5.5445544554455495E-2</v>
          </cell>
          <cell r="EZ80">
            <v>-2.1913190054782983E-2</v>
          </cell>
          <cell r="FA80">
            <v>-4.720000000000002E-2</v>
          </cell>
          <cell r="FB80">
            <v>-2.8764496393023475E-2</v>
          </cell>
          <cell r="FD80">
            <v>-5.8124734832414093E-2</v>
          </cell>
          <cell r="FE80">
            <v>-5.4507337526205069E-3</v>
          </cell>
          <cell r="FF80">
            <v>-6.5489013356311965E-2</v>
          </cell>
          <cell r="FG80">
            <v>-0.12622446123705566</v>
          </cell>
          <cell r="FH80">
            <v>-7.0797292215118435E-2</v>
          </cell>
          <cell r="FJ80">
            <v>-9.5045045045045073E-2</v>
          </cell>
          <cell r="FK80">
            <v>-8.6003372681281665E-2</v>
          </cell>
          <cell r="FL80">
            <v>-1.152604887044717E-2</v>
          </cell>
          <cell r="FM80">
            <v>5.5733504163997472E-2</v>
          </cell>
          <cell r="FN80">
            <v>-2.6914904381260762E-2</v>
          </cell>
          <cell r="FP80">
            <v>9.3081134892981643E-2</v>
          </cell>
          <cell r="FQ80">
            <v>7.1494464944649394E-2</v>
          </cell>
          <cell r="FR80">
            <v>4.7574626865671599E-2</v>
          </cell>
          <cell r="FS80">
            <v>3.5800970873786309E-2</v>
          </cell>
          <cell r="FT80">
            <v>5.843818238535925E-2</v>
          </cell>
          <cell r="FV80">
            <v>4.8724954462659342E-2</v>
          </cell>
          <cell r="FW80">
            <v>6.8445975032285888E-2</v>
          </cell>
          <cell r="FX80">
            <v>2.8049866429207482E-2</v>
          </cell>
          <cell r="FY80">
            <v>4.6572934973637903E-2</v>
          </cell>
          <cell r="FZ80">
            <v>4.7941841045289424E-2</v>
          </cell>
          <cell r="GB80">
            <v>3.6039947894051183E-2</v>
          </cell>
          <cell r="GC80">
            <v>3.2634971796937862E-2</v>
          </cell>
          <cell r="GD80">
            <v>4.0964529018576501E-2</v>
          </cell>
          <cell r="GE80">
            <v>8.3715870307765616E-2</v>
          </cell>
          <cell r="GF80">
            <v>5.2283106976051208E-2</v>
          </cell>
        </row>
        <row r="81">
          <cell r="A81" t="str">
            <v>SG&amp;A Expenses</v>
          </cell>
          <cell r="C81" t="str">
            <v>--</v>
          </cell>
          <cell r="D81" t="str">
            <v>--</v>
          </cell>
          <cell r="E81" t="str">
            <v>--</v>
          </cell>
          <cell r="F81">
            <v>-5.8849835020142849E-2</v>
          </cell>
          <cell r="G81">
            <v>-1.5232729947342261E-2</v>
          </cell>
          <cell r="H81">
            <v>-3.021377428858929E-2</v>
          </cell>
          <cell r="I81">
            <v>-8.3061205190442244E-3</v>
          </cell>
          <cell r="K81" t="str">
            <v xml:space="preserve">--  </v>
          </cell>
          <cell r="L81">
            <v>-3.9988014314258802E-2</v>
          </cell>
          <cell r="N81" t="str">
            <v>NA</v>
          </cell>
          <cell r="O81">
            <v>1.8318746183594303E-3</v>
          </cell>
          <cell r="P81">
            <v>-4.937017472572125E-2</v>
          </cell>
          <cell r="Q81">
            <v>2.7783714468903042E-3</v>
          </cell>
          <cell r="R81">
            <v>1.449275362318847E-2</v>
          </cell>
          <cell r="S81">
            <v>3.1932773109243806E-2</v>
          </cell>
          <cell r="T81">
            <v>-2.157980456026054E-2</v>
          </cell>
          <cell r="U81">
            <v>6.2421972534332237E-3</v>
          </cell>
          <cell r="V81">
            <v>2.0678246484706619E-4</v>
          </cell>
          <cell r="W81">
            <v>1.9433533181724139E-2</v>
          </cell>
          <cell r="X81">
            <v>0.41553437436625429</v>
          </cell>
          <cell r="Y81">
            <v>0.24326647564469916</v>
          </cell>
          <cell r="Z81">
            <v>-1.4289006683567695E-2</v>
          </cell>
          <cell r="AA81">
            <v>-1.1222819733458067E-2</v>
          </cell>
          <cell r="AB81">
            <v>-3.4878221801844411E-2</v>
          </cell>
          <cell r="AC81">
            <v>1.1882886193801401E-2</v>
          </cell>
          <cell r="AD81">
            <v>2.5423728813558366E-3</v>
          </cell>
          <cell r="AE81">
            <v>3.2895457056668631E-2</v>
          </cell>
          <cell r="AF81">
            <v>2.8840556723293442E-2</v>
          </cell>
          <cell r="AG81">
            <v>1.5986747937983381E-2</v>
          </cell>
          <cell r="AH81">
            <v>7.0944938127868173E-3</v>
          </cell>
          <cell r="AI81">
            <v>6.7240930267471466E-3</v>
          </cell>
          <cell r="AJ81">
            <v>6.7134331383311707E-3</v>
          </cell>
          <cell r="AK81">
            <v>6.7027036483089386E-3</v>
          </cell>
          <cell r="AL81">
            <v>6.691903872772631E-3</v>
          </cell>
          <cell r="AN81" t="str">
            <v>SG&amp;A Expenses</v>
          </cell>
          <cell r="AU81">
            <v>-1.7970858333921758E-2</v>
          </cell>
          <cell r="AV81">
            <v>-4.3370859777825732E-2</v>
          </cell>
          <cell r="AW81">
            <v>-4.885680233851819E-2</v>
          </cell>
          <cell r="AX81">
            <v>-0.10812646337956822</v>
          </cell>
          <cell r="AY81">
            <v>-5.6935471396727388E-2</v>
          </cell>
          <cell r="BA81">
            <v>-5.9676054312083893E-2</v>
          </cell>
          <cell r="BB81">
            <v>-5.4336787028889333E-2</v>
          </cell>
          <cell r="BC81">
            <v>-1.490662329650605E-2</v>
          </cell>
          <cell r="BD81">
            <v>5.3097970099575953E-2</v>
          </cell>
          <cell r="BE81">
            <v>-1.7231747598988156E-2</v>
          </cell>
          <cell r="BG81">
            <v>-1.1720049306384261E-2</v>
          </cell>
          <cell r="BH81">
            <v>-3.149411479950881E-2</v>
          </cell>
          <cell r="BI81">
            <v>-1.6592873571444899E-2</v>
          </cell>
          <cell r="BJ81">
            <v>-5.6537813361945743E-2</v>
          </cell>
          <cell r="BK81">
            <v>-3.021377428858929E-2</v>
          </cell>
          <cell r="BM81">
            <v>-2.4337214952934727E-2</v>
          </cell>
          <cell r="BN81">
            <v>-9.9927988167103354E-3</v>
          </cell>
          <cell r="BO81">
            <v>1.1548493915620961E-2</v>
          </cell>
          <cell r="BP81">
            <v>-1.1683246647691825E-2</v>
          </cell>
          <cell r="BQ81">
            <v>-8.3061205190442244E-3</v>
          </cell>
          <cell r="BS81" t="str">
            <v xml:space="preserve"> --  </v>
          </cell>
          <cell r="BT81" t="str">
            <v xml:space="preserve"> --  </v>
          </cell>
          <cell r="BU81" t="str">
            <v xml:space="preserve"> --  </v>
          </cell>
          <cell r="BV81" t="str">
            <v xml:space="preserve"> --  </v>
          </cell>
          <cell r="BW81" t="str">
            <v xml:space="preserve"> --  </v>
          </cell>
          <cell r="BY81">
            <v>-2.3332298817000052E-2</v>
          </cell>
          <cell r="BZ81">
            <v>-1.4777138934813694E-2</v>
          </cell>
          <cell r="CA81">
            <v>-6.3667545852863383E-2</v>
          </cell>
          <cell r="CC81">
            <v>7.8699904820596966E-2</v>
          </cell>
          <cell r="CD81">
            <v>-5.4079481346700597E-2</v>
          </cell>
          <cell r="CE81">
            <v>7.0586242424796719E-2</v>
          </cell>
          <cell r="CF81">
            <v>-3.9988014314258802E-2</v>
          </cell>
          <cell r="CG81">
            <v>-6.2629764467387883E-3</v>
          </cell>
          <cell r="CH81">
            <v>3.0267979016805002E-2</v>
          </cell>
          <cell r="CJ81">
            <v>7.7672135100503858E-2</v>
          </cell>
          <cell r="CK81">
            <v>4.3166552266297842E-2</v>
          </cell>
          <cell r="CL81">
            <v>-6.9022795685438454E-2</v>
          </cell>
          <cell r="CM81">
            <v>-3.8207828109723896E-2</v>
          </cell>
          <cell r="CN81">
            <v>-2.0739918931514945E-3</v>
          </cell>
          <cell r="CP81">
            <v>1.8299922380784928E-2</v>
          </cell>
          <cell r="CQ81">
            <v>2.5416882109617456E-2</v>
          </cell>
          <cell r="CR81">
            <v>3.1718659615083133E-3</v>
          </cell>
          <cell r="CS81">
            <v>-3.4978053520589136E-2</v>
          </cell>
          <cell r="CT81">
            <v>1.7467615690507365E-3</v>
          </cell>
          <cell r="CV81">
            <v>-1.7174743605248288E-2</v>
          </cell>
          <cell r="CW81">
            <v>-2.6087763438265021E-4</v>
          </cell>
          <cell r="CX81">
            <v>-3.8103199943595567E-2</v>
          </cell>
          <cell r="CY81">
            <v>8.9595609007990795E-3</v>
          </cell>
          <cell r="CZ81">
            <v>-1.1536290016769368E-2</v>
          </cell>
          <cell r="DB81">
            <v>4.0727902946273931E-2</v>
          </cell>
          <cell r="DC81">
            <v>0.19877408056042034</v>
          </cell>
          <cell r="DD81">
            <v>0.20506108202443274</v>
          </cell>
          <cell r="DE81">
            <v>0.29679999999999995</v>
          </cell>
          <cell r="DF81">
            <v>0.18755328218243816</v>
          </cell>
          <cell r="DH81">
            <v>-4.079933388842627E-2</v>
          </cell>
          <cell r="DI81">
            <v>-0.19357195032870711</v>
          </cell>
          <cell r="DJ81">
            <v>-0.11803041274438808</v>
          </cell>
          <cell r="DK81">
            <v>-0.1128932757557064</v>
          </cell>
          <cell r="DL81">
            <v>-0.1184493898061737</v>
          </cell>
          <cell r="DN81">
            <v>1.388888888888884E-2</v>
          </cell>
          <cell r="DO81">
            <v>1.8115942028984477E-3</v>
          </cell>
          <cell r="DP81">
            <v>-2.7093596059113323E-2</v>
          </cell>
          <cell r="DQ81">
            <v>-0.10639777468706535</v>
          </cell>
          <cell r="DR81">
            <v>-2.157980456026054E-2</v>
          </cell>
          <cell r="DT81">
            <v>-1.1986301369863006E-2</v>
          </cell>
          <cell r="DU81">
            <v>2.6220614828209809E-2</v>
          </cell>
          <cell r="DV81">
            <v>-5.0632911392405333E-3</v>
          </cell>
          <cell r="DW81">
            <v>1.2451361867704236E-2</v>
          </cell>
          <cell r="DX81">
            <v>6.2421972534332237E-3</v>
          </cell>
          <cell r="DZ81">
            <v>-1.6464471403812797E-2</v>
          </cell>
          <cell r="EA81">
            <v>0</v>
          </cell>
          <cell r="EB81">
            <v>1.187446988973706E-2</v>
          </cell>
          <cell r="EC81">
            <v>7.6863950807082304E-4</v>
          </cell>
          <cell r="ED81">
            <v>2.0678246484706619E-4</v>
          </cell>
          <cell r="EF81">
            <v>5.2863436123347984E-2</v>
          </cell>
          <cell r="EG81">
            <v>6.3436123348017626E-2</v>
          </cell>
          <cell r="EH81">
            <v>1.1735121542330251E-2</v>
          </cell>
          <cell r="EI81">
            <v>1.5360983102918668E-2</v>
          </cell>
          <cell r="EJ81">
            <v>1.9433533181724139E-2</v>
          </cell>
          <cell r="EK81" t="str">
            <v>SG&amp;A Expenses</v>
          </cell>
          <cell r="EL81">
            <v>1.5062761506276168E-2</v>
          </cell>
          <cell r="EM81">
            <v>-8.2850041425019949E-4</v>
          </cell>
          <cell r="EN81">
            <v>0.63463131731565858</v>
          </cell>
          <cell r="EO81">
            <v>0.95763993948562787</v>
          </cell>
          <cell r="EP81">
            <v>0.41553437436625429</v>
          </cell>
          <cell r="ER81">
            <v>0.77576257213520194</v>
          </cell>
          <cell r="ES81">
            <v>0.75538971807628519</v>
          </cell>
          <cell r="ET81">
            <v>6.1327927014698469E-2</v>
          </cell>
          <cell r="EU81">
            <v>-0.10625965996908815</v>
          </cell>
          <cell r="EV81">
            <v>0.24326647564469916</v>
          </cell>
          <cell r="EX81">
            <v>-1.9034354688950761E-2</v>
          </cell>
          <cell r="EY81">
            <v>-3.7316957959376507E-2</v>
          </cell>
          <cell r="EZ81">
            <v>1.2893982808023008E-2</v>
          </cell>
          <cell r="FA81">
            <v>-1.3402507565931643E-2</v>
          </cell>
          <cell r="FB81">
            <v>-1.4289006683567695E-2</v>
          </cell>
          <cell r="FD81">
            <v>-1.5617605300520587E-2</v>
          </cell>
          <cell r="FE81">
            <v>-4.906771344455052E-4</v>
          </cell>
          <cell r="FF81">
            <v>-1.6973125884017004E-2</v>
          </cell>
          <cell r="FG81">
            <v>-1.1393514460999121E-2</v>
          </cell>
          <cell r="FH81">
            <v>-1.1222819733458067E-2</v>
          </cell>
          <cell r="FJ81">
            <v>-4.5673076923076872E-2</v>
          </cell>
          <cell r="FK81">
            <v>-7.4128620520373056E-2</v>
          </cell>
          <cell r="FL81">
            <v>-1.3908872901678637E-2</v>
          </cell>
          <cell r="FM81">
            <v>-8.8652482269503396E-3</v>
          </cell>
          <cell r="FN81">
            <v>-3.4878221801844411E-2</v>
          </cell>
          <cell r="FP81">
            <v>4.0302267002518821E-3</v>
          </cell>
          <cell r="FQ81">
            <v>3.5524920466595944E-2</v>
          </cell>
          <cell r="FR81">
            <v>6.3229571984435573E-3</v>
          </cell>
          <cell r="FS81">
            <v>4.025044722719251E-3</v>
          </cell>
          <cell r="FT81">
            <v>1.1882886193801401E-2</v>
          </cell>
          <cell r="FV81">
            <v>-1.003512293025588E-2</v>
          </cell>
          <cell r="FW81">
            <v>1.177675371223752E-2</v>
          </cell>
          <cell r="FX81">
            <v>-2.4649589173513786E-2</v>
          </cell>
          <cell r="FY81">
            <v>3.0734966592427693E-2</v>
          </cell>
          <cell r="FZ81">
            <v>2.5423728813558366E-3</v>
          </cell>
          <cell r="GB81">
            <v>1.1150532184490691E-2</v>
          </cell>
          <cell r="GC81">
            <v>1.6700404858299489E-2</v>
          </cell>
          <cell r="GD81">
            <v>5.1542171941152182E-2</v>
          </cell>
          <cell r="GE81">
            <v>4.9003965820669126E-2</v>
          </cell>
          <cell r="GF81">
            <v>3.2895457056668631E-2</v>
          </cell>
        </row>
        <row r="82">
          <cell r="A82" t="str">
            <v>EBITDA</v>
          </cell>
          <cell r="C82" t="str">
            <v>--</v>
          </cell>
          <cell r="D82" t="str">
            <v>--</v>
          </cell>
          <cell r="E82" t="str">
            <v>--</v>
          </cell>
          <cell r="F82" t="str">
            <v>NM</v>
          </cell>
          <cell r="G82">
            <v>0.25511948219509839</v>
          </cell>
          <cell r="H82">
            <v>0.11579253029559311</v>
          </cell>
          <cell r="I82">
            <v>0.24208657072438222</v>
          </cell>
          <cell r="K82" t="str">
            <v xml:space="preserve">--  </v>
          </cell>
          <cell r="L82">
            <v>0.19104509304457218</v>
          </cell>
          <cell r="N82" t="str">
            <v>NA</v>
          </cell>
          <cell r="O82">
            <v>0.22931034482758617</v>
          </cell>
          <cell r="P82">
            <v>0.3541374474053296</v>
          </cell>
          <cell r="Q82">
            <v>7.6644225789746168E-2</v>
          </cell>
          <cell r="R82">
            <v>0.13419913419913421</v>
          </cell>
          <cell r="S82">
            <v>2.714164546225617E-2</v>
          </cell>
          <cell r="T82">
            <v>-0.14739884393063585</v>
          </cell>
          <cell r="U82">
            <v>1.2590799031477085E-2</v>
          </cell>
          <cell r="V82">
            <v>9.0865614538497841E-3</v>
          </cell>
          <cell r="W82">
            <v>5.9715639810426602E-2</v>
          </cell>
          <cell r="X82">
            <v>0.39355992844364929</v>
          </cell>
          <cell r="Y82">
            <v>0.13543003851091151</v>
          </cell>
          <cell r="Z82">
            <v>-4.2962125494629744E-2</v>
          </cell>
          <cell r="AA82">
            <v>-0.20171293561724746</v>
          </cell>
          <cell r="AB82">
            <v>-1.442841287458374E-2</v>
          </cell>
          <cell r="AC82">
            <v>0.15202702702702697</v>
          </cell>
          <cell r="AD82">
            <v>0.13098729227761496</v>
          </cell>
          <cell r="AE82">
            <v>7.4451148577618476E-2</v>
          </cell>
          <cell r="AF82">
            <v>3.5273448529756779E-2</v>
          </cell>
          <cell r="AG82">
            <v>3.7987838047570444E-2</v>
          </cell>
          <cell r="AH82">
            <v>1.0360976857346715E-2</v>
          </cell>
          <cell r="AI82">
            <v>2.7152968378332254E-3</v>
          </cell>
          <cell r="AJ82">
            <v>1.7337626360135916E-2</v>
          </cell>
          <cell r="AK82">
            <v>1.7284703162167681E-2</v>
          </cell>
          <cell r="AL82">
            <v>1.7232537922685198E-2</v>
          </cell>
          <cell r="AN82" t="str">
            <v>EBITDA</v>
          </cell>
          <cell r="AU82" t="str">
            <v xml:space="preserve">NM  </v>
          </cell>
          <cell r="AV82" t="str">
            <v xml:space="preserve">NM  </v>
          </cell>
          <cell r="AW82" t="str">
            <v xml:space="preserve">NM  </v>
          </cell>
          <cell r="AX82" t="str">
            <v xml:space="preserve">NM  </v>
          </cell>
          <cell r="AY82" t="str">
            <v xml:space="preserve">NM  </v>
          </cell>
          <cell r="BA82">
            <v>0.30715301767933378</v>
          </cell>
          <cell r="BB82">
            <v>0.19582595632813016</v>
          </cell>
          <cell r="BC82">
            <v>0.44399266930912384</v>
          </cell>
          <cell r="BD82">
            <v>0.17898938622800387</v>
          </cell>
          <cell r="BE82">
            <v>0.26654996817313736</v>
          </cell>
          <cell r="BG82">
            <v>1.1949263328975057E-2</v>
          </cell>
          <cell r="BH82">
            <v>0.32806541343263529</v>
          </cell>
          <cell r="BI82">
            <v>-2.3925337363195243E-2</v>
          </cell>
          <cell r="BJ82">
            <v>0.16753388482697118</v>
          </cell>
          <cell r="BK82">
            <v>0.10749585674199169</v>
          </cell>
          <cell r="BM82">
            <v>0.17663366060081342</v>
          </cell>
          <cell r="BN82">
            <v>0.24957560913812671</v>
          </cell>
          <cell r="BO82">
            <v>0.18270446147240116</v>
          </cell>
          <cell r="BP82">
            <v>0.21384022994739493</v>
          </cell>
          <cell r="BQ82">
            <v>0.20540555871441057</v>
          </cell>
          <cell r="BS82" t="str">
            <v xml:space="preserve"> --  </v>
          </cell>
          <cell r="BT82" t="str">
            <v xml:space="preserve"> --  </v>
          </cell>
          <cell r="BU82" t="str">
            <v xml:space="preserve"> --  </v>
          </cell>
          <cell r="BV82" t="str">
            <v xml:space="preserve"> --  </v>
          </cell>
          <cell r="BW82" t="str">
            <v xml:space="preserve"> --  </v>
          </cell>
          <cell r="BY82">
            <v>7.2504330246708326E-2</v>
          </cell>
          <cell r="BZ82">
            <v>0.36575001727354395</v>
          </cell>
          <cell r="CA82">
            <v>0.18887628568682002</v>
          </cell>
          <cell r="CC82">
            <v>7.0314332404113333E-2</v>
          </cell>
          <cell r="CD82">
            <v>0.18944747525482786</v>
          </cell>
          <cell r="CE82">
            <v>0.25587278221762366</v>
          </cell>
          <cell r="CF82">
            <v>0.19104509304457218</v>
          </cell>
          <cell r="CG82">
            <v>0.23296276515129999</v>
          </cell>
          <cell r="CH82">
            <v>0.19849724971248839</v>
          </cell>
          <cell r="CJ82">
            <v>0.26127542683937688</v>
          </cell>
          <cell r="CK82">
            <v>0.29837098120557481</v>
          </cell>
          <cell r="CL82">
            <v>0.31803910016453618</v>
          </cell>
          <cell r="CM82">
            <v>4.8110886426154353E-2</v>
          </cell>
          <cell r="CN82">
            <v>0.17340990038484327</v>
          </cell>
          <cell r="CP82">
            <v>0.1030069993090823</v>
          </cell>
          <cell r="CQ82">
            <v>0.16002480753058013</v>
          </cell>
          <cell r="CR82">
            <v>0.13307730885383018</v>
          </cell>
          <cell r="CS82">
            <v>8.8538170625890755E-2</v>
          </cell>
          <cell r="CT82">
            <v>0.11286355453001029</v>
          </cell>
          <cell r="CV82">
            <v>0.14385315104308449</v>
          </cell>
          <cell r="CW82">
            <v>0.18403152938805323</v>
          </cell>
          <cell r="CX82">
            <v>-4.1302135827978592E-3</v>
          </cell>
          <cell r="CY82">
            <v>4.8178009780680986E-2</v>
          </cell>
          <cell r="CZ82">
            <v>7.6604083120670463E-2</v>
          </cell>
          <cell r="DB82">
            <v>0.18452380952380953</v>
          </cell>
          <cell r="DC82">
            <v>0.19385342789598115</v>
          </cell>
          <cell r="DD82">
            <v>0.1908212560386473</v>
          </cell>
          <cell r="DE82">
            <v>0.15121412803532008</v>
          </cell>
          <cell r="DF82">
            <v>0.17316017316017307</v>
          </cell>
          <cell r="DH82" t="str">
            <v>NA</v>
          </cell>
          <cell r="DI82" t="str">
            <v>NA</v>
          </cell>
          <cell r="DJ82" t="str">
            <v>NA</v>
          </cell>
          <cell r="DK82" t="str">
            <v>NA</v>
          </cell>
          <cell r="DL82" t="str">
            <v>NA</v>
          </cell>
          <cell r="DN82">
            <v>-0.10135135135135132</v>
          </cell>
          <cell r="DO82">
            <v>-0.26736111111111116</v>
          </cell>
          <cell r="DP82">
            <v>-0.26008968609865468</v>
          </cell>
          <cell r="DQ82">
            <v>-8.3249749247743199E-2</v>
          </cell>
          <cell r="DR82">
            <v>-0.14739884393063585</v>
          </cell>
          <cell r="DT82">
            <v>-3.2581453634085267E-2</v>
          </cell>
          <cell r="DU82">
            <v>0.1090047393364928</v>
          </cell>
          <cell r="DV82">
            <v>7.575757575757569E-2</v>
          </cell>
          <cell r="DW82">
            <v>-3.5010940919037226E-2</v>
          </cell>
          <cell r="DX82">
            <v>1.2590799031477085E-2</v>
          </cell>
          <cell r="DZ82">
            <v>-0.13471502590673579</v>
          </cell>
          <cell r="EA82">
            <v>-4.4871794871794823E-2</v>
          </cell>
          <cell r="EB82">
            <v>6.4788732394366111E-2</v>
          </cell>
          <cell r="EC82">
            <v>7.8231292517006779E-2</v>
          </cell>
          <cell r="ED82">
            <v>9.0865614538497841E-3</v>
          </cell>
          <cell r="EF82">
            <v>0.23652694610778435</v>
          </cell>
          <cell r="EG82">
            <v>1.5659955257270708E-2</v>
          </cell>
          <cell r="EH82">
            <v>2.9100529100529071E-2</v>
          </cell>
          <cell r="EI82">
            <v>3.0494216614090464E-2</v>
          </cell>
          <cell r="EJ82">
            <v>5.9715639810426602E-2</v>
          </cell>
          <cell r="EK82" t="str">
            <v>EBITDA</v>
          </cell>
          <cell r="EL82">
            <v>3.874092009685226E-2</v>
          </cell>
          <cell r="EM82">
            <v>3.3039647577092435E-2</v>
          </cell>
          <cell r="EN82">
            <v>0.45244215938303345</v>
          </cell>
          <cell r="EO82">
            <v>0.68673469387755093</v>
          </cell>
          <cell r="EP82">
            <v>0.39355992844364929</v>
          </cell>
          <cell r="ER82">
            <v>8.3916083916083961E-2</v>
          </cell>
          <cell r="ES82">
            <v>0.53944562899786774</v>
          </cell>
          <cell r="ET82">
            <v>5.1327433628318486E-2</v>
          </cell>
          <cell r="EU82">
            <v>6.291591046581968E-2</v>
          </cell>
          <cell r="EV82">
            <v>0.13543003851091151</v>
          </cell>
          <cell r="EX82">
            <v>0.23225806451612896</v>
          </cell>
          <cell r="EY82">
            <v>-6.6481994459833826E-2</v>
          </cell>
          <cell r="EZ82">
            <v>-0.12289562289562295</v>
          </cell>
          <cell r="FA82">
            <v>-7.9112122936824125E-2</v>
          </cell>
          <cell r="FB82">
            <v>-4.2962125494629744E-2</v>
          </cell>
          <cell r="FD82">
            <v>-0.20593368237347298</v>
          </cell>
          <cell r="FE82">
            <v>-3.5608308605341255E-2</v>
          </cell>
          <cell r="FF82">
            <v>-0.22456813819577737</v>
          </cell>
          <cell r="FG82">
            <v>-0.26205191594561184</v>
          </cell>
          <cell r="FH82">
            <v>-0.20171293561724746</v>
          </cell>
          <cell r="FJ82">
            <v>-0.28131868131868132</v>
          </cell>
          <cell r="FK82">
            <v>-0.10307692307692307</v>
          </cell>
          <cell r="FL82">
            <v>-3.7128712871287162E-2</v>
          </cell>
          <cell r="FM82">
            <v>0.14321608040200995</v>
          </cell>
          <cell r="FN82">
            <v>-1.442841287458374E-2</v>
          </cell>
          <cell r="FP82">
            <v>0.49847094801223246</v>
          </cell>
          <cell r="FQ82">
            <v>0.12864493996569459</v>
          </cell>
          <cell r="FR82">
            <v>0.2005141388174807</v>
          </cell>
          <cell r="FS82">
            <v>6.5201465201465192E-2</v>
          </cell>
          <cell r="FT82">
            <v>0.15202702702702697</v>
          </cell>
          <cell r="FV82">
            <v>0.2204081632653061</v>
          </cell>
          <cell r="FW82">
            <v>0.17629179331306988</v>
          </cell>
          <cell r="FX82">
            <v>0.2269807280513918</v>
          </cell>
          <cell r="FY82">
            <v>4.9518569463548934E-2</v>
          </cell>
          <cell r="FZ82">
            <v>0.13098729227761496</v>
          </cell>
          <cell r="GB82">
            <v>8.1939799331103735E-2</v>
          </cell>
          <cell r="GC82">
            <v>4.7803617571059442E-2</v>
          </cell>
          <cell r="GD82">
            <v>-2.7896948954977407E-2</v>
          </cell>
          <cell r="GE82">
            <v>0.12346322966193712</v>
          </cell>
          <cell r="GF82">
            <v>7.4451148577618476E-2</v>
          </cell>
        </row>
        <row r="83">
          <cell r="A83" t="str">
            <v>Operating Income</v>
          </cell>
          <cell r="C83" t="str">
            <v>--</v>
          </cell>
          <cell r="D83" t="str">
            <v>--</v>
          </cell>
          <cell r="E83" t="str">
            <v>--</v>
          </cell>
          <cell r="F83">
            <v>1.2260584584199381</v>
          </cell>
          <cell r="G83">
            <v>0.45706091331758403</v>
          </cell>
          <cell r="H83">
            <v>0.16469753714355728</v>
          </cell>
          <cell r="I83">
            <v>0.25548377242026232</v>
          </cell>
          <cell r="K83" t="str">
            <v xml:space="preserve">--  </v>
          </cell>
          <cell r="L83">
            <v>0.4567216509641896</v>
          </cell>
          <cell r="N83" t="str">
            <v>NA</v>
          </cell>
          <cell r="O83">
            <v>0.3469079939668176</v>
          </cell>
          <cell r="P83">
            <v>0.50167973124300103</v>
          </cell>
          <cell r="Q83">
            <v>8.5011185682326573E-2</v>
          </cell>
          <cell r="R83">
            <v>0.16357388316151211</v>
          </cell>
          <cell r="S83">
            <v>4.6072061429415223E-2</v>
          </cell>
          <cell r="T83">
            <v>-0.2230378317334839</v>
          </cell>
          <cell r="U83">
            <v>2.5436046511627897E-2</v>
          </cell>
          <cell r="V83">
            <v>-7.795889440113446E-3</v>
          </cell>
          <cell r="W83">
            <v>7.071428571428573E-2</v>
          </cell>
          <cell r="X83">
            <v>0.42628418945963986</v>
          </cell>
          <cell r="Y83">
            <v>6.3143124415341534E-2</v>
          </cell>
          <cell r="Z83">
            <v>-8.4029916410030769E-2</v>
          </cell>
          <cell r="AA83">
            <v>-0.31556195965417866</v>
          </cell>
          <cell r="AB83">
            <v>2.0350877192982564E-2</v>
          </cell>
          <cell r="AC83">
            <v>0.31980742778541948</v>
          </cell>
          <cell r="AD83">
            <v>0.24335591453882222</v>
          </cell>
          <cell r="AE83">
            <v>0.11957109062333027</v>
          </cell>
          <cell r="AF83">
            <v>3.9791523239996573E-2</v>
          </cell>
          <cell r="AG83">
            <v>4.528803078121646E-2</v>
          </cell>
          <cell r="AH83">
            <v>1.0360976857346937E-2</v>
          </cell>
          <cell r="AI83">
            <v>-5.5325270158723683E-5</v>
          </cell>
          <cell r="AJ83">
            <v>2.0156440430671108E-2</v>
          </cell>
          <cell r="AK83">
            <v>2.005532527015963E-2</v>
          </cell>
          <cell r="AL83">
            <v>1.9956203620788981E-2</v>
          </cell>
          <cell r="AN83" t="str">
            <v>Operating Income</v>
          </cell>
          <cell r="AU83">
            <v>0.56987295825771134</v>
          </cell>
          <cell r="AV83" t="str">
            <v xml:space="preserve">NM  </v>
          </cell>
          <cell r="AW83">
            <v>0.258731509050524</v>
          </cell>
          <cell r="AX83">
            <v>0.53731133005851817</v>
          </cell>
          <cell r="AY83">
            <v>0.97503939396181427</v>
          </cell>
          <cell r="BA83">
            <v>1.039041425818882</v>
          </cell>
          <cell r="BB83">
            <v>2.7225290868492564</v>
          </cell>
          <cell r="BC83">
            <v>1.0794863611616914</v>
          </cell>
          <cell r="BD83">
            <v>0.29114836628460927</v>
          </cell>
          <cell r="BE83">
            <v>0.64224712703953801</v>
          </cell>
          <cell r="BG83">
            <v>2.5041046054262051E-2</v>
          </cell>
          <cell r="BH83">
            <v>0.95848460931334034</v>
          </cell>
          <cell r="BI83">
            <v>-3.0568395204390919E-2</v>
          </cell>
          <cell r="BJ83">
            <v>0.20401741352387148</v>
          </cell>
          <cell r="BK83">
            <v>0.16469753714355861</v>
          </cell>
          <cell r="BM83">
            <v>0.25151818946543703</v>
          </cell>
          <cell r="BN83">
            <v>0.39556701861852006</v>
          </cell>
          <cell r="BO83">
            <v>0.23574714570412225</v>
          </cell>
          <cell r="BP83">
            <v>0.23101259604236768</v>
          </cell>
          <cell r="BQ83">
            <v>0.25548377242026232</v>
          </cell>
          <cell r="BS83" t="str">
            <v xml:space="preserve"> --  </v>
          </cell>
          <cell r="BT83" t="str">
            <v xml:space="preserve"> --  </v>
          </cell>
          <cell r="BU83" t="str">
            <v xml:space="preserve"> --  </v>
          </cell>
          <cell r="BV83" t="str">
            <v xml:space="preserve"> --  </v>
          </cell>
          <cell r="BW83" t="str">
            <v xml:space="preserve"> --  </v>
          </cell>
          <cell r="BY83">
            <v>0.58488289449760744</v>
          </cell>
          <cell r="BZ83">
            <v>2.6225838633246044</v>
          </cell>
          <cell r="CA83">
            <v>0.5039048962321151</v>
          </cell>
          <cell r="CC83">
            <v>0.16149103364900097</v>
          </cell>
          <cell r="CD83">
            <v>0.2784946444162697</v>
          </cell>
          <cell r="CE83">
            <v>0.34232616609710487</v>
          </cell>
          <cell r="CF83">
            <v>0.4567216509641896</v>
          </cell>
          <cell r="CG83">
            <v>0.50029950161174308</v>
          </cell>
          <cell r="CH83">
            <v>0.43801781192470157</v>
          </cell>
          <cell r="CJ83">
            <v>0.38691376307528902</v>
          </cell>
          <cell r="CK83">
            <v>0.50321864403862304</v>
          </cell>
          <cell r="CL83">
            <v>0.60719440435217531</v>
          </cell>
          <cell r="CM83">
            <v>5.8918948290300976E-2</v>
          </cell>
          <cell r="CN83">
            <v>0.22404468977879466</v>
          </cell>
          <cell r="CP83">
            <v>0.11334190559979795</v>
          </cell>
          <cell r="CQ83">
            <v>0.21290884004786315</v>
          </cell>
          <cell r="CR83">
            <v>0.15691921110803886</v>
          </cell>
          <cell r="CS83">
            <v>7.5933720802124238E-2</v>
          </cell>
          <cell r="CT83">
            <v>0.11558702516505659</v>
          </cell>
          <cell r="CV83">
            <v>0.22247737403755097</v>
          </cell>
          <cell r="CW83">
            <v>0.26026621353723955</v>
          </cell>
          <cell r="CX83">
            <v>-4.090520635465611E-2</v>
          </cell>
          <cell r="CY83">
            <v>5.2035056613513264E-2</v>
          </cell>
          <cell r="CZ83">
            <v>8.5185171373485913E-2</v>
          </cell>
          <cell r="DB83">
            <v>0.24309392265193375</v>
          </cell>
          <cell r="DC83">
            <v>0.1910112359550562</v>
          </cell>
          <cell r="DD83">
            <v>0.17509727626459148</v>
          </cell>
          <cell r="DE83">
            <v>0.14133333333333331</v>
          </cell>
          <cell r="DF83">
            <v>0.16907216494845367</v>
          </cell>
          <cell r="DH83">
            <v>0.19555555555555548</v>
          </cell>
          <cell r="DI83">
            <v>0.26415094339622636</v>
          </cell>
          <cell r="DJ83">
            <v>-0.10927152317880795</v>
          </cell>
          <cell r="DK83">
            <v>-2.9205607476635476E-2</v>
          </cell>
          <cell r="DL83">
            <v>4.1152263374485631E-2</v>
          </cell>
          <cell r="DN83">
            <v>-0.14498141263940523</v>
          </cell>
          <cell r="DO83">
            <v>-0.36815920398009949</v>
          </cell>
          <cell r="DP83">
            <v>-0.4200743494423792</v>
          </cell>
          <cell r="DQ83">
            <v>-0.11432009626955475</v>
          </cell>
          <cell r="DR83">
            <v>-0.2230378317334839</v>
          </cell>
          <cell r="DT83">
            <v>-3.9130434782608692E-2</v>
          </cell>
          <cell r="DU83">
            <v>0.18110236220472431</v>
          </cell>
          <cell r="DV83">
            <v>0.20512820512820507</v>
          </cell>
          <cell r="DW83">
            <v>-4.6195652173913082E-2</v>
          </cell>
          <cell r="DX83">
            <v>2.5436046511627897E-2</v>
          </cell>
          <cell r="DZ83">
            <v>-0.30316742081447967</v>
          </cell>
          <cell r="EA83">
            <v>-8.666666666666667E-2</v>
          </cell>
          <cell r="EB83">
            <v>7.4468085106383031E-2</v>
          </cell>
          <cell r="EC83">
            <v>9.6866096866096818E-2</v>
          </cell>
          <cell r="ED83">
            <v>-7.795889440113446E-3</v>
          </cell>
          <cell r="EF83">
            <v>0.53246753246753253</v>
          </cell>
          <cell r="EG83">
            <v>7.2992700729928028E-3</v>
          </cell>
          <cell r="EH83">
            <v>4.4554455445544594E-2</v>
          </cell>
          <cell r="EI83">
            <v>7.7922077922076838E-3</v>
          </cell>
          <cell r="EJ83">
            <v>7.071428571428573E-2</v>
          </cell>
          <cell r="EK83" t="str">
            <v>Operating Income</v>
          </cell>
          <cell r="EL83">
            <v>6.7796610169491567E-2</v>
          </cell>
          <cell r="EM83">
            <v>5.4347826086956541E-2</v>
          </cell>
          <cell r="EN83">
            <v>0.27962085308056861</v>
          </cell>
          <cell r="EO83">
            <v>0.70747422680412364</v>
          </cell>
          <cell r="EP83">
            <v>0.42628418945963986</v>
          </cell>
          <cell r="ER83">
            <v>-0.40873015873015872</v>
          </cell>
          <cell r="ES83">
            <v>0.402061855670103</v>
          </cell>
          <cell r="ET83">
            <v>3.3333333333333437E-2</v>
          </cell>
          <cell r="EU83">
            <v>8.452830188679239E-2</v>
          </cell>
          <cell r="EV83">
            <v>6.3143124415341534E-2</v>
          </cell>
          <cell r="EX83">
            <v>0.63758389261744974</v>
          </cell>
          <cell r="EY83">
            <v>-0.14950980392156865</v>
          </cell>
          <cell r="EZ83">
            <v>-0.28315412186379929</v>
          </cell>
          <cell r="FA83">
            <v>-0.10160055671537926</v>
          </cell>
          <cell r="FB83">
            <v>-8.4029916410030769E-2</v>
          </cell>
          <cell r="FD83">
            <v>-0.42622950819672134</v>
          </cell>
          <cell r="FE83">
            <v>-3.458213256484155E-2</v>
          </cell>
          <cell r="FF83">
            <v>-0.58000000000000007</v>
          </cell>
          <cell r="FG83">
            <v>-0.32920216886134779</v>
          </cell>
          <cell r="FH83">
            <v>-0.31556195965417866</v>
          </cell>
          <cell r="FJ83">
            <v>-0.82857142857142851</v>
          </cell>
          <cell r="FK83">
            <v>-0.15820895522388057</v>
          </cell>
          <cell r="FL83">
            <v>4.7619047619047672E-2</v>
          </cell>
          <cell r="FM83">
            <v>0.22401847575057743</v>
          </cell>
          <cell r="FN83">
            <v>2.0350877192982564E-2</v>
          </cell>
          <cell r="FP83">
            <v>7.4583333333333339</v>
          </cell>
          <cell r="FQ83">
            <v>0.31205673758865249</v>
          </cell>
          <cell r="FR83">
            <v>1.0113636363636362</v>
          </cell>
          <cell r="FS83">
            <v>0.10283018867924532</v>
          </cell>
          <cell r="FT83">
            <v>0.31980742778541948</v>
          </cell>
          <cell r="FV83">
            <v>0.62561576354679804</v>
          </cell>
          <cell r="FW83">
            <v>0.36756756756756759</v>
          </cell>
          <cell r="FX83">
            <v>0.64406779661016955</v>
          </cell>
          <cell r="FY83">
            <v>7.6988879384088937E-2</v>
          </cell>
          <cell r="FZ83">
            <v>0.24335591453882222</v>
          </cell>
          <cell r="GB83">
            <v>0.18484848484848482</v>
          </cell>
          <cell r="GC83">
            <v>9.486166007905128E-2</v>
          </cell>
          <cell r="GD83">
            <v>-3.238833495997262E-2</v>
          </cell>
          <cell r="GE83">
            <v>0.14751519277253244</v>
          </cell>
          <cell r="GF83">
            <v>0.11957109062333027</v>
          </cell>
        </row>
        <row r="84">
          <cell r="A84" t="str">
            <v>Pretax Income</v>
          </cell>
          <cell r="C84" t="str">
            <v>--</v>
          </cell>
          <cell r="D84" t="str">
            <v>--</v>
          </cell>
          <cell r="E84" t="str">
            <v>--</v>
          </cell>
          <cell r="F84" t="str">
            <v>NM</v>
          </cell>
          <cell r="G84">
            <v>3.354567465605613</v>
          </cell>
          <cell r="H84">
            <v>0.5852107910537101</v>
          </cell>
          <cell r="I84">
            <v>0.16298330523682636</v>
          </cell>
          <cell r="K84" t="str">
            <v xml:space="preserve">--  </v>
          </cell>
          <cell r="L84">
            <v>2.3013597703017585</v>
          </cell>
          <cell r="N84" t="str">
            <v>NA</v>
          </cell>
          <cell r="O84">
            <v>1.1831683168316833</v>
          </cell>
          <cell r="P84">
            <v>1.1723356009070294</v>
          </cell>
          <cell r="Q84">
            <v>0.21398747390396666</v>
          </cell>
          <cell r="R84">
            <v>0.1917454858125538</v>
          </cell>
          <cell r="S84">
            <v>-1.1544011544011523E-2</v>
          </cell>
          <cell r="T84">
            <v>-0.43065693430656937</v>
          </cell>
          <cell r="U84">
            <v>0.34358974358974348</v>
          </cell>
          <cell r="V84">
            <v>3.4351145038167941E-2</v>
          </cell>
          <cell r="W84">
            <v>2.9520295202952074E-2</v>
          </cell>
          <cell r="X84">
            <v>0.83154121863799291</v>
          </cell>
          <cell r="Y84">
            <v>-0.3272994129158513</v>
          </cell>
          <cell r="Z84">
            <v>-4.0000000000000036E-2</v>
          </cell>
          <cell r="AA84">
            <v>-0.66363636363636358</v>
          </cell>
          <cell r="AB84">
            <v>0.14189189189189189</v>
          </cell>
          <cell r="AC84">
            <v>1.6035502958579881</v>
          </cell>
          <cell r="AD84">
            <v>0.49090909090909096</v>
          </cell>
          <cell r="AE84">
            <v>0.13483432061642264</v>
          </cell>
          <cell r="AF84">
            <v>4.7726760420446546E-2</v>
          </cell>
          <cell r="AG84">
            <v>9.8097064157964153E-2</v>
          </cell>
          <cell r="AH84">
            <v>1.3816344190469065E-2</v>
          </cell>
          <cell r="AI84">
            <v>2.5802460075930789E-2</v>
          </cell>
          <cell r="AJ84">
            <v>3.8381471630567709E-2</v>
          </cell>
          <cell r="AK84">
            <v>3.0505651064043793E-2</v>
          </cell>
          <cell r="AL84">
            <v>2.3967090203863339E-2</v>
          </cell>
          <cell r="AN84" t="str">
            <v>Pretax Income</v>
          </cell>
          <cell r="AU84" t="str">
            <v xml:space="preserve">NM  </v>
          </cell>
          <cell r="AV84" t="str">
            <v xml:space="preserve">NM  </v>
          </cell>
          <cell r="AW84" t="str">
            <v xml:space="preserve">NM  </v>
          </cell>
          <cell r="AX84" t="str">
            <v xml:space="preserve">NM  </v>
          </cell>
          <cell r="AY84" t="str">
            <v xml:space="preserve">NM  </v>
          </cell>
          <cell r="BA84" t="str">
            <v xml:space="preserve">NM  </v>
          </cell>
          <cell r="BB84" t="str">
            <v xml:space="preserve">NM  </v>
          </cell>
          <cell r="BC84" t="str">
            <v xml:space="preserve">NM  </v>
          </cell>
          <cell r="BD84" t="str">
            <v xml:space="preserve">NM  </v>
          </cell>
          <cell r="BE84" t="str">
            <v xml:space="preserve">NM  </v>
          </cell>
          <cell r="BG84">
            <v>0.72610550139274821</v>
          </cell>
          <cell r="BH84" t="str">
            <v xml:space="preserve">NM  </v>
          </cell>
          <cell r="BI84">
            <v>0.13468983523903932</v>
          </cell>
          <cell r="BJ84">
            <v>0.403693706492398</v>
          </cell>
          <cell r="BK84">
            <v>0.58521079105371432</v>
          </cell>
          <cell r="BM84">
            <v>0.46418215285307451</v>
          </cell>
          <cell r="BN84">
            <v>-0.43248023879277786</v>
          </cell>
          <cell r="BO84">
            <v>0.24313258747917277</v>
          </cell>
          <cell r="BP84">
            <v>0.137789203084834</v>
          </cell>
          <cell r="BQ84">
            <v>0.16298330523682614</v>
          </cell>
          <cell r="BS84" t="str">
            <v xml:space="preserve"> --  </v>
          </cell>
          <cell r="BT84" t="str">
            <v xml:space="preserve"> --  </v>
          </cell>
          <cell r="BU84" t="str">
            <v xml:space="preserve"> --  </v>
          </cell>
          <cell r="BV84" t="str">
            <v xml:space="preserve"> --  </v>
          </cell>
          <cell r="BW84" t="str">
            <v xml:space="preserve"> --  </v>
          </cell>
          <cell r="BY84" t="str">
            <v xml:space="preserve">NM </v>
          </cell>
          <cell r="BZ84" t="str">
            <v xml:space="preserve">NM </v>
          </cell>
          <cell r="CA84" t="str">
            <v xml:space="preserve">NM </v>
          </cell>
          <cell r="CC84" t="str">
            <v xml:space="preserve">NM </v>
          </cell>
          <cell r="CD84">
            <v>0.45877033771958153</v>
          </cell>
          <cell r="CE84">
            <v>0.34524859013417819</v>
          </cell>
          <cell r="CF84">
            <v>2.3013597703017599</v>
          </cell>
          <cell r="CG84">
            <v>1.9218592556476608</v>
          </cell>
          <cell r="CH84">
            <v>1.1829459884067255</v>
          </cell>
          <cell r="CJ84" t="str">
            <v xml:space="preserve">NM </v>
          </cell>
          <cell r="CK84" t="str">
            <v xml:space="preserve">NM </v>
          </cell>
          <cell r="CL84" t="str">
            <v xml:space="preserve">NM </v>
          </cell>
          <cell r="CM84">
            <v>0.11877233094735073</v>
          </cell>
          <cell r="CN84">
            <v>1.1911304132026577</v>
          </cell>
          <cell r="CP84">
            <v>-1.7664490999052544</v>
          </cell>
          <cell r="CQ84">
            <v>-3.8248118414450696</v>
          </cell>
          <cell r="CR84">
            <v>1.3810766588686971</v>
          </cell>
          <cell r="CS84">
            <v>0.34793188919827567</v>
          </cell>
          <cell r="CT84">
            <v>1.1707387792270185</v>
          </cell>
          <cell r="CV84">
            <v>1.3807888652336051</v>
          </cell>
          <cell r="CW84">
            <v>0.7140776397239661</v>
          </cell>
          <cell r="CX84">
            <v>5.0640890943475458E-2</v>
          </cell>
          <cell r="CY84">
            <v>8.7986298721735912E-2</v>
          </cell>
          <cell r="CZ84">
            <v>0.2136200941259947</v>
          </cell>
          <cell r="DB84">
            <v>0.44230769230769229</v>
          </cell>
          <cell r="DC84">
            <v>0.20725388601036276</v>
          </cell>
          <cell r="DD84">
            <v>0.14054054054054044</v>
          </cell>
          <cell r="DE84">
            <v>0.10425844346549185</v>
          </cell>
          <cell r="DF84">
            <v>0.15735167669819439</v>
          </cell>
          <cell r="DH84">
            <v>0.33333333333333326</v>
          </cell>
          <cell r="DI84">
            <v>0.39055793991416299</v>
          </cell>
          <cell r="DJ84">
            <v>-0.12322274881516593</v>
          </cell>
          <cell r="DK84">
            <v>-0.12101063829787229</v>
          </cell>
          <cell r="DL84">
            <v>1.7830609212481363E-2</v>
          </cell>
          <cell r="DN84">
            <v>-0.5</v>
          </cell>
          <cell r="DO84">
            <v>-0.58333333333333326</v>
          </cell>
          <cell r="DP84">
            <v>-0.75135135135135134</v>
          </cell>
          <cell r="DQ84">
            <v>-0.24508320726172461</v>
          </cell>
          <cell r="DR84">
            <v>-0.43065693430656937</v>
          </cell>
          <cell r="DT84">
            <v>0.47</v>
          </cell>
          <cell r="DU84">
            <v>0.64444444444444438</v>
          </cell>
          <cell r="DV84">
            <v>1.5</v>
          </cell>
          <cell r="DW84">
            <v>0.13026052104208419</v>
          </cell>
          <cell r="DX84">
            <v>0.34358974358974348</v>
          </cell>
          <cell r="DZ84">
            <v>-0.48299319727891155</v>
          </cell>
          <cell r="EA84">
            <v>-0.10360360360360366</v>
          </cell>
          <cell r="EB84">
            <v>-2.6086956521739091E-2</v>
          </cell>
          <cell r="EC84">
            <v>0.23581560283687941</v>
          </cell>
          <cell r="ED84">
            <v>3.4351145038167941E-2</v>
          </cell>
          <cell r="EF84">
            <v>1.0657894736842106</v>
          </cell>
          <cell r="EG84">
            <v>-0.36683417085427139</v>
          </cell>
          <cell r="EH84">
            <v>7.1428571428571397E-2</v>
          </cell>
          <cell r="EI84">
            <v>2.2955523672883782E-2</v>
          </cell>
          <cell r="EJ84">
            <v>2.9520295202952074E-2</v>
          </cell>
          <cell r="EK84" t="str">
            <v>Pretax Income</v>
          </cell>
          <cell r="EL84">
            <v>0.26114649681528657</v>
          </cell>
          <cell r="EM84">
            <v>0.88095238095238093</v>
          </cell>
          <cell r="EN84">
            <v>3.5166666666666666</v>
          </cell>
          <cell r="EO84">
            <v>0.49649368863955123</v>
          </cell>
          <cell r="EP84">
            <v>0.83154121863799291</v>
          </cell>
          <cell r="ER84">
            <v>-1.595959595959596</v>
          </cell>
          <cell r="ES84">
            <v>0.29113924050632911</v>
          </cell>
          <cell r="ET84">
            <v>-0.94464944649446492</v>
          </cell>
          <cell r="EU84">
            <v>8.434864104967188E-2</v>
          </cell>
          <cell r="EV84">
            <v>-0.3272994129158513</v>
          </cell>
          <cell r="EX84">
            <v>-1.7033898305084745</v>
          </cell>
          <cell r="EY84">
            <v>-0.63071895424836599</v>
          </cell>
          <cell r="EZ84">
            <v>0.26666666666666661</v>
          </cell>
          <cell r="FA84">
            <v>-6.1365600691443367E-2</v>
          </cell>
          <cell r="FB84">
            <v>-4.0000000000000036E-2</v>
          </cell>
          <cell r="FD84">
            <v>-2.2771084337349397</v>
          </cell>
          <cell r="FE84">
            <v>7.079646017699126E-2</v>
          </cell>
          <cell r="FF84">
            <v>-2.9736842105263159</v>
          </cell>
          <cell r="FG84">
            <v>-0.53591160220994483</v>
          </cell>
          <cell r="FH84">
            <v>-0.66363636363636358</v>
          </cell>
          <cell r="FJ84">
            <v>1.4056603773584904</v>
          </cell>
          <cell r="FK84">
            <v>-9.9173553719008267E-2</v>
          </cell>
          <cell r="FL84">
            <v>9.3333333333333268E-2</v>
          </cell>
          <cell r="FM84">
            <v>0.45833333333333326</v>
          </cell>
          <cell r="FN84">
            <v>0.14189189189189189</v>
          </cell>
          <cell r="FP84">
            <v>-1.1607843137254903</v>
          </cell>
          <cell r="FQ84">
            <v>1.2018348623853212</v>
          </cell>
          <cell r="FR84">
            <v>-1.1585365853658536</v>
          </cell>
          <cell r="FS84">
            <v>0.39591836734693886</v>
          </cell>
          <cell r="FT84">
            <v>1.6035502958579881</v>
          </cell>
          <cell r="FV84">
            <v>4.2195121951219514</v>
          </cell>
          <cell r="FW84">
            <v>0.64583333333333326</v>
          </cell>
          <cell r="FX84">
            <v>13.076923076923077</v>
          </cell>
          <cell r="FY84">
            <v>0.14619883040935666</v>
          </cell>
          <cell r="FZ84">
            <v>0.49090909090909096</v>
          </cell>
          <cell r="GB84">
            <v>0.30373831775700944</v>
          </cell>
          <cell r="GC84">
            <v>0.13670886075949373</v>
          </cell>
          <cell r="GD84">
            <v>-4.5601122805202454E-2</v>
          </cell>
          <cell r="GE84">
            <v>0.13154672486944907</v>
          </cell>
          <cell r="GF84">
            <v>0.13483432061642264</v>
          </cell>
        </row>
        <row r="85">
          <cell r="A85" t="str">
            <v>Net Income, Reported</v>
          </cell>
          <cell r="C85" t="str">
            <v>--</v>
          </cell>
          <cell r="D85" t="str">
            <v>--</v>
          </cell>
          <cell r="E85" t="str">
            <v>--</v>
          </cell>
          <cell r="F85" t="str">
            <v>NM</v>
          </cell>
          <cell r="G85">
            <v>4.2697454632093716</v>
          </cell>
          <cell r="H85">
            <v>0.59022063477709041</v>
          </cell>
          <cell r="I85">
            <v>0.16972540099983413</v>
          </cell>
          <cell r="K85" t="str">
            <v xml:space="preserve">--  </v>
          </cell>
          <cell r="L85">
            <v>3.0486739791766411</v>
          </cell>
          <cell r="N85" t="str">
            <v>NA</v>
          </cell>
          <cell r="O85">
            <v>2.5466666666666669</v>
          </cell>
          <cell r="P85">
            <v>1.0150375939849625</v>
          </cell>
          <cell r="Q85">
            <v>0.2350746268656716</v>
          </cell>
          <cell r="R85">
            <v>0.20090634441087607</v>
          </cell>
          <cell r="S85">
            <v>-1.2314465408805031</v>
          </cell>
          <cell r="T85">
            <v>0.5</v>
          </cell>
          <cell r="U85">
            <v>-3.9637681159420288</v>
          </cell>
          <cell r="V85">
            <v>-0.15281173594132025</v>
          </cell>
          <cell r="W85">
            <v>-5.7720057720057616E-3</v>
          </cell>
          <cell r="X85">
            <v>1.0414969667227032</v>
          </cell>
          <cell r="Y85">
            <v>-0.29270505075164965</v>
          </cell>
          <cell r="Z85">
            <v>-0.10239979896971985</v>
          </cell>
          <cell r="AA85">
            <v>-6.3784994400895858</v>
          </cell>
          <cell r="AB85">
            <v>-1.0684988548823653</v>
          </cell>
          <cell r="AC85">
            <v>1.4486322188449847</v>
          </cell>
          <cell r="AD85">
            <v>0.55908639523336645</v>
          </cell>
          <cell r="AE85">
            <v>0.1213160701218674</v>
          </cell>
          <cell r="AF85">
            <v>4.6715019631404564E-2</v>
          </cell>
          <cell r="AG85">
            <v>9.8097064157964153E-2</v>
          </cell>
          <cell r="AH85">
            <v>1.3816344190469065E-2</v>
          </cell>
          <cell r="AI85">
            <v>2.5802460075930789E-2</v>
          </cell>
          <cell r="AJ85">
            <v>3.8381471630567709E-2</v>
          </cell>
          <cell r="AK85">
            <v>3.0505651064043793E-2</v>
          </cell>
          <cell r="AL85">
            <v>2.3967090203863339E-2</v>
          </cell>
          <cell r="AN85" t="str">
            <v>Net Income, Reported</v>
          </cell>
          <cell r="AU85" t="str">
            <v xml:space="preserve">NM  </v>
          </cell>
          <cell r="AV85" t="str">
            <v xml:space="preserve">NM  </v>
          </cell>
          <cell r="AW85" t="str">
            <v xml:space="preserve">NM  </v>
          </cell>
          <cell r="AX85" t="str">
            <v xml:space="preserve">NM  </v>
          </cell>
          <cell r="AY85" t="str">
            <v xml:space="preserve">NM  </v>
          </cell>
          <cell r="BA85" t="str">
            <v xml:space="preserve">NM  </v>
          </cell>
          <cell r="BB85" t="str">
            <v xml:space="preserve">NM  </v>
          </cell>
          <cell r="BC85" t="str">
            <v xml:space="preserve">NM  </v>
          </cell>
          <cell r="BD85" t="str">
            <v xml:space="preserve">NM  </v>
          </cell>
          <cell r="BE85" t="str">
            <v xml:space="preserve">NM  </v>
          </cell>
          <cell r="BG85">
            <v>0.83711479850996984</v>
          </cell>
          <cell r="BH85" t="str">
            <v xml:space="preserve">NM  </v>
          </cell>
          <cell r="BI85">
            <v>9.3154328414921661E-2</v>
          </cell>
          <cell r="BJ85">
            <v>0.38871392824181727</v>
          </cell>
          <cell r="BK85">
            <v>0.5902206347770973</v>
          </cell>
          <cell r="BM85">
            <v>0.48488479262673212</v>
          </cell>
          <cell r="BN85">
            <v>-0.57392974133063923</v>
          </cell>
          <cell r="BO85">
            <v>0.28441084462982458</v>
          </cell>
          <cell r="BP85">
            <v>0.14084873730799452</v>
          </cell>
          <cell r="BQ85">
            <v>0.16972540099983369</v>
          </cell>
          <cell r="BS85" t="str">
            <v xml:space="preserve"> --  </v>
          </cell>
          <cell r="BT85" t="str">
            <v xml:space="preserve"> --  </v>
          </cell>
          <cell r="BU85" t="str">
            <v xml:space="preserve"> --  </v>
          </cell>
          <cell r="BV85" t="str">
            <v xml:space="preserve"> --  </v>
          </cell>
          <cell r="BW85" t="str">
            <v xml:space="preserve"> --  </v>
          </cell>
          <cell r="BY85" t="str">
            <v xml:space="preserve">NM </v>
          </cell>
          <cell r="BZ85" t="str">
            <v xml:space="preserve">NM </v>
          </cell>
          <cell r="CA85" t="str">
            <v xml:space="preserve">NM </v>
          </cell>
          <cell r="CC85" t="str">
            <v xml:space="preserve">NM </v>
          </cell>
          <cell r="CD85">
            <v>0.37055020770788127</v>
          </cell>
          <cell r="CE85">
            <v>0.33441950883194549</v>
          </cell>
          <cell r="CF85">
            <v>3.0486739791766455</v>
          </cell>
          <cell r="CG85">
            <v>2.8686737346110953</v>
          </cell>
          <cell r="CH85">
            <v>1.0154646949248605</v>
          </cell>
          <cell r="CJ85" t="str">
            <v xml:space="preserve">NM </v>
          </cell>
          <cell r="CK85" t="str">
            <v xml:space="preserve">NM </v>
          </cell>
          <cell r="CL85" t="str">
            <v xml:space="preserve">NM </v>
          </cell>
          <cell r="CM85">
            <v>0.1821292076273795</v>
          </cell>
          <cell r="CN85">
            <v>2.5848804756704831</v>
          </cell>
          <cell r="CP85">
            <v>-1.6344171083511347</v>
          </cell>
          <cell r="CQ85">
            <v>-3.440701651160242</v>
          </cell>
          <cell r="CR85">
            <v>1.5146288366306782</v>
          </cell>
          <cell r="CS85">
            <v>0.31077931687886151</v>
          </cell>
          <cell r="CT85">
            <v>1.1611549267169936</v>
          </cell>
          <cell r="CV85">
            <v>1.5035953281516088</v>
          </cell>
          <cell r="CW85">
            <v>0.61217417507909366</v>
          </cell>
          <cell r="CX85">
            <v>4.6482866221435382E-2</v>
          </cell>
          <cell r="CY85">
            <v>7.6289965178854002E-2</v>
          </cell>
          <cell r="CZ85">
            <v>0.19249316508388858</v>
          </cell>
          <cell r="DB85">
            <v>0.44436696882159565</v>
          </cell>
          <cell r="DC85">
            <v>0.28037383177570097</v>
          </cell>
          <cell r="DD85">
            <v>0.11818181818181817</v>
          </cell>
          <cell r="DE85">
            <v>9.8039215686274606E-2</v>
          </cell>
          <cell r="DF85">
            <v>0.1601876147418253</v>
          </cell>
          <cell r="DH85">
            <v>2.2988505747126409E-2</v>
          </cell>
          <cell r="DI85">
            <v>-0.54014598540145986</v>
          </cell>
          <cell r="DJ85">
            <v>-6.4308943089430892</v>
          </cell>
          <cell r="DK85">
            <v>-0.2589285714285714</v>
          </cell>
          <cell r="DL85">
            <v>-1.2314465408805031</v>
          </cell>
          <cell r="DN85">
            <v>-0.348314606741573</v>
          </cell>
          <cell r="DO85">
            <v>0.74603174603174605</v>
          </cell>
          <cell r="DP85">
            <v>-1.0044910179640718</v>
          </cell>
          <cell r="DQ85">
            <v>-2.346385542168675</v>
          </cell>
          <cell r="DR85">
            <v>0.5</v>
          </cell>
          <cell r="DT85">
            <v>0.53448275862068972</v>
          </cell>
          <cell r="DU85">
            <v>1.5636363636363635</v>
          </cell>
          <cell r="DV85">
            <v>34.333333333333336</v>
          </cell>
          <cell r="DW85">
            <v>-1.7628635346756152</v>
          </cell>
          <cell r="DX85">
            <v>-3.9637681159420288</v>
          </cell>
          <cell r="DZ85">
            <v>-0.4831460674157303</v>
          </cell>
          <cell r="EA85">
            <v>-0.57446808510638303</v>
          </cell>
          <cell r="EB85">
            <v>-0.36792452830188682</v>
          </cell>
          <cell r="EC85">
            <v>0.34897360703812308</v>
          </cell>
          <cell r="ED85">
            <v>-0.15281173594132025</v>
          </cell>
          <cell r="EF85">
            <v>1.1086956521739131</v>
          </cell>
          <cell r="EG85">
            <v>-0.35</v>
          </cell>
          <cell r="EH85">
            <v>0.10447761194029859</v>
          </cell>
          <cell r="EI85">
            <v>-4.3478260869565188E-2</v>
          </cell>
          <cell r="EJ85">
            <v>-5.7720057720057616E-3</v>
          </cell>
          <cell r="EK85" t="str">
            <v>Net Income, Reported</v>
          </cell>
          <cell r="EL85">
            <v>0.2716907216494846</v>
          </cell>
          <cell r="EM85">
            <v>0.89743589743589736</v>
          </cell>
          <cell r="EN85">
            <v>4.895100136107331</v>
          </cell>
          <cell r="EO85">
            <v>0.58863636363636362</v>
          </cell>
          <cell r="EP85">
            <v>1.0414969667227032</v>
          </cell>
          <cell r="ER85">
            <v>-1.4215509833487361</v>
          </cell>
          <cell r="ES85">
            <v>1.1410472972972974</v>
          </cell>
          <cell r="ET85">
            <v>-1.006876989296964</v>
          </cell>
          <cell r="EU85">
            <v>4.8640915593705314E-2</v>
          </cell>
          <cell r="EV85">
            <v>-0.29270505075164965</v>
          </cell>
          <cell r="EX85">
            <v>-1.6923076923076923</v>
          </cell>
          <cell r="EY85">
            <v>-0.76646942800788953</v>
          </cell>
          <cell r="EZ85">
            <v>-12</v>
          </cell>
          <cell r="FA85">
            <v>2.3192360163710735E-2</v>
          </cell>
          <cell r="FB85">
            <v>-0.10239979896971985</v>
          </cell>
          <cell r="FD85">
            <v>-2.6388888888888888</v>
          </cell>
          <cell r="FE85">
            <v>-1.3513513513513487E-2</v>
          </cell>
          <cell r="FF85">
            <v>-2.333333333333333</v>
          </cell>
          <cell r="FG85">
            <v>-7.3639999999999999</v>
          </cell>
          <cell r="FH85">
            <v>-6.3784994400895858</v>
          </cell>
          <cell r="FJ85">
            <v>0.49152542372881358</v>
          </cell>
          <cell r="FK85">
            <v>-0.90410958904109595</v>
          </cell>
          <cell r="FL85">
            <v>-0.20454545454545459</v>
          </cell>
          <cell r="FM85">
            <v>-1.0932327676513722</v>
          </cell>
          <cell r="FN85">
            <v>-1.0684988548823653</v>
          </cell>
          <cell r="FP85">
            <v>-1.2613636363636362</v>
          </cell>
          <cell r="FQ85">
            <v>20</v>
          </cell>
          <cell r="FR85">
            <v>-1.2857142857142856</v>
          </cell>
          <cell r="FS85">
            <v>0.49887640449438209</v>
          </cell>
          <cell r="FT85">
            <v>1.5744680851063828</v>
          </cell>
          <cell r="FV85">
            <v>4.6956521739130439</v>
          </cell>
          <cell r="FW85">
            <v>0.63945578231292521</v>
          </cell>
          <cell r="FX85">
            <v>12.9</v>
          </cell>
          <cell r="FY85">
            <v>0.11694152923538237</v>
          </cell>
          <cell r="FZ85">
            <v>0.48288075560802834</v>
          </cell>
          <cell r="GB85">
            <v>0.38167938931297707</v>
          </cell>
          <cell r="GC85">
            <v>0.15767634854771795</v>
          </cell>
          <cell r="GD85">
            <v>-0.20839822624612792</v>
          </cell>
          <cell r="GE85">
            <v>0.12528904365272142</v>
          </cell>
          <cell r="GF85">
            <v>0.1213160701218674</v>
          </cell>
        </row>
        <row r="86">
          <cell r="A86" t="str">
            <v>EPS, Before All Extraordinary Items</v>
          </cell>
          <cell r="C86" t="str">
            <v>--</v>
          </cell>
          <cell r="D86" t="str">
            <v>--</v>
          </cell>
          <cell r="E86" t="str">
            <v>--</v>
          </cell>
          <cell r="F86" t="str">
            <v>NM</v>
          </cell>
          <cell r="G86">
            <v>4.2697454632093716</v>
          </cell>
          <cell r="H86">
            <v>0.49352714229736749</v>
          </cell>
          <cell r="I86">
            <v>0.16715720920010613</v>
          </cell>
          <cell r="K86" t="str">
            <v xml:space="preserve">--  </v>
          </cell>
          <cell r="L86">
            <v>1.2429413062163106</v>
          </cell>
          <cell r="N86" t="str">
            <v>NA</v>
          </cell>
          <cell r="O86">
            <v>2.0831760191846533</v>
          </cell>
          <cell r="P86">
            <v>1.1166002434653026</v>
          </cell>
          <cell r="Q86">
            <v>0.19781195988990907</v>
          </cell>
          <cell r="R86">
            <v>0.23893143472537992</v>
          </cell>
          <cell r="S86">
            <v>0.11804933673070495</v>
          </cell>
          <cell r="T86">
            <v>-0.23747100765953244</v>
          </cell>
          <cell r="U86">
            <v>6.7412153054829504E-2</v>
          </cell>
          <cell r="V86">
            <v>8.2618698493725606E-2</v>
          </cell>
          <cell r="W86">
            <v>0.19253228900861408</v>
          </cell>
          <cell r="X86">
            <v>0.13546350508465377</v>
          </cell>
          <cell r="Y86">
            <v>-0.17112431238754444</v>
          </cell>
          <cell r="Z86">
            <v>2.511156865799169E-2</v>
          </cell>
          <cell r="AA86">
            <v>-0.3926266519774968</v>
          </cell>
          <cell r="AB86">
            <v>5.4566031260215864E-2</v>
          </cell>
          <cell r="AC86">
            <v>0.54543966376654018</v>
          </cell>
          <cell r="AD86">
            <v>0.36638230546571982</v>
          </cell>
          <cell r="AE86">
            <v>0.18944449755233173</v>
          </cell>
          <cell r="AF86">
            <v>0.15178647079450802</v>
          </cell>
          <cell r="AG86">
            <v>0.21619225683545951</v>
          </cell>
          <cell r="AH86">
            <v>0.10368489317104679</v>
          </cell>
          <cell r="AI86">
            <v>7.5550799930256041E-2</v>
          </cell>
          <cell r="AJ86">
            <v>8.0391871180272023E-2</v>
          </cell>
          <cell r="AK86">
            <v>0.1050161104972096</v>
          </cell>
          <cell r="AL86">
            <v>0.11070075260190304</v>
          </cell>
          <cell r="AN86" t="str">
            <v>EPS, Before All Extraordinary Items</v>
          </cell>
          <cell r="AU86" t="str">
            <v xml:space="preserve">NM  </v>
          </cell>
          <cell r="AV86" t="str">
            <v xml:space="preserve">NM  </v>
          </cell>
          <cell r="AW86" t="str">
            <v xml:space="preserve">NM  </v>
          </cell>
          <cell r="AX86" t="str">
            <v xml:space="preserve">NM  </v>
          </cell>
          <cell r="AY86" t="str">
            <v xml:space="preserve">NM  </v>
          </cell>
          <cell r="BA86" t="str">
            <v xml:space="preserve">NM  </v>
          </cell>
          <cell r="BB86" t="str">
            <v xml:space="preserve">NM  </v>
          </cell>
          <cell r="BC86" t="str">
            <v xml:space="preserve">NM  </v>
          </cell>
          <cell r="BD86" t="str">
            <v xml:space="preserve">NM  </v>
          </cell>
          <cell r="BE86" t="str">
            <v xml:space="preserve">NM  </v>
          </cell>
          <cell r="BG86">
            <v>0.15093972231627273</v>
          </cell>
          <cell r="BH86" t="str">
            <v xml:space="preserve">NM  </v>
          </cell>
          <cell r="BI86">
            <v>7.7195871065800059E-2</v>
          </cell>
          <cell r="BJ86">
            <v>0.24705403271076887</v>
          </cell>
          <cell r="BK86">
            <v>0.30893389999095677</v>
          </cell>
          <cell r="BM86">
            <v>0.47058823529411753</v>
          </cell>
          <cell r="BN86">
            <v>1.2483031355031047</v>
          </cell>
          <cell r="BO86">
            <v>0.29629629629629606</v>
          </cell>
          <cell r="BP86">
            <v>0.25961538461538458</v>
          </cell>
          <cell r="BQ86">
            <v>0.33175630280524948</v>
          </cell>
          <cell r="BS86" t="str">
            <v xml:space="preserve"> --  </v>
          </cell>
          <cell r="BT86" t="str">
            <v xml:space="preserve"> --  </v>
          </cell>
          <cell r="BU86" t="str">
            <v xml:space="preserve"> --  </v>
          </cell>
          <cell r="BV86" t="str">
            <v xml:space="preserve"> --  </v>
          </cell>
          <cell r="BW86" t="str">
            <v xml:space="preserve"> --  </v>
          </cell>
          <cell r="BY86" t="str">
            <v xml:space="preserve">NM </v>
          </cell>
          <cell r="BZ86" t="str">
            <v xml:space="preserve">NM </v>
          </cell>
          <cell r="CA86" t="str">
            <v xml:space="preserve">NM </v>
          </cell>
          <cell r="CC86" t="str">
            <v xml:space="preserve">NM </v>
          </cell>
          <cell r="CD86">
            <v>0.25642012991861307</v>
          </cell>
          <cell r="CE86">
            <v>0.21559931910688945</v>
          </cell>
          <cell r="CF86">
            <v>1.242941306216311</v>
          </cell>
          <cell r="CG86">
            <v>1.273034974194021</v>
          </cell>
          <cell r="CH86">
            <v>0.80871126553133621</v>
          </cell>
          <cell r="CJ86" t="str">
            <v xml:space="preserve">NM </v>
          </cell>
          <cell r="CK86" t="str">
            <v xml:space="preserve">NM </v>
          </cell>
          <cell r="CL86" t="str">
            <v xml:space="preserve">NM </v>
          </cell>
          <cell r="CM86">
            <v>0.13358996848546845</v>
          </cell>
          <cell r="CN86">
            <v>0.5557153119638325</v>
          </cell>
          <cell r="CP86">
            <v>1.8847721822542178</v>
          </cell>
          <cell r="CQ86">
            <v>0.98095749761223572</v>
          </cell>
          <cell r="CR86">
            <v>0.5218694349129136</v>
          </cell>
          <cell r="CS86">
            <v>9.3307514801961533E-2</v>
          </cell>
          <cell r="CT86">
            <v>0.25831729550304816</v>
          </cell>
          <cell r="CV86">
            <v>1.5034529101088574</v>
          </cell>
          <cell r="CW86">
            <v>0.60059447200373395</v>
          </cell>
          <cell r="CX86">
            <v>-0.17311732873453067</v>
          </cell>
          <cell r="CY86">
            <v>7.9567640585938015E-2</v>
          </cell>
          <cell r="CZ86">
            <v>0.15234039797565679</v>
          </cell>
          <cell r="DB86">
            <v>-0.26911815031362007</v>
          </cell>
          <cell r="DC86">
            <v>-0.35868875191480443</v>
          </cell>
          <cell r="DD86">
            <v>-0.29612724531270496</v>
          </cell>
          <cell r="DE86">
            <v>-0.45822134788913216</v>
          </cell>
          <cell r="DF86">
            <v>-0.40232656840273939</v>
          </cell>
          <cell r="DH86">
            <v>0.3569488949468862</v>
          </cell>
          <cell r="DI86">
            <v>0.50706646361742713</v>
          </cell>
          <cell r="DJ86">
            <v>-3.0975973608567631E-2</v>
          </cell>
          <cell r="DK86">
            <v>9.1775708959831892E-2</v>
          </cell>
          <cell r="DL86">
            <v>0.16010779214312887</v>
          </cell>
          <cell r="DN86">
            <v>-0.20822262267582348</v>
          </cell>
          <cell r="DO86">
            <v>-0.43841864714537893</v>
          </cell>
          <cell r="DP86">
            <v>-0.59273991713233776</v>
          </cell>
          <cell r="DQ86">
            <v>-9.5511908313649863E-2</v>
          </cell>
          <cell r="DR86">
            <v>-0.23747100765953244</v>
          </cell>
          <cell r="DT86">
            <v>1.0022997402227452E-2</v>
          </cell>
          <cell r="DU86">
            <v>0.25077409537636819</v>
          </cell>
          <cell r="DV86">
            <v>0.73436521566609403</v>
          </cell>
          <cell r="DW86">
            <v>-8.1762364367958806E-3</v>
          </cell>
          <cell r="DX86">
            <v>6.7412153054829504E-2</v>
          </cell>
          <cell r="DZ86">
            <v>-0.38502923283127022</v>
          </cell>
          <cell r="EA86">
            <v>3.0104736134886956E-2</v>
          </cell>
          <cell r="EB86">
            <v>0.18641645511193183</v>
          </cell>
          <cell r="EC86">
            <v>0.16982420675683696</v>
          </cell>
          <cell r="ED86">
            <v>8.2618698493725606E-2</v>
          </cell>
          <cell r="EF86">
            <v>1.2002944973744478</v>
          </cell>
          <cell r="EG86">
            <v>9.1284054291573158E-2</v>
          </cell>
          <cell r="EH86">
            <v>0.21440795242992539</v>
          </cell>
          <cell r="EI86">
            <v>0.11331568332715758</v>
          </cell>
          <cell r="EJ86">
            <v>0.19253228900861408</v>
          </cell>
          <cell r="EK86" t="str">
            <v>EPS, Before All Extraordinary Items</v>
          </cell>
          <cell r="EL86">
            <v>0.20924520779639133</v>
          </cell>
          <cell r="EM86">
            <v>0.14652501106684346</v>
          </cell>
          <cell r="EN86">
            <v>-0.41739246783196837</v>
          </cell>
          <cell r="EO86">
            <v>2.6745738601636537E-2</v>
          </cell>
          <cell r="EP86">
            <v>0.13546350508465377</v>
          </cell>
          <cell r="ER86">
            <v>-0.96536392307397523</v>
          </cell>
          <cell r="ES86">
            <v>-0.22511768742991911</v>
          </cell>
          <cell r="ET86">
            <v>0.27056097610725471</v>
          </cell>
          <cell r="EU86">
            <v>0.19806697860755884</v>
          </cell>
          <cell r="EV86">
            <v>-0.17112431238754444</v>
          </cell>
          <cell r="EX86">
            <v>11.942309582309582</v>
          </cell>
          <cell r="EY86">
            <v>4.1797260273972681E-2</v>
          </cell>
          <cell r="EZ86">
            <v>-0.60815006068840372</v>
          </cell>
          <cell r="FA86">
            <v>4.4816334601294416E-2</v>
          </cell>
          <cell r="FB86">
            <v>2.511156865799169E-2</v>
          </cell>
          <cell r="FD86">
            <v>-0.9375</v>
          </cell>
          <cell r="FE86">
            <v>-0.14705882352941191</v>
          </cell>
          <cell r="FF86">
            <v>-2</v>
          </cell>
          <cell r="FG86">
            <v>-0.3652694610778443</v>
          </cell>
          <cell r="FH86">
            <v>-0.3926266519774968</v>
          </cell>
          <cell r="FJ86">
            <v>-17</v>
          </cell>
          <cell r="FK86">
            <v>-0.31034482758620685</v>
          </cell>
          <cell r="FL86">
            <v>-0.625</v>
          </cell>
          <cell r="FM86">
            <v>0.27358490566037741</v>
          </cell>
          <cell r="FN86">
            <v>5.4566031260215864E-2</v>
          </cell>
          <cell r="FP86">
            <v>-1.5865790708587517</v>
          </cell>
          <cell r="FQ86">
            <v>0.74999999999999978</v>
          </cell>
          <cell r="FR86">
            <v>-3.6816339257873398</v>
          </cell>
          <cell r="FS86">
            <v>0.17777777777777781</v>
          </cell>
          <cell r="FT86">
            <v>0.54543966376654018</v>
          </cell>
          <cell r="FV86">
            <v>2.2460581395348833</v>
          </cell>
          <cell r="FW86">
            <v>0.58437972519886916</v>
          </cell>
          <cell r="FX86">
            <v>3.0013949179745154</v>
          </cell>
          <cell r="FY86">
            <v>7.2258601986732174E-2</v>
          </cell>
          <cell r="FZ86">
            <v>0.36638230546571982</v>
          </cell>
          <cell r="GB86">
            <v>0.40222359547930187</v>
          </cell>
          <cell r="GC86">
            <v>0.20624824041917611</v>
          </cell>
          <cell r="GD86">
            <v>-0.15861801416910437</v>
          </cell>
          <cell r="GE86">
            <v>0.23691312416154275</v>
          </cell>
          <cell r="GF86">
            <v>0.1894444975523315</v>
          </cell>
        </row>
        <row r="87">
          <cell r="A87" t="str">
            <v>EPS Diluted, Reported</v>
          </cell>
          <cell r="N87" t="str">
            <v>NA</v>
          </cell>
          <cell r="O87">
            <v>2.2064682872901682</v>
          </cell>
          <cell r="P87">
            <v>0.93578477247880953</v>
          </cell>
          <cell r="Q87">
            <v>0.22992133264419734</v>
          </cell>
          <cell r="R87">
            <v>0.22243255164301989</v>
          </cell>
          <cell r="S87">
            <v>-1.2456829504645728</v>
          </cell>
          <cell r="T87">
            <v>0.55467184368737477</v>
          </cell>
          <cell r="U87">
            <v>-3.976817793141421</v>
          </cell>
          <cell r="V87">
            <v>-9.7762659297635945E-2</v>
          </cell>
          <cell r="W87">
            <v>4.0016904008823184E-2</v>
          </cell>
          <cell r="X87">
            <v>0.67589282323900779</v>
          </cell>
          <cell r="Y87">
            <v>-0.43876139320187513</v>
          </cell>
          <cell r="Z87">
            <v>6.3775441193242965E-2</v>
          </cell>
          <cell r="AA87">
            <v>-6.8981600687855193</v>
          </cell>
          <cell r="AB87">
            <v>-1.0683488337132727</v>
          </cell>
          <cell r="AC87">
            <v>1.5289650455927051</v>
          </cell>
          <cell r="AD87">
            <v>0.48223350253807107</v>
          </cell>
          <cell r="AE87">
            <v>0.17465753424657549</v>
          </cell>
          <cell r="AF87">
            <v>0.15026075561396901</v>
          </cell>
          <cell r="AG87">
            <v>0.21619225683545951</v>
          </cell>
          <cell r="AH87">
            <v>0.10368489317104679</v>
          </cell>
          <cell r="AI87">
            <v>7.5550799930256041E-2</v>
          </cell>
          <cell r="AJ87">
            <v>8.0391871180272023E-2</v>
          </cell>
          <cell r="AK87">
            <v>0.1050161104972096</v>
          </cell>
          <cell r="AL87">
            <v>0.11070075260190304</v>
          </cell>
          <cell r="AN87" t="str">
            <v>EPS Diluted, Reported</v>
          </cell>
          <cell r="CP87">
            <v>2.0499765917603208</v>
          </cell>
          <cell r="CQ87">
            <v>0.90901548672567323</v>
          </cell>
          <cell r="CR87">
            <v>0.44316340604453752</v>
          </cell>
          <cell r="CS87">
            <v>7.3039696864150017E-3</v>
          </cell>
          <cell r="CT87">
            <v>0.1820266466798135</v>
          </cell>
          <cell r="CV87">
            <v>1.1399977372987853</v>
          </cell>
          <cell r="CW87">
            <v>0.50736428049067683</v>
          </cell>
          <cell r="CX87">
            <v>-0.2015756294478438</v>
          </cell>
          <cell r="CY87">
            <v>0.13072202033902447</v>
          </cell>
          <cell r="CZ87">
            <v>0.13765736493310232</v>
          </cell>
          <cell r="DB87">
            <v>-0.22622031593063341</v>
          </cell>
          <cell r="DC87">
            <v>-0.32952032783985374</v>
          </cell>
          <cell r="DD87">
            <v>-0.26449326496369807</v>
          </cell>
          <cell r="DE87">
            <v>-0.45797109202935382</v>
          </cell>
          <cell r="DF87">
            <v>-0.38246866698014048</v>
          </cell>
          <cell r="DH87">
            <v>2.3345318412651306E-2</v>
          </cell>
          <cell r="DI87">
            <v>-0.51059181851599011</v>
          </cell>
          <cell r="DJ87">
            <v>-6.938605959903458</v>
          </cell>
          <cell r="DK87">
            <v>-0.1916586947278911</v>
          </cell>
          <cell r="DL87">
            <v>-1.2456549810940736</v>
          </cell>
          <cell r="DN87">
            <v>-0.30786393354904007</v>
          </cell>
          <cell r="DO87">
            <v>0.82388586697203925</v>
          </cell>
          <cell r="DP87">
            <v>-1.0046410262722243</v>
          </cell>
          <cell r="DQ87">
            <v>-2.356478387312368</v>
          </cell>
          <cell r="DR87">
            <v>0.55467184368737477</v>
          </cell>
          <cell r="DT87">
            <v>0.51052810137926508</v>
          </cell>
          <cell r="DU87">
            <v>1.5145052490507034</v>
          </cell>
          <cell r="DV87">
            <v>34.098859962565932</v>
          </cell>
          <cell r="DW87">
            <v>-1.7971226803581755</v>
          </cell>
          <cell r="DX87">
            <v>-3.976817793141421</v>
          </cell>
          <cell r="DZ87">
            <v>-0.43844927744028617</v>
          </cell>
          <cell r="EA87">
            <v>-0.53741589379887245</v>
          </cell>
          <cell r="EB87">
            <v>-0.33320632791782234</v>
          </cell>
          <cell r="EC87">
            <v>0.40472238035780639</v>
          </cell>
          <cell r="ED87">
            <v>-9.7762659297635945E-2</v>
          </cell>
          <cell r="EF87">
            <v>1.1693693055752252</v>
          </cell>
          <cell r="EG87">
            <v>-0.33142857142857152</v>
          </cell>
          <cell r="EH87">
            <v>0.17604066821854025</v>
          </cell>
          <cell r="EI87">
            <v>2.0326843538787331E-2</v>
          </cell>
          <cell r="EJ87">
            <v>4.0016904008823184E-2</v>
          </cell>
          <cell r="EK87" t="str">
            <v>EPS Diluted, Reported</v>
          </cell>
          <cell r="EL87">
            <v>0.35558698453608217</v>
          </cell>
          <cell r="EM87">
            <v>0.96547144754316094</v>
          </cell>
          <cell r="EN87">
            <v>3.2230661891029717</v>
          </cell>
          <cell r="EO87">
            <v>-1.1617072930678152E-2</v>
          </cell>
          <cell r="EP87">
            <v>0.67589282323900779</v>
          </cell>
          <cell r="ER87">
            <v>-1.2610896412998625</v>
          </cell>
          <cell r="ES87">
            <v>0.34542922079805116</v>
          </cell>
          <cell r="ET87">
            <v>-1.0060891181827454</v>
          </cell>
          <cell r="EU87">
            <v>0.10971318583546186</v>
          </cell>
          <cell r="EV87">
            <v>-0.43876139320187513</v>
          </cell>
          <cell r="EX87">
            <v>-1.810889362526642</v>
          </cell>
          <cell r="EY87">
            <v>-0.71474378362169477</v>
          </cell>
          <cell r="EZ87">
            <v>-14.807121661721066</v>
          </cell>
          <cell r="FA87">
            <v>0.27023895272896103</v>
          </cell>
          <cell r="FB87">
            <v>6.3775441193242965E-2</v>
          </cell>
          <cell r="FD87">
            <v>-2.8526666666666669</v>
          </cell>
          <cell r="FE87">
            <v>5.170270270270283E-2</v>
          </cell>
          <cell r="FF87">
            <v>-2.3275757575757576</v>
          </cell>
          <cell r="FG87">
            <v>-7.3726942536051361</v>
          </cell>
          <cell r="FH87">
            <v>-6.8981600687855193</v>
          </cell>
          <cell r="FJ87">
            <v>0.49999999999999978</v>
          </cell>
          <cell r="FK87">
            <v>-0.88235294117647056</v>
          </cell>
          <cell r="FL87">
            <v>-0.20000000000000007</v>
          </cell>
          <cell r="FM87">
            <v>-1.092674315975287</v>
          </cell>
          <cell r="FN87">
            <v>-1.0683488337132727</v>
          </cell>
          <cell r="FP87">
            <v>-1.2380952380952381</v>
          </cell>
          <cell r="FQ87">
            <v>16.23329425556858</v>
          </cell>
          <cell r="FR87">
            <v>-1.25</v>
          </cell>
          <cell r="FS87">
            <v>0.47619047619047628</v>
          </cell>
          <cell r="FT87">
            <v>1.5289650455927051</v>
          </cell>
          <cell r="FV87">
            <v>4.9999999999999991</v>
          </cell>
          <cell r="FW87">
            <v>0.60889988761266101</v>
          </cell>
          <cell r="FX87">
            <v>15</v>
          </cell>
          <cell r="FY87">
            <v>0.1225806451612903</v>
          </cell>
          <cell r="FZ87">
            <v>0.48223350253807107</v>
          </cell>
          <cell r="GB87">
            <v>0.43333333333333335</v>
          </cell>
          <cell r="GC87">
            <v>0.20822406639004165</v>
          </cell>
          <cell r="GD87">
            <v>-0.15625</v>
          </cell>
          <cell r="GE87">
            <v>0.21264367816091956</v>
          </cell>
          <cell r="GF87">
            <v>0.17465753424657549</v>
          </cell>
        </row>
        <row r="89">
          <cell r="AR89">
            <v>68.3</v>
          </cell>
          <cell r="AU89">
            <v>66.742000000000004</v>
          </cell>
          <cell r="AV89">
            <v>66.046999999999997</v>
          </cell>
          <cell r="AW89">
            <v>64.048000000000002</v>
          </cell>
          <cell r="AX89">
            <v>64.046999999999997</v>
          </cell>
          <cell r="AY89">
            <v>260.88400000000001</v>
          </cell>
          <cell r="BA89">
            <v>56.853999999999999</v>
          </cell>
          <cell r="BB89">
            <v>57.481000000000002</v>
          </cell>
          <cell r="BC89">
            <v>58.634</v>
          </cell>
          <cell r="BD89">
            <v>57.152999999999999</v>
          </cell>
          <cell r="BE89">
            <v>230.12199999999999</v>
          </cell>
          <cell r="BG89">
            <v>56.424999999999997</v>
          </cell>
          <cell r="BH89">
            <v>56.37</v>
          </cell>
          <cell r="BI89">
            <v>57.966999999999999</v>
          </cell>
          <cell r="BJ89">
            <v>59.017999999999986</v>
          </cell>
          <cell r="BK89">
            <v>229.77999999999997</v>
          </cell>
          <cell r="BM89">
            <v>59.893000000000001</v>
          </cell>
          <cell r="BN89">
            <v>61.381999999999998</v>
          </cell>
          <cell r="BO89">
            <v>62.862000000000002</v>
          </cell>
          <cell r="BP89">
            <v>67.269000000000005</v>
          </cell>
          <cell r="BQ89">
            <v>251.40600000000001</v>
          </cell>
          <cell r="BS89">
            <v>136.37</v>
          </cell>
          <cell r="BT89">
            <v>141.60000000000002</v>
          </cell>
          <cell r="BU89">
            <v>136</v>
          </cell>
          <cell r="BV89">
            <v>137.10000000000002</v>
          </cell>
          <cell r="BW89">
            <v>551.07000000000005</v>
          </cell>
          <cell r="BY89">
            <v>115.258</v>
          </cell>
          <cell r="BZ89">
            <v>121</v>
          </cell>
          <cell r="CA89">
            <v>122.6</v>
          </cell>
          <cell r="CB89">
            <v>134.25</v>
          </cell>
          <cell r="CC89">
            <v>134.25</v>
          </cell>
          <cell r="CD89">
            <v>121.56399999999999</v>
          </cell>
          <cell r="CE89">
            <v>131.88</v>
          </cell>
          <cell r="CF89">
            <v>474.94499999999999</v>
          </cell>
          <cell r="CG89">
            <v>496.911</v>
          </cell>
          <cell r="CH89">
            <v>496.911</v>
          </cell>
          <cell r="CJ89">
            <v>133.32499999999999</v>
          </cell>
          <cell r="CK89">
            <v>133.30000000000001</v>
          </cell>
          <cell r="CL89">
            <v>135.27600000000001</v>
          </cell>
          <cell r="CM89">
            <v>131.46199999999999</v>
          </cell>
          <cell r="CN89">
            <v>533.36300000000006</v>
          </cell>
          <cell r="CP89">
            <v>145.684</v>
          </cell>
          <cell r="CQ89">
            <v>145.39400000000001</v>
          </cell>
          <cell r="CR89">
            <v>147.756</v>
          </cell>
          <cell r="CS89">
            <v>151.453</v>
          </cell>
          <cell r="CT89">
            <v>590.28699999999992</v>
          </cell>
          <cell r="CV89">
            <v>155</v>
          </cell>
          <cell r="CW89">
            <v>156</v>
          </cell>
          <cell r="CX89">
            <v>157</v>
          </cell>
          <cell r="CY89">
            <v>156</v>
          </cell>
          <cell r="CZ89">
            <v>624</v>
          </cell>
          <cell r="DB89">
            <v>173</v>
          </cell>
          <cell r="DC89">
            <v>187</v>
          </cell>
          <cell r="DD89">
            <v>191</v>
          </cell>
          <cell r="DE89">
            <v>187</v>
          </cell>
          <cell r="DF89">
            <v>738</v>
          </cell>
        </row>
        <row r="90">
          <cell r="A90" t="str">
            <v>∆ Sales - ∆ Expenses</v>
          </cell>
          <cell r="AN90" t="str">
            <v>∆ Sales - ∆ Expenses</v>
          </cell>
          <cell r="AU90">
            <v>108.2620000000001</v>
          </cell>
          <cell r="AV90">
            <v>74.555999999999898</v>
          </cell>
          <cell r="AW90">
            <v>117.31500000000005</v>
          </cell>
          <cell r="AX90">
            <v>227.72300000000027</v>
          </cell>
          <cell r="AY90">
            <v>527.85600000000034</v>
          </cell>
          <cell r="BA90">
            <v>141.51500000000016</v>
          </cell>
          <cell r="BB90">
            <v>89.155999999999949</v>
          </cell>
          <cell r="BC90">
            <v>169.40199999999993</v>
          </cell>
          <cell r="BD90">
            <v>268.48300000000006</v>
          </cell>
          <cell r="BE90">
            <v>668.55600000000004</v>
          </cell>
          <cell r="BG90">
            <v>143.20600000000007</v>
          </cell>
          <cell r="BH90">
            <v>118.40499999999997</v>
          </cell>
          <cell r="BI90">
            <v>165.34899999999993</v>
          </cell>
          <cell r="BJ90">
            <v>313.46299999999979</v>
          </cell>
          <cell r="BK90">
            <v>740.42299999999909</v>
          </cell>
          <cell r="BM90">
            <v>168.50100000000018</v>
          </cell>
          <cell r="BN90">
            <v>147.95599999999985</v>
          </cell>
          <cell r="BO90">
            <v>195.559</v>
          </cell>
          <cell r="BP90">
            <v>380.49400000000003</v>
          </cell>
          <cell r="BQ90">
            <v>892.50999999999885</v>
          </cell>
          <cell r="BS90">
            <v>196.87099999999998</v>
          </cell>
          <cell r="BT90">
            <v>173.67600000000004</v>
          </cell>
          <cell r="BU90">
            <v>260.07500000000005</v>
          </cell>
          <cell r="BV90">
            <v>603.24900000000014</v>
          </cell>
          <cell r="BW90">
            <v>1233.8709999999996</v>
          </cell>
          <cell r="BY90">
            <v>211.1449999999997</v>
          </cell>
          <cell r="BZ90">
            <v>237.19800000000009</v>
          </cell>
          <cell r="CA90">
            <v>309.19699999999978</v>
          </cell>
          <cell r="CC90">
            <v>278.36199999999985</v>
          </cell>
          <cell r="CD90">
            <v>717.53299999999979</v>
          </cell>
          <cell r="CE90">
            <v>757.60399999999947</v>
          </cell>
          <cell r="CF90">
            <v>1469.5959999999989</v>
          </cell>
          <cell r="CG90">
            <v>1521.3169999999991</v>
          </cell>
          <cell r="CH90">
            <v>1478.7909999999974</v>
          </cell>
          <cell r="CJ90">
            <v>266.31199999999984</v>
          </cell>
          <cell r="CK90">
            <v>307.97100000000006</v>
          </cell>
          <cell r="CL90">
            <v>366.89200000000045</v>
          </cell>
          <cell r="CM90">
            <v>794.05299999999966</v>
          </cell>
          <cell r="CN90">
            <v>1735.2279999999998</v>
          </cell>
          <cell r="CP90">
            <v>293.74400000000014</v>
          </cell>
          <cell r="CQ90">
            <v>357.25400000000036</v>
          </cell>
          <cell r="CR90">
            <v>415.71699999999998</v>
          </cell>
          <cell r="CS90">
            <v>864.35699999999997</v>
          </cell>
          <cell r="CT90">
            <v>1931.0720000000006</v>
          </cell>
          <cell r="CV90">
            <v>336</v>
          </cell>
          <cell r="CW90">
            <v>423</v>
          </cell>
          <cell r="CX90">
            <v>414</v>
          </cell>
          <cell r="CY90">
            <v>906</v>
          </cell>
          <cell r="CZ90">
            <v>2079</v>
          </cell>
          <cell r="DB90">
            <v>398</v>
          </cell>
          <cell r="DC90">
            <v>505</v>
          </cell>
          <cell r="DD90">
            <v>493</v>
          </cell>
          <cell r="DE90">
            <v>1043</v>
          </cell>
          <cell r="DF90">
            <v>2439</v>
          </cell>
          <cell r="FJ90">
            <v>-3.4194680167579095E-2</v>
          </cell>
          <cell r="FK90">
            <v>-1.5971577237682277E-3</v>
          </cell>
          <cell r="FL90">
            <v>-5.7525143184197214E-3</v>
          </cell>
          <cell r="FM90">
            <v>9.2433677127078395E-3</v>
          </cell>
          <cell r="FN90">
            <v>-5.1748072838055936E-3</v>
          </cell>
          <cell r="FP90">
            <v>5.0054493420776947E-2</v>
          </cell>
          <cell r="FQ90">
            <v>1.2157198738702135E-2</v>
          </cell>
          <cell r="FR90">
            <v>3.7873885884193381E-2</v>
          </cell>
          <cell r="FS90">
            <v>3.7804361854073099E-2</v>
          </cell>
          <cell r="FT90">
            <v>3.4486647181381613E-2</v>
          </cell>
          <cell r="FV90">
            <v>6.654750183230107E-2</v>
          </cell>
          <cell r="FW90">
            <v>6.0825738612125813E-2</v>
          </cell>
          <cell r="FX90">
            <v>6.5553021505009412E-2</v>
          </cell>
          <cell r="FY90">
            <v>2.4289824797099513E-2</v>
          </cell>
          <cell r="FZ90">
            <v>5.3530898326099363E-2</v>
          </cell>
          <cell r="GB90">
            <v>3.1980729489817339E-2</v>
          </cell>
          <cell r="GC90">
            <v>1.343934930906876E-2</v>
          </cell>
          <cell r="GD90">
            <v>-1.4520704841329835E-2</v>
          </cell>
          <cell r="GE90">
            <v>2.4716111945240593E-2</v>
          </cell>
          <cell r="GF90">
            <v>1.6065747463878788E-2</v>
          </cell>
        </row>
        <row r="91">
          <cell r="A91" t="str">
            <v>E = MorFYn Stanley Research Estimates</v>
          </cell>
        </row>
        <row r="92">
          <cell r="A92" t="str">
            <v>Macy's Inc.</v>
          </cell>
          <cell r="AN92" t="str">
            <v>Macy's Inc.</v>
          </cell>
        </row>
        <row r="93">
          <cell r="A93" t="str">
            <v>Annual Store Model</v>
          </cell>
          <cell r="F93" t="str">
            <v>Federated (Post-Bankruptcy)</v>
          </cell>
          <cell r="AN93" t="str">
            <v>Quarterly Store Model</v>
          </cell>
        </row>
        <row r="94">
          <cell r="A94" t="str">
            <v>($ Millions)</v>
          </cell>
          <cell r="J94" t="str">
            <v>91P-94E</v>
          </cell>
          <cell r="K94" t="str">
            <v>PFMA</v>
          </cell>
          <cell r="AN94" t="str">
            <v>($ Millions)</v>
          </cell>
          <cell r="EX94">
            <v>39447</v>
          </cell>
          <cell r="FD94">
            <v>39813</v>
          </cell>
          <cell r="FJ94">
            <v>40178</v>
          </cell>
          <cell r="FP94">
            <v>40543</v>
          </cell>
          <cell r="FV94">
            <v>40908</v>
          </cell>
          <cell r="GB94">
            <v>41274</v>
          </cell>
          <cell r="GG94" t="str">
            <v xml:space="preserve"> </v>
          </cell>
        </row>
        <row r="95">
          <cell r="A95">
            <v>41396.636050578702</v>
          </cell>
          <cell r="B95">
            <v>1987</v>
          </cell>
          <cell r="C95">
            <v>1988</v>
          </cell>
          <cell r="D95">
            <v>1989</v>
          </cell>
          <cell r="E95">
            <v>1990</v>
          </cell>
          <cell r="F95">
            <v>1991</v>
          </cell>
          <cell r="G95" t="str">
            <v>1992</v>
          </cell>
          <cell r="H95">
            <v>1993</v>
          </cell>
          <cell r="I95">
            <v>1994</v>
          </cell>
          <cell r="J95" t="str">
            <v>CAGR</v>
          </cell>
          <cell r="K95">
            <v>1994</v>
          </cell>
          <cell r="M95">
            <v>1994</v>
          </cell>
          <cell r="N95">
            <v>1995</v>
          </cell>
          <cell r="O95">
            <v>1996</v>
          </cell>
          <cell r="P95">
            <v>1997</v>
          </cell>
          <cell r="Q95">
            <v>1998</v>
          </cell>
          <cell r="R95">
            <v>1999</v>
          </cell>
          <cell r="S95">
            <v>2000</v>
          </cell>
          <cell r="T95">
            <v>2001</v>
          </cell>
          <cell r="U95">
            <v>2002</v>
          </cell>
          <cell r="V95">
            <v>2003</v>
          </cell>
          <cell r="W95">
            <v>2004</v>
          </cell>
          <cell r="X95">
            <v>2005</v>
          </cell>
          <cell r="Y95">
            <v>2006</v>
          </cell>
          <cell r="Z95">
            <v>2007</v>
          </cell>
          <cell r="AA95">
            <v>2008</v>
          </cell>
          <cell r="AB95">
            <v>2009</v>
          </cell>
          <cell r="AC95">
            <v>2010</v>
          </cell>
          <cell r="AD95">
            <v>2011</v>
          </cell>
          <cell r="AE95" t="str">
            <v>2012E</v>
          </cell>
          <cell r="AF95" t="str">
            <v>2013E</v>
          </cell>
          <cell r="AG95" t="str">
            <v>2014E</v>
          </cell>
          <cell r="AH95" t="str">
            <v>2015E</v>
          </cell>
          <cell r="AI95" t="str">
            <v>2016E</v>
          </cell>
          <cell r="AJ95" t="str">
            <v>2017E</v>
          </cell>
          <cell r="AK95" t="str">
            <v>2017E</v>
          </cell>
          <cell r="AL95" t="str">
            <v>2017E</v>
          </cell>
          <cell r="AN95">
            <v>41396.636050578702</v>
          </cell>
          <cell r="BS95" t="str">
            <v>1994 (Pro forma for Macy's)</v>
          </cell>
          <cell r="BY95" t="str">
            <v>1995E</v>
          </cell>
          <cell r="CJ95" t="str">
            <v>1996A</v>
          </cell>
          <cell r="CP95" t="str">
            <v>1997A</v>
          </cell>
          <cell r="CX95">
            <v>1998</v>
          </cell>
          <cell r="DD95">
            <v>1999</v>
          </cell>
          <cell r="DJ95">
            <v>2000</v>
          </cell>
          <cell r="DP95">
            <v>2001</v>
          </cell>
          <cell r="DV95">
            <v>2002</v>
          </cell>
          <cell r="EB95">
            <v>2003</v>
          </cell>
          <cell r="EH95">
            <v>2004</v>
          </cell>
          <cell r="EN95">
            <v>2005</v>
          </cell>
          <cell r="ET95">
            <v>2006</v>
          </cell>
          <cell r="EX95">
            <v>1</v>
          </cell>
          <cell r="EY95">
            <v>2</v>
          </cell>
          <cell r="EZ95">
            <v>3</v>
          </cell>
          <cell r="FA95">
            <v>4</v>
          </cell>
          <cell r="FB95" t="str">
            <v>Year</v>
          </cell>
          <cell r="FD95">
            <v>1</v>
          </cell>
          <cell r="FE95">
            <v>2</v>
          </cell>
          <cell r="FF95">
            <v>3</v>
          </cell>
          <cell r="FG95">
            <v>4</v>
          </cell>
          <cell r="FH95" t="str">
            <v>Year</v>
          </cell>
          <cell r="FJ95">
            <v>1</v>
          </cell>
          <cell r="FK95">
            <v>2</v>
          </cell>
          <cell r="FL95">
            <v>3</v>
          </cell>
          <cell r="FM95">
            <v>4</v>
          </cell>
          <cell r="FN95" t="str">
            <v>Year</v>
          </cell>
          <cell r="FP95">
            <v>1</v>
          </cell>
          <cell r="FQ95">
            <v>2</v>
          </cell>
          <cell r="FR95">
            <v>3</v>
          </cell>
          <cell r="FS95">
            <v>4</v>
          </cell>
          <cell r="FT95" t="str">
            <v>Year</v>
          </cell>
          <cell r="FV95">
            <v>1</v>
          </cell>
          <cell r="FW95">
            <v>2</v>
          </cell>
          <cell r="FX95">
            <v>3</v>
          </cell>
          <cell r="FY95">
            <v>4</v>
          </cell>
          <cell r="FZ95" t="str">
            <v>Year</v>
          </cell>
          <cell r="GB95">
            <v>1</v>
          </cell>
          <cell r="GC95">
            <v>2</v>
          </cell>
          <cell r="GD95">
            <v>3</v>
          </cell>
          <cell r="GE95">
            <v>4</v>
          </cell>
          <cell r="GF95" t="str">
            <v>Year</v>
          </cell>
        </row>
        <row r="96">
          <cell r="A96" t="str">
            <v>TOTAL RETAIL COMPANY (A)</v>
          </cell>
          <cell r="AN96" t="str">
            <v>TOTAL RETAIL COMPANY (A)</v>
          </cell>
        </row>
        <row r="97">
          <cell r="A97" t="str">
            <v>Sales</v>
          </cell>
          <cell r="N97">
            <v>14614</v>
          </cell>
          <cell r="O97">
            <v>14833</v>
          </cell>
          <cell r="P97">
            <v>15220</v>
          </cell>
          <cell r="Q97">
            <v>15365</v>
          </cell>
          <cell r="R97">
            <v>16029</v>
          </cell>
          <cell r="S97">
            <v>16638</v>
          </cell>
          <cell r="T97">
            <v>15785</v>
          </cell>
          <cell r="U97">
            <v>15571</v>
          </cell>
          <cell r="V97">
            <v>15412</v>
          </cell>
          <cell r="W97">
            <v>15776</v>
          </cell>
          <cell r="X97">
            <v>22390</v>
          </cell>
          <cell r="Y97">
            <v>26970</v>
          </cell>
          <cell r="Z97">
            <v>26313</v>
          </cell>
          <cell r="AA97">
            <v>24892</v>
          </cell>
          <cell r="AB97">
            <v>23895</v>
          </cell>
          <cell r="AC97">
            <v>25003</v>
          </cell>
          <cell r="AD97">
            <v>26405</v>
          </cell>
          <cell r="AE97">
            <v>27697.820605365057</v>
          </cell>
          <cell r="AF97">
            <v>28358.892641397051</v>
          </cell>
          <cell r="AG97">
            <v>28905.408744504351</v>
          </cell>
          <cell r="AH97">
            <v>29204.897015558319</v>
          </cell>
          <cell r="AI97">
            <v>29496.945985713905</v>
          </cell>
          <cell r="AJ97">
            <v>29791.915445571045</v>
          </cell>
          <cell r="AK97">
            <v>30089.834600026756</v>
          </cell>
          <cell r="AL97">
            <v>30390.732946027023</v>
          </cell>
          <cell r="AN97" t="str">
            <v>Sales</v>
          </cell>
          <cell r="DB97">
            <v>3470</v>
          </cell>
          <cell r="DC97">
            <v>3609</v>
          </cell>
          <cell r="DD97">
            <v>3691</v>
          </cell>
          <cell r="DE97">
            <v>5259</v>
          </cell>
          <cell r="DF97">
            <v>16029</v>
          </cell>
          <cell r="DH97">
            <v>3573</v>
          </cell>
          <cell r="DI97">
            <v>3679</v>
          </cell>
          <cell r="DJ97">
            <v>3782</v>
          </cell>
          <cell r="DK97">
            <v>5604</v>
          </cell>
          <cell r="DL97">
            <v>16638</v>
          </cell>
          <cell r="DN97">
            <v>3556</v>
          </cell>
          <cell r="DO97">
            <v>3488</v>
          </cell>
          <cell r="DP97">
            <v>3475</v>
          </cell>
          <cell r="DQ97">
            <v>5132</v>
          </cell>
          <cell r="DR97">
            <v>15785</v>
          </cell>
          <cell r="DT97">
            <v>3453</v>
          </cell>
          <cell r="DU97">
            <v>3486</v>
          </cell>
          <cell r="DV97">
            <v>3479</v>
          </cell>
          <cell r="DW97">
            <v>5017</v>
          </cell>
          <cell r="DX97">
            <v>15571</v>
          </cell>
          <cell r="DZ97">
            <v>3291</v>
          </cell>
          <cell r="EA97">
            <v>3434</v>
          </cell>
          <cell r="EB97">
            <v>3486</v>
          </cell>
          <cell r="EC97">
            <v>5053</v>
          </cell>
          <cell r="ED97">
            <v>15412</v>
          </cell>
          <cell r="EF97">
            <v>3550</v>
          </cell>
          <cell r="EG97">
            <v>3581</v>
          </cell>
          <cell r="EH97">
            <v>3525</v>
          </cell>
          <cell r="EI97">
            <v>5120</v>
          </cell>
          <cell r="EJ97">
            <v>15776</v>
          </cell>
          <cell r="EL97">
            <v>3641</v>
          </cell>
          <cell r="EM97">
            <v>3623</v>
          </cell>
          <cell r="EN97">
            <v>5555</v>
          </cell>
          <cell r="EO97">
            <v>9571</v>
          </cell>
          <cell r="EP97">
            <v>22390</v>
          </cell>
          <cell r="ER97">
            <v>5930</v>
          </cell>
          <cell r="ES97">
            <v>5995</v>
          </cell>
          <cell r="ET97">
            <v>5886</v>
          </cell>
          <cell r="EU97">
            <v>9159</v>
          </cell>
          <cell r="EV97">
            <v>26970</v>
          </cell>
          <cell r="EX97">
            <v>5921</v>
          </cell>
          <cell r="EY97">
            <v>5892</v>
          </cell>
          <cell r="EZ97">
            <v>5906</v>
          </cell>
          <cell r="FA97">
            <v>8594</v>
          </cell>
          <cell r="FB97">
            <v>26313</v>
          </cell>
          <cell r="FD97">
            <v>5747</v>
          </cell>
          <cell r="FE97">
            <v>5718</v>
          </cell>
          <cell r="FF97">
            <v>5493</v>
          </cell>
          <cell r="FG97">
            <v>7934</v>
          </cell>
          <cell r="FH97">
            <v>24892</v>
          </cell>
          <cell r="FJ97">
            <v>5288</v>
          </cell>
          <cell r="FK97">
            <v>5285</v>
          </cell>
          <cell r="FL97">
            <v>5385</v>
          </cell>
          <cell r="FM97">
            <v>7937</v>
          </cell>
          <cell r="FN97">
            <v>23895</v>
          </cell>
          <cell r="FP97">
            <v>5574</v>
          </cell>
          <cell r="FQ97">
            <v>5537</v>
          </cell>
          <cell r="FR97">
            <v>5623</v>
          </cell>
          <cell r="FS97">
            <v>8269</v>
          </cell>
          <cell r="FT97">
            <v>25003</v>
          </cell>
          <cell r="FV97">
            <v>5889</v>
          </cell>
          <cell r="FW97">
            <v>5939</v>
          </cell>
          <cell r="FX97">
            <v>5853</v>
          </cell>
          <cell r="FY97">
            <v>8724</v>
          </cell>
          <cell r="FZ97">
            <v>26405</v>
          </cell>
          <cell r="GB97">
            <v>6143</v>
          </cell>
          <cell r="GC97">
            <v>6118</v>
          </cell>
          <cell r="GD97">
            <v>6069.6866469352608</v>
          </cell>
          <cell r="GE97">
            <v>9367.1339584297966</v>
          </cell>
          <cell r="GF97">
            <v>27697.820605365057</v>
          </cell>
        </row>
        <row r="98">
          <cell r="A98" t="str">
            <v>% Change</v>
          </cell>
          <cell r="N98" t="str">
            <v>NA</v>
          </cell>
          <cell r="O98">
            <v>1.4985630217599466E-2</v>
          </cell>
          <cell r="P98">
            <v>2.6090473943234604E-2</v>
          </cell>
          <cell r="Q98">
            <v>9.5269382391589552E-3</v>
          </cell>
          <cell r="R98">
            <v>4.3215099251545652E-2</v>
          </cell>
          <cell r="S98">
            <v>3.7993636533782515E-2</v>
          </cell>
          <cell r="T98">
            <v>-5.126818127178745E-2</v>
          </cell>
          <cell r="U98">
            <v>-1.3557174532784266E-2</v>
          </cell>
          <cell r="V98">
            <v>-1.0211290218996805E-2</v>
          </cell>
          <cell r="W98">
            <v>2.361796003114458E-2</v>
          </cell>
          <cell r="X98">
            <v>0.41924442190669375</v>
          </cell>
          <cell r="Y98">
            <v>0.20455560518088434</v>
          </cell>
          <cell r="Z98">
            <v>-2.4360400444938812E-2</v>
          </cell>
          <cell r="AA98">
            <v>-5.4003724394785846E-2</v>
          </cell>
          <cell r="AB98">
            <v>-4.0053029085650005E-2</v>
          </cell>
          <cell r="AC98">
            <v>4.6369533375183014E-2</v>
          </cell>
          <cell r="AD98">
            <v>5.60732712074552E-2</v>
          </cell>
          <cell r="AE98">
            <v>4.8961204520547419E-2</v>
          </cell>
          <cell r="AF98">
            <v>2.3867294306323394E-2</v>
          </cell>
          <cell r="AG98">
            <v>1.9271419022529823E-2</v>
          </cell>
          <cell r="AH98">
            <v>1.0360976857347159E-2</v>
          </cell>
          <cell r="AI98">
            <v>1.0000000000000009E-2</v>
          </cell>
          <cell r="AJ98">
            <v>1.0000000000000009E-2</v>
          </cell>
          <cell r="AK98">
            <v>1.0000000000000009E-2</v>
          </cell>
          <cell r="AL98">
            <v>1.0000000000000009E-2</v>
          </cell>
          <cell r="AN98" t="str">
            <v>% Change</v>
          </cell>
          <cell r="DH98">
            <v>2.9682997118155585E-2</v>
          </cell>
          <cell r="DI98">
            <v>1.9395954558049322E-2</v>
          </cell>
          <cell r="DJ98">
            <v>2.4654565158493735E-2</v>
          </cell>
          <cell r="DK98">
            <v>6.560182544209936E-2</v>
          </cell>
          <cell r="DL98">
            <v>3.7993636533782515E-2</v>
          </cell>
          <cell r="DN98">
            <v>-4.7579065211307281E-3</v>
          </cell>
          <cell r="DO98">
            <v>-5.191628159826045E-2</v>
          </cell>
          <cell r="DP98">
            <v>-8.1173982020095181E-2</v>
          </cell>
          <cell r="DQ98">
            <v>-8.4225553176302648E-2</v>
          </cell>
          <cell r="DR98">
            <v>-5.126818127178745E-2</v>
          </cell>
          <cell r="DT98">
            <v>-2.8965129358830111E-2</v>
          </cell>
          <cell r="DU98">
            <v>-5.7339449541282672E-4</v>
          </cell>
          <cell r="DV98">
            <v>1.1510791366906581E-3</v>
          </cell>
          <cell r="DW98">
            <v>-2.2408417770849565E-2</v>
          </cell>
          <cell r="DX98">
            <v>-1.3557174532784266E-2</v>
          </cell>
          <cell r="DZ98">
            <v>-4.6915725456125101E-2</v>
          </cell>
          <cell r="EA98">
            <v>-1.4916810097532984E-2</v>
          </cell>
          <cell r="EB98">
            <v>2.012072434607548E-3</v>
          </cell>
          <cell r="EC98">
            <v>7.1756029499701057E-3</v>
          </cell>
          <cell r="ED98">
            <v>-1.0211290218996805E-2</v>
          </cell>
          <cell r="EF98">
            <v>7.8699483439683915E-2</v>
          </cell>
          <cell r="EG98">
            <v>4.2807221898660375E-2</v>
          </cell>
          <cell r="EH98">
            <v>1.1187607573149849E-2</v>
          </cell>
          <cell r="EI98">
            <v>1.3259449831783066E-2</v>
          </cell>
          <cell r="EJ98">
            <v>2.361796003114458E-2</v>
          </cell>
          <cell r="EL98">
            <v>2.5633802816901419E-2</v>
          </cell>
          <cell r="EM98">
            <v>1.1728567439262871E-2</v>
          </cell>
          <cell r="EN98">
            <v>0.57588652482269498</v>
          </cell>
          <cell r="EO98">
            <v>0.86933593750000004</v>
          </cell>
          <cell r="EP98">
            <v>0.41924442190669375</v>
          </cell>
          <cell r="ER98">
            <v>0.62867344136226322</v>
          </cell>
          <cell r="ES98">
            <v>0.65470604471432514</v>
          </cell>
          <cell r="ET98">
            <v>5.9585958595859578E-2</v>
          </cell>
          <cell r="EU98">
            <v>-4.3046703583742518E-2</v>
          </cell>
          <cell r="EV98">
            <v>0.20455560518088434</v>
          </cell>
          <cell r="EX98">
            <v>-1.5177065767284503E-3</v>
          </cell>
          <cell r="EY98">
            <v>-1.7180984153461254E-2</v>
          </cell>
          <cell r="EZ98">
            <v>3.397893306150257E-3</v>
          </cell>
          <cell r="FA98">
            <v>-6.1687957200567745E-2</v>
          </cell>
          <cell r="FB98">
            <v>-2.4360400444938812E-2</v>
          </cell>
          <cell r="FD98">
            <v>-2.9386927883803371E-2</v>
          </cell>
          <cell r="FE98">
            <v>-2.9531568228105876E-2</v>
          </cell>
          <cell r="FF98">
            <v>-6.9928885878767333E-2</v>
          </cell>
          <cell r="FG98">
            <v>-7.6797765883174329E-2</v>
          </cell>
          <cell r="FH98">
            <v>-5.4003724394785846E-2</v>
          </cell>
          <cell r="FJ98">
            <v>-7.9867757090655966E-2</v>
          </cell>
          <cell r="FK98">
            <v>-7.5725778244141284E-2</v>
          </cell>
          <cell r="FL98">
            <v>-1.9661387220098359E-2</v>
          </cell>
          <cell r="FM98">
            <v>3.7811948575749987E-4</v>
          </cell>
          <cell r="FN98">
            <v>-4.0053029085650005E-2</v>
          </cell>
          <cell r="FP98">
            <v>5.4084720121028829E-2</v>
          </cell>
          <cell r="FQ98">
            <v>4.7682119205298079E-2</v>
          </cell>
          <cell r="FR98">
            <v>4.4196843082636939E-2</v>
          </cell>
          <cell r="FS98">
            <v>4.182940657679235E-2</v>
          </cell>
          <cell r="FT98">
            <v>4.6369533375183014E-2</v>
          </cell>
          <cell r="FV98">
            <v>5.6512378902045191E-2</v>
          </cell>
          <cell r="FW98">
            <v>7.2602492324363332E-2</v>
          </cell>
          <cell r="FX98">
            <v>4.0903432331495626E-2</v>
          </cell>
          <cell r="FY98">
            <v>5.5024791389527206E-2</v>
          </cell>
          <cell r="FZ98">
            <v>5.60732712074552E-2</v>
          </cell>
          <cell r="GB98">
            <v>4.313126167430803E-2</v>
          </cell>
          <cell r="GC98">
            <v>3.0139754167368249E-2</v>
          </cell>
          <cell r="GD98">
            <v>3.7021467099822347E-2</v>
          </cell>
          <cell r="GE98">
            <v>7.372007776590972E-2</v>
          </cell>
          <cell r="GF98">
            <v>4.8961204520547419E-2</v>
          </cell>
        </row>
        <row r="99">
          <cell r="A99" t="str">
            <v>Sales/Ave. Sq. Ft.</v>
          </cell>
          <cell r="N99">
            <v>185.41332301426695</v>
          </cell>
          <cell r="O99">
            <v>178.15063475096383</v>
          </cell>
          <cell r="P99">
            <v>185.57015271131161</v>
          </cell>
          <cell r="Q99">
            <v>188.14093733737411</v>
          </cell>
          <cell r="R99">
            <v>195.1982853628686</v>
          </cell>
          <cell r="S99">
            <v>201.28966693685953</v>
          </cell>
          <cell r="T99">
            <v>188.59020310633213</v>
          </cell>
          <cell r="U99">
            <v>185.92238805970149</v>
          </cell>
          <cell r="V99">
            <v>184.02388059701494</v>
          </cell>
          <cell r="W99">
            <v>188.59533771667662</v>
          </cell>
          <cell r="X99">
            <v>185.19437551695614</v>
          </cell>
          <cell r="Y99">
            <v>171.29247380120674</v>
          </cell>
          <cell r="Z99">
            <v>169.01924133080252</v>
          </cell>
          <cell r="AA99">
            <v>161.08616025782067</v>
          </cell>
          <cell r="AB99">
            <v>154.91537840650133</v>
          </cell>
          <cell r="AC99">
            <v>162.05355551450691</v>
          </cell>
          <cell r="AD99">
            <v>172.31421812545884</v>
          </cell>
          <cell r="AE99">
            <v>181.86236863425094</v>
          </cell>
          <cell r="AF99">
            <v>186.01972201820288</v>
          </cell>
          <cell r="AG99">
            <v>189.48961276294534</v>
          </cell>
          <cell r="AH99">
            <v>191.48711704856575</v>
          </cell>
          <cell r="AI99">
            <v>193.36743935804478</v>
          </cell>
          <cell r="AJ99">
            <v>195.30111375162525</v>
          </cell>
          <cell r="AK99">
            <v>197.25412488914151</v>
          </cell>
          <cell r="AL99">
            <v>199.22666613803293</v>
          </cell>
          <cell r="AN99" t="str">
            <v>Sales/Ave. Sq. Ft.</v>
          </cell>
          <cell r="DN99">
            <v>42.637889688249395</v>
          </cell>
          <cell r="DO99" t="str">
            <v>NA</v>
          </cell>
          <cell r="DP99" t="str">
            <v>NA</v>
          </cell>
          <cell r="DQ99">
            <v>61.095238095238095</v>
          </cell>
          <cell r="DR99">
            <v>188.59020310633213</v>
          </cell>
          <cell r="DT99">
            <v>40.928309062964026</v>
          </cell>
          <cell r="DU99">
            <v>41.051569071497894</v>
          </cell>
          <cell r="DV99">
            <v>40.531173985405189</v>
          </cell>
          <cell r="DW99">
            <v>58.999502465059471</v>
          </cell>
          <cell r="DX99">
            <v>185.92238805970149</v>
          </cell>
          <cell r="DZ99">
            <v>39.370030102818724</v>
          </cell>
          <cell r="EA99">
            <v>40.857109529919512</v>
          </cell>
          <cell r="EB99">
            <v>41.073351045396791</v>
          </cell>
          <cell r="EC99">
            <v>59.682254173501882</v>
          </cell>
          <cell r="ED99">
            <v>184.02388059701494</v>
          </cell>
          <cell r="EF99">
            <v>42.261904761904759</v>
          </cell>
          <cell r="EG99">
            <v>42.723255711192614</v>
          </cell>
          <cell r="EH99">
            <v>42.055145596747828</v>
          </cell>
          <cell r="EI99">
            <v>61.207411835026896</v>
          </cell>
          <cell r="EJ99">
            <v>188.59533771667662</v>
          </cell>
          <cell r="EL99">
            <v>43.709483793517407</v>
          </cell>
          <cell r="EM99">
            <v>43.445778155702293</v>
          </cell>
          <cell r="EN99">
            <v>43.791542109400297</v>
          </cell>
          <cell r="EO99">
            <v>58.232044198895025</v>
          </cell>
          <cell r="EP99">
            <v>185.19437551695614</v>
          </cell>
          <cell r="ER99">
            <v>37.564453920983773</v>
          </cell>
          <cell r="ES99">
            <v>38.241149916138319</v>
          </cell>
          <cell r="ET99">
            <v>37.633373672820916</v>
          </cell>
          <cell r="EU99">
            <v>58.543624876054047</v>
          </cell>
          <cell r="EV99">
            <v>171.29247380120674</v>
          </cell>
          <cell r="EX99">
            <v>37.779911755416386</v>
          </cell>
          <cell r="EY99">
            <v>37.537030548211384</v>
          </cell>
          <cell r="EZ99">
            <v>37.569496571290443</v>
          </cell>
          <cell r="FA99">
            <v>55.004768274652626</v>
          </cell>
          <cell r="FB99">
            <v>169.01924133080252</v>
          </cell>
          <cell r="FD99">
            <v>37.076342944882242</v>
          </cell>
          <cell r="FE99">
            <v>36.812659743637617</v>
          </cell>
          <cell r="FF99">
            <v>35.32180589404102</v>
          </cell>
          <cell r="FG99">
            <v>51.267967858977556</v>
          </cell>
          <cell r="FH99">
            <v>161.08616025782067</v>
          </cell>
          <cell r="FJ99">
            <v>34.278231896646723</v>
          </cell>
          <cell r="FK99">
            <v>34.219744501207565</v>
          </cell>
          <cell r="FL99">
            <v>34.76615964672159</v>
          </cell>
          <cell r="FM99">
            <v>51.249269551011977</v>
          </cell>
          <cell r="FN99">
            <v>154.91537840650133</v>
          </cell>
          <cell r="FP99">
            <v>36.112145899807253</v>
          </cell>
          <cell r="FQ99">
            <v>35.883477528271925</v>
          </cell>
          <cell r="FR99">
            <v>36.398238022338667</v>
          </cell>
          <cell r="FS99">
            <v>53.540615176423742</v>
          </cell>
          <cell r="FT99">
            <v>162.05355551450691</v>
          </cell>
          <cell r="FV99">
            <v>38.175188396402241</v>
          </cell>
          <cell r="FW99">
            <v>38.484218165795113</v>
          </cell>
          <cell r="FX99">
            <v>37.934811492569239</v>
          </cell>
          <cell r="FY99">
            <v>56.911364659373348</v>
          </cell>
          <cell r="FZ99">
            <v>172.31421812545884</v>
          </cell>
          <cell r="GB99">
            <v>40.344225186845712</v>
          </cell>
          <cell r="GC99">
            <v>40.196844961596831</v>
          </cell>
          <cell r="GD99">
            <v>39.865531591519826</v>
          </cell>
          <cell r="GE99">
            <v>61.502875554350474</v>
          </cell>
          <cell r="GF99">
            <v>181.86236863425094</v>
          </cell>
        </row>
        <row r="100">
          <cell r="A100" t="str">
            <v>% Change</v>
          </cell>
          <cell r="N100" t="str">
            <v>NA</v>
          </cell>
          <cell r="O100">
            <v>-3.9170261042914767E-2</v>
          </cell>
          <cell r="P100">
            <v>4.16474404973044E-2</v>
          </cell>
          <cell r="Q100">
            <v>1.3853438112226168E-2</v>
          </cell>
          <cell r="R100">
            <v>3.751096452144953E-2</v>
          </cell>
          <cell r="S100">
            <v>3.1206122342044118E-2</v>
          </cell>
          <cell r="T100">
            <v>-6.3090490554147394E-2</v>
          </cell>
          <cell r="U100">
            <v>-1.4146095622615373E-2</v>
          </cell>
          <cell r="V100">
            <v>-1.0211290218996805E-2</v>
          </cell>
          <cell r="W100">
            <v>2.4841651555389754E-2</v>
          </cell>
          <cell r="X100">
            <v>-1.8033119168776479E-2</v>
          </cell>
          <cell r="Y100">
            <v>-7.5066543878253844E-2</v>
          </cell>
          <cell r="Z100">
            <v>-1.3271058675014658E-2</v>
          </cell>
          <cell r="AA100">
            <v>-4.6935964275542585E-2</v>
          </cell>
          <cell r="AB100">
            <v>-3.8307337150770171E-2</v>
          </cell>
          <cell r="AC100">
            <v>4.607791157618224E-2</v>
          </cell>
          <cell r="AD100">
            <v>6.3316491750984083E-2</v>
          </cell>
          <cell r="AE100">
            <v>5.5411274894566542E-2</v>
          </cell>
          <cell r="AF100">
            <v>2.2859888030563047E-2</v>
          </cell>
          <cell r="AG100">
            <v>1.8653348726125563E-2</v>
          </cell>
          <cell r="AH100">
            <v>1.0541497533795186E-2</v>
          </cell>
          <cell r="AI100">
            <v>9.8195760553547728E-3</v>
          </cell>
          <cell r="AJ100">
            <v>1.0000000000000231E-2</v>
          </cell>
          <cell r="AK100">
            <v>1.0000000000000009E-2</v>
          </cell>
          <cell r="AL100">
            <v>1.0000000000000009E-2</v>
          </cell>
          <cell r="AN100" t="str">
            <v>% Change</v>
          </cell>
          <cell r="DN100" t="str">
            <v>NA</v>
          </cell>
          <cell r="DO100" t="str">
            <v>NA</v>
          </cell>
          <cell r="DP100" t="str">
            <v>NA</v>
          </cell>
          <cell r="DQ100" t="str">
            <v>NA</v>
          </cell>
          <cell r="DR100" t="str">
            <v>NA</v>
          </cell>
          <cell r="DT100">
            <v>-4.0095338624521859E-2</v>
          </cell>
          <cell r="DU100" t="str">
            <v>NA</v>
          </cell>
          <cell r="DV100" t="str">
            <v>NA</v>
          </cell>
          <cell r="DW100">
            <v>-3.430276557579981E-2</v>
          </cell>
          <cell r="DX100">
            <v>-1.4146095622615373E-2</v>
          </cell>
          <cell r="DZ100">
            <v>-3.8073377469566294E-2</v>
          </cell>
          <cell r="EA100">
            <v>-4.736957587167967E-3</v>
          </cell>
          <cell r="EB100">
            <v>1.3376791409664968E-2</v>
          </cell>
          <cell r="EC100">
            <v>1.1572160440619816E-2</v>
          </cell>
          <cell r="ED100">
            <v>-1.0211290218996805E-2</v>
          </cell>
          <cell r="EF100">
            <v>7.3453707084643272E-2</v>
          </cell>
          <cell r="EG100">
            <v>4.5674943791766065E-2</v>
          </cell>
          <cell r="EH100">
            <v>2.3903444115526362E-2</v>
          </cell>
          <cell r="EI100">
            <v>2.5554625619388371E-2</v>
          </cell>
          <cell r="EJ100">
            <v>2.4841651555389754E-2</v>
          </cell>
          <cell r="EL100">
            <v>3.4252574269144409E-2</v>
          </cell>
          <cell r="EM100">
            <v>1.6911689722194811E-2</v>
          </cell>
          <cell r="EN100">
            <v>4.1288562624468561E-2</v>
          </cell>
          <cell r="EO100">
            <v>-4.8611231008287348E-2</v>
          </cell>
          <cell r="EP100">
            <v>-1.8033119168776479E-2</v>
          </cell>
          <cell r="ER100">
            <v>-0.14058802207691612</v>
          </cell>
          <cell r="ES100">
            <v>-0.11979594935350146</v>
          </cell>
          <cell r="ET100">
            <v>-0.14062460785680952</v>
          </cell>
          <cell r="EU100">
            <v>5.3506738677213672E-3</v>
          </cell>
          <cell r="EV100">
            <v>-7.5066543878253844E-2</v>
          </cell>
          <cell r="EX100">
            <v>5.7356839230466861E-3</v>
          </cell>
          <cell r="EY100">
            <v>-1.8412609701095484E-2</v>
          </cell>
          <cell r="EZ100">
            <v>-1.6973525170985715E-3</v>
          </cell>
          <cell r="FA100">
            <v>-6.0448197543177873E-2</v>
          </cell>
          <cell r="FB100">
            <v>-1.3271058675014658E-2</v>
          </cell>
          <cell r="FD100">
            <v>-1.8622828319160289E-2</v>
          </cell>
          <cell r="FE100">
            <v>-1.9297498869640384E-2</v>
          </cell>
          <cell r="FF100">
            <v>-5.9827543150180129E-2</v>
          </cell>
          <cell r="FG100">
            <v>-6.7935935972246786E-2</v>
          </cell>
          <cell r="FH100">
            <v>-4.6935964275542585E-2</v>
          </cell>
          <cell r="FJ100">
            <v>-7.5468906207799336E-2</v>
          </cell>
          <cell r="FK100">
            <v>-7.0435422501037515E-2</v>
          </cell>
          <cell r="FL100">
            <v>-1.5730969390021166E-2</v>
          </cell>
          <cell r="FM100">
            <v>-3.6471716641883756E-4</v>
          </cell>
          <cell r="FN100">
            <v>-3.8307337150770171E-2</v>
          </cell>
          <cell r="FP100">
            <v>5.3500834252187213E-2</v>
          </cell>
          <cell r="FQ100">
            <v>4.8619095534323753E-2</v>
          </cell>
          <cell r="FR100">
            <v>4.6944453807999942E-2</v>
          </cell>
          <cell r="FS100">
            <v>4.4709820168871373E-2</v>
          </cell>
          <cell r="FT100">
            <v>4.607791157618224E-2</v>
          </cell>
          <cell r="FV100">
            <v>5.7128770533849682E-2</v>
          </cell>
          <cell r="FW100">
            <v>7.2477385601050326E-2</v>
          </cell>
          <cell r="FX100">
            <v>4.2215600361960703E-2</v>
          </cell>
          <cell r="FY100">
            <v>6.2956868759212359E-2</v>
          </cell>
          <cell r="FZ100">
            <v>6.3316491750984083E-2</v>
          </cell>
          <cell r="GB100">
            <v>5.681797213207429E-2</v>
          </cell>
          <cell r="GC100">
            <v>4.4502055061206969E-2</v>
          </cell>
          <cell r="GD100">
            <v>5.0895734629623268E-2</v>
          </cell>
          <cell r="GE100">
            <v>8.0678277923193376E-2</v>
          </cell>
          <cell r="GF100">
            <v>5.5411274894566542E-2</v>
          </cell>
        </row>
        <row r="102">
          <cell r="A102" t="str">
            <v>Number of Stores</v>
          </cell>
          <cell r="M102">
            <v>355</v>
          </cell>
          <cell r="N102">
            <v>412</v>
          </cell>
          <cell r="O102">
            <v>411</v>
          </cell>
          <cell r="P102">
            <v>400</v>
          </cell>
          <cell r="Q102">
            <v>401</v>
          </cell>
          <cell r="R102">
            <v>403</v>
          </cell>
          <cell r="S102">
            <v>440</v>
          </cell>
          <cell r="T102">
            <v>459</v>
          </cell>
          <cell r="U102">
            <v>455</v>
          </cell>
          <cell r="V102">
            <v>459</v>
          </cell>
          <cell r="W102">
            <v>459</v>
          </cell>
          <cell r="X102">
            <v>868</v>
          </cell>
          <cell r="Y102">
            <v>858</v>
          </cell>
          <cell r="Z102">
            <v>853</v>
          </cell>
          <cell r="AA102">
            <v>847</v>
          </cell>
          <cell r="AB102">
            <v>850</v>
          </cell>
          <cell r="AC102">
            <v>850</v>
          </cell>
          <cell r="AD102">
            <v>842</v>
          </cell>
          <cell r="AE102">
            <v>844</v>
          </cell>
          <cell r="AF102">
            <v>848</v>
          </cell>
          <cell r="AG102">
            <v>848</v>
          </cell>
          <cell r="AH102">
            <v>848</v>
          </cell>
          <cell r="AI102">
            <v>848</v>
          </cell>
          <cell r="AJ102">
            <v>848</v>
          </cell>
          <cell r="AK102">
            <v>848</v>
          </cell>
          <cell r="AL102">
            <v>848</v>
          </cell>
          <cell r="AN102" t="str">
            <v>Number of Stores</v>
          </cell>
          <cell r="DK102">
            <v>440</v>
          </cell>
          <cell r="DL102">
            <v>440</v>
          </cell>
          <cell r="DN102" t="str">
            <v>NA</v>
          </cell>
          <cell r="DO102" t="str">
            <v>NA</v>
          </cell>
          <cell r="DP102" t="str">
            <v>NA</v>
          </cell>
          <cell r="DQ102">
            <v>459</v>
          </cell>
          <cell r="DR102">
            <v>459</v>
          </cell>
          <cell r="DT102">
            <v>463</v>
          </cell>
          <cell r="DU102">
            <v>465</v>
          </cell>
          <cell r="DV102">
            <v>473</v>
          </cell>
          <cell r="DW102">
            <v>455</v>
          </cell>
          <cell r="DX102">
            <v>455</v>
          </cell>
          <cell r="DZ102">
            <v>456</v>
          </cell>
          <cell r="EA102">
            <v>460</v>
          </cell>
          <cell r="EB102">
            <v>465</v>
          </cell>
          <cell r="EC102">
            <v>459</v>
          </cell>
          <cell r="ED102">
            <v>459</v>
          </cell>
          <cell r="EF102">
            <v>459</v>
          </cell>
          <cell r="EG102">
            <v>457</v>
          </cell>
          <cell r="EH102">
            <v>459</v>
          </cell>
          <cell r="EI102">
            <v>459</v>
          </cell>
          <cell r="EJ102">
            <v>459</v>
          </cell>
          <cell r="EL102">
            <v>459</v>
          </cell>
          <cell r="EM102">
            <v>460</v>
          </cell>
          <cell r="EN102">
            <v>935</v>
          </cell>
          <cell r="EO102">
            <v>868</v>
          </cell>
          <cell r="EP102">
            <v>868</v>
          </cell>
          <cell r="ER102">
            <v>861</v>
          </cell>
          <cell r="ES102">
            <v>856</v>
          </cell>
          <cell r="ET102">
            <v>857</v>
          </cell>
          <cell r="EU102">
            <v>858</v>
          </cell>
          <cell r="EV102">
            <v>858</v>
          </cell>
          <cell r="EX102">
            <v>863</v>
          </cell>
          <cell r="EY102">
            <v>863</v>
          </cell>
          <cell r="EZ102">
            <v>866</v>
          </cell>
          <cell r="FA102">
            <v>852</v>
          </cell>
          <cell r="FB102">
            <v>852</v>
          </cell>
          <cell r="FD102">
            <v>851</v>
          </cell>
          <cell r="FE102">
            <v>855</v>
          </cell>
          <cell r="FF102">
            <v>856</v>
          </cell>
          <cell r="FG102">
            <v>847</v>
          </cell>
          <cell r="FH102">
            <v>847</v>
          </cell>
          <cell r="FJ102">
            <v>848</v>
          </cell>
          <cell r="FK102">
            <v>848</v>
          </cell>
          <cell r="FL102">
            <v>854</v>
          </cell>
          <cell r="FM102">
            <v>850</v>
          </cell>
          <cell r="FN102">
            <v>850</v>
          </cell>
          <cell r="FP102">
            <v>849</v>
          </cell>
          <cell r="FQ102">
            <v>849</v>
          </cell>
          <cell r="FR102">
            <v>854</v>
          </cell>
          <cell r="FS102">
            <v>850</v>
          </cell>
          <cell r="FT102">
            <v>850</v>
          </cell>
          <cell r="FV102">
            <v>850</v>
          </cell>
          <cell r="FW102">
            <v>849</v>
          </cell>
          <cell r="FX102">
            <v>850</v>
          </cell>
          <cell r="FY102">
            <v>842</v>
          </cell>
          <cell r="FZ102">
            <v>842</v>
          </cell>
          <cell r="GB102">
            <v>844</v>
          </cell>
          <cell r="GC102">
            <v>845</v>
          </cell>
          <cell r="GD102">
            <v>847</v>
          </cell>
          <cell r="GE102">
            <v>844</v>
          </cell>
          <cell r="GF102">
            <v>844</v>
          </cell>
          <cell r="GS102" t="str">
            <v>mstag:numberOfStores</v>
          </cell>
          <cell r="GT102">
            <v>0</v>
          </cell>
          <cell r="GU102" t="str">
            <v>ms_eqr_gcim_Decimal:ms_eqr_gcim_decimal</v>
          </cell>
          <cell r="GV102" t="b">
            <v>0</v>
          </cell>
          <cell r="GW102" t="b">
            <v>0</v>
          </cell>
        </row>
        <row r="103">
          <cell r="A103" t="str">
            <v>% Change</v>
          </cell>
          <cell r="N103">
            <v>0.16056338028169015</v>
          </cell>
          <cell r="O103">
            <v>-2.4271844660194164E-3</v>
          </cell>
          <cell r="P103">
            <v>-2.676399026763987E-2</v>
          </cell>
          <cell r="Q103">
            <v>2.4999999999999467E-3</v>
          </cell>
          <cell r="R103">
            <v>4.9875311720697368E-3</v>
          </cell>
          <cell r="S103">
            <v>9.1811414392059643E-2</v>
          </cell>
          <cell r="T103">
            <v>4.318181818181821E-2</v>
          </cell>
          <cell r="U103">
            <v>-8.7145969498910736E-3</v>
          </cell>
          <cell r="V103">
            <v>8.79120879120876E-3</v>
          </cell>
          <cell r="W103">
            <v>0</v>
          </cell>
          <cell r="X103">
            <v>0.89106753812636175</v>
          </cell>
          <cell r="Y103">
            <v>-1.1520737327188946E-2</v>
          </cell>
          <cell r="Z103">
            <v>-5.8275058275057967E-3</v>
          </cell>
          <cell r="AA103">
            <v>-7.0339976553340788E-3</v>
          </cell>
          <cell r="AB103">
            <v>3.5419126328217754E-3</v>
          </cell>
          <cell r="AC103">
            <v>0</v>
          </cell>
          <cell r="AD103">
            <v>-9.4117647058823417E-3</v>
          </cell>
          <cell r="AE103">
            <v>2.3752969121140222E-3</v>
          </cell>
          <cell r="AF103">
            <v>4.7393364928909332E-3</v>
          </cell>
          <cell r="AG103">
            <v>0</v>
          </cell>
          <cell r="AH103">
            <v>0</v>
          </cell>
          <cell r="AI103">
            <v>0</v>
          </cell>
          <cell r="AJ103">
            <v>0</v>
          </cell>
          <cell r="AK103">
            <v>0</v>
          </cell>
          <cell r="AL103">
            <v>0</v>
          </cell>
          <cell r="AN103" t="str">
            <v>% Change</v>
          </cell>
          <cell r="DL103">
            <v>9.1811414392059643E-2</v>
          </cell>
          <cell r="DN103" t="str">
            <v>NA</v>
          </cell>
          <cell r="DO103" t="str">
            <v>NA</v>
          </cell>
          <cell r="DP103" t="str">
            <v>NA</v>
          </cell>
          <cell r="DQ103">
            <v>4.318181818181821E-2</v>
          </cell>
          <cell r="DR103">
            <v>4.318181818181821E-2</v>
          </cell>
          <cell r="DT103" t="str">
            <v>NA</v>
          </cell>
          <cell r="DU103" t="str">
            <v>NA</v>
          </cell>
          <cell r="DV103" t="str">
            <v>NA</v>
          </cell>
          <cell r="DW103">
            <v>-8.7145969498910736E-3</v>
          </cell>
          <cell r="DX103">
            <v>-8.7145969498910736E-3</v>
          </cell>
          <cell r="DZ103">
            <v>-1.5118790496760237E-2</v>
          </cell>
          <cell r="EA103">
            <v>-1.0752688172043001E-2</v>
          </cell>
          <cell r="EB103">
            <v>-1.6913319238900604E-2</v>
          </cell>
          <cell r="EC103">
            <v>8.79120879120876E-3</v>
          </cell>
          <cell r="ED103">
            <v>8.79120879120876E-3</v>
          </cell>
          <cell r="EF103">
            <v>6.5789473684210176E-3</v>
          </cell>
          <cell r="EG103">
            <v>-6.521739130434745E-3</v>
          </cell>
          <cell r="EH103">
            <v>-1.2903225806451646E-2</v>
          </cell>
          <cell r="EI103">
            <v>0</v>
          </cell>
          <cell r="EJ103">
            <v>0</v>
          </cell>
          <cell r="EL103">
            <v>0</v>
          </cell>
          <cell r="EM103">
            <v>6.5645514223193757E-3</v>
          </cell>
          <cell r="EN103">
            <v>1.0370370370370372</v>
          </cell>
          <cell r="EO103">
            <v>0.89106753812636175</v>
          </cell>
          <cell r="EP103">
            <v>0.89106753812636175</v>
          </cell>
          <cell r="ER103">
            <v>0.87581699346405228</v>
          </cell>
          <cell r="ES103">
            <v>0.86086956521739122</v>
          </cell>
          <cell r="ET103">
            <v>-8.3422459893048084E-2</v>
          </cell>
          <cell r="EU103">
            <v>-1.1520737327188946E-2</v>
          </cell>
          <cell r="EV103">
            <v>-1.1520737327188946E-2</v>
          </cell>
          <cell r="EX103">
            <v>2.3228803716608404E-3</v>
          </cell>
          <cell r="EY103">
            <v>8.1775700934578754E-3</v>
          </cell>
          <cell r="EZ103">
            <v>1.0501750291715295E-2</v>
          </cell>
          <cell r="FA103">
            <v>-6.9930069930069783E-3</v>
          </cell>
          <cell r="FB103">
            <v>-6.9930069930069783E-3</v>
          </cell>
          <cell r="FD103">
            <v>-1.3904982618771711E-2</v>
          </cell>
          <cell r="FE103">
            <v>-9.2699884125144738E-3</v>
          </cell>
          <cell r="FF103">
            <v>-1.1547344110854452E-2</v>
          </cell>
          <cell r="FG103">
            <v>-5.8685446009389963E-3</v>
          </cell>
          <cell r="FH103">
            <v>-5.8685446009389963E-3</v>
          </cell>
          <cell r="FJ103">
            <v>-3.5252643948295859E-3</v>
          </cell>
          <cell r="FK103">
            <v>-8.1871345029239651E-3</v>
          </cell>
          <cell r="FL103">
            <v>-2.3364485981308691E-3</v>
          </cell>
          <cell r="FM103">
            <v>3.5419126328217754E-3</v>
          </cell>
          <cell r="FN103">
            <v>3.5419126328217754E-3</v>
          </cell>
          <cell r="FP103">
            <v>1.179245283018826E-3</v>
          </cell>
          <cell r="FQ103">
            <v>1.179245283018826E-3</v>
          </cell>
          <cell r="FR103">
            <v>0</v>
          </cell>
          <cell r="FS103">
            <v>0</v>
          </cell>
          <cell r="FT103">
            <v>0</v>
          </cell>
          <cell r="FV103">
            <v>1.1778563015312216E-3</v>
          </cell>
          <cell r="FW103">
            <v>0</v>
          </cell>
          <cell r="FX103">
            <v>-4.6838407494145251E-3</v>
          </cell>
          <cell r="FY103">
            <v>-9.4117647058823417E-3</v>
          </cell>
          <cell r="FZ103">
            <v>-9.4117647058823417E-3</v>
          </cell>
          <cell r="GB103">
            <v>-7.058823529411784E-3</v>
          </cell>
          <cell r="GC103">
            <v>-4.7114252061248862E-3</v>
          </cell>
          <cell r="GD103">
            <v>-3.529411764705892E-3</v>
          </cell>
          <cell r="GE103">
            <v>2.3752969121140222E-3</v>
          </cell>
          <cell r="GF103">
            <v>2.3752969121140222E-3</v>
          </cell>
        </row>
        <row r="104">
          <cell r="A104" t="str">
            <v>EOP Gross Square Feet (MM)</v>
          </cell>
          <cell r="M104">
            <v>74.134</v>
          </cell>
          <cell r="N104">
            <v>83.503</v>
          </cell>
          <cell r="O104">
            <v>83.018999999999991</v>
          </cell>
          <cell r="P104">
            <v>81.016000000000005</v>
          </cell>
          <cell r="Q104">
            <v>82.319000000000003</v>
          </cell>
          <cell r="R104">
            <v>81.914000000000001</v>
          </cell>
          <cell r="S104">
            <v>83.4</v>
          </cell>
          <cell r="T104">
            <v>84</v>
          </cell>
          <cell r="U104">
            <v>83.5</v>
          </cell>
          <cell r="V104">
            <v>84</v>
          </cell>
          <cell r="W104">
            <v>83.3</v>
          </cell>
          <cell r="X104">
            <v>158.5</v>
          </cell>
          <cell r="Y104">
            <v>156.4</v>
          </cell>
          <cell r="Z104">
            <v>154.96100000000001</v>
          </cell>
          <cell r="AA104">
            <v>154.09100000000001</v>
          </cell>
          <cell r="AB104">
            <v>154.4</v>
          </cell>
          <cell r="AC104">
            <v>154.17699999999999</v>
          </cell>
          <cell r="AD104">
            <v>152.298</v>
          </cell>
          <cell r="AE104">
            <v>152.30400000000003</v>
          </cell>
          <cell r="AF104">
            <v>152.59800000000001</v>
          </cell>
          <cell r="AG104">
            <v>152.489</v>
          </cell>
          <cell r="AH104">
            <v>152.54349999999999</v>
          </cell>
          <cell r="AI104">
            <v>152.54349999999999</v>
          </cell>
          <cell r="AJ104">
            <v>152.54349999999999</v>
          </cell>
          <cell r="AK104">
            <v>152.54349999999999</v>
          </cell>
          <cell r="AL104">
            <v>152.54349999999999</v>
          </cell>
          <cell r="AN104" t="str">
            <v>EOP Gross Square Feet (MM)</v>
          </cell>
          <cell r="DK104">
            <v>83.4</v>
          </cell>
          <cell r="DL104">
            <v>83.4</v>
          </cell>
          <cell r="DN104" t="str">
            <v>NA</v>
          </cell>
          <cell r="DO104" t="str">
            <v>NA</v>
          </cell>
          <cell r="DP104" t="str">
            <v>NA</v>
          </cell>
          <cell r="DQ104">
            <v>84</v>
          </cell>
          <cell r="DR104">
            <v>84</v>
          </cell>
          <cell r="DT104">
            <v>84.734065934065939</v>
          </cell>
          <cell r="DU104">
            <v>85.101098901098908</v>
          </cell>
          <cell r="DV104">
            <v>86.569230769230771</v>
          </cell>
          <cell r="DW104">
            <v>83.5</v>
          </cell>
          <cell r="DX104">
            <v>83.5</v>
          </cell>
          <cell r="DZ104">
            <v>83.683006535947712</v>
          </cell>
          <cell r="EA104">
            <v>84.415032679738559</v>
          </cell>
          <cell r="EB104">
            <v>85.330065359477118</v>
          </cell>
          <cell r="EC104">
            <v>84</v>
          </cell>
          <cell r="ED104">
            <v>84</v>
          </cell>
          <cell r="EF104">
            <v>84</v>
          </cell>
          <cell r="EG104">
            <v>83.637037037037032</v>
          </cell>
          <cell r="EH104">
            <v>84</v>
          </cell>
          <cell r="EI104">
            <v>83.3</v>
          </cell>
          <cell r="EJ104">
            <v>83.3</v>
          </cell>
          <cell r="EL104">
            <v>83.3</v>
          </cell>
          <cell r="EM104">
            <v>83.48260368663594</v>
          </cell>
          <cell r="EN104">
            <v>170.21935483870968</v>
          </cell>
          <cell r="EO104">
            <v>158.5</v>
          </cell>
          <cell r="EP104">
            <v>158.5</v>
          </cell>
          <cell r="ER104">
            <v>157.22400932400933</v>
          </cell>
          <cell r="ES104">
            <v>156.31258741258742</v>
          </cell>
          <cell r="ET104">
            <v>156.49487179487181</v>
          </cell>
          <cell r="EU104">
            <v>156.4</v>
          </cell>
          <cell r="EV104">
            <v>156.4</v>
          </cell>
          <cell r="EX104">
            <v>157.047</v>
          </cell>
          <cell r="EY104">
            <v>156.88300000000001</v>
          </cell>
          <cell r="EZ104">
            <v>157.52099999999999</v>
          </cell>
          <cell r="FA104">
            <v>154.96100000000001</v>
          </cell>
          <cell r="FB104">
            <v>154.96100000000001</v>
          </cell>
          <cell r="FD104">
            <v>155.048</v>
          </cell>
          <cell r="FE104">
            <v>155.60599999999999</v>
          </cell>
          <cell r="FF104">
            <v>155.41999999999999</v>
          </cell>
          <cell r="FG104">
            <v>154.09100000000001</v>
          </cell>
          <cell r="FH104">
            <v>154.09100000000001</v>
          </cell>
          <cell r="FJ104">
            <v>154.44300000000001</v>
          </cell>
          <cell r="FK104">
            <v>154.44300000000001</v>
          </cell>
          <cell r="FL104">
            <v>155.34100000000001</v>
          </cell>
          <cell r="FM104">
            <v>154.4</v>
          </cell>
          <cell r="FN104">
            <v>154.4</v>
          </cell>
          <cell r="FP104">
            <v>154.30500000000001</v>
          </cell>
          <cell r="FQ104">
            <v>154.30500000000001</v>
          </cell>
          <cell r="FR104">
            <v>154.666</v>
          </cell>
          <cell r="FS104">
            <v>154.221</v>
          </cell>
          <cell r="FT104">
            <v>154.17699999999999</v>
          </cell>
          <cell r="FV104">
            <v>154.34800000000001</v>
          </cell>
          <cell r="FW104">
            <v>154.298</v>
          </cell>
          <cell r="FX104">
            <v>154.28399999999999</v>
          </cell>
          <cell r="FY104">
            <v>152.298</v>
          </cell>
          <cell r="FZ104">
            <v>152.298</v>
          </cell>
          <cell r="GB104">
            <v>152.19800000000001</v>
          </cell>
          <cell r="GC104">
            <v>152.20400000000001</v>
          </cell>
          <cell r="GD104">
            <v>152.30400000000003</v>
          </cell>
          <cell r="GE104">
            <v>152.30400000000003</v>
          </cell>
          <cell r="GF104">
            <v>152.30400000000003</v>
          </cell>
          <cell r="GS104" t="str">
            <v>mstag:floorspace</v>
          </cell>
          <cell r="GT104">
            <v>6</v>
          </cell>
          <cell r="GU104" t="str">
            <v>area:squareFeet</v>
          </cell>
          <cell r="GV104" t="b">
            <v>0</v>
          </cell>
          <cell r="GW104" t="b">
            <v>0</v>
          </cell>
        </row>
        <row r="105">
          <cell r="A105" t="str">
            <v>% Change</v>
          </cell>
          <cell r="N105">
            <v>0.12637925917932402</v>
          </cell>
          <cell r="O105">
            <v>-5.7961989389603286E-3</v>
          </cell>
          <cell r="P105">
            <v>-2.4127007070670392E-2</v>
          </cell>
          <cell r="Q105">
            <v>1.6083242816233856E-2</v>
          </cell>
          <cell r="R105">
            <v>-4.9198848382512317E-3</v>
          </cell>
          <cell r="S105">
            <v>1.8140977122347968E-2</v>
          </cell>
          <cell r="T105">
            <v>7.194244604316502E-3</v>
          </cell>
          <cell r="U105">
            <v>-5.9523809523809312E-3</v>
          </cell>
          <cell r="V105">
            <v>5.9880239520957446E-3</v>
          </cell>
          <cell r="W105">
            <v>-8.3333333333334147E-3</v>
          </cell>
          <cell r="X105">
            <v>0.90276110444177671</v>
          </cell>
          <cell r="Y105">
            <v>-1.3249211356466839E-2</v>
          </cell>
          <cell r="Z105">
            <v>-9.200767263427112E-3</v>
          </cell>
          <cell r="AA105">
            <v>-5.614315860119623E-3</v>
          </cell>
          <cell r="AB105">
            <v>2.0053085514404323E-3</v>
          </cell>
          <cell r="AC105">
            <v>-1.4443005181348223E-3</v>
          </cell>
          <cell r="AD105">
            <v>-1.2187291230209341E-2</v>
          </cell>
          <cell r="AE105">
            <v>3.9396446440687072E-5</v>
          </cell>
          <cell r="AF105">
            <v>1.930349826662292E-3</v>
          </cell>
          <cell r="AG105">
            <v>-7.1429507595122121E-4</v>
          </cell>
          <cell r="AH105">
            <v>3.5740282905649678E-4</v>
          </cell>
          <cell r="AI105">
            <v>0</v>
          </cell>
          <cell r="AJ105">
            <v>0</v>
          </cell>
          <cell r="AK105">
            <v>0</v>
          </cell>
          <cell r="AL105">
            <v>0</v>
          </cell>
          <cell r="AN105" t="str">
            <v>% Change</v>
          </cell>
          <cell r="DL105">
            <v>1.8140977122347968E-2</v>
          </cell>
          <cell r="DN105" t="str">
            <v>NA</v>
          </cell>
          <cell r="DO105" t="str">
            <v>NA</v>
          </cell>
          <cell r="DP105" t="str">
            <v>NA</v>
          </cell>
          <cell r="DQ105">
            <v>7.194244604316502E-3</v>
          </cell>
          <cell r="DR105">
            <v>7.194244604316502E-3</v>
          </cell>
          <cell r="DT105" t="str">
            <v>NA</v>
          </cell>
          <cell r="DU105" t="str">
            <v>NA</v>
          </cell>
          <cell r="DV105" t="str">
            <v>NA</v>
          </cell>
          <cell r="DW105">
            <v>-5.9523809523809312E-3</v>
          </cell>
          <cell r="DX105">
            <v>-5.9523809523809312E-3</v>
          </cell>
          <cell r="DZ105">
            <v>-1.2404212951802496E-2</v>
          </cell>
          <cell r="EA105">
            <v>-8.0617786399875824E-3</v>
          </cell>
          <cell r="EB105">
            <v>-1.4314155257506234E-2</v>
          </cell>
          <cell r="EC105">
            <v>5.9880239520957446E-3</v>
          </cell>
          <cell r="ED105">
            <v>5.9880239520957446E-3</v>
          </cell>
          <cell r="EF105">
            <v>3.7880267114460686E-3</v>
          </cell>
          <cell r="EG105">
            <v>-9.2163163124411307E-3</v>
          </cell>
          <cell r="EH105">
            <v>-1.558730037149092E-2</v>
          </cell>
          <cell r="EI105">
            <v>-8.3333333333334147E-3</v>
          </cell>
          <cell r="EJ105">
            <v>-8.3333333333334147E-3</v>
          </cell>
          <cell r="EL105">
            <v>-8.3333333333334147E-3</v>
          </cell>
          <cell r="EM105">
            <v>-1.8464708444023703E-3</v>
          </cell>
          <cell r="EN105">
            <v>1.02642089093702</v>
          </cell>
          <cell r="EO105">
            <v>0.90276110444177671</v>
          </cell>
          <cell r="EP105">
            <v>0.90276110444177671</v>
          </cell>
          <cell r="ER105">
            <v>0.88744308912376146</v>
          </cell>
          <cell r="ES105">
            <v>0.87239712838053518</v>
          </cell>
          <cell r="ET105">
            <v>-8.0628216790284646E-2</v>
          </cell>
          <cell r="EU105">
            <v>-1.3249211356466839E-2</v>
          </cell>
          <cell r="EV105">
            <v>-1.3249211356466839E-2</v>
          </cell>
          <cell r="EX105">
            <v>-1.1258415605249761E-3</v>
          </cell>
          <cell r="EY105">
            <v>3.649178846403256E-3</v>
          </cell>
          <cell r="EZ105">
            <v>6.5569446037387902E-3</v>
          </cell>
          <cell r="FA105">
            <v>-9.200767263427112E-3</v>
          </cell>
          <cell r="FB105">
            <v>-9.200767263427112E-3</v>
          </cell>
          <cell r="FD105">
            <v>-1.272867358179397E-2</v>
          </cell>
          <cell r="FE105">
            <v>-8.13982394523316E-3</v>
          </cell>
          <cell r="FF105">
            <v>-1.3337904152462166E-2</v>
          </cell>
          <cell r="FG105">
            <v>-5.614315860119623E-3</v>
          </cell>
          <cell r="FH105">
            <v>-5.614315860119623E-3</v>
          </cell>
          <cell r="FJ105">
            <v>-3.9020174397604857E-3</v>
          </cell>
          <cell r="FK105">
            <v>-7.4740048584244212E-3</v>
          </cell>
          <cell r="FL105">
            <v>-5.0830009007840626E-4</v>
          </cell>
          <cell r="FM105">
            <v>2.0053085514404323E-3</v>
          </cell>
          <cell r="FN105">
            <v>2.0053085514404323E-3</v>
          </cell>
          <cell r="FP105">
            <v>-8.9353353664467505E-4</v>
          </cell>
          <cell r="FQ105">
            <v>-8.9353353664467505E-4</v>
          </cell>
          <cell r="FR105">
            <v>-4.3452790956670651E-3</v>
          </cell>
          <cell r="FS105">
            <v>-1.1593264248704882E-3</v>
          </cell>
          <cell r="FT105">
            <v>-1.4443005181348223E-3</v>
          </cell>
          <cell r="FV105">
            <v>2.7866887009508901E-4</v>
          </cell>
          <cell r="FW105">
            <v>-4.5364699782890483E-5</v>
          </cell>
          <cell r="FX105">
            <v>-2.4698382320613721E-3</v>
          </cell>
          <cell r="FY105">
            <v>-1.2469118991576988E-2</v>
          </cell>
          <cell r="FZ105">
            <v>-1.2187291230209341E-2</v>
          </cell>
          <cell r="GB105">
            <v>-1.3929561769507881E-2</v>
          </cell>
          <cell r="GC105">
            <v>-1.3571141557246369E-2</v>
          </cell>
          <cell r="GD105">
            <v>-1.2833475927510052E-2</v>
          </cell>
          <cell r="GE105">
            <v>3.9396446440687072E-5</v>
          </cell>
          <cell r="GF105">
            <v>3.9396446440687072E-5</v>
          </cell>
        </row>
        <row r="106">
          <cell r="A106" t="str">
            <v>Ave. Square Feet (MM)</v>
          </cell>
          <cell r="N106">
            <v>78.8185</v>
          </cell>
          <cell r="O106">
            <v>83.260999999999996</v>
          </cell>
          <cell r="P106">
            <v>82.017499999999998</v>
          </cell>
          <cell r="Q106">
            <v>81.667500000000004</v>
          </cell>
          <cell r="R106">
            <v>82.116500000000002</v>
          </cell>
          <cell r="S106">
            <v>82.657000000000011</v>
          </cell>
          <cell r="T106">
            <v>83.7</v>
          </cell>
          <cell r="U106">
            <v>83.75</v>
          </cell>
          <cell r="V106">
            <v>83.75</v>
          </cell>
          <cell r="W106">
            <v>83.65</v>
          </cell>
          <cell r="X106">
            <v>120.9</v>
          </cell>
          <cell r="Y106">
            <v>157.44999999999999</v>
          </cell>
          <cell r="Z106">
            <v>155.68049999999999</v>
          </cell>
          <cell r="AA106">
            <v>154.52600000000001</v>
          </cell>
          <cell r="AB106">
            <v>154.24549999999999</v>
          </cell>
          <cell r="AC106">
            <v>154.2885</v>
          </cell>
          <cell r="AD106">
            <v>153.23750000000001</v>
          </cell>
          <cell r="AE106">
            <v>152.30100000000002</v>
          </cell>
          <cell r="AF106">
            <v>152.45100000000002</v>
          </cell>
          <cell r="AG106">
            <v>152.54349999999999</v>
          </cell>
          <cell r="AH106">
            <v>152.51625000000001</v>
          </cell>
          <cell r="AI106">
            <v>152.54349999999999</v>
          </cell>
          <cell r="AJ106">
            <v>152.54349999999999</v>
          </cell>
          <cell r="AK106">
            <v>152.54349999999999</v>
          </cell>
          <cell r="AL106">
            <v>152.54349999999999</v>
          </cell>
          <cell r="AN106" t="str">
            <v>Ave. Square Feet (MM)</v>
          </cell>
          <cell r="DL106">
            <v>82.657000000000011</v>
          </cell>
          <cell r="DN106">
            <v>83.4</v>
          </cell>
          <cell r="DO106" t="str">
            <v>NA</v>
          </cell>
          <cell r="DP106" t="str">
            <v>NA</v>
          </cell>
          <cell r="DQ106">
            <v>84</v>
          </cell>
          <cell r="DR106">
            <v>83.7</v>
          </cell>
          <cell r="DT106">
            <v>84.367032967032969</v>
          </cell>
          <cell r="DU106">
            <v>84.917582417582423</v>
          </cell>
          <cell r="DV106">
            <v>85.835164835164846</v>
          </cell>
          <cell r="DW106">
            <v>85.034615384615392</v>
          </cell>
          <cell r="DX106">
            <v>83.75</v>
          </cell>
          <cell r="DZ106">
            <v>83.591503267973849</v>
          </cell>
          <cell r="EA106">
            <v>84.049019607843135</v>
          </cell>
          <cell r="EB106">
            <v>84.872549019607845</v>
          </cell>
          <cell r="EC106">
            <v>84.665032679738559</v>
          </cell>
          <cell r="ED106">
            <v>83.75</v>
          </cell>
          <cell r="EF106">
            <v>84</v>
          </cell>
          <cell r="EG106">
            <v>83.818518518518516</v>
          </cell>
          <cell r="EH106">
            <v>83.818518518518516</v>
          </cell>
          <cell r="EI106">
            <v>83.65</v>
          </cell>
          <cell r="EJ106">
            <v>83.65</v>
          </cell>
          <cell r="EL106">
            <v>83.3</v>
          </cell>
          <cell r="EM106">
            <v>83.391301843317962</v>
          </cell>
          <cell r="EN106">
            <v>126.85097926267281</v>
          </cell>
          <cell r="EO106">
            <v>164.35967741935485</v>
          </cell>
          <cell r="EP106">
            <v>120.9</v>
          </cell>
          <cell r="ER106">
            <v>157.86200466200467</v>
          </cell>
          <cell r="ES106">
            <v>156.76829836829836</v>
          </cell>
          <cell r="ET106">
            <v>156.40372960372963</v>
          </cell>
          <cell r="EU106">
            <v>156.44743589743592</v>
          </cell>
          <cell r="EV106">
            <v>157.44999999999999</v>
          </cell>
          <cell r="EX106">
            <v>156.7235</v>
          </cell>
          <cell r="EY106">
            <v>156.965</v>
          </cell>
          <cell r="EZ106">
            <v>157.202</v>
          </cell>
          <cell r="FA106">
            <v>156.24099999999999</v>
          </cell>
          <cell r="FB106">
            <v>155.68049999999999</v>
          </cell>
          <cell r="FD106">
            <v>155.00450000000001</v>
          </cell>
          <cell r="FE106">
            <v>155.327</v>
          </cell>
          <cell r="FF106">
            <v>155.51299999999998</v>
          </cell>
          <cell r="FG106">
            <v>154.75549999999998</v>
          </cell>
          <cell r="FH106">
            <v>154.52600000000001</v>
          </cell>
          <cell r="FJ106">
            <v>154.267</v>
          </cell>
          <cell r="FK106">
            <v>154.44300000000001</v>
          </cell>
          <cell r="FL106">
            <v>154.892</v>
          </cell>
          <cell r="FM106">
            <v>154.87049999999999</v>
          </cell>
          <cell r="FN106">
            <v>154.24549999999999</v>
          </cell>
          <cell r="FP106">
            <v>154.35250000000002</v>
          </cell>
          <cell r="FQ106">
            <v>154.30500000000001</v>
          </cell>
          <cell r="FR106">
            <v>154.4855</v>
          </cell>
          <cell r="FS106">
            <v>154.4435</v>
          </cell>
          <cell r="FT106">
            <v>154.2885</v>
          </cell>
          <cell r="FV106">
            <v>154.26249999999999</v>
          </cell>
          <cell r="FW106">
            <v>154.32300000000001</v>
          </cell>
          <cell r="FX106">
            <v>154.291</v>
          </cell>
          <cell r="FY106">
            <v>153.291</v>
          </cell>
          <cell r="FZ106">
            <v>153.23750000000001</v>
          </cell>
          <cell r="GB106">
            <v>152.24799999999999</v>
          </cell>
          <cell r="GC106">
            <v>152.20100000000002</v>
          </cell>
          <cell r="GD106">
            <v>152.25400000000002</v>
          </cell>
          <cell r="GE106">
            <v>152.30400000000003</v>
          </cell>
          <cell r="GF106">
            <v>152.30100000000002</v>
          </cell>
        </row>
        <row r="107">
          <cell r="A107" t="str">
            <v>% Change</v>
          </cell>
          <cell r="N107" t="str">
            <v>NA</v>
          </cell>
          <cell r="O107">
            <v>5.6363670965572821E-2</v>
          </cell>
          <cell r="P107">
            <v>-1.4934963548359992E-2</v>
          </cell>
          <cell r="Q107">
            <v>-4.2673819611667163E-3</v>
          </cell>
          <cell r="R107">
            <v>5.4979030826216579E-3</v>
          </cell>
          <cell r="S107">
            <v>6.5821119994156074E-3</v>
          </cell>
          <cell r="T107">
            <v>1.2618411023869625E-2</v>
          </cell>
          <cell r="U107">
            <v>5.9737156511352474E-4</v>
          </cell>
          <cell r="V107">
            <v>0</v>
          </cell>
          <cell r="W107">
            <v>-1.1940298507462366E-3</v>
          </cell>
          <cell r="X107">
            <v>0.44530783024506881</v>
          </cell>
          <cell r="Y107">
            <v>0.30231596360628599</v>
          </cell>
          <cell r="Z107">
            <v>-1.1238488409018643E-2</v>
          </cell>
          <cell r="AA107">
            <v>-7.4158292143202686E-3</v>
          </cell>
          <cell r="AB107">
            <v>-1.8152285052355221E-3</v>
          </cell>
          <cell r="AC107">
            <v>2.7877636624729085E-4</v>
          </cell>
          <cell r="AD107">
            <v>-6.8119140441444959E-3</v>
          </cell>
          <cell r="AE107">
            <v>-6.1114283383636447E-3</v>
          </cell>
          <cell r="AF107">
            <v>9.8489176039562309E-4</v>
          </cell>
          <cell r="AG107">
            <v>6.0675233353646441E-4</v>
          </cell>
          <cell r="AH107">
            <v>-1.7863756895564187E-4</v>
          </cell>
          <cell r="AI107">
            <v>1.7866948603817434E-4</v>
          </cell>
          <cell r="AJ107">
            <v>0</v>
          </cell>
          <cell r="AK107">
            <v>0</v>
          </cell>
          <cell r="AL107">
            <v>0</v>
          </cell>
          <cell r="AN107" t="str">
            <v>% Change</v>
          </cell>
          <cell r="DL107">
            <v>6.5821119994156074E-3</v>
          </cell>
          <cell r="DN107" t="str">
            <v>NA</v>
          </cell>
          <cell r="DO107" t="str">
            <v>NA</v>
          </cell>
          <cell r="DP107" t="str">
            <v>NA</v>
          </cell>
          <cell r="DQ107" t="str">
            <v>NA</v>
          </cell>
          <cell r="DR107">
            <v>1.2618411023869625E-2</v>
          </cell>
          <cell r="DT107">
            <v>1.1595119508788443E-2</v>
          </cell>
          <cell r="DU107" t="str">
            <v>NA</v>
          </cell>
          <cell r="DV107" t="str">
            <v>NA</v>
          </cell>
          <cell r="DW107">
            <v>1.2316849816849995E-2</v>
          </cell>
          <cell r="DX107">
            <v>5.9737156511352474E-4</v>
          </cell>
          <cell r="DZ107">
            <v>-9.1923310774976175E-3</v>
          </cell>
          <cell r="EA107">
            <v>-1.0228303550472329E-2</v>
          </cell>
          <cell r="EB107">
            <v>-1.1214702242438479E-2</v>
          </cell>
          <cell r="EC107">
            <v>-4.3462618511908024E-3</v>
          </cell>
          <cell r="ED107">
            <v>0</v>
          </cell>
          <cell r="EF107">
            <v>4.8868212205326333E-3</v>
          </cell>
          <cell r="EG107">
            <v>-2.7424601785969172E-3</v>
          </cell>
          <cell r="EH107">
            <v>-1.2418980144520253E-2</v>
          </cell>
          <cell r="EI107">
            <v>-1.1988806330213153E-2</v>
          </cell>
          <cell r="EJ107">
            <v>-1.1940298507462366E-3</v>
          </cell>
          <cell r="EL107">
            <v>-8.3333333333334147E-3</v>
          </cell>
          <cell r="EM107">
            <v>-5.096924674302894E-3</v>
          </cell>
          <cell r="EN107">
            <v>0.51340039772531743</v>
          </cell>
          <cell r="EO107">
            <v>0.9648497001716061</v>
          </cell>
          <cell r="EP107">
            <v>0.44530783024506881</v>
          </cell>
          <cell r="ER107">
            <v>0.8951020967827692</v>
          </cell>
          <cell r="ES107">
            <v>0.87991187213801725</v>
          </cell>
          <cell r="ET107">
            <v>0.23297218920053719</v>
          </cell>
          <cell r="EU107">
            <v>-4.8139797097138781E-2</v>
          </cell>
          <cell r="EV107">
            <v>0.30231596360628599</v>
          </cell>
          <cell r="EX107">
            <v>-7.2120246061887494E-3</v>
          </cell>
          <cell r="EY107">
            <v>1.2547283714181567E-3</v>
          </cell>
          <cell r="EZ107">
            <v>5.1039089559621331E-3</v>
          </cell>
          <cell r="FA107">
            <v>-1.3195224086079982E-3</v>
          </cell>
          <cell r="FB107">
            <v>-1.1238488409018643E-2</v>
          </cell>
          <cell r="FD107">
            <v>-1.0968361477378896E-2</v>
          </cell>
          <cell r="FE107">
            <v>-1.0435447392730945E-2</v>
          </cell>
          <cell r="FF107">
            <v>-1.0744138115291291E-2</v>
          </cell>
          <cell r="FG107">
            <v>-9.5077476462643862E-3</v>
          </cell>
          <cell r="FH107">
            <v>-7.4158292143202686E-3</v>
          </cell>
          <cell r="FJ107">
            <v>-4.7579263827824958E-3</v>
          </cell>
          <cell r="FK107">
            <v>-5.6912191698802461E-3</v>
          </cell>
          <cell r="FL107">
            <v>-3.9932352922262826E-3</v>
          </cell>
          <cell r="FM107">
            <v>7.4310767630225705E-4</v>
          </cell>
          <cell r="FN107">
            <v>-1.8152285052355221E-3</v>
          </cell>
          <cell r="FP107">
            <v>5.5423389318542959E-4</v>
          </cell>
          <cell r="FQ107">
            <v>-8.9353353664467505E-4</v>
          </cell>
          <cell r="FR107">
            <v>-2.6244092658109786E-3</v>
          </cell>
          <cell r="FS107">
            <v>-2.7571422575635163E-3</v>
          </cell>
          <cell r="FT107">
            <v>2.7877636624729085E-4</v>
          </cell>
          <cell r="FV107">
            <v>-5.8308093487335899E-4</v>
          </cell>
          <cell r="FW107">
            <v>1.1665208515609926E-4</v>
          </cell>
          <cell r="FX107">
            <v>-1.25901783662552E-3</v>
          </cell>
          <cell r="FY107">
            <v>-7.4622758484494955E-3</v>
          </cell>
          <cell r="FZ107">
            <v>-6.8119140441444959E-3</v>
          </cell>
          <cell r="GB107">
            <v>-1.3058909326634782E-2</v>
          </cell>
          <cell r="GC107">
            <v>-1.3750380695035647E-2</v>
          </cell>
          <cell r="GD107">
            <v>-1.320232547588629E-2</v>
          </cell>
          <cell r="GE107">
            <v>-6.4387341722603741E-3</v>
          </cell>
          <cell r="GF107">
            <v>-6.1114283383636447E-3</v>
          </cell>
        </row>
        <row r="108">
          <cell r="A108" t="str">
            <v>Ave. Square Feet Per Store (000's)</v>
          </cell>
          <cell r="N108">
            <v>205.52411994784876</v>
          </cell>
          <cell r="O108">
            <v>202.33535844471447</v>
          </cell>
          <cell r="P108">
            <v>202.26263871763254</v>
          </cell>
          <cell r="Q108">
            <v>203.91385767790263</v>
          </cell>
          <cell r="R108">
            <v>204.26990049751242</v>
          </cell>
          <cell r="S108">
            <v>196.10201660735473</v>
          </cell>
          <cell r="T108">
            <v>186.20689655172413</v>
          </cell>
          <cell r="U108">
            <v>183.26039387308535</v>
          </cell>
          <cell r="V108">
            <v>183.26039387308535</v>
          </cell>
          <cell r="W108">
            <v>182.24400871459696</v>
          </cell>
          <cell r="X108">
            <v>182.21552373775432</v>
          </cell>
          <cell r="Y108">
            <v>182.44495944380068</v>
          </cell>
          <cell r="Z108">
            <v>181.97603740502629</v>
          </cell>
          <cell r="AA108">
            <v>181.79529411764705</v>
          </cell>
          <cell r="AB108">
            <v>181.78609310548026</v>
          </cell>
          <cell r="AC108">
            <v>181.51588235294119</v>
          </cell>
          <cell r="AD108">
            <v>181.13179669030734</v>
          </cell>
          <cell r="AE108">
            <v>180.6654804270463</v>
          </cell>
          <cell r="AF108">
            <v>180.2021276595745</v>
          </cell>
          <cell r="AG108">
            <v>179.88620283018867</v>
          </cell>
          <cell r="AH108">
            <v>179.88620283018867</v>
          </cell>
          <cell r="AI108">
            <v>179.88620283018867</v>
          </cell>
          <cell r="AJ108">
            <v>179.88620283018867</v>
          </cell>
          <cell r="AK108">
            <v>179.88620283018867</v>
          </cell>
          <cell r="AL108">
            <v>179.88620283018867</v>
          </cell>
          <cell r="AN108" t="str">
            <v>Ave. Square Feet Per Store (000's)</v>
          </cell>
          <cell r="DL108">
            <v>196.10201660735473</v>
          </cell>
          <cell r="DN108">
            <v>189.54545454545453</v>
          </cell>
          <cell r="DO108" t="str">
            <v>NA</v>
          </cell>
          <cell r="DP108" t="str">
            <v>NA</v>
          </cell>
          <cell r="DQ108">
            <v>183.00653594771242</v>
          </cell>
          <cell r="DR108">
            <v>186.20689655172413</v>
          </cell>
          <cell r="DT108">
            <v>183.00874830158995</v>
          </cell>
          <cell r="DU108">
            <v>183.01203107237592</v>
          </cell>
          <cell r="DV108">
            <v>183.01740903020223</v>
          </cell>
          <cell r="DW108">
            <v>183.26425729442971</v>
          </cell>
          <cell r="DX108">
            <v>183.26039387308535</v>
          </cell>
          <cell r="DZ108">
            <v>183.51592374966816</v>
          </cell>
          <cell r="EA108">
            <v>183.5131432485658</v>
          </cell>
          <cell r="EB108">
            <v>183.50821409644939</v>
          </cell>
          <cell r="EC108">
            <v>183.25764649294061</v>
          </cell>
          <cell r="ED108">
            <v>183.26039387308535</v>
          </cell>
          <cell r="EF108">
            <v>183.00653594771242</v>
          </cell>
          <cell r="EG108">
            <v>183.00986576095744</v>
          </cell>
          <cell r="EH108">
            <v>183.00986576095744</v>
          </cell>
          <cell r="EI108">
            <v>182.24400871459696</v>
          </cell>
          <cell r="EJ108">
            <v>182.24400871459696</v>
          </cell>
          <cell r="EL108">
            <v>181.4814814814815</v>
          </cell>
          <cell r="EM108">
            <v>181.48270259699231</v>
          </cell>
          <cell r="EN108">
            <v>181.86520324397534</v>
          </cell>
          <cell r="EO108">
            <v>182.31800046517455</v>
          </cell>
          <cell r="EP108">
            <v>182.21552373775432</v>
          </cell>
          <cell r="ER108">
            <v>182.60497936611299</v>
          </cell>
          <cell r="ES108">
            <v>182.60721999801788</v>
          </cell>
          <cell r="ET108">
            <v>182.60797385140646</v>
          </cell>
          <cell r="EU108">
            <v>182.44598938476494</v>
          </cell>
          <cell r="EV108">
            <v>182.44495944380068</v>
          </cell>
          <cell r="EX108">
            <v>182.13073794305637</v>
          </cell>
          <cell r="EY108">
            <v>181.88296639629201</v>
          </cell>
          <cell r="EZ108">
            <v>181.84152689415848</v>
          </cell>
          <cell r="FA108">
            <v>181.88707799767172</v>
          </cell>
          <cell r="FB108">
            <v>181.97603740502629</v>
          </cell>
          <cell r="FD108">
            <v>182.03699354081033</v>
          </cell>
          <cell r="FE108">
            <v>182.09495896834702</v>
          </cell>
          <cell r="FF108">
            <v>181.78024547048506</v>
          </cell>
          <cell r="FG108">
            <v>181.74456840869053</v>
          </cell>
          <cell r="FH108">
            <v>181.79529411764705</v>
          </cell>
          <cell r="FJ108">
            <v>182.02595870206488</v>
          </cell>
          <cell r="FK108">
            <v>182.12617924528303</v>
          </cell>
          <cell r="FL108">
            <v>182.01175088131609</v>
          </cell>
          <cell r="FM108">
            <v>181.77288732394365</v>
          </cell>
          <cell r="FN108">
            <v>179.88620283018867</v>
          </cell>
          <cell r="FP108">
            <v>181.69805768098885</v>
          </cell>
          <cell r="FQ108">
            <v>181.74911660777386</v>
          </cell>
          <cell r="FR108">
            <v>181.42748091603053</v>
          </cell>
          <cell r="FS108">
            <v>181.27171361502349</v>
          </cell>
          <cell r="FT108">
            <v>0</v>
          </cell>
          <cell r="FV108">
            <v>181.48529411764707</v>
          </cell>
          <cell r="FW108">
            <v>181.66333137139495</v>
          </cell>
          <cell r="FX108">
            <v>181.62566215420836</v>
          </cell>
          <cell r="FY108">
            <v>181.1950354609929</v>
          </cell>
          <cell r="FZ108">
            <v>181.13179669030734</v>
          </cell>
          <cell r="GB108">
            <v>180.60260972716489</v>
          </cell>
          <cell r="GC108">
            <v>180.22616933096509</v>
          </cell>
          <cell r="GD108">
            <v>179.96926713947994</v>
          </cell>
          <cell r="GE108">
            <v>180.13483146067418</v>
          </cell>
          <cell r="GF108">
            <v>180.6654804270463</v>
          </cell>
        </row>
        <row r="109">
          <cell r="A109" t="str">
            <v>% Change</v>
          </cell>
          <cell r="N109" t="str">
            <v>NA</v>
          </cell>
          <cell r="O109">
            <v>-1.5515266548488005E-2</v>
          </cell>
          <cell r="P109">
            <v>-3.5940197324335621E-4</v>
          </cell>
          <cell r="Q109">
            <v>8.1637368657849763E-3</v>
          </cell>
          <cell r="R109">
            <v>1.7460452352981992E-3</v>
          </cell>
          <cell r="S109">
            <v>-3.9985743715859723E-2</v>
          </cell>
          <cell r="T109">
            <v>-5.045904283301228E-2</v>
          </cell>
          <cell r="U109">
            <v>-1.5823810681578676E-2</v>
          </cell>
          <cell r="V109">
            <v>0</v>
          </cell>
          <cell r="W109">
            <v>-5.5461255812441212E-3</v>
          </cell>
          <cell r="X109">
            <v>-1.5630130748078841E-4</v>
          </cell>
          <cell r="Y109">
            <v>1.2591446729675049E-3</v>
          </cell>
          <cell r="Z109">
            <v>-2.570210984200072E-3</v>
          </cell>
          <cell r="AA109">
            <v>-9.9322575629534615E-4</v>
          </cell>
          <cell r="AB109">
            <v>-5.0611938067213202E-5</v>
          </cell>
          <cell r="AC109">
            <v>-1.4864214743989246E-3</v>
          </cell>
          <cell r="AD109">
            <v>-2.1159892878521713E-3</v>
          </cell>
          <cell r="AE109">
            <v>-2.5744583324501802E-3</v>
          </cell>
          <cell r="AF109">
            <v>-2.5647000543577159E-3</v>
          </cell>
          <cell r="AG109">
            <v>-1.7531692521558506E-3</v>
          </cell>
          <cell r="AH109">
            <v>0</v>
          </cell>
          <cell r="AI109">
            <v>0</v>
          </cell>
          <cell r="AJ109">
            <v>0</v>
          </cell>
          <cell r="AK109">
            <v>0</v>
          </cell>
          <cell r="AL109">
            <v>0</v>
          </cell>
          <cell r="AN109" t="str">
            <v>% Change</v>
          </cell>
          <cell r="DL109">
            <v>-3.9985743715859723E-2</v>
          </cell>
          <cell r="DN109" t="str">
            <v>NA</v>
          </cell>
          <cell r="DO109" t="str">
            <v>NA</v>
          </cell>
          <cell r="DP109" t="str">
            <v>NA</v>
          </cell>
          <cell r="DQ109" t="str">
            <v>NA</v>
          </cell>
          <cell r="DR109">
            <v>-5.045904283301228E-2</v>
          </cell>
          <cell r="DT109">
            <v>-3.4486219991611722E-2</v>
          </cell>
          <cell r="DU109" t="str">
            <v>NA</v>
          </cell>
          <cell r="DV109" t="str">
            <v>NA</v>
          </cell>
          <cell r="DW109">
            <v>1.4082630731337975E-3</v>
          </cell>
          <cell r="DX109">
            <v>-1.5823810681578676E-2</v>
          </cell>
          <cell r="DZ109">
            <v>2.7713180532900061E-3</v>
          </cell>
          <cell r="EA109">
            <v>2.7381378877309182E-3</v>
          </cell>
          <cell r="EB109">
            <v>2.681739780100223E-3</v>
          </cell>
          <cell r="EC109">
            <v>-3.6072508555085037E-5</v>
          </cell>
          <cell r="ED109">
            <v>0</v>
          </cell>
          <cell r="EF109">
            <v>-2.7757144532623013E-3</v>
          </cell>
          <cell r="EG109">
            <v>-2.7424601785970282E-3</v>
          </cell>
          <cell r="EH109">
            <v>-2.7156731808747336E-3</v>
          </cell>
          <cell r="EI109">
            <v>-5.5312168291035135E-3</v>
          </cell>
          <cell r="EJ109">
            <v>-5.5461255812441212E-3</v>
          </cell>
          <cell r="EL109">
            <v>-8.3333333333333037E-3</v>
          </cell>
          <cell r="EM109">
            <v>-8.3447040279230889E-3</v>
          </cell>
          <cell r="EN109">
            <v>-6.2546492355620709E-3</v>
          </cell>
          <cell r="EO109">
            <v>4.0600374793919869E-4</v>
          </cell>
          <cell r="EP109">
            <v>-1.5630130748078841E-4</v>
          </cell>
          <cell r="ER109">
            <v>6.1907026296021961E-3</v>
          </cell>
          <cell r="ES109">
            <v>6.1962786807441272E-3</v>
          </cell>
          <cell r="ET109">
            <v>4.0841820985109134E-3</v>
          </cell>
          <cell r="EU109">
            <v>7.0200923257068837E-4</v>
          </cell>
          <cell r="EV109">
            <v>1.2591446729675049E-3</v>
          </cell>
          <cell r="EX109">
            <v>-2.5970892179548732E-3</v>
          </cell>
          <cell r="EY109">
            <v>-3.9661827266946892E-3</v>
          </cell>
          <cell r="EZ109">
            <v>-4.1972261182398052E-3</v>
          </cell>
          <cell r="FA109">
            <v>-3.0634347676150586E-3</v>
          </cell>
          <cell r="FB109">
            <v>-2.570210984200072E-3</v>
          </cell>
          <cell r="FD109">
            <v>-5.147093966937355E-4</v>
          </cell>
          <cell r="FE109">
            <v>1.1655438453379574E-3</v>
          </cell>
          <cell r="FF109">
            <v>-3.3700455952001551E-4</v>
          </cell>
          <cell r="FG109">
            <v>-7.8350584631980968E-4</v>
          </cell>
          <cell r="FH109">
            <v>-9.9322575629534615E-4</v>
          </cell>
          <cell r="FJ109">
            <v>-6.061866069528854E-5</v>
          </cell>
          <cell r="FK109">
            <v>1.7145052841049946E-4</v>
          </cell>
          <cell r="FL109">
            <v>1.2735454847243588E-3</v>
          </cell>
          <cell r="FM109">
            <v>1.5581712015433347E-4</v>
          </cell>
          <cell r="FN109">
            <v>-1.0501324012396784E-2</v>
          </cell>
          <cell r="FP109">
            <v>-1.8013970282817482E-3</v>
          </cell>
          <cell r="FQ109">
            <v>-2.070337384069032E-3</v>
          </cell>
          <cell r="FR109">
            <v>-3.2100672756373294E-3</v>
          </cell>
          <cell r="FS109">
            <v>-2.7571422575634053E-3</v>
          </cell>
          <cell r="FT109">
            <v>-1</v>
          </cell>
          <cell r="FV109">
            <v>-1.1709732402056527E-3</v>
          </cell>
          <cell r="FW109">
            <v>-4.7199809264575343E-4</v>
          </cell>
          <cell r="FX109">
            <v>1.0923440990151523E-3</v>
          </cell>
          <cell r="FY109">
            <v>-4.2300120907690086E-4</v>
          </cell>
          <cell r="FZ109" t="str">
            <v>NA</v>
          </cell>
          <cell r="GB109">
            <v>-4.8636689533091415E-3</v>
          </cell>
          <cell r="GC109">
            <v>-7.9111289525550799E-3</v>
          </cell>
          <cell r="GD109">
            <v>-9.1198291864839076E-3</v>
          </cell>
          <cell r="GE109">
            <v>-5.8511757655024255E-3</v>
          </cell>
          <cell r="GF109">
            <v>-2.5744583324501802E-3</v>
          </cell>
        </row>
        <row r="110">
          <cell r="A110" t="str">
            <v>Productivity Factor</v>
          </cell>
          <cell r="N110" t="str">
            <v>NA</v>
          </cell>
          <cell r="O110">
            <v>0.99020658295615083</v>
          </cell>
          <cell r="P110">
            <v>1.0238160014396207</v>
          </cell>
          <cell r="Q110">
            <v>0.97215995399387289</v>
          </cell>
          <cell r="R110">
            <v>1.0032277258841547</v>
          </cell>
          <cell r="S110">
            <v>0.99950875467894218</v>
          </cell>
          <cell r="T110">
            <v>0.99467282247112343</v>
          </cell>
          <cell r="U110">
            <v>1.0230408956015324</v>
          </cell>
          <cell r="V110">
            <v>0.99283260375178717</v>
          </cell>
          <cell r="W110">
            <v>1.0060621750760674</v>
          </cell>
          <cell r="X110">
            <v>0.73631472463543401</v>
          </cell>
          <cell r="Y110">
            <v>1.1692809442164345</v>
          </cell>
          <cell r="Z110">
            <v>0.99766929211669775</v>
          </cell>
          <cell r="AA110">
            <v>0.99616480017746767</v>
          </cell>
          <cell r="AB110">
            <v>1.011642907621854</v>
          </cell>
          <cell r="AC110">
            <v>1.0017002547102301</v>
          </cell>
          <cell r="AD110">
            <v>1.0152922484576603</v>
          </cell>
          <cell r="AE110">
            <v>1.0083583012001358</v>
          </cell>
          <cell r="AF110">
            <v>1</v>
          </cell>
          <cell r="AG110">
            <v>1</v>
          </cell>
          <cell r="AH110">
            <v>1</v>
          </cell>
          <cell r="AI110">
            <v>1</v>
          </cell>
          <cell r="AJ110">
            <v>1</v>
          </cell>
          <cell r="AK110">
            <v>1</v>
          </cell>
          <cell r="AL110">
            <v>1</v>
          </cell>
        </row>
        <row r="111">
          <cell r="BS111" t="str">
            <v>Q1P</v>
          </cell>
          <cell r="BT111" t="str">
            <v>Q2P</v>
          </cell>
          <cell r="BU111" t="str">
            <v>Q3P</v>
          </cell>
          <cell r="BV111" t="str">
            <v>Q4P</v>
          </cell>
          <cell r="BW111" t="str">
            <v>Year P</v>
          </cell>
          <cell r="BY111" t="str">
            <v>Q1E</v>
          </cell>
          <cell r="BZ111" t="str">
            <v>Q2E</v>
          </cell>
          <cell r="CA111" t="str">
            <v>Q3E</v>
          </cell>
          <cell r="CB111" t="str">
            <v>Q4E</v>
          </cell>
          <cell r="CF111" t="str">
            <v>Year</v>
          </cell>
          <cell r="CJ111" t="str">
            <v>Q1A</v>
          </cell>
          <cell r="CK111" t="str">
            <v>Q2A</v>
          </cell>
          <cell r="CL111" t="str">
            <v>Q3A</v>
          </cell>
          <cell r="CM111" t="str">
            <v>Q4A</v>
          </cell>
          <cell r="CN111" t="str">
            <v>Year</v>
          </cell>
          <cell r="CP111" t="str">
            <v>Q1A</v>
          </cell>
          <cell r="CQ111" t="str">
            <v>Q2A</v>
          </cell>
          <cell r="CR111" t="str">
            <v>Q3A</v>
          </cell>
          <cell r="CS111" t="str">
            <v>Q4A</v>
          </cell>
          <cell r="CT111" t="str">
            <v>Year</v>
          </cell>
          <cell r="CV111" t="str">
            <v>Q1</v>
          </cell>
          <cell r="CW111" t="str">
            <v>Q2</v>
          </cell>
          <cell r="CX111" t="str">
            <v>Q3</v>
          </cell>
          <cell r="CY111" t="str">
            <v>Q4</v>
          </cell>
          <cell r="CZ111" t="str">
            <v>Year</v>
          </cell>
          <cell r="DB111" t="str">
            <v>Q1</v>
          </cell>
          <cell r="DC111" t="str">
            <v>Q2</v>
          </cell>
          <cell r="DD111" t="str">
            <v>Q3</v>
          </cell>
          <cell r="DE111" t="str">
            <v>Q4</v>
          </cell>
          <cell r="DF111" t="str">
            <v>Year</v>
          </cell>
          <cell r="DH111" t="str">
            <v>Q1</v>
          </cell>
          <cell r="DI111" t="str">
            <v>Q2</v>
          </cell>
          <cell r="DJ111" t="str">
            <v>Q3</v>
          </cell>
          <cell r="DK111" t="str">
            <v>Q4</v>
          </cell>
          <cell r="DL111">
            <v>2000</v>
          </cell>
          <cell r="DN111" t="str">
            <v>Q1A</v>
          </cell>
          <cell r="DO111" t="str">
            <v>Q2A</v>
          </cell>
          <cell r="DP111" t="str">
            <v>Q3A</v>
          </cell>
          <cell r="DQ111" t="str">
            <v>Q4A</v>
          </cell>
          <cell r="DR111">
            <v>2001</v>
          </cell>
          <cell r="DT111" t="str">
            <v>Q1A</v>
          </cell>
          <cell r="DU111" t="str">
            <v>Q2A</v>
          </cell>
          <cell r="DV111" t="str">
            <v>Q3A</v>
          </cell>
          <cell r="DW111" t="str">
            <v>Q4A</v>
          </cell>
          <cell r="DX111">
            <v>2002</v>
          </cell>
          <cell r="DZ111" t="str">
            <v>Q1A</v>
          </cell>
          <cell r="EA111" t="str">
            <v>Q2A</v>
          </cell>
          <cell r="EB111" t="str">
            <v>Q3A</v>
          </cell>
          <cell r="EC111" t="str">
            <v>Q4A</v>
          </cell>
          <cell r="ED111">
            <v>2003</v>
          </cell>
          <cell r="EF111" t="str">
            <v>Q1A</v>
          </cell>
          <cell r="EG111" t="str">
            <v>Q2A</v>
          </cell>
          <cell r="EH111" t="str">
            <v>Q3A</v>
          </cell>
          <cell r="EI111" t="str">
            <v>Q4A</v>
          </cell>
          <cell r="EJ111">
            <v>2004</v>
          </cell>
          <cell r="EL111" t="str">
            <v>Q1A</v>
          </cell>
          <cell r="EM111" t="str">
            <v>Q2A</v>
          </cell>
          <cell r="EN111" t="str">
            <v>Q3A</v>
          </cell>
          <cell r="EO111" t="str">
            <v>Q4A</v>
          </cell>
          <cell r="EP111">
            <v>2005</v>
          </cell>
          <cell r="ER111" t="str">
            <v>Q1A</v>
          </cell>
          <cell r="ES111" t="str">
            <v>Q2A</v>
          </cell>
          <cell r="ET111" t="str">
            <v>Q3A</v>
          </cell>
          <cell r="EU111" t="str">
            <v>Q4A</v>
          </cell>
          <cell r="EV111">
            <v>2006</v>
          </cell>
          <cell r="EX111">
            <v>1</v>
          </cell>
          <cell r="EY111">
            <v>2</v>
          </cell>
          <cell r="EZ111">
            <v>3</v>
          </cell>
          <cell r="FA111">
            <v>4</v>
          </cell>
          <cell r="FB111" t="str">
            <v>Year</v>
          </cell>
          <cell r="FD111">
            <v>1</v>
          </cell>
          <cell r="FE111">
            <v>2</v>
          </cell>
          <cell r="FF111">
            <v>3</v>
          </cell>
          <cell r="FG111">
            <v>4</v>
          </cell>
          <cell r="FH111" t="str">
            <v>Year</v>
          </cell>
          <cell r="FJ111">
            <v>1</v>
          </cell>
          <cell r="FK111">
            <v>2</v>
          </cell>
          <cell r="FL111">
            <v>3</v>
          </cell>
          <cell r="FM111">
            <v>4</v>
          </cell>
          <cell r="FN111" t="str">
            <v>Year</v>
          </cell>
          <cell r="FP111">
            <v>1</v>
          </cell>
          <cell r="FQ111">
            <v>2</v>
          </cell>
          <cell r="FR111">
            <v>3</v>
          </cell>
          <cell r="FS111">
            <v>4</v>
          </cell>
          <cell r="FT111" t="str">
            <v>Year</v>
          </cell>
          <cell r="FV111">
            <v>1</v>
          </cell>
          <cell r="FW111">
            <v>2</v>
          </cell>
          <cell r="FX111">
            <v>3</v>
          </cell>
          <cell r="FY111">
            <v>4</v>
          </cell>
          <cell r="FZ111" t="str">
            <v>Year</v>
          </cell>
          <cell r="GB111">
            <v>1</v>
          </cell>
          <cell r="GC111">
            <v>2</v>
          </cell>
          <cell r="GD111">
            <v>3</v>
          </cell>
          <cell r="GE111">
            <v>4</v>
          </cell>
          <cell r="GF111" t="str">
            <v>Year</v>
          </cell>
        </row>
        <row r="112">
          <cell r="A112" t="str">
            <v>Consolidated Stores Monthly Sales ($)</v>
          </cell>
          <cell r="AN112" t="str">
            <v>Consolidated Stores Monthly Sales ($)</v>
          </cell>
          <cell r="EU112">
            <v>356</v>
          </cell>
        </row>
        <row r="113">
          <cell r="A113" t="str">
            <v>Month 1</v>
          </cell>
          <cell r="AN113" t="str">
            <v>Month 1</v>
          </cell>
          <cell r="BS113">
            <v>876.8</v>
          </cell>
          <cell r="BT113">
            <v>954.9</v>
          </cell>
          <cell r="BU113">
            <v>1050.0999999999999</v>
          </cell>
          <cell r="BV113">
            <v>1322.7</v>
          </cell>
          <cell r="BY113">
            <v>912</v>
          </cell>
          <cell r="BZ113">
            <v>1021.7430000000001</v>
          </cell>
          <cell r="CA113">
            <v>1059.5508999999997</v>
          </cell>
          <cell r="CB113">
            <v>1354.4448</v>
          </cell>
          <cell r="CJ113">
            <v>1033.0999999999999</v>
          </cell>
          <cell r="CK113">
            <v>1111.8</v>
          </cell>
          <cell r="CL113">
            <v>1121.3</v>
          </cell>
          <cell r="CM113">
            <v>1550.7</v>
          </cell>
          <cell r="CP113">
            <v>1058.4000000000001</v>
          </cell>
          <cell r="CQ113">
            <v>1147</v>
          </cell>
          <cell r="CR113">
            <v>1168.5</v>
          </cell>
          <cell r="CS113">
            <v>1563.5</v>
          </cell>
          <cell r="CV113">
            <v>1058.4000000000001</v>
          </cell>
          <cell r="CW113">
            <v>1155.5</v>
          </cell>
          <cell r="CX113">
            <v>1127.6025</v>
          </cell>
          <cell r="CY113">
            <v>1539</v>
          </cell>
          <cell r="DB113">
            <v>1025</v>
          </cell>
          <cell r="DC113">
            <v>1147</v>
          </cell>
          <cell r="DD113">
            <v>1119</v>
          </cell>
          <cell r="DE113">
            <v>1499</v>
          </cell>
          <cell r="DN113">
            <v>1081</v>
          </cell>
          <cell r="DO113">
            <v>1161</v>
          </cell>
          <cell r="DP113">
            <v>1130</v>
          </cell>
          <cell r="DQ113">
            <v>1565</v>
          </cell>
          <cell r="DT113">
            <v>1048</v>
          </cell>
          <cell r="DU113">
            <v>1150</v>
          </cell>
          <cell r="DV113">
            <v>1086</v>
          </cell>
          <cell r="DW113">
            <v>1473</v>
          </cell>
          <cell r="DZ113">
            <v>985</v>
          </cell>
          <cell r="EA113">
            <v>1137</v>
          </cell>
          <cell r="EB113">
            <v>1078</v>
          </cell>
          <cell r="EC113">
            <v>1460</v>
          </cell>
          <cell r="EF113">
            <v>1080</v>
          </cell>
          <cell r="EG113">
            <v>1182</v>
          </cell>
          <cell r="EH113">
            <v>1056</v>
          </cell>
          <cell r="EI113">
            <v>1446</v>
          </cell>
          <cell r="EL113">
            <v>1097</v>
          </cell>
          <cell r="EM113">
            <v>1189</v>
          </cell>
          <cell r="EN113">
            <v>1068</v>
          </cell>
          <cell r="EO113">
            <v>2617</v>
          </cell>
          <cell r="ER113">
            <v>1800</v>
          </cell>
          <cell r="ES113">
            <v>2026</v>
          </cell>
          <cell r="ET113">
            <v>1727</v>
          </cell>
          <cell r="EU113">
            <v>2385</v>
          </cell>
          <cell r="EX113">
            <v>1802</v>
          </cell>
          <cell r="EY113">
            <v>1976</v>
          </cell>
          <cell r="EZ113">
            <v>1788</v>
          </cell>
          <cell r="FA113">
            <v>2707</v>
          </cell>
          <cell r="FD113">
            <v>1737</v>
          </cell>
          <cell r="FE113">
            <v>1926</v>
          </cell>
          <cell r="FF113">
            <v>1686</v>
          </cell>
          <cell r="FG113">
            <v>2324</v>
          </cell>
          <cell r="FJ113">
            <v>1602.5975291456411</v>
          </cell>
          <cell r="FK113">
            <v>1783.7565582371458</v>
          </cell>
          <cell r="FL113">
            <v>1576.1490988530857</v>
          </cell>
          <cell r="FM113">
            <v>2202.7766574237457</v>
          </cell>
          <cell r="FP113">
            <v>1667</v>
          </cell>
          <cell r="FQ113">
            <v>1789</v>
          </cell>
          <cell r="FR113">
            <v>1638</v>
          </cell>
          <cell r="FS113">
            <v>2341</v>
          </cell>
          <cell r="FV113">
            <v>1763</v>
          </cell>
          <cell r="FW113">
            <v>1937</v>
          </cell>
          <cell r="FX113">
            <v>1714</v>
          </cell>
          <cell r="FY113">
            <v>2465</v>
          </cell>
          <cell r="GB113">
            <v>1860</v>
          </cell>
          <cell r="GC113">
            <v>2015</v>
          </cell>
          <cell r="GD113">
            <v>1812</v>
          </cell>
          <cell r="GE113">
            <v>2539.5720461726355</v>
          </cell>
        </row>
        <row r="114">
          <cell r="A114" t="str">
            <v>Month 2</v>
          </cell>
          <cell r="AN114" t="str">
            <v>Month 2</v>
          </cell>
          <cell r="BS114">
            <v>1162.8</v>
          </cell>
          <cell r="BT114">
            <v>1162.4000000000001</v>
          </cell>
          <cell r="BU114">
            <v>1281.9000000000001</v>
          </cell>
          <cell r="BV114">
            <v>2551.6999999999998</v>
          </cell>
          <cell r="BY114">
            <v>1133.73</v>
          </cell>
          <cell r="BZ114">
            <v>1218.1952000000001</v>
          </cell>
          <cell r="CA114">
            <v>1344.7130999999999</v>
          </cell>
          <cell r="CB114">
            <v>2584.8720999999996</v>
          </cell>
          <cell r="CJ114">
            <v>1277.0999999999999</v>
          </cell>
          <cell r="CK114">
            <v>1278.2</v>
          </cell>
          <cell r="CL114">
            <v>1397.4</v>
          </cell>
          <cell r="CM114">
            <v>2742.6</v>
          </cell>
          <cell r="CP114">
            <v>1289.2</v>
          </cell>
          <cell r="CQ114">
            <v>1328</v>
          </cell>
          <cell r="CR114">
            <v>1446.2</v>
          </cell>
          <cell r="CS114">
            <v>2748.7</v>
          </cell>
          <cell r="CV114">
            <v>1288</v>
          </cell>
          <cell r="CW114">
            <v>1358.5</v>
          </cell>
          <cell r="CX114">
            <v>1417.2760000000001</v>
          </cell>
          <cell r="CY114">
            <v>2869.0930599999992</v>
          </cell>
          <cell r="DB114">
            <v>1343</v>
          </cell>
          <cell r="DC114">
            <v>1407</v>
          </cell>
          <cell r="DD114">
            <v>1423</v>
          </cell>
          <cell r="DE114">
            <v>2916</v>
          </cell>
          <cell r="DN114">
            <v>1317</v>
          </cell>
          <cell r="DO114">
            <v>1326</v>
          </cell>
          <cell r="DP114">
            <v>1289</v>
          </cell>
          <cell r="DQ114">
            <v>2795</v>
          </cell>
          <cell r="DT114">
            <v>1311</v>
          </cell>
          <cell r="DU114">
            <v>1367</v>
          </cell>
          <cell r="DV114">
            <v>1315</v>
          </cell>
          <cell r="DW114">
            <v>2772</v>
          </cell>
          <cell r="DZ114">
            <v>1233</v>
          </cell>
          <cell r="EA114">
            <v>1337</v>
          </cell>
          <cell r="EB114">
            <v>1352</v>
          </cell>
          <cell r="EC114">
            <v>2782</v>
          </cell>
          <cell r="EF114">
            <v>1326</v>
          </cell>
          <cell r="EG114">
            <v>1394</v>
          </cell>
          <cell r="EH114">
            <v>1361</v>
          </cell>
          <cell r="EI114">
            <v>2856</v>
          </cell>
          <cell r="EL114">
            <v>1371</v>
          </cell>
          <cell r="EM114">
            <v>1436</v>
          </cell>
          <cell r="EN114">
            <v>2464</v>
          </cell>
          <cell r="EO114">
            <v>5459</v>
          </cell>
          <cell r="ER114">
            <v>2255</v>
          </cell>
          <cell r="ES114">
            <v>2367</v>
          </cell>
          <cell r="ET114">
            <v>2303</v>
          </cell>
          <cell r="EU114">
            <v>4997</v>
          </cell>
          <cell r="EX114">
            <v>2288</v>
          </cell>
          <cell r="EY114">
            <v>2321</v>
          </cell>
          <cell r="EZ114">
            <v>2274</v>
          </cell>
          <cell r="FA114">
            <v>4624</v>
          </cell>
          <cell r="FD114">
            <v>2142</v>
          </cell>
          <cell r="FE114">
            <v>2249</v>
          </cell>
          <cell r="FF114">
            <v>2093</v>
          </cell>
          <cell r="FG114">
            <v>4397</v>
          </cell>
          <cell r="FJ114">
            <v>1963.7990255785628</v>
          </cell>
          <cell r="FK114">
            <v>2092.5916404337181</v>
          </cell>
          <cell r="FL114">
            <v>2084.1512834516657</v>
          </cell>
          <cell r="FM114">
            <v>4474.7693471136881</v>
          </cell>
          <cell r="FP114">
            <v>2172</v>
          </cell>
          <cell r="FQ114">
            <v>2229</v>
          </cell>
          <cell r="FR114">
            <v>2181</v>
          </cell>
          <cell r="FS114">
            <v>4619</v>
          </cell>
          <cell r="FV114">
            <v>2206</v>
          </cell>
          <cell r="FW114">
            <v>2392</v>
          </cell>
          <cell r="FX114">
            <v>2298</v>
          </cell>
          <cell r="FY114">
            <v>4925</v>
          </cell>
          <cell r="GB114">
            <v>2358</v>
          </cell>
          <cell r="GC114">
            <v>2412</v>
          </cell>
          <cell r="GD114">
            <v>2339.3160690399509</v>
          </cell>
          <cell r="GE114">
            <v>5073.9928305883286</v>
          </cell>
        </row>
        <row r="115">
          <cell r="A115" t="str">
            <v>Month 3</v>
          </cell>
          <cell r="AN115" t="str">
            <v>Month 3</v>
          </cell>
          <cell r="BS115">
            <v>898.4</v>
          </cell>
          <cell r="BT115">
            <v>813.5</v>
          </cell>
          <cell r="BU115">
            <v>1020.6</v>
          </cell>
          <cell r="BV115">
            <v>605.70000000000005</v>
          </cell>
          <cell r="CJ115">
            <v>990.5</v>
          </cell>
          <cell r="CK115">
            <v>894.2</v>
          </cell>
          <cell r="CL115">
            <v>1090.4000000000001</v>
          </cell>
          <cell r="CM115">
            <v>742.1</v>
          </cell>
          <cell r="CP115">
            <v>1061</v>
          </cell>
          <cell r="CQ115">
            <v>977.8</v>
          </cell>
          <cell r="CR115">
            <v>1131.4000000000001</v>
          </cell>
          <cell r="CS115">
            <v>749.2</v>
          </cell>
          <cell r="CV115">
            <v>1111</v>
          </cell>
          <cell r="CW115">
            <v>1010.5</v>
          </cell>
          <cell r="CX115">
            <v>1101.0784800000001</v>
          </cell>
          <cell r="CY115">
            <v>800</v>
          </cell>
          <cell r="DB115">
            <v>1077</v>
          </cell>
          <cell r="DC115">
            <v>1015</v>
          </cell>
          <cell r="DD115">
            <v>1105</v>
          </cell>
          <cell r="DE115">
            <v>783</v>
          </cell>
          <cell r="DN115">
            <v>1162</v>
          </cell>
          <cell r="DO115">
            <v>1005</v>
          </cell>
          <cell r="DP115">
            <v>1058</v>
          </cell>
          <cell r="DQ115">
            <v>774</v>
          </cell>
          <cell r="DT115">
            <v>1097</v>
          </cell>
          <cell r="DU115">
            <v>970</v>
          </cell>
          <cell r="DV115">
            <v>1083</v>
          </cell>
          <cell r="DW115">
            <v>775</v>
          </cell>
          <cell r="DZ115">
            <v>1076</v>
          </cell>
          <cell r="EA115">
            <v>963</v>
          </cell>
          <cell r="EB115">
            <v>1058</v>
          </cell>
          <cell r="EC115">
            <v>814</v>
          </cell>
          <cell r="EF115">
            <v>1144</v>
          </cell>
          <cell r="EG115">
            <v>1005</v>
          </cell>
          <cell r="EH115">
            <v>1108</v>
          </cell>
          <cell r="EI115">
            <v>818</v>
          </cell>
          <cell r="EL115">
            <v>1173</v>
          </cell>
          <cell r="EM115">
            <v>998</v>
          </cell>
          <cell r="EN115">
            <v>2023</v>
          </cell>
          <cell r="EO115">
            <v>1495</v>
          </cell>
          <cell r="ER115">
            <v>1878</v>
          </cell>
          <cell r="ES115">
            <v>1608</v>
          </cell>
          <cell r="ET115">
            <v>1863</v>
          </cell>
          <cell r="EU115">
            <v>1780</v>
          </cell>
          <cell r="EX115">
            <v>1837</v>
          </cell>
          <cell r="EY115">
            <v>1602</v>
          </cell>
          <cell r="EZ115">
            <v>1849</v>
          </cell>
          <cell r="FA115">
            <v>1273</v>
          </cell>
          <cell r="FD115">
            <v>1868</v>
          </cell>
          <cell r="FE115">
            <v>1543</v>
          </cell>
          <cell r="FF115">
            <v>1714</v>
          </cell>
          <cell r="FG115">
            <v>1213</v>
          </cell>
          <cell r="FJ115">
            <v>1720.603445275796</v>
          </cell>
          <cell r="FK115">
            <v>1409.6518013291361</v>
          </cell>
          <cell r="FL115">
            <v>1725.6996176952484</v>
          </cell>
          <cell r="FM115">
            <v>1268.4539954625661</v>
          </cell>
          <cell r="FP115">
            <v>1739</v>
          </cell>
          <cell r="FQ115">
            <v>1528</v>
          </cell>
          <cell r="FR115">
            <v>1806</v>
          </cell>
          <cell r="FS115">
            <v>1310</v>
          </cell>
          <cell r="FV115">
            <v>1920</v>
          </cell>
          <cell r="FW115">
            <v>1612</v>
          </cell>
          <cell r="FX115">
            <v>1842</v>
          </cell>
          <cell r="FY115">
            <v>1336</v>
          </cell>
          <cell r="GB115">
            <v>1928</v>
          </cell>
          <cell r="GC115">
            <v>1693</v>
          </cell>
          <cell r="GD115">
            <v>1918.3705778953104</v>
          </cell>
          <cell r="GE115">
            <v>1753.5690816688336</v>
          </cell>
        </row>
        <row r="116">
          <cell r="A116" t="str">
            <v>Total</v>
          </cell>
          <cell r="AN116" t="str">
            <v>Total</v>
          </cell>
          <cell r="BS116">
            <v>2938</v>
          </cell>
          <cell r="BT116">
            <v>2930.8</v>
          </cell>
          <cell r="BU116">
            <v>3352.6</v>
          </cell>
          <cell r="BV116">
            <v>4480.0999999999995</v>
          </cell>
          <cell r="BW116">
            <v>13701.5</v>
          </cell>
          <cell r="CJ116">
            <v>3300.7</v>
          </cell>
          <cell r="CK116">
            <v>3284.2</v>
          </cell>
          <cell r="CL116">
            <v>3609.1</v>
          </cell>
          <cell r="CM116">
            <v>5035.4000000000005</v>
          </cell>
          <cell r="CN116">
            <v>15229.400000000001</v>
          </cell>
          <cell r="CP116">
            <v>3408.6000000000004</v>
          </cell>
          <cell r="CQ116">
            <v>3452.8</v>
          </cell>
          <cell r="CR116">
            <v>3746.1</v>
          </cell>
          <cell r="CS116">
            <v>5061.3999999999996</v>
          </cell>
          <cell r="CT116">
            <v>15668.9</v>
          </cell>
          <cell r="CV116">
            <v>3357</v>
          </cell>
          <cell r="CW116">
            <v>3524.5</v>
          </cell>
          <cell r="CX116">
            <v>3645.9569799999999</v>
          </cell>
          <cell r="CY116">
            <v>5208.0930599999992</v>
          </cell>
          <cell r="CZ116">
            <v>15735.550039999998</v>
          </cell>
          <cell r="DB116">
            <v>3470</v>
          </cell>
          <cell r="DC116">
            <v>3609</v>
          </cell>
          <cell r="DD116">
            <v>3691</v>
          </cell>
          <cell r="DE116">
            <v>5259</v>
          </cell>
          <cell r="DF116">
            <v>16029</v>
          </cell>
          <cell r="DH116">
            <v>3573</v>
          </cell>
          <cell r="DI116">
            <v>3679</v>
          </cell>
          <cell r="DJ116">
            <v>3782</v>
          </cell>
          <cell r="DK116">
            <v>5604</v>
          </cell>
          <cell r="DL116">
            <v>16638</v>
          </cell>
          <cell r="DN116">
            <v>3556</v>
          </cell>
          <cell r="DO116">
            <v>3488</v>
          </cell>
          <cell r="DP116">
            <v>3475</v>
          </cell>
          <cell r="DQ116">
            <v>5132</v>
          </cell>
          <cell r="DR116">
            <v>15785</v>
          </cell>
          <cell r="DT116">
            <v>3453</v>
          </cell>
          <cell r="DU116">
            <v>3486</v>
          </cell>
          <cell r="DV116">
            <v>3479</v>
          </cell>
          <cell r="DW116">
            <v>5017</v>
          </cell>
          <cell r="DX116">
            <v>15571</v>
          </cell>
          <cell r="DZ116">
            <v>3291</v>
          </cell>
          <cell r="EA116">
            <v>3434</v>
          </cell>
          <cell r="EB116">
            <v>3486</v>
          </cell>
          <cell r="EC116">
            <v>5053</v>
          </cell>
          <cell r="ED116">
            <v>15412</v>
          </cell>
          <cell r="EF116">
            <v>3550</v>
          </cell>
          <cell r="EG116">
            <v>3581</v>
          </cell>
          <cell r="EH116">
            <v>3525</v>
          </cell>
          <cell r="EI116">
            <v>5120</v>
          </cell>
          <cell r="EJ116">
            <v>15776</v>
          </cell>
          <cell r="EL116">
            <v>3641</v>
          </cell>
          <cell r="EM116">
            <v>3623</v>
          </cell>
          <cell r="EN116">
            <v>5555</v>
          </cell>
          <cell r="EO116">
            <v>9571</v>
          </cell>
          <cell r="EP116">
            <v>22390</v>
          </cell>
          <cell r="ER116">
            <v>5930</v>
          </cell>
          <cell r="ES116">
            <v>5995</v>
          </cell>
          <cell r="ET116">
            <v>5886</v>
          </cell>
          <cell r="EU116">
            <v>9159</v>
          </cell>
          <cell r="EV116">
            <v>26970</v>
          </cell>
          <cell r="EX116">
            <v>5921</v>
          </cell>
          <cell r="EY116">
            <v>5892</v>
          </cell>
          <cell r="EZ116">
            <v>5906</v>
          </cell>
          <cell r="FA116">
            <v>8594</v>
          </cell>
          <cell r="FB116">
            <v>26313</v>
          </cell>
          <cell r="FD116">
            <v>5747</v>
          </cell>
          <cell r="FE116">
            <v>5718</v>
          </cell>
          <cell r="FF116">
            <v>5493</v>
          </cell>
          <cell r="FG116">
            <v>7934</v>
          </cell>
          <cell r="FH116">
            <v>24892</v>
          </cell>
          <cell r="FJ116">
            <v>5288</v>
          </cell>
          <cell r="FK116">
            <v>5285</v>
          </cell>
          <cell r="FL116">
            <v>5385</v>
          </cell>
          <cell r="FM116">
            <v>7937</v>
          </cell>
          <cell r="FN116">
            <v>23895</v>
          </cell>
          <cell r="FP116">
            <v>5574</v>
          </cell>
          <cell r="FQ116">
            <v>5537</v>
          </cell>
          <cell r="FR116">
            <v>5623</v>
          </cell>
          <cell r="FS116">
            <v>8269</v>
          </cell>
          <cell r="FT116">
            <v>25003</v>
          </cell>
          <cell r="FV116">
            <v>5889</v>
          </cell>
          <cell r="FW116">
            <v>5939</v>
          </cell>
          <cell r="FX116">
            <v>5853</v>
          </cell>
          <cell r="FY116">
            <v>8724</v>
          </cell>
          <cell r="FZ116">
            <v>26405</v>
          </cell>
          <cell r="GB116">
            <v>6143</v>
          </cell>
          <cell r="GC116">
            <v>6118</v>
          </cell>
          <cell r="GD116">
            <v>6069.6866469352608</v>
          </cell>
          <cell r="GE116">
            <v>9367.1339584297966</v>
          </cell>
          <cell r="GF116">
            <v>27697.820605365057</v>
          </cell>
        </row>
        <row r="117">
          <cell r="FJ117">
            <v>1255</v>
          </cell>
          <cell r="FK117">
            <v>4426</v>
          </cell>
          <cell r="FL117">
            <v>2177</v>
          </cell>
          <cell r="FM117">
            <v>7849</v>
          </cell>
        </row>
        <row r="118">
          <cell r="A118" t="str">
            <v>Consolidated Monthly Comps</v>
          </cell>
          <cell r="AN118" t="str">
            <v>Consolidated Monthly Comps</v>
          </cell>
        </row>
        <row r="119">
          <cell r="A119" t="str">
            <v>Month 1</v>
          </cell>
          <cell r="AN119" t="str">
            <v>Month 1</v>
          </cell>
          <cell r="BS119">
            <v>3.9E-2</v>
          </cell>
          <cell r="BT119">
            <v>8.9999999999999993E-3</v>
          </cell>
          <cell r="BU119">
            <v>4.7E-2</v>
          </cell>
          <cell r="BV119">
            <v>4.2999999999999997E-2</v>
          </cell>
          <cell r="BY119">
            <v>3.1E-2</v>
          </cell>
          <cell r="BZ119">
            <v>7.0000000000000007E-2</v>
          </cell>
          <cell r="CA119">
            <v>8.9999999999999993E-3</v>
          </cell>
          <cell r="CB119">
            <v>2.4E-2</v>
          </cell>
          <cell r="CJ119">
            <v>0.09</v>
          </cell>
          <cell r="CK119">
            <v>2.1000000000000001E-2</v>
          </cell>
          <cell r="CL119">
            <v>2.5000000000000001E-2</v>
          </cell>
          <cell r="CM119">
            <v>9.6000000000000002E-2</v>
          </cell>
          <cell r="CP119">
            <v>2.1999999999999999E-2</v>
          </cell>
          <cell r="CQ119">
            <v>2.5000000000000001E-2</v>
          </cell>
          <cell r="CR119">
            <v>3.5000000000000003E-2</v>
          </cell>
          <cell r="CS119">
            <v>0.02</v>
          </cell>
          <cell r="CV119">
            <v>1.4999999999999999E-2</v>
          </cell>
          <cell r="CW119">
            <v>1.7999999999999999E-2</v>
          </cell>
          <cell r="CX119">
            <v>-1.2999999999999999E-2</v>
          </cell>
          <cell r="CY119">
            <v>-2E-3</v>
          </cell>
          <cell r="DB119">
            <v>0.01</v>
          </cell>
          <cell r="DC119">
            <v>4.1000000000000002E-2</v>
          </cell>
          <cell r="DD119">
            <v>2.9000000000000001E-2</v>
          </cell>
          <cell r="DE119">
            <v>1.0999999999999999E-2</v>
          </cell>
          <cell r="DH119">
            <v>5.2999999999999999E-2</v>
          </cell>
          <cell r="DI119">
            <v>4.2000000000000003E-2</v>
          </cell>
          <cell r="DJ119">
            <v>1.0999999999999999E-2</v>
          </cell>
          <cell r="DK119">
            <v>1.4E-2</v>
          </cell>
          <cell r="DN119">
            <v>-1.6E-2</v>
          </cell>
          <cell r="DO119">
            <v>-3.3000000000000002E-2</v>
          </cell>
          <cell r="DP119">
            <v>-2.5999999999999999E-2</v>
          </cell>
          <cell r="DQ119">
            <v>8.9999999999999993E-3</v>
          </cell>
          <cell r="DT119">
            <v>-2.8000000000000001E-2</v>
          </cell>
          <cell r="DU119">
            <v>-3.4000000000000002E-2</v>
          </cell>
          <cell r="DV119">
            <v>-5.8000000000000003E-2</v>
          </cell>
          <cell r="DW119">
            <v>-7.3999999999999996E-2</v>
          </cell>
          <cell r="DZ119">
            <v>-6.8000000000000005E-2</v>
          </cell>
          <cell r="EA119">
            <v>-8.0000000000000002E-3</v>
          </cell>
          <cell r="EB119">
            <v>-8.0000000000000002E-3</v>
          </cell>
          <cell r="EC119">
            <v>-1E-3</v>
          </cell>
          <cell r="EF119">
            <v>0.09</v>
          </cell>
          <cell r="EG119">
            <v>2.9000000000000001E-2</v>
          </cell>
          <cell r="EH119">
            <v>-2.4E-2</v>
          </cell>
          <cell r="EI119">
            <v>-1.4E-2</v>
          </cell>
          <cell r="EL119">
            <v>1.7999999999999999E-2</v>
          </cell>
          <cell r="EM119">
            <v>8.0000000000000002E-3</v>
          </cell>
          <cell r="EN119">
            <v>1.0999999999999999E-2</v>
          </cell>
          <cell r="EO119">
            <v>-3.4000000000000002E-2</v>
          </cell>
          <cell r="ER119">
            <v>0.01</v>
          </cell>
          <cell r="ES119">
            <v>9.1999999999999998E-2</v>
          </cell>
          <cell r="ET119">
            <v>3.7999999999999999E-2</v>
          </cell>
          <cell r="EU119">
            <v>8.5000000000000006E-2</v>
          </cell>
          <cell r="EX119">
            <v>1.2E-2</v>
          </cell>
          <cell r="EY119">
            <v>-3.3000000000000002E-2</v>
          </cell>
          <cell r="EZ119">
            <v>2.4E-2</v>
          </cell>
          <cell r="FA119">
            <v>0.13400000000000001</v>
          </cell>
          <cell r="FD119">
            <v>-3.5000000000000003E-2</v>
          </cell>
          <cell r="FE119">
            <v>-1.4999999999999999E-2</v>
          </cell>
          <cell r="FF119">
            <v>-4.8000000000000001E-2</v>
          </cell>
          <cell r="FG119">
            <v>-0.13300000000000001</v>
          </cell>
          <cell r="FJ119">
            <v>-8.5000000000000006E-2</v>
          </cell>
          <cell r="FK119">
            <v>-9.0999999999999998E-2</v>
          </cell>
          <cell r="FL119">
            <v>-8.1000000000000003E-2</v>
          </cell>
          <cell r="FM119">
            <v>-6.0999999999999999E-2</v>
          </cell>
          <cell r="FP119">
            <v>3.6999999999999998E-2</v>
          </cell>
          <cell r="FQ119">
            <v>1.4E-2</v>
          </cell>
          <cell r="FR119">
            <v>4.2999999999999997E-2</v>
          </cell>
          <cell r="FS119">
            <v>6.0999999999999999E-2</v>
          </cell>
          <cell r="FV119">
            <v>5.8000000000000003E-2</v>
          </cell>
          <cell r="FW119">
            <v>7.3999999999999996E-2</v>
          </cell>
          <cell r="FX119">
            <v>0.05</v>
          </cell>
          <cell r="FY119">
            <v>4.8000000000000001E-2</v>
          </cell>
          <cell r="GB119">
            <v>4.5999999999999999E-2</v>
          </cell>
          <cell r="GC119">
            <v>4.2000000000000003E-2</v>
          </cell>
          <cell r="GD119">
            <v>5.0999999999999997E-2</v>
          </cell>
          <cell r="GE119">
            <v>0.04</v>
          </cell>
        </row>
        <row r="120">
          <cell r="A120" t="str">
            <v>Month 2</v>
          </cell>
          <cell r="AN120" t="str">
            <v>Month 2</v>
          </cell>
          <cell r="BS120">
            <v>0.08</v>
          </cell>
          <cell r="BT120">
            <v>1.9E-2</v>
          </cell>
          <cell r="BU120">
            <v>3.7999999999999999E-2</v>
          </cell>
          <cell r="BV120">
            <v>2.1000000000000001E-2</v>
          </cell>
          <cell r="BY120">
            <v>-2.5000000000000001E-2</v>
          </cell>
          <cell r="BZ120">
            <v>4.8000000000000001E-2</v>
          </cell>
          <cell r="CA120">
            <v>4.9000000000000002E-2</v>
          </cell>
          <cell r="CB120">
            <v>1.2999999999999999E-2</v>
          </cell>
          <cell r="CJ120">
            <v>6.0999999999999999E-2</v>
          </cell>
          <cell r="CK120">
            <v>1.4999999999999999E-2</v>
          </cell>
          <cell r="CL120">
            <v>8.0000000000000002E-3</v>
          </cell>
          <cell r="CM120">
            <v>0</v>
          </cell>
          <cell r="CP120">
            <v>-2E-3</v>
          </cell>
          <cell r="CQ120">
            <v>3.2000000000000001E-2</v>
          </cell>
          <cell r="CR120">
            <v>2.7E-2</v>
          </cell>
          <cell r="CS120">
            <v>0.01</v>
          </cell>
          <cell r="CV120">
            <v>8.9999999999999993E-3</v>
          </cell>
          <cell r="CW120">
            <v>3.4000000000000002E-2</v>
          </cell>
          <cell r="CX120">
            <v>-7.0000000000000001E-3</v>
          </cell>
          <cell r="CY120">
            <v>5.7000000000000002E-2</v>
          </cell>
          <cell r="DB120">
            <v>0.09</v>
          </cell>
          <cell r="DC120">
            <v>8.4000000000000005E-2</v>
          </cell>
          <cell r="DD120">
            <v>3.6999999999999998E-2</v>
          </cell>
          <cell r="DE120">
            <v>6.4000000000000001E-2</v>
          </cell>
          <cell r="DH120">
            <v>-6.0000000000000001E-3</v>
          </cell>
          <cell r="DI120">
            <v>5.0000000000000001E-3</v>
          </cell>
          <cell r="DJ120">
            <v>2.9000000000000001E-2</v>
          </cell>
          <cell r="DK120">
            <v>1.2E-2</v>
          </cell>
          <cell r="DN120">
            <v>-3.2000000000000001E-2</v>
          </cell>
          <cell r="DO120">
            <v>-6.4000000000000001E-2</v>
          </cell>
          <cell r="DP120">
            <v>-0.129</v>
          </cell>
          <cell r="DQ120">
            <v>-8.6999999999999994E-2</v>
          </cell>
          <cell r="DT120">
            <v>-2E-3</v>
          </cell>
          <cell r="DU120">
            <v>-4.0000000000000001E-3</v>
          </cell>
          <cell r="DV120">
            <v>0</v>
          </cell>
          <cell r="DW120">
            <v>-2.5999999999999999E-2</v>
          </cell>
          <cell r="DZ120">
            <v>-6.5000000000000002E-2</v>
          </cell>
          <cell r="EA120">
            <v>-0.02</v>
          </cell>
          <cell r="EB120">
            <v>3.2000000000000001E-2</v>
          </cell>
          <cell r="EC120">
            <v>1.2E-2</v>
          </cell>
          <cell r="EF120">
            <v>6.8000000000000005E-2</v>
          </cell>
          <cell r="EG120">
            <v>3.4000000000000002E-2</v>
          </cell>
          <cell r="EH120">
            <v>1E-3</v>
          </cell>
          <cell r="EI120">
            <v>2.3E-2</v>
          </cell>
          <cell r="EL120">
            <v>3.4000000000000002E-2</v>
          </cell>
          <cell r="EM120">
            <v>2.9000000000000001E-2</v>
          </cell>
          <cell r="EN120">
            <v>1.2999999999999999E-2</v>
          </cell>
          <cell r="EO120">
            <v>3.4000000000000002E-2</v>
          </cell>
          <cell r="ER120">
            <v>0</v>
          </cell>
          <cell r="ES120">
            <v>1.7000000000000001E-2</v>
          </cell>
          <cell r="ET120">
            <v>6.5000000000000002E-2</v>
          </cell>
          <cell r="EU120">
            <v>4.3999999999999997E-2</v>
          </cell>
          <cell r="EX120">
            <v>2.3E-2</v>
          </cell>
          <cell r="EY120">
            <v>-2.7E-2</v>
          </cell>
          <cell r="EZ120">
            <v>-2.7E-2</v>
          </cell>
          <cell r="FA120">
            <v>-7.9000000000000001E-2</v>
          </cell>
          <cell r="FD120">
            <v>-6.2E-2</v>
          </cell>
          <cell r="FE120">
            <v>-2.1000000000000001E-2</v>
          </cell>
          <cell r="FF120">
            <v>-6.6000000000000003E-2</v>
          </cell>
          <cell r="FG120">
            <v>-0.04</v>
          </cell>
          <cell r="FJ120">
            <v>-9.1999999999999998E-2</v>
          </cell>
          <cell r="FK120">
            <v>-8.8999999999999996E-2</v>
          </cell>
          <cell r="FL120">
            <v>-2.3E-2</v>
          </cell>
          <cell r="FM120">
            <v>0.01</v>
          </cell>
          <cell r="FP120">
            <v>0.10800000000000001</v>
          </cell>
          <cell r="FQ120">
            <v>6.5000000000000002E-2</v>
          </cell>
          <cell r="FR120">
            <v>4.8000000000000001E-2</v>
          </cell>
          <cell r="FS120">
            <v>3.9E-2</v>
          </cell>
          <cell r="FV120">
            <v>8.9999999999999993E-3</v>
          </cell>
          <cell r="FW120">
            <v>6.7000000000000004E-2</v>
          </cell>
          <cell r="FX120">
            <v>4.9000000000000002E-2</v>
          </cell>
          <cell r="FY120">
            <v>6.2E-2</v>
          </cell>
          <cell r="GB120">
            <v>7.2999999999999995E-2</v>
          </cell>
          <cell r="GC120">
            <v>1.2E-2</v>
          </cell>
          <cell r="GD120">
            <v>0.03</v>
          </cell>
          <cell r="GE120">
            <v>0.04</v>
          </cell>
        </row>
        <row r="121">
          <cell r="A121" t="str">
            <v>Month 3</v>
          </cell>
          <cell r="AN121" t="str">
            <v>Month 3</v>
          </cell>
          <cell r="BS121">
            <v>-8.9999999999999993E-3</v>
          </cell>
          <cell r="BT121">
            <v>-8.0000000000000002E-3</v>
          </cell>
          <cell r="BU121">
            <v>2.5000000000000001E-2</v>
          </cell>
          <cell r="BV121">
            <v>8.8999999999999996E-2</v>
          </cell>
          <cell r="BY121">
            <v>4.1000000000000002E-2</v>
          </cell>
          <cell r="BZ121">
            <v>7.0999999999999994E-2</v>
          </cell>
          <cell r="CA121">
            <v>-1.7999999999999999E-2</v>
          </cell>
          <cell r="CB121">
            <v>5.0999999999999997E-2</v>
          </cell>
          <cell r="CJ121">
            <v>-1.0999999999999999E-2</v>
          </cell>
          <cell r="CK121">
            <v>-1.7000000000000001E-2</v>
          </cell>
          <cell r="CL121">
            <v>4.9000000000000002E-2</v>
          </cell>
          <cell r="CM121">
            <v>9.4E-2</v>
          </cell>
          <cell r="CP121">
            <v>6.2E-2</v>
          </cell>
          <cell r="CQ121">
            <v>8.5999999999999993E-2</v>
          </cell>
          <cell r="CR121">
            <v>0.03</v>
          </cell>
          <cell r="CS121">
            <v>1.4999999999999999E-2</v>
          </cell>
          <cell r="CV121">
            <v>0.05</v>
          </cell>
          <cell r="CW121">
            <v>3.9E-2</v>
          </cell>
          <cell r="CX121">
            <v>-1.9E-2</v>
          </cell>
          <cell r="CY121">
            <v>7.2999999999999995E-2</v>
          </cell>
          <cell r="DB121">
            <v>1.4999999999999999E-2</v>
          </cell>
          <cell r="DC121">
            <v>4.7E-2</v>
          </cell>
          <cell r="DD121">
            <v>4.4999999999999998E-2</v>
          </cell>
          <cell r="DE121">
            <v>4.2000000000000003E-2</v>
          </cell>
          <cell r="DH121">
            <v>5.1999999999999998E-2</v>
          </cell>
          <cell r="DI121">
            <v>1.6E-2</v>
          </cell>
          <cell r="DJ121">
            <v>1.6E-2</v>
          </cell>
          <cell r="DK121">
            <v>3.6999999999999998E-2</v>
          </cell>
          <cell r="DN121">
            <v>8.0000000000000002E-3</v>
          </cell>
          <cell r="DO121">
            <v>-4.2000000000000003E-2</v>
          </cell>
          <cell r="DP121">
            <v>-8.6999999999999994E-2</v>
          </cell>
          <cell r="DQ121">
            <v>-8.7999999999999995E-2</v>
          </cell>
          <cell r="DT121">
            <v>-5.8999999999999997E-2</v>
          </cell>
          <cell r="DU121">
            <v>-5.1999999999999998E-2</v>
          </cell>
          <cell r="DV121">
            <v>3.0000000000000001E-3</v>
          </cell>
          <cell r="DW121">
            <v>-1.2E-2</v>
          </cell>
          <cell r="DZ121">
            <v>-1.3999999999999999E-2</v>
          </cell>
          <cell r="EA121">
            <v>-4.0000000000000001E-3</v>
          </cell>
          <cell r="EB121">
            <v>-0.02</v>
          </cell>
          <cell r="EC121">
            <v>5.5E-2</v>
          </cell>
          <cell r="EF121">
            <v>5.3999999999999999E-2</v>
          </cell>
          <cell r="EG121">
            <v>3.6999999999999998E-2</v>
          </cell>
          <cell r="EH121">
            <v>0.04</v>
          </cell>
          <cell r="EI121">
            <v>-4.0000000000000001E-3</v>
          </cell>
          <cell r="EL121">
            <v>2.8000000000000001E-2</v>
          </cell>
          <cell r="EM121">
            <v>-8.9999999999999993E-3</v>
          </cell>
          <cell r="EN121">
            <v>-7.0000000000000001E-3</v>
          </cell>
          <cell r="EO121">
            <v>0.01</v>
          </cell>
          <cell r="ER121">
            <v>-8.0000000000000002E-3</v>
          </cell>
          <cell r="ES121">
            <v>3.3000000000000002E-2</v>
          </cell>
          <cell r="ET121">
            <v>7.6999999999999999E-2</v>
          </cell>
          <cell r="EU121">
            <v>8.5999999999999993E-2</v>
          </cell>
          <cell r="EX121">
            <v>-2.1999999999999999E-2</v>
          </cell>
          <cell r="EY121">
            <v>-1.4E-2</v>
          </cell>
          <cell r="EZ121">
            <v>-1.4999999999999999E-2</v>
          </cell>
          <cell r="FA121">
            <v>-7.0999999999999994E-2</v>
          </cell>
          <cell r="FD121">
            <v>0.03</v>
          </cell>
          <cell r="FE121">
            <v>-2.9000000000000001E-2</v>
          </cell>
          <cell r="FF121">
            <v>-6.3E-2</v>
          </cell>
          <cell r="FG121">
            <v>-4.4999999999999998E-2</v>
          </cell>
          <cell r="FJ121">
            <v>-9.0999999999999998E-2</v>
          </cell>
          <cell r="FK121">
            <v>-0.107</v>
          </cell>
          <cell r="FL121">
            <v>-8.0000000000000002E-3</v>
          </cell>
          <cell r="FM121">
            <v>3.4000000000000002E-2</v>
          </cell>
          <cell r="FP121">
            <v>1.0999999999999999E-2</v>
          </cell>
          <cell r="FQ121">
            <v>7.2999999999999995E-2</v>
          </cell>
          <cell r="FR121">
            <v>2.5000000000000001E-2</v>
          </cell>
          <cell r="FS121">
            <v>2.5999999999999999E-2</v>
          </cell>
          <cell r="FV121">
            <v>0.108</v>
          </cell>
          <cell r="FW121">
            <v>0.05</v>
          </cell>
          <cell r="FX121">
            <v>2.1999999999999999E-2</v>
          </cell>
          <cell r="FY121">
            <v>2.4E-2</v>
          </cell>
          <cell r="GB121">
            <v>1.2E-2</v>
          </cell>
          <cell r="GC121">
            <v>4.1000000000000002E-2</v>
          </cell>
          <cell r="GD121">
            <v>5.5E-2</v>
          </cell>
          <cell r="GE121">
            <v>0.05</v>
          </cell>
        </row>
        <row r="122">
          <cell r="A122" t="str">
            <v>Total</v>
          </cell>
          <cell r="AN122" t="str">
            <v>Total</v>
          </cell>
          <cell r="BS122">
            <v>3.9E-2</v>
          </cell>
          <cell r="BT122">
            <v>8.0000000000000002E-3</v>
          </cell>
          <cell r="BU122">
            <v>3.6999999999999998E-2</v>
          </cell>
          <cell r="BV122">
            <v>3.5999999999999997E-2</v>
          </cell>
          <cell r="BW122">
            <v>3.0898675327518881E-2</v>
          </cell>
          <cell r="CJ122">
            <v>4.8470506256248672E-2</v>
          </cell>
          <cell r="CK122">
            <v>8.3184337129285652E-3</v>
          </cell>
          <cell r="CL122">
            <v>8.9999999999999993E-3</v>
          </cell>
          <cell r="CM122">
            <v>4.3417523930571543E-2</v>
          </cell>
          <cell r="CN122">
            <v>3.0844572544785176E-2</v>
          </cell>
          <cell r="CP122">
            <v>2.5000000000000001E-2</v>
          </cell>
          <cell r="CQ122">
            <v>4.3999999999999997E-2</v>
          </cell>
          <cell r="CR122">
            <v>3.1E-2</v>
          </cell>
          <cell r="CS122">
            <v>1.4E-2</v>
          </cell>
          <cell r="CT122">
            <v>2.7069152758765591E-2</v>
          </cell>
          <cell r="CU122">
            <v>0</v>
          </cell>
          <cell r="CV122">
            <v>2.4E-2</v>
          </cell>
          <cell r="CW122">
            <v>3.0187969924812031E-2</v>
          </cell>
          <cell r="CX122">
            <v>-1.2479646871752174E-2</v>
          </cell>
          <cell r="CY122">
            <v>4.1000000000000002E-2</v>
          </cell>
          <cell r="CZ122">
            <v>4.4999999999999998E-2</v>
          </cell>
          <cell r="DB122">
            <v>0.04</v>
          </cell>
          <cell r="DC122">
            <v>5.8999999999999997E-2</v>
          </cell>
          <cell r="DD122">
            <v>3.9E-2</v>
          </cell>
          <cell r="DE122">
            <v>4.3999999999999997E-2</v>
          </cell>
          <cell r="DF122">
            <v>4.4999999999999998E-2</v>
          </cell>
          <cell r="DH122">
            <v>2.9000000000000001E-2</v>
          </cell>
          <cell r="DI122">
            <v>1.9E-2</v>
          </cell>
          <cell r="DJ122">
            <v>1.9E-2</v>
          </cell>
          <cell r="DK122">
            <v>1.6E-2</v>
          </cell>
          <cell r="DL122">
            <v>0.02</v>
          </cell>
          <cell r="DN122">
            <v>-1.4999999999999999E-2</v>
          </cell>
          <cell r="DO122">
            <v>-4.8000000000000001E-2</v>
          </cell>
          <cell r="DP122">
            <v>-8.5999999999999993E-2</v>
          </cell>
          <cell r="DQ122">
            <v>-0.06</v>
          </cell>
          <cell r="DR122">
            <v>-5.2999999999999999E-2</v>
          </cell>
          <cell r="DT122">
            <v>-2.9000000000000001E-2</v>
          </cell>
          <cell r="DU122">
            <v>-2.8000000000000001E-2</v>
          </cell>
          <cell r="DV122">
            <v>-0.02</v>
          </cell>
          <cell r="DW122">
            <v>-3.9E-2</v>
          </cell>
          <cell r="DX122">
            <v>-0.03</v>
          </cell>
          <cell r="DZ122">
            <v>-0.05</v>
          </cell>
          <cell r="EA122">
            <v>-1.2E-2</v>
          </cell>
          <cell r="EB122">
            <v>2E-3</v>
          </cell>
          <cell r="EC122">
            <v>1.3999999999999999E-2</v>
          </cell>
          <cell r="ED122">
            <v>-9.0000000000000011E-3</v>
          </cell>
          <cell r="EF122">
            <v>6.9000000000000006E-2</v>
          </cell>
          <cell r="EG122">
            <v>3.3000000000000002E-2</v>
          </cell>
          <cell r="EH122">
            <v>4.0000000000000001E-3</v>
          </cell>
          <cell r="EI122">
            <v>8.0000000000000002E-3</v>
          </cell>
          <cell r="EJ122">
            <v>2.5999999999999999E-2</v>
          </cell>
          <cell r="EL122">
            <v>2.5999999999999999E-2</v>
          </cell>
          <cell r="EM122">
            <v>1.0999999999999999E-2</v>
          </cell>
          <cell r="EN122">
            <v>6.0000000000000001E-3</v>
          </cell>
          <cell r="EO122">
            <v>1.0999999999999999E-2</v>
          </cell>
          <cell r="EP122">
            <v>1.2999999999999999E-2</v>
          </cell>
          <cell r="ER122">
            <v>0</v>
          </cell>
          <cell r="ES122">
            <v>4.5999999999999999E-2</v>
          </cell>
          <cell r="ET122">
            <v>5.8999999999999997E-2</v>
          </cell>
          <cell r="EU122">
            <v>6.0999999999999999E-2</v>
          </cell>
          <cell r="EV122">
            <v>4.3999999999999997E-2</v>
          </cell>
          <cell r="EX122">
            <v>6.0000000000000001E-3</v>
          </cell>
          <cell r="EY122">
            <v>-2.5999999999999999E-2</v>
          </cell>
          <cell r="EZ122">
            <v>-8.0000000000000002E-3</v>
          </cell>
          <cell r="FA122">
            <v>-0.02</v>
          </cell>
          <cell r="FB122">
            <v>-1.2999999999999999E-2</v>
          </cell>
          <cell r="FD122">
            <v>-2.5999999999999999E-2</v>
          </cell>
          <cell r="FE122">
            <v>-2.1000000000000001E-2</v>
          </cell>
          <cell r="FF122">
            <v>-0.06</v>
          </cell>
          <cell r="FG122">
            <v>-7.0000000000000007E-2</v>
          </cell>
          <cell r="FH122">
            <v>-4.4999999999999998E-2</v>
          </cell>
          <cell r="FJ122">
            <v>-0.09</v>
          </cell>
          <cell r="FK122">
            <v>-9.5000000000000001E-2</v>
          </cell>
          <cell r="FL122">
            <v>-3.5999999999999997E-2</v>
          </cell>
          <cell r="FM122">
            <v>-8.0000000000000002E-3</v>
          </cell>
          <cell r="FN122">
            <v>-5.2999999999999999E-2</v>
          </cell>
          <cell r="FP122">
            <v>5.5E-2</v>
          </cell>
          <cell r="FQ122">
            <v>4.9000000000000002E-2</v>
          </cell>
          <cell r="FR122">
            <v>3.9E-2</v>
          </cell>
          <cell r="FS122">
            <v>4.2999999999999997E-2</v>
          </cell>
          <cell r="FT122">
            <v>4.610434747830261E-2</v>
          </cell>
          <cell r="FV122">
            <v>5.3999999999999999E-2</v>
          </cell>
          <cell r="FW122">
            <v>6.4000000000000001E-2</v>
          </cell>
          <cell r="FX122">
            <v>0.04</v>
          </cell>
          <cell r="FY122">
            <v>5.1999999999999998E-2</v>
          </cell>
          <cell r="FZ122">
            <v>5.2999999999999999E-2</v>
          </cell>
          <cell r="GB122">
            <v>4.3999999999999997E-2</v>
          </cell>
          <cell r="GC122">
            <v>0.03</v>
          </cell>
          <cell r="GD122">
            <v>4.4170626829774157E-2</v>
          </cell>
          <cell r="GE122">
            <v>4.1872044415560798E-2</v>
          </cell>
          <cell r="GF122">
            <v>4.02253638971692E-2</v>
          </cell>
        </row>
        <row r="124">
          <cell r="A124" t="str">
            <v>Consolidated Productivity Factor</v>
          </cell>
          <cell r="AN124" t="str">
            <v>Consolidated Productivity Factor</v>
          </cell>
        </row>
        <row r="125">
          <cell r="A125" t="str">
            <v>Month 1</v>
          </cell>
          <cell r="AN125" t="str">
            <v>Month 1</v>
          </cell>
          <cell r="EF125">
            <v>1.0043063843845854</v>
          </cell>
          <cell r="EG125">
            <v>1.010810633855717</v>
          </cell>
          <cell r="EH125">
            <v>1.0130234439561103</v>
          </cell>
          <cell r="EI125">
            <v>1.0261552566722514</v>
          </cell>
          <cell r="EL125">
            <v>1.0039733185357242</v>
          </cell>
          <cell r="EM125">
            <v>0.99978472992257905</v>
          </cell>
          <cell r="EN125">
            <v>1.0012187282870586</v>
          </cell>
          <cell r="EO125">
            <v>0.91407567624195751</v>
          </cell>
          <cell r="ER125">
            <v>0.85379589916801657</v>
          </cell>
          <cell r="ES125">
            <v>0.82852877251430668</v>
          </cell>
          <cell r="ET125">
            <v>0.83475030563790842</v>
          </cell>
          <cell r="EU125">
            <v>0.91480422703367681</v>
          </cell>
          <cell r="EX125">
            <v>1.0042251017232908</v>
          </cell>
          <cell r="EY125">
            <v>1.0108075527611304</v>
          </cell>
          <cell r="EZ125">
            <v>1.0032705612197608</v>
          </cell>
          <cell r="FA125">
            <v>0.99617129302855612</v>
          </cell>
          <cell r="FD125">
            <v>1.0047260256693704</v>
          </cell>
          <cell r="FE125">
            <v>1.0011731147187122</v>
          </cell>
          <cell r="FF125">
            <v>1.0015681684828099</v>
          </cell>
          <cell r="FG125">
            <v>0.9980273685296247</v>
          </cell>
          <cell r="FJ125">
            <v>1.0146680194879518</v>
          </cell>
          <cell r="FK125">
            <v>1.0229325701507319</v>
          </cell>
          <cell r="FL125">
            <v>1.0237530410429481</v>
          </cell>
          <cell r="FM125">
            <v>1.0168796021749338</v>
          </cell>
          <cell r="FP125">
            <v>1.0016060228776302</v>
          </cell>
          <cell r="FQ125">
            <v>0.98881215735067063</v>
          </cell>
          <cell r="FR125">
            <v>1.0007452413933455</v>
          </cell>
          <cell r="FS125">
            <v>1.0028115913956974</v>
          </cell>
          <cell r="FV125">
            <v>1.0005096291516782</v>
          </cell>
          <cell r="FW125">
            <v>1.0081721608307339</v>
          </cell>
          <cell r="FX125">
            <v>0.99435769750356207</v>
          </cell>
          <cell r="FY125">
            <v>1.0114048185081832</v>
          </cell>
          <cell r="GB125">
            <v>1.0253009585429893</v>
          </cell>
          <cell r="GC125">
            <v>1.0133052611979987</v>
          </cell>
          <cell r="GD125">
            <v>1.018088666893139</v>
          </cell>
          <cell r="GE125">
            <v>1.0011764705882353</v>
          </cell>
        </row>
        <row r="126">
          <cell r="A126" t="str">
            <v>Month 2</v>
          </cell>
          <cell r="AN126" t="str">
            <v>Month 2</v>
          </cell>
          <cell r="EF126">
            <v>1.0053433076034095</v>
          </cell>
          <cell r="EG126">
            <v>1.0066663386950321</v>
          </cell>
          <cell r="EH126">
            <v>1.012796599849775</v>
          </cell>
          <cell r="EI126">
            <v>1.0251796947783753</v>
          </cell>
          <cell r="EL126">
            <v>1.0061447584995618</v>
          </cell>
          <cell r="EM126">
            <v>1.0029492195249803</v>
          </cell>
          <cell r="EN126">
            <v>0.88191400316768354</v>
          </cell>
          <cell r="EO126">
            <v>0.90286524641517052</v>
          </cell>
          <cell r="ER126">
            <v>0.87143545576033965</v>
          </cell>
          <cell r="ES126">
            <v>0.86259214604526391</v>
          </cell>
          <cell r="ET126">
            <v>0.95476655228407081</v>
          </cell>
          <cell r="EU126">
            <v>0.95390310394604827</v>
          </cell>
          <cell r="EX126">
            <v>0.99756383077735888</v>
          </cell>
          <cell r="EY126">
            <v>1.0076309712339664</v>
          </cell>
          <cell r="EZ126">
            <v>1.0058439901456568</v>
          </cell>
          <cell r="FA126">
            <v>1.0104925603418453</v>
          </cell>
          <cell r="FD126">
            <v>1.0038919718017412</v>
          </cell>
          <cell r="FE126">
            <v>1.0002262623646179</v>
          </cell>
          <cell r="FF126">
            <v>1.0022779610885877</v>
          </cell>
          <cell r="FG126">
            <v>0.98797059201406712</v>
          </cell>
          <cell r="FJ126">
            <v>1.0172356632303496</v>
          </cell>
          <cell r="FK126">
            <v>1.0266388149144143</v>
          </cell>
          <cell r="FL126">
            <v>1.0185440088098592</v>
          </cell>
          <cell r="FM126">
            <v>1.0150644106268683</v>
          </cell>
          <cell r="FP126">
            <v>0.9967530496300272</v>
          </cell>
          <cell r="FQ126">
            <v>0.99989171377441255</v>
          </cell>
          <cell r="FR126">
            <v>1.0028971230689774</v>
          </cell>
          <cell r="FS126">
            <v>0.9946391314592461</v>
          </cell>
          <cell r="FV126">
            <v>1.0074992903911262</v>
          </cell>
          <cell r="FW126">
            <v>1.0057878604073234</v>
          </cell>
          <cell r="FX126">
            <v>1.0057401642886414</v>
          </cell>
          <cell r="FY126">
            <v>1.0118477756232767</v>
          </cell>
          <cell r="GB126">
            <v>1.0102541230632647</v>
          </cell>
          <cell r="GC126">
            <v>1.011143062170935</v>
          </cell>
          <cell r="GD126">
            <v>1</v>
          </cell>
          <cell r="GE126">
            <v>1</v>
          </cell>
        </row>
        <row r="127">
          <cell r="A127" t="str">
            <v>Month 3</v>
          </cell>
          <cell r="AN127" t="str">
            <v>Month 3</v>
          </cell>
          <cell r="EF127">
            <v>1.0049191704800837</v>
          </cell>
          <cell r="EG127">
            <v>1.0157391039871562</v>
          </cell>
          <cell r="EH127">
            <v>1.0229244178565875</v>
          </cell>
          <cell r="EI127">
            <v>1.0174283739131365</v>
          </cell>
          <cell r="EL127">
            <v>1.0058035349864145</v>
          </cell>
          <cell r="EM127">
            <v>1.0039069906098907</v>
          </cell>
          <cell r="EN127">
            <v>0.90735496459885556</v>
          </cell>
          <cell r="EO127">
            <v>0.95100379512625965</v>
          </cell>
          <cell r="ER127">
            <v>0.85509041472763314</v>
          </cell>
          <cell r="ES127">
            <v>0.83302342705472399</v>
          </cell>
          <cell r="ET127">
            <v>0.9300581404093593</v>
          </cell>
          <cell r="EU127">
            <v>0.88885616548937241</v>
          </cell>
          <cell r="EX127">
            <v>1.0012993536198342</v>
          </cell>
          <cell r="EY127">
            <v>1.0067406823426219</v>
          </cell>
          <cell r="EZ127">
            <v>1.0010354929971583</v>
          </cell>
          <cell r="FA127">
            <v>0.77697496531497701</v>
          </cell>
          <cell r="FD127">
            <v>0.99998610863561077</v>
          </cell>
          <cell r="FE127">
            <v>1.0000776716315167</v>
          </cell>
          <cell r="FF127">
            <v>1.0026881239876493</v>
          </cell>
          <cell r="FG127">
            <v>1.0034001517037674</v>
          </cell>
          <cell r="FJ127">
            <v>1.017274065207098</v>
          </cell>
          <cell r="FK127">
            <v>1.0307481774152398</v>
          </cell>
          <cell r="FL127">
            <v>1.0154616377110075</v>
          </cell>
          <cell r="FM127">
            <v>1.009307170702717</v>
          </cell>
          <cell r="FP127">
            <v>1.0005893323256754</v>
          </cell>
          <cell r="FQ127">
            <v>1.0111137394005785</v>
          </cell>
          <cell r="FR127">
            <v>1.0254628236300125</v>
          </cell>
          <cell r="FS127">
            <v>1.00775043725629</v>
          </cell>
          <cell r="FV127">
            <v>0.99618702023241001</v>
          </cell>
          <cell r="FW127">
            <v>1.0047825549823146</v>
          </cell>
          <cell r="FX127">
            <v>1.0004489851343907</v>
          </cell>
          <cell r="FY127">
            <v>1.008520012530175</v>
          </cell>
          <cell r="GB127">
            <v>1.0062765433093959</v>
          </cell>
          <cell r="GC127">
            <v>1.0227639737625074</v>
          </cell>
          <cell r="GD127">
            <v>1</v>
          </cell>
          <cell r="GE127">
            <v>1.25</v>
          </cell>
        </row>
        <row r="128">
          <cell r="EX128">
            <v>0.99364581839822941</v>
          </cell>
          <cell r="EY128">
            <v>1.0053855991928882</v>
          </cell>
          <cell r="EZ128">
            <v>1.0049007333596589</v>
          </cell>
          <cell r="FA128">
            <v>0.96635245216954013</v>
          </cell>
          <cell r="FD128">
            <v>1.0093706103322386</v>
          </cell>
          <cell r="FE128">
            <v>0.99942053289687438</v>
          </cell>
          <cell r="FF128">
            <v>1.0028127761391281</v>
          </cell>
          <cell r="FG128">
            <v>0.99829531956488382</v>
          </cell>
          <cell r="FH128">
            <v>0.99616480017746767</v>
          </cell>
          <cell r="FJ128">
            <v>1.0150952522446879</v>
          </cell>
          <cell r="FK128">
            <v>1.028988144998136</v>
          </cell>
          <cell r="FL128">
            <v>1.0174659464761271</v>
          </cell>
          <cell r="FM128">
            <v>1.004258927748259</v>
          </cell>
          <cell r="FN128">
            <v>1.0094977226152135</v>
          </cell>
          <cell r="FP128">
            <v>1.0000259928958455</v>
          </cell>
          <cell r="FQ128">
            <v>0.99963688802128137</v>
          </cell>
          <cell r="FR128">
            <v>1.0093878458063197</v>
          </cell>
          <cell r="FS128">
            <v>1.0000370362620763</v>
          </cell>
          <cell r="FT128">
            <v>1.0017002547102301</v>
          </cell>
          <cell r="FV128">
            <v>1.0021044058948783</v>
          </cell>
          <cell r="FW128">
            <v>1.0081307827273334</v>
          </cell>
          <cell r="FX128">
            <v>1.0033467891940979</v>
          </cell>
          <cell r="FY128">
            <v>1.0155381429309334</v>
          </cell>
          <cell r="FZ128">
            <v>1.0152922484576603</v>
          </cell>
          <cell r="GB128">
            <v>1.0132824557239268</v>
          </cell>
          <cell r="GC128">
            <v>1.0138954016780533</v>
          </cell>
          <cell r="GD128">
            <v>1.0060645702976547</v>
          </cell>
          <cell r="GE128">
            <v>1.0305274860110949</v>
          </cell>
          <cell r="GF128">
            <v>1.0083583012001358</v>
          </cell>
        </row>
        <row r="129">
          <cell r="A129" t="str">
            <v>Consolidated Store Count</v>
          </cell>
          <cell r="AN129" t="str">
            <v>Consolidated Store Count</v>
          </cell>
        </row>
        <row r="130">
          <cell r="A130" t="str">
            <v>Month 1</v>
          </cell>
          <cell r="AN130" t="str">
            <v>Month 1</v>
          </cell>
          <cell r="DZ130">
            <v>456</v>
          </cell>
          <cell r="EA130">
            <v>456</v>
          </cell>
          <cell r="EB130">
            <v>460</v>
          </cell>
          <cell r="EC130">
            <v>465</v>
          </cell>
          <cell r="EF130">
            <v>458</v>
          </cell>
          <cell r="EG130">
            <v>457</v>
          </cell>
          <cell r="EH130">
            <v>457</v>
          </cell>
          <cell r="EI130">
            <v>459</v>
          </cell>
          <cell r="EL130">
            <v>459</v>
          </cell>
          <cell r="EM130">
            <v>460</v>
          </cell>
          <cell r="EN130">
            <v>459</v>
          </cell>
          <cell r="EO130">
            <v>935</v>
          </cell>
          <cell r="ER130">
            <v>868</v>
          </cell>
          <cell r="ES130">
            <v>861</v>
          </cell>
          <cell r="ET130">
            <v>854</v>
          </cell>
          <cell r="EU130">
            <v>860</v>
          </cell>
          <cell r="EX130">
            <v>858</v>
          </cell>
          <cell r="EY130">
            <v>863</v>
          </cell>
          <cell r="EZ130">
            <v>864</v>
          </cell>
          <cell r="FA130">
            <v>866</v>
          </cell>
          <cell r="FD130">
            <v>852</v>
          </cell>
          <cell r="FE130">
            <v>852</v>
          </cell>
          <cell r="FF130">
            <v>856</v>
          </cell>
          <cell r="FG130">
            <v>859</v>
          </cell>
          <cell r="FJ130">
            <v>847</v>
          </cell>
          <cell r="FK130">
            <v>848</v>
          </cell>
          <cell r="FL130">
            <v>849</v>
          </cell>
          <cell r="FM130">
            <v>854</v>
          </cell>
          <cell r="FP130">
            <v>850</v>
          </cell>
          <cell r="FQ130">
            <v>850</v>
          </cell>
          <cell r="FR130">
            <v>849</v>
          </cell>
          <cell r="FS130">
            <v>854</v>
          </cell>
          <cell r="FV130">
            <v>850</v>
          </cell>
          <cell r="FW130">
            <v>850</v>
          </cell>
          <cell r="FX130">
            <v>849</v>
          </cell>
          <cell r="FY130">
            <v>851</v>
          </cell>
          <cell r="GB130">
            <v>842</v>
          </cell>
          <cell r="GC130">
            <v>844</v>
          </cell>
          <cell r="GD130">
            <v>846</v>
          </cell>
          <cell r="GE130">
            <v>847</v>
          </cell>
        </row>
        <row r="131">
          <cell r="A131" t="str">
            <v>Month 2</v>
          </cell>
          <cell r="AN131" t="str">
            <v>Month 2</v>
          </cell>
          <cell r="DZ131">
            <v>456</v>
          </cell>
          <cell r="EA131">
            <v>455</v>
          </cell>
          <cell r="EB131">
            <v>460</v>
          </cell>
          <cell r="EC131">
            <v>465</v>
          </cell>
          <cell r="EF131">
            <v>458</v>
          </cell>
          <cell r="EG131">
            <v>457</v>
          </cell>
          <cell r="EH131">
            <v>458</v>
          </cell>
          <cell r="EI131">
            <v>459</v>
          </cell>
          <cell r="EL131">
            <v>459</v>
          </cell>
          <cell r="EM131">
            <v>460</v>
          </cell>
          <cell r="EN131">
            <v>933</v>
          </cell>
          <cell r="EO131">
            <v>934</v>
          </cell>
          <cell r="ER131">
            <v>861</v>
          </cell>
          <cell r="ES131">
            <v>859</v>
          </cell>
          <cell r="ET131">
            <v>855</v>
          </cell>
          <cell r="EU131">
            <v>860</v>
          </cell>
          <cell r="EX131">
            <v>859</v>
          </cell>
          <cell r="EY131">
            <v>863</v>
          </cell>
          <cell r="EZ131">
            <v>866</v>
          </cell>
          <cell r="FA131">
            <v>857</v>
          </cell>
          <cell r="FD131">
            <v>853</v>
          </cell>
          <cell r="FE131">
            <v>853</v>
          </cell>
          <cell r="FF131">
            <v>853</v>
          </cell>
          <cell r="FG131">
            <v>859</v>
          </cell>
          <cell r="FJ131">
            <v>847</v>
          </cell>
          <cell r="FK131">
            <v>848</v>
          </cell>
          <cell r="FL131">
            <v>852</v>
          </cell>
          <cell r="FM131">
            <v>854</v>
          </cell>
          <cell r="FP131">
            <v>850</v>
          </cell>
          <cell r="FQ131">
            <v>850</v>
          </cell>
          <cell r="FR131">
            <v>852</v>
          </cell>
          <cell r="FS131">
            <v>854</v>
          </cell>
          <cell r="FV131">
            <v>850</v>
          </cell>
          <cell r="FW131">
            <v>850</v>
          </cell>
          <cell r="FX131">
            <v>849</v>
          </cell>
          <cell r="FY131">
            <v>850</v>
          </cell>
          <cell r="GB131">
            <v>844</v>
          </cell>
          <cell r="GC131">
            <v>846</v>
          </cell>
          <cell r="GD131">
            <v>847</v>
          </cell>
          <cell r="GE131">
            <v>848</v>
          </cell>
        </row>
        <row r="132">
          <cell r="A132" t="str">
            <v>Month 3</v>
          </cell>
          <cell r="AN132" t="str">
            <v>Month 3</v>
          </cell>
          <cell r="DZ132">
            <v>456</v>
          </cell>
          <cell r="EA132">
            <v>460</v>
          </cell>
          <cell r="EB132">
            <v>465</v>
          </cell>
          <cell r="EC132">
            <v>459</v>
          </cell>
          <cell r="EF132">
            <v>459</v>
          </cell>
          <cell r="EG132">
            <v>457</v>
          </cell>
          <cell r="EH132">
            <v>459</v>
          </cell>
          <cell r="EI132">
            <v>459</v>
          </cell>
          <cell r="EL132">
            <v>459</v>
          </cell>
          <cell r="EM132">
            <v>460</v>
          </cell>
          <cell r="EN132">
            <v>935</v>
          </cell>
          <cell r="EO132">
            <v>868</v>
          </cell>
          <cell r="ER132">
            <v>861</v>
          </cell>
          <cell r="ES132">
            <v>856</v>
          </cell>
          <cell r="ET132">
            <v>857</v>
          </cell>
          <cell r="EU132">
            <v>858</v>
          </cell>
          <cell r="EX132">
            <v>863</v>
          </cell>
          <cell r="EY132">
            <v>863</v>
          </cell>
          <cell r="EZ132">
            <v>866</v>
          </cell>
          <cell r="FA132">
            <v>852</v>
          </cell>
          <cell r="FD132">
            <v>851</v>
          </cell>
          <cell r="FE132">
            <v>855</v>
          </cell>
          <cell r="FF132">
            <v>856</v>
          </cell>
          <cell r="FG132">
            <v>847</v>
          </cell>
          <cell r="FJ132">
            <v>848</v>
          </cell>
          <cell r="FK132">
            <v>848</v>
          </cell>
          <cell r="FL132">
            <v>854</v>
          </cell>
          <cell r="FM132">
            <v>850</v>
          </cell>
          <cell r="FP132">
            <v>849</v>
          </cell>
          <cell r="FQ132">
            <v>849</v>
          </cell>
          <cell r="FR132">
            <v>854</v>
          </cell>
          <cell r="FS132">
            <v>850</v>
          </cell>
          <cell r="FV132">
            <v>850</v>
          </cell>
          <cell r="FW132">
            <v>849</v>
          </cell>
          <cell r="FX132">
            <v>850</v>
          </cell>
          <cell r="FY132">
            <v>842</v>
          </cell>
          <cell r="GB132">
            <v>844</v>
          </cell>
          <cell r="GC132">
            <v>845</v>
          </cell>
          <cell r="GD132">
            <v>847</v>
          </cell>
          <cell r="GE132">
            <v>844</v>
          </cell>
        </row>
        <row r="133">
          <cell r="A133" t="str">
            <v>Total</v>
          </cell>
          <cell r="AN133" t="str">
            <v>Total</v>
          </cell>
          <cell r="DZ133">
            <v>456</v>
          </cell>
          <cell r="EA133">
            <v>460</v>
          </cell>
          <cell r="EB133">
            <v>465</v>
          </cell>
          <cell r="EC133">
            <v>459</v>
          </cell>
          <cell r="ED133">
            <v>459</v>
          </cell>
          <cell r="EF133">
            <v>459</v>
          </cell>
          <cell r="EG133">
            <v>457</v>
          </cell>
          <cell r="EH133">
            <v>459</v>
          </cell>
          <cell r="EI133">
            <v>459</v>
          </cell>
          <cell r="EJ133">
            <v>459</v>
          </cell>
          <cell r="EL133">
            <v>459</v>
          </cell>
          <cell r="EM133">
            <v>460</v>
          </cell>
          <cell r="EN133">
            <v>935</v>
          </cell>
          <cell r="EO133">
            <v>868</v>
          </cell>
          <cell r="EP133">
            <v>868</v>
          </cell>
          <cell r="ER133">
            <v>861</v>
          </cell>
          <cell r="ES133">
            <v>856</v>
          </cell>
          <cell r="ET133">
            <v>857</v>
          </cell>
          <cell r="EU133">
            <v>858</v>
          </cell>
          <cell r="EV133">
            <v>858</v>
          </cell>
          <cell r="EX133">
            <v>863</v>
          </cell>
          <cell r="EY133">
            <v>863</v>
          </cell>
          <cell r="EZ133">
            <v>866</v>
          </cell>
          <cell r="FA133">
            <v>852</v>
          </cell>
          <cell r="FB133">
            <v>852</v>
          </cell>
          <cell r="FD133">
            <v>851</v>
          </cell>
          <cell r="FE133">
            <v>855</v>
          </cell>
          <cell r="FF133">
            <v>856</v>
          </cell>
          <cell r="FG133">
            <v>847</v>
          </cell>
          <cell r="FH133">
            <v>847</v>
          </cell>
          <cell r="FJ133">
            <v>848</v>
          </cell>
          <cell r="FK133">
            <v>848</v>
          </cell>
          <cell r="FL133">
            <v>854</v>
          </cell>
          <cell r="FM133">
            <v>850</v>
          </cell>
          <cell r="FN133">
            <v>850</v>
          </cell>
          <cell r="FP133">
            <v>849</v>
          </cell>
          <cell r="FQ133">
            <v>849</v>
          </cell>
          <cell r="FR133">
            <v>854</v>
          </cell>
          <cell r="FS133">
            <v>850</v>
          </cell>
          <cell r="FT133">
            <v>850</v>
          </cell>
          <cell r="FV133">
            <v>850</v>
          </cell>
          <cell r="FW133">
            <v>849</v>
          </cell>
          <cell r="FX133">
            <v>850</v>
          </cell>
          <cell r="FY133">
            <v>842</v>
          </cell>
          <cell r="FZ133">
            <v>842</v>
          </cell>
          <cell r="GB133">
            <v>844</v>
          </cell>
          <cell r="GC133">
            <v>845</v>
          </cell>
          <cell r="GD133">
            <v>847</v>
          </cell>
          <cell r="GE133">
            <v>844</v>
          </cell>
          <cell r="GF133">
            <v>844</v>
          </cell>
        </row>
        <row r="134">
          <cell r="GB134">
            <v>2</v>
          </cell>
          <cell r="GC134">
            <v>1</v>
          </cell>
          <cell r="GD134">
            <v>2</v>
          </cell>
          <cell r="GE134">
            <v>-3</v>
          </cell>
        </row>
        <row r="135">
          <cell r="A135" t="str">
            <v>Consolidated EOP Sq. Ft. (Estimated)</v>
          </cell>
          <cell r="AN135" t="str">
            <v>Consolidated EOP Sq. Ft. (Estimated)</v>
          </cell>
        </row>
        <row r="136">
          <cell r="A136" t="str">
            <v>Month 1</v>
          </cell>
          <cell r="AN136" t="str">
            <v>Month 1</v>
          </cell>
          <cell r="DZ136">
            <v>83.683006535947712</v>
          </cell>
          <cell r="EA136">
            <v>83.680988917306053</v>
          </cell>
          <cell r="EB136">
            <v>84.412537774966609</v>
          </cell>
          <cell r="EC136">
            <v>85.098039215686271</v>
          </cell>
          <cell r="EF136">
            <v>83.816993464052288</v>
          </cell>
          <cell r="EG136">
            <v>83.637037037037032</v>
          </cell>
          <cell r="EH136">
            <v>83.633986928104576</v>
          </cell>
          <cell r="EI136">
            <v>83.3</v>
          </cell>
          <cell r="EL136">
            <v>83.3</v>
          </cell>
          <cell r="EM136">
            <v>83.48260368663594</v>
          </cell>
          <cell r="EN136">
            <v>83.562228739002933</v>
          </cell>
          <cell r="EO136">
            <v>170.73444700460828</v>
          </cell>
          <cell r="ER136">
            <v>158.50225330225331</v>
          </cell>
          <cell r="ES136">
            <v>157.2256282269133</v>
          </cell>
          <cell r="ET136">
            <v>155.94704843969723</v>
          </cell>
          <cell r="EU136">
            <v>156.76456876456876</v>
          </cell>
          <cell r="EX136">
            <v>156.13711008111241</v>
          </cell>
          <cell r="EY136">
            <v>156.88300000000001</v>
          </cell>
          <cell r="EZ136">
            <v>157.15721016166282</v>
          </cell>
          <cell r="FA136">
            <v>157.50730751173711</v>
          </cell>
          <cell r="FD136">
            <v>155.23019506462987</v>
          </cell>
          <cell r="FE136">
            <v>155.06001403508773</v>
          </cell>
          <cell r="FF136">
            <v>155.41999999999999</v>
          </cell>
          <cell r="FG136">
            <v>156.27410743801653</v>
          </cell>
          <cell r="FJ136">
            <v>154.26087382075474</v>
          </cell>
          <cell r="FK136">
            <v>154.44300000000001</v>
          </cell>
          <cell r="FL136">
            <v>154.43150936768151</v>
          </cell>
          <cell r="FM136">
            <v>155.12658823529412</v>
          </cell>
          <cell r="FP136">
            <v>154.48674911660777</v>
          </cell>
          <cell r="FQ136">
            <v>154.48674911660777</v>
          </cell>
          <cell r="FR136">
            <v>153.76046135831382</v>
          </cell>
          <cell r="FS136">
            <v>154.94674588235296</v>
          </cell>
          <cell r="FV136">
            <v>154.34800000000001</v>
          </cell>
          <cell r="FW136">
            <v>154.47974087161367</v>
          </cell>
          <cell r="FX136">
            <v>154.10248941176471</v>
          </cell>
          <cell r="FY136">
            <v>153.92588836104514</v>
          </cell>
          <cell r="GB136">
            <v>151.83734123222749</v>
          </cell>
          <cell r="GC136">
            <v>152.19800000000001</v>
          </cell>
          <cell r="GD136">
            <v>152.25400000000002</v>
          </cell>
          <cell r="GE136">
            <v>152.30400000000003</v>
          </cell>
        </row>
        <row r="137">
          <cell r="A137" t="str">
            <v>Month 2</v>
          </cell>
          <cell r="AN137" t="str">
            <v>Month 2</v>
          </cell>
          <cell r="DZ137">
            <v>83.683006535947712</v>
          </cell>
          <cell r="EA137">
            <v>83.497477976697922</v>
          </cell>
          <cell r="EB137">
            <v>84.412537774966609</v>
          </cell>
          <cell r="EC137">
            <v>85.098039215686271</v>
          </cell>
          <cell r="EF137">
            <v>83.816993464052288</v>
          </cell>
          <cell r="EG137">
            <v>83.637037037037032</v>
          </cell>
          <cell r="EH137">
            <v>83.816993464052288</v>
          </cell>
          <cell r="EI137">
            <v>83.3</v>
          </cell>
          <cell r="EL137">
            <v>83.3</v>
          </cell>
          <cell r="EM137">
            <v>83.48260368663594</v>
          </cell>
          <cell r="EN137">
            <v>169.85524926686216</v>
          </cell>
          <cell r="EO137">
            <v>170.55184331797236</v>
          </cell>
          <cell r="ER137">
            <v>157.22400932400933</v>
          </cell>
          <cell r="ES137">
            <v>156.86041190118294</v>
          </cell>
          <cell r="ET137">
            <v>156.12965622475542</v>
          </cell>
          <cell r="EU137">
            <v>156.76456876456876</v>
          </cell>
          <cell r="EX137">
            <v>156.31908806488991</v>
          </cell>
          <cell r="EY137">
            <v>156.88300000000001</v>
          </cell>
          <cell r="EZ137">
            <v>157.52099999999999</v>
          </cell>
          <cell r="FA137">
            <v>155.87039553990613</v>
          </cell>
          <cell r="FD137">
            <v>155.41239012925971</v>
          </cell>
          <cell r="FE137">
            <v>155.24200935672516</v>
          </cell>
          <cell r="FF137">
            <v>154.87530373831774</v>
          </cell>
          <cell r="FG137">
            <v>156.27410743801653</v>
          </cell>
          <cell r="FJ137">
            <v>154.26087382075474</v>
          </cell>
          <cell r="FK137">
            <v>154.44300000000001</v>
          </cell>
          <cell r="FL137">
            <v>154.97720374707259</v>
          </cell>
          <cell r="FM137">
            <v>155.12658823529412</v>
          </cell>
          <cell r="FP137">
            <v>154.48674911660777</v>
          </cell>
          <cell r="FQ137">
            <v>154.48674911660777</v>
          </cell>
          <cell r="FR137">
            <v>154.30378454332552</v>
          </cell>
          <cell r="FS137">
            <v>154.94674588235296</v>
          </cell>
          <cell r="FV137">
            <v>154.34800000000001</v>
          </cell>
          <cell r="FW137">
            <v>154.47974087161367</v>
          </cell>
          <cell r="FX137">
            <v>154.10248941176471</v>
          </cell>
          <cell r="FY137">
            <v>153.74501187648457</v>
          </cell>
          <cell r="GB137">
            <v>152.19800000000001</v>
          </cell>
          <cell r="GC137">
            <v>152.22800000000001</v>
          </cell>
          <cell r="GD137">
            <v>152.30400000000003</v>
          </cell>
          <cell r="GE137">
            <v>152.30400000000003</v>
          </cell>
        </row>
        <row r="138">
          <cell r="A138" t="str">
            <v>Month 3</v>
          </cell>
          <cell r="AN138" t="str">
            <v>Month 3</v>
          </cell>
          <cell r="DZ138">
            <v>83.683006535947712</v>
          </cell>
          <cell r="EA138">
            <v>84.415032679738559</v>
          </cell>
          <cell r="EB138">
            <v>85.330065359477118</v>
          </cell>
          <cell r="EC138">
            <v>84</v>
          </cell>
          <cell r="EF138">
            <v>84</v>
          </cell>
          <cell r="EG138">
            <v>83.637037037037032</v>
          </cell>
          <cell r="EH138">
            <v>84</v>
          </cell>
          <cell r="EI138">
            <v>83.3</v>
          </cell>
          <cell r="EL138">
            <v>83.3</v>
          </cell>
          <cell r="EM138">
            <v>83.48260368663594</v>
          </cell>
          <cell r="EN138">
            <v>170.21935483870968</v>
          </cell>
          <cell r="EO138">
            <v>158.5</v>
          </cell>
          <cell r="ER138">
            <v>157.22400932400933</v>
          </cell>
          <cell r="ES138">
            <v>156.31258741258742</v>
          </cell>
          <cell r="ET138">
            <v>156.49487179487181</v>
          </cell>
          <cell r="EU138">
            <v>156.4</v>
          </cell>
          <cell r="EX138">
            <v>157.047</v>
          </cell>
          <cell r="EY138">
            <v>156.88300000000001</v>
          </cell>
          <cell r="EZ138">
            <v>157.52099999999999</v>
          </cell>
          <cell r="FA138">
            <v>154.96100000000001</v>
          </cell>
          <cell r="FD138">
            <v>155.048</v>
          </cell>
          <cell r="FE138">
            <v>155.60599999999999</v>
          </cell>
          <cell r="FF138">
            <v>155.41999999999999</v>
          </cell>
          <cell r="FG138">
            <v>154.09100000000001</v>
          </cell>
          <cell r="FJ138">
            <v>154.44300000000001</v>
          </cell>
          <cell r="FK138">
            <v>154.44300000000001</v>
          </cell>
          <cell r="FL138">
            <v>155.34100000000001</v>
          </cell>
          <cell r="FM138">
            <v>154.4</v>
          </cell>
          <cell r="FP138">
            <v>154.30500000000001</v>
          </cell>
          <cell r="FQ138">
            <v>154.30500000000001</v>
          </cell>
          <cell r="FR138">
            <v>154.666</v>
          </cell>
          <cell r="FS138">
            <v>154.221</v>
          </cell>
          <cell r="FV138">
            <v>154.34800000000001</v>
          </cell>
          <cell r="FW138">
            <v>154.298</v>
          </cell>
          <cell r="FX138">
            <v>154.28399999999999</v>
          </cell>
          <cell r="FY138">
            <v>152.298</v>
          </cell>
          <cell r="GB138">
            <v>152.19800000000001</v>
          </cell>
          <cell r="GC138">
            <v>152.20400000000001</v>
          </cell>
          <cell r="GD138">
            <v>152.30400000000003</v>
          </cell>
          <cell r="GE138">
            <v>152.30400000000003</v>
          </cell>
        </row>
        <row r="139">
          <cell r="A139" t="str">
            <v>Total</v>
          </cell>
          <cell r="AN139" t="str">
            <v>Total</v>
          </cell>
          <cell r="DZ139">
            <v>83.683006535947712</v>
          </cell>
          <cell r="EA139">
            <v>84.415032679738559</v>
          </cell>
          <cell r="EB139">
            <v>85.330065359477118</v>
          </cell>
          <cell r="EC139">
            <v>84</v>
          </cell>
          <cell r="ED139">
            <v>84</v>
          </cell>
          <cell r="EF139">
            <v>84</v>
          </cell>
          <cell r="EG139">
            <v>83.637037037037032</v>
          </cell>
          <cell r="EH139">
            <v>84</v>
          </cell>
          <cell r="EI139">
            <v>83.3</v>
          </cell>
          <cell r="EJ139">
            <v>83.3</v>
          </cell>
          <cell r="EL139">
            <v>83.3</v>
          </cell>
          <cell r="EM139">
            <v>83.48260368663594</v>
          </cell>
          <cell r="EN139">
            <v>170.21935483870968</v>
          </cell>
          <cell r="EO139">
            <v>158.5</v>
          </cell>
          <cell r="EP139">
            <v>158.5</v>
          </cell>
          <cell r="ER139">
            <v>157.22400932400933</v>
          </cell>
          <cell r="ES139">
            <v>156.31258741258742</v>
          </cell>
          <cell r="ET139">
            <v>156.49487179487181</v>
          </cell>
          <cell r="EU139">
            <v>156.4</v>
          </cell>
          <cell r="EV139">
            <v>156.4</v>
          </cell>
          <cell r="EX139">
            <v>157.047</v>
          </cell>
          <cell r="EY139">
            <v>156.88300000000001</v>
          </cell>
          <cell r="EZ139">
            <v>157.52099999999999</v>
          </cell>
          <cell r="FA139">
            <v>154.96100000000001</v>
          </cell>
          <cell r="FB139">
            <v>154.96100000000001</v>
          </cell>
          <cell r="FD139">
            <v>155.048</v>
          </cell>
          <cell r="FE139">
            <v>155.60599999999999</v>
          </cell>
          <cell r="FF139">
            <v>155.41999999999999</v>
          </cell>
          <cell r="FG139">
            <v>154.09100000000001</v>
          </cell>
          <cell r="FH139">
            <v>154.09100000000001</v>
          </cell>
          <cell r="FJ139">
            <v>154.44300000000001</v>
          </cell>
          <cell r="FK139">
            <v>154.44300000000001</v>
          </cell>
          <cell r="FL139">
            <v>155.34100000000001</v>
          </cell>
          <cell r="FM139">
            <v>154.4</v>
          </cell>
          <cell r="FN139">
            <v>154.4</v>
          </cell>
          <cell r="FP139">
            <v>154.30500000000001</v>
          </cell>
          <cell r="FQ139">
            <v>154.30500000000001</v>
          </cell>
          <cell r="FR139">
            <v>154.666</v>
          </cell>
          <cell r="FS139">
            <v>154.221</v>
          </cell>
          <cell r="FT139">
            <v>154.221</v>
          </cell>
          <cell r="FV139">
            <v>154.34800000000001</v>
          </cell>
          <cell r="FW139">
            <v>154.298</v>
          </cell>
          <cell r="FX139">
            <v>154.28399999999999</v>
          </cell>
          <cell r="FY139">
            <v>152.298</v>
          </cell>
          <cell r="FZ139">
            <v>152.298</v>
          </cell>
          <cell r="GB139">
            <v>152.19800000000001</v>
          </cell>
          <cell r="GC139">
            <v>152.20400000000001</v>
          </cell>
          <cell r="GD139">
            <v>152.30400000000003</v>
          </cell>
          <cell r="GE139">
            <v>152.30400000000003</v>
          </cell>
          <cell r="GF139">
            <v>152.30400000000003</v>
          </cell>
        </row>
        <row r="141">
          <cell r="A141" t="str">
            <v>Dept. Stores Monthly Sales - % change</v>
          </cell>
          <cell r="AN141" t="str">
            <v>Dept. Stores Monthly Sales - % change</v>
          </cell>
        </row>
        <row r="142">
          <cell r="A142" t="str">
            <v>Month 1</v>
          </cell>
          <cell r="AN142" t="str">
            <v>Month 1</v>
          </cell>
          <cell r="BS142" t="str">
            <v xml:space="preserve"> --  </v>
          </cell>
          <cell r="BT142" t="str">
            <v xml:space="preserve"> --  </v>
          </cell>
          <cell r="BU142" t="str">
            <v xml:space="preserve"> --  </v>
          </cell>
          <cell r="BV142" t="str">
            <v xml:space="preserve"> --  </v>
          </cell>
          <cell r="BY142">
            <v>4.014598540145986E-2</v>
          </cell>
          <cell r="BZ142">
            <v>7.0000000000000062E-2</v>
          </cell>
          <cell r="CA142">
            <v>8.999999999999897E-3</v>
          </cell>
          <cell r="CB142">
            <v>2.4000000000000021E-2</v>
          </cell>
          <cell r="CP142">
            <v>2.4489400832446107E-2</v>
          </cell>
          <cell r="CQ142">
            <v>3.166037057024651E-2</v>
          </cell>
          <cell r="CR142">
            <v>4.2093998037991742E-2</v>
          </cell>
          <cell r="CS142">
            <v>8.2543367511445087E-3</v>
          </cell>
          <cell r="CV142">
            <v>0</v>
          </cell>
          <cell r="CW142">
            <v>7.4106364428945248E-3</v>
          </cell>
          <cell r="CX142">
            <v>-3.5000000000000031E-2</v>
          </cell>
          <cell r="CY142">
            <v>-1.5669971218420176E-2</v>
          </cell>
          <cell r="DB142">
            <v>-3.1557067271353101E-2</v>
          </cell>
          <cell r="DC142">
            <v>-7.3561228905235643E-3</v>
          </cell>
          <cell r="DD142">
            <v>-7.6290182045534172E-3</v>
          </cell>
          <cell r="DE142">
            <v>-2.5990903183885639E-2</v>
          </cell>
          <cell r="DH142">
            <v>-1</v>
          </cell>
          <cell r="DI142">
            <v>-1</v>
          </cell>
          <cell r="DJ142">
            <v>-1</v>
          </cell>
          <cell r="DK142">
            <v>-1</v>
          </cell>
          <cell r="DN142" t="str">
            <v>NA</v>
          </cell>
          <cell r="DO142" t="str">
            <v>NA</v>
          </cell>
          <cell r="DP142" t="str">
            <v>NA</v>
          </cell>
          <cell r="DQ142" t="str">
            <v>NA</v>
          </cell>
          <cell r="DT142">
            <v>-3.0527289546716019E-2</v>
          </cell>
          <cell r="DU142">
            <v>-9.4745908699397363E-3</v>
          </cell>
          <cell r="DV142">
            <v>-3.8938053097345104E-2</v>
          </cell>
          <cell r="DW142">
            <v>-5.8785942492012744E-2</v>
          </cell>
          <cell r="DZ142">
            <v>-6.0114503816793841E-2</v>
          </cell>
          <cell r="EA142">
            <v>-1.1304347826086913E-2</v>
          </cell>
          <cell r="EB142">
            <v>-7.3664825046040328E-3</v>
          </cell>
          <cell r="EC142">
            <v>-8.8255261371350535E-3</v>
          </cell>
          <cell r="EF142">
            <v>9.6446700507614169E-2</v>
          </cell>
          <cell r="EG142">
            <v>3.9577836411609502E-2</v>
          </cell>
          <cell r="EH142">
            <v>-2.0408163265306145E-2</v>
          </cell>
          <cell r="EI142">
            <v>-9.5890410958904271E-3</v>
          </cell>
          <cell r="EL142">
            <v>1.5740740740740833E-2</v>
          </cell>
          <cell r="EM142">
            <v>5.9221658206429773E-3</v>
          </cell>
          <cell r="EN142">
            <v>1.1363636363636465E-2</v>
          </cell>
          <cell r="EO142">
            <v>0.80982019363762103</v>
          </cell>
          <cell r="ER142">
            <v>0.64083865086599823</v>
          </cell>
          <cell r="ES142">
            <v>0.70395290159798152</v>
          </cell>
          <cell r="ET142">
            <v>0.61704119850187267</v>
          </cell>
          <cell r="EU142">
            <v>-8.8651127244936956E-2</v>
          </cell>
          <cell r="EX142">
            <v>1.1111111111110628E-3</v>
          </cell>
          <cell r="EY142">
            <v>-2.4679170779861814E-2</v>
          </cell>
          <cell r="EZ142">
            <v>3.5321366531557707E-2</v>
          </cell>
          <cell r="FA142">
            <v>0.13501048218029355</v>
          </cell>
          <cell r="FD142">
            <v>-3.6071032186459462E-2</v>
          </cell>
          <cell r="FE142">
            <v>-2.5303643724696401E-2</v>
          </cell>
          <cell r="FF142">
            <v>-5.7046979865771785E-2</v>
          </cell>
          <cell r="FG142">
            <v>-0.14148503878832652</v>
          </cell>
          <cell r="FJ142">
            <v>-7.7376206594334418E-2</v>
          </cell>
          <cell r="FK142">
            <v>-7.3854331133361484E-2</v>
          </cell>
          <cell r="FL142">
            <v>-6.5154745638739242E-2</v>
          </cell>
          <cell r="FM142">
            <v>-5.2161507132639562E-2</v>
          </cell>
          <cell r="FP142">
            <v>4.0186303599689444E-2</v>
          </cell>
          <cell r="FQ142">
            <v>2.9395500964750632E-3</v>
          </cell>
          <cell r="FR142">
            <v>3.9241783148511233E-2</v>
          </cell>
          <cell r="FS142">
            <v>6.2749594749162307E-2</v>
          </cell>
          <cell r="FV142">
            <v>5.7588482303539301E-2</v>
          </cell>
          <cell r="FW142">
            <v>8.2727780883175006E-2</v>
          </cell>
          <cell r="FX142">
            <v>4.6398046398046455E-2</v>
          </cell>
          <cell r="FY142">
            <v>5.2968816744980884E-2</v>
          </cell>
          <cell r="GB142">
            <v>5.5019852524106572E-2</v>
          </cell>
          <cell r="GC142">
            <v>4.0268456375838868E-2</v>
          </cell>
          <cell r="GD142">
            <v>5.7176196032672211E-2</v>
          </cell>
          <cell r="GE142">
            <v>3.0252351388493137E-2</v>
          </cell>
        </row>
        <row r="143">
          <cell r="A143" t="str">
            <v>Month 2</v>
          </cell>
          <cell r="AN143" t="str">
            <v>Month 2</v>
          </cell>
          <cell r="BS143" t="str">
            <v xml:space="preserve"> --  </v>
          </cell>
          <cell r="BT143" t="str">
            <v xml:space="preserve"> --  </v>
          </cell>
          <cell r="BU143" t="str">
            <v xml:space="preserve"> --  </v>
          </cell>
          <cell r="BV143" t="str">
            <v xml:space="preserve"> --  </v>
          </cell>
          <cell r="BY143">
            <v>-2.4999999999999911E-2</v>
          </cell>
          <cell r="BZ143">
            <v>4.8000000000000043E-2</v>
          </cell>
          <cell r="CA143">
            <v>4.8999999999999932E-2</v>
          </cell>
          <cell r="CB143">
            <v>1.2999999999999901E-2</v>
          </cell>
          <cell r="CP143">
            <v>9.4745908699398473E-3</v>
          </cell>
          <cell r="CQ143">
            <v>3.8961038961038863E-2</v>
          </cell>
          <cell r="CR143">
            <v>3.4921997996278709E-2</v>
          </cell>
          <cell r="CS143">
            <v>2.2241668489753064E-3</v>
          </cell>
          <cell r="CV143">
            <v>-9.3080980452997508E-4</v>
          </cell>
          <cell r="CW143">
            <v>2.2966867469879526E-2</v>
          </cell>
          <cell r="CX143">
            <v>-2.0000000000000018E-2</v>
          </cell>
          <cell r="CY143">
            <v>4.3799999999999839E-2</v>
          </cell>
          <cell r="DB143">
            <v>4.2701863354037251E-2</v>
          </cell>
          <cell r="DC143">
            <v>3.5701140964298883E-2</v>
          </cell>
          <cell r="DD143">
            <v>4.0387334577032252E-3</v>
          </cell>
          <cell r="DE143">
            <v>1.6349047946182971E-2</v>
          </cell>
          <cell r="DH143">
            <v>-1</v>
          </cell>
          <cell r="DI143">
            <v>-1</v>
          </cell>
          <cell r="DJ143">
            <v>-1</v>
          </cell>
          <cell r="DK143">
            <v>-1</v>
          </cell>
          <cell r="DN143" t="str">
            <v>NA</v>
          </cell>
          <cell r="DO143" t="str">
            <v>NA</v>
          </cell>
          <cell r="DP143" t="str">
            <v>NA</v>
          </cell>
          <cell r="DQ143" t="str">
            <v>NA</v>
          </cell>
          <cell r="DT143">
            <v>-4.5558086560364419E-3</v>
          </cell>
          <cell r="DU143">
            <v>3.0920060331824928E-2</v>
          </cell>
          <cell r="DV143">
            <v>2.0170674941815347E-2</v>
          </cell>
          <cell r="DW143">
            <v>-8.2289803220035873E-3</v>
          </cell>
          <cell r="DZ143">
            <v>-5.9496567505720854E-2</v>
          </cell>
          <cell r="EA143">
            <v>-2.1945866861741048E-2</v>
          </cell>
          <cell r="EB143">
            <v>2.8136882129277563E-2</v>
          </cell>
          <cell r="EC143">
            <v>3.6075036075036149E-3</v>
          </cell>
          <cell r="EF143">
            <v>7.5425790754257926E-2</v>
          </cell>
          <cell r="EG143">
            <v>4.2632759910246731E-2</v>
          </cell>
          <cell r="EH143">
            <v>6.6568047337278724E-3</v>
          </cell>
          <cell r="EI143">
            <v>2.6599568655643502E-2</v>
          </cell>
          <cell r="EL143">
            <v>3.3936651583710509E-2</v>
          </cell>
          <cell r="EM143">
            <v>3.0129124820659881E-2</v>
          </cell>
          <cell r="EN143">
            <v>0.81043350477590015</v>
          </cell>
          <cell r="EO143">
            <v>0.91141456582633062</v>
          </cell>
          <cell r="ER143">
            <v>0.64478482859226838</v>
          </cell>
          <cell r="ES143">
            <v>0.64832869080779942</v>
          </cell>
          <cell r="ET143">
            <v>-6.5340909090909061E-2</v>
          </cell>
          <cell r="EU143">
            <v>-8.4630884777431747E-2</v>
          </cell>
          <cell r="EX143">
            <v>1.4634146341463428E-2</v>
          </cell>
          <cell r="EY143">
            <v>-1.9433882551753268E-2</v>
          </cell>
          <cell r="EZ143">
            <v>-1.2592270950933515E-2</v>
          </cell>
          <cell r="FA143">
            <v>-7.4644786872123281E-2</v>
          </cell>
          <cell r="FD143">
            <v>-6.3811188811188857E-2</v>
          </cell>
          <cell r="FE143">
            <v>-3.1021111589832007E-2</v>
          </cell>
          <cell r="FF143">
            <v>-7.9595426561125726E-2</v>
          </cell>
          <cell r="FG143">
            <v>-4.9091695501730093E-2</v>
          </cell>
          <cell r="FJ143">
            <v>-8.3193732222893169E-2</v>
          </cell>
          <cell r="FK143">
            <v>-6.9545735689765187E-2</v>
          </cell>
          <cell r="FL143">
            <v>-4.2277671038386533E-3</v>
          </cell>
          <cell r="FM143">
            <v>1.7686910874161521E-2</v>
          </cell>
          <cell r="FP143">
            <v>0.10601949166366365</v>
          </cell>
          <cell r="FQ143">
            <v>6.5186325382629029E-2</v>
          </cell>
          <cell r="FR143">
            <v>4.6469139412921301E-2</v>
          </cell>
          <cell r="FS143">
            <v>3.2231974812141573E-2</v>
          </cell>
          <cell r="FV143">
            <v>1.5653775322283625E-2</v>
          </cell>
          <cell r="FW143">
            <v>7.3126962763571113E-2</v>
          </cell>
          <cell r="FX143">
            <v>5.3645116918844549E-2</v>
          </cell>
          <cell r="FY143">
            <v>6.6248105650573708E-2</v>
          </cell>
          <cell r="GB143">
            <v>6.8902991840435135E-2</v>
          </cell>
          <cell r="GC143">
            <v>8.3612040133780319E-3</v>
          </cell>
          <cell r="GD143">
            <v>1.7979142315035279E-2</v>
          </cell>
          <cell r="GE143">
            <v>3.0252351388493137E-2</v>
          </cell>
        </row>
        <row r="144">
          <cell r="A144" t="str">
            <v>Month 3</v>
          </cell>
          <cell r="AN144" t="str">
            <v>Month 3</v>
          </cell>
          <cell r="BS144" t="str">
            <v xml:space="preserve"> --  </v>
          </cell>
          <cell r="BT144" t="str">
            <v xml:space="preserve"> --  </v>
          </cell>
          <cell r="BU144" t="str">
            <v xml:space="preserve"> --  </v>
          </cell>
          <cell r="BV144" t="str">
            <v xml:space="preserve"> --  </v>
          </cell>
          <cell r="BY144">
            <v>-1</v>
          </cell>
          <cell r="BZ144">
            <v>-1</v>
          </cell>
          <cell r="CA144">
            <v>-1</v>
          </cell>
          <cell r="CB144">
            <v>-1</v>
          </cell>
          <cell r="CP144">
            <v>7.1176173649671881E-2</v>
          </cell>
          <cell r="CQ144">
            <v>9.3491388951017607E-2</v>
          </cell>
          <cell r="CR144">
            <v>3.7600880410858295E-2</v>
          </cell>
          <cell r="CS144">
            <v>9.5674437407358148E-3</v>
          </cell>
          <cell r="CV144">
            <v>4.7125353440150786E-2</v>
          </cell>
          <cell r="CW144">
            <v>3.3442421763141716E-2</v>
          </cell>
          <cell r="CX144">
            <v>-2.6799999999999935E-2</v>
          </cell>
          <cell r="CY144">
            <v>6.7805659369994498E-2</v>
          </cell>
          <cell r="DB144">
            <v>-3.0603060306030549E-2</v>
          </cell>
          <cell r="DC144">
            <v>4.4532409698170294E-3</v>
          </cell>
          <cell r="DD144">
            <v>5.2999999999999999E-2</v>
          </cell>
          <cell r="DE144">
            <v>-2.1249999999999991E-2</v>
          </cell>
          <cell r="DH144">
            <v>-1</v>
          </cell>
          <cell r="DI144">
            <v>-1</v>
          </cell>
          <cell r="DJ144">
            <v>-1</v>
          </cell>
          <cell r="DK144">
            <v>-1</v>
          </cell>
          <cell r="DN144" t="str">
            <v>NA</v>
          </cell>
          <cell r="DO144" t="str">
            <v>NA</v>
          </cell>
          <cell r="DP144" t="str">
            <v>NA</v>
          </cell>
          <cell r="DQ144" t="str">
            <v>NA</v>
          </cell>
          <cell r="DT144">
            <v>-5.5938037865748691E-2</v>
          </cell>
          <cell r="DU144">
            <v>-3.4825870646766122E-2</v>
          </cell>
          <cell r="DV144">
            <v>2.3629489603024467E-2</v>
          </cell>
          <cell r="DW144">
            <v>1.2919896640826156E-3</v>
          </cell>
          <cell r="DZ144">
            <v>-1.9143117593436676E-2</v>
          </cell>
          <cell r="EA144">
            <v>-7.2164948453607991E-3</v>
          </cell>
          <cell r="EB144">
            <v>-2.3084025854108958E-2</v>
          </cell>
          <cell r="EC144">
            <v>5.0322580645161263E-2</v>
          </cell>
          <cell r="EF144">
            <v>6.3197026022304925E-2</v>
          </cell>
          <cell r="EG144">
            <v>4.3613707165109039E-2</v>
          </cell>
          <cell r="EH144">
            <v>4.7258979206049156E-2</v>
          </cell>
          <cell r="EI144">
            <v>4.9140049140048436E-3</v>
          </cell>
          <cell r="EL144">
            <v>2.5349650349650421E-2</v>
          </cell>
          <cell r="EM144">
            <v>-6.9651741293532687E-3</v>
          </cell>
          <cell r="EN144">
            <v>0.82581227436823101</v>
          </cell>
          <cell r="EO144">
            <v>0.82762836185819078</v>
          </cell>
          <cell r="ER144">
            <v>0.60102301790281332</v>
          </cell>
          <cell r="ES144">
            <v>0.61122244488977961</v>
          </cell>
          <cell r="ET144">
            <v>-7.909045971329709E-2</v>
          </cell>
          <cell r="EU144">
            <v>0.19063545150501682</v>
          </cell>
          <cell r="EX144">
            <v>-2.183173588924392E-2</v>
          </cell>
          <cell r="EY144">
            <v>-3.7313432835820448E-3</v>
          </cell>
          <cell r="EZ144">
            <v>-7.5147611379495771E-3</v>
          </cell>
          <cell r="FA144">
            <v>-0.28483146067415732</v>
          </cell>
          <cell r="FD144">
            <v>1.6875340228633684E-2</v>
          </cell>
          <cell r="FE144">
            <v>-3.6828963795255909E-2</v>
          </cell>
          <cell r="FF144">
            <v>-7.3012439156300735E-2</v>
          </cell>
          <cell r="FG144">
            <v>-4.7132757266300063E-2</v>
          </cell>
          <cell r="FJ144">
            <v>-7.8906078546147729E-2</v>
          </cell>
          <cell r="FK144">
            <v>-8.6421386047222271E-2</v>
          </cell>
          <cell r="FL144">
            <v>6.8259146413351957E-3</v>
          </cell>
          <cell r="FM144">
            <v>4.5716401865264711E-2</v>
          </cell>
          <cell r="FP144">
            <v>1.0691920195042393E-2</v>
          </cell>
          <cell r="FQ144">
            <v>8.3955625466711314E-2</v>
          </cell>
          <cell r="FR144">
            <v>4.6532073995587009E-2</v>
          </cell>
          <cell r="FS144">
            <v>3.2753260808866314E-2</v>
          </cell>
          <cell r="FV144">
            <v>0.10408280621046573</v>
          </cell>
          <cell r="FW144">
            <v>5.4973821989528826E-2</v>
          </cell>
          <cell r="FX144">
            <v>1.9933554817275656E-2</v>
          </cell>
          <cell r="FY144">
            <v>1.984732824427482E-2</v>
          </cell>
          <cell r="GB144">
            <v>4.1666666666666519E-3</v>
          </cell>
          <cell r="GC144">
            <v>5.0248138957816435E-2</v>
          </cell>
          <cell r="GD144">
            <v>4.1460682896476753E-2</v>
          </cell>
          <cell r="GE144">
            <v>0.31255170783595321</v>
          </cell>
        </row>
        <row r="145">
          <cell r="A145" t="str">
            <v>Total</v>
          </cell>
          <cell r="AN145" t="str">
            <v>Total</v>
          </cell>
          <cell r="BS145" t="str">
            <v xml:space="preserve"> --  </v>
          </cell>
          <cell r="BT145" t="str">
            <v xml:space="preserve"> --  </v>
          </cell>
          <cell r="BU145" t="str">
            <v xml:space="preserve"> --  </v>
          </cell>
          <cell r="BV145" t="str">
            <v xml:space="preserve"> --  </v>
          </cell>
          <cell r="BW145" t="str">
            <v xml:space="preserve"> --  </v>
          </cell>
          <cell r="BY145">
            <v>-1</v>
          </cell>
          <cell r="BZ145">
            <v>-1</v>
          </cell>
          <cell r="CA145">
            <v>-1</v>
          </cell>
          <cell r="CB145">
            <v>-1</v>
          </cell>
          <cell r="CF145">
            <v>-1</v>
          </cell>
          <cell r="CP145">
            <v>3.2690035447026533E-2</v>
          </cell>
          <cell r="CQ145">
            <v>5.1336703002253348E-2</v>
          </cell>
          <cell r="CR145">
            <v>3.7959602116871327E-2</v>
          </cell>
          <cell r="CS145">
            <v>5.1634428248001907E-3</v>
          </cell>
          <cell r="CT145">
            <v>3.3414978803579842</v>
          </cell>
          <cell r="CV145">
            <v>-1.5138179897905446E-2</v>
          </cell>
          <cell r="CW145">
            <v>2.0765755329008373E-2</v>
          </cell>
          <cell r="CX145">
            <v>-2.6732607244868034E-2</v>
          </cell>
          <cell r="CY145">
            <v>2.8982704390089653E-2</v>
          </cell>
          <cell r="CZ145">
            <v>4.2536515007434161E-3</v>
          </cell>
          <cell r="DB145">
            <v>3.3661006851355424E-2</v>
          </cell>
          <cell r="DC145">
            <v>2.3975031919421186E-2</v>
          </cell>
          <cell r="DD145">
            <v>1.2354237926307077E-2</v>
          </cell>
          <cell r="DE145">
            <v>9.7745834057736403E-3</v>
          </cell>
          <cell r="DF145">
            <v>1.8648853027320111E-2</v>
          </cell>
          <cell r="DH145">
            <v>2.9682997118155585E-2</v>
          </cell>
          <cell r="DI145">
            <v>1.9395954558049322E-2</v>
          </cell>
          <cell r="DJ145">
            <v>2.4654565158493735E-2</v>
          </cell>
          <cell r="DK145">
            <v>6.560182544209936E-2</v>
          </cell>
          <cell r="DL145">
            <v>3.7993636533782515E-2</v>
          </cell>
          <cell r="DN145">
            <v>-4.7579065211307281E-3</v>
          </cell>
          <cell r="DO145">
            <v>-5.191628159826045E-2</v>
          </cell>
          <cell r="DP145">
            <v>-8.1173982020095181E-2</v>
          </cell>
          <cell r="DQ145">
            <v>-8.4225553176302648E-2</v>
          </cell>
          <cell r="DR145">
            <v>-5.126818127178745E-2</v>
          </cell>
          <cell r="DT145">
            <v>-2.8965129358830111E-2</v>
          </cell>
          <cell r="DU145">
            <v>-5.7339449541282672E-4</v>
          </cell>
          <cell r="DV145">
            <v>1.1510791366906581E-3</v>
          </cell>
          <cell r="DW145">
            <v>-2.2408417770849565E-2</v>
          </cell>
          <cell r="DX145">
            <v>-1.3557174532784266E-2</v>
          </cell>
          <cell r="DZ145">
            <v>-4.6915725456125101E-2</v>
          </cell>
          <cell r="EA145">
            <v>-1.4916810097532984E-2</v>
          </cell>
          <cell r="EB145">
            <v>2.012072434607548E-3</v>
          </cell>
          <cell r="EC145">
            <v>7.1756029499701057E-3</v>
          </cell>
          <cell r="ED145">
            <v>-1.0211290218996805E-2</v>
          </cell>
          <cell r="EF145">
            <v>7.8699483439683915E-2</v>
          </cell>
          <cell r="EG145">
            <v>4.2807221898660375E-2</v>
          </cell>
          <cell r="EH145">
            <v>1.1187607573149849E-2</v>
          </cell>
          <cell r="EI145">
            <v>1.3259449831783066E-2</v>
          </cell>
          <cell r="EJ145">
            <v>2.361796003114458E-2</v>
          </cell>
          <cell r="EL145">
            <v>2.5633802816901419E-2</v>
          </cell>
          <cell r="EM145">
            <v>1.1728567439262871E-2</v>
          </cell>
          <cell r="EN145">
            <v>0.57588652482269498</v>
          </cell>
          <cell r="EO145">
            <v>0.86933593750000004</v>
          </cell>
          <cell r="EP145">
            <v>0.41924442190669375</v>
          </cell>
          <cell r="ER145">
            <v>0.62867344136226322</v>
          </cell>
          <cell r="ES145">
            <v>0.65470604471432514</v>
          </cell>
          <cell r="ET145">
            <v>5.9585958595859578E-2</v>
          </cell>
          <cell r="EU145">
            <v>-4.3046703583742518E-2</v>
          </cell>
          <cell r="EV145">
            <v>0.20455560518088434</v>
          </cell>
          <cell r="EX145">
            <v>-1.5177065767284503E-3</v>
          </cell>
          <cell r="EY145">
            <v>-1.7180984153461254E-2</v>
          </cell>
          <cell r="EZ145">
            <v>3.397893306150257E-3</v>
          </cell>
          <cell r="FA145">
            <v>-6.1687957200567745E-2</v>
          </cell>
          <cell r="FB145">
            <v>-2.4360400444938812E-2</v>
          </cell>
          <cell r="FD145">
            <v>-2.9386927883803371E-2</v>
          </cell>
          <cell r="FE145">
            <v>-2.9531568228105876E-2</v>
          </cell>
          <cell r="FF145">
            <v>-6.9928885878767333E-2</v>
          </cell>
          <cell r="FG145">
            <v>-7.6797765883174329E-2</v>
          </cell>
          <cell r="FH145">
            <v>-5.4003724394785846E-2</v>
          </cell>
          <cell r="FJ145">
            <v>-7.9867757090655966E-2</v>
          </cell>
          <cell r="FK145">
            <v>-7.5725778244141284E-2</v>
          </cell>
          <cell r="FL145">
            <v>-1.9661387220098359E-2</v>
          </cell>
          <cell r="FM145">
            <v>3.7811948575749987E-4</v>
          </cell>
          <cell r="FN145">
            <v>-4.0053029085650005E-2</v>
          </cell>
          <cell r="FP145">
            <v>5.4084720121028829E-2</v>
          </cell>
          <cell r="FQ145">
            <v>4.7682119205298079E-2</v>
          </cell>
          <cell r="FR145">
            <v>4.4196843082636939E-2</v>
          </cell>
          <cell r="FS145">
            <v>4.182940657679235E-2</v>
          </cell>
          <cell r="FT145">
            <v>4.6369533375183014E-2</v>
          </cell>
          <cell r="FV145">
            <v>5.6512378902045191E-2</v>
          </cell>
          <cell r="FW145">
            <v>7.2602492324363332E-2</v>
          </cell>
          <cell r="FX145">
            <v>4.0903432331495626E-2</v>
          </cell>
          <cell r="FY145">
            <v>5.5024791389527206E-2</v>
          </cell>
          <cell r="FZ145">
            <v>5.60732712074552E-2</v>
          </cell>
          <cell r="GB145">
            <v>4.313126167430803E-2</v>
          </cell>
          <cell r="GC145">
            <v>3.0139754167368249E-2</v>
          </cell>
          <cell r="GD145">
            <v>3.7021467099822347E-2</v>
          </cell>
          <cell r="GE145">
            <v>7.372007776590972E-2</v>
          </cell>
          <cell r="GF145">
            <v>4.8961204520547419E-2</v>
          </cell>
        </row>
        <row r="147">
          <cell r="A147" t="str">
            <v>Dept. Stores Monthly Sales - % of Total Year</v>
          </cell>
          <cell r="AN147" t="str">
            <v>Dept. Stores Monthly Sales - % of Total Year</v>
          </cell>
        </row>
        <row r="148">
          <cell r="A148" t="str">
            <v>Month 1</v>
          </cell>
          <cell r="AN148" t="str">
            <v>Month 1</v>
          </cell>
          <cell r="BS148">
            <v>6.3992993467868478E-2</v>
          </cell>
          <cell r="BT148">
            <v>6.9693099295697544E-2</v>
          </cell>
          <cell r="BU148">
            <v>7.6641243659453337E-2</v>
          </cell>
          <cell r="BV148">
            <v>9.6536875524577598E-2</v>
          </cell>
          <cell r="CP148">
            <v>6.7547817651526273E-2</v>
          </cell>
          <cell r="CQ148">
            <v>7.3202330731576559E-2</v>
          </cell>
          <cell r="CR148">
            <v>7.4574475553484926E-2</v>
          </cell>
          <cell r="CS148">
            <v>9.9783647862964217E-2</v>
          </cell>
          <cell r="CV148">
            <v>6.7261709778783194E-2</v>
          </cell>
          <cell r="CW148">
            <v>7.3432450537966709E-2</v>
          </cell>
          <cell r="CX148">
            <v>7.1659554139106546E-2</v>
          </cell>
          <cell r="CY148">
            <v>9.7804016770169422E-2</v>
          </cell>
          <cell r="DB148">
            <v>6.3946596793312119E-2</v>
          </cell>
          <cell r="DC148">
            <v>7.1557801484808781E-2</v>
          </cell>
          <cell r="DD148">
            <v>6.9810967621186604E-2</v>
          </cell>
          <cell r="DE148">
            <v>9.3517998627487678E-2</v>
          </cell>
          <cell r="DH148">
            <v>0</v>
          </cell>
          <cell r="DI148">
            <v>0</v>
          </cell>
          <cell r="DJ148">
            <v>0</v>
          </cell>
          <cell r="DK148">
            <v>0</v>
          </cell>
          <cell r="DN148">
            <v>6.8482736775419703E-2</v>
          </cell>
          <cell r="DO148">
            <v>7.3550839404497942E-2</v>
          </cell>
          <cell r="DP148">
            <v>7.1586949635730118E-2</v>
          </cell>
          <cell r="DQ148">
            <v>9.9144757681343051E-2</v>
          </cell>
          <cell r="DT148">
            <v>6.7304604713891214E-2</v>
          </cell>
          <cell r="DU148">
            <v>7.3855243722304287E-2</v>
          </cell>
          <cell r="DV148">
            <v>6.9745038854280392E-2</v>
          </cell>
          <cell r="DW148">
            <v>9.459893391561236E-2</v>
          </cell>
          <cell r="DZ148">
            <v>6.3911237996366471E-2</v>
          </cell>
          <cell r="EA148">
            <v>7.3773682844536725E-2</v>
          </cell>
          <cell r="EB148">
            <v>6.9945497015312746E-2</v>
          </cell>
          <cell r="EC148">
            <v>9.4731378146898526E-2</v>
          </cell>
          <cell r="EF148">
            <v>6.8458417849898576E-2</v>
          </cell>
          <cell r="EG148">
            <v>7.4923935091277885E-2</v>
          </cell>
          <cell r="EH148">
            <v>6.6937119675456389E-2</v>
          </cell>
          <cell r="EI148">
            <v>9.1658215010141986E-2</v>
          </cell>
          <cell r="EL148">
            <v>4.899508709245199E-2</v>
          </cell>
          <cell r="EM148">
            <v>5.3104064314426082E-2</v>
          </cell>
          <cell r="EN148">
            <v>4.769986601161233E-2</v>
          </cell>
          <cell r="EO148">
            <v>0.11688253684680661</v>
          </cell>
          <cell r="ER148">
            <v>6.6740823136818686E-2</v>
          </cell>
          <cell r="ES148">
            <v>7.5120504263997037E-2</v>
          </cell>
          <cell r="ET148">
            <v>6.4034111976269931E-2</v>
          </cell>
          <cell r="EU148">
            <v>8.8431590656284767E-2</v>
          </cell>
          <cell r="EX148">
            <v>6.8483259225477905E-2</v>
          </cell>
          <cell r="EY148">
            <v>7.5095960171778206E-2</v>
          </cell>
          <cell r="EZ148">
            <v>6.795120282749971E-2</v>
          </cell>
          <cell r="FA148">
            <v>0.10287690495192491</v>
          </cell>
          <cell r="FD148">
            <v>6.9781455889442387E-2</v>
          </cell>
          <cell r="FE148">
            <v>7.7374256789329909E-2</v>
          </cell>
          <cell r="FF148">
            <v>6.7732604852964812E-2</v>
          </cell>
          <cell r="FG148">
            <v>9.3363329583802029E-2</v>
          </cell>
          <cell r="FJ148">
            <v>6.7068320951899615E-2</v>
          </cell>
          <cell r="FK148">
            <v>7.4649782725973876E-2</v>
          </cell>
          <cell r="FL148">
            <v>6.5961460508603714E-2</v>
          </cell>
          <cell r="FM148">
            <v>9.2185673045563743E-2</v>
          </cell>
          <cell r="FP148">
            <v>6.6671999360076797E-2</v>
          </cell>
          <cell r="FQ148">
            <v>7.155141383034036E-2</v>
          </cell>
          <cell r="FR148">
            <v>6.5512138543374801E-2</v>
          </cell>
          <cell r="FS148">
            <v>9.3628764548254209E-2</v>
          </cell>
          <cell r="FV148">
            <v>6.6767657640598374E-2</v>
          </cell>
          <cell r="FW148">
            <v>7.3357318689642112E-2</v>
          </cell>
          <cell r="FX148">
            <v>6.49119484946033E-2</v>
          </cell>
          <cell r="FY148">
            <v>9.3353531528119676E-2</v>
          </cell>
          <cell r="GB148">
            <v>6.7153297961635244E-2</v>
          </cell>
          <cell r="GC148">
            <v>7.2749406125104846E-2</v>
          </cell>
          <cell r="GD148">
            <v>6.5420309627141432E-2</v>
          </cell>
          <cell r="GE148">
            <v>9.1688515221328329E-2</v>
          </cell>
        </row>
        <row r="149">
          <cell r="A149" t="str">
            <v>Month 2</v>
          </cell>
          <cell r="AN149" t="str">
            <v>Month 2</v>
          </cell>
          <cell r="BS149">
            <v>8.4866620443017182E-2</v>
          </cell>
          <cell r="BT149">
            <v>8.483742655913587E-2</v>
          </cell>
          <cell r="BU149">
            <v>9.3559099368682272E-2</v>
          </cell>
          <cell r="BV149">
            <v>0.18623508374995437</v>
          </cell>
          <cell r="CP149">
            <v>8.2277632762989106E-2</v>
          </cell>
          <cell r="CQ149">
            <v>8.4753875511363277E-2</v>
          </cell>
          <cell r="CR149">
            <v>9.2297480997389741E-2</v>
          </cell>
          <cell r="CS149">
            <v>0.1754239289292803</v>
          </cell>
          <cell r="CV149">
            <v>8.1852874333968956E-2</v>
          </cell>
          <cell r="CW149">
            <v>8.6333175297124864E-2</v>
          </cell>
          <cell r="CX149">
            <v>9.0068411742663196E-2</v>
          </cell>
          <cell r="CY149">
            <v>0.18233192056882172</v>
          </cell>
          <cell r="DB149">
            <v>8.3785638530164075E-2</v>
          </cell>
          <cell r="DC149">
            <v>8.7778401647014781E-2</v>
          </cell>
          <cell r="DD149">
            <v>8.8776592426227457E-2</v>
          </cell>
          <cell r="DE149">
            <v>0.18192026951151039</v>
          </cell>
          <cell r="DH149">
            <v>0</v>
          </cell>
          <cell r="DI149">
            <v>0</v>
          </cell>
          <cell r="DJ149">
            <v>0</v>
          </cell>
          <cell r="DK149">
            <v>0</v>
          </cell>
          <cell r="DN149">
            <v>8.3433639531200504E-2</v>
          </cell>
          <cell r="DO149">
            <v>8.4003801076971807E-2</v>
          </cell>
          <cell r="DP149">
            <v>8.1659803611023124E-2</v>
          </cell>
          <cell r="DQ149">
            <v>0.17706683560342096</v>
          </cell>
          <cell r="DT149">
            <v>8.4194977843426888E-2</v>
          </cell>
          <cell r="DU149">
            <v>8.7791407102947791E-2</v>
          </cell>
          <cell r="DV149">
            <v>8.445186564767837E-2</v>
          </cell>
          <cell r="DW149">
            <v>0.17802324834628477</v>
          </cell>
          <cell r="DZ149">
            <v>8.0002595380223196E-2</v>
          </cell>
          <cell r="EA149">
            <v>8.6750583960550215E-2</v>
          </cell>
          <cell r="EB149">
            <v>8.7723851544251233E-2</v>
          </cell>
          <cell r="EC149">
            <v>0.18050869452374774</v>
          </cell>
          <cell r="EF149">
            <v>8.4051724137931036E-2</v>
          </cell>
          <cell r="EG149">
            <v>8.8362068965517238E-2</v>
          </cell>
          <cell r="EH149">
            <v>8.6270283975659223E-2</v>
          </cell>
          <cell r="EI149">
            <v>0.18103448275862069</v>
          </cell>
          <cell r="EL149">
            <v>6.1232693166592231E-2</v>
          </cell>
          <cell r="EM149">
            <v>6.413577489950871E-2</v>
          </cell>
          <cell r="EN149">
            <v>0.11004912907548013</v>
          </cell>
          <cell r="EO149">
            <v>0.24381420276909335</v>
          </cell>
          <cell r="ER149">
            <v>8.3611420096403405E-2</v>
          </cell>
          <cell r="ES149">
            <v>8.776418242491657E-2</v>
          </cell>
          <cell r="ET149">
            <v>8.5391175380051906E-2</v>
          </cell>
          <cell r="EU149">
            <v>0.18527994067482387</v>
          </cell>
          <cell r="EX149">
            <v>8.695321704100635E-2</v>
          </cell>
          <cell r="EY149">
            <v>8.8207349979097779E-2</v>
          </cell>
          <cell r="EZ149">
            <v>8.6421160643028155E-2</v>
          </cell>
          <cell r="FA149">
            <v>0.17573062744650933</v>
          </cell>
          <cell r="FD149">
            <v>8.6051743532058494E-2</v>
          </cell>
          <cell r="FE149">
            <v>9.0350313353687928E-2</v>
          </cell>
          <cell r="FF149">
            <v>8.4083239595050624E-2</v>
          </cell>
          <cell r="FG149">
            <v>0.17664309818415555</v>
          </cell>
          <cell r="FJ149">
            <v>8.2184516659492057E-2</v>
          </cell>
          <cell r="FK149">
            <v>8.7574456599025657E-2</v>
          </cell>
          <cell r="FL149">
            <v>8.7221229690381485E-2</v>
          </cell>
          <cell r="FM149">
            <v>0.18726802038559062</v>
          </cell>
          <cell r="FP149">
            <v>8.686957565092189E-2</v>
          </cell>
          <cell r="FQ149">
            <v>8.9149302083749951E-2</v>
          </cell>
          <cell r="FR149">
            <v>8.7229532456105263E-2</v>
          </cell>
          <cell r="FS149">
            <v>0.18473783146022477</v>
          </cell>
          <cell r="FV149">
            <v>8.3544783185002844E-2</v>
          </cell>
          <cell r="FW149">
            <v>9.0588903616739255E-2</v>
          </cell>
          <cell r="FX149">
            <v>8.7028971785646655E-2</v>
          </cell>
          <cell r="FY149">
            <v>0.18651770498011741</v>
          </cell>
          <cell r="GB149">
            <v>8.5133051932008555E-2</v>
          </cell>
          <cell r="GC149">
            <v>8.7082663808314087E-2</v>
          </cell>
          <cell r="GD149">
            <v>8.4458488715419958E-2</v>
          </cell>
          <cell r="GE149">
            <v>0.18319104968155864</v>
          </cell>
        </row>
        <row r="150">
          <cell r="A150" t="str">
            <v>Month 3</v>
          </cell>
          <cell r="AN150" t="str">
            <v>Month 3</v>
          </cell>
          <cell r="BS150">
            <v>6.5569463197460126E-2</v>
          </cell>
          <cell r="BT150">
            <v>5.9373061343648503E-2</v>
          </cell>
          <cell r="BU150">
            <v>7.4488194723205489E-2</v>
          </cell>
          <cell r="BV150">
            <v>4.4206838667299207E-2</v>
          </cell>
          <cell r="CP150">
            <v>6.7713751443943093E-2</v>
          </cell>
          <cell r="CQ150">
            <v>6.2403870086604675E-2</v>
          </cell>
          <cell r="CR150">
            <v>7.2206727977075613E-2</v>
          </cell>
          <cell r="CS150">
            <v>4.7814460491802234E-2</v>
          </cell>
          <cell r="CV150">
            <v>7.0604459149875398E-2</v>
          </cell>
          <cell r="CW150">
            <v>6.4217647138568035E-2</v>
          </cell>
          <cell r="CX150">
            <v>6.9973942900060218E-2</v>
          </cell>
          <cell r="CY150">
            <v>5.0840294617372023E-2</v>
          </cell>
          <cell r="DB150">
            <v>6.7190716825753324E-2</v>
          </cell>
          <cell r="DC150">
            <v>6.3322727556304192E-2</v>
          </cell>
          <cell r="DD150">
            <v>6.8937550689375501E-2</v>
          </cell>
          <cell r="DE150">
            <v>4.8848961257720383E-2</v>
          </cell>
          <cell r="DH150">
            <v>0</v>
          </cell>
          <cell r="DI150">
            <v>0</v>
          </cell>
          <cell r="DJ150">
            <v>0</v>
          </cell>
          <cell r="DK150">
            <v>0</v>
          </cell>
          <cell r="DN150">
            <v>7.3614190687361414E-2</v>
          </cell>
          <cell r="DO150">
            <v>6.366803927779538E-2</v>
          </cell>
          <cell r="DP150">
            <v>6.702565726955971E-2</v>
          </cell>
          <cell r="DQ150">
            <v>4.9033892936331959E-2</v>
          </cell>
          <cell r="DT150">
            <v>7.0451480315971995E-2</v>
          </cell>
          <cell r="DU150">
            <v>6.229529253098709E-2</v>
          </cell>
          <cell r="DV150">
            <v>6.9552373001091766E-2</v>
          </cell>
          <cell r="DW150">
            <v>4.97720120737268E-2</v>
          </cell>
          <cell r="DZ150">
            <v>6.9815728004152602E-2</v>
          </cell>
          <cell r="EA150">
            <v>6.2483778873604984E-2</v>
          </cell>
          <cell r="EB150">
            <v>6.8647806903711389E-2</v>
          </cell>
          <cell r="EC150">
            <v>5.2815987542174932E-2</v>
          </cell>
          <cell r="EF150">
            <v>7.2515212981744417E-2</v>
          </cell>
          <cell r="EG150">
            <v>6.3704361054766734E-2</v>
          </cell>
          <cell r="EH150">
            <v>7.0233265720081137E-2</v>
          </cell>
          <cell r="EI150">
            <v>5.1850912778904662E-2</v>
          </cell>
          <cell r="EL150">
            <v>5.2389459580169717E-2</v>
          </cell>
          <cell r="EM150">
            <v>4.4573470299240733E-2</v>
          </cell>
          <cell r="EN150">
            <v>9.0352836087539079E-2</v>
          </cell>
          <cell r="EO150">
            <v>6.6770879857079052E-2</v>
          </cell>
          <cell r="ER150">
            <v>6.9632925472747492E-2</v>
          </cell>
          <cell r="ES150">
            <v>5.9621802002224694E-2</v>
          </cell>
          <cell r="ET150">
            <v>6.907675194660734E-2</v>
          </cell>
          <cell r="EU150">
            <v>6.5999258435298483E-2</v>
          </cell>
          <cell r="EX150">
            <v>6.9813400220423372E-2</v>
          </cell>
          <cell r="EY150">
            <v>6.0882453540075245E-2</v>
          </cell>
          <cell r="EZ150">
            <v>7.0269448561547529E-2</v>
          </cell>
          <cell r="FA150">
            <v>4.8379128187587883E-2</v>
          </cell>
          <cell r="FD150">
            <v>7.5044190904708347E-2</v>
          </cell>
          <cell r="FE150">
            <v>6.1987787240880603E-2</v>
          </cell>
          <cell r="FF150">
            <v>6.8857464245540734E-2</v>
          </cell>
          <cell r="FG150">
            <v>4.8730515828378597E-2</v>
          </cell>
          <cell r="FJ150">
            <v>7.2006840145461229E-2</v>
          </cell>
          <cell r="FK150">
            <v>5.899358867248948E-2</v>
          </cell>
          <cell r="FL150">
            <v>7.2220113734892177E-2</v>
          </cell>
          <cell r="FM150">
            <v>5.3084494474265165E-2</v>
          </cell>
          <cell r="FP150">
            <v>6.9551653801543808E-2</v>
          </cell>
          <cell r="FQ150">
            <v>6.11126664800224E-2</v>
          </cell>
          <cell r="FR150">
            <v>7.2231332240131188E-2</v>
          </cell>
          <cell r="FS150">
            <v>5.2393712754469461E-2</v>
          </cell>
          <cell r="FV150">
            <v>7.2713501230827496E-2</v>
          </cell>
          <cell r="FW150">
            <v>6.1049043741715582E-2</v>
          </cell>
          <cell r="FX150">
            <v>6.9759515243325132E-2</v>
          </cell>
          <cell r="FY150">
            <v>5.0596477939784133E-2</v>
          </cell>
          <cell r="GB150">
            <v>6.9608364768834807E-2</v>
          </cell>
          <cell r="GC150">
            <v>6.112394271454219E-2</v>
          </cell>
          <cell r="GD150">
            <v>6.9260704848515153E-2</v>
          </cell>
          <cell r="GE150">
            <v>6.3310724213773262E-2</v>
          </cell>
        </row>
        <row r="151">
          <cell r="A151" t="str">
            <v>Total</v>
          </cell>
          <cell r="AN151" t="str">
            <v>Total</v>
          </cell>
          <cell r="BS151">
            <v>0.2144290771083458</v>
          </cell>
          <cell r="BT151">
            <v>0.21390358719848193</v>
          </cell>
          <cell r="BU151">
            <v>0.24468853775134108</v>
          </cell>
          <cell r="BV151">
            <v>0.32697879794183116</v>
          </cell>
          <cell r="BW151">
            <v>1</v>
          </cell>
          <cell r="CP151">
            <v>0.21753920185845851</v>
          </cell>
          <cell r="CQ151">
            <v>0.22036007632954452</v>
          </cell>
          <cell r="CR151">
            <v>0.23907868452795028</v>
          </cell>
          <cell r="CS151">
            <v>0.32302203728404671</v>
          </cell>
          <cell r="CT151">
            <v>1</v>
          </cell>
          <cell r="CV151">
            <v>0.21333858628814734</v>
          </cell>
          <cell r="CW151">
            <v>0.22398327297365961</v>
          </cell>
          <cell r="CX151">
            <v>0.23170190878182992</v>
          </cell>
          <cell r="CY151">
            <v>0.33097623195636316</v>
          </cell>
          <cell r="CZ151">
            <v>1</v>
          </cell>
          <cell r="DB151">
            <v>0.21648262524174933</v>
          </cell>
          <cell r="DC151">
            <v>0.22515440763615946</v>
          </cell>
          <cell r="DD151">
            <v>0.23027013537962443</v>
          </cell>
          <cell r="DE151">
            <v>0.32809283174246678</v>
          </cell>
          <cell r="DF151">
            <v>1</v>
          </cell>
          <cell r="DH151">
            <v>0.214749368914533</v>
          </cell>
          <cell r="DI151">
            <v>0.2211203269623753</v>
          </cell>
          <cell r="DJ151">
            <v>0.22731097487678809</v>
          </cell>
          <cell r="DK151">
            <v>0.33681932924630364</v>
          </cell>
          <cell r="DL151">
            <v>1</v>
          </cell>
          <cell r="DN151">
            <v>0.22527716186252772</v>
          </cell>
          <cell r="DO151">
            <v>0.22096927462781121</v>
          </cell>
          <cell r="DP151">
            <v>0.22014570795058599</v>
          </cell>
          <cell r="DQ151">
            <v>0.325118783655369</v>
          </cell>
          <cell r="DR151">
            <v>1</v>
          </cell>
          <cell r="DT151">
            <v>0.22175839702010147</v>
          </cell>
          <cell r="DU151">
            <v>0.22387772140517628</v>
          </cell>
          <cell r="DV151">
            <v>0.22342816774773619</v>
          </cell>
          <cell r="DW151">
            <v>0.32220152848243527</v>
          </cell>
          <cell r="DX151">
            <v>1</v>
          </cell>
          <cell r="DZ151">
            <v>0.21353490786400209</v>
          </cell>
          <cell r="EA151">
            <v>0.22281339216195173</v>
          </cell>
          <cell r="EB151">
            <v>0.22618738645211522</v>
          </cell>
          <cell r="EC151">
            <v>0.32786140669608099</v>
          </cell>
          <cell r="ED151">
            <v>1</v>
          </cell>
          <cell r="EF151">
            <v>0.22502535496957404</v>
          </cell>
          <cell r="EG151">
            <v>0.22699036511156187</v>
          </cell>
          <cell r="EH151">
            <v>0.22344066937119675</v>
          </cell>
          <cell r="EI151">
            <v>0.32454361054766734</v>
          </cell>
          <cell r="EJ151">
            <v>1</v>
          </cell>
          <cell r="EL151">
            <v>0.16261723983921395</v>
          </cell>
          <cell r="EM151">
            <v>0.16181330951317552</v>
          </cell>
          <cell r="EN151">
            <v>0.24810183117463153</v>
          </cell>
          <cell r="EO151">
            <v>0.42746761947297901</v>
          </cell>
          <cell r="EP151">
            <v>1</v>
          </cell>
          <cell r="ER151">
            <v>0.21987393400074157</v>
          </cell>
          <cell r="ES151">
            <v>0.22228401928068223</v>
          </cell>
          <cell r="ET151">
            <v>0.21824249165739712</v>
          </cell>
          <cell r="EU151">
            <v>0.33959955506117911</v>
          </cell>
          <cell r="EV151">
            <v>1</v>
          </cell>
          <cell r="EX151">
            <v>0.22502185231634553</v>
          </cell>
          <cell r="EY151">
            <v>0.22391973549196215</v>
          </cell>
          <cell r="EZ151">
            <v>0.22445179188994033</v>
          </cell>
          <cell r="FA151">
            <v>0.32660662030175197</v>
          </cell>
          <cell r="FB151">
            <v>1</v>
          </cell>
          <cell r="FD151">
            <v>0.23087739032620921</v>
          </cell>
          <cell r="FE151">
            <v>0.22971235738389845</v>
          </cell>
          <cell r="FF151">
            <v>0.22067330869355617</v>
          </cell>
          <cell r="FG151">
            <v>0.3187369435963362</v>
          </cell>
          <cell r="FH151">
            <v>1</v>
          </cell>
          <cell r="FJ151">
            <v>0.22130152751621679</v>
          </cell>
          <cell r="FK151">
            <v>0.22117597823812513</v>
          </cell>
          <cell r="FL151">
            <v>0.22536095417451349</v>
          </cell>
          <cell r="FM151">
            <v>0.33216154007114457</v>
          </cell>
          <cell r="FN151">
            <v>1</v>
          </cell>
          <cell r="FP151">
            <v>0.22293324801023878</v>
          </cell>
          <cell r="FQ151">
            <v>0.22145342558892933</v>
          </cell>
          <cell r="FR151">
            <v>0.22489301283845939</v>
          </cell>
          <cell r="FS151">
            <v>0.33072031356237253</v>
          </cell>
          <cell r="FT151">
            <v>1</v>
          </cell>
          <cell r="FV151">
            <v>0.2230259420564287</v>
          </cell>
          <cell r="FW151">
            <v>0.22491952281764818</v>
          </cell>
          <cell r="FX151">
            <v>0.22166256390835068</v>
          </cell>
          <cell r="FY151">
            <v>0.33039197121757241</v>
          </cell>
          <cell r="FZ151">
            <v>1</v>
          </cell>
          <cell r="GB151">
            <v>0.22178640289157275</v>
          </cell>
          <cell r="GC151">
            <v>0.22088380480069056</v>
          </cell>
          <cell r="GD151">
            <v>0.2191395031910765</v>
          </cell>
          <cell r="GE151">
            <v>0.33819028911666016</v>
          </cell>
          <cell r="GF151">
            <v>1</v>
          </cell>
        </row>
        <row r="153">
          <cell r="A153" t="str">
            <v>Original Federated Doors Monthly Sales</v>
          </cell>
          <cell r="AN153" t="str">
            <v>Original Federated Doors Monthly Sales</v>
          </cell>
        </row>
        <row r="154">
          <cell r="A154" t="str">
            <v>Month 1</v>
          </cell>
          <cell r="AN154" t="str">
            <v>Month 1</v>
          </cell>
          <cell r="DZ154">
            <v>985</v>
          </cell>
          <cell r="EA154">
            <v>1137</v>
          </cell>
          <cell r="EB154">
            <v>1078</v>
          </cell>
          <cell r="EC154">
            <v>1460</v>
          </cell>
          <cell r="EF154">
            <v>1080</v>
          </cell>
          <cell r="EG154">
            <v>1182</v>
          </cell>
          <cell r="EH154">
            <v>1056</v>
          </cell>
          <cell r="EI154">
            <v>1446</v>
          </cell>
          <cell r="EL154">
            <v>1097</v>
          </cell>
          <cell r="EM154">
            <v>1189</v>
          </cell>
          <cell r="EN154">
            <v>1068</v>
          </cell>
        </row>
        <row r="155">
          <cell r="A155" t="str">
            <v>Month 2</v>
          </cell>
          <cell r="AN155" t="str">
            <v>Month 2</v>
          </cell>
          <cell r="DZ155">
            <v>1233</v>
          </cell>
          <cell r="EA155">
            <v>1337</v>
          </cell>
          <cell r="EB155">
            <v>1352</v>
          </cell>
          <cell r="EC155">
            <v>2782</v>
          </cell>
          <cell r="EF155">
            <v>1326</v>
          </cell>
          <cell r="EG155">
            <v>1394</v>
          </cell>
          <cell r="EH155">
            <v>1361</v>
          </cell>
          <cell r="EI155">
            <v>2856</v>
          </cell>
          <cell r="EL155">
            <v>1371</v>
          </cell>
          <cell r="EM155">
            <v>1436</v>
          </cell>
        </row>
        <row r="156">
          <cell r="A156" t="str">
            <v>Month 3</v>
          </cell>
          <cell r="AN156" t="str">
            <v>Month 3</v>
          </cell>
          <cell r="DZ156">
            <v>1076</v>
          </cell>
          <cell r="EA156">
            <v>963</v>
          </cell>
          <cell r="EB156">
            <v>1058</v>
          </cell>
          <cell r="EC156">
            <v>814</v>
          </cell>
          <cell r="EF156">
            <v>1144</v>
          </cell>
          <cell r="EG156">
            <v>1005</v>
          </cell>
          <cell r="EH156">
            <v>1108</v>
          </cell>
          <cell r="EI156">
            <v>818</v>
          </cell>
          <cell r="EL156">
            <v>1173</v>
          </cell>
          <cell r="EM156">
            <v>998</v>
          </cell>
        </row>
        <row r="157">
          <cell r="A157" t="str">
            <v>Total</v>
          </cell>
          <cell r="AN157" t="str">
            <v>Total</v>
          </cell>
          <cell r="DZ157">
            <v>3291</v>
          </cell>
          <cell r="EA157">
            <v>3434</v>
          </cell>
          <cell r="EB157">
            <v>3486</v>
          </cell>
          <cell r="EC157">
            <v>5053</v>
          </cell>
          <cell r="ED157">
            <v>15412</v>
          </cell>
          <cell r="EF157">
            <v>3550</v>
          </cell>
          <cell r="EG157">
            <v>3581</v>
          </cell>
          <cell r="EH157">
            <v>3525</v>
          </cell>
          <cell r="EI157">
            <v>5120</v>
          </cell>
          <cell r="EJ157">
            <v>15776</v>
          </cell>
          <cell r="EL157">
            <v>3641</v>
          </cell>
          <cell r="EM157">
            <v>3623</v>
          </cell>
        </row>
        <row r="159">
          <cell r="A159" t="str">
            <v>Original Federated Doors Monthly Comps</v>
          </cell>
          <cell r="AN159" t="str">
            <v>Original Federated Doors Monthly Comps</v>
          </cell>
        </row>
        <row r="160">
          <cell r="A160" t="str">
            <v>Month 1</v>
          </cell>
          <cell r="AN160" t="str">
            <v>Month 1</v>
          </cell>
          <cell r="DH160">
            <v>5.2999999999999999E-2</v>
          </cell>
          <cell r="DI160">
            <v>4.2000000000000003E-2</v>
          </cell>
          <cell r="DJ160">
            <v>1.0999999999999999E-2</v>
          </cell>
          <cell r="DK160">
            <v>1.4E-2</v>
          </cell>
          <cell r="DN160">
            <v>-1.6E-2</v>
          </cell>
          <cell r="DO160">
            <v>-3.3000000000000002E-2</v>
          </cell>
          <cell r="DP160">
            <v>-2.5999999999999999E-2</v>
          </cell>
          <cell r="DQ160">
            <v>8.9999999999999993E-3</v>
          </cell>
          <cell r="DT160">
            <v>-2.8000000000000001E-2</v>
          </cell>
          <cell r="DU160">
            <v>-3.4000000000000002E-2</v>
          </cell>
          <cell r="DV160">
            <v>-5.8000000000000003E-2</v>
          </cell>
          <cell r="DW160">
            <v>-7.3999999999999996E-2</v>
          </cell>
          <cell r="DZ160">
            <v>-6.8000000000000005E-2</v>
          </cell>
          <cell r="EA160">
            <v>-8.0000000000000002E-3</v>
          </cell>
          <cell r="EB160">
            <v>-8.0000000000000002E-3</v>
          </cell>
          <cell r="EC160">
            <v>-1E-3</v>
          </cell>
          <cell r="EF160">
            <v>0.09</v>
          </cell>
          <cell r="EG160">
            <v>2.9000000000000001E-2</v>
          </cell>
          <cell r="EH160">
            <v>-2.4E-2</v>
          </cell>
          <cell r="EI160">
            <v>-1.4E-2</v>
          </cell>
          <cell r="EL160">
            <v>1.7999999999999999E-2</v>
          </cell>
          <cell r="EM160">
            <v>8.0000000000000002E-3</v>
          </cell>
          <cell r="EN160">
            <v>1.0999999999999999E-2</v>
          </cell>
          <cell r="EO160">
            <v>-3.4000000000000002E-2</v>
          </cell>
          <cell r="ER160">
            <v>0.01</v>
          </cell>
          <cell r="ES160">
            <v>9.1999999999999998E-2</v>
          </cell>
          <cell r="ET160">
            <v>3.7999999999999999E-2</v>
          </cell>
          <cell r="EU160">
            <v>8.5000000000000006E-2</v>
          </cell>
          <cell r="EX160">
            <v>1.2E-2</v>
          </cell>
          <cell r="EY160">
            <v>-3.3000000000000002E-2</v>
          </cell>
          <cell r="EZ160">
            <v>2.4E-2</v>
          </cell>
          <cell r="FA160">
            <v>0.13400000000000001</v>
          </cell>
          <cell r="FD160">
            <v>-3.5000000000000003E-2</v>
          </cell>
          <cell r="FE160">
            <v>-1.4999999999999999E-2</v>
          </cell>
          <cell r="FF160">
            <v>-4.8000000000000001E-2</v>
          </cell>
          <cell r="FG160">
            <v>-0.13300000000000001</v>
          </cell>
          <cell r="FJ160">
            <v>-8.5000000000000006E-2</v>
          </cell>
          <cell r="FK160">
            <v>-9.0999999999999998E-2</v>
          </cell>
          <cell r="FL160">
            <v>-8.1000000000000003E-2</v>
          </cell>
          <cell r="FM160">
            <v>-6.0999999999999999E-2</v>
          </cell>
          <cell r="FP160">
            <v>3.6999999999999998E-2</v>
          </cell>
          <cell r="FQ160">
            <v>1.4E-2</v>
          </cell>
          <cell r="FR160">
            <v>4.2999999999999997E-2</v>
          </cell>
          <cell r="FS160">
            <v>6.0999999999999999E-2</v>
          </cell>
          <cell r="FV160">
            <v>5.8000000000000003E-2</v>
          </cell>
          <cell r="FW160">
            <v>7.3999999999999996E-2</v>
          </cell>
          <cell r="FX160">
            <v>0.05</v>
          </cell>
          <cell r="FY160">
            <v>4.8000000000000001E-2</v>
          </cell>
          <cell r="GB160">
            <v>4.5999999999999999E-2</v>
          </cell>
          <cell r="GC160">
            <v>4.2000000000000003E-2</v>
          </cell>
          <cell r="GD160">
            <v>5.0999999999999997E-2</v>
          </cell>
          <cell r="GE160">
            <v>0.04</v>
          </cell>
        </row>
        <row r="161">
          <cell r="A161" t="str">
            <v>Month 2</v>
          </cell>
          <cell r="AN161" t="str">
            <v>Month 2</v>
          </cell>
          <cell r="DH161">
            <v>-6.0000000000000001E-3</v>
          </cell>
          <cell r="DI161">
            <v>5.0000000000000001E-3</v>
          </cell>
          <cell r="DJ161">
            <v>2.9000000000000001E-2</v>
          </cell>
          <cell r="DK161">
            <v>1.2E-2</v>
          </cell>
          <cell r="DN161">
            <v>-3.2000000000000001E-2</v>
          </cell>
          <cell r="DO161">
            <v>-6.4000000000000001E-2</v>
          </cell>
          <cell r="DP161">
            <v>-0.129</v>
          </cell>
          <cell r="DQ161">
            <v>-8.6999999999999994E-2</v>
          </cell>
          <cell r="DT161">
            <v>-2E-3</v>
          </cell>
          <cell r="DU161">
            <v>-4.0000000000000001E-3</v>
          </cell>
          <cell r="DV161">
            <v>0</v>
          </cell>
          <cell r="DW161">
            <v>-2.5999999999999999E-2</v>
          </cell>
          <cell r="DZ161">
            <v>-6.5000000000000002E-2</v>
          </cell>
          <cell r="EA161">
            <v>-0.02</v>
          </cell>
          <cell r="EB161">
            <v>3.2000000000000001E-2</v>
          </cell>
          <cell r="EC161">
            <v>1.2E-2</v>
          </cell>
          <cell r="EF161">
            <v>6.8000000000000005E-2</v>
          </cell>
          <cell r="EG161">
            <v>3.4000000000000002E-2</v>
          </cell>
          <cell r="EH161">
            <v>1E-3</v>
          </cell>
          <cell r="EI161">
            <v>2.3E-2</v>
          </cell>
          <cell r="EL161">
            <v>3.4000000000000002E-2</v>
          </cell>
          <cell r="EM161">
            <v>2.9000000000000001E-2</v>
          </cell>
          <cell r="EN161">
            <v>1.2999999999999999E-2</v>
          </cell>
          <cell r="EO161">
            <v>3.4000000000000002E-2</v>
          </cell>
          <cell r="ER161">
            <v>0</v>
          </cell>
          <cell r="ES161">
            <v>1.7000000000000001E-2</v>
          </cell>
          <cell r="ET161">
            <v>6.5000000000000002E-2</v>
          </cell>
          <cell r="EU161">
            <v>4.3999999999999997E-2</v>
          </cell>
          <cell r="EX161">
            <v>2.3E-2</v>
          </cell>
          <cell r="EY161">
            <v>-2.7E-2</v>
          </cell>
          <cell r="EZ161">
            <v>-2.7E-2</v>
          </cell>
          <cell r="FA161">
            <v>-7.9000000000000001E-2</v>
          </cell>
          <cell r="FD161">
            <v>-6.2E-2</v>
          </cell>
          <cell r="FE161">
            <v>-2.1000000000000001E-2</v>
          </cell>
          <cell r="FF161">
            <v>-6.6000000000000003E-2</v>
          </cell>
          <cell r="FG161">
            <v>-0.04</v>
          </cell>
          <cell r="FJ161">
            <v>-9.1999999999999998E-2</v>
          </cell>
          <cell r="FK161">
            <v>-8.8999999999999996E-2</v>
          </cell>
          <cell r="FL161">
            <v>-2.3E-2</v>
          </cell>
          <cell r="FM161">
            <v>0.01</v>
          </cell>
          <cell r="FP161">
            <v>0.10800000000000001</v>
          </cell>
          <cell r="FQ161">
            <v>6.5000000000000002E-2</v>
          </cell>
          <cell r="FR161">
            <v>4.8000000000000001E-2</v>
          </cell>
          <cell r="FS161">
            <v>3.9E-2</v>
          </cell>
          <cell r="FV161">
            <v>8.9999999999999993E-3</v>
          </cell>
          <cell r="FW161">
            <v>6.7000000000000004E-2</v>
          </cell>
          <cell r="FX161">
            <v>4.9000000000000002E-2</v>
          </cell>
          <cell r="FY161">
            <v>6.2E-2</v>
          </cell>
          <cell r="GB161">
            <v>7.2999999999999995E-2</v>
          </cell>
          <cell r="GC161">
            <v>1.2E-2</v>
          </cell>
          <cell r="GD161">
            <v>0.03</v>
          </cell>
          <cell r="GE161">
            <v>0.04</v>
          </cell>
        </row>
        <row r="162">
          <cell r="A162" t="str">
            <v>Month 3</v>
          </cell>
          <cell r="AN162" t="str">
            <v>Month 3</v>
          </cell>
          <cell r="DH162">
            <v>5.1999999999999998E-2</v>
          </cell>
          <cell r="DI162">
            <v>1.6E-2</v>
          </cell>
          <cell r="DJ162">
            <v>1.6E-2</v>
          </cell>
          <cell r="DK162">
            <v>3.6999999999999998E-2</v>
          </cell>
          <cell r="DN162">
            <v>8.0000000000000002E-3</v>
          </cell>
          <cell r="DO162">
            <v>-4.2000000000000003E-2</v>
          </cell>
          <cell r="DP162">
            <v>-8.6999999999999994E-2</v>
          </cell>
          <cell r="DQ162">
            <v>-8.7999999999999995E-2</v>
          </cell>
          <cell r="DT162">
            <v>-5.8999999999999997E-2</v>
          </cell>
          <cell r="DU162">
            <v>-5.1999999999999998E-2</v>
          </cell>
          <cell r="DV162">
            <v>3.0000000000000001E-3</v>
          </cell>
          <cell r="DW162">
            <v>-1.2E-2</v>
          </cell>
          <cell r="DZ162">
            <v>-1.3999999999999999E-2</v>
          </cell>
          <cell r="EA162">
            <v>-4.0000000000000001E-3</v>
          </cell>
          <cell r="EB162">
            <v>-0.02</v>
          </cell>
          <cell r="EC162">
            <v>5.5E-2</v>
          </cell>
          <cell r="EF162">
            <v>5.3999999999999999E-2</v>
          </cell>
          <cell r="EG162">
            <v>3.6999999999999998E-2</v>
          </cell>
          <cell r="EH162">
            <v>0.04</v>
          </cell>
          <cell r="EI162">
            <v>-4.0000000000000001E-3</v>
          </cell>
          <cell r="EL162">
            <v>2.8000000000000001E-2</v>
          </cell>
          <cell r="EM162">
            <v>-8.9999999999999993E-3</v>
          </cell>
          <cell r="EN162">
            <v>-7.0000000000000001E-3</v>
          </cell>
          <cell r="EO162">
            <v>0.01</v>
          </cell>
          <cell r="ER162">
            <v>-8.0000000000000002E-3</v>
          </cell>
          <cell r="ES162">
            <v>3.3000000000000002E-2</v>
          </cell>
          <cell r="ET162">
            <v>7.6999999999999999E-2</v>
          </cell>
          <cell r="EU162">
            <v>8.5999999999999993E-2</v>
          </cell>
          <cell r="EX162">
            <v>-2.1999999999999999E-2</v>
          </cell>
          <cell r="EY162">
            <v>-1.4E-2</v>
          </cell>
          <cell r="EZ162">
            <v>-1.4999999999999999E-2</v>
          </cell>
          <cell r="FA162">
            <v>-7.0999999999999994E-2</v>
          </cell>
          <cell r="FD162">
            <v>0.03</v>
          </cell>
          <cell r="FE162">
            <v>-2.9000000000000001E-2</v>
          </cell>
          <cell r="FF162">
            <v>-6.3E-2</v>
          </cell>
          <cell r="FG162">
            <v>-4.4999999999999998E-2</v>
          </cell>
          <cell r="FJ162">
            <v>-9.0999999999999998E-2</v>
          </cell>
          <cell r="FK162">
            <v>-0.107</v>
          </cell>
          <cell r="FL162">
            <v>-8.0000000000000002E-3</v>
          </cell>
          <cell r="FM162">
            <v>3.4000000000000002E-2</v>
          </cell>
          <cell r="FP162">
            <v>1.0999999999999999E-2</v>
          </cell>
          <cell r="FQ162">
            <v>7.2999999999999995E-2</v>
          </cell>
          <cell r="FR162">
            <v>2.5000000000000001E-2</v>
          </cell>
          <cell r="FS162">
            <v>2.5999999999999999E-2</v>
          </cell>
          <cell r="FV162">
            <v>0.108</v>
          </cell>
          <cell r="FW162">
            <v>0.05</v>
          </cell>
          <cell r="FX162">
            <v>2.1999999999999999E-2</v>
          </cell>
          <cell r="FY162">
            <v>2.4E-2</v>
          </cell>
          <cell r="GB162">
            <v>1.2E-2</v>
          </cell>
          <cell r="GC162">
            <v>4.1000000000000002E-2</v>
          </cell>
          <cell r="GD162">
            <v>5.5E-2</v>
          </cell>
          <cell r="GE162">
            <v>0.05</v>
          </cell>
        </row>
        <row r="163">
          <cell r="A163" t="str">
            <v>Total</v>
          </cell>
          <cell r="AN163" t="str">
            <v>Total</v>
          </cell>
          <cell r="DH163">
            <v>2.9000000000000001E-2</v>
          </cell>
          <cell r="DI163">
            <v>1.9E-2</v>
          </cell>
          <cell r="DJ163">
            <v>1.9E-2</v>
          </cell>
          <cell r="DK163">
            <v>1.6E-2</v>
          </cell>
          <cell r="DL163">
            <v>0.02</v>
          </cell>
          <cell r="DN163">
            <v>-1.4999999999999999E-2</v>
          </cell>
          <cell r="DO163">
            <v>-4.8000000000000001E-2</v>
          </cell>
          <cell r="DP163">
            <v>-8.5999999999999993E-2</v>
          </cell>
          <cell r="DQ163">
            <v>-0.06</v>
          </cell>
          <cell r="DR163">
            <v>-5.2999999999999999E-2</v>
          </cell>
          <cell r="DT163">
            <v>-2.9000000000000001E-2</v>
          </cell>
          <cell r="DU163">
            <v>-2.8000000000000001E-2</v>
          </cell>
          <cell r="DV163">
            <v>-0.02</v>
          </cell>
          <cell r="DW163">
            <v>-3.9E-2</v>
          </cell>
          <cell r="DX163">
            <v>-0.03</v>
          </cell>
          <cell r="DZ163">
            <v>-0.05</v>
          </cell>
          <cell r="EA163">
            <v>-1.2E-2</v>
          </cell>
          <cell r="EB163">
            <v>2E-3</v>
          </cell>
          <cell r="EC163">
            <v>1.3999999999999999E-2</v>
          </cell>
          <cell r="ED163">
            <v>-9.0000000000000011E-3</v>
          </cell>
          <cell r="EF163">
            <v>6.9000000000000006E-2</v>
          </cell>
          <cell r="EG163">
            <v>3.3000000000000002E-2</v>
          </cell>
          <cell r="EH163">
            <v>4.0000000000000001E-3</v>
          </cell>
          <cell r="EI163">
            <v>8.0000000000000002E-3</v>
          </cell>
          <cell r="EJ163">
            <v>2.5999999999999999E-2</v>
          </cell>
          <cell r="EL163">
            <v>2.5999999999999999E-2</v>
          </cell>
          <cell r="EM163">
            <v>1.0999999999999999E-2</v>
          </cell>
          <cell r="EN163">
            <v>6.0000000000000001E-3</v>
          </cell>
          <cell r="EO163">
            <v>1.0999999999999999E-2</v>
          </cell>
          <cell r="EP163">
            <v>1.2999999999999999E-2</v>
          </cell>
          <cell r="ER163">
            <v>0</v>
          </cell>
          <cell r="ES163">
            <v>4.5999999999999999E-2</v>
          </cell>
          <cell r="ET163">
            <v>5.8999999999999997E-2</v>
          </cell>
          <cell r="EU163">
            <v>6.0999999999999999E-2</v>
          </cell>
          <cell r="EV163">
            <v>4.3999999999999997E-2</v>
          </cell>
          <cell r="EX163">
            <v>6.0000000000000001E-3</v>
          </cell>
          <cell r="EY163">
            <v>-2.5999999999999999E-2</v>
          </cell>
          <cell r="EZ163">
            <v>-8.0000000000000002E-3</v>
          </cell>
          <cell r="FA163">
            <v>-0.02</v>
          </cell>
          <cell r="FB163">
            <v>-1.2999999999999999E-2</v>
          </cell>
          <cell r="FD163">
            <v>-2.5999999999999999E-2</v>
          </cell>
          <cell r="FE163">
            <v>-2.1000000000000001E-2</v>
          </cell>
          <cell r="FF163">
            <v>-0.06</v>
          </cell>
          <cell r="FG163">
            <v>-7.0000000000000007E-2</v>
          </cell>
          <cell r="FH163">
            <v>-4.4999999999999998E-2</v>
          </cell>
          <cell r="FJ163">
            <v>-0.09</v>
          </cell>
          <cell r="FK163">
            <v>-9.5000000000000001E-2</v>
          </cell>
          <cell r="FL163">
            <v>-3.5999999999999997E-2</v>
          </cell>
          <cell r="FM163">
            <v>-8.0000000000000002E-3</v>
          </cell>
          <cell r="FN163">
            <v>-5.2999999999999999E-2</v>
          </cell>
          <cell r="FP163">
            <v>5.5E-2</v>
          </cell>
          <cell r="FQ163">
            <v>4.9000000000000002E-2</v>
          </cell>
          <cell r="FR163">
            <v>3.9E-2</v>
          </cell>
          <cell r="FS163">
            <v>4.2999999999999997E-2</v>
          </cell>
          <cell r="FT163">
            <v>4.610434747830261E-2</v>
          </cell>
          <cell r="FV163">
            <v>5.3999999999999999E-2</v>
          </cell>
          <cell r="FW163">
            <v>6.4000000000000001E-2</v>
          </cell>
          <cell r="FX163">
            <v>0.04</v>
          </cell>
          <cell r="FY163">
            <v>5.1999999999999998E-2</v>
          </cell>
          <cell r="FZ163">
            <v>5.2999999999999999E-2</v>
          </cell>
          <cell r="GB163">
            <v>4.3999999999999997E-2</v>
          </cell>
          <cell r="GC163">
            <v>0.03</v>
          </cell>
          <cell r="GD163">
            <v>4.4170626829774157E-2</v>
          </cell>
          <cell r="GE163">
            <v>4.1872044415560798E-2</v>
          </cell>
          <cell r="GF163">
            <v>4.02253638971692E-2</v>
          </cell>
        </row>
        <row r="165">
          <cell r="A165" t="str">
            <v>Original Federated Doors Store Count (Estimated)</v>
          </cell>
          <cell r="AN165" t="str">
            <v>Original Federated Doors Store Count (Estimated)</v>
          </cell>
        </row>
        <row r="166">
          <cell r="A166" t="str">
            <v>Month 1</v>
          </cell>
          <cell r="AN166" t="str">
            <v>Month 1</v>
          </cell>
          <cell r="DZ166">
            <v>456</v>
          </cell>
          <cell r="EA166">
            <v>456</v>
          </cell>
          <cell r="EB166">
            <v>460</v>
          </cell>
          <cell r="EC166">
            <v>465</v>
          </cell>
          <cell r="EF166">
            <v>458</v>
          </cell>
          <cell r="EG166">
            <v>457</v>
          </cell>
          <cell r="EH166">
            <v>457</v>
          </cell>
          <cell r="EI166">
            <v>459</v>
          </cell>
          <cell r="EL166">
            <v>459</v>
          </cell>
          <cell r="EM166">
            <v>460</v>
          </cell>
          <cell r="EN166">
            <v>459</v>
          </cell>
          <cell r="EO166">
            <v>444</v>
          </cell>
          <cell r="ER166">
            <v>410</v>
          </cell>
          <cell r="ES166">
            <v>406</v>
          </cell>
          <cell r="ET166">
            <v>402</v>
          </cell>
          <cell r="EU166">
            <v>408</v>
          </cell>
          <cell r="EX166">
            <v>407</v>
          </cell>
          <cell r="EY166">
            <v>412</v>
          </cell>
          <cell r="EZ166">
            <v>413</v>
          </cell>
          <cell r="FA166">
            <v>415</v>
          </cell>
          <cell r="FD166">
            <v>415</v>
          </cell>
          <cell r="FE166">
            <v>415</v>
          </cell>
          <cell r="FF166">
            <v>419</v>
          </cell>
          <cell r="FG166">
            <v>422</v>
          </cell>
          <cell r="FJ166">
            <v>410</v>
          </cell>
          <cell r="FK166">
            <v>411</v>
          </cell>
          <cell r="FL166">
            <v>412</v>
          </cell>
          <cell r="FM166">
            <v>417</v>
          </cell>
          <cell r="FP166">
            <v>413</v>
          </cell>
          <cell r="FQ166">
            <v>413</v>
          </cell>
          <cell r="FR166">
            <v>412</v>
          </cell>
          <cell r="FS166">
            <v>417</v>
          </cell>
          <cell r="FV166">
            <v>413</v>
          </cell>
          <cell r="FW166">
            <v>413</v>
          </cell>
          <cell r="FX166">
            <v>412</v>
          </cell>
          <cell r="FY166">
            <v>414</v>
          </cell>
          <cell r="GB166">
            <v>405</v>
          </cell>
          <cell r="GC166">
            <v>407</v>
          </cell>
          <cell r="GD166">
            <v>409</v>
          </cell>
          <cell r="GE166">
            <v>410</v>
          </cell>
        </row>
        <row r="167">
          <cell r="A167" t="str">
            <v>Month 2</v>
          </cell>
          <cell r="AN167" t="str">
            <v>Month 2</v>
          </cell>
          <cell r="DZ167">
            <v>456</v>
          </cell>
          <cell r="EA167">
            <v>455</v>
          </cell>
          <cell r="EB167">
            <v>460</v>
          </cell>
          <cell r="EC167">
            <v>465</v>
          </cell>
          <cell r="EF167">
            <v>458</v>
          </cell>
          <cell r="EG167">
            <v>457</v>
          </cell>
          <cell r="EH167">
            <v>458</v>
          </cell>
          <cell r="EI167">
            <v>459</v>
          </cell>
          <cell r="EL167">
            <v>459</v>
          </cell>
          <cell r="EM167">
            <v>460</v>
          </cell>
          <cell r="EN167">
            <v>446</v>
          </cell>
          <cell r="EO167">
            <v>443</v>
          </cell>
          <cell r="ER167">
            <v>406</v>
          </cell>
          <cell r="ES167">
            <v>405</v>
          </cell>
          <cell r="ET167">
            <v>403</v>
          </cell>
          <cell r="EU167">
            <v>408</v>
          </cell>
          <cell r="EX167">
            <v>408</v>
          </cell>
          <cell r="EY167">
            <v>412</v>
          </cell>
          <cell r="EZ167">
            <v>415</v>
          </cell>
          <cell r="FA167">
            <v>415</v>
          </cell>
          <cell r="FD167">
            <v>416</v>
          </cell>
          <cell r="FE167">
            <v>416</v>
          </cell>
          <cell r="FF167">
            <v>416</v>
          </cell>
          <cell r="FG167">
            <v>422</v>
          </cell>
          <cell r="FJ167">
            <v>410</v>
          </cell>
          <cell r="FK167">
            <v>411</v>
          </cell>
          <cell r="FL167">
            <v>415</v>
          </cell>
          <cell r="FM167">
            <v>417</v>
          </cell>
          <cell r="FP167">
            <v>413</v>
          </cell>
          <cell r="FQ167">
            <v>413</v>
          </cell>
          <cell r="FR167">
            <v>415</v>
          </cell>
          <cell r="FS167">
            <v>417</v>
          </cell>
          <cell r="FV167">
            <v>413</v>
          </cell>
          <cell r="FW167">
            <v>413</v>
          </cell>
          <cell r="FX167">
            <v>412</v>
          </cell>
          <cell r="FY167">
            <v>413</v>
          </cell>
          <cell r="GB167">
            <v>407</v>
          </cell>
          <cell r="GC167">
            <v>409</v>
          </cell>
          <cell r="GD167">
            <v>410</v>
          </cell>
          <cell r="GE167">
            <v>411</v>
          </cell>
        </row>
        <row r="168">
          <cell r="A168" t="str">
            <v>Month 3</v>
          </cell>
          <cell r="AN168" t="str">
            <v>Month 3</v>
          </cell>
          <cell r="DZ168">
            <v>456</v>
          </cell>
          <cell r="EA168">
            <v>460</v>
          </cell>
          <cell r="EB168">
            <v>465</v>
          </cell>
          <cell r="EC168">
            <v>459</v>
          </cell>
          <cell r="EF168">
            <v>459</v>
          </cell>
          <cell r="EG168">
            <v>457</v>
          </cell>
          <cell r="EH168">
            <v>459</v>
          </cell>
          <cell r="EI168">
            <v>459</v>
          </cell>
          <cell r="EL168">
            <v>459</v>
          </cell>
          <cell r="EM168">
            <v>460</v>
          </cell>
          <cell r="EN168">
            <v>444</v>
          </cell>
          <cell r="EO168">
            <v>410</v>
          </cell>
          <cell r="ER168">
            <v>406</v>
          </cell>
          <cell r="ES168">
            <v>403</v>
          </cell>
          <cell r="ET168">
            <v>405</v>
          </cell>
          <cell r="EU168">
            <v>407</v>
          </cell>
          <cell r="EX168">
            <v>412</v>
          </cell>
          <cell r="EY168">
            <v>412</v>
          </cell>
          <cell r="EZ168">
            <v>415</v>
          </cell>
          <cell r="FA168">
            <v>415</v>
          </cell>
          <cell r="FD168">
            <v>414</v>
          </cell>
          <cell r="FE168">
            <v>418</v>
          </cell>
          <cell r="FF168">
            <v>419</v>
          </cell>
          <cell r="FG168">
            <v>410</v>
          </cell>
          <cell r="FJ168">
            <v>411</v>
          </cell>
          <cell r="FK168">
            <v>411</v>
          </cell>
          <cell r="FL168">
            <v>417</v>
          </cell>
          <cell r="FM168">
            <v>413</v>
          </cell>
          <cell r="FP168">
            <v>412</v>
          </cell>
          <cell r="FQ168">
            <v>412</v>
          </cell>
          <cell r="FR168">
            <v>417</v>
          </cell>
          <cell r="FS168">
            <v>413</v>
          </cell>
          <cell r="FV168">
            <v>413</v>
          </cell>
          <cell r="FW168">
            <v>412</v>
          </cell>
          <cell r="FX168">
            <v>413</v>
          </cell>
          <cell r="FY168">
            <v>405</v>
          </cell>
          <cell r="GB168">
            <v>407</v>
          </cell>
          <cell r="GC168">
            <v>408</v>
          </cell>
          <cell r="GD168">
            <v>410</v>
          </cell>
          <cell r="GE168">
            <v>407</v>
          </cell>
        </row>
        <row r="169">
          <cell r="A169" t="str">
            <v>Total</v>
          </cell>
          <cell r="AN169" t="str">
            <v>Total</v>
          </cell>
          <cell r="DZ169">
            <v>456</v>
          </cell>
          <cell r="EA169">
            <v>460</v>
          </cell>
          <cell r="EB169">
            <v>465</v>
          </cell>
          <cell r="EC169">
            <v>459</v>
          </cell>
          <cell r="ED169">
            <v>459</v>
          </cell>
          <cell r="EF169">
            <v>459</v>
          </cell>
          <cell r="EG169">
            <v>457</v>
          </cell>
          <cell r="EH169">
            <v>459</v>
          </cell>
          <cell r="EI169">
            <v>459</v>
          </cell>
          <cell r="EJ169">
            <v>459</v>
          </cell>
          <cell r="EL169">
            <v>459</v>
          </cell>
          <cell r="EM169">
            <v>460</v>
          </cell>
          <cell r="EN169">
            <v>444</v>
          </cell>
          <cell r="EO169">
            <v>410</v>
          </cell>
          <cell r="EP169">
            <v>410</v>
          </cell>
          <cell r="ER169">
            <v>406</v>
          </cell>
          <cell r="ES169">
            <v>403</v>
          </cell>
          <cell r="ET169">
            <v>405</v>
          </cell>
          <cell r="EU169">
            <v>407</v>
          </cell>
          <cell r="EV169">
            <v>407</v>
          </cell>
          <cell r="EX169">
            <v>412</v>
          </cell>
          <cell r="EY169">
            <v>412</v>
          </cell>
          <cell r="EZ169">
            <v>415</v>
          </cell>
          <cell r="FA169">
            <v>415</v>
          </cell>
          <cell r="FB169">
            <v>415</v>
          </cell>
          <cell r="FD169">
            <v>414</v>
          </cell>
          <cell r="FE169">
            <v>418</v>
          </cell>
          <cell r="FF169">
            <v>419</v>
          </cell>
          <cell r="FG169">
            <v>410</v>
          </cell>
          <cell r="FH169">
            <v>410</v>
          </cell>
          <cell r="FJ169">
            <v>411</v>
          </cell>
          <cell r="FK169">
            <v>411</v>
          </cell>
          <cell r="FL169">
            <v>417</v>
          </cell>
          <cell r="FM169">
            <v>413</v>
          </cell>
          <cell r="FN169">
            <v>413</v>
          </cell>
          <cell r="FP169">
            <v>412</v>
          </cell>
          <cell r="FQ169">
            <v>412</v>
          </cell>
          <cell r="FR169">
            <v>417</v>
          </cell>
          <cell r="FS169">
            <v>413</v>
          </cell>
          <cell r="FT169">
            <v>413</v>
          </cell>
          <cell r="FV169">
            <v>413</v>
          </cell>
          <cell r="FW169">
            <v>412</v>
          </cell>
          <cell r="FX169">
            <v>413</v>
          </cell>
          <cell r="FY169">
            <v>405</v>
          </cell>
          <cell r="FZ169">
            <v>405</v>
          </cell>
          <cell r="GB169">
            <v>407</v>
          </cell>
          <cell r="GC169">
            <v>408</v>
          </cell>
          <cell r="GD169">
            <v>410</v>
          </cell>
          <cell r="GE169">
            <v>407</v>
          </cell>
          <cell r="GF169">
            <v>407</v>
          </cell>
        </row>
        <row r="171">
          <cell r="A171" t="str">
            <v>May Co. Monthly Sales ($)</v>
          </cell>
          <cell r="AN171" t="str">
            <v>May Co. Monthly Sales ($)</v>
          </cell>
        </row>
        <row r="172">
          <cell r="A172" t="str">
            <v>Month 1</v>
          </cell>
          <cell r="AN172" t="str">
            <v>Month 1</v>
          </cell>
          <cell r="DZ172">
            <v>846</v>
          </cell>
          <cell r="EA172">
            <v>1005</v>
          </cell>
          <cell r="EB172">
            <v>953.8</v>
          </cell>
          <cell r="EC172">
            <v>1260.8</v>
          </cell>
          <cell r="EF172">
            <v>880.4</v>
          </cell>
          <cell r="EG172">
            <v>977.8</v>
          </cell>
          <cell r="EH172">
            <v>1053.9000000000001</v>
          </cell>
          <cell r="EI172">
            <v>1386.9</v>
          </cell>
          <cell r="EL172">
            <v>1007.8</v>
          </cell>
          <cell r="EM172">
            <v>1119.3</v>
          </cell>
          <cell r="EN172">
            <v>1027</v>
          </cell>
        </row>
        <row r="173">
          <cell r="A173" t="str">
            <v>Month 2</v>
          </cell>
          <cell r="AN173" t="str">
            <v>Month 2</v>
          </cell>
          <cell r="DZ173">
            <v>1060</v>
          </cell>
          <cell r="EA173">
            <v>1131.9000000000001</v>
          </cell>
          <cell r="EB173">
            <v>1135</v>
          </cell>
          <cell r="EC173">
            <v>2517</v>
          </cell>
          <cell r="EF173">
            <v>1161</v>
          </cell>
          <cell r="EG173">
            <v>1160</v>
          </cell>
          <cell r="EH173">
            <v>1339</v>
          </cell>
          <cell r="EI173">
            <v>2844.1</v>
          </cell>
          <cell r="EL173">
            <v>1280</v>
          </cell>
          <cell r="EM173">
            <v>1398.7</v>
          </cell>
        </row>
        <row r="174">
          <cell r="A174" t="str">
            <v>Month 3</v>
          </cell>
          <cell r="AN174" t="str">
            <v>Month 3</v>
          </cell>
          <cell r="DZ174">
            <v>967.4</v>
          </cell>
          <cell r="EA174">
            <v>863.4</v>
          </cell>
          <cell r="EB174">
            <v>887.2</v>
          </cell>
          <cell r="EC174">
            <v>715.4</v>
          </cell>
          <cell r="EF174">
            <v>901.5</v>
          </cell>
          <cell r="EG174">
            <v>817.9</v>
          </cell>
          <cell r="EH174">
            <v>1090.3</v>
          </cell>
          <cell r="EI174">
            <v>808</v>
          </cell>
          <cell r="EL174">
            <v>1080</v>
          </cell>
          <cell r="EM174">
            <v>927.4</v>
          </cell>
        </row>
        <row r="175">
          <cell r="A175" t="str">
            <v>Total</v>
          </cell>
          <cell r="AN175" t="str">
            <v>Total</v>
          </cell>
          <cell r="DZ175">
            <v>2873.4</v>
          </cell>
          <cell r="EA175">
            <v>3000.3</v>
          </cell>
          <cell r="EB175">
            <v>2976</v>
          </cell>
          <cell r="EC175">
            <v>4493.2</v>
          </cell>
          <cell r="ED175">
            <v>13342.900000000001</v>
          </cell>
          <cell r="EF175">
            <v>2963</v>
          </cell>
          <cell r="EG175">
            <v>2955.7</v>
          </cell>
          <cell r="EH175">
            <v>3483.2</v>
          </cell>
          <cell r="EI175">
            <v>5039</v>
          </cell>
          <cell r="EJ175">
            <v>14440.9</v>
          </cell>
          <cell r="EL175">
            <v>3369</v>
          </cell>
          <cell r="EM175">
            <v>3446</v>
          </cell>
        </row>
        <row r="177">
          <cell r="A177" t="str">
            <v>May Co. Monthly Comps</v>
          </cell>
          <cell r="AN177" t="str">
            <v>May Co. Monthly Comps</v>
          </cell>
        </row>
        <row r="178">
          <cell r="A178" t="str">
            <v>Month 1</v>
          </cell>
          <cell r="AN178" t="str">
            <v>Month 1</v>
          </cell>
          <cell r="DZ178">
            <v>-8.8999999999999996E-2</v>
          </cell>
          <cell r="EA178">
            <v>-3.9E-2</v>
          </cell>
          <cell r="EB178">
            <v>-3.2000000000000001E-2</v>
          </cell>
          <cell r="EC178">
            <v>-1.7000000000000001E-2</v>
          </cell>
          <cell r="EF178">
            <v>2.5999999999999999E-2</v>
          </cell>
          <cell r="EG178">
            <v>-3.7999999999999999E-2</v>
          </cell>
          <cell r="EH178">
            <v>-6.7000000000000004E-2</v>
          </cell>
          <cell r="EI178">
            <v>-7.9000000000000001E-2</v>
          </cell>
          <cell r="EL178">
            <v>-4.2000000000000003E-2</v>
          </cell>
          <cell r="EM178">
            <v>-2.9000000000000001E-2</v>
          </cell>
          <cell r="EN178">
            <v>-2.8000000000000001E-2</v>
          </cell>
        </row>
        <row r="179">
          <cell r="A179" t="str">
            <v>Month 2</v>
          </cell>
          <cell r="AN179" t="str">
            <v>Month 2</v>
          </cell>
          <cell r="DZ179">
            <v>-0.114</v>
          </cell>
          <cell r="EA179">
            <v>-5.8999999999999997E-2</v>
          </cell>
          <cell r="EB179">
            <v>-3.0000000000000001E-3</v>
          </cell>
          <cell r="EC179">
            <v>1.0999999999999999E-2</v>
          </cell>
          <cell r="EF179">
            <v>0.10100000000000001</v>
          </cell>
          <cell r="EG179">
            <v>1.9E-2</v>
          </cell>
          <cell r="EH179">
            <v>-1.4999999999999999E-2</v>
          </cell>
          <cell r="EI179">
            <v>-3.5000000000000003E-2</v>
          </cell>
          <cell r="EL179">
            <v>-0.108</v>
          </cell>
          <cell r="EM179">
            <v>7.0000000000000001E-3</v>
          </cell>
        </row>
        <row r="180">
          <cell r="A180" t="str">
            <v>Month 3</v>
          </cell>
          <cell r="AN180" t="str">
            <v>Month 3</v>
          </cell>
          <cell r="DZ180">
            <v>-5.6000000000000001E-2</v>
          </cell>
          <cell r="EA180">
            <v>1.7999999999999999E-2</v>
          </cell>
          <cell r="EB180">
            <v>-4.2000000000000003E-2</v>
          </cell>
          <cell r="EC180">
            <v>5.2999999999999999E-2</v>
          </cell>
          <cell r="EF180">
            <v>-8.1000000000000003E-2</v>
          </cell>
          <cell r="EG180">
            <v>-5.2999999999999999E-2</v>
          </cell>
          <cell r="EH180">
            <v>-2.3E-2</v>
          </cell>
          <cell r="EI180">
            <v>-7.1999999999999995E-2</v>
          </cell>
          <cell r="EL180">
            <v>1.4999999999999999E-2</v>
          </cell>
          <cell r="EM180">
            <v>-3.3000000000000002E-2</v>
          </cell>
        </row>
        <row r="181">
          <cell r="A181" t="str">
            <v>Total</v>
          </cell>
          <cell r="AN181" t="str">
            <v>Total</v>
          </cell>
          <cell r="DZ181">
            <v>-8.7999999999999995E-2</v>
          </cell>
          <cell r="EA181">
            <v>-3.1E-2</v>
          </cell>
          <cell r="EB181">
            <v>-2.3921034946236562E-2</v>
          </cell>
          <cell r="EC181">
            <v>8.0000000000000002E-3</v>
          </cell>
          <cell r="ED181">
            <v>-2.8562204901446453E-2</v>
          </cell>
          <cell r="EF181">
            <v>1.7000000000000001E-2</v>
          </cell>
          <cell r="EG181">
            <v>-2.1999999999999999E-2</v>
          </cell>
          <cell r="EH181">
            <v>-3.4000000000000002E-2</v>
          </cell>
          <cell r="EI181">
            <v>-5.1999999999999998E-2</v>
          </cell>
          <cell r="EJ181">
            <v>-2.4E-2</v>
          </cell>
          <cell r="EL181">
            <v>-5.0999999999999997E-2</v>
          </cell>
          <cell r="EM181">
            <v>-1.6E-2</v>
          </cell>
        </row>
        <row r="183">
          <cell r="A183" t="str">
            <v>May Co. Store Count (Estimated)</v>
          </cell>
          <cell r="AN183" t="str">
            <v>May Co. Store Count (Estimated)</v>
          </cell>
        </row>
        <row r="184">
          <cell r="A184" t="str">
            <v>Month 1</v>
          </cell>
          <cell r="AN184" t="str">
            <v>Month 1</v>
          </cell>
          <cell r="DZ184">
            <v>444</v>
          </cell>
          <cell r="EA184">
            <v>445</v>
          </cell>
          <cell r="EB184">
            <v>447</v>
          </cell>
          <cell r="EC184">
            <v>448</v>
          </cell>
          <cell r="EF184">
            <v>442</v>
          </cell>
          <cell r="EG184">
            <v>438</v>
          </cell>
          <cell r="EH184">
            <v>497</v>
          </cell>
          <cell r="EI184">
            <v>501</v>
          </cell>
          <cell r="EL184">
            <v>491</v>
          </cell>
          <cell r="EM184">
            <v>489</v>
          </cell>
          <cell r="EN184">
            <v>487</v>
          </cell>
          <cell r="EO184">
            <v>491</v>
          </cell>
          <cell r="ER184">
            <v>458</v>
          </cell>
          <cell r="ES184">
            <v>455</v>
          </cell>
          <cell r="ET184">
            <v>452</v>
          </cell>
          <cell r="EU184">
            <v>452</v>
          </cell>
          <cell r="EX184">
            <v>451</v>
          </cell>
          <cell r="EY184">
            <v>451</v>
          </cell>
          <cell r="EZ184">
            <v>451</v>
          </cell>
          <cell r="FA184">
            <v>451</v>
          </cell>
          <cell r="FD184">
            <v>437</v>
          </cell>
          <cell r="FE184">
            <v>437</v>
          </cell>
          <cell r="FF184">
            <v>437</v>
          </cell>
          <cell r="FG184">
            <v>437</v>
          </cell>
          <cell r="FJ184">
            <v>437</v>
          </cell>
          <cell r="FK184">
            <v>437</v>
          </cell>
          <cell r="FL184">
            <v>437</v>
          </cell>
          <cell r="FM184">
            <v>437</v>
          </cell>
          <cell r="FP184">
            <v>437</v>
          </cell>
          <cell r="FQ184">
            <v>437</v>
          </cell>
          <cell r="FR184">
            <v>437</v>
          </cell>
          <cell r="FS184">
            <v>437</v>
          </cell>
          <cell r="FV184">
            <v>437</v>
          </cell>
          <cell r="FW184">
            <v>437</v>
          </cell>
          <cell r="FX184">
            <v>437</v>
          </cell>
          <cell r="FY184">
            <v>437</v>
          </cell>
          <cell r="GB184">
            <v>437</v>
          </cell>
          <cell r="GC184">
            <v>437</v>
          </cell>
          <cell r="GD184">
            <v>437</v>
          </cell>
          <cell r="GE184">
            <v>437</v>
          </cell>
        </row>
        <row r="185">
          <cell r="A185" t="str">
            <v>Month 2</v>
          </cell>
          <cell r="AN185" t="str">
            <v>Month 2</v>
          </cell>
          <cell r="DZ185">
            <v>444</v>
          </cell>
          <cell r="EA185">
            <v>446</v>
          </cell>
          <cell r="EB185">
            <v>448</v>
          </cell>
          <cell r="EC185">
            <v>448</v>
          </cell>
          <cell r="EF185">
            <v>439</v>
          </cell>
          <cell r="EG185">
            <v>438</v>
          </cell>
          <cell r="EH185">
            <v>497</v>
          </cell>
          <cell r="EI185">
            <v>501</v>
          </cell>
          <cell r="EL185">
            <v>490</v>
          </cell>
          <cell r="EM185">
            <v>487</v>
          </cell>
          <cell r="EN185">
            <v>487</v>
          </cell>
          <cell r="EO185">
            <v>491</v>
          </cell>
          <cell r="ER185">
            <v>455</v>
          </cell>
          <cell r="ES185">
            <v>454</v>
          </cell>
          <cell r="ET185">
            <v>452</v>
          </cell>
          <cell r="EU185">
            <v>452</v>
          </cell>
          <cell r="EX185">
            <v>451</v>
          </cell>
          <cell r="EY185">
            <v>451</v>
          </cell>
          <cell r="EZ185">
            <v>451</v>
          </cell>
          <cell r="FA185">
            <v>442</v>
          </cell>
          <cell r="FD185">
            <v>437</v>
          </cell>
          <cell r="FE185">
            <v>437</v>
          </cell>
          <cell r="FF185">
            <v>437</v>
          </cell>
          <cell r="FG185">
            <v>437</v>
          </cell>
          <cell r="FJ185">
            <v>437</v>
          </cell>
          <cell r="FK185">
            <v>437</v>
          </cell>
          <cell r="FL185">
            <v>437</v>
          </cell>
          <cell r="FM185">
            <v>437</v>
          </cell>
          <cell r="FP185">
            <v>437</v>
          </cell>
          <cell r="FQ185">
            <v>437</v>
          </cell>
          <cell r="FR185">
            <v>437</v>
          </cell>
          <cell r="FS185">
            <v>437</v>
          </cell>
          <cell r="FV185">
            <v>437</v>
          </cell>
          <cell r="FW185">
            <v>437</v>
          </cell>
          <cell r="FX185">
            <v>437</v>
          </cell>
          <cell r="FY185">
            <v>437</v>
          </cell>
          <cell r="GB185">
            <v>437</v>
          </cell>
          <cell r="GC185">
            <v>437</v>
          </cell>
          <cell r="GD185">
            <v>437</v>
          </cell>
          <cell r="GE185">
            <v>437</v>
          </cell>
        </row>
        <row r="186">
          <cell r="A186" t="str">
            <v>Month 3</v>
          </cell>
          <cell r="AN186" t="str">
            <v>Month 3</v>
          </cell>
          <cell r="DZ186">
            <v>444</v>
          </cell>
          <cell r="EA186">
            <v>446</v>
          </cell>
          <cell r="EB186">
            <v>450</v>
          </cell>
          <cell r="EC186">
            <v>444</v>
          </cell>
          <cell r="EF186">
            <v>439</v>
          </cell>
          <cell r="EG186">
            <v>497</v>
          </cell>
          <cell r="EH186">
            <v>500</v>
          </cell>
          <cell r="EI186">
            <v>491</v>
          </cell>
          <cell r="EL186">
            <v>490</v>
          </cell>
          <cell r="EM186">
            <v>487</v>
          </cell>
          <cell r="EN186">
            <v>491</v>
          </cell>
          <cell r="EO186">
            <v>458</v>
          </cell>
          <cell r="ER186">
            <v>455</v>
          </cell>
          <cell r="ES186">
            <v>453</v>
          </cell>
          <cell r="ET186">
            <v>452</v>
          </cell>
          <cell r="EU186">
            <v>451</v>
          </cell>
          <cell r="EX186">
            <v>451</v>
          </cell>
          <cell r="EY186">
            <v>451</v>
          </cell>
          <cell r="EZ186">
            <v>451</v>
          </cell>
          <cell r="FA186">
            <v>437</v>
          </cell>
          <cell r="FD186">
            <v>437</v>
          </cell>
          <cell r="FE186">
            <v>437</v>
          </cell>
          <cell r="FF186">
            <v>437</v>
          </cell>
          <cell r="FG186">
            <v>437</v>
          </cell>
          <cell r="FJ186">
            <v>437</v>
          </cell>
          <cell r="FK186">
            <v>437</v>
          </cell>
          <cell r="FL186">
            <v>437</v>
          </cell>
          <cell r="FM186">
            <v>437</v>
          </cell>
          <cell r="FP186">
            <v>437</v>
          </cell>
          <cell r="FQ186">
            <v>437</v>
          </cell>
          <cell r="FR186">
            <v>437</v>
          </cell>
          <cell r="FS186">
            <v>437</v>
          </cell>
          <cell r="FV186">
            <v>437</v>
          </cell>
          <cell r="FW186">
            <v>437</v>
          </cell>
          <cell r="FX186">
            <v>437</v>
          </cell>
          <cell r="FY186">
            <v>437</v>
          </cell>
          <cell r="GB186">
            <v>437</v>
          </cell>
          <cell r="GC186">
            <v>437</v>
          </cell>
          <cell r="GD186">
            <v>437</v>
          </cell>
          <cell r="GE186">
            <v>437</v>
          </cell>
        </row>
        <row r="187">
          <cell r="A187" t="str">
            <v>Total</v>
          </cell>
          <cell r="AN187" t="str">
            <v>Total</v>
          </cell>
          <cell r="DZ187">
            <v>444</v>
          </cell>
          <cell r="EA187">
            <v>446</v>
          </cell>
          <cell r="EB187">
            <v>450</v>
          </cell>
          <cell r="EC187">
            <v>444</v>
          </cell>
          <cell r="ED187">
            <v>444</v>
          </cell>
          <cell r="EF187">
            <v>439</v>
          </cell>
          <cell r="EG187">
            <v>497</v>
          </cell>
          <cell r="EH187">
            <v>500</v>
          </cell>
          <cell r="EI187">
            <v>491</v>
          </cell>
          <cell r="EJ187">
            <v>491</v>
          </cell>
          <cell r="EL187">
            <v>490</v>
          </cell>
          <cell r="EM187">
            <v>487</v>
          </cell>
          <cell r="EN187">
            <v>491</v>
          </cell>
          <cell r="EO187">
            <v>458</v>
          </cell>
          <cell r="EP187">
            <v>458</v>
          </cell>
          <cell r="ER187">
            <v>455</v>
          </cell>
          <cell r="ES187">
            <v>453</v>
          </cell>
          <cell r="ET187">
            <v>452</v>
          </cell>
          <cell r="EU187">
            <v>451</v>
          </cell>
          <cell r="EV187">
            <v>451</v>
          </cell>
          <cell r="EX187">
            <v>451</v>
          </cell>
          <cell r="EY187">
            <v>451</v>
          </cell>
          <cell r="EZ187">
            <v>451</v>
          </cell>
          <cell r="FA187">
            <v>437</v>
          </cell>
          <cell r="FB187">
            <v>437</v>
          </cell>
          <cell r="FD187">
            <v>437</v>
          </cell>
          <cell r="FE187">
            <v>437</v>
          </cell>
          <cell r="FF187">
            <v>437</v>
          </cell>
          <cell r="FG187">
            <v>437</v>
          </cell>
          <cell r="FH187">
            <v>437</v>
          </cell>
          <cell r="FJ187">
            <v>437</v>
          </cell>
          <cell r="FK187">
            <v>437</v>
          </cell>
          <cell r="FL187">
            <v>437</v>
          </cell>
          <cell r="FM187">
            <v>437</v>
          </cell>
          <cell r="FN187">
            <v>437</v>
          </cell>
          <cell r="FP187">
            <v>437</v>
          </cell>
          <cell r="FQ187">
            <v>437</v>
          </cell>
          <cell r="FR187">
            <v>437</v>
          </cell>
          <cell r="FS187">
            <v>437</v>
          </cell>
          <cell r="FT187">
            <v>437</v>
          </cell>
          <cell r="FV187">
            <v>437</v>
          </cell>
          <cell r="FW187">
            <v>437</v>
          </cell>
          <cell r="FX187">
            <v>437</v>
          </cell>
          <cell r="FY187">
            <v>437</v>
          </cell>
          <cell r="FZ187">
            <v>437</v>
          </cell>
          <cell r="GB187">
            <v>437</v>
          </cell>
          <cell r="GC187">
            <v>437</v>
          </cell>
          <cell r="GD187">
            <v>437</v>
          </cell>
          <cell r="GE187">
            <v>437</v>
          </cell>
          <cell r="GF187">
            <v>437</v>
          </cell>
        </row>
        <row r="189">
          <cell r="AN189" t="str">
            <v>Direct-to-consumer Monthly Sales</v>
          </cell>
        </row>
        <row r="190">
          <cell r="AN190" t="str">
            <v>Month 1</v>
          </cell>
          <cell r="CV190" t="str">
            <v>--</v>
          </cell>
          <cell r="CW190" t="str">
            <v>--</v>
          </cell>
          <cell r="CX190" t="str">
            <v>--</v>
          </cell>
          <cell r="CY190" t="str">
            <v>--</v>
          </cell>
          <cell r="DB190">
            <v>8</v>
          </cell>
          <cell r="DC190">
            <v>141</v>
          </cell>
          <cell r="DD190">
            <v>131</v>
          </cell>
          <cell r="DE190">
            <v>209</v>
          </cell>
          <cell r="DH190">
            <v>137</v>
          </cell>
          <cell r="DI190">
            <v>142</v>
          </cell>
          <cell r="DJ190">
            <v>128</v>
          </cell>
          <cell r="DK190">
            <v>185</v>
          </cell>
          <cell r="DN190">
            <v>69</v>
          </cell>
          <cell r="DO190">
            <v>81</v>
          </cell>
          <cell r="DP190" t="str">
            <v xml:space="preserve"> </v>
          </cell>
        </row>
        <row r="201">
          <cell r="AN201" t="str">
            <v>NA = Not Applicable, NM = Not Meaningful</v>
          </cell>
        </row>
        <row r="202">
          <cell r="N202" t="str">
            <v>1995-FY</v>
          </cell>
          <cell r="O202" t="str">
            <v>1996-FY</v>
          </cell>
          <cell r="P202" t="str">
            <v>1997-FY</v>
          </cell>
          <cell r="Q202" t="str">
            <v>1998-FY</v>
          </cell>
          <cell r="R202" t="str">
            <v>1999-FY</v>
          </cell>
          <cell r="S202" t="str">
            <v>2000-FY</v>
          </cell>
          <cell r="T202" t="str">
            <v>2001-FY</v>
          </cell>
          <cell r="U202" t="str">
            <v>2002-FY</v>
          </cell>
          <cell r="V202" t="str">
            <v>2003-FY</v>
          </cell>
          <cell r="W202" t="str">
            <v>2004-FY</v>
          </cell>
          <cell r="X202" t="str">
            <v>2005-FY</v>
          </cell>
          <cell r="Y202" t="str">
            <v>2006-FY</v>
          </cell>
          <cell r="Z202" t="str">
            <v>2007-FY</v>
          </cell>
          <cell r="AA202" t="str">
            <v>2008-FY</v>
          </cell>
          <cell r="AB202" t="str">
            <v>2009-FY</v>
          </cell>
          <cell r="AC202" t="str">
            <v>2010-FY</v>
          </cell>
          <cell r="AD202" t="str">
            <v>2011-FY</v>
          </cell>
          <cell r="AE202" t="str">
            <v>2012-FY</v>
          </cell>
          <cell r="AF202" t="str">
            <v>2013-FY</v>
          </cell>
          <cell r="AG202" t="str">
            <v>2014-FY</v>
          </cell>
          <cell r="AH202" t="str">
            <v>2015-FY</v>
          </cell>
          <cell r="DH202" t="str">
            <v>2000-Q1</v>
          </cell>
          <cell r="DI202" t="str">
            <v>2000-Q2</v>
          </cell>
          <cell r="DJ202" t="str">
            <v>2000-Q3</v>
          </cell>
          <cell r="DK202" t="str">
            <v>2000-Q4</v>
          </cell>
          <cell r="DN202" t="str">
            <v>2001-Q1</v>
          </cell>
          <cell r="DO202" t="str">
            <v>2001-Q2</v>
          </cell>
          <cell r="DP202" t="str">
            <v>2001-Q3</v>
          </cell>
          <cell r="DQ202" t="str">
            <v>2001-Q4</v>
          </cell>
          <cell r="DT202" t="str">
            <v>2002-Q1</v>
          </cell>
          <cell r="DU202" t="str">
            <v>2002-Q2</v>
          </cell>
          <cell r="DV202" t="str">
            <v>2002-Q3</v>
          </cell>
          <cell r="DW202" t="str">
            <v>2002-Q4</v>
          </cell>
          <cell r="DZ202" t="str">
            <v>2003-Q1</v>
          </cell>
          <cell r="EA202" t="str">
            <v>2003-Q2</v>
          </cell>
          <cell r="EB202" t="str">
            <v>2003-Q3</v>
          </cell>
          <cell r="EC202" t="str">
            <v>2003-Q4</v>
          </cell>
          <cell r="EF202" t="str">
            <v>2004-Q1</v>
          </cell>
          <cell r="EG202" t="str">
            <v>2004-Q2</v>
          </cell>
          <cell r="EH202" t="str">
            <v>2004-Q3</v>
          </cell>
          <cell r="EI202" t="str">
            <v>2004-Q4</v>
          </cell>
          <cell r="EL202" t="str">
            <v>2005-Q1</v>
          </cell>
          <cell r="EM202" t="str">
            <v>2005-Q2</v>
          </cell>
          <cell r="EN202" t="str">
            <v>2005-Q3</v>
          </cell>
          <cell r="EO202" t="str">
            <v>2005-Q4</v>
          </cell>
          <cell r="ER202" t="str">
            <v>2006-Q1</v>
          </cell>
          <cell r="ES202" t="str">
            <v>2006-Q2</v>
          </cell>
          <cell r="ET202" t="str">
            <v>2006-Q3</v>
          </cell>
          <cell r="EU202" t="str">
            <v>2006-Q4</v>
          </cell>
          <cell r="EX202" t="str">
            <v>2007-Q1</v>
          </cell>
          <cell r="EY202" t="str">
            <v>2007-Q2</v>
          </cell>
          <cell r="EZ202" t="str">
            <v>2007-Q3</v>
          </cell>
          <cell r="FA202" t="str">
            <v>2007-Q4</v>
          </cell>
          <cell r="FD202" t="str">
            <v>2008-Q1</v>
          </cell>
          <cell r="FE202" t="str">
            <v>2008-Q2</v>
          </cell>
          <cell r="FF202" t="str">
            <v>2008-Q3</v>
          </cell>
          <cell r="FG202" t="str">
            <v>2008-Q4</v>
          </cell>
          <cell r="FJ202" t="str">
            <v>2009-Q1</v>
          </cell>
          <cell r="FK202" t="str">
            <v>2009-Q2</v>
          </cell>
          <cell r="FL202" t="str">
            <v>2009-Q3</v>
          </cell>
          <cell r="FM202" t="str">
            <v>2009-Q4</v>
          </cell>
          <cell r="FP202" t="str">
            <v>2010-Q1</v>
          </cell>
          <cell r="FQ202" t="str">
            <v>2010-Q2</v>
          </cell>
          <cell r="FR202" t="str">
            <v>2010-Q3</v>
          </cell>
          <cell r="FS202" t="str">
            <v>2010-Q4</v>
          </cell>
          <cell r="FV202" t="str">
            <v>2011-Q1</v>
          </cell>
          <cell r="FW202" t="str">
            <v>2011-Q2</v>
          </cell>
          <cell r="FX202" t="str">
            <v>2011-Q3</v>
          </cell>
          <cell r="FY202" t="str">
            <v>2011-Q4</v>
          </cell>
          <cell r="GB202" t="str">
            <v>2012-Q1</v>
          </cell>
          <cell r="GC202" t="str">
            <v>2012-Q2</v>
          </cell>
          <cell r="GD202" t="str">
            <v>2012-Q3</v>
          </cell>
          <cell r="GE202" t="str">
            <v>2012-Q4</v>
          </cell>
        </row>
        <row r="203">
          <cell r="AA203" t="str">
            <v>LINK OVER TO QUARTERLY BULL/BEAR</v>
          </cell>
        </row>
        <row r="204">
          <cell r="A204" t="str">
            <v>Base Case Assumptions</v>
          </cell>
          <cell r="N204">
            <v>1995</v>
          </cell>
          <cell r="O204">
            <v>1996</v>
          </cell>
          <cell r="P204">
            <v>1997</v>
          </cell>
          <cell r="Q204">
            <v>1998</v>
          </cell>
          <cell r="R204">
            <v>1999</v>
          </cell>
          <cell r="S204">
            <v>2000</v>
          </cell>
          <cell r="T204">
            <v>2001</v>
          </cell>
          <cell r="U204">
            <v>2002</v>
          </cell>
          <cell r="V204">
            <v>2003</v>
          </cell>
          <cell r="W204">
            <v>2004</v>
          </cell>
          <cell r="X204">
            <v>2005</v>
          </cell>
          <cell r="Y204">
            <v>2006</v>
          </cell>
          <cell r="Z204">
            <v>2007</v>
          </cell>
          <cell r="AA204">
            <v>2008</v>
          </cell>
          <cell r="AB204">
            <v>2009</v>
          </cell>
          <cell r="AC204">
            <v>2010</v>
          </cell>
          <cell r="AD204">
            <v>2011</v>
          </cell>
          <cell r="AE204" t="str">
            <v>2012E</v>
          </cell>
          <cell r="AF204" t="str">
            <v>2013E</v>
          </cell>
          <cell r="AG204" t="str">
            <v>2014E</v>
          </cell>
          <cell r="AH204" t="str">
            <v>2015E</v>
          </cell>
          <cell r="AI204" t="str">
            <v>2016E</v>
          </cell>
          <cell r="AJ204" t="str">
            <v>2017E</v>
          </cell>
          <cell r="AK204" t="str">
            <v>2018E</v>
          </cell>
          <cell r="AL204" t="str">
            <v>2019E</v>
          </cell>
          <cell r="AN204" t="str">
            <v>Base Case Assumptions</v>
          </cell>
          <cell r="EL204" t="str">
            <v>Base Case Assumptions</v>
          </cell>
        </row>
        <row r="205">
          <cell r="A205" t="str">
            <v>Revenue</v>
          </cell>
          <cell r="N205">
            <v>14614</v>
          </cell>
          <cell r="O205">
            <v>14833</v>
          </cell>
          <cell r="P205">
            <v>15220</v>
          </cell>
          <cell r="Q205">
            <v>15365</v>
          </cell>
          <cell r="R205">
            <v>16029</v>
          </cell>
          <cell r="S205">
            <v>16638</v>
          </cell>
          <cell r="T205">
            <v>15785</v>
          </cell>
          <cell r="U205">
            <v>15571</v>
          </cell>
          <cell r="V205">
            <v>15412</v>
          </cell>
          <cell r="W205">
            <v>15776</v>
          </cell>
          <cell r="X205">
            <v>22390</v>
          </cell>
          <cell r="Y205">
            <v>26970</v>
          </cell>
          <cell r="Z205">
            <v>26313</v>
          </cell>
          <cell r="AA205">
            <v>24892</v>
          </cell>
          <cell r="AB205">
            <v>23895</v>
          </cell>
          <cell r="AC205">
            <v>25003</v>
          </cell>
          <cell r="AD205">
            <v>26405</v>
          </cell>
          <cell r="AE205">
            <v>27697.820605365057</v>
          </cell>
          <cell r="AF205">
            <v>28358.892641397051</v>
          </cell>
          <cell r="AG205">
            <v>28905.408744504351</v>
          </cell>
          <cell r="AH205">
            <v>29204.897015558319</v>
          </cell>
          <cell r="AI205">
            <v>29496.945985713905</v>
          </cell>
          <cell r="AJ205">
            <v>29791.915445571045</v>
          </cell>
          <cell r="AK205">
            <v>30089.834600026756</v>
          </cell>
          <cell r="AL205">
            <v>30390.732946027023</v>
          </cell>
          <cell r="AN205" t="str">
            <v>Consolidated Stores Monthly Sales ($)</v>
          </cell>
          <cell r="EL205" t="str">
            <v>Consolidated Stores Monthly Sales ($)</v>
          </cell>
          <cell r="EU205">
            <v>356</v>
          </cell>
        </row>
        <row r="206">
          <cell r="A206" t="str">
            <v xml:space="preserve"> % Same-store</v>
          </cell>
          <cell r="N206">
            <v>2.7E-2</v>
          </cell>
          <cell r="O206">
            <v>3.1E-2</v>
          </cell>
          <cell r="P206">
            <v>2.7E-2</v>
          </cell>
          <cell r="Q206">
            <v>2.1999999999999999E-2</v>
          </cell>
          <cell r="R206">
            <v>4.4999999999999998E-2</v>
          </cell>
          <cell r="S206">
            <v>0.02</v>
          </cell>
          <cell r="T206">
            <v>-5.2999999999999999E-2</v>
          </cell>
          <cell r="U206">
            <v>-0.03</v>
          </cell>
          <cell r="V206">
            <v>-9.0000000000000011E-3</v>
          </cell>
          <cell r="W206">
            <v>2.5999999999999999E-2</v>
          </cell>
          <cell r="X206">
            <v>1.2999999999999999E-2</v>
          </cell>
          <cell r="Y206">
            <v>4.3999999999999997E-2</v>
          </cell>
          <cell r="Z206">
            <v>-1.2799528750047504E-2</v>
          </cell>
          <cell r="AA206">
            <v>-4.4999999999999998E-2</v>
          </cell>
          <cell r="AB206">
            <v>-5.0987622799162344E-2</v>
          </cell>
          <cell r="AC206">
            <v>4.610434747830261E-2</v>
          </cell>
          <cell r="AD206">
            <v>5.2999999999999999E-2</v>
          </cell>
          <cell r="AE206">
            <v>4.02253638971692E-2</v>
          </cell>
          <cell r="AF206">
            <v>3.5000000000000003E-2</v>
          </cell>
          <cell r="AG206">
            <v>0.02</v>
          </cell>
          <cell r="AH206">
            <v>0.01</v>
          </cell>
          <cell r="AI206">
            <v>0.01</v>
          </cell>
          <cell r="AJ206">
            <v>0.01</v>
          </cell>
          <cell r="AK206">
            <v>0.01</v>
          </cell>
          <cell r="AL206">
            <v>0.01</v>
          </cell>
          <cell r="AN206" t="str">
            <v>Month 1</v>
          </cell>
          <cell r="EL206" t="str">
            <v>Month 1</v>
          </cell>
          <cell r="ER206">
            <v>1800</v>
          </cell>
          <cell r="ES206">
            <v>2026</v>
          </cell>
          <cell r="ET206">
            <v>1727</v>
          </cell>
          <cell r="EU206">
            <v>2385</v>
          </cell>
          <cell r="EX206">
            <v>1802</v>
          </cell>
          <cell r="EY206">
            <v>1976</v>
          </cell>
          <cell r="EZ206">
            <v>1788</v>
          </cell>
          <cell r="FA206">
            <v>2707</v>
          </cell>
          <cell r="FD206">
            <v>1737</v>
          </cell>
          <cell r="FE206">
            <v>1926</v>
          </cell>
          <cell r="FF206">
            <v>1686</v>
          </cell>
          <cell r="FG206">
            <v>2324</v>
          </cell>
          <cell r="FJ206">
            <v>1602.5975291456411</v>
          </cell>
          <cell r="FK206">
            <v>1783.7565582371458</v>
          </cell>
          <cell r="FL206">
            <v>1576.1490988530857</v>
          </cell>
          <cell r="FM206">
            <v>2202.7766574237457</v>
          </cell>
          <cell r="FP206">
            <v>1667</v>
          </cell>
          <cell r="FQ206">
            <v>1789</v>
          </cell>
          <cell r="FR206">
            <v>1638</v>
          </cell>
          <cell r="FS206">
            <v>2341</v>
          </cell>
          <cell r="FV206">
            <v>1763</v>
          </cell>
          <cell r="FW206">
            <v>1937</v>
          </cell>
          <cell r="FX206">
            <v>1714</v>
          </cell>
          <cell r="FY206">
            <v>2465</v>
          </cell>
          <cell r="GB206">
            <v>1860</v>
          </cell>
          <cell r="GC206">
            <v>2015</v>
          </cell>
          <cell r="GD206">
            <v>1812</v>
          </cell>
          <cell r="GE206">
            <v>2539.5720461726355</v>
          </cell>
        </row>
        <row r="207">
          <cell r="A207" t="str">
            <v>CGS, OCC, Buying Costs</v>
          </cell>
          <cell r="N207">
            <v>9038</v>
          </cell>
          <cell r="O207">
            <v>9018</v>
          </cell>
          <cell r="P207">
            <v>9200</v>
          </cell>
          <cell r="Q207">
            <v>9218</v>
          </cell>
          <cell r="R207">
            <v>9576</v>
          </cell>
          <cell r="S207">
            <v>9955</v>
          </cell>
          <cell r="T207">
            <v>9603</v>
          </cell>
          <cell r="U207">
            <v>9324</v>
          </cell>
          <cell r="V207">
            <v>9175</v>
          </cell>
          <cell r="W207">
            <v>9346</v>
          </cell>
          <cell r="X207">
            <v>13272</v>
          </cell>
          <cell r="Y207">
            <v>16019</v>
          </cell>
          <cell r="Z207">
            <v>15774.299839502128</v>
          </cell>
          <cell r="AA207">
            <v>15009</v>
          </cell>
          <cell r="AB207">
            <v>14278</v>
          </cell>
          <cell r="AC207">
            <v>14824</v>
          </cell>
          <cell r="AD207">
            <v>15738</v>
          </cell>
          <cell r="AE207">
            <v>16473.116703251519</v>
          </cell>
          <cell r="AF207">
            <v>16781.208749826241</v>
          </cell>
          <cell r="AG207">
            <v>17061.248342231931</v>
          </cell>
          <cell r="AH207">
            <v>17267.224438478806</v>
          </cell>
          <cell r="AI207">
            <v>17498.890574835023</v>
          </cell>
          <cell r="AJ207">
            <v>17673.879480583375</v>
          </cell>
          <cell r="AK207">
            <v>17850.618275389206</v>
          </cell>
          <cell r="AL207">
            <v>18029.124458143102</v>
          </cell>
          <cell r="AN207" t="str">
            <v>Month 2</v>
          </cell>
          <cell r="EL207" t="str">
            <v>Month 2</v>
          </cell>
          <cell r="ER207">
            <v>2255</v>
          </cell>
          <cell r="ES207">
            <v>2367</v>
          </cell>
          <cell r="ET207">
            <v>2303</v>
          </cell>
          <cell r="EU207">
            <v>4997</v>
          </cell>
          <cell r="EX207">
            <v>2288</v>
          </cell>
          <cell r="EY207">
            <v>2321</v>
          </cell>
          <cell r="EZ207">
            <v>2274</v>
          </cell>
          <cell r="FA207">
            <v>4624</v>
          </cell>
          <cell r="FD207">
            <v>2142</v>
          </cell>
          <cell r="FE207">
            <v>2249</v>
          </cell>
          <cell r="FF207">
            <v>2093</v>
          </cell>
          <cell r="FG207">
            <v>4397</v>
          </cell>
          <cell r="FJ207">
            <v>1963.7990255785628</v>
          </cell>
          <cell r="FK207">
            <v>2092.5916404337181</v>
          </cell>
          <cell r="FL207">
            <v>2084.1512834516657</v>
          </cell>
          <cell r="FM207">
            <v>4474.7693471136881</v>
          </cell>
          <cell r="FP207">
            <v>2172</v>
          </cell>
          <cell r="FQ207">
            <v>2229</v>
          </cell>
          <cell r="FR207">
            <v>2181</v>
          </cell>
          <cell r="FS207">
            <v>4619</v>
          </cell>
          <cell r="FV207">
            <v>2206</v>
          </cell>
          <cell r="FW207">
            <v>2392</v>
          </cell>
          <cell r="FX207">
            <v>2298</v>
          </cell>
          <cell r="FY207">
            <v>4925</v>
          </cell>
          <cell r="GB207">
            <v>2358</v>
          </cell>
          <cell r="GC207">
            <v>2412</v>
          </cell>
          <cell r="GD207">
            <v>2339.3160690399509</v>
          </cell>
          <cell r="GE207">
            <v>5073.9928305883286</v>
          </cell>
        </row>
        <row r="208">
          <cell r="A208" t="str">
            <v>CGS, OCC, Buying Costs %</v>
          </cell>
          <cell r="N208">
            <v>0.61844806350075265</v>
          </cell>
          <cell r="O208">
            <v>0.60796871839816624</v>
          </cell>
          <cell r="P208">
            <v>0.60446780551905388</v>
          </cell>
          <cell r="Q208">
            <v>0.59993491701919943</v>
          </cell>
          <cell r="R208">
            <v>0.59741718135878719</v>
          </cell>
          <cell r="S208">
            <v>0.5983291260968866</v>
          </cell>
          <cell r="T208">
            <v>0.60836236933797905</v>
          </cell>
          <cell r="U208">
            <v>0.59880547171023057</v>
          </cell>
          <cell r="V208">
            <v>0.59531533869711917</v>
          </cell>
          <cell r="W208">
            <v>0.59241886409736311</v>
          </cell>
          <cell r="X208">
            <v>0.59276462706565436</v>
          </cell>
          <cell r="Y208">
            <v>0.59395624768261035</v>
          </cell>
          <cell r="Z208">
            <v>0.59948693951666965</v>
          </cell>
          <cell r="AA208">
            <v>0.60296480797043228</v>
          </cell>
          <cell r="AB208">
            <v>0.59753086419753088</v>
          </cell>
          <cell r="AC208">
            <v>0.59288885333759944</v>
          </cell>
          <cell r="AD208">
            <v>0.59602348040143915</v>
          </cell>
          <cell r="AE208">
            <v>0.59474414748937621</v>
          </cell>
          <cell r="AF208">
            <v>0.5917441474893762</v>
          </cell>
          <cell r="AG208">
            <v>0.59024414748937615</v>
          </cell>
          <cell r="AH208">
            <v>0.59124414748937626</v>
          </cell>
          <cell r="AI208">
            <v>0.59324414748937615</v>
          </cell>
          <cell r="AJ208">
            <v>0.59324414748937626</v>
          </cell>
          <cell r="AK208">
            <v>0.59324414748937615</v>
          </cell>
          <cell r="AL208">
            <v>0.59324414748937626</v>
          </cell>
          <cell r="AN208" t="str">
            <v>Month 3</v>
          </cell>
          <cell r="EL208" t="str">
            <v>Month 3</v>
          </cell>
          <cell r="ER208">
            <v>1878</v>
          </cell>
          <cell r="ES208">
            <v>1608</v>
          </cell>
          <cell r="ET208">
            <v>1863</v>
          </cell>
          <cell r="EU208">
            <v>1780</v>
          </cell>
          <cell r="EX208">
            <v>1837</v>
          </cell>
          <cell r="EY208">
            <v>1602</v>
          </cell>
          <cell r="EZ208">
            <v>1849</v>
          </cell>
          <cell r="FA208">
            <v>1273</v>
          </cell>
          <cell r="FD208">
            <v>1868</v>
          </cell>
          <cell r="FE208">
            <v>1543</v>
          </cell>
          <cell r="FF208">
            <v>1714</v>
          </cell>
          <cell r="FG208">
            <v>1213</v>
          </cell>
          <cell r="FJ208">
            <v>1720.603445275796</v>
          </cell>
          <cell r="FK208">
            <v>1409.6518013291361</v>
          </cell>
          <cell r="FL208">
            <v>1725.6996176952484</v>
          </cell>
          <cell r="FM208">
            <v>1268.4539954625661</v>
          </cell>
          <cell r="FP208">
            <v>1739</v>
          </cell>
          <cell r="FQ208">
            <v>1528</v>
          </cell>
          <cell r="FR208">
            <v>1806</v>
          </cell>
          <cell r="FS208">
            <v>1310</v>
          </cell>
          <cell r="FV208">
            <v>1920</v>
          </cell>
          <cell r="FW208">
            <v>1612</v>
          </cell>
          <cell r="FX208">
            <v>1842</v>
          </cell>
          <cell r="FY208">
            <v>1336</v>
          </cell>
          <cell r="GB208">
            <v>1928</v>
          </cell>
          <cell r="GC208">
            <v>1693</v>
          </cell>
          <cell r="GD208">
            <v>1918.3705778953104</v>
          </cell>
          <cell r="GE208">
            <v>1753.5690816688336</v>
          </cell>
        </row>
        <row r="209">
          <cell r="A209" t="str">
            <v>Y/Y ∆ CGS, OCC, Buying Costs % (bps)</v>
          </cell>
          <cell r="O209">
            <v>-104.79345102586413</v>
          </cell>
          <cell r="P209">
            <v>-35.009128791123615</v>
          </cell>
          <cell r="Q209">
            <v>-45.328884998544481</v>
          </cell>
          <cell r="R209">
            <v>-25.177356604122458</v>
          </cell>
          <cell r="S209">
            <v>9.1194473809941279</v>
          </cell>
          <cell r="T209">
            <v>100.33243241092448</v>
          </cell>
          <cell r="U209">
            <v>-95.568976277484722</v>
          </cell>
          <cell r="V209">
            <v>-34.901330131114072</v>
          </cell>
          <cell r="W209">
            <v>-28.964745997560605</v>
          </cell>
          <cell r="X209">
            <v>3.4576296829125219</v>
          </cell>
          <cell r="Y209">
            <v>11.916206169559906</v>
          </cell>
          <cell r="Z209">
            <v>55.306918340592979</v>
          </cell>
          <cell r="AA209">
            <v>34.778684537626333</v>
          </cell>
          <cell r="AB209">
            <v>-54.339437729014065</v>
          </cell>
          <cell r="AC209">
            <v>-46.420108599314332</v>
          </cell>
          <cell r="AD209">
            <v>31.346270638397122</v>
          </cell>
          <cell r="AE209">
            <v>-12.793329120629471</v>
          </cell>
          <cell r="AF209">
            <v>-30.000000000000028</v>
          </cell>
          <cell r="AG209">
            <v>-15.000000000000568</v>
          </cell>
          <cell r="AH209">
            <v>10.000000000001119</v>
          </cell>
          <cell r="AI209">
            <v>19.999999999998906</v>
          </cell>
          <cell r="AJ209">
            <v>1.1102230246251565E-12</v>
          </cell>
          <cell r="AK209">
            <v>-1.1102230246251565E-12</v>
          </cell>
          <cell r="AL209">
            <v>1.1102230246251565E-12</v>
          </cell>
          <cell r="AN209" t="str">
            <v>Total</v>
          </cell>
          <cell r="EL209" t="str">
            <v>Total</v>
          </cell>
          <cell r="ER209">
            <v>5930</v>
          </cell>
          <cell r="ES209">
            <v>5995</v>
          </cell>
          <cell r="ET209">
            <v>5886</v>
          </cell>
          <cell r="EU209">
            <v>9159</v>
          </cell>
          <cell r="EV209">
            <v>26970</v>
          </cell>
          <cell r="EX209">
            <v>5921</v>
          </cell>
          <cell r="EY209">
            <v>5892</v>
          </cell>
          <cell r="EZ209">
            <v>5906</v>
          </cell>
          <cell r="FA209">
            <v>8594</v>
          </cell>
          <cell r="FB209">
            <v>26313</v>
          </cell>
          <cell r="FD209">
            <v>5747</v>
          </cell>
          <cell r="FE209">
            <v>5718</v>
          </cell>
          <cell r="FF209">
            <v>5493</v>
          </cell>
          <cell r="FG209">
            <v>7934</v>
          </cell>
          <cell r="FH209">
            <v>24892</v>
          </cell>
          <cell r="FJ209">
            <v>5288</v>
          </cell>
          <cell r="FK209">
            <v>5285</v>
          </cell>
          <cell r="FL209">
            <v>5385</v>
          </cell>
          <cell r="FM209">
            <v>7937</v>
          </cell>
          <cell r="FN209">
            <v>23895</v>
          </cell>
          <cell r="FP209">
            <v>5574</v>
          </cell>
          <cell r="FQ209">
            <v>5537</v>
          </cell>
          <cell r="FR209">
            <v>5623</v>
          </cell>
          <cell r="FS209">
            <v>8269</v>
          </cell>
          <cell r="FT209">
            <v>25003</v>
          </cell>
          <cell r="FV209">
            <v>5889</v>
          </cell>
          <cell r="FW209">
            <v>5939</v>
          </cell>
          <cell r="FX209">
            <v>5853</v>
          </cell>
          <cell r="FY209">
            <v>8724</v>
          </cell>
          <cell r="FZ209">
            <v>26405</v>
          </cell>
          <cell r="GB209">
            <v>6143</v>
          </cell>
          <cell r="GC209">
            <v>6118</v>
          </cell>
          <cell r="GD209">
            <v>6069.6866469352608</v>
          </cell>
          <cell r="GE209">
            <v>9367.1339584297966</v>
          </cell>
          <cell r="GF209">
            <v>27697.820605365057</v>
          </cell>
        </row>
        <row r="210">
          <cell r="A210" t="str">
            <v>Gross Income</v>
          </cell>
          <cell r="N210">
            <v>5576</v>
          </cell>
          <cell r="O210">
            <v>5815</v>
          </cell>
          <cell r="P210">
            <v>6020</v>
          </cell>
          <cell r="Q210">
            <v>6147</v>
          </cell>
          <cell r="R210">
            <v>6453</v>
          </cell>
          <cell r="S210">
            <v>6683</v>
          </cell>
          <cell r="T210">
            <v>6182</v>
          </cell>
          <cell r="U210">
            <v>6247</v>
          </cell>
          <cell r="V210">
            <v>6237</v>
          </cell>
          <cell r="W210">
            <v>6430</v>
          </cell>
          <cell r="X210">
            <v>9118</v>
          </cell>
          <cell r="Y210">
            <v>10951</v>
          </cell>
          <cell r="Z210">
            <v>10538.700160497872</v>
          </cell>
          <cell r="AA210">
            <v>9883</v>
          </cell>
          <cell r="AB210">
            <v>9617</v>
          </cell>
          <cell r="AC210">
            <v>10179</v>
          </cell>
          <cell r="AD210">
            <v>10667</v>
          </cell>
          <cell r="AE210">
            <v>11224.703902113539</v>
          </cell>
          <cell r="AF210">
            <v>11577.683891570809</v>
          </cell>
          <cell r="AG210">
            <v>11844.16040227242</v>
          </cell>
          <cell r="AH210">
            <v>11937.672577079513</v>
          </cell>
          <cell r="AI210">
            <v>11998.055410878882</v>
          </cell>
          <cell r="AJ210">
            <v>12118.035964987672</v>
          </cell>
          <cell r="AK210">
            <v>12239.216324637548</v>
          </cell>
          <cell r="AL210">
            <v>12361.608487883923</v>
          </cell>
        </row>
        <row r="211">
          <cell r="A211" t="str">
            <v>Gross Margin</v>
          </cell>
          <cell r="N211">
            <v>0.38155193649924729</v>
          </cell>
          <cell r="O211">
            <v>0.39203128160183376</v>
          </cell>
          <cell r="P211">
            <v>0.39553219448094612</v>
          </cell>
          <cell r="Q211">
            <v>0.40006508298080051</v>
          </cell>
          <cell r="R211">
            <v>0.40258281864121281</v>
          </cell>
          <cell r="S211">
            <v>0.40167087390311335</v>
          </cell>
          <cell r="T211">
            <v>0.3916376306620209</v>
          </cell>
          <cell r="U211">
            <v>0.40119452828976943</v>
          </cell>
          <cell r="V211">
            <v>0.40468466130288089</v>
          </cell>
          <cell r="W211">
            <v>0.40758113590263689</v>
          </cell>
          <cell r="X211">
            <v>0.4072353729343457</v>
          </cell>
          <cell r="Y211">
            <v>0.40604375231738971</v>
          </cell>
          <cell r="Z211">
            <v>0.40051306048333035</v>
          </cell>
          <cell r="AA211">
            <v>0.39703519202956772</v>
          </cell>
          <cell r="AB211">
            <v>0.40246913580246912</v>
          </cell>
          <cell r="AC211">
            <v>0.4071111466624005</v>
          </cell>
          <cell r="AD211">
            <v>0.4039765195985609</v>
          </cell>
          <cell r="AE211">
            <v>0.40525585251062379</v>
          </cell>
          <cell r="AF211">
            <v>0.4082558525106238</v>
          </cell>
          <cell r="AG211">
            <v>0.4097558525106238</v>
          </cell>
          <cell r="AH211">
            <v>0.4087558525106238</v>
          </cell>
          <cell r="AI211">
            <v>0.40675585251062379</v>
          </cell>
          <cell r="AJ211">
            <v>0.40675585251062379</v>
          </cell>
          <cell r="AK211">
            <v>0.40675585251062379</v>
          </cell>
          <cell r="AL211">
            <v>0.40675585251062379</v>
          </cell>
          <cell r="AN211" t="str">
            <v xml:space="preserve">Consolidated Monthly Comps </v>
          </cell>
          <cell r="EL211" t="str">
            <v xml:space="preserve">Consolidated Monthly Comps </v>
          </cell>
          <cell r="EX211">
            <v>2.9599999999999991E-3</v>
          </cell>
          <cell r="FA211">
            <v>-1.5112275862068966E-2</v>
          </cell>
        </row>
        <row r="212">
          <cell r="A212" t="str">
            <v>Y/Y ∆ Gross Margin (bps)</v>
          </cell>
          <cell r="O212">
            <v>104.79345102586468</v>
          </cell>
          <cell r="P212">
            <v>35.009128791123615</v>
          </cell>
          <cell r="Q212">
            <v>45.328884998543927</v>
          </cell>
          <cell r="R212">
            <v>25.177356604123013</v>
          </cell>
          <cell r="S212">
            <v>-9.1194473809946821</v>
          </cell>
          <cell r="T212">
            <v>-100.33243241092448</v>
          </cell>
          <cell r="U212">
            <v>95.568976277485291</v>
          </cell>
          <cell r="V212">
            <v>34.901330131114626</v>
          </cell>
          <cell r="W212">
            <v>28.964745997560048</v>
          </cell>
          <cell r="X212">
            <v>-3.4576296829119668</v>
          </cell>
          <cell r="Y212">
            <v>-11.916206169559906</v>
          </cell>
          <cell r="Z212">
            <v>-55.306918340593533</v>
          </cell>
          <cell r="AA212">
            <v>-34.778684537626333</v>
          </cell>
          <cell r="AB212">
            <v>54.339437729014065</v>
          </cell>
          <cell r="AC212">
            <v>46.420108599313778</v>
          </cell>
          <cell r="AD212">
            <v>-31.346270638396014</v>
          </cell>
          <cell r="AE212">
            <v>12.793329120628915</v>
          </cell>
          <cell r="AF212">
            <v>30</v>
          </cell>
          <cell r="AG212">
            <v>15</v>
          </cell>
          <cell r="AH212">
            <v>-10</v>
          </cell>
          <cell r="AI212">
            <v>-20</v>
          </cell>
          <cell r="AJ212">
            <v>0</v>
          </cell>
          <cell r="AK212">
            <v>0</v>
          </cell>
          <cell r="AL212">
            <v>0</v>
          </cell>
          <cell r="AN212" t="str">
            <v>Month 1</v>
          </cell>
          <cell r="EL212" t="str">
            <v>Month 1</v>
          </cell>
          <cell r="ER212">
            <v>0.01</v>
          </cell>
          <cell r="ES212">
            <v>9.1999999999999998E-2</v>
          </cell>
          <cell r="ET212">
            <v>3.7999999999999999E-2</v>
          </cell>
          <cell r="EU212">
            <v>8.5000000000000006E-2</v>
          </cell>
          <cell r="EX212">
            <v>1.2E-2</v>
          </cell>
          <cell r="EY212">
            <v>-3.3000000000000002E-2</v>
          </cell>
          <cell r="EZ212">
            <v>2.4E-2</v>
          </cell>
          <cell r="FA212">
            <v>0.13400000000000001</v>
          </cell>
          <cell r="FD212">
            <v>-3.5000000000000003E-2</v>
          </cell>
          <cell r="FE212">
            <v>-1.4999999999999999E-2</v>
          </cell>
          <cell r="FF212">
            <v>-4.8000000000000001E-2</v>
          </cell>
          <cell r="FG212">
            <v>-0.13300000000000001</v>
          </cell>
          <cell r="FJ212">
            <v>-8.5000000000000006E-2</v>
          </cell>
          <cell r="FK212">
            <v>-9.0999999999999998E-2</v>
          </cell>
          <cell r="FL212">
            <v>-8.1000000000000003E-2</v>
          </cell>
          <cell r="FM212">
            <v>-6.0999999999999999E-2</v>
          </cell>
          <cell r="FP212">
            <v>3.6999999999999998E-2</v>
          </cell>
          <cell r="FQ212">
            <v>1.4E-2</v>
          </cell>
          <cell r="FR212">
            <v>4.2999999999999997E-2</v>
          </cell>
          <cell r="FS212">
            <v>6.0999999999999999E-2</v>
          </cell>
          <cell r="FV212">
            <v>5.8000000000000003E-2</v>
          </cell>
          <cell r="FW212">
            <v>7.3999999999999996E-2</v>
          </cell>
          <cell r="FX212">
            <v>0.05</v>
          </cell>
          <cell r="FY212">
            <v>4.8000000000000001E-2</v>
          </cell>
          <cell r="GB212">
            <v>4.5999999999999999E-2</v>
          </cell>
          <cell r="GC212">
            <v>4.2000000000000003E-2</v>
          </cell>
          <cell r="GD212">
            <v>5.0999999999999997E-2</v>
          </cell>
          <cell r="GE212">
            <v>0.04</v>
          </cell>
        </row>
        <row r="213">
          <cell r="A213" t="str">
            <v>SG&amp;A Expenses</v>
          </cell>
          <cell r="N213">
            <v>4913</v>
          </cell>
          <cell r="O213">
            <v>4922</v>
          </cell>
          <cell r="P213">
            <v>4679</v>
          </cell>
          <cell r="Q213">
            <v>4692</v>
          </cell>
          <cell r="R213">
            <v>4760</v>
          </cell>
          <cell r="S213">
            <v>4912</v>
          </cell>
          <cell r="T213">
            <v>4806</v>
          </cell>
          <cell r="U213">
            <v>4836</v>
          </cell>
          <cell r="V213">
            <v>4837</v>
          </cell>
          <cell r="W213">
            <v>4931</v>
          </cell>
          <cell r="X213">
            <v>6980</v>
          </cell>
          <cell r="Y213">
            <v>8678</v>
          </cell>
          <cell r="Z213">
            <v>8505.3177921820607</v>
          </cell>
          <cell r="AA213">
            <v>8458</v>
          </cell>
          <cell r="AB213">
            <v>8163</v>
          </cell>
          <cell r="AC213">
            <v>8260</v>
          </cell>
          <cell r="AD213">
            <v>8281</v>
          </cell>
          <cell r="AE213">
            <v>8553.4072798862726</v>
          </cell>
          <cell r="AF213">
            <v>8800.0923077192638</v>
          </cell>
          <cell r="AG213">
            <v>8940.7771652737574</v>
          </cell>
          <cell r="AH213">
            <v>9004.2074535542979</v>
          </cell>
          <cell r="AI213">
            <v>9064.7525821041272</v>
          </cell>
          <cell r="AJ213">
            <v>9125.6081924795981</v>
          </cell>
          <cell r="AK213">
            <v>9186.7744398043687</v>
          </cell>
          <cell r="AL213">
            <v>9248.2514512563848</v>
          </cell>
          <cell r="AN213" t="str">
            <v>Month 2</v>
          </cell>
          <cell r="EL213" t="str">
            <v>Month 2</v>
          </cell>
          <cell r="ER213">
            <v>0</v>
          </cell>
          <cell r="ES213">
            <v>1.7000000000000001E-2</v>
          </cell>
          <cell r="ET213">
            <v>6.5000000000000002E-2</v>
          </cell>
          <cell r="EU213">
            <v>4.3999999999999997E-2</v>
          </cell>
          <cell r="EX213">
            <v>2.3E-2</v>
          </cell>
          <cell r="EY213">
            <v>-2.7E-2</v>
          </cell>
          <cell r="EZ213">
            <v>-2.7E-2</v>
          </cell>
          <cell r="FA213">
            <v>-7.9000000000000001E-2</v>
          </cell>
          <cell r="FD213">
            <v>-6.2E-2</v>
          </cell>
          <cell r="FE213">
            <v>-2.1000000000000001E-2</v>
          </cell>
          <cell r="FF213">
            <v>-6.6000000000000003E-2</v>
          </cell>
          <cell r="FG213">
            <v>-0.04</v>
          </cell>
          <cell r="FJ213">
            <v>-9.1999999999999998E-2</v>
          </cell>
          <cell r="FK213">
            <v>-8.8999999999999996E-2</v>
          </cell>
          <cell r="FL213">
            <v>-2.3E-2</v>
          </cell>
          <cell r="FM213">
            <v>0.01</v>
          </cell>
          <cell r="FP213">
            <v>0.10800000000000001</v>
          </cell>
          <cell r="FQ213">
            <v>6.5000000000000002E-2</v>
          </cell>
          <cell r="FR213">
            <v>4.8000000000000001E-2</v>
          </cell>
          <cell r="FS213">
            <v>3.9E-2</v>
          </cell>
          <cell r="FV213">
            <v>8.9999999999999993E-3</v>
          </cell>
          <cell r="FW213">
            <v>6.7000000000000004E-2</v>
          </cell>
          <cell r="FX213">
            <v>4.9000000000000002E-2</v>
          </cell>
          <cell r="FY213">
            <v>6.2E-2</v>
          </cell>
          <cell r="GB213">
            <v>7.2999999999999995E-2</v>
          </cell>
          <cell r="GC213">
            <v>1.2E-2</v>
          </cell>
          <cell r="GD213">
            <v>0.03</v>
          </cell>
          <cell r="GE213">
            <v>0.04</v>
          </cell>
        </row>
        <row r="214">
          <cell r="A214" t="str">
            <v>SG&amp;A Ratio</v>
          </cell>
          <cell r="N214">
            <v>0.33618448063500755</v>
          </cell>
          <cell r="O214">
            <v>0.33182768152093306</v>
          </cell>
          <cell r="P214">
            <v>0.30742444152431014</v>
          </cell>
          <cell r="Q214">
            <v>0.30536934591604298</v>
          </cell>
          <cell r="R214">
            <v>0.29696175681577142</v>
          </cell>
          <cell r="S214">
            <v>0.29522779180189929</v>
          </cell>
          <cell r="T214">
            <v>0.30446626544187522</v>
          </cell>
          <cell r="U214">
            <v>0.31057735534005521</v>
          </cell>
          <cell r="V214">
            <v>0.31384635349078638</v>
          </cell>
          <cell r="W214">
            <v>0.31256338742393508</v>
          </cell>
          <cell r="X214">
            <v>0.311746315319339</v>
          </cell>
          <cell r="Y214">
            <v>0.32176492398961809</v>
          </cell>
          <cell r="Z214">
            <v>0.32323633915486871</v>
          </cell>
          <cell r="AA214">
            <v>0.33978788365739998</v>
          </cell>
          <cell r="AB214">
            <v>0.34161958568738232</v>
          </cell>
          <cell r="AC214">
            <v>0.33036035675718911</v>
          </cell>
          <cell r="AD214">
            <v>0.31361484567316794</v>
          </cell>
          <cell r="AE214">
            <v>0.30881156325452847</v>
          </cell>
          <cell r="AF214">
            <v>0.31031156325452847</v>
          </cell>
          <cell r="AG214">
            <v>0.30931156325452847</v>
          </cell>
          <cell r="AH214">
            <v>0.30831156325452846</v>
          </cell>
          <cell r="AI214">
            <v>0.30731156325452846</v>
          </cell>
          <cell r="AJ214">
            <v>0.30631156325452846</v>
          </cell>
          <cell r="AK214">
            <v>0.30531156325452846</v>
          </cell>
          <cell r="AL214">
            <v>0.30431156325452846</v>
          </cell>
          <cell r="AN214" t="str">
            <v>Month 3</v>
          </cell>
          <cell r="EL214" t="str">
            <v>Month 3</v>
          </cell>
          <cell r="ER214">
            <v>-8.0000000000000002E-3</v>
          </cell>
          <cell r="ES214">
            <v>3.3000000000000002E-2</v>
          </cell>
          <cell r="ET214">
            <v>7.6999999999999999E-2</v>
          </cell>
          <cell r="EU214">
            <v>8.5999999999999993E-2</v>
          </cell>
          <cell r="EX214">
            <v>-2.1999999999999999E-2</v>
          </cell>
          <cell r="EY214">
            <v>-1.4E-2</v>
          </cell>
          <cell r="EZ214">
            <v>-1.4999999999999999E-2</v>
          </cell>
          <cell r="FA214">
            <v>-7.0999999999999994E-2</v>
          </cell>
          <cell r="FD214">
            <v>0.03</v>
          </cell>
          <cell r="FE214">
            <v>-2.9000000000000001E-2</v>
          </cell>
          <cell r="FF214">
            <v>-6.3E-2</v>
          </cell>
          <cell r="FG214">
            <v>-4.4999999999999998E-2</v>
          </cell>
          <cell r="FJ214">
            <v>-9.0999999999999998E-2</v>
          </cell>
          <cell r="FK214">
            <v>-0.107</v>
          </cell>
          <cell r="FL214">
            <v>-8.0000000000000002E-3</v>
          </cell>
          <cell r="FM214">
            <v>3.4000000000000002E-2</v>
          </cell>
          <cell r="FP214">
            <v>1.0999999999999999E-2</v>
          </cell>
          <cell r="FQ214">
            <v>7.2999999999999995E-2</v>
          </cell>
          <cell r="FR214">
            <v>2.5000000000000001E-2</v>
          </cell>
          <cell r="FS214">
            <v>2.5999999999999999E-2</v>
          </cell>
          <cell r="FV214">
            <v>0.108</v>
          </cell>
          <cell r="FW214">
            <v>0.05</v>
          </cell>
          <cell r="FX214">
            <v>2.1999999999999999E-2</v>
          </cell>
          <cell r="FY214">
            <v>2.4E-2</v>
          </cell>
          <cell r="GB214">
            <v>1.2E-2</v>
          </cell>
          <cell r="GC214">
            <v>4.1000000000000002E-2</v>
          </cell>
          <cell r="GD214">
            <v>5.5E-2</v>
          </cell>
          <cell r="GE214">
            <v>0.05</v>
          </cell>
        </row>
        <row r="215">
          <cell r="A215" t="str">
            <v>Y/Y ∆ SG&amp;A Ratio (bps)</v>
          </cell>
          <cell r="O215">
            <v>-43.567991140744944</v>
          </cell>
          <cell r="P215">
            <v>-244.03239996622915</v>
          </cell>
          <cell r="Q215">
            <v>-20.550956082671657</v>
          </cell>
          <cell r="R215">
            <v>-84.075891002715622</v>
          </cell>
          <cell r="S215">
            <v>-17.339650138721296</v>
          </cell>
          <cell r="T215">
            <v>92.384736399759305</v>
          </cell>
          <cell r="U215">
            <v>61.110898981799892</v>
          </cell>
          <cell r="V215">
            <v>32.689981507311728</v>
          </cell>
          <cell r="W215">
            <v>-12.829660668512988</v>
          </cell>
          <cell r="X215">
            <v>-8.170721045960839</v>
          </cell>
          <cell r="Y215">
            <v>100.18608670279094</v>
          </cell>
          <cell r="Z215">
            <v>14.714151652506224</v>
          </cell>
          <cell r="AA215">
            <v>165.51544502531269</v>
          </cell>
          <cell r="AB215">
            <v>18.317020299823405</v>
          </cell>
          <cell r="AC215">
            <v>-112.5922893019321</v>
          </cell>
          <cell r="AD215">
            <v>-167.45511084021169</v>
          </cell>
          <cell r="AE215">
            <v>-48.032824186394762</v>
          </cell>
          <cell r="AF215">
            <v>15</v>
          </cell>
          <cell r="AG215">
            <v>-10</v>
          </cell>
          <cell r="AH215">
            <v>-10</v>
          </cell>
          <cell r="AI215">
            <v>-10</v>
          </cell>
          <cell r="AJ215">
            <v>-10</v>
          </cell>
          <cell r="AK215">
            <v>-10</v>
          </cell>
          <cell r="AL215">
            <v>-10</v>
          </cell>
          <cell r="AN215" t="str">
            <v>Total</v>
          </cell>
          <cell r="EL215" t="str">
            <v>Total</v>
          </cell>
          <cell r="ER215">
            <v>0</v>
          </cell>
          <cell r="ES215">
            <v>4.5999999999999999E-2</v>
          </cell>
          <cell r="ET215">
            <v>5.8999999999999997E-2</v>
          </cell>
          <cell r="EU215">
            <v>6.0999999999999999E-2</v>
          </cell>
          <cell r="EV215">
            <v>4.3999999999999997E-2</v>
          </cell>
          <cell r="EX215">
            <v>6.0000000000000001E-3</v>
          </cell>
          <cell r="EY215">
            <v>-2.5999999999999999E-2</v>
          </cell>
          <cell r="EZ215">
            <v>-8.0000000000000002E-3</v>
          </cell>
          <cell r="FA215">
            <v>-0.02</v>
          </cell>
          <cell r="FB215">
            <v>-1.2999999999999999E-2</v>
          </cell>
          <cell r="FD215">
            <v>-2.5999999999999999E-2</v>
          </cell>
          <cell r="FE215">
            <v>-2.1000000000000001E-2</v>
          </cell>
          <cell r="FF215">
            <v>-0.06</v>
          </cell>
          <cell r="FG215">
            <v>-7.0000000000000007E-2</v>
          </cell>
          <cell r="FH215">
            <v>-4.4999999999999998E-2</v>
          </cell>
          <cell r="FJ215">
            <v>-0.09</v>
          </cell>
          <cell r="FK215">
            <v>-9.5000000000000001E-2</v>
          </cell>
          <cell r="FL215">
            <v>-3.5999999999999997E-2</v>
          </cell>
          <cell r="FM215">
            <v>-5.8579119044959507E-3</v>
          </cell>
          <cell r="FN215">
            <v>-5.0987622799162344E-2</v>
          </cell>
          <cell r="FP215">
            <v>5.5E-2</v>
          </cell>
          <cell r="FQ215">
            <v>4.9000000000000002E-2</v>
          </cell>
          <cell r="FR215">
            <v>3.9E-2</v>
          </cell>
          <cell r="FS215">
            <v>4.2999999999999997E-2</v>
          </cell>
          <cell r="FT215">
            <v>4.610434747830261E-2</v>
          </cell>
          <cell r="FV215">
            <v>5.3999999999999999E-2</v>
          </cell>
          <cell r="FW215">
            <v>6.4000000000000001E-2</v>
          </cell>
          <cell r="FX215">
            <v>0.04</v>
          </cell>
          <cell r="FY215">
            <v>5.1999999999999998E-2</v>
          </cell>
          <cell r="FZ215">
            <v>5.2999999999999999E-2</v>
          </cell>
          <cell r="GB215">
            <v>4.3999999999999997E-2</v>
          </cell>
          <cell r="GC215">
            <v>0.03</v>
          </cell>
          <cell r="GD215">
            <v>4.4170626829774157E-2</v>
          </cell>
          <cell r="GE215">
            <v>4.1872044415560798E-2</v>
          </cell>
          <cell r="GF215">
            <v>4.02253638971692E-2</v>
          </cell>
        </row>
        <row r="216">
          <cell r="A216" t="str">
            <v>Operating Income</v>
          </cell>
          <cell r="N216">
            <v>663</v>
          </cell>
          <cell r="O216">
            <v>893</v>
          </cell>
          <cell r="P216">
            <v>1341</v>
          </cell>
          <cell r="Q216">
            <v>1455</v>
          </cell>
          <cell r="R216">
            <v>1693</v>
          </cell>
          <cell r="S216">
            <v>1771</v>
          </cell>
          <cell r="T216">
            <v>1376</v>
          </cell>
          <cell r="U216">
            <v>1411</v>
          </cell>
          <cell r="V216">
            <v>1400</v>
          </cell>
          <cell r="W216">
            <v>1499</v>
          </cell>
          <cell r="X216">
            <v>2138</v>
          </cell>
          <cell r="Y216">
            <v>2273</v>
          </cell>
          <cell r="Z216">
            <v>2033.3823683158116</v>
          </cell>
          <cell r="AA216">
            <v>1425</v>
          </cell>
          <cell r="AB216">
            <v>1454</v>
          </cell>
          <cell r="AC216">
            <v>1919</v>
          </cell>
          <cell r="AD216">
            <v>2386</v>
          </cell>
          <cell r="AE216">
            <v>2671.2966222272662</v>
          </cell>
          <cell r="AF216">
            <v>2777.5915838515448</v>
          </cell>
          <cell r="AG216">
            <v>2903.3832369986631</v>
          </cell>
          <cell r="AH216">
            <v>2933.4651235252149</v>
          </cell>
          <cell r="AI216">
            <v>2933.3028287747547</v>
          </cell>
          <cell r="AJ216">
            <v>2992.4277725080738</v>
          </cell>
          <cell r="AK216">
            <v>3052.4418848331788</v>
          </cell>
          <cell r="AL216">
            <v>3113.357036627538</v>
          </cell>
          <cell r="FV216">
            <v>5.45E-2</v>
          </cell>
          <cell r="FW216">
            <v>5.6500000000000002E-2</v>
          </cell>
          <cell r="FX216">
            <v>3.95E-2</v>
          </cell>
          <cell r="FY216">
            <v>4.7500000000000001E-2</v>
          </cell>
          <cell r="GB216">
            <v>4.9000000000000002E-2</v>
          </cell>
          <cell r="GC216">
            <v>4.7E-2</v>
          </cell>
          <cell r="GD216">
            <v>4.2085313414887082E-2</v>
          </cell>
          <cell r="GE216">
            <v>4.6936022207780398E-2</v>
          </cell>
          <cell r="GF216" t="str">
            <v>2-yr comp</v>
          </cell>
        </row>
        <row r="217">
          <cell r="A217" t="str">
            <v>Operating Margin</v>
          </cell>
          <cell r="N217">
            <v>4.5367455864239771E-2</v>
          </cell>
          <cell r="O217">
            <v>6.0203600080900692E-2</v>
          </cell>
          <cell r="P217">
            <v>8.8107752956636004E-2</v>
          </cell>
          <cell r="Q217">
            <v>9.4695737064757562E-2</v>
          </cell>
          <cell r="R217">
            <v>0.10562106182544138</v>
          </cell>
          <cell r="S217">
            <v>0.10644308210121409</v>
          </cell>
          <cell r="T217">
            <v>8.7171365220145708E-2</v>
          </cell>
          <cell r="U217">
            <v>9.0617172949714206E-2</v>
          </cell>
          <cell r="V217">
            <v>9.0838307812094468E-2</v>
          </cell>
          <cell r="W217">
            <v>9.5017748478701827E-2</v>
          </cell>
          <cell r="X217">
            <v>9.5489057615006701E-2</v>
          </cell>
          <cell r="Y217">
            <v>8.4278828327771602E-2</v>
          </cell>
          <cell r="Z217">
            <v>7.7276721328461653E-2</v>
          </cell>
          <cell r="AA217">
            <v>5.7247308372167766E-2</v>
          </cell>
          <cell r="AB217">
            <v>6.0849550115086838E-2</v>
          </cell>
          <cell r="AC217">
            <v>7.6750789905211378E-2</v>
          </cell>
          <cell r="AD217">
            <v>9.0361673925392919E-2</v>
          </cell>
          <cell r="AE217">
            <v>9.644428925609537E-2</v>
          </cell>
          <cell r="AF217">
            <v>9.7944289256095288E-2</v>
          </cell>
          <cell r="AG217">
            <v>0.10044428925609535</v>
          </cell>
          <cell r="AH217">
            <v>0.10044428925609533</v>
          </cell>
          <cell r="AI217">
            <v>9.9444289256095372E-2</v>
          </cell>
          <cell r="AJ217">
            <v>0.10044428925609539</v>
          </cell>
          <cell r="AK217">
            <v>0.1014442892560953</v>
          </cell>
          <cell r="AL217">
            <v>0.10244428925609532</v>
          </cell>
          <cell r="AN217" t="str">
            <v xml:space="preserve">Consolidated Productivity Factor </v>
          </cell>
          <cell r="EL217" t="str">
            <v xml:space="preserve">Consolidated Productivity Factor </v>
          </cell>
          <cell r="FP217">
            <v>-2.0333333333333332E-2</v>
          </cell>
          <cell r="FQ217">
            <v>-2.2333333333333334E-2</v>
          </cell>
          <cell r="FR217">
            <v>-1.9E-2</v>
          </cell>
          <cell r="FS217">
            <v>-1.0952637301498654E-2</v>
          </cell>
          <cell r="FV217">
            <v>6.333333333333334E-3</v>
          </cell>
          <cell r="FW217">
            <v>6.000000000000001E-3</v>
          </cell>
          <cell r="FX217">
            <v>1.4333333333333335E-2</v>
          </cell>
          <cell r="FY217">
            <v>2.971402936516802E-2</v>
          </cell>
        </row>
        <row r="218">
          <cell r="A218" t="str">
            <v>Y/Y ∆ Operating Margin (bps)</v>
          </cell>
          <cell r="O218">
            <v>148.36144216660921</v>
          </cell>
          <cell r="P218">
            <v>279.04152875735315</v>
          </cell>
          <cell r="Q218">
            <v>65.879841081215588</v>
          </cell>
          <cell r="R218">
            <v>109.25324760683822</v>
          </cell>
          <cell r="S218">
            <v>8.22020275772703</v>
          </cell>
          <cell r="T218">
            <v>-192.7171688106838</v>
          </cell>
          <cell r="U218">
            <v>34.45807729568498</v>
          </cell>
          <cell r="V218">
            <v>2.2113486238026225</v>
          </cell>
          <cell r="W218">
            <v>41.794406666073591</v>
          </cell>
          <cell r="X218">
            <v>4.7130913630487328</v>
          </cell>
          <cell r="Y218">
            <v>-112.10229287235099</v>
          </cell>
          <cell r="Z218">
            <v>-70.021069993099488</v>
          </cell>
          <cell r="AA218">
            <v>-200.29412956293888</v>
          </cell>
          <cell r="AB218">
            <v>36.022417429190725</v>
          </cell>
          <cell r="AC218">
            <v>159.01239790124541</v>
          </cell>
          <cell r="AD218">
            <v>136.10884020181541</v>
          </cell>
          <cell r="AE218">
            <v>60.826153307024512</v>
          </cell>
          <cell r="AF218">
            <v>14.999999999999181</v>
          </cell>
          <cell r="AG218">
            <v>25.000000000000576</v>
          </cell>
          <cell r="AH218">
            <v>-1.3877787807814457E-13</v>
          </cell>
          <cell r="AI218">
            <v>-9.9999999999995932</v>
          </cell>
          <cell r="AJ218">
            <v>10.000000000000147</v>
          </cell>
          <cell r="AK218">
            <v>9.9999999999991758</v>
          </cell>
          <cell r="AL218">
            <v>10.000000000000147</v>
          </cell>
          <cell r="AN218" t="str">
            <v>Month 1</v>
          </cell>
          <cell r="EL218" t="str">
            <v>Month 1</v>
          </cell>
          <cell r="ER218">
            <v>0.85379589916801657</v>
          </cell>
          <cell r="ES218">
            <v>0.82852877251430668</v>
          </cell>
          <cell r="ET218">
            <v>0.83475030563790842</v>
          </cell>
          <cell r="EU218">
            <v>0.91480422703367681</v>
          </cell>
          <cell r="EX218">
            <v>1.0042251017232908</v>
          </cell>
          <cell r="EY218">
            <v>1.0108075527611304</v>
          </cell>
          <cell r="EZ218">
            <v>1.0032705612197608</v>
          </cell>
          <cell r="FA218">
            <v>0.99617129302855612</v>
          </cell>
          <cell r="FD218">
            <v>1.0047260256693704</v>
          </cell>
          <cell r="FE218">
            <v>1.0011731147187122</v>
          </cell>
          <cell r="FF218">
            <v>1.0015681684828099</v>
          </cell>
          <cell r="FG218">
            <v>0.9980273685296247</v>
          </cell>
          <cell r="FJ218">
            <v>1.0146680194879518</v>
          </cell>
          <cell r="FK218">
            <v>1.0229325701507319</v>
          </cell>
          <cell r="FL218">
            <v>1.0237530410429481</v>
          </cell>
          <cell r="FM218">
            <v>1.0168796021749338</v>
          </cell>
          <cell r="FP218">
            <v>1.0016060228776302</v>
          </cell>
          <cell r="FQ218">
            <v>0.98881215735067063</v>
          </cell>
          <cell r="FR218">
            <v>1.0007452413933455</v>
          </cell>
          <cell r="FS218">
            <v>1.0028115913956974</v>
          </cell>
          <cell r="FV218">
            <v>1.0005096291516782</v>
          </cell>
          <cell r="FW218">
            <v>1.0081721608307339</v>
          </cell>
          <cell r="FX218">
            <v>0.99435769750356207</v>
          </cell>
          <cell r="FY218">
            <v>1.0114048185081832</v>
          </cell>
          <cell r="GB218">
            <v>1.0253009585429893</v>
          </cell>
          <cell r="GC218">
            <v>1.0133052611979987</v>
          </cell>
          <cell r="GD218">
            <v>1.018088666893139</v>
          </cell>
          <cell r="GE218">
            <v>1</v>
          </cell>
        </row>
        <row r="219">
          <cell r="AN219" t="str">
            <v>Month 2</v>
          </cell>
          <cell r="EL219" t="str">
            <v>Month 2</v>
          </cell>
          <cell r="ER219">
            <v>0.87143545576033965</v>
          </cell>
          <cell r="ES219">
            <v>0.86259214604526391</v>
          </cell>
          <cell r="ET219">
            <v>0.95476655228407081</v>
          </cell>
          <cell r="EU219">
            <v>0.95390310394604827</v>
          </cell>
          <cell r="EX219">
            <v>0.99756383077735888</v>
          </cell>
          <cell r="EY219">
            <v>1.0076309712339664</v>
          </cell>
          <cell r="EZ219">
            <v>1.0058439901456568</v>
          </cell>
          <cell r="FA219">
            <v>1.0104925603418453</v>
          </cell>
          <cell r="FD219">
            <v>1.0038919718017412</v>
          </cell>
          <cell r="FE219">
            <v>1.0002262623646179</v>
          </cell>
          <cell r="FF219">
            <v>1.0022779610885877</v>
          </cell>
          <cell r="FG219">
            <v>0.98797059201406712</v>
          </cell>
          <cell r="FJ219">
            <v>1.0172356632303496</v>
          </cell>
          <cell r="FK219">
            <v>1.0266388149144143</v>
          </cell>
          <cell r="FL219">
            <v>1.0185440088098592</v>
          </cell>
          <cell r="FM219">
            <v>1.0150644106268683</v>
          </cell>
          <cell r="FP219">
            <v>0.9967530496300272</v>
          </cell>
          <cell r="FQ219">
            <v>0.99989171377441255</v>
          </cell>
          <cell r="FR219">
            <v>1.0028971230689774</v>
          </cell>
          <cell r="FS219">
            <v>0.9946391314592461</v>
          </cell>
          <cell r="FV219">
            <v>1.0074992903911262</v>
          </cell>
          <cell r="FW219">
            <v>1.0057878604073234</v>
          </cell>
          <cell r="FX219">
            <v>1.0057401642886414</v>
          </cell>
          <cell r="FY219">
            <v>1.0118477756232767</v>
          </cell>
          <cell r="GB219">
            <v>1.0102541230632647</v>
          </cell>
          <cell r="GC219">
            <v>1.011143062170935</v>
          </cell>
          <cell r="GD219">
            <v>1</v>
          </cell>
          <cell r="GE219">
            <v>1</v>
          </cell>
          <cell r="GG219" t="str">
            <v>See cells GK224 and GK227 to forecast gross profit for 4Q</v>
          </cell>
          <cell r="GM219" t="str">
            <v>Calculation of Extra Week EPS Benefit</v>
          </cell>
        </row>
        <row r="220">
          <cell r="A220" t="str">
            <v>Bull Case Assumptions</v>
          </cell>
          <cell r="N220">
            <v>1995</v>
          </cell>
          <cell r="O220">
            <v>1996</v>
          </cell>
          <cell r="P220">
            <v>1997</v>
          </cell>
          <cell r="Q220">
            <v>1998</v>
          </cell>
          <cell r="R220">
            <v>1999</v>
          </cell>
          <cell r="S220">
            <v>2000</v>
          </cell>
          <cell r="T220">
            <v>2001</v>
          </cell>
          <cell r="U220">
            <v>2002</v>
          </cell>
          <cell r="V220">
            <v>2003</v>
          </cell>
          <cell r="W220">
            <v>2004</v>
          </cell>
          <cell r="X220">
            <v>2005</v>
          </cell>
          <cell r="Y220">
            <v>2006</v>
          </cell>
          <cell r="Z220">
            <v>2007</v>
          </cell>
          <cell r="AA220">
            <v>2008</v>
          </cell>
          <cell r="AB220">
            <v>2009</v>
          </cell>
          <cell r="AC220">
            <v>2010</v>
          </cell>
          <cell r="AD220">
            <v>2011</v>
          </cell>
          <cell r="AE220" t="str">
            <v>2012E</v>
          </cell>
          <cell r="AF220" t="str">
            <v>2013E</v>
          </cell>
          <cell r="AG220" t="str">
            <v>2014E</v>
          </cell>
          <cell r="AH220" t="str">
            <v>2015E</v>
          </cell>
          <cell r="AI220" t="str">
            <v>2016E</v>
          </cell>
          <cell r="AJ220" t="str">
            <v>2017E</v>
          </cell>
          <cell r="AK220" t="str">
            <v>2018E</v>
          </cell>
          <cell r="AL220" t="str">
            <v>2019E</v>
          </cell>
          <cell r="AN220" t="str">
            <v>Month 3</v>
          </cell>
          <cell r="EL220" t="str">
            <v>Month 3</v>
          </cell>
          <cell r="ER220">
            <v>0.85509041472763314</v>
          </cell>
          <cell r="ES220">
            <v>0.83302342705472399</v>
          </cell>
          <cell r="ET220">
            <v>0.9300581404093593</v>
          </cell>
          <cell r="EU220">
            <v>0.88885616548937241</v>
          </cell>
          <cell r="EX220">
            <v>1.0012993536198342</v>
          </cell>
          <cell r="EY220">
            <v>1.0067406823426219</v>
          </cell>
          <cell r="EZ220">
            <v>1.0010354929971583</v>
          </cell>
          <cell r="FA220">
            <v>0.77697496531497701</v>
          </cell>
          <cell r="FD220">
            <v>0.99998610863561077</v>
          </cell>
          <cell r="FE220">
            <v>1.0000776716315167</v>
          </cell>
          <cell r="FF220">
            <v>1.0026881239876493</v>
          </cell>
          <cell r="FG220">
            <v>1.0034001517037674</v>
          </cell>
          <cell r="FJ220">
            <v>1.017274065207098</v>
          </cell>
          <cell r="FK220">
            <v>1.0307481774152398</v>
          </cell>
          <cell r="FL220">
            <v>1.0154616377110075</v>
          </cell>
          <cell r="FM220">
            <v>1.009307170702717</v>
          </cell>
          <cell r="FP220">
            <v>1.0005893323256754</v>
          </cell>
          <cell r="FQ220">
            <v>1.0111137394005785</v>
          </cell>
          <cell r="FR220">
            <v>1.0254628236300125</v>
          </cell>
          <cell r="FS220">
            <v>1.00775043725629</v>
          </cell>
          <cell r="FV220">
            <v>0.99618702023241001</v>
          </cell>
          <cell r="FW220">
            <v>1.0047825549823146</v>
          </cell>
          <cell r="FX220">
            <v>1.0004489851343907</v>
          </cell>
          <cell r="FY220">
            <v>1.008520012530175</v>
          </cell>
          <cell r="GB220">
            <v>1.0062765433093959</v>
          </cell>
          <cell r="GC220">
            <v>1.0227639737625074</v>
          </cell>
          <cell r="GD220">
            <v>1</v>
          </cell>
          <cell r="GE220">
            <v>1</v>
          </cell>
          <cell r="GG220" t="str">
            <v>See cells GK230 and GK232 to forecast SG&amp;A for 4Q</v>
          </cell>
          <cell r="GM220" t="str">
            <v>Extra week (on = 1, off = 0)</v>
          </cell>
          <cell r="GO220">
            <v>1</v>
          </cell>
        </row>
        <row r="221">
          <cell r="A221" t="str">
            <v>Revenue</v>
          </cell>
          <cell r="N221">
            <v>14614</v>
          </cell>
          <cell r="O221">
            <v>14833</v>
          </cell>
          <cell r="P221">
            <v>15220</v>
          </cell>
          <cell r="Q221">
            <v>15365</v>
          </cell>
          <cell r="R221">
            <v>16029</v>
          </cell>
          <cell r="S221">
            <v>16638</v>
          </cell>
          <cell r="T221">
            <v>15785</v>
          </cell>
          <cell r="U221">
            <v>15571</v>
          </cell>
          <cell r="V221">
            <v>15412</v>
          </cell>
          <cell r="W221">
            <v>15776</v>
          </cell>
          <cell r="X221">
            <v>22390</v>
          </cell>
          <cell r="Y221">
            <v>26970</v>
          </cell>
          <cell r="Z221">
            <v>26313</v>
          </cell>
          <cell r="AA221">
            <v>24892</v>
          </cell>
          <cell r="AB221">
            <v>23904</v>
          </cell>
          <cell r="AC221">
            <v>25003</v>
          </cell>
          <cell r="AD221">
            <v>26405</v>
          </cell>
          <cell r="AE221">
            <v>27959.427458112747</v>
          </cell>
          <cell r="AF221">
            <v>29729.463580880543</v>
          </cell>
          <cell r="AG221">
            <v>30302.392530862733</v>
          </cell>
          <cell r="AH221">
            <v>30616.354918597252</v>
          </cell>
          <cell r="AI221">
            <v>30922.518467783226</v>
          </cell>
          <cell r="AJ221">
            <v>31231.743652461057</v>
          </cell>
          <cell r="AK221">
            <v>31544.061088985669</v>
          </cell>
          <cell r="AL221">
            <v>31859.501699875527</v>
          </cell>
          <cell r="AN221" t="str">
            <v>Total</v>
          </cell>
          <cell r="EL221" t="str">
            <v>Total</v>
          </cell>
          <cell r="EX221">
            <v>0.99364581839822941</v>
          </cell>
          <cell r="EY221">
            <v>1.0053855991928882</v>
          </cell>
          <cell r="EZ221">
            <v>1.0049007333596589</v>
          </cell>
          <cell r="FA221">
            <v>0.96635245216954013</v>
          </cell>
          <cell r="FD221">
            <v>1.0093706103322386</v>
          </cell>
          <cell r="FE221">
            <v>0.99942053289687438</v>
          </cell>
          <cell r="FF221">
            <v>1.0028127761391281</v>
          </cell>
          <cell r="FG221">
            <v>0.99829531956488382</v>
          </cell>
          <cell r="FH221">
            <v>0.99616480017746767</v>
          </cell>
          <cell r="FJ221">
            <v>1.0150952522446879</v>
          </cell>
          <cell r="FK221">
            <v>1.028988144998136</v>
          </cell>
          <cell r="FL221">
            <v>1.0174659464761271</v>
          </cell>
          <cell r="FM221">
            <v>1.004258927748259</v>
          </cell>
          <cell r="FN221">
            <v>1.0094977226152135</v>
          </cell>
          <cell r="FP221">
            <v>1.0000259928958455</v>
          </cell>
          <cell r="FQ221">
            <v>0.99963688802128137</v>
          </cell>
          <cell r="FR221">
            <v>1.0093878458063197</v>
          </cell>
          <cell r="FS221">
            <v>1.0000370362620763</v>
          </cell>
          <cell r="FT221">
            <v>1.0017002547102301</v>
          </cell>
          <cell r="FV221">
            <v>1.0021044058948783</v>
          </cell>
          <cell r="FW221">
            <v>1.0081307827273334</v>
          </cell>
          <cell r="FX221">
            <v>1.0033467891940979</v>
          </cell>
          <cell r="FY221">
            <v>1.0155381429309334</v>
          </cell>
          <cell r="FZ221">
            <v>1.0152922484576603</v>
          </cell>
          <cell r="GB221">
            <v>1.0132824557239268</v>
          </cell>
          <cell r="GC221">
            <v>1.0138954016780533</v>
          </cell>
          <cell r="GD221">
            <v>1.0060645702976547</v>
          </cell>
          <cell r="GE221">
            <v>1.0305274860110949</v>
          </cell>
          <cell r="GF221">
            <v>1.0083583012001358</v>
          </cell>
          <cell r="GG221" t="str">
            <v>53rd Week Adjustments for 4Q12e</v>
          </cell>
          <cell r="GM221" t="str">
            <v>Revenues from extra week</v>
          </cell>
          <cell r="GO221">
            <v>350.71381633376672</v>
          </cell>
        </row>
        <row r="222">
          <cell r="A222" t="str">
            <v xml:space="preserve"> % Same-store</v>
          </cell>
          <cell r="N222">
            <v>2.7E-2</v>
          </cell>
          <cell r="O222">
            <v>3.1E-2</v>
          </cell>
          <cell r="P222">
            <v>2.7E-2</v>
          </cell>
          <cell r="Q222">
            <v>2.1999999999999999E-2</v>
          </cell>
          <cell r="R222">
            <v>4.4999999999999998E-2</v>
          </cell>
          <cell r="S222">
            <v>0.02</v>
          </cell>
          <cell r="T222">
            <v>-5.2999999999999999E-2</v>
          </cell>
          <cell r="U222">
            <v>-0.03</v>
          </cell>
          <cell r="V222">
            <v>-9.0000000000000011E-3</v>
          </cell>
          <cell r="W222">
            <v>2.5999999999999999E-2</v>
          </cell>
          <cell r="X222">
            <v>1.2999999999999999E-2</v>
          </cell>
          <cell r="Y222">
            <v>4.3999999999999997E-2</v>
          </cell>
          <cell r="Z222">
            <v>-1.2799528750047504E-2</v>
          </cell>
          <cell r="AA222">
            <v>-4.4999999999999998E-2</v>
          </cell>
          <cell r="AB222">
            <v>-5.0968425652024113E-2</v>
          </cell>
          <cell r="AC222">
            <v>4.610434747830261E-2</v>
          </cell>
          <cell r="AD222">
            <v>5.2999999999999999E-2</v>
          </cell>
          <cell r="AE222">
            <v>5.0171736300135057E-2</v>
          </cell>
          <cell r="AF222">
            <v>7.5000000000000011E-2</v>
          </cell>
          <cell r="AG222">
            <v>0.02</v>
          </cell>
          <cell r="AH222">
            <v>0.01</v>
          </cell>
          <cell r="AI222">
            <v>0.01</v>
          </cell>
          <cell r="AJ222">
            <v>0.01</v>
          </cell>
          <cell r="AK222">
            <v>0.01</v>
          </cell>
          <cell r="AL222">
            <v>0.01</v>
          </cell>
          <cell r="GJ222" t="str">
            <v>4Q Gross Profit $ (ex 53rd week)</v>
          </cell>
          <cell r="GK222">
            <v>3728.8292256978107</v>
          </cell>
          <cell r="GM222" t="str">
            <v>EBIT from extra week</v>
          </cell>
          <cell r="GO222">
            <v>81.440379311760893</v>
          </cell>
        </row>
        <row r="223">
          <cell r="A223" t="str">
            <v>CGS, OCC, Buying Costs</v>
          </cell>
          <cell r="N223">
            <v>9038</v>
          </cell>
          <cell r="O223">
            <v>9018</v>
          </cell>
          <cell r="P223">
            <v>9200</v>
          </cell>
          <cell r="Q223">
            <v>9218</v>
          </cell>
          <cell r="R223">
            <v>9576</v>
          </cell>
          <cell r="S223">
            <v>9955</v>
          </cell>
          <cell r="T223">
            <v>9603</v>
          </cell>
          <cell r="U223">
            <v>9324</v>
          </cell>
          <cell r="V223">
            <v>9175</v>
          </cell>
          <cell r="W223">
            <v>9346</v>
          </cell>
          <cell r="X223">
            <v>13272</v>
          </cell>
          <cell r="Y223">
            <v>16019</v>
          </cell>
          <cell r="Z223">
            <v>15765.705839502129</v>
          </cell>
          <cell r="AA223">
            <v>15009</v>
          </cell>
          <cell r="AB223">
            <v>14287</v>
          </cell>
          <cell r="AC223">
            <v>14824</v>
          </cell>
          <cell r="AD223">
            <v>15738</v>
          </cell>
          <cell r="AE223">
            <v>16573.058987628334</v>
          </cell>
          <cell r="AF223">
            <v>17384.419050847919</v>
          </cell>
          <cell r="AG223">
            <v>17673.987886043768</v>
          </cell>
          <cell r="AH223">
            <v>17887.724020426696</v>
          </cell>
          <cell r="AI223">
            <v>18128.44629756653</v>
          </cell>
          <cell r="AJ223">
            <v>18309.730760542196</v>
          </cell>
          <cell r="AK223">
            <v>18492.828068147617</v>
          </cell>
          <cell r="AL223">
            <v>18677.756348829098</v>
          </cell>
          <cell r="AN223" t="str">
            <v>Cost of Goods Sold</v>
          </cell>
          <cell r="EL223" t="str">
            <v>Cost of Goods Sold</v>
          </cell>
          <cell r="ER223">
            <v>3627</v>
          </cell>
          <cell r="ES223">
            <v>3470</v>
          </cell>
          <cell r="ET223">
            <v>3513</v>
          </cell>
          <cell r="EU223">
            <v>5409</v>
          </cell>
          <cell r="EV223">
            <v>16019</v>
          </cell>
          <cell r="EX223">
            <v>3564</v>
          </cell>
          <cell r="EY223">
            <v>3507</v>
          </cell>
          <cell r="EZ223">
            <v>3585</v>
          </cell>
          <cell r="FA223">
            <v>5021</v>
          </cell>
          <cell r="FB223">
            <v>15677</v>
          </cell>
          <cell r="FD223">
            <v>3527</v>
          </cell>
          <cell r="FE223">
            <v>3346</v>
          </cell>
          <cell r="FF223">
            <v>3324</v>
          </cell>
          <cell r="FG223">
            <v>4812</v>
          </cell>
          <cell r="FH223">
            <v>15009</v>
          </cell>
          <cell r="FJ223">
            <v>3279</v>
          </cell>
          <cell r="FK223">
            <v>3117</v>
          </cell>
          <cell r="FL223">
            <v>3241</v>
          </cell>
          <cell r="FM223">
            <v>4641</v>
          </cell>
          <cell r="FN223">
            <v>14278</v>
          </cell>
          <cell r="FP223">
            <v>3378</v>
          </cell>
          <cell r="FQ223">
            <v>3214</v>
          </cell>
          <cell r="FR223">
            <v>3377</v>
          </cell>
          <cell r="FS223">
            <v>4855</v>
          </cell>
          <cell r="FT223">
            <v>14824</v>
          </cell>
          <cell r="FV223">
            <v>3586</v>
          </cell>
          <cell r="FW223">
            <v>3457</v>
          </cell>
          <cell r="FX223">
            <v>3544</v>
          </cell>
          <cell r="FY223">
            <v>5151</v>
          </cell>
          <cell r="FZ223">
            <v>15738</v>
          </cell>
          <cell r="GB223">
            <v>3757</v>
          </cell>
          <cell r="GC223">
            <v>3555</v>
          </cell>
          <cell r="GD223">
            <v>3666.0995494313679</v>
          </cell>
          <cell r="GE223">
            <v>5495.0171538201503</v>
          </cell>
          <cell r="GF223">
            <v>16473.116703251519</v>
          </cell>
          <cell r="GJ223" t="str">
            <v>4Q Gross Margin % (ex 53rd week)</v>
          </cell>
          <cell r="GK223">
            <v>0.41355983493810178</v>
          </cell>
          <cell r="GM223" t="str">
            <v>4Q tax rate</v>
          </cell>
          <cell r="GO223">
            <v>0.37</v>
          </cell>
        </row>
        <row r="224">
          <cell r="A224" t="str">
            <v>CGS, OCC, Buying Costs %</v>
          </cell>
          <cell r="N224">
            <v>0.61844806350075265</v>
          </cell>
          <cell r="O224">
            <v>0.60796871839816624</v>
          </cell>
          <cell r="P224">
            <v>0.60446780551905388</v>
          </cell>
          <cell r="Q224">
            <v>0.59993491701919943</v>
          </cell>
          <cell r="R224">
            <v>0.59741718135878719</v>
          </cell>
          <cell r="S224">
            <v>0.5983291260968866</v>
          </cell>
          <cell r="T224">
            <v>0.60836236933797905</v>
          </cell>
          <cell r="U224">
            <v>0.59880547171023057</v>
          </cell>
          <cell r="V224">
            <v>0.59531533869711917</v>
          </cell>
          <cell r="W224">
            <v>0.59241886409736311</v>
          </cell>
          <cell r="X224">
            <v>0.59276462706565436</v>
          </cell>
          <cell r="Y224">
            <v>0.59395624768261035</v>
          </cell>
          <cell r="Z224">
            <v>0.59916033289636794</v>
          </cell>
          <cell r="AA224">
            <v>0.60296480797043228</v>
          </cell>
          <cell r="AB224">
            <v>0.59768239625167341</v>
          </cell>
          <cell r="AC224">
            <v>0.59288885333759944</v>
          </cell>
          <cell r="AD224">
            <v>0.59602348040143915</v>
          </cell>
          <cell r="AE224">
            <v>0.59275387568136595</v>
          </cell>
          <cell r="AF224">
            <v>0.58475387568136594</v>
          </cell>
          <cell r="AG224">
            <v>0.583253875681366</v>
          </cell>
          <cell r="AH224">
            <v>0.584253875681366</v>
          </cell>
          <cell r="AI224">
            <v>0.586253875681366</v>
          </cell>
          <cell r="AJ224">
            <v>0.586253875681366</v>
          </cell>
          <cell r="AK224">
            <v>0.586253875681366</v>
          </cell>
          <cell r="AL224">
            <v>0.58625387568136611</v>
          </cell>
          <cell r="AN224" t="str">
            <v>CGS, OCC, Buying Costs %</v>
          </cell>
          <cell r="EL224" t="str">
            <v>CGS, OCC, Buying Costs %</v>
          </cell>
          <cell r="ER224">
            <v>0.61163575042158513</v>
          </cell>
          <cell r="ES224">
            <v>0.57881567973311088</v>
          </cell>
          <cell r="ET224">
            <v>0.59683995922528033</v>
          </cell>
          <cell r="EU224">
            <v>0.59056665574844414</v>
          </cell>
          <cell r="EV224">
            <v>0.59395624768261035</v>
          </cell>
          <cell r="EX224">
            <v>0.60192535044755957</v>
          </cell>
          <cell r="EY224">
            <v>0.59521384928716903</v>
          </cell>
          <cell r="EZ224">
            <v>0.60700982052150354</v>
          </cell>
          <cell r="FA224">
            <v>0.58424482196881544</v>
          </cell>
          <cell r="FB224">
            <v>0.59578915365028695</v>
          </cell>
          <cell r="FD224">
            <v>0.61371150165303634</v>
          </cell>
          <cell r="FE224">
            <v>0.5851696397341728</v>
          </cell>
          <cell r="FF224">
            <v>0.60513380666302563</v>
          </cell>
          <cell r="FG224">
            <v>0.60650365515502902</v>
          </cell>
          <cell r="FH224">
            <v>0.60296480797043228</v>
          </cell>
          <cell r="FJ224">
            <v>0.62008320726172461</v>
          </cell>
          <cell r="FK224">
            <v>0.58978240302743612</v>
          </cell>
          <cell r="FL224">
            <v>0.6018570102135562</v>
          </cell>
          <cell r="FM224">
            <v>0.58472974675570111</v>
          </cell>
          <cell r="FN224">
            <v>0.59753086419753088</v>
          </cell>
          <cell r="FP224">
            <v>0.60602798708288486</v>
          </cell>
          <cell r="FQ224">
            <v>0.58045873216543253</v>
          </cell>
          <cell r="FR224">
            <v>0.60056909123243818</v>
          </cell>
          <cell r="FS224">
            <v>0.58713266416737209</v>
          </cell>
          <cell r="FT224">
            <v>0.59288885333759944</v>
          </cell>
          <cell r="FV224">
            <v>0.60893190694515198</v>
          </cell>
          <cell r="FW224">
            <v>0.58208452601448057</v>
          </cell>
          <cell r="FX224">
            <v>0.60550145224671104</v>
          </cell>
          <cell r="FY224">
            <v>0.59044016506189823</v>
          </cell>
          <cell r="FZ224">
            <v>0.59602348040143915</v>
          </cell>
          <cell r="GB224">
            <v>0.61159042812957842</v>
          </cell>
          <cell r="GC224">
            <v>0.58107224583197126</v>
          </cell>
          <cell r="GD224">
            <v>0.60400145224671109</v>
          </cell>
          <cell r="GE224">
            <v>0.58662736950345429</v>
          </cell>
          <cell r="GF224">
            <v>0.59474414748937621</v>
          </cell>
          <cell r="GJ224" t="str">
            <v>MS 4Q Core Gross Margin ∆ (ex 53rd week)</v>
          </cell>
          <cell r="GK224">
            <v>40</v>
          </cell>
          <cell r="GM224" t="str">
            <v>Net inc. benefit from extra wk</v>
          </cell>
          <cell r="GO224">
            <v>51.307438966409364</v>
          </cell>
        </row>
        <row r="225">
          <cell r="A225" t="str">
            <v>Y/Y ∆ CGS, OCC, Buying Costs % (bps)</v>
          </cell>
          <cell r="O225">
            <v>-104.79345102586413</v>
          </cell>
          <cell r="P225">
            <v>-35.009128791123615</v>
          </cell>
          <cell r="Q225">
            <v>-45.328884998544481</v>
          </cell>
          <cell r="R225">
            <v>-25.177356604122458</v>
          </cell>
          <cell r="S225">
            <v>9.1194473809941279</v>
          </cell>
          <cell r="T225">
            <v>100.33243241092448</v>
          </cell>
          <cell r="U225">
            <v>-95.568976277484722</v>
          </cell>
          <cell r="V225">
            <v>-34.901330131114072</v>
          </cell>
          <cell r="W225">
            <v>-28.964745997560605</v>
          </cell>
          <cell r="X225">
            <v>3.4576296829125219</v>
          </cell>
          <cell r="Y225">
            <v>11.916206169559906</v>
          </cell>
          <cell r="Z225">
            <v>52.040852137575925</v>
          </cell>
          <cell r="AA225">
            <v>38.044750740643394</v>
          </cell>
          <cell r="AB225">
            <v>-52.824117187588726</v>
          </cell>
          <cell r="AC225">
            <v>-47.935429140739672</v>
          </cell>
          <cell r="AD225">
            <v>31.346270638397122</v>
          </cell>
          <cell r="AE225">
            <v>-32.696047200732046</v>
          </cell>
          <cell r="AF225">
            <v>-80.000000000000071</v>
          </cell>
          <cell r="AG225">
            <v>-14.999999999999458</v>
          </cell>
          <cell r="AH225">
            <v>10.000000000000009</v>
          </cell>
          <cell r="AI225">
            <v>20.000000000000018</v>
          </cell>
          <cell r="AJ225">
            <v>0</v>
          </cell>
          <cell r="AK225">
            <v>0</v>
          </cell>
          <cell r="AL225">
            <v>1.1102230246251565E-12</v>
          </cell>
          <cell r="AN225" t="str">
            <v>BPS Change</v>
          </cell>
          <cell r="EL225" t="str">
            <v>BPS Change</v>
          </cell>
          <cell r="ER225">
            <v>139.97738886292632</v>
          </cell>
          <cell r="ES225">
            <v>-79.90834205613973</v>
          </cell>
          <cell r="ET225">
            <v>6.2033726308408088</v>
          </cell>
          <cell r="EU225">
            <v>-5.9414249625333593</v>
          </cell>
          <cell r="EV225">
            <v>11.916206169559906</v>
          </cell>
          <cell r="EX225">
            <v>-97.103999740255631</v>
          </cell>
          <cell r="EY225">
            <v>163.98169554058151</v>
          </cell>
          <cell r="EZ225">
            <v>101.69861296223215</v>
          </cell>
          <cell r="FA225">
            <v>-63.218337796286939</v>
          </cell>
          <cell r="FB225">
            <v>18.329059676766015</v>
          </cell>
          <cell r="FD225">
            <v>117.86151205476769</v>
          </cell>
          <cell r="FE225">
            <v>-100.4420955299623</v>
          </cell>
          <cell r="FF225">
            <v>-18.760138584779096</v>
          </cell>
          <cell r="FG225">
            <v>222.58833186213579</v>
          </cell>
          <cell r="FH225">
            <v>71.756543201453297</v>
          </cell>
          <cell r="FJ225">
            <v>63.717056086882721</v>
          </cell>
          <cell r="FK225">
            <v>46.127632932633219</v>
          </cell>
          <cell r="FL225">
            <v>-32.767964494694326</v>
          </cell>
          <cell r="FM225">
            <v>-217.73908399327914</v>
          </cell>
          <cell r="FN225">
            <v>-54.339437729014065</v>
          </cell>
          <cell r="FP225">
            <v>-140.55220178839755</v>
          </cell>
          <cell r="FQ225">
            <v>-93.236708620035856</v>
          </cell>
          <cell r="FR225">
            <v>-12.879189811180192</v>
          </cell>
          <cell r="FS225">
            <v>24.029174116709797</v>
          </cell>
          <cell r="FT225">
            <v>-46.420108599314332</v>
          </cell>
          <cell r="FV225">
            <v>29.039198622671236</v>
          </cell>
          <cell r="FW225">
            <v>16.257938490480406</v>
          </cell>
          <cell r="FX225">
            <v>49.323610142728569</v>
          </cell>
          <cell r="FY225">
            <v>33.075008945261388</v>
          </cell>
          <cell r="FZ225">
            <v>31.346270638397122</v>
          </cell>
          <cell r="GB225">
            <v>26.585211844264435</v>
          </cell>
          <cell r="GC225">
            <v>-10.122801825093175</v>
          </cell>
          <cell r="GD225">
            <v>-14.999999999999458</v>
          </cell>
          <cell r="GE225">
            <v>-38.127955584439377</v>
          </cell>
          <cell r="GF225">
            <v>-12.793329120629471</v>
          </cell>
          <cell r="GJ225" t="str">
            <v>Extra Week Gross Profit $ (incremental)</v>
          </cell>
          <cell r="GK225">
            <v>143.28757891183548</v>
          </cell>
          <cell r="GM225" t="str">
            <v>4Q diluted shares</v>
          </cell>
          <cell r="GO225">
            <v>397.54335839599003</v>
          </cell>
        </row>
        <row r="226">
          <cell r="A226" t="str">
            <v>Gross Income</v>
          </cell>
          <cell r="N226">
            <v>5576</v>
          </cell>
          <cell r="O226">
            <v>5815</v>
          </cell>
          <cell r="P226">
            <v>6020</v>
          </cell>
          <cell r="Q226">
            <v>6147</v>
          </cell>
          <cell r="R226">
            <v>6453</v>
          </cell>
          <cell r="S226">
            <v>6683</v>
          </cell>
          <cell r="T226">
            <v>6182</v>
          </cell>
          <cell r="U226">
            <v>6247</v>
          </cell>
          <cell r="V226">
            <v>6237</v>
          </cell>
          <cell r="W226">
            <v>6430</v>
          </cell>
          <cell r="X226">
            <v>9118</v>
          </cell>
          <cell r="Y226">
            <v>10951</v>
          </cell>
          <cell r="Z226">
            <v>10547.294160497871</v>
          </cell>
          <cell r="AA226">
            <v>9883</v>
          </cell>
          <cell r="AB226">
            <v>9617</v>
          </cell>
          <cell r="AC226">
            <v>10179</v>
          </cell>
          <cell r="AD226">
            <v>10667</v>
          </cell>
          <cell r="AE226">
            <v>11386.368470484413</v>
          </cell>
          <cell r="AF226">
            <v>12345.044530032625</v>
          </cell>
          <cell r="AG226">
            <v>12628.404644818967</v>
          </cell>
          <cell r="AH226">
            <v>12728.630898170555</v>
          </cell>
          <cell r="AI226">
            <v>12794.072170216694</v>
          </cell>
          <cell r="AJ226">
            <v>12922.012891918861</v>
          </cell>
          <cell r="AK226">
            <v>13051.23302083805</v>
          </cell>
          <cell r="AL226">
            <v>13181.745351046431</v>
          </cell>
          <cell r="GJ226" t="str">
            <v>Extra Week Gross Margin % (incremental)</v>
          </cell>
          <cell r="GK226">
            <v>0.40855983493810177</v>
          </cell>
          <cell r="GM226" t="str">
            <v>4Q EPS benefit from extra wk</v>
          </cell>
          <cell r="GO226">
            <v>0.12906124044789702</v>
          </cell>
        </row>
        <row r="227">
          <cell r="A227" t="str">
            <v>Gross Margin</v>
          </cell>
          <cell r="N227">
            <v>0.38155193649924729</v>
          </cell>
          <cell r="O227">
            <v>0.39203128160183376</v>
          </cell>
          <cell r="P227">
            <v>0.39553219448094612</v>
          </cell>
          <cell r="Q227">
            <v>0.40006508298080051</v>
          </cell>
          <cell r="R227">
            <v>0.40258281864121281</v>
          </cell>
          <cell r="S227">
            <v>0.40167087390311335</v>
          </cell>
          <cell r="T227">
            <v>0.3916376306620209</v>
          </cell>
          <cell r="U227">
            <v>0.40119452828976943</v>
          </cell>
          <cell r="V227">
            <v>0.40468466130288089</v>
          </cell>
          <cell r="W227">
            <v>0.40758113590263689</v>
          </cell>
          <cell r="X227">
            <v>0.4072353729343457</v>
          </cell>
          <cell r="Y227">
            <v>0.40604375231738971</v>
          </cell>
          <cell r="Z227">
            <v>0.40083966710363211</v>
          </cell>
          <cell r="AA227">
            <v>0.39703519202956772</v>
          </cell>
          <cell r="AB227">
            <v>0.40231760374832665</v>
          </cell>
          <cell r="AC227">
            <v>0.4071111466624005</v>
          </cell>
          <cell r="AD227">
            <v>0.4039765195985609</v>
          </cell>
          <cell r="AE227">
            <v>0.407246124318634</v>
          </cell>
          <cell r="AF227">
            <v>0.415246124318634</v>
          </cell>
          <cell r="AG227">
            <v>0.416746124318634</v>
          </cell>
          <cell r="AH227">
            <v>0.415746124318634</v>
          </cell>
          <cell r="AI227">
            <v>0.413746124318634</v>
          </cell>
          <cell r="AJ227">
            <v>0.413746124318634</v>
          </cell>
          <cell r="AK227">
            <v>0.413746124318634</v>
          </cell>
          <cell r="AL227">
            <v>0.413746124318634</v>
          </cell>
          <cell r="AN227" t="str">
            <v>Gross Income</v>
          </cell>
          <cell r="EL227" t="str">
            <v>Gross Income</v>
          </cell>
          <cell r="ER227">
            <v>2303</v>
          </cell>
          <cell r="ES227">
            <v>2525</v>
          </cell>
          <cell r="ET227">
            <v>2373</v>
          </cell>
          <cell r="EU227">
            <v>3750</v>
          </cell>
          <cell r="EV227">
            <v>10951</v>
          </cell>
          <cell r="EX227">
            <v>2357</v>
          </cell>
          <cell r="EY227">
            <v>2385</v>
          </cell>
          <cell r="EZ227">
            <v>2321</v>
          </cell>
          <cell r="FA227">
            <v>3573</v>
          </cell>
          <cell r="FB227">
            <v>10636</v>
          </cell>
          <cell r="FD227">
            <v>2220</v>
          </cell>
          <cell r="FE227">
            <v>2372</v>
          </cell>
          <cell r="FF227">
            <v>2169</v>
          </cell>
          <cell r="FG227">
            <v>3122</v>
          </cell>
          <cell r="FH227">
            <v>9883</v>
          </cell>
          <cell r="FJ227">
            <v>2009</v>
          </cell>
          <cell r="FK227">
            <v>2168</v>
          </cell>
          <cell r="FL227">
            <v>2144</v>
          </cell>
          <cell r="FM227">
            <v>3296</v>
          </cell>
          <cell r="FN227">
            <v>9617</v>
          </cell>
          <cell r="FP227">
            <v>2196</v>
          </cell>
          <cell r="FQ227">
            <v>2323</v>
          </cell>
          <cell r="FR227">
            <v>2246</v>
          </cell>
          <cell r="FS227">
            <v>3414</v>
          </cell>
          <cell r="FT227">
            <v>10179</v>
          </cell>
          <cell r="FU227" t="str">
            <v>2H</v>
          </cell>
          <cell r="FV227">
            <v>2303</v>
          </cell>
          <cell r="FW227">
            <v>2482</v>
          </cell>
          <cell r="FX227">
            <v>2309</v>
          </cell>
          <cell r="FY227">
            <v>3573</v>
          </cell>
          <cell r="FZ227">
            <v>10667</v>
          </cell>
          <cell r="GB227">
            <v>2386</v>
          </cell>
          <cell r="GC227">
            <v>2563</v>
          </cell>
          <cell r="GD227">
            <v>2403.5870975038929</v>
          </cell>
          <cell r="GE227">
            <v>3872.1168046096464</v>
          </cell>
          <cell r="GF227">
            <v>11224.703902113539</v>
          </cell>
          <cell r="GJ227" t="str">
            <v>Extra Week Gross Margin ∆ bps (incremental vs 4Q)</v>
          </cell>
          <cell r="GK227">
            <v>-50</v>
          </cell>
          <cell r="GM227" t="str">
            <v>FY12 diluted shares</v>
          </cell>
          <cell r="GO227">
            <v>411.14899749373433</v>
          </cell>
        </row>
        <row r="228">
          <cell r="A228" t="str">
            <v>Y/Y ∆ Gross Margin (bps)</v>
          </cell>
          <cell r="O228">
            <v>104.79345102586468</v>
          </cell>
          <cell r="P228">
            <v>35.009128791123615</v>
          </cell>
          <cell r="Q228">
            <v>45.328884998543927</v>
          </cell>
          <cell r="R228">
            <v>25.177356604123013</v>
          </cell>
          <cell r="S228">
            <v>-9.1194473809946821</v>
          </cell>
          <cell r="T228">
            <v>-100.33243241092448</v>
          </cell>
          <cell r="U228">
            <v>95.568976277485291</v>
          </cell>
          <cell r="V228">
            <v>34.901330131114626</v>
          </cell>
          <cell r="W228">
            <v>28.964745997560048</v>
          </cell>
          <cell r="X228">
            <v>-3.4576296829119668</v>
          </cell>
          <cell r="Y228">
            <v>-11.916206169559906</v>
          </cell>
          <cell r="Z228">
            <v>-52.040852137575925</v>
          </cell>
          <cell r="AA228">
            <v>-38.044750740643948</v>
          </cell>
          <cell r="AB228">
            <v>52.82411718758928</v>
          </cell>
          <cell r="AC228">
            <v>47.935429140738563</v>
          </cell>
          <cell r="AD228">
            <v>-31.346270638396014</v>
          </cell>
          <cell r="AE228">
            <v>32.696047200730938</v>
          </cell>
          <cell r="AF228">
            <v>80</v>
          </cell>
          <cell r="AG228">
            <v>15</v>
          </cell>
          <cell r="AH228">
            <v>-10</v>
          </cell>
          <cell r="AI228">
            <v>-20</v>
          </cell>
          <cell r="AJ228">
            <v>0</v>
          </cell>
          <cell r="AK228">
            <v>0</v>
          </cell>
          <cell r="AL228">
            <v>0</v>
          </cell>
          <cell r="AN228" t="str">
            <v>Gross Margin</v>
          </cell>
          <cell r="EL228" t="str">
            <v>Gross Margin</v>
          </cell>
          <cell r="ER228">
            <v>0.38836424957841487</v>
          </cell>
          <cell r="ES228">
            <v>0.42118432026688907</v>
          </cell>
          <cell r="ET228">
            <v>0.40316004077471967</v>
          </cell>
          <cell r="EU228">
            <v>0.40943334425155586</v>
          </cell>
          <cell r="EV228">
            <v>0.40604375231738971</v>
          </cell>
          <cell r="EX228">
            <v>0.39807464955244048</v>
          </cell>
          <cell r="EY228">
            <v>0.40478615071283097</v>
          </cell>
          <cell r="EZ228">
            <v>0.39299017947849646</v>
          </cell>
          <cell r="FA228">
            <v>0.41575517803118456</v>
          </cell>
          <cell r="FB228">
            <v>0.40421084634971305</v>
          </cell>
          <cell r="FD228">
            <v>0.38628849834696366</v>
          </cell>
          <cell r="FE228">
            <v>0.4148303602658272</v>
          </cell>
          <cell r="FF228">
            <v>0.39486619333697431</v>
          </cell>
          <cell r="FG228">
            <v>0.39349634484497104</v>
          </cell>
          <cell r="FH228">
            <v>0.39703519202956772</v>
          </cell>
          <cell r="FJ228">
            <v>0.37991679273827533</v>
          </cell>
          <cell r="FK228">
            <v>0.41021759697256388</v>
          </cell>
          <cell r="FL228">
            <v>0.3981429897864438</v>
          </cell>
          <cell r="FM228">
            <v>0.41527025324429884</v>
          </cell>
          <cell r="FN228">
            <v>0.40246913580246912</v>
          </cell>
          <cell r="FP228">
            <v>0.3939720129171152</v>
          </cell>
          <cell r="FQ228">
            <v>0.41954126783456747</v>
          </cell>
          <cell r="FR228">
            <v>0.39943090876756182</v>
          </cell>
          <cell r="FS228">
            <v>0.41286733583262791</v>
          </cell>
          <cell r="FT228">
            <v>0.4071111466624005</v>
          </cell>
          <cell r="FU228">
            <v>0.40742873596314427</v>
          </cell>
          <cell r="FV228">
            <v>0.39106809305484802</v>
          </cell>
          <cell r="FW228">
            <v>0.41791547398551943</v>
          </cell>
          <cell r="FX228">
            <v>0.39449854775328891</v>
          </cell>
          <cell r="FY228">
            <v>0.40955983493810177</v>
          </cell>
          <cell r="FZ228">
            <v>0.4039765195985609</v>
          </cell>
          <cell r="GB228">
            <v>0.38840957187042163</v>
          </cell>
          <cell r="GC228">
            <v>0.41892775416802874</v>
          </cell>
          <cell r="GD228">
            <v>0.39599854775328891</v>
          </cell>
          <cell r="GE228">
            <v>0.41337263049654577</v>
          </cell>
          <cell r="GF228">
            <v>0.40525585251062379</v>
          </cell>
          <cell r="GM228" t="str">
            <v>FY12 EPS benefit</v>
          </cell>
          <cell r="GO228">
            <v>0.12479037837661579</v>
          </cell>
        </row>
        <row r="229">
          <cell r="A229" t="str">
            <v>SG&amp;A Expenses</v>
          </cell>
          <cell r="N229">
            <v>4913</v>
          </cell>
          <cell r="O229">
            <v>4922</v>
          </cell>
          <cell r="P229">
            <v>4679</v>
          </cell>
          <cell r="Q229">
            <v>4692</v>
          </cell>
          <cell r="R229">
            <v>4760</v>
          </cell>
          <cell r="S229">
            <v>4912</v>
          </cell>
          <cell r="T229">
            <v>4806</v>
          </cell>
          <cell r="U229">
            <v>4836</v>
          </cell>
          <cell r="V229">
            <v>4837</v>
          </cell>
          <cell r="W229">
            <v>4931</v>
          </cell>
          <cell r="X229">
            <v>6980</v>
          </cell>
          <cell r="Y229">
            <v>8678</v>
          </cell>
          <cell r="Z229">
            <v>8486.7237921820597</v>
          </cell>
          <cell r="AA229">
            <v>8458</v>
          </cell>
          <cell r="AB229">
            <v>8163</v>
          </cell>
          <cell r="AC229">
            <v>8260</v>
          </cell>
          <cell r="AD229">
            <v>8281</v>
          </cell>
          <cell r="AE229">
            <v>8590.9232459556424</v>
          </cell>
          <cell r="AF229">
            <v>9075.3325541519971</v>
          </cell>
          <cell r="AG229">
            <v>9219.9246980410044</v>
          </cell>
          <cell r="AH229">
            <v>9284.8357695452942</v>
          </cell>
          <cell r="AI229">
            <v>9346.7616087729639</v>
          </cell>
          <cell r="AJ229">
            <v>9408.997481208231</v>
          </cell>
          <cell r="AK229">
            <v>9471.5433949313283</v>
          </cell>
          <cell r="AL229">
            <v>9534.3993271807667</v>
          </cell>
          <cell r="AN229" t="str">
            <v>BPS Change</v>
          </cell>
          <cell r="EL229" t="str">
            <v>BPS Change</v>
          </cell>
          <cell r="ER229">
            <v>-139.97738886292632</v>
          </cell>
          <cell r="ES229">
            <v>79.908342056138622</v>
          </cell>
          <cell r="ET229">
            <v>-6.2033726308408088</v>
          </cell>
          <cell r="EU229">
            <v>5.9414249625339144</v>
          </cell>
          <cell r="EV229">
            <v>-11.916206169559906</v>
          </cell>
          <cell r="EX229">
            <v>97.103999740256185</v>
          </cell>
          <cell r="EY229">
            <v>-163.98169554058094</v>
          </cell>
          <cell r="EZ229">
            <v>-101.69861296223215</v>
          </cell>
          <cell r="FA229">
            <v>63.218337796286939</v>
          </cell>
          <cell r="FB229">
            <v>-18.329059676766569</v>
          </cell>
          <cell r="FD229">
            <v>-117.86151205476824</v>
          </cell>
          <cell r="FE229">
            <v>100.4420955299623</v>
          </cell>
          <cell r="FF229">
            <v>18.760138584778542</v>
          </cell>
          <cell r="FG229">
            <v>-222.58833186213522</v>
          </cell>
          <cell r="FH229">
            <v>-71.756543201453297</v>
          </cell>
          <cell r="FJ229">
            <v>-63.717056086883275</v>
          </cell>
          <cell r="FK229">
            <v>-46.127632932633219</v>
          </cell>
          <cell r="FL229">
            <v>32.76796449469488</v>
          </cell>
          <cell r="FM229">
            <v>217.73908399327803</v>
          </cell>
          <cell r="FN229">
            <v>54.339437729014065</v>
          </cell>
          <cell r="FP229">
            <v>140.55220178839866</v>
          </cell>
          <cell r="FQ229">
            <v>93.236708620035856</v>
          </cell>
          <cell r="FR229">
            <v>12.879189811180192</v>
          </cell>
          <cell r="FS229">
            <v>-24.029174116709239</v>
          </cell>
          <cell r="FT229">
            <v>46.420108599313778</v>
          </cell>
          <cell r="FU229">
            <v>0.40834709503077615</v>
          </cell>
          <cell r="FV229">
            <v>-29.03919862267179</v>
          </cell>
          <cell r="FW229">
            <v>-16.257938490480406</v>
          </cell>
          <cell r="FX229">
            <v>-49.323610142729123</v>
          </cell>
          <cell r="FY229">
            <v>-33.075008945261388</v>
          </cell>
          <cell r="FZ229">
            <v>-31.346270638396014</v>
          </cell>
          <cell r="GB229">
            <v>-26.585211844263878</v>
          </cell>
          <cell r="GC229">
            <v>10.122801825093175</v>
          </cell>
          <cell r="GD229">
            <v>15</v>
          </cell>
          <cell r="GE229">
            <v>38.127955584439931</v>
          </cell>
          <cell r="GF229">
            <v>12.793329120628915</v>
          </cell>
          <cell r="GG229" t="str">
            <v>SEE CREDIT INCOME TAB FOR SG&amp;A EXPENSE CALCS</v>
          </cell>
        </row>
        <row r="230">
          <cell r="A230" t="str">
            <v>SG&amp;A Ratio</v>
          </cell>
          <cell r="N230">
            <v>0.33618448063500755</v>
          </cell>
          <cell r="O230">
            <v>0.33182768152093306</v>
          </cell>
          <cell r="P230">
            <v>0.30742444152431014</v>
          </cell>
          <cell r="Q230">
            <v>0.30536934591604298</v>
          </cell>
          <cell r="R230">
            <v>0.29696175681577142</v>
          </cell>
          <cell r="S230">
            <v>0.29522779180189929</v>
          </cell>
          <cell r="T230">
            <v>0.30446626544187522</v>
          </cell>
          <cell r="U230">
            <v>0.31057735534005521</v>
          </cell>
          <cell r="V230">
            <v>0.31384635349078638</v>
          </cell>
          <cell r="W230">
            <v>0.31256338742393508</v>
          </cell>
          <cell r="X230">
            <v>0.311746315319339</v>
          </cell>
          <cell r="Y230">
            <v>0.32176492398961809</v>
          </cell>
          <cell r="Z230">
            <v>0.32252969225029682</v>
          </cell>
          <cell r="AA230">
            <v>0.33978788365739998</v>
          </cell>
          <cell r="AB230">
            <v>0.34149096385542171</v>
          </cell>
          <cell r="AC230">
            <v>0.33036035675718911</v>
          </cell>
          <cell r="AD230">
            <v>0.31361484567316794</v>
          </cell>
          <cell r="AE230">
            <v>0.30726391872029868</v>
          </cell>
          <cell r="AF230">
            <v>0.30526391872029868</v>
          </cell>
          <cell r="AG230">
            <v>0.30426391872029868</v>
          </cell>
          <cell r="AH230">
            <v>0.30326391872029868</v>
          </cell>
          <cell r="AI230">
            <v>0.30226391872029867</v>
          </cell>
          <cell r="AJ230">
            <v>0.30126391872029867</v>
          </cell>
          <cell r="AK230">
            <v>0.30026391872029867</v>
          </cell>
          <cell r="AL230">
            <v>0.29926391872029867</v>
          </cell>
          <cell r="GB230" t="str">
            <v>SEE CREDIT INCOME TAB FOR SG&amp;A FORECASTS</v>
          </cell>
          <cell r="GJ230" t="str">
            <v>Extra Week SG&amp;A $ (incremental)</v>
          </cell>
          <cell r="GK230">
            <v>61.847199600074589</v>
          </cell>
        </row>
        <row r="231">
          <cell r="A231" t="str">
            <v>Y/Y ∆ SG&amp;A Ratio (bps)</v>
          </cell>
          <cell r="O231">
            <v>-43.567991140744944</v>
          </cell>
          <cell r="P231">
            <v>-244.03239996622915</v>
          </cell>
          <cell r="Q231">
            <v>-20.550956082671657</v>
          </cell>
          <cell r="R231">
            <v>-84.075891002715622</v>
          </cell>
          <cell r="S231">
            <v>-17.339650138721296</v>
          </cell>
          <cell r="T231">
            <v>92.384736399759305</v>
          </cell>
          <cell r="U231">
            <v>61.110898981799892</v>
          </cell>
          <cell r="V231">
            <v>32.689981507311728</v>
          </cell>
          <cell r="W231">
            <v>-12.829660668512988</v>
          </cell>
          <cell r="X231">
            <v>-8.170721045960839</v>
          </cell>
          <cell r="Y231">
            <v>100.18608670279094</v>
          </cell>
          <cell r="Z231">
            <v>7.6476826067872761</v>
          </cell>
          <cell r="AA231">
            <v>172.58191407103163</v>
          </cell>
          <cell r="AB231">
            <v>17.030801980217337</v>
          </cell>
          <cell r="AC231">
            <v>-111.30607098232603</v>
          </cell>
          <cell r="AD231">
            <v>-167.45511084021169</v>
          </cell>
          <cell r="AE231">
            <v>-63.509269528692627</v>
          </cell>
          <cell r="AF231">
            <v>-20</v>
          </cell>
          <cell r="AG231">
            <v>-10</v>
          </cell>
          <cell r="AH231">
            <v>-10</v>
          </cell>
          <cell r="AI231">
            <v>-10</v>
          </cell>
          <cell r="AJ231">
            <v>-10</v>
          </cell>
          <cell r="AK231">
            <v>-10</v>
          </cell>
          <cell r="AL231">
            <v>-10</v>
          </cell>
          <cell r="AN231" t="str">
            <v>SG&amp;A Expenses (Total)</v>
          </cell>
          <cell r="EL231" t="str">
            <v>SG&amp;A Expenses (Total)</v>
          </cell>
          <cell r="ER231">
            <v>2154</v>
          </cell>
          <cell r="ES231">
            <v>2117</v>
          </cell>
          <cell r="ET231">
            <v>2094</v>
          </cell>
          <cell r="EU231">
            <v>2313</v>
          </cell>
          <cell r="EV231">
            <v>8678</v>
          </cell>
          <cell r="EX231">
            <v>2113</v>
          </cell>
          <cell r="EY231">
            <v>2038</v>
          </cell>
          <cell r="EZ231">
            <v>2121</v>
          </cell>
          <cell r="FA231">
            <v>2282</v>
          </cell>
          <cell r="FB231">
            <v>8554</v>
          </cell>
          <cell r="FD231">
            <v>2080</v>
          </cell>
          <cell r="FE231">
            <v>2037</v>
          </cell>
          <cell r="FF231">
            <v>2085</v>
          </cell>
          <cell r="FG231">
            <v>2256</v>
          </cell>
          <cell r="FH231">
            <v>8458</v>
          </cell>
          <cell r="FJ231">
            <v>1985</v>
          </cell>
          <cell r="FK231">
            <v>1886</v>
          </cell>
          <cell r="FL231">
            <v>2056</v>
          </cell>
          <cell r="FM231">
            <v>2236</v>
          </cell>
          <cell r="FN231">
            <v>8163</v>
          </cell>
          <cell r="FP231">
            <v>1993</v>
          </cell>
          <cell r="FQ231">
            <v>1953</v>
          </cell>
          <cell r="FR231">
            <v>2069</v>
          </cell>
          <cell r="FS231">
            <v>2245</v>
          </cell>
          <cell r="FT231">
            <v>8260</v>
          </cell>
          <cell r="FU231">
            <v>4314</v>
          </cell>
          <cell r="FV231">
            <v>1973</v>
          </cell>
          <cell r="FW231">
            <v>1976</v>
          </cell>
          <cell r="FX231">
            <v>2018</v>
          </cell>
          <cell r="FY231">
            <v>2314</v>
          </cell>
          <cell r="FZ231">
            <v>8281</v>
          </cell>
          <cell r="GB231">
            <v>1995</v>
          </cell>
          <cell r="GC231">
            <v>2009</v>
          </cell>
          <cell r="GD231">
            <v>2122.0121029772449</v>
          </cell>
          <cell r="GE231">
            <v>2427.3951769090281</v>
          </cell>
          <cell r="GF231">
            <v>8553.4072798862726</v>
          </cell>
          <cell r="GM231" t="str">
            <v>Bull Retail Revenues from extra week</v>
          </cell>
          <cell r="GO231">
            <v>357.39407950202894</v>
          </cell>
        </row>
        <row r="232">
          <cell r="A232" t="str">
            <v>Operating Income</v>
          </cell>
          <cell r="N232">
            <v>663</v>
          </cell>
          <cell r="O232">
            <v>893</v>
          </cell>
          <cell r="P232">
            <v>1341</v>
          </cell>
          <cell r="Q232">
            <v>1455</v>
          </cell>
          <cell r="R232">
            <v>1693</v>
          </cell>
          <cell r="S232">
            <v>1771</v>
          </cell>
          <cell r="T232">
            <v>1376</v>
          </cell>
          <cell r="U232">
            <v>1411</v>
          </cell>
          <cell r="V232">
            <v>1400</v>
          </cell>
          <cell r="W232">
            <v>1499</v>
          </cell>
          <cell r="X232">
            <v>2138</v>
          </cell>
          <cell r="Y232">
            <v>2273</v>
          </cell>
          <cell r="Z232">
            <v>2060.5703683158117</v>
          </cell>
          <cell r="AA232">
            <v>1425</v>
          </cell>
          <cell r="AB232">
            <v>1454</v>
          </cell>
          <cell r="AC232">
            <v>1919</v>
          </cell>
          <cell r="AD232">
            <v>2386</v>
          </cell>
          <cell r="AE232">
            <v>2795.4452245287703</v>
          </cell>
          <cell r="AF232">
            <v>3269.7119758806275</v>
          </cell>
          <cell r="AG232">
            <v>3408.4799467779631</v>
          </cell>
          <cell r="AH232">
            <v>3443.795128625261</v>
          </cell>
          <cell r="AI232">
            <v>3447.31056144373</v>
          </cell>
          <cell r="AJ232">
            <v>3513.01541071063</v>
          </cell>
          <cell r="AK232">
            <v>3579.6896259067216</v>
          </cell>
          <cell r="AL232">
            <v>3647.3460238656644</v>
          </cell>
          <cell r="AN232" t="str">
            <v>SG&amp;A Expense (Ex Pension, Incl. Credit)</v>
          </cell>
          <cell r="EL232" t="str">
            <v>SG&amp;A Expense (Core Operations)</v>
          </cell>
          <cell r="ER232">
            <v>0.36323777403035412</v>
          </cell>
          <cell r="ES232">
            <v>0.35312760633861551</v>
          </cell>
          <cell r="ET232">
            <v>0.35575942915392456</v>
          </cell>
          <cell r="EU232">
            <v>0.25253848673435964</v>
          </cell>
          <cell r="EV232">
            <v>0.32176492398961809</v>
          </cell>
          <cell r="EX232">
            <v>2078</v>
          </cell>
          <cell r="EY232">
            <v>1998</v>
          </cell>
          <cell r="EZ232">
            <v>2082</v>
          </cell>
          <cell r="FA232">
            <v>2243</v>
          </cell>
          <cell r="FB232">
            <v>8401</v>
          </cell>
          <cell r="FD232">
            <v>2033</v>
          </cell>
          <cell r="FE232">
            <v>1976</v>
          </cell>
          <cell r="FF232">
            <v>2023</v>
          </cell>
          <cell r="FG232">
            <v>2215</v>
          </cell>
          <cell r="FH232">
            <v>11928</v>
          </cell>
          <cell r="FJ232">
            <v>1876</v>
          </cell>
          <cell r="FK232">
            <v>1731</v>
          </cell>
          <cell r="FL232">
            <v>1946</v>
          </cell>
          <cell r="FM232">
            <v>2171</v>
          </cell>
          <cell r="FN232">
            <v>7724</v>
          </cell>
          <cell r="FP232">
            <v>1838.25</v>
          </cell>
          <cell r="FQ232">
            <v>1828.25</v>
          </cell>
          <cell r="FR232">
            <v>1944.25</v>
          </cell>
          <cell r="FS232">
            <v>2210.25</v>
          </cell>
          <cell r="FT232">
            <v>7821</v>
          </cell>
          <cell r="FU232">
            <v>1.6254416961130724E-2</v>
          </cell>
          <cell r="FV232">
            <v>1938.25</v>
          </cell>
          <cell r="FW232">
            <v>1938</v>
          </cell>
          <cell r="FX232">
            <v>1980</v>
          </cell>
          <cell r="FY232">
            <v>2275</v>
          </cell>
          <cell r="FZ232">
            <v>8131.25</v>
          </cell>
          <cell r="GB232">
            <v>1944.25</v>
          </cell>
          <cell r="GC232">
            <v>1952</v>
          </cell>
          <cell r="GD232">
            <v>2066.0121029772449</v>
          </cell>
          <cell r="GE232">
            <v>2370.3951769090281</v>
          </cell>
          <cell r="GF232">
            <v>8332.6572798862726</v>
          </cell>
          <cell r="GM232" t="str">
            <v>Bear Retail Revenues from extra week</v>
          </cell>
          <cell r="GO232">
            <v>344.03355316550449</v>
          </cell>
        </row>
        <row r="233">
          <cell r="A233" t="str">
            <v>Operating Margin</v>
          </cell>
          <cell r="N233">
            <v>4.5367455864239771E-2</v>
          </cell>
          <cell r="O233">
            <v>6.0203600080900692E-2</v>
          </cell>
          <cell r="P233">
            <v>8.8107752956636004E-2</v>
          </cell>
          <cell r="Q233">
            <v>9.4695737064757562E-2</v>
          </cell>
          <cell r="R233">
            <v>0.10562106182544138</v>
          </cell>
          <cell r="S233">
            <v>0.10644308210121409</v>
          </cell>
          <cell r="T233">
            <v>8.7171365220145708E-2</v>
          </cell>
          <cell r="U233">
            <v>9.0617172949714206E-2</v>
          </cell>
          <cell r="V233">
            <v>9.0838307812094468E-2</v>
          </cell>
          <cell r="W233">
            <v>9.5017748478701827E-2</v>
          </cell>
          <cell r="X233">
            <v>9.5489057615006701E-2</v>
          </cell>
          <cell r="Y233">
            <v>8.4278828327771602E-2</v>
          </cell>
          <cell r="Z233">
            <v>7.8309974853335296E-2</v>
          </cell>
          <cell r="AA233">
            <v>5.7247308372167766E-2</v>
          </cell>
          <cell r="AB233">
            <v>6.0826639892904953E-2</v>
          </cell>
          <cell r="AC233">
            <v>7.6750789905211378E-2</v>
          </cell>
          <cell r="AD233">
            <v>9.0361673925392919E-2</v>
          </cell>
          <cell r="AE233">
            <v>9.9982205598335316E-2</v>
          </cell>
          <cell r="AF233">
            <v>0.10998220559833537</v>
          </cell>
          <cell r="AG233">
            <v>0.11248220559833534</v>
          </cell>
          <cell r="AH233">
            <v>0.11248220559833533</v>
          </cell>
          <cell r="AI233">
            <v>0.1114822055983353</v>
          </cell>
          <cell r="AJ233">
            <v>0.11248220559833537</v>
          </cell>
          <cell r="AK233">
            <v>0.11348220559833534</v>
          </cell>
          <cell r="AL233">
            <v>0.11448220559833534</v>
          </cell>
          <cell r="AN233" t="str">
            <v>Pension Expense (Benefit)</v>
          </cell>
          <cell r="EL233" t="str">
            <v>Pension Expense (Benefit)</v>
          </cell>
          <cell r="ER233">
            <v>300.87540578005888</v>
          </cell>
          <cell r="ES233">
            <v>202.54296926526084</v>
          </cell>
          <cell r="ET233">
            <v>5.8391160216936244</v>
          </cell>
          <cell r="EU233">
            <v>-178.61680437304796</v>
          </cell>
          <cell r="EV233">
            <v>100.18608670279094</v>
          </cell>
          <cell r="EX233">
            <v>35</v>
          </cell>
          <cell r="EY233">
            <v>40</v>
          </cell>
          <cell r="EZ233">
            <v>39</v>
          </cell>
          <cell r="FA233">
            <v>39</v>
          </cell>
          <cell r="FB233">
            <v>153</v>
          </cell>
          <cell r="FD233">
            <v>38</v>
          </cell>
          <cell r="FE233">
            <v>37</v>
          </cell>
          <cell r="FF233">
            <v>38</v>
          </cell>
          <cell r="FG233">
            <v>17</v>
          </cell>
          <cell r="FH233">
            <v>130</v>
          </cell>
          <cell r="FJ233">
            <v>34</v>
          </cell>
          <cell r="FK233">
            <v>35</v>
          </cell>
          <cell r="FL233">
            <v>35</v>
          </cell>
          <cell r="FM233">
            <v>35</v>
          </cell>
          <cell r="FN233">
            <v>139</v>
          </cell>
          <cell r="FP233">
            <v>34.75</v>
          </cell>
          <cell r="FQ233">
            <v>34.75</v>
          </cell>
          <cell r="FR233">
            <v>34.75</v>
          </cell>
          <cell r="FS233">
            <v>34.75</v>
          </cell>
          <cell r="FT233">
            <v>139</v>
          </cell>
          <cell r="FV233">
            <v>34.75</v>
          </cell>
          <cell r="FW233">
            <v>38</v>
          </cell>
          <cell r="FX233">
            <v>38</v>
          </cell>
          <cell r="FY233">
            <v>39</v>
          </cell>
          <cell r="FZ233">
            <v>149.75</v>
          </cell>
          <cell r="GB233">
            <v>50.75</v>
          </cell>
          <cell r="GC233">
            <v>57</v>
          </cell>
          <cell r="GD233">
            <v>56</v>
          </cell>
          <cell r="GE233">
            <v>57</v>
          </cell>
          <cell r="GF233">
            <v>220.75</v>
          </cell>
        </row>
        <row r="234">
          <cell r="A234" t="str">
            <v>Y/Y ∆ Operating Margin (bps)</v>
          </cell>
          <cell r="O234">
            <v>148.36144216660921</v>
          </cell>
          <cell r="P234">
            <v>279.04152875735315</v>
          </cell>
          <cell r="Q234">
            <v>65.879841081215588</v>
          </cell>
          <cell r="R234">
            <v>109.25324760683822</v>
          </cell>
          <cell r="S234">
            <v>8.22020275772703</v>
          </cell>
          <cell r="T234">
            <v>-192.7171688106838</v>
          </cell>
          <cell r="U234">
            <v>34.45807729568498</v>
          </cell>
          <cell r="V234">
            <v>2.2113486238026225</v>
          </cell>
          <cell r="W234">
            <v>41.794406666073591</v>
          </cell>
          <cell r="X234">
            <v>4.7130913630487328</v>
          </cell>
          <cell r="Y234">
            <v>-112.10229287235099</v>
          </cell>
          <cell r="Z234">
            <v>-59.688534744363061</v>
          </cell>
          <cell r="AA234">
            <v>-210.62666481167531</v>
          </cell>
          <cell r="AB234">
            <v>35.793315207371876</v>
          </cell>
          <cell r="AC234">
            <v>159.24150012306424</v>
          </cell>
          <cell r="AD234">
            <v>136.10884020181541</v>
          </cell>
          <cell r="AE234">
            <v>96.205316729423984</v>
          </cell>
          <cell r="AF234">
            <v>100.00000000000051</v>
          </cell>
          <cell r="AG234">
            <v>24.999999999999744</v>
          </cell>
          <cell r="AH234">
            <v>-1.3877787807814457E-13</v>
          </cell>
          <cell r="AI234">
            <v>-10.000000000000286</v>
          </cell>
          <cell r="AJ234">
            <v>10.000000000000703</v>
          </cell>
          <cell r="AK234">
            <v>9.9999999999997318</v>
          </cell>
          <cell r="AL234">
            <v>10.000000000000009</v>
          </cell>
          <cell r="AN234" t="str">
            <v>SG&amp;A Ratio (Ex Pension, Incl. Credit)</v>
          </cell>
          <cell r="EL234" t="str">
            <v>SG&amp;A Ratio (Core Operations)</v>
          </cell>
          <cell r="EX234">
            <v>0.35095423070427295</v>
          </cell>
          <cell r="EY234">
            <v>0.33910386965376782</v>
          </cell>
          <cell r="EZ234">
            <v>0.35252285811039619</v>
          </cell>
          <cell r="FA234">
            <v>0.26099604375145452</v>
          </cell>
          <cell r="FB234">
            <v>0.31927184281533844</v>
          </cell>
          <cell r="FD234">
            <v>0.35374978249521488</v>
          </cell>
          <cell r="FE234">
            <v>0.34557537600559635</v>
          </cell>
          <cell r="FF234">
            <v>0.3682869106135081</v>
          </cell>
          <cell r="FG234">
            <v>0.27917822031762035</v>
          </cell>
          <cell r="FH234">
            <v>0.47919010123734535</v>
          </cell>
          <cell r="FJ234">
            <v>0.35476550680786689</v>
          </cell>
          <cell r="FK234">
            <v>0.32753074739829707</v>
          </cell>
          <cell r="FL234">
            <v>0.36137418755803158</v>
          </cell>
          <cell r="FM234">
            <v>0.27352904119944565</v>
          </cell>
          <cell r="FN234">
            <v>0.32324754132663736</v>
          </cell>
          <cell r="FP234">
            <v>0.32979009687836386</v>
          </cell>
          <cell r="FQ234">
            <v>0.33018782734332669</v>
          </cell>
          <cell r="FR234">
            <v>0.3457673839587409</v>
          </cell>
          <cell r="FS234">
            <v>0.26729350586527995</v>
          </cell>
          <cell r="FT234">
            <v>0.31280246370435549</v>
          </cell>
          <cell r="FV234">
            <v>0.32913058244184074</v>
          </cell>
          <cell r="FW234">
            <v>0.32631756187910421</v>
          </cell>
          <cell r="FX234">
            <v>0.33828805740645823</v>
          </cell>
          <cell r="FY234">
            <v>0.26077487391104998</v>
          </cell>
          <cell r="FZ234">
            <v>0.30794357129331568</v>
          </cell>
          <cell r="GB234">
            <v>0.31649845352433664</v>
          </cell>
          <cell r="GC234">
            <v>0.31905851585485451</v>
          </cell>
          <cell r="GD234">
            <v>0.34038200374321254</v>
          </cell>
          <cell r="GE234">
            <v>0.25305447615338417</v>
          </cell>
          <cell r="GF234">
            <v>0.30084162211203869</v>
          </cell>
        </row>
        <row r="235">
          <cell r="AN235" t="str">
            <v>Y/Y ∆ SG&amp;A Ratio (bps)</v>
          </cell>
          <cell r="EL235" t="str">
            <v>Y/Y ∆ SG&amp;A Ratio (bps)</v>
          </cell>
          <cell r="FD235">
            <v>27.955517909419303</v>
          </cell>
          <cell r="FE235">
            <v>64.715063518285262</v>
          </cell>
          <cell r="FF235">
            <v>157.64052503111913</v>
          </cell>
          <cell r="FG235">
            <v>181.8217656616583</v>
          </cell>
          <cell r="FH235">
            <v>1599.1825842200692</v>
          </cell>
          <cell r="FJ235">
            <v>10.157243126520111</v>
          </cell>
          <cell r="FK235">
            <v>-180.44628607299273</v>
          </cell>
          <cell r="FL235">
            <v>-69.127230554765219</v>
          </cell>
          <cell r="FM235">
            <v>-56.491791181746962</v>
          </cell>
          <cell r="FN235">
            <v>-1559.42559910708</v>
          </cell>
          <cell r="FP235">
            <v>-249.75409929503033</v>
          </cell>
          <cell r="FQ235">
            <v>26.570799450296168</v>
          </cell>
          <cell r="FR235">
            <v>-156.06803599290674</v>
          </cell>
          <cell r="FS235">
            <v>-62.355353341657093</v>
          </cell>
          <cell r="FT235">
            <v>-104.45077622281862</v>
          </cell>
          <cell r="FV235">
            <v>-6.5951443652312314</v>
          </cell>
          <cell r="FW235">
            <v>-38.702654642224779</v>
          </cell>
          <cell r="FX235">
            <v>-74.793265522826729</v>
          </cell>
          <cell r="FY235">
            <v>-65.186319542299699</v>
          </cell>
          <cell r="FZ235">
            <v>-48.588924110398167</v>
          </cell>
          <cell r="GB235">
            <v>-126.32128917504093</v>
          </cell>
          <cell r="GC235">
            <v>-72.590460242497045</v>
          </cell>
          <cell r="GD235">
            <v>20.939463367543041</v>
          </cell>
          <cell r="GE235">
            <v>-77.20397757665809</v>
          </cell>
          <cell r="GF235">
            <v>-71.0194918127699</v>
          </cell>
        </row>
        <row r="236">
          <cell r="AN236" t="str">
            <v>SG&amp;A Ratio (Including Pension Impact)</v>
          </cell>
          <cell r="EL236" t="str">
            <v>SG&amp;A Ratio (Including Pension Impact)</v>
          </cell>
          <cell r="EX236">
            <v>0.35686539435906095</v>
          </cell>
          <cell r="EY236">
            <v>0.34589273591310249</v>
          </cell>
          <cell r="EZ236">
            <v>0.35912631222485608</v>
          </cell>
          <cell r="FA236">
            <v>0.2655340935536421</v>
          </cell>
          <cell r="FB236">
            <v>0.32508645916467144</v>
          </cell>
          <cell r="FD236">
            <v>0.36192796241517311</v>
          </cell>
          <cell r="FE236">
            <v>0.35624344176285416</v>
          </cell>
          <cell r="FF236">
            <v>0.37957400327689789</v>
          </cell>
          <cell r="FG236">
            <v>0.28434585328963952</v>
          </cell>
          <cell r="FH236">
            <v>0.33978788365739998</v>
          </cell>
          <cell r="FJ236">
            <v>0.37537821482602118</v>
          </cell>
          <cell r="FK236">
            <v>0.35685903500473037</v>
          </cell>
          <cell r="FL236">
            <v>0.38180129990714951</v>
          </cell>
          <cell r="FM236">
            <v>0.28171853345092607</v>
          </cell>
          <cell r="FN236">
            <v>0.34161958568738232</v>
          </cell>
          <cell r="FP236">
            <v>0.35755292429135271</v>
          </cell>
          <cell r="FQ236">
            <v>0.3527180783817952</v>
          </cell>
          <cell r="FR236">
            <v>0.36795304997332384</v>
          </cell>
          <cell r="FS236">
            <v>0.27149594872415045</v>
          </cell>
          <cell r="FT236">
            <v>0.33036035675718911</v>
          </cell>
          <cell r="FU236">
            <v>0.31053843938957676</v>
          </cell>
          <cell r="FV236">
            <v>0.33503141450161317</v>
          </cell>
          <cell r="FW236">
            <v>0.33271594544536115</v>
          </cell>
          <cell r="FX236">
            <v>0.34478045446779432</v>
          </cell>
          <cell r="FY236">
            <v>0.26524530032095367</v>
          </cell>
          <cell r="FZ236">
            <v>0.31361484567316794</v>
          </cell>
          <cell r="GB236">
            <v>0.32475988930489991</v>
          </cell>
          <cell r="GC236">
            <v>0.32837528604118993</v>
          </cell>
          <cell r="GD236">
            <v>0.34960818019307516</v>
          </cell>
          <cell r="GE236">
            <v>0.25913958182743124</v>
          </cell>
          <cell r="GF236">
            <v>0.30881156325452847</v>
          </cell>
          <cell r="GG236" t="str">
            <v>Implied 2012e Margins (ex Extra Week)</v>
          </cell>
          <cell r="GM236" t="str">
            <v>'12 Spring SG&amp;A</v>
          </cell>
          <cell r="GN236">
            <v>4004</v>
          </cell>
        </row>
        <row r="237">
          <cell r="AN237" t="str">
            <v>Y/Y ∆ SG&amp;A Ratio (bps)</v>
          </cell>
          <cell r="EL237" t="str">
            <v>Y/Y ∆ SG&amp;A Ratio (bps)</v>
          </cell>
          <cell r="EX237">
            <v>-63.723796712931716</v>
          </cell>
          <cell r="EY237">
            <v>-72.348704255130187</v>
          </cell>
          <cell r="EZ237">
            <v>33.668830709315259</v>
          </cell>
          <cell r="FA237">
            <v>129.95606819282469</v>
          </cell>
          <cell r="FB237">
            <v>33.215351750533472</v>
          </cell>
          <cell r="FD237">
            <v>50.625680561121598</v>
          </cell>
          <cell r="FE237">
            <v>103.50705849751674</v>
          </cell>
          <cell r="FF237">
            <v>204.47691052041804</v>
          </cell>
          <cell r="FG237">
            <v>188.11759735997413</v>
          </cell>
          <cell r="FH237">
            <v>147.01424492728543</v>
          </cell>
          <cell r="FJ237">
            <v>134.50252410848074</v>
          </cell>
          <cell r="FK237">
            <v>6.1559324187621112</v>
          </cell>
          <cell r="FL237">
            <v>22.272966302516185</v>
          </cell>
          <cell r="FM237">
            <v>-26.273198387134489</v>
          </cell>
          <cell r="FN237">
            <v>18.317020299823405</v>
          </cell>
          <cell r="FP237">
            <v>-178.25290534668468</v>
          </cell>
          <cell r="FQ237">
            <v>-41.409566229351768</v>
          </cell>
          <cell r="FR237">
            <v>-138.48249933825662</v>
          </cell>
          <cell r="FS237">
            <v>-102.22584726775619</v>
          </cell>
          <cell r="FT237">
            <v>-112.5922893019321</v>
          </cell>
          <cell r="FU237">
            <v>0.32217384777060504</v>
          </cell>
          <cell r="FV237">
            <v>-225.21509789739548</v>
          </cell>
          <cell r="FW237">
            <v>-200.02132936434046</v>
          </cell>
          <cell r="FX237">
            <v>-231.72595505529526</v>
          </cell>
          <cell r="FY237">
            <v>-62.506484031967787</v>
          </cell>
          <cell r="FZ237">
            <v>-167.45511084021169</v>
          </cell>
          <cell r="GB237">
            <v>-102.7152519671326</v>
          </cell>
          <cell r="GC237">
            <v>-43.406594041712211</v>
          </cell>
          <cell r="GD237">
            <v>48.277257252808404</v>
          </cell>
          <cell r="GE237">
            <v>-61.057184935224271</v>
          </cell>
          <cell r="GF237">
            <v>-48.032824186394762</v>
          </cell>
          <cell r="GJ237" t="str">
            <v>FY12e Gross Margin (%) (ex extra week)</v>
          </cell>
          <cell r="GK237">
            <v>0.40521348048585426</v>
          </cell>
          <cell r="GM237" t="str">
            <v>'12 Fall SG&amp;A</v>
          </cell>
          <cell r="GN237">
            <v>4549.4072798862726</v>
          </cell>
        </row>
        <row r="238">
          <cell r="FP238">
            <v>-120</v>
          </cell>
          <cell r="FQ238">
            <v>-90</v>
          </cell>
          <cell r="FR238">
            <v>-90</v>
          </cell>
          <cell r="FS238">
            <v>0</v>
          </cell>
          <cell r="GJ238" t="str">
            <v>FY12e Gross Margin ∆ (bps) (ex extra week)</v>
          </cell>
          <cell r="GK238">
            <v>12.36960887293359</v>
          </cell>
          <cell r="GM238" t="str">
            <v>% Change 2H vs. 1H</v>
          </cell>
          <cell r="GN238">
            <v>0.13621560436720093</v>
          </cell>
        </row>
        <row r="239">
          <cell r="AN239" t="str">
            <v>% Breakout of credit deterioration</v>
          </cell>
          <cell r="FD239">
            <v>0.15</v>
          </cell>
          <cell r="FE239">
            <v>0.2</v>
          </cell>
          <cell r="FF239">
            <v>0.3</v>
          </cell>
          <cell r="FG239">
            <v>0.35000000000000009</v>
          </cell>
          <cell r="FH239">
            <v>50</v>
          </cell>
          <cell r="FK239">
            <v>-120</v>
          </cell>
          <cell r="GJ239" t="str">
            <v>Impact from Extra Wk on FY12e Gross Mgn ∆ (bps)</v>
          </cell>
          <cell r="GK239">
            <v>-0.42372024769532501</v>
          </cell>
          <cell r="GM239" t="str">
            <v>'11 Spring SG&amp;A</v>
          </cell>
          <cell r="GN239">
            <v>3949</v>
          </cell>
        </row>
        <row r="240">
          <cell r="A240" t="str">
            <v>Bear Case Assumptions</v>
          </cell>
          <cell r="N240">
            <v>1995</v>
          </cell>
          <cell r="O240">
            <v>1996</v>
          </cell>
          <cell r="P240">
            <v>1997</v>
          </cell>
          <cell r="Q240">
            <v>1998</v>
          </cell>
          <cell r="R240">
            <v>1999</v>
          </cell>
          <cell r="S240">
            <v>2000</v>
          </cell>
          <cell r="T240">
            <v>2001</v>
          </cell>
          <cell r="U240">
            <v>2002</v>
          </cell>
          <cell r="V240">
            <v>2003</v>
          </cell>
          <cell r="W240">
            <v>2004</v>
          </cell>
          <cell r="X240">
            <v>2005</v>
          </cell>
          <cell r="Y240">
            <v>2006</v>
          </cell>
          <cell r="Z240">
            <v>2007</v>
          </cell>
          <cell r="AA240">
            <v>2008</v>
          </cell>
          <cell r="AB240">
            <v>2009</v>
          </cell>
          <cell r="AC240">
            <v>2010</v>
          </cell>
          <cell r="AD240">
            <v>2011</v>
          </cell>
          <cell r="AE240" t="str">
            <v>2012E</v>
          </cell>
          <cell r="AF240" t="str">
            <v>2013E</v>
          </cell>
          <cell r="AG240" t="str">
            <v>2014E</v>
          </cell>
          <cell r="AH240" t="str">
            <v>2015E</v>
          </cell>
          <cell r="AI240" t="str">
            <v>2016E</v>
          </cell>
          <cell r="AJ240" t="str">
            <v>2017E</v>
          </cell>
          <cell r="AK240" t="str">
            <v>2018E</v>
          </cell>
          <cell r="AL240" t="str">
            <v>2019E</v>
          </cell>
          <cell r="AN240" t="str">
            <v>% Breakout of consolidation SG&amp;A saves</v>
          </cell>
          <cell r="FD240">
            <v>0.05</v>
          </cell>
          <cell r="FE240">
            <v>0.15</v>
          </cell>
          <cell r="FF240">
            <v>0.4</v>
          </cell>
          <cell r="FG240">
            <v>0.39999999999999991</v>
          </cell>
          <cell r="FH240">
            <v>-60</v>
          </cell>
          <cell r="FJ240">
            <v>0.25</v>
          </cell>
          <cell r="FK240">
            <v>0.4</v>
          </cell>
          <cell r="FL240">
            <v>0.25</v>
          </cell>
          <cell r="FM240">
            <v>9.9999999999999978E-2</v>
          </cell>
          <cell r="FN240">
            <v>-300</v>
          </cell>
          <cell r="FP240">
            <v>0.4</v>
          </cell>
          <cell r="FQ240">
            <v>0.3</v>
          </cell>
          <cell r="FR240">
            <v>0.3</v>
          </cell>
          <cell r="FS240">
            <v>0</v>
          </cell>
          <cell r="FT240">
            <v>-140</v>
          </cell>
          <cell r="GJ240" t="str">
            <v>FY12e SG&amp;A Ratio Incl. Pension (%) (ex extra week)</v>
          </cell>
          <cell r="GK240">
            <v>0.31051036388580949</v>
          </cell>
          <cell r="GM240" t="str">
            <v>'11 Fall SG&amp;A</v>
          </cell>
          <cell r="GN240">
            <v>4332</v>
          </cell>
        </row>
        <row r="241">
          <cell r="A241" t="str">
            <v>Revenue</v>
          </cell>
          <cell r="N241">
            <v>14614</v>
          </cell>
          <cell r="O241">
            <v>14833</v>
          </cell>
          <cell r="P241">
            <v>15220</v>
          </cell>
          <cell r="Q241">
            <v>15365</v>
          </cell>
          <cell r="R241">
            <v>16029</v>
          </cell>
          <cell r="S241">
            <v>16638</v>
          </cell>
          <cell r="T241">
            <v>15785</v>
          </cell>
          <cell r="U241">
            <v>15571</v>
          </cell>
          <cell r="V241">
            <v>15412</v>
          </cell>
          <cell r="W241">
            <v>15776</v>
          </cell>
          <cell r="X241">
            <v>22390</v>
          </cell>
          <cell r="Y241">
            <v>26970</v>
          </cell>
          <cell r="Z241">
            <v>26313</v>
          </cell>
          <cell r="AA241">
            <v>24892</v>
          </cell>
          <cell r="AB241">
            <v>23904</v>
          </cell>
          <cell r="AC241">
            <v>25003</v>
          </cell>
          <cell r="AD241">
            <v>26405</v>
          </cell>
          <cell r="AE241">
            <v>27436.213752617372</v>
          </cell>
          <cell r="AF241">
            <v>27415.922360651821</v>
          </cell>
          <cell r="AG241">
            <v>27944.266088353088</v>
          </cell>
          <cell r="AH241">
            <v>28233.795982590062</v>
          </cell>
          <cell r="AI241">
            <v>28516.133942415963</v>
          </cell>
          <cell r="AJ241">
            <v>28801.295281840125</v>
          </cell>
          <cell r="AK241">
            <v>29089.308234658525</v>
          </cell>
          <cell r="AL241">
            <v>29380.20131700511</v>
          </cell>
          <cell r="AN241" t="str">
            <v>% Breakout of pre-tax charges assoc. with consolidation</v>
          </cell>
          <cell r="FD241">
            <v>0.57999999999999996</v>
          </cell>
          <cell r="FE241">
            <v>0.17333333333333334</v>
          </cell>
          <cell r="FF241">
            <v>0.10666666666666667</v>
          </cell>
          <cell r="FG241">
            <v>0.14000000000000001</v>
          </cell>
          <cell r="FH241">
            <v>150</v>
          </cell>
          <cell r="FJ241">
            <v>0.34499999999999997</v>
          </cell>
          <cell r="FK241">
            <v>8.5000000000000006E-2</v>
          </cell>
          <cell r="FL241">
            <v>8.2500000000000004E-2</v>
          </cell>
          <cell r="FM241">
            <v>0.48750000000000004</v>
          </cell>
          <cell r="FN241">
            <v>400</v>
          </cell>
          <cell r="FP241">
            <v>0</v>
          </cell>
          <cell r="FQ241">
            <v>0</v>
          </cell>
          <cell r="FR241">
            <v>0</v>
          </cell>
          <cell r="FS241">
            <v>1</v>
          </cell>
          <cell r="FT241">
            <v>0</v>
          </cell>
          <cell r="GF241" t="str">
            <v xml:space="preserve"> </v>
          </cell>
          <cell r="GJ241" t="str">
            <v>FY12e SG&amp;A Ratio Incl. Pension ∆ (bps) (ex extra wk)</v>
          </cell>
          <cell r="GK241">
            <v>-31.044817873584485</v>
          </cell>
          <cell r="GM241" t="str">
            <v>Y/Y $ Change</v>
          </cell>
          <cell r="GN241">
            <v>159</v>
          </cell>
        </row>
        <row r="242">
          <cell r="A242" t="str">
            <v xml:space="preserve"> % Same-store</v>
          </cell>
          <cell r="N242">
            <v>2.7E-2</v>
          </cell>
          <cell r="O242">
            <v>3.1E-2</v>
          </cell>
          <cell r="P242">
            <v>2.7E-2</v>
          </cell>
          <cell r="Q242">
            <v>2.1999999999999999E-2</v>
          </cell>
          <cell r="R242">
            <v>4.4999999999999998E-2</v>
          </cell>
          <cell r="S242">
            <v>0.02</v>
          </cell>
          <cell r="T242">
            <v>-5.2999999999999999E-2</v>
          </cell>
          <cell r="U242">
            <v>-0.03</v>
          </cell>
          <cell r="V242">
            <v>-9.0000000000000011E-3</v>
          </cell>
          <cell r="W242">
            <v>2.5999999999999999E-2</v>
          </cell>
          <cell r="X242">
            <v>1.2999999999999999E-2</v>
          </cell>
          <cell r="Y242">
            <v>4.3999999999999997E-2</v>
          </cell>
          <cell r="Z242">
            <v>-1.2799528750047504E-2</v>
          </cell>
          <cell r="AA242">
            <v>-4.4999999999999998E-2</v>
          </cell>
          <cell r="AB242">
            <v>-5.0968425652024113E-2</v>
          </cell>
          <cell r="AC242">
            <v>4.610434747830261E-2</v>
          </cell>
          <cell r="AD242">
            <v>5.2999999999999999E-2</v>
          </cell>
          <cell r="AE242">
            <v>3.0470716044687752E-2</v>
          </cell>
          <cell r="AF242">
            <v>1.0000000000000002E-2</v>
          </cell>
          <cell r="AG242">
            <v>0.02</v>
          </cell>
          <cell r="AH242">
            <v>0.01</v>
          </cell>
          <cell r="AI242">
            <v>0.01</v>
          </cell>
          <cell r="AJ242">
            <v>0.01</v>
          </cell>
          <cell r="AK242">
            <v>0.01</v>
          </cell>
          <cell r="AL242">
            <v>0.01</v>
          </cell>
          <cell r="GJ242" t="str">
            <v>Impact from Extra Wk on FY12e SG&amp;A Ratio ∆ (bps)</v>
          </cell>
          <cell r="GK242">
            <v>-16.988006312810278</v>
          </cell>
          <cell r="GN242">
            <v>217.40727988627259</v>
          </cell>
        </row>
        <row r="243">
          <cell r="A243" t="str">
            <v>CGS, OCC, Buying Costs</v>
          </cell>
          <cell r="N243">
            <v>9038</v>
          </cell>
          <cell r="O243">
            <v>9018</v>
          </cell>
          <cell r="P243">
            <v>9200</v>
          </cell>
          <cell r="Q243">
            <v>9218</v>
          </cell>
          <cell r="R243">
            <v>9576</v>
          </cell>
          <cell r="S243">
            <v>9955</v>
          </cell>
          <cell r="T243">
            <v>9603</v>
          </cell>
          <cell r="U243">
            <v>9324</v>
          </cell>
          <cell r="V243">
            <v>9175</v>
          </cell>
          <cell r="W243">
            <v>9346</v>
          </cell>
          <cell r="X243">
            <v>13272</v>
          </cell>
          <cell r="Y243">
            <v>16019</v>
          </cell>
          <cell r="Z243">
            <v>15782.893839502129</v>
          </cell>
          <cell r="AA243">
            <v>15009</v>
          </cell>
          <cell r="AB243">
            <v>14278</v>
          </cell>
          <cell r="AC243">
            <v>14824</v>
          </cell>
          <cell r="AD243">
            <v>15738</v>
          </cell>
          <cell r="AE243">
            <v>16371.343170905468</v>
          </cell>
          <cell r="AF243">
            <v>16386.651105470184</v>
          </cell>
          <cell r="AG243">
            <v>16660.528726167173</v>
          </cell>
          <cell r="AH243">
            <v>16861.381874712744</v>
          </cell>
          <cell r="AI243">
            <v>17087.027961344706</v>
          </cell>
          <cell r="AJ243">
            <v>17257.898240958151</v>
          </cell>
          <cell r="AK243">
            <v>17430.477223367736</v>
          </cell>
          <cell r="AL243">
            <v>17604.781995601414</v>
          </cell>
        </row>
        <row r="244">
          <cell r="A244" t="str">
            <v>CGS, OCC, Buying Costs %</v>
          </cell>
          <cell r="N244">
            <v>0.61844806350075265</v>
          </cell>
          <cell r="O244">
            <v>0.60796871839816624</v>
          </cell>
          <cell r="P244">
            <v>0.60446780551905388</v>
          </cell>
          <cell r="Q244">
            <v>0.59993491701919943</v>
          </cell>
          <cell r="R244">
            <v>0.59741718135878719</v>
          </cell>
          <cell r="S244">
            <v>0.5983291260968866</v>
          </cell>
          <cell r="T244">
            <v>0.60836236933797905</v>
          </cell>
          <cell r="U244">
            <v>0.59880547171023057</v>
          </cell>
          <cell r="V244">
            <v>0.59531533869711917</v>
          </cell>
          <cell r="W244">
            <v>0.59241886409736311</v>
          </cell>
          <cell r="X244">
            <v>0.59276462706565436</v>
          </cell>
          <cell r="Y244">
            <v>0.59395624768261035</v>
          </cell>
          <cell r="Z244">
            <v>0.59981354613697135</v>
          </cell>
          <cell r="AA244">
            <v>0.60296480797043228</v>
          </cell>
          <cell r="AB244">
            <v>0.59730589022757696</v>
          </cell>
          <cell r="AC244">
            <v>0.59288885333759944</v>
          </cell>
          <cell r="AD244">
            <v>0.59602348040143915</v>
          </cell>
          <cell r="AE244">
            <v>0.59670562849962006</v>
          </cell>
          <cell r="AF244">
            <v>0.59770562849962006</v>
          </cell>
          <cell r="AG244">
            <v>0.59620562849962011</v>
          </cell>
          <cell r="AH244">
            <v>0.59720562849962</v>
          </cell>
          <cell r="AI244">
            <v>0.59920562849962</v>
          </cell>
          <cell r="AJ244">
            <v>0.59920562849962</v>
          </cell>
          <cell r="AK244">
            <v>0.59920562849962011</v>
          </cell>
          <cell r="AL244">
            <v>0.59920562849962011</v>
          </cell>
          <cell r="AN244" t="str">
            <v>Operating Margin</v>
          </cell>
          <cell r="EL244" t="str">
            <v>Operating Margin</v>
          </cell>
          <cell r="ER244">
            <v>149</v>
          </cell>
          <cell r="ES244">
            <v>408</v>
          </cell>
          <cell r="ET244">
            <v>279</v>
          </cell>
          <cell r="EU244">
            <v>1437</v>
          </cell>
          <cell r="EV244">
            <v>2273</v>
          </cell>
          <cell r="EX244">
            <v>244</v>
          </cell>
          <cell r="EY244">
            <v>347</v>
          </cell>
          <cell r="EZ244">
            <v>200</v>
          </cell>
          <cell r="FA244">
            <v>1291</v>
          </cell>
          <cell r="FB244">
            <v>2082</v>
          </cell>
          <cell r="FD244">
            <v>140</v>
          </cell>
          <cell r="FE244">
            <v>335</v>
          </cell>
          <cell r="FF244">
            <v>84</v>
          </cell>
          <cell r="FG244">
            <v>866</v>
          </cell>
          <cell r="FH244">
            <v>1425</v>
          </cell>
          <cell r="FJ244">
            <v>24</v>
          </cell>
          <cell r="FK244">
            <v>282</v>
          </cell>
          <cell r="FL244">
            <v>88</v>
          </cell>
          <cell r="FM244">
            <v>1060</v>
          </cell>
          <cell r="FN244">
            <v>1454</v>
          </cell>
          <cell r="FP244">
            <v>203</v>
          </cell>
          <cell r="FQ244">
            <v>370</v>
          </cell>
          <cell r="FR244">
            <v>177</v>
          </cell>
          <cell r="FS244">
            <v>1169</v>
          </cell>
          <cell r="FT244">
            <v>1919</v>
          </cell>
          <cell r="FV244">
            <v>330</v>
          </cell>
          <cell r="FW244">
            <v>506</v>
          </cell>
          <cell r="FX244">
            <v>291</v>
          </cell>
          <cell r="FY244">
            <v>1259</v>
          </cell>
          <cell r="FZ244">
            <v>2386</v>
          </cell>
          <cell r="GB244">
            <v>391</v>
          </cell>
          <cell r="GC244">
            <v>554</v>
          </cell>
          <cell r="GD244">
            <v>281.57499452664797</v>
          </cell>
          <cell r="GE244">
            <v>1444.7216277006182</v>
          </cell>
          <cell r="GF244">
            <v>2671.2966222272662</v>
          </cell>
        </row>
        <row r="245">
          <cell r="A245" t="str">
            <v>Y/Y ∆ CGS, OCC, Buying Costs % (bps)</v>
          </cell>
          <cell r="O245">
            <v>-104.79345102586413</v>
          </cell>
          <cell r="P245">
            <v>-35.009128791123615</v>
          </cell>
          <cell r="Q245">
            <v>-45.328884998544481</v>
          </cell>
          <cell r="R245">
            <v>-25.177356604122458</v>
          </cell>
          <cell r="S245">
            <v>9.1194473809941279</v>
          </cell>
          <cell r="T245">
            <v>100.33243241092448</v>
          </cell>
          <cell r="U245">
            <v>-95.568976277484722</v>
          </cell>
          <cell r="V245">
            <v>-34.901330131114072</v>
          </cell>
          <cell r="W245">
            <v>-28.964745997560605</v>
          </cell>
          <cell r="X245">
            <v>3.4576296829125219</v>
          </cell>
          <cell r="Y245">
            <v>11.916206169559906</v>
          </cell>
          <cell r="Z245">
            <v>58.57298454361004</v>
          </cell>
          <cell r="AA245">
            <v>31.512618334609279</v>
          </cell>
          <cell r="AB245">
            <v>-56.589177428553185</v>
          </cell>
          <cell r="AC245">
            <v>-44.170368899775212</v>
          </cell>
          <cell r="AD245">
            <v>31.346270638397122</v>
          </cell>
          <cell r="AE245">
            <v>6.8214809818090139</v>
          </cell>
          <cell r="AF245">
            <v>10.000000000000009</v>
          </cell>
          <cell r="AG245">
            <v>-14.999999999999458</v>
          </cell>
          <cell r="AH245">
            <v>9.9999999999988987</v>
          </cell>
          <cell r="AI245">
            <v>20.000000000000018</v>
          </cell>
          <cell r="AJ245">
            <v>0</v>
          </cell>
          <cell r="AK245">
            <v>1.1102230246251565E-12</v>
          </cell>
          <cell r="AL245">
            <v>0</v>
          </cell>
          <cell r="AN245" t="str">
            <v>BPS Change</v>
          </cell>
          <cell r="EL245" t="str">
            <v>BPS Change</v>
          </cell>
          <cell r="ER245">
            <v>2.5126475548060707E-2</v>
          </cell>
          <cell r="ES245">
            <v>6.805671392827356E-2</v>
          </cell>
          <cell r="ET245">
            <v>4.7400611620795105E-2</v>
          </cell>
          <cell r="EU245">
            <v>0.1568948575171962</v>
          </cell>
          <cell r="EV245">
            <v>8.4278828327771602E-2</v>
          </cell>
          <cell r="EX245">
            <v>4.12092551933795E-2</v>
          </cell>
          <cell r="EY245">
            <v>5.8893414799728448E-2</v>
          </cell>
          <cell r="EZ245">
            <v>3.3863867253640365E-2</v>
          </cell>
          <cell r="FA245">
            <v>0.15022108447754248</v>
          </cell>
          <cell r="FB245">
            <v>7.9124387185041611E-2</v>
          </cell>
          <cell r="FD245">
            <v>2.4360535931790498E-2</v>
          </cell>
          <cell r="FE245">
            <v>5.8586918502973068E-2</v>
          </cell>
          <cell r="FF245">
            <v>1.5292190060076462E-2</v>
          </cell>
          <cell r="FG245">
            <v>0.10915049155533149</v>
          </cell>
          <cell r="FH245">
            <v>5.7247308372167766E-2</v>
          </cell>
          <cell r="FJ245">
            <v>4.5385779122541605E-3</v>
          </cell>
          <cell r="FK245">
            <v>5.3358561967833493E-2</v>
          </cell>
          <cell r="FL245">
            <v>1.6341689879294335E-2</v>
          </cell>
          <cell r="FM245">
            <v>0.1335517197933728</v>
          </cell>
          <cell r="FN245">
            <v>6.0849550115086838E-2</v>
          </cell>
          <cell r="FP245">
            <v>3.6419088625762472E-2</v>
          </cell>
          <cell r="FQ245">
            <v>6.6823189452772255E-2</v>
          </cell>
          <cell r="FR245">
            <v>3.1477858794237951E-2</v>
          </cell>
          <cell r="FS245">
            <v>0.14137138710847744</v>
          </cell>
          <cell r="FT245">
            <v>7.6750789905211378E-2</v>
          </cell>
          <cell r="FV245">
            <v>5.6036678553234846E-2</v>
          </cell>
          <cell r="FW245">
            <v>8.5199528540158276E-2</v>
          </cell>
          <cell r="FX245">
            <v>4.9718093285494619E-2</v>
          </cell>
          <cell r="FY245">
            <v>0.1443145346171481</v>
          </cell>
          <cell r="FZ245">
            <v>9.0361673925392919E-2</v>
          </cell>
          <cell r="GB245">
            <v>6.3649682565521726E-2</v>
          </cell>
          <cell r="GC245">
            <v>9.0552468126838842E-2</v>
          </cell>
          <cell r="GD245">
            <v>4.6390367560213731E-2</v>
          </cell>
          <cell r="GE245">
            <v>0.15423304866911453</v>
          </cell>
          <cell r="GF245">
            <v>9.644428925609537E-2</v>
          </cell>
        </row>
        <row r="246">
          <cell r="A246" t="str">
            <v>Gross Income</v>
          </cell>
          <cell r="N246">
            <v>5576</v>
          </cell>
          <cell r="O246">
            <v>5815</v>
          </cell>
          <cell r="P246">
            <v>6020</v>
          </cell>
          <cell r="Q246">
            <v>6147</v>
          </cell>
          <cell r="R246">
            <v>6453</v>
          </cell>
          <cell r="S246">
            <v>6683</v>
          </cell>
          <cell r="T246">
            <v>6182</v>
          </cell>
          <cell r="U246">
            <v>6247</v>
          </cell>
          <cell r="V246">
            <v>6237</v>
          </cell>
          <cell r="W246">
            <v>6430</v>
          </cell>
          <cell r="X246">
            <v>9118</v>
          </cell>
          <cell r="Y246">
            <v>10951</v>
          </cell>
          <cell r="Z246">
            <v>10530.106160497871</v>
          </cell>
          <cell r="AA246">
            <v>9883</v>
          </cell>
          <cell r="AB246">
            <v>9626</v>
          </cell>
          <cell r="AC246">
            <v>10179</v>
          </cell>
          <cell r="AD246">
            <v>10667</v>
          </cell>
          <cell r="AE246">
            <v>11064.870581711904</v>
          </cell>
          <cell r="AF246">
            <v>11029.271255181637</v>
          </cell>
          <cell r="AG246">
            <v>11283.737362185915</v>
          </cell>
          <cell r="AH246">
            <v>11372.414107877315</v>
          </cell>
          <cell r="AI246">
            <v>11429.105981071258</v>
          </cell>
          <cell r="AJ246">
            <v>11543.397040881971</v>
          </cell>
          <cell r="AK246">
            <v>11658.831011290791</v>
          </cell>
          <cell r="AL246">
            <v>11775.419321403699</v>
          </cell>
        </row>
        <row r="247">
          <cell r="A247" t="str">
            <v>Gross Margin</v>
          </cell>
          <cell r="N247">
            <v>0.38155193649924729</v>
          </cell>
          <cell r="O247">
            <v>0.39203128160183376</v>
          </cell>
          <cell r="P247">
            <v>0.39553219448094612</v>
          </cell>
          <cell r="Q247">
            <v>0.40006508298080051</v>
          </cell>
          <cell r="R247">
            <v>0.40258281864121281</v>
          </cell>
          <cell r="S247">
            <v>0.40167087390311335</v>
          </cell>
          <cell r="T247">
            <v>0.3916376306620209</v>
          </cell>
          <cell r="U247">
            <v>0.40119452828976943</v>
          </cell>
          <cell r="V247">
            <v>0.40468466130288089</v>
          </cell>
          <cell r="W247">
            <v>0.40758113590263689</v>
          </cell>
          <cell r="X247">
            <v>0.4072353729343457</v>
          </cell>
          <cell r="Y247">
            <v>0.40604375231738971</v>
          </cell>
          <cell r="Z247">
            <v>0.40018645386302859</v>
          </cell>
          <cell r="AA247">
            <v>0.39703519202956772</v>
          </cell>
          <cell r="AB247">
            <v>0.40269410977242304</v>
          </cell>
          <cell r="AC247">
            <v>0.4071111466624005</v>
          </cell>
          <cell r="AD247">
            <v>0.4039765195985609</v>
          </cell>
          <cell r="AE247">
            <v>0.40329437150037994</v>
          </cell>
          <cell r="AF247">
            <v>0.40229437150037994</v>
          </cell>
          <cell r="AG247">
            <v>0.40379437150037994</v>
          </cell>
          <cell r="AH247">
            <v>0.40279437150037994</v>
          </cell>
          <cell r="AI247">
            <v>0.40079437150037994</v>
          </cell>
          <cell r="AJ247">
            <v>0.40079437150037994</v>
          </cell>
          <cell r="AK247">
            <v>0.40079437150037994</v>
          </cell>
          <cell r="AL247">
            <v>0.40079437150037994</v>
          </cell>
        </row>
        <row r="248">
          <cell r="A248" t="str">
            <v>Y/Y ∆ Gross Margin (bps)</v>
          </cell>
          <cell r="O248">
            <v>104.79345102586468</v>
          </cell>
          <cell r="P248">
            <v>35.009128791123615</v>
          </cell>
          <cell r="Q248">
            <v>45.328884998543927</v>
          </cell>
          <cell r="R248">
            <v>25.177356604123013</v>
          </cell>
          <cell r="S248">
            <v>-9.1194473809946821</v>
          </cell>
          <cell r="T248">
            <v>-100.33243241092448</v>
          </cell>
          <cell r="U248">
            <v>95.568976277485291</v>
          </cell>
          <cell r="V248">
            <v>34.901330131114626</v>
          </cell>
          <cell r="W248">
            <v>28.964745997560048</v>
          </cell>
          <cell r="X248">
            <v>-3.4576296829119668</v>
          </cell>
          <cell r="Y248">
            <v>-11.916206169559906</v>
          </cell>
          <cell r="Z248">
            <v>-58.572984543611149</v>
          </cell>
          <cell r="AA248">
            <v>-31.512618334608721</v>
          </cell>
          <cell r="AB248">
            <v>56.589177428553185</v>
          </cell>
          <cell r="AC248">
            <v>44.170368899774658</v>
          </cell>
          <cell r="AD248">
            <v>-31.346270638396014</v>
          </cell>
          <cell r="AE248">
            <v>-6.821480981809569</v>
          </cell>
          <cell r="AF248">
            <v>-10</v>
          </cell>
          <cell r="AG248">
            <v>15</v>
          </cell>
          <cell r="AH248">
            <v>-10</v>
          </cell>
          <cell r="AI248">
            <v>-20</v>
          </cell>
          <cell r="AJ248">
            <v>0</v>
          </cell>
          <cell r="AK248">
            <v>0</v>
          </cell>
          <cell r="AL248">
            <v>0</v>
          </cell>
          <cell r="AN248" t="str">
            <v>Bull Case Assumptions</v>
          </cell>
          <cell r="EL248" t="str">
            <v>Bull Case Assumptions</v>
          </cell>
        </row>
        <row r="249">
          <cell r="A249" t="str">
            <v>SG&amp;A Expenses</v>
          </cell>
          <cell r="N249">
            <v>4913</v>
          </cell>
          <cell r="O249">
            <v>4922</v>
          </cell>
          <cell r="P249">
            <v>4679</v>
          </cell>
          <cell r="Q249">
            <v>4692</v>
          </cell>
          <cell r="R249">
            <v>4760</v>
          </cell>
          <cell r="S249">
            <v>4912</v>
          </cell>
          <cell r="T249">
            <v>4806</v>
          </cell>
          <cell r="U249">
            <v>4836</v>
          </cell>
          <cell r="V249">
            <v>4837</v>
          </cell>
          <cell r="W249">
            <v>4931</v>
          </cell>
          <cell r="X249">
            <v>6980</v>
          </cell>
          <cell r="Y249">
            <v>8678</v>
          </cell>
          <cell r="Z249">
            <v>8523.9117921820616</v>
          </cell>
          <cell r="AA249">
            <v>8458</v>
          </cell>
          <cell r="AB249">
            <v>8163</v>
          </cell>
          <cell r="AC249">
            <v>8260</v>
          </cell>
          <cell r="AD249">
            <v>8281</v>
          </cell>
          <cell r="AE249">
            <v>8516.1531222989761</v>
          </cell>
          <cell r="AF249">
            <v>8646.9343212599488</v>
          </cell>
          <cell r="AG249">
            <v>8785.6287497368903</v>
          </cell>
          <cell r="AH249">
            <v>8848.4226499075667</v>
          </cell>
          <cell r="AI249">
            <v>8908.3907424642257</v>
          </cell>
          <cell r="AJ249">
            <v>8968.67335460703</v>
          </cell>
          <cell r="AK249">
            <v>9029.2707799184409</v>
          </cell>
          <cell r="AL249">
            <v>9090.1832864006192</v>
          </cell>
          <cell r="AN249" t="str">
            <v>Consolidated Stores Monthly Sales ($)</v>
          </cell>
          <cell r="EL249" t="str">
            <v>Consolidated Stores Monthly Sales ($)</v>
          </cell>
          <cell r="EU249">
            <v>356</v>
          </cell>
        </row>
        <row r="250">
          <cell r="A250" t="str">
            <v>SG&amp;A Ratio</v>
          </cell>
          <cell r="N250">
            <v>0.33618448063500755</v>
          </cell>
          <cell r="O250">
            <v>0.33182768152093306</v>
          </cell>
          <cell r="P250">
            <v>0.30742444152431014</v>
          </cell>
          <cell r="Q250">
            <v>0.30536934591604298</v>
          </cell>
          <cell r="R250">
            <v>0.29696175681577142</v>
          </cell>
          <cell r="S250">
            <v>0.29522779180189929</v>
          </cell>
          <cell r="T250">
            <v>0.30446626544187522</v>
          </cell>
          <cell r="U250">
            <v>0.31057735534005521</v>
          </cell>
          <cell r="V250">
            <v>0.31384635349078638</v>
          </cell>
          <cell r="W250">
            <v>0.31256338742393508</v>
          </cell>
          <cell r="X250">
            <v>0.311746315319339</v>
          </cell>
          <cell r="Y250">
            <v>0.32176492398961809</v>
          </cell>
          <cell r="Z250">
            <v>0.32394298605944066</v>
          </cell>
          <cell r="AA250">
            <v>0.33978788365739998</v>
          </cell>
          <cell r="AB250">
            <v>0.34149096385542171</v>
          </cell>
          <cell r="AC250">
            <v>0.33036035675718911</v>
          </cell>
          <cell r="AD250">
            <v>0.31361484567316794</v>
          </cell>
          <cell r="AE250">
            <v>0.31039826410036436</v>
          </cell>
          <cell r="AF250">
            <v>0.31539826410036437</v>
          </cell>
          <cell r="AG250">
            <v>0.31439826410036437</v>
          </cell>
          <cell r="AH250">
            <v>0.31339826410036437</v>
          </cell>
          <cell r="AI250">
            <v>0.31239826410036436</v>
          </cell>
          <cell r="AJ250">
            <v>0.31139826410036436</v>
          </cell>
          <cell r="AK250">
            <v>0.31039826410036436</v>
          </cell>
          <cell r="AL250">
            <v>0.30939826410036436</v>
          </cell>
          <cell r="AN250" t="str">
            <v>Month 1</v>
          </cell>
          <cell r="EL250" t="str">
            <v>Month 1</v>
          </cell>
          <cell r="ER250">
            <v>1800</v>
          </cell>
          <cell r="ES250">
            <v>2026</v>
          </cell>
          <cell r="ET250">
            <v>1727</v>
          </cell>
          <cell r="EU250">
            <v>2385</v>
          </cell>
          <cell r="EX250">
            <v>1802</v>
          </cell>
          <cell r="EY250">
            <v>1976</v>
          </cell>
          <cell r="EZ250">
            <v>1788</v>
          </cell>
          <cell r="FA250">
            <v>2707</v>
          </cell>
          <cell r="FD250">
            <v>1737</v>
          </cell>
          <cell r="FE250">
            <v>1926</v>
          </cell>
          <cell r="FF250">
            <v>1686</v>
          </cell>
          <cell r="FG250">
            <v>2324</v>
          </cell>
          <cell r="FJ250">
            <v>1602.5975291456411</v>
          </cell>
          <cell r="FK250">
            <v>1783.7565582371458</v>
          </cell>
          <cell r="FL250">
            <v>1576.1490988530857</v>
          </cell>
          <cell r="FM250">
            <v>2202.7766574237457</v>
          </cell>
          <cell r="FP250">
            <v>1667</v>
          </cell>
          <cell r="FQ250">
            <v>1789</v>
          </cell>
          <cell r="FR250">
            <v>1638</v>
          </cell>
          <cell r="FS250">
            <v>2341</v>
          </cell>
          <cell r="FV250">
            <v>1763</v>
          </cell>
          <cell r="FW250">
            <v>1937</v>
          </cell>
          <cell r="FX250">
            <v>1714</v>
          </cell>
          <cell r="FY250">
            <v>2465</v>
          </cell>
          <cell r="GB250">
            <v>1860</v>
          </cell>
          <cell r="GC250">
            <v>2015</v>
          </cell>
          <cell r="GD250">
            <v>1812</v>
          </cell>
          <cell r="GE250">
            <v>2588.4099701374939</v>
          </cell>
        </row>
        <row r="251">
          <cell r="A251" t="str">
            <v>Y/Y ∆ SG&amp;A Ratio (bps)</v>
          </cell>
          <cell r="O251">
            <v>-43.567991140744944</v>
          </cell>
          <cell r="P251">
            <v>-244.03239996622915</v>
          </cell>
          <cell r="Q251">
            <v>-20.550956082671657</v>
          </cell>
          <cell r="R251">
            <v>-84.075891002715622</v>
          </cell>
          <cell r="S251">
            <v>-17.339650138721296</v>
          </cell>
          <cell r="T251">
            <v>92.384736399759305</v>
          </cell>
          <cell r="U251">
            <v>61.110898981799892</v>
          </cell>
          <cell r="V251">
            <v>32.689981507311728</v>
          </cell>
          <cell r="W251">
            <v>-12.829660668512988</v>
          </cell>
          <cell r="X251">
            <v>-8.170721045960839</v>
          </cell>
          <cell r="Y251">
            <v>100.18608670279094</v>
          </cell>
          <cell r="Z251">
            <v>21.780620698225729</v>
          </cell>
          <cell r="AA251">
            <v>158.44897597959317</v>
          </cell>
          <cell r="AB251">
            <v>17.030801980217337</v>
          </cell>
          <cell r="AC251">
            <v>-111.30607098232603</v>
          </cell>
          <cell r="AD251">
            <v>-167.45511084021169</v>
          </cell>
          <cell r="AE251">
            <v>-32.165815728035781</v>
          </cell>
          <cell r="AF251">
            <v>50</v>
          </cell>
          <cell r="AG251">
            <v>-10</v>
          </cell>
          <cell r="AH251">
            <v>-10</v>
          </cell>
          <cell r="AI251">
            <v>-10</v>
          </cell>
          <cell r="AJ251">
            <v>-10</v>
          </cell>
          <cell r="AK251">
            <v>-10</v>
          </cell>
          <cell r="AL251">
            <v>-10</v>
          </cell>
          <cell r="AN251" t="str">
            <v>Month 2</v>
          </cell>
          <cell r="EL251" t="str">
            <v>Month 2</v>
          </cell>
          <cell r="ER251">
            <v>2255</v>
          </cell>
          <cell r="ES251">
            <v>2367</v>
          </cell>
          <cell r="ET251">
            <v>2303</v>
          </cell>
          <cell r="EU251">
            <v>4997</v>
          </cell>
          <cell r="EX251">
            <v>2288</v>
          </cell>
          <cell r="EY251">
            <v>2321</v>
          </cell>
          <cell r="EZ251">
            <v>2274</v>
          </cell>
          <cell r="FA251">
            <v>4624</v>
          </cell>
          <cell r="FD251">
            <v>2142</v>
          </cell>
          <cell r="FE251">
            <v>2249</v>
          </cell>
          <cell r="FF251">
            <v>2093</v>
          </cell>
          <cell r="FG251">
            <v>4397</v>
          </cell>
          <cell r="FJ251">
            <v>1963.7990255785628</v>
          </cell>
          <cell r="FK251">
            <v>2092.5916404337181</v>
          </cell>
          <cell r="FL251">
            <v>2084.1512834516657</v>
          </cell>
          <cell r="FM251">
            <v>4474.7693471136881</v>
          </cell>
          <cell r="FP251">
            <v>2172</v>
          </cell>
          <cell r="FQ251">
            <v>2229</v>
          </cell>
          <cell r="FR251">
            <v>2181</v>
          </cell>
          <cell r="FS251">
            <v>4619</v>
          </cell>
          <cell r="FV251">
            <v>2206</v>
          </cell>
          <cell r="FW251">
            <v>2392</v>
          </cell>
          <cell r="FX251">
            <v>2298</v>
          </cell>
          <cell r="FY251">
            <v>4925</v>
          </cell>
          <cell r="GB251">
            <v>2358</v>
          </cell>
          <cell r="GC251">
            <v>2412</v>
          </cell>
          <cell r="GD251">
            <v>2384.7396820310178</v>
          </cell>
          <cell r="GE251">
            <v>5171.5696157919501</v>
          </cell>
        </row>
        <row r="252">
          <cell r="A252" t="str">
            <v>Operating Income</v>
          </cell>
          <cell r="N252">
            <v>663</v>
          </cell>
          <cell r="O252">
            <v>893</v>
          </cell>
          <cell r="P252">
            <v>1341</v>
          </cell>
          <cell r="Q252">
            <v>1455</v>
          </cell>
          <cell r="R252">
            <v>1693</v>
          </cell>
          <cell r="S252">
            <v>1771</v>
          </cell>
          <cell r="T252">
            <v>1376</v>
          </cell>
          <cell r="U252">
            <v>1411</v>
          </cell>
          <cell r="V252">
            <v>1400</v>
          </cell>
          <cell r="W252">
            <v>1499</v>
          </cell>
          <cell r="X252">
            <v>2138</v>
          </cell>
          <cell r="Y252">
            <v>2273</v>
          </cell>
          <cell r="Z252">
            <v>2006.1943683158097</v>
          </cell>
          <cell r="AA252">
            <v>1425</v>
          </cell>
          <cell r="AB252">
            <v>1463</v>
          </cell>
          <cell r="AC252">
            <v>1919</v>
          </cell>
          <cell r="AD252">
            <v>2386</v>
          </cell>
          <cell r="AE252">
            <v>2548.7174594129283</v>
          </cell>
          <cell r="AF252">
            <v>2382.3369339216879</v>
          </cell>
          <cell r="AG252">
            <v>2498.1086124490248</v>
          </cell>
          <cell r="AH252">
            <v>2523.9914579697488</v>
          </cell>
          <cell r="AI252">
            <v>2520.715238607032</v>
          </cell>
          <cell r="AJ252">
            <v>2574.7236862749414</v>
          </cell>
          <cell r="AK252">
            <v>2629.5602313723502</v>
          </cell>
          <cell r="AL252">
            <v>2685.2360350030795</v>
          </cell>
          <cell r="AN252" t="str">
            <v>Month 3</v>
          </cell>
          <cell r="EL252" t="str">
            <v>Month 3</v>
          </cell>
          <cell r="ER252">
            <v>1878</v>
          </cell>
          <cell r="ES252">
            <v>1608</v>
          </cell>
          <cell r="ET252">
            <v>1863</v>
          </cell>
          <cell r="EU252">
            <v>1780</v>
          </cell>
          <cell r="EX252">
            <v>1837</v>
          </cell>
          <cell r="EY252">
            <v>1602</v>
          </cell>
          <cell r="EZ252">
            <v>1849</v>
          </cell>
          <cell r="FA252">
            <v>1273</v>
          </cell>
          <cell r="FD252">
            <v>1868</v>
          </cell>
          <cell r="FE252">
            <v>1543</v>
          </cell>
          <cell r="FF252">
            <v>1714</v>
          </cell>
          <cell r="FG252">
            <v>1213</v>
          </cell>
          <cell r="FJ252">
            <v>1720.603445275796</v>
          </cell>
          <cell r="FK252">
            <v>1409.6518013291361</v>
          </cell>
          <cell r="FL252">
            <v>1725.6996176952484</v>
          </cell>
          <cell r="FM252">
            <v>1268.4539954625661</v>
          </cell>
          <cell r="FP252">
            <v>1739</v>
          </cell>
          <cell r="FQ252">
            <v>1528</v>
          </cell>
          <cell r="FR252">
            <v>1806</v>
          </cell>
          <cell r="FS252">
            <v>1310</v>
          </cell>
          <cell r="FV252">
            <v>1920</v>
          </cell>
          <cell r="FW252">
            <v>1612</v>
          </cell>
          <cell r="FX252">
            <v>1842</v>
          </cell>
          <cell r="FY252">
            <v>1336</v>
          </cell>
          <cell r="GB252">
            <v>1928</v>
          </cell>
          <cell r="GC252">
            <v>1693</v>
          </cell>
          <cell r="GD252">
            <v>1954.7377926421409</v>
          </cell>
          <cell r="GE252">
            <v>1786.9703975101447</v>
          </cell>
        </row>
        <row r="253">
          <cell r="A253" t="str">
            <v>Operating Margin</v>
          </cell>
          <cell r="N253">
            <v>4.5367455864239771E-2</v>
          </cell>
          <cell r="O253">
            <v>6.0203600080900692E-2</v>
          </cell>
          <cell r="P253">
            <v>8.8107752956636004E-2</v>
          </cell>
          <cell r="Q253">
            <v>9.4695737064757562E-2</v>
          </cell>
          <cell r="R253">
            <v>0.10562106182544138</v>
          </cell>
          <cell r="S253">
            <v>0.10644308210121409</v>
          </cell>
          <cell r="T253">
            <v>8.7171365220145708E-2</v>
          </cell>
          <cell r="U253">
            <v>9.0617172949714206E-2</v>
          </cell>
          <cell r="V253">
            <v>9.0838307812094468E-2</v>
          </cell>
          <cell r="W253">
            <v>9.5017748478701827E-2</v>
          </cell>
          <cell r="X253">
            <v>9.5489057615006701E-2</v>
          </cell>
          <cell r="Y253">
            <v>8.4278828327771602E-2</v>
          </cell>
          <cell r="Z253">
            <v>7.6243467803587955E-2</v>
          </cell>
          <cell r="AA253">
            <v>5.7247308372167766E-2</v>
          </cell>
          <cell r="AB253">
            <v>6.1203145917001336E-2</v>
          </cell>
          <cell r="AC253">
            <v>7.6750789905211378E-2</v>
          </cell>
          <cell r="AD253">
            <v>9.0361673925392919E-2</v>
          </cell>
          <cell r="AE253">
            <v>9.2896107400015596E-2</v>
          </cell>
          <cell r="AF253">
            <v>8.6896107400015535E-2</v>
          </cell>
          <cell r="AG253">
            <v>8.9396107400015537E-2</v>
          </cell>
          <cell r="AH253">
            <v>8.9396107400015551E-2</v>
          </cell>
          <cell r="AI253">
            <v>8.8396107400015606E-2</v>
          </cell>
          <cell r="AJ253">
            <v>8.9396107400015565E-2</v>
          </cell>
          <cell r="AK253">
            <v>9.0396107400015593E-2</v>
          </cell>
          <cell r="AL253">
            <v>9.1396107400015622E-2</v>
          </cell>
          <cell r="AN253" t="str">
            <v>Total</v>
          </cell>
          <cell r="EL253" t="str">
            <v>Total</v>
          </cell>
          <cell r="ER253">
            <v>5930</v>
          </cell>
          <cell r="ES253">
            <v>5995</v>
          </cell>
          <cell r="ET253">
            <v>5886</v>
          </cell>
          <cell r="EU253">
            <v>9159</v>
          </cell>
          <cell r="EV253">
            <v>26970</v>
          </cell>
          <cell r="EX253">
            <v>5921</v>
          </cell>
          <cell r="EY253">
            <v>5892</v>
          </cell>
          <cell r="EZ253">
            <v>5906</v>
          </cell>
          <cell r="FA253">
            <v>8594</v>
          </cell>
          <cell r="FB253">
            <v>26313</v>
          </cell>
          <cell r="FD253">
            <v>5747</v>
          </cell>
          <cell r="FE253">
            <v>5718</v>
          </cell>
          <cell r="FF253">
            <v>5493</v>
          </cell>
          <cell r="FG253">
            <v>7934</v>
          </cell>
          <cell r="FH253">
            <v>24892</v>
          </cell>
          <cell r="FJ253">
            <v>5288</v>
          </cell>
          <cell r="FK253">
            <v>5285</v>
          </cell>
          <cell r="FL253">
            <v>5385</v>
          </cell>
          <cell r="FM253">
            <v>7946</v>
          </cell>
          <cell r="FN253">
            <v>23904</v>
          </cell>
          <cell r="FP253">
            <v>5574</v>
          </cell>
          <cell r="FQ253">
            <v>5537</v>
          </cell>
          <cell r="FR253">
            <v>5623</v>
          </cell>
          <cell r="FS253">
            <v>8269</v>
          </cell>
          <cell r="FT253">
            <v>25003</v>
          </cell>
          <cell r="FV253">
            <v>5889</v>
          </cell>
          <cell r="FW253">
            <v>5939</v>
          </cell>
          <cell r="FX253">
            <v>5853</v>
          </cell>
          <cell r="FY253">
            <v>8724</v>
          </cell>
          <cell r="FZ253">
            <v>26405</v>
          </cell>
          <cell r="GB253">
            <v>6143</v>
          </cell>
          <cell r="GC253">
            <v>6118</v>
          </cell>
          <cell r="GD253">
            <v>6151.4774746731582</v>
          </cell>
          <cell r="GE253">
            <v>9546.9499834395901</v>
          </cell>
          <cell r="GF253">
            <v>27959.427458112747</v>
          </cell>
        </row>
        <row r="254">
          <cell r="A254" t="str">
            <v>Y/Y ∆ Operating Margin (bps)</v>
          </cell>
          <cell r="O254">
            <v>148.36144216660921</v>
          </cell>
          <cell r="P254">
            <v>279.04152875735315</v>
          </cell>
          <cell r="Q254">
            <v>65.879841081215588</v>
          </cell>
          <cell r="R254">
            <v>109.25324760683822</v>
          </cell>
          <cell r="S254">
            <v>8.22020275772703</v>
          </cell>
          <cell r="T254">
            <v>-192.7171688106838</v>
          </cell>
          <cell r="U254">
            <v>34.45807729568498</v>
          </cell>
          <cell r="V254">
            <v>2.2113486238026225</v>
          </cell>
          <cell r="W254">
            <v>41.794406666073591</v>
          </cell>
          <cell r="X254">
            <v>4.7130913630487328</v>
          </cell>
          <cell r="Y254">
            <v>-112.10229287235099</v>
          </cell>
          <cell r="Z254">
            <v>-80.353605241836462</v>
          </cell>
          <cell r="AA254">
            <v>-189.9615943142019</v>
          </cell>
          <cell r="AB254">
            <v>39.55837544833571</v>
          </cell>
          <cell r="AC254">
            <v>155.47643988210041</v>
          </cell>
          <cell r="AD254">
            <v>136.10884020181541</v>
          </cell>
          <cell r="AE254">
            <v>25.344334746226771</v>
          </cell>
          <cell r="AF254">
            <v>-60.000000000000611</v>
          </cell>
          <cell r="AG254">
            <v>25.000000000000021</v>
          </cell>
          <cell r="AH254">
            <v>1.3877787807814457E-13</v>
          </cell>
          <cell r="AI254">
            <v>-9.9999999999994529</v>
          </cell>
          <cell r="AJ254">
            <v>9.9999999999995932</v>
          </cell>
          <cell r="AK254">
            <v>10.000000000000286</v>
          </cell>
          <cell r="AL254">
            <v>10.000000000000286</v>
          </cell>
        </row>
        <row r="255">
          <cell r="AN255" t="str">
            <v xml:space="preserve">Consolidated Monthly Comps </v>
          </cell>
          <cell r="EL255" t="str">
            <v xml:space="preserve">Consolidated Monthly Comps </v>
          </cell>
        </row>
        <row r="256">
          <cell r="A256" t="str">
            <v>Assumptions Spreads</v>
          </cell>
          <cell r="N256">
            <v>1995</v>
          </cell>
          <cell r="O256">
            <v>1996</v>
          </cell>
          <cell r="P256">
            <v>1997</v>
          </cell>
          <cell r="Q256">
            <v>1998</v>
          </cell>
          <cell r="R256">
            <v>1999</v>
          </cell>
          <cell r="S256">
            <v>2000</v>
          </cell>
          <cell r="T256">
            <v>2001</v>
          </cell>
          <cell r="U256">
            <v>2002</v>
          </cell>
          <cell r="V256">
            <v>2003</v>
          </cell>
          <cell r="W256">
            <v>2004</v>
          </cell>
          <cell r="X256">
            <v>2005</v>
          </cell>
          <cell r="Y256">
            <v>2006</v>
          </cell>
          <cell r="Z256">
            <v>2007</v>
          </cell>
          <cell r="AA256">
            <v>2008</v>
          </cell>
          <cell r="AB256">
            <v>2009</v>
          </cell>
          <cell r="AC256">
            <v>2010</v>
          </cell>
          <cell r="AD256">
            <v>2011</v>
          </cell>
          <cell r="AE256" t="str">
            <v>2012E</v>
          </cell>
          <cell r="AF256" t="str">
            <v>2013E</v>
          </cell>
          <cell r="AG256" t="str">
            <v>2014E</v>
          </cell>
          <cell r="AH256" t="str">
            <v>2015E</v>
          </cell>
          <cell r="AI256" t="str">
            <v>2016E</v>
          </cell>
          <cell r="AJ256" t="str">
            <v>2017E</v>
          </cell>
          <cell r="AK256" t="str">
            <v>2018E</v>
          </cell>
          <cell r="AL256" t="str">
            <v>2019E</v>
          </cell>
          <cell r="AN256" t="str">
            <v>Month 1</v>
          </cell>
          <cell r="EL256" t="str">
            <v>Month 1</v>
          </cell>
          <cell r="ER256">
            <v>0.01</v>
          </cell>
          <cell r="ES256">
            <v>9.1999999999999998E-2</v>
          </cell>
          <cell r="ET256">
            <v>3.7999999999999999E-2</v>
          </cell>
          <cell r="EU256">
            <v>8.5000000000000006E-2</v>
          </cell>
          <cell r="EX256">
            <v>1.2E-2</v>
          </cell>
          <cell r="EY256">
            <v>-3.3000000000000002E-2</v>
          </cell>
          <cell r="EZ256">
            <v>2.4E-2</v>
          </cell>
          <cell r="FA256">
            <v>0.13400000000000001</v>
          </cell>
          <cell r="FD256">
            <v>-3.5000000000000003E-2</v>
          </cell>
          <cell r="FE256">
            <v>-1.4999999999999999E-2</v>
          </cell>
          <cell r="FF256">
            <v>-4.8000000000000001E-2</v>
          </cell>
          <cell r="FG256">
            <v>-0.13300000000000001</v>
          </cell>
          <cell r="FJ256">
            <v>-8.5000000000000006E-2</v>
          </cell>
          <cell r="FK256">
            <v>-9.0999999999999998E-2</v>
          </cell>
          <cell r="FL256">
            <v>-8.1000000000000003E-2</v>
          </cell>
          <cell r="FM256">
            <v>-6.0999999999999999E-2</v>
          </cell>
          <cell r="FP256">
            <v>3.6999999999999998E-2</v>
          </cell>
          <cell r="FQ256">
            <v>1.4E-2</v>
          </cell>
          <cell r="FR256">
            <v>4.2999999999999997E-2</v>
          </cell>
          <cell r="FS256">
            <v>6.0999999999999999E-2</v>
          </cell>
          <cell r="FV256">
            <v>5.8000000000000003E-2</v>
          </cell>
          <cell r="FW256">
            <v>7.3999999999999996E-2</v>
          </cell>
          <cell r="FX256">
            <v>0.05</v>
          </cell>
          <cell r="FY256">
            <v>4.8000000000000001E-2</v>
          </cell>
          <cell r="GB256">
            <v>4.5999999999999999E-2</v>
          </cell>
          <cell r="GC256">
            <v>4.2000000000000003E-2</v>
          </cell>
          <cell r="GD256">
            <v>5.0999999999999997E-2</v>
          </cell>
          <cell r="GE256">
            <v>0.06</v>
          </cell>
        </row>
        <row r="257">
          <cell r="A257" t="str">
            <v>Bull Case Assumptions</v>
          </cell>
          <cell r="AN257" t="str">
            <v>Month 2</v>
          </cell>
          <cell r="EL257" t="str">
            <v>Month 2</v>
          </cell>
          <cell r="ER257">
            <v>0</v>
          </cell>
          <cell r="ES257">
            <v>1.7000000000000001E-2</v>
          </cell>
          <cell r="ET257">
            <v>6.5000000000000002E-2</v>
          </cell>
          <cell r="EU257">
            <v>4.3999999999999997E-2</v>
          </cell>
          <cell r="EX257">
            <v>2.3E-2</v>
          </cell>
          <cell r="EY257">
            <v>-2.7E-2</v>
          </cell>
          <cell r="EZ257">
            <v>-2.7E-2</v>
          </cell>
          <cell r="FA257">
            <v>-7.9000000000000001E-2</v>
          </cell>
          <cell r="FD257">
            <v>-6.2E-2</v>
          </cell>
          <cell r="FE257">
            <v>-2.1000000000000001E-2</v>
          </cell>
          <cell r="FF257">
            <v>-6.6000000000000003E-2</v>
          </cell>
          <cell r="FG257">
            <v>-0.04</v>
          </cell>
          <cell r="FJ257">
            <v>-9.1999999999999998E-2</v>
          </cell>
          <cell r="FK257">
            <v>-8.8999999999999996E-2</v>
          </cell>
          <cell r="FL257">
            <v>-2.3E-2</v>
          </cell>
          <cell r="FM257">
            <v>0.01</v>
          </cell>
          <cell r="FP257">
            <v>0.10800000000000001</v>
          </cell>
          <cell r="FQ257">
            <v>6.5000000000000002E-2</v>
          </cell>
          <cell r="FR257">
            <v>4.8000000000000001E-2</v>
          </cell>
          <cell r="FS257">
            <v>3.9E-2</v>
          </cell>
          <cell r="FV257">
            <v>8.9999999999999993E-3</v>
          </cell>
          <cell r="FW257">
            <v>6.7000000000000004E-2</v>
          </cell>
          <cell r="FX257">
            <v>4.9000000000000002E-2</v>
          </cell>
          <cell r="FY257">
            <v>6.2E-2</v>
          </cell>
          <cell r="GB257">
            <v>7.2999999999999995E-2</v>
          </cell>
          <cell r="GC257">
            <v>1.2E-2</v>
          </cell>
          <cell r="GD257">
            <v>0.05</v>
          </cell>
          <cell r="GE257">
            <v>0.06</v>
          </cell>
        </row>
        <row r="258">
          <cell r="A258" t="str">
            <v>Same Store</v>
          </cell>
          <cell r="AF258">
            <v>0.04</v>
          </cell>
          <cell r="AN258" t="str">
            <v>Month 3</v>
          </cell>
          <cell r="EL258" t="str">
            <v>Month 3</v>
          </cell>
          <cell r="ER258">
            <v>-8.0000000000000002E-3</v>
          </cell>
          <cell r="ES258">
            <v>3.3000000000000002E-2</v>
          </cell>
          <cell r="ET258">
            <v>7.6999999999999999E-2</v>
          </cell>
          <cell r="EU258">
            <v>8.5999999999999993E-2</v>
          </cell>
          <cell r="EX258">
            <v>-2.1999999999999999E-2</v>
          </cell>
          <cell r="EY258">
            <v>-1.4E-2</v>
          </cell>
          <cell r="EZ258">
            <v>-1.4999999999999999E-2</v>
          </cell>
          <cell r="FA258">
            <v>-7.0999999999999994E-2</v>
          </cell>
          <cell r="FD258">
            <v>0.03</v>
          </cell>
          <cell r="FE258">
            <v>-2.9000000000000001E-2</v>
          </cell>
          <cell r="FF258">
            <v>-6.3E-2</v>
          </cell>
          <cell r="FG258">
            <v>-4.4999999999999998E-2</v>
          </cell>
          <cell r="FJ258">
            <v>-9.0999999999999998E-2</v>
          </cell>
          <cell r="FK258">
            <v>-0.107</v>
          </cell>
          <cell r="FL258">
            <v>-8.0000000000000002E-3</v>
          </cell>
          <cell r="FM258">
            <v>3.4000000000000002E-2</v>
          </cell>
          <cell r="FP258">
            <v>1.0999999999999999E-2</v>
          </cell>
          <cell r="FQ258">
            <v>7.2999999999999995E-2</v>
          </cell>
          <cell r="FR258">
            <v>2.5000000000000001E-2</v>
          </cell>
          <cell r="FS258">
            <v>2.5999999999999999E-2</v>
          </cell>
          <cell r="FV258">
            <v>0.108</v>
          </cell>
          <cell r="FW258">
            <v>0.05</v>
          </cell>
          <cell r="FX258">
            <v>2.1999999999999999E-2</v>
          </cell>
          <cell r="FY258">
            <v>2.4E-2</v>
          </cell>
          <cell r="GB258">
            <v>1.2E-2</v>
          </cell>
          <cell r="GC258">
            <v>4.1000000000000002E-2</v>
          </cell>
          <cell r="GD258">
            <v>7.4999999999999997E-2</v>
          </cell>
          <cell r="GE258">
            <v>7.0000000000000007E-2</v>
          </cell>
        </row>
        <row r="259">
          <cell r="A259" t="str">
            <v>Y/Y ∆ Gross Margin (bps)</v>
          </cell>
          <cell r="AF259">
            <v>50</v>
          </cell>
          <cell r="AN259" t="str">
            <v>Total</v>
          </cell>
          <cell r="EL259" t="str">
            <v>Total</v>
          </cell>
          <cell r="ER259">
            <v>0</v>
          </cell>
          <cell r="ES259">
            <v>4.5999999999999999E-2</v>
          </cell>
          <cell r="ET259">
            <v>5.8999999999999997E-2</v>
          </cell>
          <cell r="EU259">
            <v>6.0999999999999999E-2</v>
          </cell>
          <cell r="EV259">
            <v>4.3999999999999997E-2</v>
          </cell>
          <cell r="EX259">
            <v>6.0000000000000001E-3</v>
          </cell>
          <cell r="EY259">
            <v>-2.5999999999999999E-2</v>
          </cell>
          <cell r="EZ259">
            <v>-8.0000000000000002E-3</v>
          </cell>
          <cell r="FA259">
            <v>-0.02</v>
          </cell>
          <cell r="FB259">
            <v>-1.2999999999999999E-2</v>
          </cell>
          <cell r="FD259">
            <v>-2.5999999999999999E-2</v>
          </cell>
          <cell r="FE259">
            <v>-2.1000000000000001E-2</v>
          </cell>
          <cell r="FF259">
            <v>-0.06</v>
          </cell>
          <cell r="FG259">
            <v>-7.0000000000000007E-2</v>
          </cell>
          <cell r="FH259">
            <v>-4.4999999999999998E-2</v>
          </cell>
          <cell r="FJ259">
            <v>-0.09</v>
          </cell>
          <cell r="FK259">
            <v>-9.5000000000000001E-2</v>
          </cell>
          <cell r="FL259">
            <v>-3.5999999999999997E-2</v>
          </cell>
          <cell r="FM259">
            <v>-5.8512769677805648E-3</v>
          </cell>
          <cell r="FN259">
            <v>-5.0968425652024113E-2</v>
          </cell>
          <cell r="FP259">
            <v>5.5E-2</v>
          </cell>
          <cell r="FQ259">
            <v>4.9000000000000002E-2</v>
          </cell>
          <cell r="FR259">
            <v>3.9E-2</v>
          </cell>
          <cell r="FS259">
            <v>4.2999999999999997E-2</v>
          </cell>
          <cell r="FT259">
            <v>4.610434747830261E-2</v>
          </cell>
          <cell r="FV259">
            <v>5.3999999999999999E-2</v>
          </cell>
          <cell r="FW259">
            <v>6.4000000000000001E-2</v>
          </cell>
          <cell r="FX259">
            <v>0.04</v>
          </cell>
          <cell r="FY259">
            <v>5.1999999999999998E-2</v>
          </cell>
          <cell r="FZ259">
            <v>5.2999999999999999E-2</v>
          </cell>
          <cell r="GB259">
            <v>4.3999999999999997E-2</v>
          </cell>
          <cell r="GC259">
            <v>0.03</v>
          </cell>
          <cell r="GD259">
            <v>5.8238743460366213E-2</v>
          </cell>
          <cell r="GE259">
            <v>6.1871770985089329E-2</v>
          </cell>
          <cell r="GF259">
            <v>5.0171736300135057E-2</v>
          </cell>
        </row>
        <row r="260">
          <cell r="A260" t="str">
            <v>Y/Y ∆ SG&amp;A Ratio (bps)</v>
          </cell>
          <cell r="AF260">
            <v>-35</v>
          </cell>
        </row>
        <row r="261">
          <cell r="A261" t="str">
            <v>Bear Case Assumptions</v>
          </cell>
          <cell r="AN261" t="str">
            <v xml:space="preserve">Consolidated Productivity Factor </v>
          </cell>
          <cell r="EL261" t="str">
            <v xml:space="preserve">Consolidated Productivity Factor </v>
          </cell>
        </row>
        <row r="262">
          <cell r="A262" t="str">
            <v>Same Store</v>
          </cell>
          <cell r="AF262">
            <v>-2.5000000000000001E-2</v>
          </cell>
          <cell r="AN262" t="str">
            <v>Month 1</v>
          </cell>
          <cell r="EL262" t="str">
            <v>Month 1</v>
          </cell>
          <cell r="ER262">
            <v>0.85379589916801657</v>
          </cell>
          <cell r="ES262">
            <v>0.82852877251430668</v>
          </cell>
          <cell r="ET262">
            <v>0.83475030563790842</v>
          </cell>
          <cell r="EU262">
            <v>0.91480422703367681</v>
          </cell>
          <cell r="EX262">
            <v>1.0042251017232908</v>
          </cell>
          <cell r="EY262">
            <v>1.0108075527611304</v>
          </cell>
          <cell r="EZ262">
            <v>1.0032705612197608</v>
          </cell>
          <cell r="FA262">
            <v>0.99617129302855612</v>
          </cell>
          <cell r="FD262">
            <v>1.0047260256693704</v>
          </cell>
          <cell r="FE262">
            <v>1.0011731147187122</v>
          </cell>
          <cell r="FF262">
            <v>1.0015681684828099</v>
          </cell>
          <cell r="FG262">
            <v>0.9980273685296247</v>
          </cell>
          <cell r="FJ262">
            <v>1.0146680194879518</v>
          </cell>
          <cell r="FK262">
            <v>1.0229325701507319</v>
          </cell>
          <cell r="FL262">
            <v>1.0237530410429481</v>
          </cell>
          <cell r="FM262">
            <v>1.0168796021749338</v>
          </cell>
          <cell r="FP262">
            <v>1.0016060228776302</v>
          </cell>
          <cell r="FQ262">
            <v>0.98881215735067063</v>
          </cell>
          <cell r="FR262">
            <v>1.0007452413933455</v>
          </cell>
          <cell r="FS262">
            <v>1.0028115913956974</v>
          </cell>
          <cell r="FV262">
            <v>1.0005096291516782</v>
          </cell>
          <cell r="FW262">
            <v>1.0081721608307339</v>
          </cell>
          <cell r="FX262">
            <v>0.99435769750356207</v>
          </cell>
          <cell r="FY262">
            <v>1.0114048185081832</v>
          </cell>
          <cell r="GB262">
            <v>1.0253009585429893</v>
          </cell>
          <cell r="GC262">
            <v>1.0133052611979987</v>
          </cell>
          <cell r="GD262">
            <v>1.018088666893139</v>
          </cell>
          <cell r="GE262">
            <v>1</v>
          </cell>
        </row>
        <row r="263">
          <cell r="A263" t="str">
            <v>Y/Y ∆ Gross Margin (bps)</v>
          </cell>
          <cell r="AF263">
            <v>-40</v>
          </cell>
          <cell r="AN263" t="str">
            <v>Month 2</v>
          </cell>
          <cell r="EL263" t="str">
            <v>Month 2</v>
          </cell>
          <cell r="ER263">
            <v>0.87143545576033965</v>
          </cell>
          <cell r="ES263">
            <v>0.86259214604526391</v>
          </cell>
          <cell r="ET263">
            <v>0.95476655228407081</v>
          </cell>
          <cell r="EU263">
            <v>0.95390310394604827</v>
          </cell>
          <cell r="EX263">
            <v>0.99756383077735888</v>
          </cell>
          <cell r="EY263">
            <v>1.0076309712339664</v>
          </cell>
          <cell r="EZ263">
            <v>1.0058439901456568</v>
          </cell>
          <cell r="FA263">
            <v>1.0104925603418453</v>
          </cell>
          <cell r="FD263">
            <v>1.0038919718017412</v>
          </cell>
          <cell r="FE263">
            <v>1.0002262623646179</v>
          </cell>
          <cell r="FF263">
            <v>1.0022779610885877</v>
          </cell>
          <cell r="FG263">
            <v>0.98797059201406712</v>
          </cell>
          <cell r="FJ263">
            <v>1.0172356632303496</v>
          </cell>
          <cell r="FK263">
            <v>1.0266388149144143</v>
          </cell>
          <cell r="FL263">
            <v>1.0185440088098592</v>
          </cell>
          <cell r="FM263">
            <v>1.0150644106268683</v>
          </cell>
          <cell r="FP263">
            <v>0.9967530496300272</v>
          </cell>
          <cell r="FQ263">
            <v>0.99989171377441255</v>
          </cell>
          <cell r="FR263">
            <v>1.0028971230689774</v>
          </cell>
          <cell r="FS263">
            <v>0.9946391314592461</v>
          </cell>
          <cell r="FV263">
            <v>1.0074992903911262</v>
          </cell>
          <cell r="FW263">
            <v>1.0057878604073234</v>
          </cell>
          <cell r="FX263">
            <v>1.0057401642886414</v>
          </cell>
          <cell r="FY263">
            <v>1.0118477756232767</v>
          </cell>
          <cell r="GB263">
            <v>1.0102541230632647</v>
          </cell>
          <cell r="GC263">
            <v>1.011143062170935</v>
          </cell>
          <cell r="GD263">
            <v>1</v>
          </cell>
          <cell r="GE263">
            <v>1</v>
          </cell>
        </row>
        <row r="264">
          <cell r="A264" t="str">
            <v>Y/Y ∆ SG&amp;A Ratio (bps)</v>
          </cell>
          <cell r="AF264">
            <v>35</v>
          </cell>
          <cell r="AN264" t="str">
            <v>Month 3</v>
          </cell>
          <cell r="EL264" t="str">
            <v>Month 3</v>
          </cell>
          <cell r="ER264">
            <v>0.85509041472763314</v>
          </cell>
          <cell r="ES264">
            <v>0.83302342705472399</v>
          </cell>
          <cell r="ET264">
            <v>0.9300581404093593</v>
          </cell>
          <cell r="EU264">
            <v>0.88885616548937241</v>
          </cell>
          <cell r="EX264">
            <v>1.0012993536198342</v>
          </cell>
          <cell r="EY264">
            <v>1.0067406823426219</v>
          </cell>
          <cell r="EZ264">
            <v>1.0010354929971583</v>
          </cell>
          <cell r="FA264">
            <v>0.77697496531497701</v>
          </cell>
          <cell r="FD264">
            <v>0.99998610863561077</v>
          </cell>
          <cell r="FE264">
            <v>1.0000776716315167</v>
          </cell>
          <cell r="FF264">
            <v>1.0026881239876493</v>
          </cell>
          <cell r="FG264">
            <v>1.0034001517037674</v>
          </cell>
          <cell r="FJ264">
            <v>1.017274065207098</v>
          </cell>
          <cell r="FK264">
            <v>1.0307481774152398</v>
          </cell>
          <cell r="FL264">
            <v>1.0154616377110075</v>
          </cell>
          <cell r="FM264">
            <v>1.009307170702717</v>
          </cell>
          <cell r="FP264">
            <v>1.0005893323256754</v>
          </cell>
          <cell r="FQ264">
            <v>1.0111137394005785</v>
          </cell>
          <cell r="FR264">
            <v>1.0254628236300125</v>
          </cell>
          <cell r="FS264">
            <v>1.00775043725629</v>
          </cell>
          <cell r="FV264">
            <v>0.99618702023241001</v>
          </cell>
          <cell r="FW264">
            <v>1.0047825549823146</v>
          </cell>
          <cell r="FX264">
            <v>1.0004489851343907</v>
          </cell>
          <cell r="FY264">
            <v>1.008520012530175</v>
          </cell>
          <cell r="GB264">
            <v>1.0062765433093959</v>
          </cell>
          <cell r="GC264">
            <v>1.0227639737625074</v>
          </cell>
          <cell r="GD264">
            <v>1</v>
          </cell>
          <cell r="GE264">
            <v>1</v>
          </cell>
        </row>
        <row r="265">
          <cell r="AN265" t="str">
            <v>Total</v>
          </cell>
          <cell r="EL265" t="str">
            <v>Total</v>
          </cell>
        </row>
        <row r="267">
          <cell r="AN267" t="str">
            <v>Cost of Goods Sold</v>
          </cell>
          <cell r="EL267" t="str">
            <v>Cost of Goods Sold</v>
          </cell>
          <cell r="ER267">
            <v>3627</v>
          </cell>
          <cell r="ES267">
            <v>3470</v>
          </cell>
          <cell r="ET267">
            <v>3513</v>
          </cell>
          <cell r="EU267">
            <v>5409</v>
          </cell>
          <cell r="EV267">
            <v>16019</v>
          </cell>
          <cell r="EX267">
            <v>3564</v>
          </cell>
          <cell r="EY267">
            <v>3507</v>
          </cell>
          <cell r="EZ267">
            <v>3585</v>
          </cell>
          <cell r="FA267">
            <v>5021</v>
          </cell>
          <cell r="FB267">
            <v>15677</v>
          </cell>
          <cell r="FD267">
            <v>3527</v>
          </cell>
          <cell r="FE267">
            <v>3346</v>
          </cell>
          <cell r="FF267">
            <v>3324</v>
          </cell>
          <cell r="FG267">
            <v>4812</v>
          </cell>
          <cell r="FH267">
            <v>15009</v>
          </cell>
          <cell r="FJ267">
            <v>3279</v>
          </cell>
          <cell r="FK267">
            <v>3117</v>
          </cell>
          <cell r="FL267">
            <v>3241</v>
          </cell>
          <cell r="FM267">
            <v>4650</v>
          </cell>
          <cell r="FN267">
            <v>14287</v>
          </cell>
          <cell r="FP267">
            <v>3378</v>
          </cell>
          <cell r="FQ267">
            <v>3214</v>
          </cell>
          <cell r="FR267">
            <v>3377</v>
          </cell>
          <cell r="FS267">
            <v>4855</v>
          </cell>
          <cell r="FT267">
            <v>14824</v>
          </cell>
          <cell r="FV267">
            <v>3586</v>
          </cell>
          <cell r="FW267">
            <v>3457</v>
          </cell>
          <cell r="FX267">
            <v>3544</v>
          </cell>
          <cell r="FY267">
            <v>5151</v>
          </cell>
          <cell r="FZ267">
            <v>15738</v>
          </cell>
          <cell r="GB267">
            <v>3757</v>
          </cell>
          <cell r="GC267">
            <v>3555</v>
          </cell>
          <cell r="GD267">
            <v>3693.9711570041623</v>
          </cell>
          <cell r="GE267">
            <v>5567.0878306241739</v>
          </cell>
          <cell r="GF267">
            <v>16573.058987628334</v>
          </cell>
        </row>
        <row r="268">
          <cell r="AN268" t="str">
            <v>CGS, OCC, Buying Costs %</v>
          </cell>
          <cell r="EL268" t="str">
            <v>CGS, OCC, Buying Costs %</v>
          </cell>
          <cell r="ER268">
            <v>0.61163575042158513</v>
          </cell>
          <cell r="ES268">
            <v>0.57881567973311088</v>
          </cell>
          <cell r="ET268">
            <v>0.59683995922528033</v>
          </cell>
          <cell r="EU268">
            <v>0.59056665574844414</v>
          </cell>
          <cell r="EV268">
            <v>0.59395624768261035</v>
          </cell>
          <cell r="EX268">
            <v>0.60192535044755957</v>
          </cell>
          <cell r="EY268">
            <v>0.59521384928716903</v>
          </cell>
          <cell r="EZ268">
            <v>0.60700982052150354</v>
          </cell>
          <cell r="FA268">
            <v>0.58424482196881544</v>
          </cell>
          <cell r="FB268">
            <v>0.59578915365028695</v>
          </cell>
          <cell r="FD268">
            <v>0.61371150165303634</v>
          </cell>
          <cell r="FE268">
            <v>0.5851696397341728</v>
          </cell>
          <cell r="FF268">
            <v>0.60513380666302563</v>
          </cell>
          <cell r="FG268">
            <v>0.60650365515502902</v>
          </cell>
          <cell r="FH268">
            <v>0.60296480797043228</v>
          </cell>
          <cell r="FJ268">
            <v>0.62008320726172461</v>
          </cell>
          <cell r="FK268">
            <v>0.58978240302743612</v>
          </cell>
          <cell r="FL268">
            <v>0.6018570102135562</v>
          </cell>
          <cell r="FM268">
            <v>0.58520010067958717</v>
          </cell>
          <cell r="FN268">
            <v>0.59768239625167341</v>
          </cell>
          <cell r="FP268">
            <v>0.60602798708288486</v>
          </cell>
          <cell r="FQ268">
            <v>0.58045873216543253</v>
          </cell>
          <cell r="FR268">
            <v>0.60056909123243818</v>
          </cell>
          <cell r="FS268">
            <v>0.58713266416737209</v>
          </cell>
          <cell r="FT268">
            <v>0.59288885333759944</v>
          </cell>
          <cell r="FV268">
            <v>0.60893190694515198</v>
          </cell>
          <cell r="FW268">
            <v>0.58208452601448057</v>
          </cell>
          <cell r="FX268">
            <v>0.60550145224671104</v>
          </cell>
          <cell r="FY268">
            <v>0.59044016506189823</v>
          </cell>
          <cell r="FZ268">
            <v>0.59602348040143915</v>
          </cell>
          <cell r="GB268">
            <v>0.61159042812957842</v>
          </cell>
          <cell r="GC268">
            <v>0.58107224583197126</v>
          </cell>
          <cell r="GD268">
            <v>0.60050145224671103</v>
          </cell>
          <cell r="GE268">
            <v>0.58312736950345423</v>
          </cell>
          <cell r="GF268">
            <v>0.59275387568136595</v>
          </cell>
        </row>
        <row r="269">
          <cell r="AN269" t="str">
            <v>BPS Change</v>
          </cell>
          <cell r="EL269" t="str">
            <v>BPS Change</v>
          </cell>
          <cell r="ER269">
            <v>139.97738886292632</v>
          </cell>
          <cell r="ES269">
            <v>-79.90834205613973</v>
          </cell>
          <cell r="ET269">
            <v>6.2033726308408088</v>
          </cell>
          <cell r="EU269">
            <v>-5.9414249625333593</v>
          </cell>
          <cell r="EV269">
            <v>11.916206169559906</v>
          </cell>
          <cell r="EX269">
            <v>-97.103999740255631</v>
          </cell>
          <cell r="EY269">
            <v>163.98169554058151</v>
          </cell>
          <cell r="EZ269">
            <v>101.69861296223215</v>
          </cell>
          <cell r="FA269">
            <v>-63.218337796286939</v>
          </cell>
          <cell r="FB269">
            <v>18.329059676766015</v>
          </cell>
          <cell r="FD269">
            <v>117.86151205476769</v>
          </cell>
          <cell r="FE269">
            <v>-100.4420955299623</v>
          </cell>
          <cell r="FF269">
            <v>-18.760138584779096</v>
          </cell>
          <cell r="FG269">
            <v>222.58833186213579</v>
          </cell>
          <cell r="FH269">
            <v>71.756543201453297</v>
          </cell>
          <cell r="FJ269">
            <v>63.717056086882721</v>
          </cell>
          <cell r="FK269">
            <v>46.127632932633219</v>
          </cell>
          <cell r="FL269">
            <v>-32.767964494694326</v>
          </cell>
          <cell r="FM269">
            <v>-213.03554475441854</v>
          </cell>
          <cell r="FN269">
            <v>-52.824117187588726</v>
          </cell>
          <cell r="FP269">
            <v>-140.55220178839755</v>
          </cell>
          <cell r="FQ269">
            <v>-93.236708620035856</v>
          </cell>
          <cell r="FR269">
            <v>-12.879189811180192</v>
          </cell>
          <cell r="FS269">
            <v>19.325634877849218</v>
          </cell>
          <cell r="FT269">
            <v>-47.935429140739672</v>
          </cell>
          <cell r="FV269">
            <v>29.039198622671236</v>
          </cell>
          <cell r="FW269">
            <v>16.257938490480406</v>
          </cell>
          <cell r="FX269">
            <v>49.323610142728569</v>
          </cell>
          <cell r="FY269">
            <v>33.075008945261388</v>
          </cell>
          <cell r="FZ269">
            <v>31.346270638397122</v>
          </cell>
          <cell r="GB269">
            <v>26.585211844264435</v>
          </cell>
          <cell r="GC269">
            <v>-10.122801825093175</v>
          </cell>
          <cell r="GD269">
            <v>-50.000000000000043</v>
          </cell>
          <cell r="GE269">
            <v>-73.12795558443996</v>
          </cell>
          <cell r="GF269">
            <v>-32.696047200732046</v>
          </cell>
        </row>
        <row r="271">
          <cell r="AN271" t="str">
            <v>Gross Income</v>
          </cell>
          <cell r="EL271" t="str">
            <v>Gross Income</v>
          </cell>
          <cell r="ER271">
            <v>2303</v>
          </cell>
          <cell r="ES271">
            <v>2525</v>
          </cell>
          <cell r="ET271">
            <v>2373</v>
          </cell>
          <cell r="EU271">
            <v>3750</v>
          </cell>
          <cell r="EV271">
            <v>10951</v>
          </cell>
          <cell r="EX271">
            <v>2357</v>
          </cell>
          <cell r="EY271">
            <v>2385</v>
          </cell>
          <cell r="EZ271">
            <v>2321</v>
          </cell>
          <cell r="FA271">
            <v>3573</v>
          </cell>
          <cell r="FB271">
            <v>10636</v>
          </cell>
          <cell r="FD271">
            <v>2220</v>
          </cell>
          <cell r="FE271">
            <v>2372</v>
          </cell>
          <cell r="FF271">
            <v>2169</v>
          </cell>
          <cell r="FG271">
            <v>3122</v>
          </cell>
          <cell r="FH271">
            <v>9883</v>
          </cell>
          <cell r="FJ271">
            <v>2009</v>
          </cell>
          <cell r="FK271">
            <v>2168</v>
          </cell>
          <cell r="FL271">
            <v>2144</v>
          </cell>
          <cell r="FM271">
            <v>3296</v>
          </cell>
          <cell r="FN271">
            <v>9617</v>
          </cell>
          <cell r="FP271">
            <v>2196</v>
          </cell>
          <cell r="FQ271">
            <v>2323</v>
          </cell>
          <cell r="FR271">
            <v>2246</v>
          </cell>
          <cell r="FS271">
            <v>3414</v>
          </cell>
          <cell r="FT271">
            <v>10179</v>
          </cell>
          <cell r="FV271">
            <v>2303</v>
          </cell>
          <cell r="FW271">
            <v>2482</v>
          </cell>
          <cell r="FX271">
            <v>2309</v>
          </cell>
          <cell r="FY271">
            <v>3573</v>
          </cell>
          <cell r="FZ271">
            <v>10667</v>
          </cell>
          <cell r="GB271">
            <v>2386</v>
          </cell>
          <cell r="GC271">
            <v>2563</v>
          </cell>
          <cell r="GD271">
            <v>2457.506317668996</v>
          </cell>
          <cell r="GE271">
            <v>3979.8621528154158</v>
          </cell>
          <cell r="GF271">
            <v>11386.368470484413</v>
          </cell>
        </row>
        <row r="272">
          <cell r="AN272" t="str">
            <v>Gross Margin</v>
          </cell>
          <cell r="EL272" t="str">
            <v>Gross Margin</v>
          </cell>
          <cell r="ER272">
            <v>0.38836424957841487</v>
          </cell>
          <cell r="ES272">
            <v>0.42118432026688907</v>
          </cell>
          <cell r="ET272">
            <v>0.40316004077471967</v>
          </cell>
          <cell r="EU272">
            <v>0.40943334425155586</v>
          </cell>
          <cell r="EV272">
            <v>0.40604375231738971</v>
          </cell>
          <cell r="EX272">
            <v>0.39807464955244048</v>
          </cell>
          <cell r="EY272">
            <v>0.40478615071283097</v>
          </cell>
          <cell r="EZ272">
            <v>0.39299017947849646</v>
          </cell>
          <cell r="FA272">
            <v>0.41575517803118456</v>
          </cell>
          <cell r="FB272">
            <v>0.40421084634971305</v>
          </cell>
          <cell r="FD272">
            <v>0.38628849834696366</v>
          </cell>
          <cell r="FE272">
            <v>0.4148303602658272</v>
          </cell>
          <cell r="FF272">
            <v>0.39486619333697431</v>
          </cell>
          <cell r="FG272">
            <v>0.39349634484497104</v>
          </cell>
          <cell r="FH272">
            <v>0.39703519202956772</v>
          </cell>
          <cell r="FJ272">
            <v>0.37991679273827533</v>
          </cell>
          <cell r="FK272">
            <v>0.41021759697256388</v>
          </cell>
          <cell r="FL272">
            <v>0.3981429897864438</v>
          </cell>
          <cell r="FM272">
            <v>0.41479989932041278</v>
          </cell>
          <cell r="FN272">
            <v>0.40231760374832665</v>
          </cell>
          <cell r="FP272">
            <v>0.3939720129171152</v>
          </cell>
          <cell r="FQ272">
            <v>0.41954126783456747</v>
          </cell>
          <cell r="FR272">
            <v>0.39943090876756182</v>
          </cell>
          <cell r="FS272">
            <v>0.41286733583262791</v>
          </cell>
          <cell r="FT272">
            <v>0.4071111466624005</v>
          </cell>
          <cell r="FV272">
            <v>0.39106809305484802</v>
          </cell>
          <cell r="FW272">
            <v>0.41791547398551943</v>
          </cell>
          <cell r="FX272">
            <v>0.39449854775328891</v>
          </cell>
          <cell r="FY272">
            <v>0.40955983493810177</v>
          </cell>
          <cell r="FZ272">
            <v>0.4039765195985609</v>
          </cell>
          <cell r="GB272">
            <v>0.38840957187042163</v>
          </cell>
          <cell r="GC272">
            <v>0.41892775416802874</v>
          </cell>
          <cell r="GD272">
            <v>0.39949854775328891</v>
          </cell>
          <cell r="GE272">
            <v>0.41687263049654577</v>
          </cell>
          <cell r="GF272">
            <v>0.407246124318634</v>
          </cell>
        </row>
        <row r="273">
          <cell r="AN273" t="str">
            <v>BPS Change</v>
          </cell>
          <cell r="EL273" t="str">
            <v>BPS Change</v>
          </cell>
          <cell r="ER273">
            <v>-139.97738886292632</v>
          </cell>
          <cell r="ES273">
            <v>79.908342056138622</v>
          </cell>
          <cell r="ET273">
            <v>-6.2033726308408088</v>
          </cell>
          <cell r="EU273">
            <v>5.9414249625339144</v>
          </cell>
          <cell r="EV273">
            <v>-11.916206169559906</v>
          </cell>
          <cell r="EX273">
            <v>97.103999740256185</v>
          </cell>
          <cell r="EY273">
            <v>-163.98169554058094</v>
          </cell>
          <cell r="EZ273">
            <v>-101.69861296223215</v>
          </cell>
          <cell r="FA273">
            <v>63.218337796286939</v>
          </cell>
          <cell r="FB273">
            <v>-18.329059676766569</v>
          </cell>
          <cell r="FD273">
            <v>-117.86151205476824</v>
          </cell>
          <cell r="FE273">
            <v>100.4420955299623</v>
          </cell>
          <cell r="FF273">
            <v>18.760138584778542</v>
          </cell>
          <cell r="FG273">
            <v>-222.58833186213522</v>
          </cell>
          <cell r="FH273">
            <v>-71.756543201453297</v>
          </cell>
          <cell r="FJ273">
            <v>-63.717056086883275</v>
          </cell>
          <cell r="FK273">
            <v>-46.127632932633219</v>
          </cell>
          <cell r="FL273">
            <v>32.76796449469488</v>
          </cell>
          <cell r="FM273">
            <v>213.03554475441743</v>
          </cell>
          <cell r="FN273">
            <v>52.82411718758928</v>
          </cell>
          <cell r="FP273">
            <v>140.55220178839866</v>
          </cell>
          <cell r="FQ273">
            <v>93.236708620035856</v>
          </cell>
          <cell r="FR273">
            <v>12.879189811180192</v>
          </cell>
          <cell r="FS273">
            <v>-19.325634877848664</v>
          </cell>
          <cell r="FT273">
            <v>47.935429140738563</v>
          </cell>
          <cell r="FV273">
            <v>-29.03919862267179</v>
          </cell>
          <cell r="FW273">
            <v>-16.257938490480406</v>
          </cell>
          <cell r="FX273">
            <v>-49.323610142729123</v>
          </cell>
          <cell r="FY273">
            <v>-33.075008945261388</v>
          </cell>
          <cell r="FZ273">
            <v>-31.346270638396014</v>
          </cell>
          <cell r="GB273">
            <v>-26.585211844263878</v>
          </cell>
          <cell r="GC273">
            <v>10.122801825093175</v>
          </cell>
          <cell r="GD273">
            <v>50</v>
          </cell>
          <cell r="GE273">
            <v>73.127955584439931</v>
          </cell>
          <cell r="GF273">
            <v>32.696047200730938</v>
          </cell>
        </row>
        <row r="275">
          <cell r="AN275" t="str">
            <v>SG&amp;A</v>
          </cell>
          <cell r="EL275" t="str">
            <v>SG&amp;A</v>
          </cell>
          <cell r="ER275">
            <v>2154</v>
          </cell>
          <cell r="ES275">
            <v>2117</v>
          </cell>
          <cell r="ET275">
            <v>2094</v>
          </cell>
          <cell r="EU275">
            <v>2313</v>
          </cell>
          <cell r="EV275">
            <v>8678</v>
          </cell>
          <cell r="EX275">
            <v>2113</v>
          </cell>
          <cell r="EY275">
            <v>2038</v>
          </cell>
          <cell r="EZ275">
            <v>2121</v>
          </cell>
          <cell r="FA275">
            <v>2282</v>
          </cell>
          <cell r="FB275">
            <v>8554</v>
          </cell>
          <cell r="FD275">
            <v>2080</v>
          </cell>
          <cell r="FE275">
            <v>2037</v>
          </cell>
          <cell r="FF275">
            <v>2085</v>
          </cell>
          <cell r="FG275">
            <v>2256</v>
          </cell>
          <cell r="FH275">
            <v>8458</v>
          </cell>
          <cell r="FJ275">
            <v>1985</v>
          </cell>
          <cell r="FK275">
            <v>1886</v>
          </cell>
          <cell r="FL275">
            <v>2056</v>
          </cell>
          <cell r="FM275">
            <v>2236</v>
          </cell>
          <cell r="FN275">
            <v>8163</v>
          </cell>
          <cell r="FP275">
            <v>1993</v>
          </cell>
          <cell r="FQ275">
            <v>1953</v>
          </cell>
          <cell r="FR275">
            <v>2069</v>
          </cell>
          <cell r="FS275">
            <v>2245</v>
          </cell>
          <cell r="FT275">
            <v>8260</v>
          </cell>
          <cell r="FV275">
            <v>1973</v>
          </cell>
          <cell r="FW275">
            <v>1976</v>
          </cell>
          <cell r="FX275">
            <v>2018</v>
          </cell>
          <cell r="FY275">
            <v>2314</v>
          </cell>
          <cell r="FZ275">
            <v>8281</v>
          </cell>
          <cell r="GB275">
            <v>1995</v>
          </cell>
          <cell r="GC275">
            <v>2009</v>
          </cell>
          <cell r="GD275">
            <v>2135.8432994799609</v>
          </cell>
          <cell r="GE275">
            <v>2451.0799464756819</v>
          </cell>
          <cell r="GF275">
            <v>8590.9232459556424</v>
          </cell>
        </row>
        <row r="276">
          <cell r="AN276" t="str">
            <v>SG&amp;A Ratio</v>
          </cell>
          <cell r="EL276" t="str">
            <v>SG&amp;A Ratio</v>
          </cell>
          <cell r="ER276">
            <v>0.36323777403035412</v>
          </cell>
          <cell r="ES276">
            <v>0.35312760633861551</v>
          </cell>
          <cell r="ET276">
            <v>0.35575942915392456</v>
          </cell>
          <cell r="EU276">
            <v>0.25253848673435964</v>
          </cell>
          <cell r="EV276">
            <v>0.32176492398961809</v>
          </cell>
          <cell r="EX276">
            <v>0.35686539435906095</v>
          </cell>
          <cell r="EY276">
            <v>0.34589273591310249</v>
          </cell>
          <cell r="EZ276">
            <v>0.35912631222485608</v>
          </cell>
          <cell r="FA276">
            <v>0.2655340935536421</v>
          </cell>
          <cell r="FB276">
            <v>0.32508645916467144</v>
          </cell>
          <cell r="FD276">
            <v>0.36192796241517311</v>
          </cell>
          <cell r="FE276">
            <v>0.35624344176285416</v>
          </cell>
          <cell r="FF276">
            <v>0.37957400327689789</v>
          </cell>
          <cell r="FG276">
            <v>0.28434585328963952</v>
          </cell>
          <cell r="FH276">
            <v>0.33978788365739998</v>
          </cell>
          <cell r="FJ276">
            <v>0.37537821482602118</v>
          </cell>
          <cell r="FK276">
            <v>0.35685903500473037</v>
          </cell>
          <cell r="FL276">
            <v>0.38180129990714951</v>
          </cell>
          <cell r="FM276">
            <v>0.28139944626227031</v>
          </cell>
          <cell r="FN276">
            <v>0.34149096385542171</v>
          </cell>
          <cell r="FP276">
            <v>0.35755292429135271</v>
          </cell>
          <cell r="FQ276">
            <v>0.3527180783817952</v>
          </cell>
          <cell r="FR276">
            <v>0.36795304997332384</v>
          </cell>
          <cell r="FS276">
            <v>0.27149594872415045</v>
          </cell>
          <cell r="FT276">
            <v>0.33036035675718911</v>
          </cell>
          <cell r="FV276">
            <v>0.33503141450161317</v>
          </cell>
          <cell r="FW276">
            <v>0.33271594544536115</v>
          </cell>
          <cell r="FX276">
            <v>0.34478045446779432</v>
          </cell>
          <cell r="FY276">
            <v>0.26524530032095367</v>
          </cell>
          <cell r="FZ276">
            <v>0.31361484567316794</v>
          </cell>
          <cell r="GB276">
            <v>0.32475988930489991</v>
          </cell>
          <cell r="GC276">
            <v>0.32837528604118993</v>
          </cell>
          <cell r="GD276">
            <v>0.34720818019307514</v>
          </cell>
          <cell r="GE276">
            <v>0.25673958182743123</v>
          </cell>
          <cell r="GF276">
            <v>0.30726391872029868</v>
          </cell>
        </row>
        <row r="277">
          <cell r="AN277" t="str">
            <v>BPS Change</v>
          </cell>
          <cell r="EL277" t="str">
            <v>BPS Change</v>
          </cell>
          <cell r="ER277">
            <v>300.87540578005888</v>
          </cell>
          <cell r="ES277">
            <v>202.54296926526084</v>
          </cell>
          <cell r="ET277">
            <v>5.8391160216936244</v>
          </cell>
          <cell r="EU277">
            <v>-178.61680437304796</v>
          </cell>
          <cell r="EV277">
            <v>100.18608670279094</v>
          </cell>
          <cell r="EX277">
            <v>-63.723796712931716</v>
          </cell>
          <cell r="EY277">
            <v>-72.348704255130187</v>
          </cell>
          <cell r="EZ277">
            <v>33.668830709315259</v>
          </cell>
          <cell r="FA277">
            <v>129.95606819282469</v>
          </cell>
          <cell r="FB277">
            <v>33.215351750533472</v>
          </cell>
          <cell r="FD277">
            <v>50.625680561121598</v>
          </cell>
          <cell r="FE277">
            <v>103.50705849751674</v>
          </cell>
          <cell r="FF277">
            <v>204.47691052041804</v>
          </cell>
          <cell r="FG277">
            <v>188.11759735997413</v>
          </cell>
          <cell r="FH277">
            <v>147.01424492728543</v>
          </cell>
          <cell r="FJ277">
            <v>134.50252410848074</v>
          </cell>
          <cell r="FK277">
            <v>6.1559324187621112</v>
          </cell>
          <cell r="FL277">
            <v>22.272966302516185</v>
          </cell>
          <cell r="FM277">
            <v>-29.464070273692023</v>
          </cell>
          <cell r="FN277">
            <v>17.030801980217337</v>
          </cell>
          <cell r="FP277">
            <v>-178.25290534668468</v>
          </cell>
          <cell r="FQ277">
            <v>-41.409566229351768</v>
          </cell>
          <cell r="FR277">
            <v>-138.48249933825662</v>
          </cell>
          <cell r="FS277">
            <v>-99.034975381198649</v>
          </cell>
          <cell r="FT277">
            <v>-111.30607098232603</v>
          </cell>
          <cell r="FV277">
            <v>-225.21509789739548</v>
          </cell>
          <cell r="FW277">
            <v>-200.02132936434046</v>
          </cell>
          <cell r="FX277">
            <v>-231.72595505529526</v>
          </cell>
          <cell r="FY277">
            <v>-62.506484031967787</v>
          </cell>
          <cell r="FZ277">
            <v>-167.45511084021169</v>
          </cell>
          <cell r="GB277">
            <v>-102.7152519671326</v>
          </cell>
          <cell r="GC277">
            <v>-43.406594041712211</v>
          </cell>
          <cell r="GD277">
            <v>24.277257252808404</v>
          </cell>
          <cell r="GE277">
            <v>-85.057184935224271</v>
          </cell>
          <cell r="GF277">
            <v>-63.509269528692627</v>
          </cell>
        </row>
        <row r="279">
          <cell r="AN279" t="str">
            <v>Operating Income</v>
          </cell>
          <cell r="EL279" t="str">
            <v>Operating Income</v>
          </cell>
          <cell r="ER279">
            <v>149</v>
          </cell>
          <cell r="ES279">
            <v>408</v>
          </cell>
          <cell r="ET279">
            <v>279</v>
          </cell>
          <cell r="EU279">
            <v>1437</v>
          </cell>
          <cell r="EV279">
            <v>2273</v>
          </cell>
          <cell r="EX279">
            <v>244</v>
          </cell>
          <cell r="EY279">
            <v>347</v>
          </cell>
          <cell r="EZ279">
            <v>200</v>
          </cell>
          <cell r="FA279">
            <v>1291</v>
          </cell>
          <cell r="FB279">
            <v>2082</v>
          </cell>
          <cell r="FD279">
            <v>140</v>
          </cell>
          <cell r="FE279">
            <v>335</v>
          </cell>
          <cell r="FF279">
            <v>84</v>
          </cell>
          <cell r="FG279">
            <v>866</v>
          </cell>
          <cell r="FH279">
            <v>1425</v>
          </cell>
          <cell r="FJ279">
            <v>24</v>
          </cell>
          <cell r="FK279">
            <v>282</v>
          </cell>
          <cell r="FL279">
            <v>88</v>
          </cell>
          <cell r="FM279">
            <v>1060</v>
          </cell>
          <cell r="FN279">
            <v>1454</v>
          </cell>
          <cell r="FP279">
            <v>203</v>
          </cell>
          <cell r="FQ279">
            <v>370</v>
          </cell>
          <cell r="FR279">
            <v>177</v>
          </cell>
          <cell r="FS279">
            <v>1169</v>
          </cell>
          <cell r="FT279">
            <v>1919</v>
          </cell>
          <cell r="FV279">
            <v>330</v>
          </cell>
          <cell r="FW279">
            <v>506</v>
          </cell>
          <cell r="FX279">
            <v>291</v>
          </cell>
          <cell r="FY279">
            <v>1259</v>
          </cell>
          <cell r="FZ279">
            <v>2386</v>
          </cell>
          <cell r="GB279">
            <v>391</v>
          </cell>
          <cell r="GC279">
            <v>554</v>
          </cell>
          <cell r="GD279">
            <v>321.66301818903503</v>
          </cell>
          <cell r="GE279">
            <v>1528.7822063397339</v>
          </cell>
          <cell r="GF279">
            <v>2795.4452245287689</v>
          </cell>
        </row>
        <row r="280">
          <cell r="AN280" t="str">
            <v>Operating Margin</v>
          </cell>
          <cell r="EL280" t="str">
            <v>Operating Margin</v>
          </cell>
          <cell r="ER280">
            <v>2.5126475548060707E-2</v>
          </cell>
          <cell r="ES280">
            <v>6.805671392827356E-2</v>
          </cell>
          <cell r="ET280">
            <v>4.7400611620795105E-2</v>
          </cell>
          <cell r="EU280">
            <v>0.1568948575171962</v>
          </cell>
          <cell r="EV280">
            <v>8.4278828327771602E-2</v>
          </cell>
          <cell r="EX280">
            <v>4.12092551933795E-2</v>
          </cell>
          <cell r="EY280">
            <v>5.8893414799728448E-2</v>
          </cell>
          <cell r="EZ280">
            <v>3.3863867253640365E-2</v>
          </cell>
          <cell r="FA280">
            <v>0.15022108447754248</v>
          </cell>
          <cell r="FB280">
            <v>7.9124387185041611E-2</v>
          </cell>
          <cell r="FD280">
            <v>2.4360535931790498E-2</v>
          </cell>
          <cell r="FE280">
            <v>5.8586918502973068E-2</v>
          </cell>
          <cell r="FF280">
            <v>1.5292190060076462E-2</v>
          </cell>
          <cell r="FG280">
            <v>0.10915049155533149</v>
          </cell>
          <cell r="FH280">
            <v>5.7247308372167766E-2</v>
          </cell>
          <cell r="FJ280">
            <v>4.5385779122541605E-3</v>
          </cell>
          <cell r="FK280">
            <v>5.3358561967833493E-2</v>
          </cell>
          <cell r="FL280">
            <v>1.6341689879294335E-2</v>
          </cell>
          <cell r="FM280">
            <v>0.13340045305814247</v>
          </cell>
          <cell r="FN280">
            <v>6.0826639892904953E-2</v>
          </cell>
          <cell r="FP280">
            <v>3.6419088625762472E-2</v>
          </cell>
          <cell r="FQ280">
            <v>6.6823189452772255E-2</v>
          </cell>
          <cell r="FR280">
            <v>3.1477858794237951E-2</v>
          </cell>
          <cell r="FS280">
            <v>0.14137138710847744</v>
          </cell>
          <cell r="FT280">
            <v>7.6750789905211378E-2</v>
          </cell>
          <cell r="FV280">
            <v>5.6036678553234846E-2</v>
          </cell>
          <cell r="FW280">
            <v>8.5199528540158276E-2</v>
          </cell>
          <cell r="FX280">
            <v>4.9718093285494619E-2</v>
          </cell>
          <cell r="FY280">
            <v>0.1443145346171481</v>
          </cell>
          <cell r="FZ280">
            <v>9.0361673925392919E-2</v>
          </cell>
          <cell r="GB280">
            <v>6.3649682565521726E-2</v>
          </cell>
          <cell r="GC280">
            <v>9.0552468126838842E-2</v>
          </cell>
          <cell r="GD280">
            <v>5.2290367560213769E-2</v>
          </cell>
          <cell r="GE280">
            <v>0.16013304866911451</v>
          </cell>
          <cell r="GF280">
            <v>9.9982205598335261E-2</v>
          </cell>
        </row>
        <row r="281">
          <cell r="AN281" t="str">
            <v>BPS Change</v>
          </cell>
          <cell r="EL281" t="str">
            <v>BPS Change</v>
          </cell>
        </row>
        <row r="283">
          <cell r="AN283" t="str">
            <v>Bear Case Assumptions</v>
          </cell>
          <cell r="EL283" t="str">
            <v>Bear Case Assumptions</v>
          </cell>
        </row>
        <row r="284">
          <cell r="AN284" t="str">
            <v>Consolidated Stores Monthly Sales ($)</v>
          </cell>
          <cell r="EL284" t="str">
            <v>Consolidated Stores Monthly Sales ($)</v>
          </cell>
          <cell r="EU284">
            <v>356</v>
          </cell>
        </row>
        <row r="285">
          <cell r="AN285" t="str">
            <v>Month 1</v>
          </cell>
          <cell r="EL285" t="str">
            <v>Month 1</v>
          </cell>
          <cell r="ER285">
            <v>1800</v>
          </cell>
          <cell r="ES285">
            <v>2026</v>
          </cell>
          <cell r="ET285">
            <v>1727</v>
          </cell>
          <cell r="EU285">
            <v>2385</v>
          </cell>
          <cell r="EX285">
            <v>1802</v>
          </cell>
          <cell r="EY285">
            <v>1976</v>
          </cell>
          <cell r="EZ285">
            <v>1788</v>
          </cell>
          <cell r="FA285">
            <v>2707</v>
          </cell>
          <cell r="FD285">
            <v>1737</v>
          </cell>
          <cell r="FE285">
            <v>1926</v>
          </cell>
          <cell r="FF285">
            <v>1686</v>
          </cell>
          <cell r="FG285">
            <v>2324</v>
          </cell>
          <cell r="FJ285">
            <v>1602.5975291456411</v>
          </cell>
          <cell r="FK285">
            <v>1783.7565582371458</v>
          </cell>
          <cell r="FL285">
            <v>1576.1490988530857</v>
          </cell>
          <cell r="FM285">
            <v>2202.7766574237457</v>
          </cell>
          <cell r="FP285">
            <v>1667</v>
          </cell>
          <cell r="FQ285">
            <v>1789</v>
          </cell>
          <cell r="FR285">
            <v>1638</v>
          </cell>
          <cell r="FS285">
            <v>2341</v>
          </cell>
          <cell r="FV285">
            <v>1763</v>
          </cell>
          <cell r="FW285">
            <v>1937</v>
          </cell>
          <cell r="FX285">
            <v>1714</v>
          </cell>
          <cell r="FY285">
            <v>2465</v>
          </cell>
          <cell r="GB285">
            <v>1860</v>
          </cell>
          <cell r="GC285">
            <v>2015</v>
          </cell>
          <cell r="GD285">
            <v>1812</v>
          </cell>
          <cell r="GE285">
            <v>2490.7341222077775</v>
          </cell>
        </row>
        <row r="286">
          <cell r="AN286" t="str">
            <v>Month 2</v>
          </cell>
          <cell r="EL286" t="str">
            <v>Month 2</v>
          </cell>
          <cell r="ER286">
            <v>2255</v>
          </cell>
          <cell r="ES286">
            <v>2367</v>
          </cell>
          <cell r="ET286">
            <v>2303</v>
          </cell>
          <cell r="EU286">
            <v>4997</v>
          </cell>
          <cell r="EX286">
            <v>2288</v>
          </cell>
          <cell r="EY286">
            <v>2321</v>
          </cell>
          <cell r="EZ286">
            <v>2274</v>
          </cell>
          <cell r="FA286">
            <v>4624</v>
          </cell>
          <cell r="FD286">
            <v>2142</v>
          </cell>
          <cell r="FE286">
            <v>2249</v>
          </cell>
          <cell r="FF286">
            <v>2093</v>
          </cell>
          <cell r="FG286">
            <v>4397</v>
          </cell>
          <cell r="FJ286">
            <v>1963.7990255785628</v>
          </cell>
          <cell r="FK286">
            <v>2092.5916404337181</v>
          </cell>
          <cell r="FL286">
            <v>2084.1512834516657</v>
          </cell>
          <cell r="FM286">
            <v>4474.7693471136881</v>
          </cell>
          <cell r="FP286">
            <v>2172</v>
          </cell>
          <cell r="FQ286">
            <v>2229</v>
          </cell>
          <cell r="FR286">
            <v>2181</v>
          </cell>
          <cell r="FS286">
            <v>4619</v>
          </cell>
          <cell r="FV286">
            <v>2206</v>
          </cell>
          <cell r="FW286">
            <v>2392</v>
          </cell>
          <cell r="FX286">
            <v>2298</v>
          </cell>
          <cell r="FY286">
            <v>4925</v>
          </cell>
          <cell r="GB286">
            <v>2358</v>
          </cell>
          <cell r="GC286">
            <v>2412</v>
          </cell>
          <cell r="GD286">
            <v>2293.892456048884</v>
          </cell>
          <cell r="GE286">
            <v>4976.4160453847071</v>
          </cell>
        </row>
        <row r="287">
          <cell r="AN287" t="str">
            <v>Month 3</v>
          </cell>
          <cell r="EL287" t="str">
            <v>Month 3</v>
          </cell>
          <cell r="ER287">
            <v>1878</v>
          </cell>
          <cell r="ES287">
            <v>1608</v>
          </cell>
          <cell r="ET287">
            <v>1863</v>
          </cell>
          <cell r="EU287">
            <v>1780</v>
          </cell>
          <cell r="EX287">
            <v>1837</v>
          </cell>
          <cell r="EY287">
            <v>1602</v>
          </cell>
          <cell r="EZ287">
            <v>1849</v>
          </cell>
          <cell r="FA287">
            <v>1273</v>
          </cell>
          <cell r="FD287">
            <v>1868</v>
          </cell>
          <cell r="FE287">
            <v>1543</v>
          </cell>
          <cell r="FF287">
            <v>1714</v>
          </cell>
          <cell r="FG287">
            <v>1213</v>
          </cell>
          <cell r="FJ287">
            <v>1720.603445275796</v>
          </cell>
          <cell r="FK287">
            <v>1409.6518013291361</v>
          </cell>
          <cell r="FL287">
            <v>1725.6996176952484</v>
          </cell>
          <cell r="FM287">
            <v>1268.4539954625661</v>
          </cell>
          <cell r="FP287">
            <v>1739</v>
          </cell>
          <cell r="FQ287">
            <v>1528</v>
          </cell>
          <cell r="FR287">
            <v>1806</v>
          </cell>
          <cell r="FS287">
            <v>1310</v>
          </cell>
          <cell r="FV287">
            <v>1920</v>
          </cell>
          <cell r="FW287">
            <v>1612</v>
          </cell>
          <cell r="FX287">
            <v>1842</v>
          </cell>
          <cell r="FY287">
            <v>1336</v>
          </cell>
          <cell r="GB287">
            <v>1928</v>
          </cell>
          <cell r="GC287">
            <v>1693</v>
          </cell>
          <cell r="GD287">
            <v>1882.0033631484798</v>
          </cell>
          <cell r="GE287">
            <v>1720.1677658275225</v>
          </cell>
        </row>
        <row r="288">
          <cell r="AN288" t="str">
            <v>Total</v>
          </cell>
          <cell r="EL288" t="str">
            <v>Total</v>
          </cell>
          <cell r="ER288">
            <v>5930</v>
          </cell>
          <cell r="ES288">
            <v>5995</v>
          </cell>
          <cell r="ET288">
            <v>5886</v>
          </cell>
          <cell r="EU288">
            <v>9159</v>
          </cell>
          <cell r="EV288">
            <v>26970</v>
          </cell>
          <cell r="EX288">
            <v>5921</v>
          </cell>
          <cell r="EY288">
            <v>5892</v>
          </cell>
          <cell r="EZ288">
            <v>5906</v>
          </cell>
          <cell r="FA288">
            <v>8594</v>
          </cell>
          <cell r="FB288">
            <v>26313</v>
          </cell>
          <cell r="FD288">
            <v>5747</v>
          </cell>
          <cell r="FE288">
            <v>5718</v>
          </cell>
          <cell r="FF288">
            <v>5493</v>
          </cell>
          <cell r="FG288">
            <v>7934</v>
          </cell>
          <cell r="FH288">
            <v>24892</v>
          </cell>
          <cell r="FJ288">
            <v>5288</v>
          </cell>
          <cell r="FK288">
            <v>5285</v>
          </cell>
          <cell r="FL288">
            <v>5385</v>
          </cell>
          <cell r="FM288">
            <v>7946</v>
          </cell>
          <cell r="FN288">
            <v>23904</v>
          </cell>
          <cell r="FP288">
            <v>5574</v>
          </cell>
          <cell r="FQ288">
            <v>5537</v>
          </cell>
          <cell r="FR288">
            <v>5623</v>
          </cell>
          <cell r="FS288">
            <v>8269</v>
          </cell>
          <cell r="FT288">
            <v>25003</v>
          </cell>
          <cell r="FV288">
            <v>5889</v>
          </cell>
          <cell r="FW288">
            <v>5939</v>
          </cell>
          <cell r="FX288">
            <v>5853</v>
          </cell>
          <cell r="FY288">
            <v>8724</v>
          </cell>
          <cell r="FZ288">
            <v>26405</v>
          </cell>
          <cell r="GB288">
            <v>6143</v>
          </cell>
          <cell r="GC288">
            <v>6118</v>
          </cell>
          <cell r="GD288">
            <v>5987.8958191973634</v>
          </cell>
          <cell r="GE288">
            <v>9187.3179334200067</v>
          </cell>
          <cell r="GF288">
            <v>27436.213752617372</v>
          </cell>
        </row>
        <row r="290">
          <cell r="AN290" t="str">
            <v xml:space="preserve">Consolidated Monthly Comps </v>
          </cell>
          <cell r="EL290" t="str">
            <v xml:space="preserve">Consolidated Monthly Comps </v>
          </cell>
        </row>
        <row r="291">
          <cell r="AN291" t="str">
            <v>Month 1</v>
          </cell>
          <cell r="EL291" t="str">
            <v>Month 1</v>
          </cell>
          <cell r="ER291">
            <v>0.01</v>
          </cell>
          <cell r="ES291">
            <v>9.1999999999999998E-2</v>
          </cell>
          <cell r="ET291">
            <v>3.7999999999999999E-2</v>
          </cell>
          <cell r="EU291">
            <v>8.5000000000000006E-2</v>
          </cell>
          <cell r="EX291">
            <v>1.2E-2</v>
          </cell>
          <cell r="EY291">
            <v>-3.3000000000000002E-2</v>
          </cell>
          <cell r="EZ291">
            <v>2.4E-2</v>
          </cell>
          <cell r="FA291">
            <v>0.13400000000000001</v>
          </cell>
          <cell r="FD291">
            <v>-3.5000000000000003E-2</v>
          </cell>
          <cell r="FE291">
            <v>-1.4999999999999999E-2</v>
          </cell>
          <cell r="FF291">
            <v>-4.8000000000000001E-2</v>
          </cell>
          <cell r="FG291">
            <v>-0.13300000000000001</v>
          </cell>
          <cell r="FJ291">
            <v>-8.5000000000000006E-2</v>
          </cell>
          <cell r="FK291">
            <v>-9.0999999999999998E-2</v>
          </cell>
          <cell r="FL291">
            <v>-8.1000000000000003E-2</v>
          </cell>
          <cell r="FM291">
            <v>-6.0999999999999999E-2</v>
          </cell>
          <cell r="FP291">
            <v>3.6999999999999998E-2</v>
          </cell>
          <cell r="FQ291">
            <v>1.4E-2</v>
          </cell>
          <cell r="FR291">
            <v>4.2999999999999997E-2</v>
          </cell>
          <cell r="FS291">
            <v>6.0999999999999999E-2</v>
          </cell>
          <cell r="FV291">
            <v>5.8000000000000003E-2</v>
          </cell>
          <cell r="FW291">
            <v>7.3999999999999996E-2</v>
          </cell>
          <cell r="FX291">
            <v>0.05</v>
          </cell>
          <cell r="FY291">
            <v>4.8000000000000001E-2</v>
          </cell>
          <cell r="GB291">
            <v>4.5999999999999999E-2</v>
          </cell>
          <cell r="GC291">
            <v>4.2000000000000003E-2</v>
          </cell>
          <cell r="GD291">
            <v>5.0999999999999997E-2</v>
          </cell>
          <cell r="GE291">
            <v>0.02</v>
          </cell>
        </row>
        <row r="292">
          <cell r="AN292" t="str">
            <v>Month 2</v>
          </cell>
          <cell r="EL292" t="str">
            <v>Month 2</v>
          </cell>
          <cell r="ER292">
            <v>0</v>
          </cell>
          <cell r="ES292">
            <v>1.7000000000000001E-2</v>
          </cell>
          <cell r="ET292">
            <v>6.5000000000000002E-2</v>
          </cell>
          <cell r="EU292">
            <v>4.3999999999999997E-2</v>
          </cell>
          <cell r="EX292">
            <v>2.3E-2</v>
          </cell>
          <cell r="EY292">
            <v>-2.7E-2</v>
          </cell>
          <cell r="EZ292">
            <v>-2.7E-2</v>
          </cell>
          <cell r="FA292">
            <v>-7.9000000000000001E-2</v>
          </cell>
          <cell r="FD292">
            <v>-6.2E-2</v>
          </cell>
          <cell r="FE292">
            <v>-2.1000000000000001E-2</v>
          </cell>
          <cell r="FF292">
            <v>-6.6000000000000003E-2</v>
          </cell>
          <cell r="FG292">
            <v>-0.04</v>
          </cell>
          <cell r="FJ292">
            <v>-9.1999999999999998E-2</v>
          </cell>
          <cell r="FK292">
            <v>-8.8999999999999996E-2</v>
          </cell>
          <cell r="FL292">
            <v>-2.3E-2</v>
          </cell>
          <cell r="FM292">
            <v>0.01</v>
          </cell>
          <cell r="FP292">
            <v>0.10800000000000001</v>
          </cell>
          <cell r="FQ292">
            <v>6.5000000000000002E-2</v>
          </cell>
          <cell r="FR292">
            <v>4.8000000000000001E-2</v>
          </cell>
          <cell r="FS292">
            <v>3.9E-2</v>
          </cell>
          <cell r="FV292">
            <v>8.9999999999999993E-3</v>
          </cell>
          <cell r="FW292">
            <v>6.7000000000000004E-2</v>
          </cell>
          <cell r="FX292">
            <v>4.9000000000000002E-2</v>
          </cell>
          <cell r="FY292">
            <v>6.2E-2</v>
          </cell>
          <cell r="GB292">
            <v>7.2999999999999995E-2</v>
          </cell>
          <cell r="GC292">
            <v>1.2E-2</v>
          </cell>
          <cell r="GD292">
            <v>9.9999999999999985E-3</v>
          </cell>
          <cell r="GE292">
            <v>0.02</v>
          </cell>
        </row>
        <row r="293">
          <cell r="AN293" t="str">
            <v>Month 3</v>
          </cell>
          <cell r="EL293" t="str">
            <v>Month 3</v>
          </cell>
          <cell r="ER293">
            <v>-8.0000000000000002E-3</v>
          </cell>
          <cell r="ES293">
            <v>3.3000000000000002E-2</v>
          </cell>
          <cell r="ET293">
            <v>7.6999999999999999E-2</v>
          </cell>
          <cell r="EU293">
            <v>8.5999999999999993E-2</v>
          </cell>
          <cell r="EX293">
            <v>-2.1999999999999999E-2</v>
          </cell>
          <cell r="EY293">
            <v>-1.4E-2</v>
          </cell>
          <cell r="EZ293">
            <v>-1.4999999999999999E-2</v>
          </cell>
          <cell r="FA293">
            <v>-7.0999999999999994E-2</v>
          </cell>
          <cell r="FD293">
            <v>0.03</v>
          </cell>
          <cell r="FE293">
            <v>-2.9000000000000001E-2</v>
          </cell>
          <cell r="FF293">
            <v>-6.3E-2</v>
          </cell>
          <cell r="FG293">
            <v>-4.4999999999999998E-2</v>
          </cell>
          <cell r="FJ293">
            <v>-9.0999999999999998E-2</v>
          </cell>
          <cell r="FK293">
            <v>-0.107</v>
          </cell>
          <cell r="FL293">
            <v>-8.0000000000000002E-3</v>
          </cell>
          <cell r="FM293">
            <v>3.4000000000000002E-2</v>
          </cell>
          <cell r="FP293">
            <v>1.0999999999999999E-2</v>
          </cell>
          <cell r="FQ293">
            <v>7.2999999999999995E-2</v>
          </cell>
          <cell r="FR293">
            <v>2.5000000000000001E-2</v>
          </cell>
          <cell r="FS293">
            <v>2.5999999999999999E-2</v>
          </cell>
          <cell r="FV293">
            <v>0.108</v>
          </cell>
          <cell r="FW293">
            <v>0.05</v>
          </cell>
          <cell r="FX293">
            <v>2.1999999999999999E-2</v>
          </cell>
          <cell r="FY293">
            <v>2.4E-2</v>
          </cell>
          <cell r="GB293">
            <v>1.2E-2</v>
          </cell>
          <cell r="GC293">
            <v>4.1000000000000002E-2</v>
          </cell>
          <cell r="GD293">
            <v>3.5000000000000003E-2</v>
          </cell>
          <cell r="GE293">
            <v>3.0000000000000002E-2</v>
          </cell>
        </row>
        <row r="294">
          <cell r="AN294" t="str">
            <v>Total</v>
          </cell>
          <cell r="EL294" t="str">
            <v>Total</v>
          </cell>
          <cell r="ER294">
            <v>0</v>
          </cell>
          <cell r="ES294">
            <v>4.5999999999999999E-2</v>
          </cell>
          <cell r="ET294">
            <v>5.8999999999999997E-2</v>
          </cell>
          <cell r="EU294">
            <v>6.0999999999999999E-2</v>
          </cell>
          <cell r="EV294">
            <v>4.3999999999999997E-2</v>
          </cell>
          <cell r="EX294">
            <v>6.0000000000000001E-3</v>
          </cell>
          <cell r="EY294">
            <v>-2.5999999999999999E-2</v>
          </cell>
          <cell r="EZ294">
            <v>-8.0000000000000002E-3</v>
          </cell>
          <cell r="FA294">
            <v>-0.02</v>
          </cell>
          <cell r="FB294">
            <v>-1.2999999999999999E-2</v>
          </cell>
          <cell r="FD294">
            <v>-2.5999999999999999E-2</v>
          </cell>
          <cell r="FE294">
            <v>-2.1000000000000001E-2</v>
          </cell>
          <cell r="FF294">
            <v>-0.06</v>
          </cell>
          <cell r="FG294">
            <v>-7.0000000000000007E-2</v>
          </cell>
          <cell r="FH294">
            <v>-4.4999999999999998E-2</v>
          </cell>
          <cell r="FJ294">
            <v>-0.09</v>
          </cell>
          <cell r="FK294">
            <v>-9.5000000000000001E-2</v>
          </cell>
          <cell r="FL294">
            <v>-3.5999999999999997E-2</v>
          </cell>
          <cell r="FM294">
            <v>-5.8512769677805648E-3</v>
          </cell>
          <cell r="FN294">
            <v>-5.0968425652024113E-2</v>
          </cell>
          <cell r="FP294">
            <v>5.5E-2</v>
          </cell>
          <cell r="FQ294">
            <v>4.9000000000000002E-2</v>
          </cell>
          <cell r="FR294">
            <v>3.9E-2</v>
          </cell>
          <cell r="FS294">
            <v>4.2999999999999997E-2</v>
          </cell>
          <cell r="FT294">
            <v>4.610434747830261E-2</v>
          </cell>
          <cell r="FV294">
            <v>5.3999999999999999E-2</v>
          </cell>
          <cell r="FW294">
            <v>6.4000000000000001E-2</v>
          </cell>
          <cell r="FX294">
            <v>0.04</v>
          </cell>
          <cell r="FY294">
            <v>5.1999999999999998E-2</v>
          </cell>
          <cell r="FZ294">
            <v>5.2999999999999999E-2</v>
          </cell>
          <cell r="GB294">
            <v>4.3999999999999997E-2</v>
          </cell>
          <cell r="GC294">
            <v>0.03</v>
          </cell>
          <cell r="GD294">
            <v>3.0264561666167575E-2</v>
          </cell>
          <cell r="GE294">
            <v>2.1872328549304036E-2</v>
          </cell>
          <cell r="GF294">
            <v>3.0470716044687752E-2</v>
          </cell>
        </row>
        <row r="296">
          <cell r="AN296" t="str">
            <v xml:space="preserve">Consolidated Productivity Factor </v>
          </cell>
          <cell r="EL296" t="str">
            <v xml:space="preserve">Consolidated Productivity Factor </v>
          </cell>
        </row>
        <row r="297">
          <cell r="AN297" t="str">
            <v>Month 1</v>
          </cell>
          <cell r="EL297" t="str">
            <v>Month 1</v>
          </cell>
          <cell r="ER297">
            <v>0.85379589916801657</v>
          </cell>
          <cell r="ES297">
            <v>0.82852877251430668</v>
          </cell>
          <cell r="ET297">
            <v>0.83475030563790842</v>
          </cell>
          <cell r="EU297">
            <v>0.91480422703367681</v>
          </cell>
          <cell r="EX297">
            <v>1.0042251017232908</v>
          </cell>
          <cell r="EY297">
            <v>1.0108075527611304</v>
          </cell>
          <cell r="EZ297">
            <v>1.0032705612197608</v>
          </cell>
          <cell r="FA297">
            <v>0.99617129302855612</v>
          </cell>
          <cell r="FD297">
            <v>1.0047260256693704</v>
          </cell>
          <cell r="FE297">
            <v>1.0011731147187122</v>
          </cell>
          <cell r="FF297">
            <v>1.0015681684828099</v>
          </cell>
          <cell r="FG297">
            <v>0.9980273685296247</v>
          </cell>
          <cell r="FJ297">
            <v>1.0146680194879518</v>
          </cell>
          <cell r="FK297">
            <v>1.0229325701507319</v>
          </cell>
          <cell r="FL297">
            <v>1.0237530410429481</v>
          </cell>
          <cell r="FM297">
            <v>1.0168796021749338</v>
          </cell>
          <cell r="FP297">
            <v>1.0016060228776302</v>
          </cell>
          <cell r="FQ297">
            <v>0.98881215735067063</v>
          </cell>
          <cell r="FR297">
            <v>1.0007452413933455</v>
          </cell>
          <cell r="FS297">
            <v>1.0028115913956974</v>
          </cell>
          <cell r="FV297">
            <v>1.0005096291516782</v>
          </cell>
          <cell r="FW297">
            <v>1.0081721608307339</v>
          </cell>
          <cell r="FX297">
            <v>0.99435769750356207</v>
          </cell>
          <cell r="FY297">
            <v>1.0114048185081832</v>
          </cell>
          <cell r="GB297">
            <v>1.0253009585429893</v>
          </cell>
          <cell r="GC297">
            <v>1.0133052611979987</v>
          </cell>
          <cell r="GD297">
            <v>1.018088666893139</v>
          </cell>
          <cell r="GE297">
            <v>1</v>
          </cell>
        </row>
        <row r="298">
          <cell r="AN298" t="str">
            <v>Month 2</v>
          </cell>
          <cell r="EL298" t="str">
            <v>Month 2</v>
          </cell>
          <cell r="ER298">
            <v>0.87143545576033965</v>
          </cell>
          <cell r="ES298">
            <v>0.86259214604526391</v>
          </cell>
          <cell r="ET298">
            <v>0.95476655228407081</v>
          </cell>
          <cell r="EU298">
            <v>0.95390310394604827</v>
          </cell>
          <cell r="EX298">
            <v>0.99756383077735888</v>
          </cell>
          <cell r="EY298">
            <v>1.0076309712339664</v>
          </cell>
          <cell r="EZ298">
            <v>1.0058439901456568</v>
          </cell>
          <cell r="FA298">
            <v>1.0104925603418453</v>
          </cell>
          <cell r="FD298">
            <v>1.0038919718017412</v>
          </cell>
          <cell r="FE298">
            <v>1.0002262623646179</v>
          </cell>
          <cell r="FF298">
            <v>1.0022779610885877</v>
          </cell>
          <cell r="FG298">
            <v>0.98797059201406712</v>
          </cell>
          <cell r="FJ298">
            <v>1.0172356632303496</v>
          </cell>
          <cell r="FK298">
            <v>1.0266388149144143</v>
          </cell>
          <cell r="FL298">
            <v>1.0185440088098592</v>
          </cell>
          <cell r="FM298">
            <v>1.0150644106268683</v>
          </cell>
          <cell r="FP298">
            <v>0.9967530496300272</v>
          </cell>
          <cell r="FQ298">
            <v>0.99989171377441255</v>
          </cell>
          <cell r="FR298">
            <v>1.0028971230689774</v>
          </cell>
          <cell r="FS298">
            <v>0.9946391314592461</v>
          </cell>
          <cell r="FV298">
            <v>1.0074992903911262</v>
          </cell>
          <cell r="FW298">
            <v>1.0057878604073234</v>
          </cell>
          <cell r="FX298">
            <v>1.0057401642886414</v>
          </cell>
          <cell r="FY298">
            <v>1.0118477756232767</v>
          </cell>
          <cell r="GB298">
            <v>1.0102541230632647</v>
          </cell>
          <cell r="GC298">
            <v>1.011143062170935</v>
          </cell>
          <cell r="GD298">
            <v>1</v>
          </cell>
          <cell r="GE298">
            <v>1</v>
          </cell>
        </row>
        <row r="299">
          <cell r="AN299" t="str">
            <v>Month 3</v>
          </cell>
          <cell r="EL299" t="str">
            <v>Month 3</v>
          </cell>
          <cell r="ER299">
            <v>0.85509041472763314</v>
          </cell>
          <cell r="ES299">
            <v>0.83302342705472399</v>
          </cell>
          <cell r="ET299">
            <v>0.9300581404093593</v>
          </cell>
          <cell r="EU299">
            <v>0.88885616548937241</v>
          </cell>
          <cell r="EX299">
            <v>1.0012993536198342</v>
          </cell>
          <cell r="EY299">
            <v>1.0067406823426219</v>
          </cell>
          <cell r="EZ299">
            <v>1.0010354929971583</v>
          </cell>
          <cell r="FA299">
            <v>0.77697496531497701</v>
          </cell>
          <cell r="FD299">
            <v>0.99998610863561077</v>
          </cell>
          <cell r="FE299">
            <v>1.0000776716315167</v>
          </cell>
          <cell r="FF299">
            <v>1.0026881239876493</v>
          </cell>
          <cell r="FG299">
            <v>1.0034001517037674</v>
          </cell>
          <cell r="FJ299">
            <v>1.017274065207098</v>
          </cell>
          <cell r="FK299">
            <v>1.0307481774152398</v>
          </cell>
          <cell r="FL299">
            <v>1.0154616377110075</v>
          </cell>
          <cell r="FM299">
            <v>1.009307170702717</v>
          </cell>
          <cell r="FP299">
            <v>1.0005893323256754</v>
          </cell>
          <cell r="FQ299">
            <v>1.0111137394005785</v>
          </cell>
          <cell r="FR299">
            <v>1.0254628236300125</v>
          </cell>
          <cell r="FS299">
            <v>1.00775043725629</v>
          </cell>
          <cell r="FV299">
            <v>0.99618702023241001</v>
          </cell>
          <cell r="FW299">
            <v>1.0047825549823146</v>
          </cell>
          <cell r="FX299">
            <v>1.0004489851343907</v>
          </cell>
          <cell r="FY299">
            <v>1.008520012530175</v>
          </cell>
          <cell r="GB299">
            <v>1.0062765433093959</v>
          </cell>
          <cell r="GC299">
            <v>1.0227639737625074</v>
          </cell>
          <cell r="GD299">
            <v>1</v>
          </cell>
          <cell r="GE299">
            <v>1</v>
          </cell>
        </row>
        <row r="300">
          <cell r="AN300" t="str">
            <v>Total</v>
          </cell>
          <cell r="EL300" t="str">
            <v>Total</v>
          </cell>
        </row>
        <row r="302">
          <cell r="AN302" t="str">
            <v>Cost of Goods Sold</v>
          </cell>
          <cell r="EL302" t="str">
            <v>Cost of Goods Sold</v>
          </cell>
          <cell r="ER302">
            <v>3627</v>
          </cell>
          <cell r="ES302">
            <v>3470</v>
          </cell>
          <cell r="ET302">
            <v>3513</v>
          </cell>
          <cell r="EU302">
            <v>5409</v>
          </cell>
          <cell r="EV302">
            <v>16019</v>
          </cell>
          <cell r="EX302">
            <v>3564</v>
          </cell>
          <cell r="EY302">
            <v>3507</v>
          </cell>
          <cell r="EZ302">
            <v>3585</v>
          </cell>
          <cell r="FA302">
            <v>5021</v>
          </cell>
          <cell r="FB302">
            <v>15677</v>
          </cell>
          <cell r="FD302">
            <v>3527</v>
          </cell>
          <cell r="FE302">
            <v>3346</v>
          </cell>
          <cell r="FF302">
            <v>3324</v>
          </cell>
          <cell r="FG302">
            <v>4812</v>
          </cell>
          <cell r="FH302">
            <v>15009</v>
          </cell>
          <cell r="FJ302">
            <v>3279</v>
          </cell>
          <cell r="FK302">
            <v>3117</v>
          </cell>
          <cell r="FL302">
            <v>3241</v>
          </cell>
          <cell r="FM302">
            <v>4641</v>
          </cell>
          <cell r="FN302">
            <v>14278</v>
          </cell>
          <cell r="FP302">
            <v>3378</v>
          </cell>
          <cell r="FQ302">
            <v>3214</v>
          </cell>
          <cell r="FR302">
            <v>3377</v>
          </cell>
          <cell r="FS302">
            <v>4855</v>
          </cell>
          <cell r="FT302">
            <v>14824</v>
          </cell>
          <cell r="FV302">
            <v>3586</v>
          </cell>
          <cell r="FW302">
            <v>3457</v>
          </cell>
          <cell r="FX302">
            <v>3544</v>
          </cell>
          <cell r="FY302">
            <v>5151</v>
          </cell>
          <cell r="FZ302">
            <v>15738</v>
          </cell>
          <cell r="GB302">
            <v>3757</v>
          </cell>
          <cell r="GC302">
            <v>3555</v>
          </cell>
          <cell r="GD302">
            <v>3637.655406064408</v>
          </cell>
          <cell r="GE302">
            <v>5421.68776484106</v>
          </cell>
          <cell r="GF302">
            <v>16371.343170905468</v>
          </cell>
        </row>
        <row r="303">
          <cell r="AN303" t="str">
            <v>% of Sales</v>
          </cell>
          <cell r="EL303" t="str">
            <v>% of Sales</v>
          </cell>
          <cell r="ER303">
            <v>0.61163575042158513</v>
          </cell>
          <cell r="ES303">
            <v>0.57881567973311088</v>
          </cell>
          <cell r="ET303">
            <v>0.59683995922528033</v>
          </cell>
          <cell r="EU303">
            <v>0.59056665574844414</v>
          </cell>
          <cell r="EV303">
            <v>0.59395624768261035</v>
          </cell>
          <cell r="EX303">
            <v>0.60192535044755957</v>
          </cell>
          <cell r="EY303">
            <v>0.59521384928716903</v>
          </cell>
          <cell r="EZ303">
            <v>0.60700982052150354</v>
          </cell>
          <cell r="FA303">
            <v>0.58424482196881544</v>
          </cell>
          <cell r="FB303">
            <v>0.59578915365028695</v>
          </cell>
          <cell r="FD303">
            <v>0.61371150165303634</v>
          </cell>
          <cell r="FE303">
            <v>0.5851696397341728</v>
          </cell>
          <cell r="FF303">
            <v>0.60513380666302563</v>
          </cell>
          <cell r="FG303">
            <v>0.60650365515502902</v>
          </cell>
          <cell r="FH303">
            <v>0.60296480797043228</v>
          </cell>
          <cell r="FJ303">
            <v>0.62008320726172461</v>
          </cell>
          <cell r="FK303">
            <v>0.58978240302743612</v>
          </cell>
          <cell r="FL303">
            <v>0.6018570102135562</v>
          </cell>
          <cell r="FM303">
            <v>0.58406745532343318</v>
          </cell>
          <cell r="FN303">
            <v>0.59730589022757696</v>
          </cell>
          <cell r="FP303">
            <v>0.60602798708288486</v>
          </cell>
          <cell r="FQ303">
            <v>0.58045873216543253</v>
          </cell>
          <cell r="FR303">
            <v>0.60056909123243818</v>
          </cell>
          <cell r="FS303">
            <v>0.58713266416737209</v>
          </cell>
          <cell r="FT303">
            <v>0.59288885333759944</v>
          </cell>
          <cell r="FV303">
            <v>0.60893190694515198</v>
          </cell>
          <cell r="FW303">
            <v>0.58208452601448057</v>
          </cell>
          <cell r="FX303">
            <v>0.60550145224671104</v>
          </cell>
          <cell r="FY303">
            <v>0.59044016506189823</v>
          </cell>
          <cell r="FZ303">
            <v>0.59602348040143915</v>
          </cell>
          <cell r="GB303">
            <v>0.61159042812957842</v>
          </cell>
          <cell r="GC303">
            <v>0.58107224583197126</v>
          </cell>
          <cell r="GD303">
            <v>0.60750145224671104</v>
          </cell>
          <cell r="GE303">
            <v>0.59012736950345424</v>
          </cell>
          <cell r="GF303">
            <v>0.59670562849962006</v>
          </cell>
        </row>
        <row r="304">
          <cell r="AN304" t="str">
            <v>BPS Change</v>
          </cell>
          <cell r="EL304" t="str">
            <v>BPS Change</v>
          </cell>
          <cell r="ER304">
            <v>139.97738886292632</v>
          </cell>
          <cell r="ES304">
            <v>-79.90834205613973</v>
          </cell>
          <cell r="ET304">
            <v>6.2033726308408088</v>
          </cell>
          <cell r="EU304">
            <v>-5.9414249625333593</v>
          </cell>
          <cell r="EV304">
            <v>11.916206169559906</v>
          </cell>
          <cell r="EX304">
            <v>-97.103999740255631</v>
          </cell>
          <cell r="EY304">
            <v>163.98169554058151</v>
          </cell>
          <cell r="EZ304">
            <v>101.69861296223215</v>
          </cell>
          <cell r="FA304">
            <v>-63.218337796286939</v>
          </cell>
          <cell r="FB304">
            <v>18.329059676766015</v>
          </cell>
          <cell r="FD304">
            <v>117.86151205476769</v>
          </cell>
          <cell r="FE304">
            <v>-100.4420955299623</v>
          </cell>
          <cell r="FF304">
            <v>-18.760138584779096</v>
          </cell>
          <cell r="FG304">
            <v>222.58833186213579</v>
          </cell>
          <cell r="FH304">
            <v>71.756543201453297</v>
          </cell>
          <cell r="FJ304">
            <v>63.717056086882721</v>
          </cell>
          <cell r="FK304">
            <v>46.127632932633219</v>
          </cell>
          <cell r="FL304">
            <v>-32.767964494694326</v>
          </cell>
          <cell r="FM304">
            <v>-224.36199831595837</v>
          </cell>
          <cell r="FN304">
            <v>-56.589177428553185</v>
          </cell>
          <cell r="FP304">
            <v>-140.55220178839755</v>
          </cell>
          <cell r="FQ304">
            <v>-93.236708620035856</v>
          </cell>
          <cell r="FR304">
            <v>-12.879189811180192</v>
          </cell>
          <cell r="FS304">
            <v>30.652088439389047</v>
          </cell>
          <cell r="FT304">
            <v>-44.170368899775212</v>
          </cell>
          <cell r="FV304">
            <v>29.039198622671236</v>
          </cell>
          <cell r="FW304">
            <v>16.257938490480406</v>
          </cell>
          <cell r="FX304">
            <v>49.323610142728569</v>
          </cell>
          <cell r="FY304">
            <v>33.075008945261388</v>
          </cell>
          <cell r="FZ304">
            <v>31.346270638397122</v>
          </cell>
          <cell r="GB304">
            <v>26.585211844264435</v>
          </cell>
          <cell r="GC304">
            <v>-10.122801825093175</v>
          </cell>
          <cell r="GD304">
            <v>20.000000000000018</v>
          </cell>
          <cell r="GE304">
            <v>-3.127955584439901</v>
          </cell>
          <cell r="GF304">
            <v>6.8214809818090139</v>
          </cell>
        </row>
        <row r="306">
          <cell r="AN306" t="str">
            <v>Gross Income</v>
          </cell>
          <cell r="EL306" t="str">
            <v>Gross Income</v>
          </cell>
          <cell r="ER306">
            <v>2303</v>
          </cell>
          <cell r="ES306">
            <v>2525</v>
          </cell>
          <cell r="ET306">
            <v>2373</v>
          </cell>
          <cell r="EU306">
            <v>3750</v>
          </cell>
          <cell r="EV306">
            <v>10951</v>
          </cell>
          <cell r="EX306">
            <v>2357</v>
          </cell>
          <cell r="EY306">
            <v>2385</v>
          </cell>
          <cell r="EZ306">
            <v>2321</v>
          </cell>
          <cell r="FA306">
            <v>3573</v>
          </cell>
          <cell r="FB306">
            <v>10636</v>
          </cell>
          <cell r="FD306">
            <v>2220</v>
          </cell>
          <cell r="FE306">
            <v>2372</v>
          </cell>
          <cell r="FF306">
            <v>2169</v>
          </cell>
          <cell r="FG306">
            <v>3122</v>
          </cell>
          <cell r="FH306">
            <v>9883</v>
          </cell>
          <cell r="FJ306">
            <v>2009</v>
          </cell>
          <cell r="FK306">
            <v>2168</v>
          </cell>
          <cell r="FL306">
            <v>2144</v>
          </cell>
          <cell r="FM306">
            <v>3296</v>
          </cell>
          <cell r="FN306">
            <v>9617</v>
          </cell>
          <cell r="FP306">
            <v>2196</v>
          </cell>
          <cell r="FQ306">
            <v>2323</v>
          </cell>
          <cell r="FR306">
            <v>2246</v>
          </cell>
          <cell r="FS306">
            <v>3414</v>
          </cell>
          <cell r="FT306">
            <v>10179</v>
          </cell>
          <cell r="FV306">
            <v>2303</v>
          </cell>
          <cell r="FW306">
            <v>2482</v>
          </cell>
          <cell r="FX306">
            <v>2309</v>
          </cell>
          <cell r="FY306">
            <v>3573</v>
          </cell>
          <cell r="FZ306">
            <v>10667</v>
          </cell>
          <cell r="GB306">
            <v>2386</v>
          </cell>
          <cell r="GC306">
            <v>2563</v>
          </cell>
          <cell r="GD306">
            <v>2350.2404131329554</v>
          </cell>
          <cell r="GE306">
            <v>3765.6301685789467</v>
          </cell>
          <cell r="GF306">
            <v>11064.870581711901</v>
          </cell>
        </row>
        <row r="307">
          <cell r="AN307" t="str">
            <v>Gross Margin</v>
          </cell>
          <cell r="EL307" t="str">
            <v>Gross Margin</v>
          </cell>
          <cell r="ER307">
            <v>0.38836424957841487</v>
          </cell>
          <cell r="ES307">
            <v>0.42118432026688907</v>
          </cell>
          <cell r="ET307">
            <v>0.40316004077471967</v>
          </cell>
          <cell r="EU307">
            <v>0.40943334425155586</v>
          </cell>
          <cell r="EV307">
            <v>0.40604375231738971</v>
          </cell>
          <cell r="EX307">
            <v>0.39807464955244048</v>
          </cell>
          <cell r="EY307">
            <v>0.40478615071283097</v>
          </cell>
          <cell r="EZ307">
            <v>0.39299017947849646</v>
          </cell>
          <cell r="FA307">
            <v>0.41575517803118456</v>
          </cell>
          <cell r="FB307">
            <v>0.40421084634971305</v>
          </cell>
          <cell r="FD307">
            <v>0.38628849834696366</v>
          </cell>
          <cell r="FE307">
            <v>0.4148303602658272</v>
          </cell>
          <cell r="FF307">
            <v>0.39486619333697431</v>
          </cell>
          <cell r="FG307">
            <v>0.39349634484497104</v>
          </cell>
          <cell r="FH307">
            <v>0.39703519202956772</v>
          </cell>
          <cell r="FJ307">
            <v>0.37991679273827533</v>
          </cell>
          <cell r="FK307">
            <v>0.41021759697256388</v>
          </cell>
          <cell r="FL307">
            <v>0.3981429897864438</v>
          </cell>
          <cell r="FM307">
            <v>0.41479989932041278</v>
          </cell>
          <cell r="FN307">
            <v>0.40231760374832665</v>
          </cell>
          <cell r="FP307">
            <v>0.3939720129171152</v>
          </cell>
          <cell r="FQ307">
            <v>0.41954126783456747</v>
          </cell>
          <cell r="FR307">
            <v>0.39943090876756182</v>
          </cell>
          <cell r="FS307">
            <v>0.41286733583262791</v>
          </cell>
          <cell r="FT307">
            <v>0.4071111466624005</v>
          </cell>
          <cell r="FV307">
            <v>0.39106809305484802</v>
          </cell>
          <cell r="FW307">
            <v>0.41791547398551943</v>
          </cell>
          <cell r="FX307">
            <v>0.39449854775328891</v>
          </cell>
          <cell r="FY307">
            <v>0.40955983493810177</v>
          </cell>
          <cell r="FZ307">
            <v>0.4039765195985609</v>
          </cell>
          <cell r="GB307">
            <v>0.38840957187042163</v>
          </cell>
          <cell r="GC307">
            <v>0.41892775416802874</v>
          </cell>
          <cell r="GD307">
            <v>0.39249854775328891</v>
          </cell>
          <cell r="GE307">
            <v>0.40987263049654576</v>
          </cell>
          <cell r="GF307">
            <v>0.40329437150037983</v>
          </cell>
        </row>
        <row r="308">
          <cell r="AN308" t="str">
            <v>BPS Change</v>
          </cell>
          <cell r="EL308" t="str">
            <v>BPS Change</v>
          </cell>
          <cell r="ER308">
            <v>-139.97738886292632</v>
          </cell>
          <cell r="ES308">
            <v>79.908342056138622</v>
          </cell>
          <cell r="ET308">
            <v>-6.2033726308408088</v>
          </cell>
          <cell r="EU308">
            <v>5.9414249625339144</v>
          </cell>
          <cell r="EV308">
            <v>-11.916206169559906</v>
          </cell>
          <cell r="EX308">
            <v>97.103999740256185</v>
          </cell>
          <cell r="EY308">
            <v>-163.98169554058094</v>
          </cell>
          <cell r="EZ308">
            <v>-101.69861296223215</v>
          </cell>
          <cell r="FA308">
            <v>63.218337796286939</v>
          </cell>
          <cell r="FB308">
            <v>-18.329059676766569</v>
          </cell>
          <cell r="FD308">
            <v>-117.86151205476824</v>
          </cell>
          <cell r="FE308">
            <v>100.4420955299623</v>
          </cell>
          <cell r="FF308">
            <v>18.760138584778542</v>
          </cell>
          <cell r="FG308">
            <v>-222.58833186213522</v>
          </cell>
          <cell r="FH308">
            <v>-71.756543201453297</v>
          </cell>
          <cell r="FJ308">
            <v>-63.717056086883275</v>
          </cell>
          <cell r="FK308">
            <v>-46.127632932633219</v>
          </cell>
          <cell r="FL308">
            <v>32.76796449469488</v>
          </cell>
          <cell r="FM308">
            <v>213.03554475441743</v>
          </cell>
          <cell r="FN308">
            <v>52.82411718758928</v>
          </cell>
          <cell r="FP308">
            <v>140.55220178839866</v>
          </cell>
          <cell r="FQ308">
            <v>93.236708620035856</v>
          </cell>
          <cell r="FR308">
            <v>12.879189811180192</v>
          </cell>
          <cell r="FS308">
            <v>-19.325634877848664</v>
          </cell>
          <cell r="FT308">
            <v>47.935429140738563</v>
          </cell>
          <cell r="FV308">
            <v>-29.03919862267179</v>
          </cell>
          <cell r="FW308">
            <v>-16.257938490480406</v>
          </cell>
          <cell r="FX308">
            <v>-49.323610142729123</v>
          </cell>
          <cell r="FY308">
            <v>-33.075008945261388</v>
          </cell>
          <cell r="FZ308">
            <v>-31.346270638396014</v>
          </cell>
          <cell r="GB308">
            <v>-26.585211844263878</v>
          </cell>
          <cell r="GC308">
            <v>10.122801825093175</v>
          </cell>
          <cell r="GD308">
            <v>-20</v>
          </cell>
          <cell r="GE308">
            <v>3.1279555844399312</v>
          </cell>
          <cell r="GF308">
            <v>-6.8214809818106792</v>
          </cell>
        </row>
        <row r="310">
          <cell r="AN310" t="str">
            <v>Total SG&amp;A</v>
          </cell>
          <cell r="EL310" t="str">
            <v>Total SG&amp;A</v>
          </cell>
          <cell r="ER310">
            <v>2154</v>
          </cell>
          <cell r="ES310">
            <v>2117</v>
          </cell>
          <cell r="ET310">
            <v>2094</v>
          </cell>
          <cell r="EU310">
            <v>2313</v>
          </cell>
          <cell r="EV310">
            <v>8678</v>
          </cell>
          <cell r="EX310">
            <v>2113</v>
          </cell>
          <cell r="EY310">
            <v>2038</v>
          </cell>
          <cell r="EZ310">
            <v>2121</v>
          </cell>
          <cell r="FA310">
            <v>2282</v>
          </cell>
          <cell r="FB310">
            <v>8554</v>
          </cell>
          <cell r="FD310">
            <v>2080</v>
          </cell>
          <cell r="FE310">
            <v>2037</v>
          </cell>
          <cell r="FF310">
            <v>2085</v>
          </cell>
          <cell r="FG310">
            <v>2256</v>
          </cell>
          <cell r="FH310">
            <v>8458</v>
          </cell>
          <cell r="FJ310">
            <v>1985</v>
          </cell>
          <cell r="FK310">
            <v>1886</v>
          </cell>
          <cell r="FL310">
            <v>2056</v>
          </cell>
          <cell r="FM310">
            <v>2236</v>
          </cell>
          <cell r="FN310">
            <v>8163</v>
          </cell>
          <cell r="FP310">
            <v>1993</v>
          </cell>
          <cell r="FQ310">
            <v>1953</v>
          </cell>
          <cell r="FR310">
            <v>2069</v>
          </cell>
          <cell r="FS310">
            <v>2245</v>
          </cell>
          <cell r="FT310">
            <v>8260</v>
          </cell>
          <cell r="FV310">
            <v>1973</v>
          </cell>
          <cell r="FW310">
            <v>1976</v>
          </cell>
          <cell r="FX310">
            <v>2018</v>
          </cell>
          <cell r="FY310">
            <v>2314</v>
          </cell>
          <cell r="FZ310">
            <v>8281</v>
          </cell>
          <cell r="GB310">
            <v>1995</v>
          </cell>
          <cell r="GC310">
            <v>2009</v>
          </cell>
          <cell r="GD310">
            <v>2108.3871000833064</v>
          </cell>
          <cell r="GE310">
            <v>2403.7660222156705</v>
          </cell>
          <cell r="GF310">
            <v>8516.1531222989761</v>
          </cell>
        </row>
        <row r="311">
          <cell r="AN311" t="str">
            <v>SG&amp;A Ratio</v>
          </cell>
          <cell r="EL311" t="str">
            <v>SG&amp;A Ratio</v>
          </cell>
          <cell r="ER311">
            <v>0.36323777403035412</v>
          </cell>
          <cell r="ES311">
            <v>0.35312760633861551</v>
          </cell>
          <cell r="ET311">
            <v>0.35575942915392456</v>
          </cell>
          <cell r="EU311">
            <v>0.25253848673435964</v>
          </cell>
          <cell r="EV311">
            <v>0.32176492398961809</v>
          </cell>
          <cell r="EX311">
            <v>0.35686539435906095</v>
          </cell>
          <cell r="EY311">
            <v>0.34589273591310249</v>
          </cell>
          <cell r="EZ311">
            <v>0.35912631222485608</v>
          </cell>
          <cell r="FA311">
            <v>0.2655340935536421</v>
          </cell>
          <cell r="FB311">
            <v>0.32508645916467144</v>
          </cell>
          <cell r="FD311">
            <v>0.36192796241517311</v>
          </cell>
          <cell r="FE311">
            <v>0.35624344176285416</v>
          </cell>
          <cell r="FF311">
            <v>0.37957400327689789</v>
          </cell>
          <cell r="FG311">
            <v>0.28434585328963952</v>
          </cell>
          <cell r="FH311">
            <v>0.33978788365739998</v>
          </cell>
          <cell r="FJ311">
            <v>0.37537821482602118</v>
          </cell>
          <cell r="FK311">
            <v>0.35685903500473037</v>
          </cell>
          <cell r="FL311">
            <v>0.38180129990714951</v>
          </cell>
          <cell r="FM311">
            <v>0.28139944626227031</v>
          </cell>
          <cell r="FN311">
            <v>0.34149096385542171</v>
          </cell>
          <cell r="FP311">
            <v>0.35755292429135271</v>
          </cell>
          <cell r="FQ311">
            <v>0.3527180783817952</v>
          </cell>
          <cell r="FR311">
            <v>0.36795304997332384</v>
          </cell>
          <cell r="FS311">
            <v>0.27149594872415045</v>
          </cell>
          <cell r="FT311">
            <v>0.33036035675718911</v>
          </cell>
          <cell r="FV311">
            <v>0.33503141450161317</v>
          </cell>
          <cell r="FW311">
            <v>0.33271594544536115</v>
          </cell>
          <cell r="FX311">
            <v>0.34478045446779432</v>
          </cell>
          <cell r="FY311">
            <v>0.26524530032095367</v>
          </cell>
          <cell r="FZ311">
            <v>0.31361484567316794</v>
          </cell>
          <cell r="GB311">
            <v>0.32475988930489991</v>
          </cell>
          <cell r="GC311">
            <v>0.32837528604118993</v>
          </cell>
          <cell r="GD311">
            <v>0.35210818019307516</v>
          </cell>
          <cell r="GE311">
            <v>0.26163958182743124</v>
          </cell>
          <cell r="GF311">
            <v>0.31039826410036436</v>
          </cell>
        </row>
        <row r="312">
          <cell r="AN312" t="str">
            <v>BPS Change</v>
          </cell>
          <cell r="EL312" t="str">
            <v>BPS Change</v>
          </cell>
          <cell r="ER312">
            <v>300.87540578005888</v>
          </cell>
          <cell r="ES312">
            <v>202.54296926526084</v>
          </cell>
          <cell r="ET312">
            <v>5.8391160216936244</v>
          </cell>
          <cell r="EU312">
            <v>-178.61680437304796</v>
          </cell>
          <cell r="EV312">
            <v>100.18608670279094</v>
          </cell>
          <cell r="EX312">
            <v>-63.723796712931716</v>
          </cell>
          <cell r="EY312">
            <v>-72.348704255130187</v>
          </cell>
          <cell r="EZ312">
            <v>33.668830709315259</v>
          </cell>
          <cell r="FA312">
            <v>129.95606819282469</v>
          </cell>
          <cell r="FB312">
            <v>33.215351750533472</v>
          </cell>
          <cell r="FD312">
            <v>50.625680561121598</v>
          </cell>
          <cell r="FE312">
            <v>103.50705849751674</v>
          </cell>
          <cell r="FF312">
            <v>204.47691052041804</v>
          </cell>
          <cell r="FG312">
            <v>188.11759735997413</v>
          </cell>
          <cell r="FH312">
            <v>147.01424492728543</v>
          </cell>
          <cell r="FJ312">
            <v>134.50252410848074</v>
          </cell>
          <cell r="FK312">
            <v>6.1559324187621112</v>
          </cell>
          <cell r="FL312">
            <v>22.272966302516185</v>
          </cell>
          <cell r="FM312">
            <v>-29.464070273692023</v>
          </cell>
          <cell r="FN312">
            <v>17.030801980217337</v>
          </cell>
          <cell r="FP312">
            <v>-178.25290534668468</v>
          </cell>
          <cell r="FQ312">
            <v>-41.409566229351768</v>
          </cell>
          <cell r="FR312">
            <v>-138.48249933825662</v>
          </cell>
          <cell r="FS312">
            <v>-99.034975381198649</v>
          </cell>
          <cell r="FT312">
            <v>-111.30607098232603</v>
          </cell>
          <cell r="FV312">
            <v>-225.21509789739548</v>
          </cell>
          <cell r="FW312">
            <v>-200.02132936434046</v>
          </cell>
          <cell r="FX312">
            <v>-231.72595505529526</v>
          </cell>
          <cell r="FY312">
            <v>-62.506484031967787</v>
          </cell>
          <cell r="FZ312">
            <v>-167.45511084021169</v>
          </cell>
          <cell r="GB312">
            <v>-102.7152519671326</v>
          </cell>
          <cell r="GC312">
            <v>-43.406594041712211</v>
          </cell>
          <cell r="GD312">
            <v>73.277257252808397</v>
          </cell>
          <cell r="GE312">
            <v>-36.057184935224271</v>
          </cell>
          <cell r="GF312">
            <v>-32.165815728035781</v>
          </cell>
        </row>
        <row r="314">
          <cell r="AN314" t="str">
            <v>Operating Income</v>
          </cell>
          <cell r="EL314" t="str">
            <v>Operating Income</v>
          </cell>
          <cell r="ER314">
            <v>149</v>
          </cell>
          <cell r="ES314">
            <v>408</v>
          </cell>
          <cell r="ET314">
            <v>279</v>
          </cell>
          <cell r="EU314">
            <v>1437</v>
          </cell>
          <cell r="EV314">
            <v>2273</v>
          </cell>
          <cell r="EX314">
            <v>244</v>
          </cell>
          <cell r="EY314">
            <v>347</v>
          </cell>
          <cell r="EZ314">
            <v>200</v>
          </cell>
          <cell r="FA314">
            <v>1291</v>
          </cell>
          <cell r="FB314">
            <v>2082</v>
          </cell>
          <cell r="FD314">
            <v>140</v>
          </cell>
          <cell r="FE314">
            <v>335</v>
          </cell>
          <cell r="FF314">
            <v>84</v>
          </cell>
          <cell r="FG314">
            <v>866</v>
          </cell>
          <cell r="FH314">
            <v>1425</v>
          </cell>
          <cell r="FJ314">
            <v>24</v>
          </cell>
          <cell r="FK314">
            <v>282</v>
          </cell>
          <cell r="FL314">
            <v>88</v>
          </cell>
          <cell r="FM314">
            <v>1060</v>
          </cell>
          <cell r="FN314">
            <v>1454</v>
          </cell>
          <cell r="FP314">
            <v>203</v>
          </cell>
          <cell r="FQ314">
            <v>370</v>
          </cell>
          <cell r="FR314">
            <v>177</v>
          </cell>
          <cell r="FS314">
            <v>1169</v>
          </cell>
          <cell r="FT314">
            <v>1919</v>
          </cell>
          <cell r="FV314">
            <v>330</v>
          </cell>
          <cell r="FW314">
            <v>506</v>
          </cell>
          <cell r="FX314">
            <v>291</v>
          </cell>
          <cell r="FY314">
            <v>1259</v>
          </cell>
          <cell r="FZ314">
            <v>2386</v>
          </cell>
          <cell r="GB314">
            <v>391</v>
          </cell>
          <cell r="GC314">
            <v>554</v>
          </cell>
          <cell r="GD314">
            <v>241.85331304964893</v>
          </cell>
          <cell r="GE314">
            <v>1361.8641463632762</v>
          </cell>
          <cell r="GF314">
            <v>2548.7174594129251</v>
          </cell>
        </row>
        <row r="315">
          <cell r="AN315" t="str">
            <v>Operating Margin</v>
          </cell>
          <cell r="EL315" t="str">
            <v>Operating Margin</v>
          </cell>
          <cell r="ER315">
            <v>2.5126475548060707E-2</v>
          </cell>
          <cell r="ES315">
            <v>6.805671392827356E-2</v>
          </cell>
          <cell r="ET315">
            <v>4.7400611620795105E-2</v>
          </cell>
          <cell r="EU315">
            <v>0.1568948575171962</v>
          </cell>
          <cell r="EV315">
            <v>8.4278828327771602E-2</v>
          </cell>
          <cell r="EX315">
            <v>4.12092551933795E-2</v>
          </cell>
          <cell r="EY315">
            <v>5.8893414799728448E-2</v>
          </cell>
          <cell r="EZ315">
            <v>3.3863867253640365E-2</v>
          </cell>
          <cell r="FA315">
            <v>0.15022108447754248</v>
          </cell>
          <cell r="FB315">
            <v>7.9124387185041611E-2</v>
          </cell>
          <cell r="FD315">
            <v>2.4360535931790498E-2</v>
          </cell>
          <cell r="FE315">
            <v>5.8586918502973068E-2</v>
          </cell>
          <cell r="FF315">
            <v>1.5292190060076462E-2</v>
          </cell>
          <cell r="FG315">
            <v>0.10915049155533149</v>
          </cell>
          <cell r="FH315">
            <v>5.7247308372167766E-2</v>
          </cell>
          <cell r="FJ315">
            <v>4.5385779122541605E-3</v>
          </cell>
          <cell r="FK315">
            <v>5.3358561967833493E-2</v>
          </cell>
          <cell r="FL315">
            <v>1.6341689879294335E-2</v>
          </cell>
          <cell r="FM315">
            <v>0.13340045305814247</v>
          </cell>
          <cell r="FN315">
            <v>6.0826639892904953E-2</v>
          </cell>
          <cell r="FP315">
            <v>3.6419088625762472E-2</v>
          </cell>
          <cell r="FQ315">
            <v>6.6823189452772255E-2</v>
          </cell>
          <cell r="FR315">
            <v>3.1477858794237951E-2</v>
          </cell>
          <cell r="FS315">
            <v>0.14137138710847744</v>
          </cell>
          <cell r="FT315">
            <v>7.6750789905211378E-2</v>
          </cell>
          <cell r="FV315">
            <v>5.6036678553234846E-2</v>
          </cell>
          <cell r="FW315">
            <v>8.5199528540158276E-2</v>
          </cell>
          <cell r="FX315">
            <v>4.9718093285494619E-2</v>
          </cell>
          <cell r="FY315">
            <v>0.1443145346171481</v>
          </cell>
          <cell r="FZ315">
            <v>9.0361673925392919E-2</v>
          </cell>
          <cell r="GB315">
            <v>6.3649682565521726E-2</v>
          </cell>
          <cell r="GC315">
            <v>9.0552468126838842E-2</v>
          </cell>
          <cell r="GD315">
            <v>4.0390367560213782E-2</v>
          </cell>
          <cell r="GE315">
            <v>0.14823304866911449</v>
          </cell>
          <cell r="GF315">
            <v>9.2896107400015485E-2</v>
          </cell>
        </row>
        <row r="316">
          <cell r="AN316" t="str">
            <v>BPS Change</v>
          </cell>
          <cell r="EL316" t="str">
            <v>BPS Change</v>
          </cell>
          <cell r="ER316">
            <v>-440.85279464298537</v>
          </cell>
          <cell r="ES316">
            <v>-122.63462720912194</v>
          </cell>
          <cell r="ET316">
            <v>-12.042488652534988</v>
          </cell>
          <cell r="EU316">
            <v>184.5582293355813</v>
          </cell>
          <cell r="EV316">
            <v>-112.10229287235099</v>
          </cell>
          <cell r="EX316">
            <v>160.82779645318794</v>
          </cell>
          <cell r="EY316">
            <v>-91.632991285451112</v>
          </cell>
          <cell r="EZ316">
            <v>-135.36744367154739</v>
          </cell>
          <cell r="FA316">
            <v>-66.737730396537188</v>
          </cell>
          <cell r="FB316">
            <v>-51.544411427299899</v>
          </cell>
          <cell r="FD316">
            <v>-168.48719261589002</v>
          </cell>
          <cell r="FE316">
            <v>-3.0649629675538055</v>
          </cell>
          <cell r="FF316">
            <v>-185.71677193563903</v>
          </cell>
          <cell r="FG316">
            <v>-410.70592922210989</v>
          </cell>
          <cell r="FJ316">
            <v>-198.21958019536339</v>
          </cell>
          <cell r="FK316">
            <v>-52.283565351395751</v>
          </cell>
          <cell r="FL316">
            <v>10.494998192178731</v>
          </cell>
          <cell r="FM316">
            <v>242.49961502810973</v>
          </cell>
          <cell r="FP316">
            <v>318.80510713508306</v>
          </cell>
          <cell r="FQ316">
            <v>134.64627484938762</v>
          </cell>
          <cell r="FR316">
            <v>151.36168914943616</v>
          </cell>
          <cell r="FS316">
            <v>78.196673151046397</v>
          </cell>
          <cell r="FV316">
            <v>196.17589927472375</v>
          </cell>
          <cell r="FW316">
            <v>183.7633908738602</v>
          </cell>
          <cell r="FX316">
            <v>182.40234491256669</v>
          </cell>
          <cell r="FY316">
            <v>29.431475086706683</v>
          </cell>
          <cell r="GB316">
            <v>76.130040122868792</v>
          </cell>
          <cell r="GC316">
            <v>53.529395866805665</v>
          </cell>
          <cell r="GD316">
            <v>-93.277257252808369</v>
          </cell>
          <cell r="GE316">
            <v>39.185140519663875</v>
          </cell>
        </row>
        <row r="318">
          <cell r="AN318" t="str">
            <v>Assumptions Spreads</v>
          </cell>
        </row>
        <row r="319">
          <cell r="AN319" t="str">
            <v>Bull Case Assumptions</v>
          </cell>
        </row>
        <row r="320">
          <cell r="AN320" t="str">
            <v>Monthly Comps</v>
          </cell>
        </row>
        <row r="321">
          <cell r="AN321" t="str">
            <v>Month 1</v>
          </cell>
          <cell r="GE321">
            <v>0.02</v>
          </cell>
        </row>
        <row r="322">
          <cell r="AN322" t="str">
            <v>Month 2</v>
          </cell>
          <cell r="GD322">
            <v>0.02</v>
          </cell>
          <cell r="GE322">
            <v>0.02</v>
          </cell>
        </row>
        <row r="323">
          <cell r="AN323" t="str">
            <v>Month 3</v>
          </cell>
          <cell r="GD323">
            <v>0.02</v>
          </cell>
          <cell r="GE323">
            <v>0.02</v>
          </cell>
        </row>
        <row r="324">
          <cell r="AN324" t="str">
            <v xml:space="preserve">  Total</v>
          </cell>
        </row>
        <row r="325">
          <cell r="AN325" t="str">
            <v>Y/Y ∆ Gross Margin (bps)</v>
          </cell>
          <cell r="GD325">
            <v>35</v>
          </cell>
          <cell r="GE325">
            <v>35</v>
          </cell>
        </row>
        <row r="326">
          <cell r="AN326" t="str">
            <v>Y/Y ∆ SG&amp;A Ratio (bps)</v>
          </cell>
          <cell r="GD326">
            <v>-24</v>
          </cell>
          <cell r="GE326">
            <v>-24</v>
          </cell>
        </row>
        <row r="328">
          <cell r="AN328" t="str">
            <v>Bear Case Assumptions</v>
          </cell>
        </row>
        <row r="329">
          <cell r="AN329" t="str">
            <v>Monthly Comps</v>
          </cell>
        </row>
        <row r="330">
          <cell r="AN330" t="str">
            <v>Month 1</v>
          </cell>
          <cell r="GE330">
            <v>-0.02</v>
          </cell>
        </row>
        <row r="331">
          <cell r="AN331" t="str">
            <v>Month 2</v>
          </cell>
          <cell r="GD331">
            <v>-0.02</v>
          </cell>
          <cell r="GE331">
            <v>-0.02</v>
          </cell>
        </row>
        <row r="332">
          <cell r="AN332" t="str">
            <v>Month 3</v>
          </cell>
          <cell r="GD332">
            <v>-0.02</v>
          </cell>
          <cell r="GE332">
            <v>-0.02</v>
          </cell>
        </row>
        <row r="333">
          <cell r="AN333" t="str">
            <v xml:space="preserve">  Total</v>
          </cell>
        </row>
        <row r="334">
          <cell r="AN334" t="str">
            <v>Y/Y ∆ Gross Margin (bps)</v>
          </cell>
          <cell r="GD334">
            <v>-35</v>
          </cell>
          <cell r="GE334">
            <v>-35</v>
          </cell>
        </row>
        <row r="335">
          <cell r="AN335" t="str">
            <v>Y/Y ∆ SG&amp;A Ratio (bps)</v>
          </cell>
          <cell r="GD335">
            <v>25</v>
          </cell>
          <cell r="GE335">
            <v>25</v>
          </cell>
        </row>
        <row r="338">
          <cell r="AN338" t="str">
            <v>Pension Expense (Benefit)</v>
          </cell>
          <cell r="EX338">
            <v>35</v>
          </cell>
          <cell r="EY338">
            <v>40</v>
          </cell>
          <cell r="EZ338">
            <v>39</v>
          </cell>
          <cell r="FA338">
            <v>39</v>
          </cell>
          <cell r="FB338">
            <v>153</v>
          </cell>
          <cell r="FD338">
            <v>38</v>
          </cell>
          <cell r="FE338">
            <v>37</v>
          </cell>
          <cell r="FF338">
            <v>38</v>
          </cell>
          <cell r="FG338">
            <v>17</v>
          </cell>
          <cell r="FH338">
            <v>130</v>
          </cell>
          <cell r="FJ338">
            <v>34</v>
          </cell>
          <cell r="FK338">
            <v>35</v>
          </cell>
          <cell r="FL338">
            <v>35</v>
          </cell>
          <cell r="FM338">
            <v>35</v>
          </cell>
          <cell r="FN338">
            <v>139</v>
          </cell>
          <cell r="FP338">
            <v>34.75</v>
          </cell>
          <cell r="FQ338">
            <v>34.75</v>
          </cell>
          <cell r="FR338">
            <v>34.75</v>
          </cell>
          <cell r="FS338">
            <v>34.75</v>
          </cell>
          <cell r="FT338">
            <v>139</v>
          </cell>
          <cell r="FV338">
            <v>34.75</v>
          </cell>
          <cell r="FW338">
            <v>38</v>
          </cell>
          <cell r="FX338">
            <v>38</v>
          </cell>
          <cell r="FY338">
            <v>39</v>
          </cell>
          <cell r="FZ338">
            <v>149.75</v>
          </cell>
          <cell r="GB338">
            <v>50.75</v>
          </cell>
          <cell r="GC338">
            <v>57</v>
          </cell>
          <cell r="GD338">
            <v>56</v>
          </cell>
          <cell r="GE338">
            <v>57</v>
          </cell>
          <cell r="GF338">
            <v>220.75</v>
          </cell>
        </row>
        <row r="339">
          <cell r="GB339">
            <v>16</v>
          </cell>
          <cell r="GC339">
            <v>19</v>
          </cell>
          <cell r="GD339">
            <v>18</v>
          </cell>
          <cell r="GE339">
            <v>18</v>
          </cell>
          <cell r="GF339">
            <v>71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4Q12A"/>
      <sheetName val="bal"/>
      <sheetName val="flow"/>
      <sheetName val="qtrP&amp;L"/>
      <sheetName val="Flow-through"/>
      <sheetName val="mthSales-Total"/>
      <sheetName val="sumry"/>
      <sheetName val="FY13 Guidance"/>
      <sheetName val="BBB"/>
      <sheetName val="yrP&amp;L"/>
      <sheetName val="qtrSales"/>
      <sheetName val="qtrSales-seg"/>
      <sheetName val="stores"/>
      <sheetName val="qtlycomp"/>
      <sheetName val="yrSales"/>
      <sheetName val="qtrP&amp;L-seg"/>
      <sheetName val="JWN ROIC"/>
      <sheetName val="turn"/>
      <sheetName val="wc"/>
      <sheetName val="Debt"/>
      <sheetName val="Earnings"/>
      <sheetName val="E-comm chart"/>
      <sheetName val="MWA RR"/>
      <sheetName val="dtc"/>
      <sheetName val="LEASES NEW"/>
      <sheetName val="mwareDates"/>
      <sheetName val="mwareSettings"/>
      <sheetName val="MW-Cach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B2" t="str">
            <v>2001-Q1</v>
          </cell>
        </row>
      </sheetData>
      <sheetData sheetId="26"/>
      <sheetData sheetId="27"/>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llBaseBear"/>
      <sheetName val="MWA RR"/>
      <sheetName val="Earnings"/>
      <sheetName val="Sheet2"/>
      <sheetName val="Model Updates"/>
      <sheetName val="Guidance"/>
      <sheetName val="sumry"/>
      <sheetName val="Sheet5"/>
      <sheetName val="sgadetail"/>
      <sheetName val="qtrSales"/>
      <sheetName val="qtrP&amp;L"/>
      <sheetName val="yrSales"/>
      <sheetName val="yrP&amp;L"/>
      <sheetName val="Old_New"/>
      <sheetName val="stores"/>
      <sheetName val="flow"/>
      <sheetName val="bal"/>
      <sheetName val="Stores_WIP"/>
      <sheetName val="Real estate-Gains"/>
      <sheetName val="dtc"/>
      <sheetName val="wc"/>
      <sheetName val="Sheet3"/>
      <sheetName val="Credit"/>
      <sheetName val="Random Data"/>
      <sheetName val="turn"/>
      <sheetName val="MW-Cache"/>
      <sheetName val="__FDSCACHE__"/>
      <sheetName val="debt"/>
      <sheetName val="Estimate Change History"/>
      <sheetName val="DCF"/>
      <sheetName val="CreditRatios"/>
      <sheetName val="E-comm chart"/>
      <sheetName val="online"/>
      <sheetName val="mthSales"/>
      <sheetName val="LEASES NEW"/>
      <sheetName val="mwareDates"/>
      <sheetName val="MW Valuation"/>
      <sheetName val="MWA ROE"/>
      <sheetName val="mwareSettings"/>
      <sheetName val="Sheet4"/>
      <sheetName val="Debt Payments"/>
      <sheetName val="Store New_WIP"/>
      <sheetName val="Sheet1"/>
      <sheetName val="Sheet6"/>
      <sheetName val="Sheet7"/>
      <sheetName val="#REF"/>
      <sheetName val="Stores_New"/>
      <sheetName val="Sheet8"/>
      <sheetName val="real estate"/>
    </sheetNames>
    <sheetDataSet>
      <sheetData sheetId="0" refreshError="1"/>
      <sheetData sheetId="1" refreshError="1"/>
      <sheetData sheetId="2" refreshError="1"/>
      <sheetData sheetId="3" refreshError="1"/>
      <sheetData sheetId="4" refreshError="1"/>
      <sheetData sheetId="5" refreshError="1"/>
      <sheetData sheetId="6">
        <row r="1">
          <cell r="A1" t="str">
            <v>Macy's Inc.</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3.xml" Type="http://schemas.openxmlformats.org/officeDocument/2006/relationships/drawing"/>
<Relationship Id="rId3" Target="../drawings/vmlDrawing6.vml" Type="http://schemas.openxmlformats.org/officeDocument/2006/relationships/vmlDrawing"/>
<Relationship Id="rId4" Target="../comments6.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4.xml" Type="http://schemas.openxmlformats.org/officeDocument/2006/relationships/drawing"/>
<Relationship Id="rId3" Target="../drawings/vmlDrawing8.vml" Type="http://schemas.openxmlformats.org/officeDocument/2006/relationships/vmlDrawing"/>
<Relationship Id="rId4" Target="../comments8.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drawing5.xml" Type="http://schemas.openxmlformats.org/officeDocument/2006/relationships/drawing"/>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drawing6.xml" Type="http://schemas.openxmlformats.org/officeDocument/2006/relationships/drawing"/>
<Relationship Id="rId3" Target="../drawings/vmlDrawing15.vml" Type="http://schemas.openxmlformats.org/officeDocument/2006/relationships/vmlDrawing"/>
<Relationship Id="rId4" Target="../comments15.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23.bin" Type="http://schemas.openxmlformats.org/officeDocument/2006/relationships/printerSettings"/>
<Relationship Id="rId2" Target="../drawings/vmlDrawing16.vml" Type="http://schemas.openxmlformats.org/officeDocument/2006/relationships/vmlDrawing"/>
<Relationship Id="rId3" Target="../comments16.xml" Type="http://schemas.openxmlformats.org/officeDocument/2006/relationships/comments"/>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78"/>
  <sheetViews>
    <sheetView showGridLines="0" tabSelected="1" workbookViewId="0">
      <selection activeCell="Z1" sqref="Z1"/>
    </sheetView>
  </sheetViews>
  <sheetFormatPr defaultRowHeight="12.75"/>
  <cols>
    <col min="1" max="1" width="25.7109375" style="2312" customWidth="1"/>
    <col min="2" max="5" width="9.140625" style="2312"/>
    <col min="6" max="6" width="18.7109375" style="2312" customWidth="1"/>
    <col min="7" max="256" width="9.140625" style="2312"/>
    <col min="257" max="257" width="100.7109375" style="2312" customWidth="1"/>
    <col min="258" max="512" width="9.140625" style="2312"/>
    <col min="513" max="513" width="100.7109375" style="2312" customWidth="1"/>
    <col min="514" max="768" width="9.140625" style="2312"/>
    <col min="769" max="769" width="100.7109375" style="2312" customWidth="1"/>
    <col min="770" max="1024" width="9.140625" style="2312"/>
    <col min="1025" max="1025" width="100.7109375" style="2312" customWidth="1"/>
    <col min="1026" max="1280" width="9.140625" style="2312"/>
    <col min="1281" max="1281" width="100.7109375" style="2312" customWidth="1"/>
    <col min="1282" max="1536" width="9.140625" style="2312"/>
    <col min="1537" max="1537" width="100.7109375" style="2312" customWidth="1"/>
    <col min="1538" max="1792" width="9.140625" style="2312"/>
    <col min="1793" max="1793" width="100.7109375" style="2312" customWidth="1"/>
    <col min="1794" max="2048" width="9.140625" style="2312"/>
    <col min="2049" max="2049" width="100.7109375" style="2312" customWidth="1"/>
    <col min="2050" max="2304" width="9.140625" style="2312"/>
    <col min="2305" max="2305" width="100.7109375" style="2312" customWidth="1"/>
    <col min="2306" max="2560" width="9.140625" style="2312"/>
    <col min="2561" max="2561" width="100.7109375" style="2312" customWidth="1"/>
    <col min="2562" max="2816" width="9.140625" style="2312"/>
    <col min="2817" max="2817" width="100.7109375" style="2312" customWidth="1"/>
    <col min="2818" max="3072" width="9.140625" style="2312"/>
    <col min="3073" max="3073" width="100.7109375" style="2312" customWidth="1"/>
    <col min="3074" max="3328" width="9.140625" style="2312"/>
    <col min="3329" max="3329" width="100.7109375" style="2312" customWidth="1"/>
    <col min="3330" max="3584" width="9.140625" style="2312"/>
    <col min="3585" max="3585" width="100.7109375" style="2312" customWidth="1"/>
    <col min="3586" max="3840" width="9.140625" style="2312"/>
    <col min="3841" max="3841" width="100.7109375" style="2312" customWidth="1"/>
    <col min="3842" max="4096" width="9.140625" style="2312"/>
    <col min="4097" max="4097" width="100.7109375" style="2312" customWidth="1"/>
    <col min="4098" max="4352" width="9.140625" style="2312"/>
    <col min="4353" max="4353" width="100.7109375" style="2312" customWidth="1"/>
    <col min="4354" max="4608" width="9.140625" style="2312"/>
    <col min="4609" max="4609" width="100.7109375" style="2312" customWidth="1"/>
    <col min="4610" max="4864" width="9.140625" style="2312"/>
    <col min="4865" max="4865" width="100.7109375" style="2312" customWidth="1"/>
    <col min="4866" max="5120" width="9.140625" style="2312"/>
    <col min="5121" max="5121" width="100.7109375" style="2312" customWidth="1"/>
    <col min="5122" max="5376" width="9.140625" style="2312"/>
    <col min="5377" max="5377" width="100.7109375" style="2312" customWidth="1"/>
    <col min="5378" max="5632" width="9.140625" style="2312"/>
    <col min="5633" max="5633" width="100.7109375" style="2312" customWidth="1"/>
    <col min="5634" max="5888" width="9.140625" style="2312"/>
    <col min="5889" max="5889" width="100.7109375" style="2312" customWidth="1"/>
    <col min="5890" max="6144" width="9.140625" style="2312"/>
    <col min="6145" max="6145" width="100.7109375" style="2312" customWidth="1"/>
    <col min="6146" max="6400" width="9.140625" style="2312"/>
    <col min="6401" max="6401" width="100.7109375" style="2312" customWidth="1"/>
    <col min="6402" max="6656" width="9.140625" style="2312"/>
    <col min="6657" max="6657" width="100.7109375" style="2312" customWidth="1"/>
    <col min="6658" max="6912" width="9.140625" style="2312"/>
    <col min="6913" max="6913" width="100.7109375" style="2312" customWidth="1"/>
    <col min="6914" max="7168" width="9.140625" style="2312"/>
    <col min="7169" max="7169" width="100.7109375" style="2312" customWidth="1"/>
    <col min="7170" max="7424" width="9.140625" style="2312"/>
    <col min="7425" max="7425" width="100.7109375" style="2312" customWidth="1"/>
    <col min="7426" max="7680" width="9.140625" style="2312"/>
    <col min="7681" max="7681" width="100.7109375" style="2312" customWidth="1"/>
    <col min="7682" max="7936" width="9.140625" style="2312"/>
    <col min="7937" max="7937" width="100.7109375" style="2312" customWidth="1"/>
    <col min="7938" max="8192" width="9.140625" style="2312"/>
    <col min="8193" max="8193" width="100.7109375" style="2312" customWidth="1"/>
    <col min="8194" max="8448" width="9.140625" style="2312"/>
    <col min="8449" max="8449" width="100.7109375" style="2312" customWidth="1"/>
    <col min="8450" max="8704" width="9.140625" style="2312"/>
    <col min="8705" max="8705" width="100.7109375" style="2312" customWidth="1"/>
    <col min="8706" max="8960" width="9.140625" style="2312"/>
    <col min="8961" max="8961" width="100.7109375" style="2312" customWidth="1"/>
    <col min="8962" max="9216" width="9.140625" style="2312"/>
    <col min="9217" max="9217" width="100.7109375" style="2312" customWidth="1"/>
    <col min="9218" max="9472" width="9.140625" style="2312"/>
    <col min="9473" max="9473" width="100.7109375" style="2312" customWidth="1"/>
    <col min="9474" max="9728" width="9.140625" style="2312"/>
    <col min="9729" max="9729" width="100.7109375" style="2312" customWidth="1"/>
    <col min="9730" max="9984" width="9.140625" style="2312"/>
    <col min="9985" max="9985" width="100.7109375" style="2312" customWidth="1"/>
    <col min="9986" max="10240" width="9.140625" style="2312"/>
    <col min="10241" max="10241" width="100.7109375" style="2312" customWidth="1"/>
    <col min="10242" max="10496" width="9.140625" style="2312"/>
    <col min="10497" max="10497" width="100.7109375" style="2312" customWidth="1"/>
    <col min="10498" max="10752" width="9.140625" style="2312"/>
    <col min="10753" max="10753" width="100.7109375" style="2312" customWidth="1"/>
    <col min="10754" max="11008" width="9.140625" style="2312"/>
    <col min="11009" max="11009" width="100.7109375" style="2312" customWidth="1"/>
    <col min="11010" max="11264" width="9.140625" style="2312"/>
    <col min="11265" max="11265" width="100.7109375" style="2312" customWidth="1"/>
    <col min="11266" max="11520" width="9.140625" style="2312"/>
    <col min="11521" max="11521" width="100.7109375" style="2312" customWidth="1"/>
    <col min="11522" max="11776" width="9.140625" style="2312"/>
    <col min="11777" max="11777" width="100.7109375" style="2312" customWidth="1"/>
    <col min="11778" max="12032" width="9.140625" style="2312"/>
    <col min="12033" max="12033" width="100.7109375" style="2312" customWidth="1"/>
    <col min="12034" max="12288" width="9.140625" style="2312"/>
    <col min="12289" max="12289" width="100.7109375" style="2312" customWidth="1"/>
    <col min="12290" max="12544" width="9.140625" style="2312"/>
    <col min="12545" max="12545" width="100.7109375" style="2312" customWidth="1"/>
    <col min="12546" max="12800" width="9.140625" style="2312"/>
    <col min="12801" max="12801" width="100.7109375" style="2312" customWidth="1"/>
    <col min="12802" max="13056" width="9.140625" style="2312"/>
    <col min="13057" max="13057" width="100.7109375" style="2312" customWidth="1"/>
    <col min="13058" max="13312" width="9.140625" style="2312"/>
    <col min="13313" max="13313" width="100.7109375" style="2312" customWidth="1"/>
    <col min="13314" max="13568" width="9.140625" style="2312"/>
    <col min="13569" max="13569" width="100.7109375" style="2312" customWidth="1"/>
    <col min="13570" max="13824" width="9.140625" style="2312"/>
    <col min="13825" max="13825" width="100.7109375" style="2312" customWidth="1"/>
    <col min="13826" max="14080" width="9.140625" style="2312"/>
    <col min="14081" max="14081" width="100.7109375" style="2312" customWidth="1"/>
    <col min="14082" max="14336" width="9.140625" style="2312"/>
    <col min="14337" max="14337" width="100.7109375" style="2312" customWidth="1"/>
    <col min="14338" max="14592" width="9.140625" style="2312"/>
    <col min="14593" max="14593" width="100.7109375" style="2312" customWidth="1"/>
    <col min="14594" max="14848" width="9.140625" style="2312"/>
    <col min="14849" max="14849" width="100.7109375" style="2312" customWidth="1"/>
    <col min="14850" max="15104" width="9.140625" style="2312"/>
    <col min="15105" max="15105" width="100.7109375" style="2312" customWidth="1"/>
    <col min="15106" max="15360" width="9.140625" style="2312"/>
    <col min="15361" max="15361" width="100.7109375" style="2312" customWidth="1"/>
    <col min="15362" max="15616" width="9.140625" style="2312"/>
    <col min="15617" max="15617" width="100.7109375" style="2312" customWidth="1"/>
    <col min="15618" max="15872" width="9.140625" style="2312"/>
    <col min="15873" max="15873" width="100.7109375" style="2312" customWidth="1"/>
    <col min="15874" max="16128" width="9.140625" style="2312"/>
    <col min="16129" max="16129" width="100.7109375" style="2312" customWidth="1"/>
    <col min="16130" max="16384" width="9.140625" style="2312"/>
  </cols>
  <sheetData>
    <row r="1" spans="1:8" ht="30" customHeight="1">
      <c r="A1" s="2310"/>
      <c r="B1" s="2311"/>
      <c r="C1" s="2311"/>
      <c r="D1" s="2311"/>
      <c r="E1" s="2311"/>
      <c r="F1" s="2311"/>
      <c r="G1" s="2311"/>
      <c r="H1" s="2311"/>
    </row>
    <row r="2" spans="1:8" ht="14.25">
      <c r="A2" s="2313" t="s">
        <v>1513</v>
      </c>
      <c r="B2" s="2311"/>
      <c r="C2" s="2311"/>
      <c r="D2" s="2311"/>
      <c r="E2" s="2311"/>
      <c r="F2" s="2311"/>
      <c r="G2" s="2311"/>
      <c r="H2" s="2311"/>
    </row>
    <row r="3" spans="1:8" ht="14.25">
      <c r="A3" s="2313" t="s">
        <v>1514</v>
      </c>
      <c r="B3" s="2311"/>
      <c r="C3" s="2311"/>
      <c r="D3" s="2311"/>
      <c r="E3" s="2311"/>
      <c r="F3" s="2311"/>
      <c r="G3" s="2311"/>
      <c r="H3" s="2311"/>
    </row>
    <row r="4" spans="1:8" ht="14.25">
      <c r="A4" s="2313" t="s">
        <v>1515</v>
      </c>
      <c r="B4" s="2311"/>
      <c r="C4" s="2311"/>
      <c r="D4" s="2311"/>
      <c r="E4" s="2311"/>
      <c r="F4" s="2311"/>
      <c r="G4" s="2311"/>
      <c r="H4" s="2311"/>
    </row>
    <row r="5" spans="1:8" ht="14.25">
      <c r="A5" s="2313" t="s">
        <v>1516</v>
      </c>
      <c r="B5" s="2311"/>
      <c r="C5" s="2311"/>
      <c r="D5" s="2311"/>
      <c r="E5" s="2311"/>
      <c r="F5" s="2311"/>
      <c r="G5" s="2311"/>
      <c r="H5" s="2311"/>
    </row>
    <row r="6" spans="1:8" ht="14.25">
      <c r="A6" s="2313"/>
      <c r="B6" s="2311"/>
      <c r="C6" s="2311"/>
      <c r="D6" s="2311"/>
      <c r="E6" s="2311"/>
      <c r="F6" s="2311"/>
      <c r="G6" s="2311"/>
      <c r="H6" s="2311"/>
    </row>
    <row r="7" spans="1:8">
      <c r="A7" s="2310" t="s">
        <v>1517</v>
      </c>
      <c r="B7" s="2311"/>
      <c r="C7" s="2311"/>
      <c r="D7" s="2311"/>
      <c r="E7" s="2311"/>
      <c r="F7" s="2311"/>
      <c r="G7" s="2311"/>
      <c r="H7" s="2311"/>
    </row>
    <row r="8" spans="1:8">
      <c r="A8" s="2310" t="s">
        <v>1518</v>
      </c>
      <c r="B8" s="2311"/>
      <c r="C8" s="2311"/>
      <c r="D8" s="2311"/>
      <c r="E8" s="2311"/>
      <c r="F8" s="2311"/>
      <c r="G8" s="2311"/>
      <c r="H8" s="2311"/>
    </row>
    <row r="9" spans="1:8">
      <c r="A9" s="2310"/>
      <c r="B9" s="2311"/>
      <c r="C9" s="2311"/>
      <c r="D9" s="2311"/>
      <c r="E9" s="2311"/>
      <c r="F9" s="2311"/>
      <c r="G9" s="2311"/>
      <c r="H9" s="2311"/>
    </row>
    <row r="10" spans="1:8">
      <c r="A10" s="2314" t="s">
        <v>1519</v>
      </c>
      <c r="B10" s="2311"/>
      <c r="C10" s="2311"/>
      <c r="D10" s="2311"/>
      <c r="E10" s="2311"/>
      <c r="F10" s="2311"/>
      <c r="G10" s="2311"/>
      <c r="H10" s="2311"/>
    </row>
    <row r="11" spans="1:8">
      <c r="A11" s="2314" t="s">
        <v>1520</v>
      </c>
      <c r="B11" s="2311"/>
      <c r="C11" s="2311"/>
      <c r="D11" s="2311"/>
      <c r="E11" s="2311"/>
      <c r="F11" s="2311"/>
      <c r="G11" s="2311"/>
      <c r="H11" s="2311"/>
    </row>
    <row r="12" spans="1:8">
      <c r="A12" s="2314" t="s">
        <v>1521</v>
      </c>
      <c r="B12" s="2311"/>
      <c r="C12" s="2311"/>
      <c r="D12" s="2311"/>
      <c r="E12" s="2311"/>
      <c r="F12" s="2311"/>
      <c r="G12" s="2311"/>
      <c r="H12" s="2311"/>
    </row>
    <row r="13" spans="1:8">
      <c r="A13" s="2314" t="s">
        <v>1522</v>
      </c>
      <c r="B13" s="2311"/>
      <c r="C13" s="2311"/>
      <c r="D13" s="2311"/>
      <c r="E13" s="2311"/>
      <c r="F13" s="2311"/>
      <c r="G13" s="2311"/>
      <c r="H13" s="2311"/>
    </row>
    <row r="14" spans="1:8">
      <c r="A14" s="2314" t="s">
        <v>1523</v>
      </c>
      <c r="B14" s="2311"/>
      <c r="C14" s="2311"/>
      <c r="D14" s="2311"/>
      <c r="E14" s="2311"/>
      <c r="F14" s="2311"/>
      <c r="G14" s="2311"/>
      <c r="H14" s="2311"/>
    </row>
    <row r="15" spans="1:8">
      <c r="A15" s="2314" t="s">
        <v>1524</v>
      </c>
      <c r="B15" s="2311"/>
      <c r="C15" s="2311"/>
      <c r="D15" s="2311"/>
      <c r="E15" s="2311"/>
      <c r="F15" s="2311"/>
      <c r="G15" s="2311"/>
      <c r="H15" s="2311"/>
    </row>
    <row r="16" spans="1:8">
      <c r="A16" s="2314"/>
      <c r="B16" s="2311"/>
      <c r="C16" s="2311"/>
      <c r="D16" s="2311"/>
      <c r="E16" s="2311"/>
      <c r="F16" s="2311"/>
      <c r="G16" s="2311"/>
      <c r="H16" s="2311"/>
    </row>
    <row r="17" spans="1:8">
      <c r="A17" s="2314" t="s">
        <v>1510</v>
      </c>
      <c r="B17" s="2311"/>
      <c r="C17" s="2311"/>
      <c r="D17" s="2311"/>
      <c r="E17" s="2311"/>
      <c r="F17" s="2311"/>
      <c r="G17" s="2311"/>
      <c r="H17" s="2311"/>
    </row>
    <row r="18" spans="1:8">
      <c r="A18" s="2314"/>
      <c r="B18" s="2311"/>
      <c r="C18" s="2311"/>
      <c r="D18" s="2311"/>
      <c r="E18" s="2311"/>
      <c r="F18" s="2311"/>
      <c r="G18" s="2311"/>
      <c r="H18" s="2311"/>
    </row>
    <row r="19" spans="1:8">
      <c r="A19" s="2314" t="s">
        <v>1511</v>
      </c>
      <c r="B19" s="2311"/>
      <c r="C19" s="2311"/>
      <c r="D19" s="2311"/>
      <c r="E19" s="2311"/>
      <c r="F19" s="2311"/>
      <c r="G19" s="2311"/>
      <c r="H19" s="2311"/>
    </row>
    <row r="20" spans="1:8">
      <c r="A20" s="2310"/>
      <c r="B20" s="2311"/>
      <c r="C20" s="2311"/>
      <c r="D20" s="2311"/>
      <c r="E20" s="2311"/>
      <c r="F20" s="2311"/>
      <c r="G20" s="2311"/>
      <c r="H20" s="2311"/>
    </row>
    <row r="21" spans="1:8">
      <c r="A21" s="2315" t="s">
        <v>1512</v>
      </c>
      <c r="B21" s="2311"/>
      <c r="C21" s="2311"/>
      <c r="D21" s="2311"/>
      <c r="E21" s="2311"/>
      <c r="F21" s="2311"/>
      <c r="G21" s="2311"/>
      <c r="H21" s="2311"/>
    </row>
    <row r="22" spans="1:8">
      <c r="A22" s="2316"/>
      <c r="B22" s="2316"/>
      <c r="C22" s="2316"/>
      <c r="D22" s="2316"/>
      <c r="E22" s="2316"/>
      <c r="F22" s="2316"/>
      <c r="G22" s="2316"/>
      <c r="H22" s="2316"/>
    </row>
    <row r="23" spans="1:8">
      <c r="A23" s="2317" t="s">
        <v>1793</v>
      </c>
      <c r="B23" s="2316"/>
      <c r="C23" s="2316"/>
      <c r="D23" s="2316"/>
      <c r="E23" s="2316"/>
      <c r="F23" s="2316"/>
      <c r="G23" s="2316"/>
      <c r="H23" s="2316"/>
    </row>
    <row r="24" spans="1:8">
      <c r="A24" s="2317" t="s">
        <v>1794</v>
      </c>
      <c r="B24" s="2316"/>
      <c r="C24" s="2316"/>
      <c r="D24" s="2316"/>
      <c r="E24" s="2316"/>
      <c r="F24" s="2316"/>
      <c r="G24" s="2316"/>
      <c r="H24" s="2316"/>
    </row>
    <row r="25" spans="1:8">
      <c r="A25" s="2317" t="s">
        <v>1795</v>
      </c>
      <c r="B25" s="2316"/>
      <c r="C25" s="2316"/>
      <c r="D25" s="2316"/>
      <c r="E25" s="2316"/>
      <c r="F25" s="2316"/>
      <c r="G25" s="2316"/>
      <c r="H25" s="2316"/>
    </row>
    <row r="26" spans="1:8">
      <c r="A26" s="2317" t="s">
        <v>1796</v>
      </c>
      <c r="B26" s="2316"/>
      <c r="C26" s="2316"/>
      <c r="D26" s="2316"/>
      <c r="E26" s="2316"/>
      <c r="F26" s="2316"/>
      <c r="G26" s="2316"/>
      <c r="H26" s="2316"/>
    </row>
    <row r="27" spans="1:8">
      <c r="A27" s="2316"/>
      <c r="B27" s="2316"/>
      <c r="C27" s="2316"/>
      <c r="D27" s="2316"/>
      <c r="E27" s="2316"/>
      <c r="F27" s="2316"/>
      <c r="G27" s="2316"/>
      <c r="H27" s="2316"/>
    </row>
    <row r="28" spans="1:8">
      <c r="A28" s="2316"/>
      <c r="B28" s="2316"/>
      <c r="C28" s="2316"/>
      <c r="D28" s="2316"/>
      <c r="E28" s="2316"/>
      <c r="F28" s="2316"/>
      <c r="G28" s="2316"/>
      <c r="H28" s="2316"/>
    </row>
    <row r="29" spans="1:8">
      <c r="A29" s="2317" t="s">
        <v>1788</v>
      </c>
      <c r="B29" s="2316"/>
      <c r="C29" s="2316"/>
      <c r="D29" s="2316"/>
      <c r="E29" s="2316"/>
      <c r="F29" s="2316"/>
      <c r="G29" s="2316"/>
      <c r="H29" s="2316"/>
    </row>
    <row r="30" spans="1:8">
      <c r="A30" s="2317" t="s">
        <v>1789</v>
      </c>
      <c r="B30" s="2316"/>
      <c r="C30" s="2316"/>
      <c r="D30" s="2316"/>
      <c r="E30" s="2316"/>
      <c r="F30" s="2316"/>
      <c r="G30" s="2316"/>
      <c r="H30" s="2316"/>
    </row>
    <row r="31" spans="1:8">
      <c r="A31" s="2317" t="s">
        <v>1790</v>
      </c>
      <c r="B31" s="2316"/>
      <c r="C31" s="2316"/>
      <c r="D31" s="2316"/>
      <c r="E31" s="2316"/>
      <c r="F31" s="2316"/>
      <c r="G31" s="2316"/>
      <c r="H31" s="2316"/>
    </row>
    <row r="32" spans="1:8">
      <c r="A32" s="2317" t="s">
        <v>1791</v>
      </c>
      <c r="B32" s="2316"/>
      <c r="C32" s="2316"/>
      <c r="D32" s="2316"/>
      <c r="E32" s="2316"/>
      <c r="F32" s="2316"/>
      <c r="G32" s="2316"/>
      <c r="H32" s="2316"/>
    </row>
    <row r="33" spans="1:8">
      <c r="A33" s="2317" t="s">
        <v>1792</v>
      </c>
      <c r="B33" s="2316"/>
      <c r="C33" s="2316"/>
      <c r="D33" s="2316"/>
      <c r="E33" s="2316"/>
      <c r="F33" s="2316"/>
      <c r="G33" s="2316"/>
      <c r="H33" s="2316"/>
    </row>
    <row r="34" spans="1:8">
      <c r="A34" s="2316"/>
      <c r="B34" s="2316"/>
      <c r="C34" s="2316"/>
      <c r="D34" s="2316"/>
      <c r="E34" s="2316"/>
      <c r="F34" s="2316"/>
      <c r="G34" s="2316"/>
      <c r="H34" s="2316"/>
    </row>
    <row r="35" spans="1:8">
      <c r="A35" s="2317" t="s">
        <v>1784</v>
      </c>
      <c r="B35" s="2316"/>
      <c r="C35" s="2316"/>
      <c r="D35" s="2316"/>
      <c r="E35" s="2316"/>
      <c r="F35" s="2316"/>
      <c r="G35" s="2316"/>
      <c r="H35" s="2316"/>
    </row>
    <row r="36" spans="1:8">
      <c r="A36" s="2317" t="s">
        <v>1785</v>
      </c>
      <c r="B36" s="2316"/>
      <c r="C36" s="2316"/>
      <c r="D36" s="2316"/>
      <c r="E36" s="2316"/>
      <c r="F36" s="2316"/>
      <c r="G36" s="2316"/>
      <c r="H36" s="2316"/>
    </row>
    <row r="37" spans="1:8">
      <c r="A37" s="2317" t="s">
        <v>1786</v>
      </c>
      <c r="B37" s="2316"/>
      <c r="C37" s="2316"/>
      <c r="D37" s="2316"/>
      <c r="E37" s="2316"/>
      <c r="F37" s="2316"/>
      <c r="G37" s="2316"/>
      <c r="H37" s="2316"/>
    </row>
    <row r="38" spans="1:8">
      <c r="A38" s="2317" t="s">
        <v>1787</v>
      </c>
      <c r="B38" s="2316"/>
      <c r="C38" s="2316"/>
      <c r="D38" s="2316"/>
      <c r="E38" s="2316"/>
      <c r="F38" s="2316"/>
      <c r="G38" s="2316"/>
      <c r="H38" s="2316"/>
    </row>
    <row r="39" spans="1:8">
      <c r="A39" s="2316"/>
      <c r="B39" s="2316"/>
      <c r="C39" s="2316"/>
      <c r="D39" s="2316"/>
      <c r="E39" s="2316"/>
      <c r="F39" s="2316"/>
      <c r="G39" s="2316"/>
      <c r="H39" s="2316"/>
    </row>
    <row r="40" spans="1:8">
      <c r="A40" s="2317" t="s">
        <v>1778</v>
      </c>
      <c r="B40" s="2316"/>
      <c r="C40" s="2316"/>
      <c r="D40" s="2316"/>
      <c r="E40" s="2316"/>
      <c r="F40" s="2316"/>
      <c r="G40" s="2316"/>
      <c r="H40" s="2316"/>
    </row>
    <row r="41" spans="1:8">
      <c r="A41" s="2317" t="s">
        <v>1779</v>
      </c>
      <c r="B41" s="2316"/>
      <c r="C41" s="2316"/>
      <c r="D41" s="2316"/>
      <c r="E41" s="2316"/>
      <c r="F41" s="2316"/>
      <c r="G41" s="2316"/>
      <c r="H41" s="2316"/>
    </row>
    <row r="42" spans="1:8">
      <c r="A42" s="2317" t="s">
        <v>1780</v>
      </c>
      <c r="B42" s="2316"/>
      <c r="C42" s="2316"/>
      <c r="D42" s="2316"/>
      <c r="E42" s="2316"/>
      <c r="F42" s="2316"/>
      <c r="G42" s="2316"/>
      <c r="H42" s="2316"/>
    </row>
    <row r="43" spans="1:8">
      <c r="A43" s="2317" t="s">
        <v>1781</v>
      </c>
      <c r="B43" s="2316"/>
      <c r="C43" s="2316"/>
      <c r="D43" s="2316"/>
      <c r="E43" s="2316"/>
      <c r="F43" s="2316"/>
      <c r="G43" s="2316"/>
      <c r="H43" s="2316"/>
    </row>
    <row r="44" spans="1:8">
      <c r="A44" s="2317" t="s">
        <v>1782</v>
      </c>
      <c r="B44" s="2316"/>
      <c r="C44" s="2316"/>
      <c r="D44" s="2316"/>
      <c r="E44" s="2316"/>
      <c r="F44" s="2316"/>
      <c r="G44" s="2316"/>
      <c r="H44" s="2316"/>
    </row>
    <row r="45" spans="1:8">
      <c r="A45" s="2317" t="s">
        <v>1783</v>
      </c>
      <c r="B45" s="2316"/>
      <c r="C45" s="2316"/>
      <c r="D45" s="2316"/>
      <c r="E45" s="2316"/>
      <c r="F45" s="2316"/>
      <c r="G45" s="2316"/>
      <c r="H45" s="2316"/>
    </row>
    <row r="46" spans="1:8">
      <c r="A46" s="2316"/>
      <c r="B46" s="2316"/>
      <c r="C46" s="2316"/>
      <c r="D46" s="2316"/>
      <c r="E46" s="2316"/>
      <c r="F46" s="2316"/>
      <c r="G46" s="2316"/>
      <c r="H46" s="2316"/>
    </row>
    <row r="47" spans="1:8" ht="15.75">
      <c r="A47" s="2318" t="s">
        <v>1525</v>
      </c>
      <c r="B47" s="2316"/>
      <c r="C47" s="2316"/>
      <c r="D47" s="2316"/>
      <c r="E47" s="2316"/>
      <c r="F47" s="2316"/>
      <c r="G47" s="2316"/>
      <c r="H47" s="2316"/>
    </row>
    <row r="48" spans="1:8">
      <c r="A48" s="2316"/>
      <c r="B48" s="2316"/>
      <c r="C48" s="2316"/>
      <c r="D48" s="2316"/>
      <c r="E48" s="2316"/>
      <c r="F48" s="2316"/>
      <c r="G48" s="2316"/>
      <c r="H48" s="2316"/>
    </row>
    <row r="49" spans="1:8">
      <c r="A49" s="2317" t="s">
        <v>1774</v>
      </c>
      <c r="B49" s="2316"/>
      <c r="C49" s="2316"/>
      <c r="D49" s="2316"/>
      <c r="E49" s="2316"/>
      <c r="F49" s="2316"/>
      <c r="G49" s="2316"/>
      <c r="H49" s="2316"/>
    </row>
    <row r="50" spans="1:8">
      <c r="A50" s="2317" t="s">
        <v>1775</v>
      </c>
      <c r="B50" s="2316"/>
      <c r="C50" s="2316"/>
      <c r="D50" s="2316"/>
      <c r="E50" s="2316"/>
      <c r="F50" s="2316"/>
      <c r="G50" s="2316"/>
      <c r="H50" s="2316"/>
    </row>
    <row r="51" spans="1:8">
      <c r="A51" s="2317" t="s">
        <v>1776</v>
      </c>
      <c r="B51" s="2316"/>
      <c r="C51" s="2316"/>
      <c r="D51" s="2316"/>
      <c r="E51" s="2316"/>
      <c r="F51" s="2316"/>
      <c r="G51" s="2316"/>
      <c r="H51" s="2316"/>
    </row>
    <row r="52" spans="1:8">
      <c r="A52" s="2317" t="s">
        <v>1777</v>
      </c>
      <c r="B52" s="2316"/>
      <c r="C52" s="2316"/>
      <c r="D52" s="2316"/>
      <c r="E52" s="2316"/>
      <c r="F52" s="2316"/>
      <c r="G52" s="2316"/>
      <c r="H52" s="2316"/>
    </row>
    <row r="53" spans="1:8">
      <c r="A53" s="2316"/>
      <c r="B53" s="2316"/>
      <c r="C53" s="2316"/>
      <c r="D53" s="2316"/>
      <c r="E53" s="2316"/>
      <c r="F53" s="2316"/>
      <c r="G53" s="2316"/>
      <c r="H53" s="2316"/>
    </row>
    <row r="54" spans="1:8">
      <c r="A54" s="2317" t="s">
        <v>1526</v>
      </c>
      <c r="B54" s="2316"/>
      <c r="C54" s="2316"/>
      <c r="D54" s="2316"/>
      <c r="E54" s="2316"/>
      <c r="F54" s="2316"/>
      <c r="G54" s="2316"/>
      <c r="H54" s="2316"/>
    </row>
    <row r="55" spans="1:8">
      <c r="A55" s="2316"/>
      <c r="B55" s="2316"/>
      <c r="C55" s="2316"/>
      <c r="D55" s="2316"/>
      <c r="E55" s="2316"/>
      <c r="F55" s="2316"/>
      <c r="G55" s="2316"/>
      <c r="H55" s="2316"/>
    </row>
    <row r="56" spans="1:8" ht="15.75">
      <c r="A56" s="2318" t="s">
        <v>1527</v>
      </c>
      <c r="B56" s="2316"/>
      <c r="C56" s="2316"/>
      <c r="D56" s="2316"/>
      <c r="E56" s="2316"/>
      <c r="F56" s="2316"/>
      <c r="G56" s="2316"/>
      <c r="H56" s="2316"/>
    </row>
    <row r="57" spans="1:8">
      <c r="A57" s="2316"/>
      <c r="B57" s="2316"/>
      <c r="C57" s="2316"/>
      <c r="D57" s="2316"/>
      <c r="E57" s="2316"/>
      <c r="F57" s="2316"/>
      <c r="G57" s="2316"/>
      <c r="H57" s="2316"/>
    </row>
    <row r="58" spans="1:8">
      <c r="A58" s="2317" t="s">
        <v>1772</v>
      </c>
      <c r="B58" s="2316"/>
      <c r="C58" s="2316"/>
      <c r="D58" s="2316"/>
      <c r="E58" s="2316"/>
      <c r="F58" s="2316"/>
      <c r="G58" s="2316"/>
      <c r="H58" s="2316"/>
    </row>
    <row r="59" spans="1:8">
      <c r="A59" s="2317" t="s">
        <v>1773</v>
      </c>
      <c r="B59" s="2316"/>
      <c r="C59" s="2316"/>
      <c r="D59" s="2316"/>
      <c r="E59" s="2316"/>
      <c r="F59" s="2316"/>
      <c r="G59" s="2316"/>
      <c r="H59" s="2316"/>
    </row>
    <row r="60" spans="1:8">
      <c r="A60" s="2316"/>
      <c r="B60" s="2316"/>
      <c r="C60" s="2316"/>
      <c r="D60" s="2316"/>
      <c r="E60" s="2316"/>
      <c r="F60" s="2316"/>
      <c r="G60" s="2316"/>
      <c r="H60" s="2316"/>
    </row>
    <row r="61" spans="1:8" ht="15.75">
      <c r="A61" s="2318" t="s">
        <v>1528</v>
      </c>
      <c r="B61" s="2316"/>
      <c r="C61" s="2316"/>
      <c r="D61" s="2316"/>
      <c r="E61" s="2316"/>
      <c r="F61" s="2316"/>
      <c r="G61" s="2316"/>
      <c r="H61" s="2316"/>
    </row>
    <row r="62" spans="1:8">
      <c r="A62" s="2316"/>
      <c r="B62" s="2316"/>
      <c r="C62" s="2316"/>
      <c r="D62" s="2316"/>
      <c r="E62" s="2316"/>
      <c r="F62" s="2316"/>
      <c r="G62" s="2316"/>
      <c r="H62" s="2316"/>
    </row>
    <row r="63" spans="1:8">
      <c r="A63" s="2317" t="s">
        <v>1770</v>
      </c>
      <c r="B63" s="2316"/>
      <c r="C63" s="2316"/>
      <c r="D63" s="2316"/>
      <c r="E63" s="2316"/>
      <c r="F63" s="2316"/>
      <c r="G63" s="2316"/>
      <c r="H63" s="2316"/>
    </row>
    <row r="64" spans="1:8">
      <c r="A64" s="2317" t="s">
        <v>1771</v>
      </c>
      <c r="B64" s="2316"/>
      <c r="C64" s="2316"/>
      <c r="D64" s="2316"/>
      <c r="E64" s="2316"/>
      <c r="F64" s="2316"/>
      <c r="G64" s="2316"/>
      <c r="H64" s="2316"/>
    </row>
    <row r="65" spans="1:8">
      <c r="A65" s="2316"/>
      <c r="B65" s="2316"/>
      <c r="C65" s="2316"/>
      <c r="D65" s="2316"/>
      <c r="E65" s="2316"/>
      <c r="F65" s="2316"/>
      <c r="G65" s="2316"/>
      <c r="H65" s="2316"/>
    </row>
    <row r="66" spans="1:8">
      <c r="A66" s="2317" t="s">
        <v>1529</v>
      </c>
      <c r="B66" s="2316"/>
      <c r="C66" s="2316"/>
      <c r="D66" s="2316"/>
      <c r="E66" s="2316"/>
      <c r="F66" s="2316"/>
      <c r="G66" s="2316"/>
      <c r="H66" s="2316"/>
    </row>
    <row r="67" spans="1:8">
      <c r="A67" s="2316"/>
      <c r="B67" s="2316"/>
      <c r="C67" s="2316"/>
      <c r="D67" s="2316"/>
      <c r="E67" s="2316"/>
      <c r="F67" s="2316"/>
      <c r="G67" s="2316"/>
      <c r="H67" s="2316"/>
    </row>
    <row r="68" spans="1:8">
      <c r="A68" s="2317" t="s">
        <v>1765</v>
      </c>
      <c r="B68" s="2316"/>
      <c r="C68" s="2316"/>
      <c r="D68" s="2316"/>
      <c r="E68" s="2316"/>
      <c r="F68" s="2316"/>
      <c r="G68" s="2316"/>
      <c r="H68" s="2316"/>
    </row>
    <row r="69" spans="1:8">
      <c r="A69" s="2317" t="s">
        <v>1766</v>
      </c>
      <c r="B69" s="2316"/>
      <c r="C69" s="2316"/>
      <c r="D69" s="2316"/>
      <c r="E69" s="2316"/>
      <c r="F69" s="2316"/>
      <c r="G69" s="2316"/>
      <c r="H69" s="2316"/>
    </row>
    <row r="70" spans="1:8">
      <c r="A70" s="2317" t="s">
        <v>1767</v>
      </c>
      <c r="B70" s="2316"/>
      <c r="C70" s="2316"/>
      <c r="D70" s="2316"/>
      <c r="E70" s="2316"/>
      <c r="F70" s="2316"/>
      <c r="G70" s="2316"/>
      <c r="H70" s="2316"/>
    </row>
    <row r="71" spans="1:8">
      <c r="A71" s="2317" t="s">
        <v>1768</v>
      </c>
      <c r="B71" s="2316"/>
      <c r="C71" s="2316"/>
      <c r="D71" s="2316"/>
      <c r="E71" s="2316"/>
      <c r="F71" s="2316"/>
      <c r="G71" s="2316"/>
      <c r="H71" s="2316"/>
    </row>
    <row r="72" spans="1:8">
      <c r="A72" s="2317" t="s">
        <v>1769</v>
      </c>
      <c r="B72" s="2316"/>
      <c r="C72" s="2316"/>
      <c r="D72" s="2316"/>
      <c r="E72" s="2316"/>
      <c r="F72" s="2316"/>
      <c r="G72" s="2316"/>
      <c r="H72" s="2316"/>
    </row>
    <row r="73" spans="1:8">
      <c r="A73" s="2317" t="s">
        <v>1654</v>
      </c>
      <c r="B73" s="2316"/>
      <c r="C73" s="2316"/>
      <c r="D73" s="2316"/>
      <c r="E73" s="2316"/>
      <c r="F73" s="2316"/>
      <c r="G73" s="2316"/>
      <c r="H73" s="2316"/>
    </row>
    <row r="74" spans="1:8">
      <c r="A74" s="2316"/>
      <c r="B74" s="2316"/>
      <c r="C74" s="2316"/>
      <c r="D74" s="2316"/>
      <c r="E74" s="2316"/>
      <c r="F74" s="2316"/>
      <c r="G74" s="2316"/>
      <c r="H74" s="2316"/>
    </row>
    <row r="75" spans="1:8">
      <c r="A75" s="2317" t="s">
        <v>1758</v>
      </c>
      <c r="B75" s="2316"/>
      <c r="C75" s="2316"/>
      <c r="D75" s="2316"/>
      <c r="E75" s="2316"/>
      <c r="F75" s="2316"/>
      <c r="G75" s="2316"/>
      <c r="H75" s="2316"/>
    </row>
    <row r="76" spans="1:8">
      <c r="A76" s="2317" t="s">
        <v>1759</v>
      </c>
      <c r="B76" s="2316"/>
      <c r="C76" s="2316"/>
      <c r="D76" s="2316"/>
      <c r="E76" s="2316"/>
      <c r="F76" s="2316"/>
      <c r="G76" s="2316"/>
      <c r="H76" s="2316"/>
    </row>
    <row r="77" spans="1:8">
      <c r="A77" s="2317" t="s">
        <v>1760</v>
      </c>
      <c r="B77" s="2316"/>
      <c r="C77" s="2316"/>
      <c r="D77" s="2316"/>
      <c r="E77" s="2316"/>
      <c r="F77" s="2316"/>
      <c r="G77" s="2316"/>
      <c r="H77" s="2316"/>
    </row>
    <row r="78" spans="1:8">
      <c r="A78" s="2317" t="s">
        <v>1761</v>
      </c>
      <c r="B78" s="2316"/>
      <c r="C78" s="2316"/>
      <c r="D78" s="2316"/>
      <c r="E78" s="2316"/>
      <c r="F78" s="2316"/>
      <c r="G78" s="2316"/>
      <c r="H78" s="2316"/>
    </row>
    <row r="79" spans="1:8">
      <c r="A79" s="2317" t="s">
        <v>1762</v>
      </c>
      <c r="B79" s="2316"/>
      <c r="C79" s="2316"/>
      <c r="D79" s="2316"/>
      <c r="E79" s="2316"/>
      <c r="F79" s="2316"/>
      <c r="G79" s="2316"/>
      <c r="H79" s="2316"/>
    </row>
    <row r="80" spans="1:8">
      <c r="A80" s="2317" t="s">
        <v>1763</v>
      </c>
      <c r="B80" s="2316"/>
      <c r="C80" s="2316"/>
      <c r="D80" s="2316"/>
      <c r="E80" s="2316"/>
      <c r="F80" s="2316"/>
      <c r="G80" s="2316"/>
      <c r="H80" s="2316"/>
    </row>
    <row r="81" spans="1:8">
      <c r="A81" s="2317" t="s">
        <v>1764</v>
      </c>
      <c r="B81" s="2316"/>
      <c r="C81" s="2316"/>
      <c r="D81" s="2316"/>
      <c r="E81" s="2316"/>
      <c r="F81" s="2316"/>
      <c r="G81" s="2316"/>
      <c r="H81" s="2316"/>
    </row>
    <row r="82" spans="1:8">
      <c r="A82" s="2316"/>
      <c r="B82" s="2316"/>
      <c r="C82" s="2316"/>
      <c r="D82" s="2316"/>
      <c r="E82" s="2316"/>
      <c r="F82" s="2316"/>
      <c r="G82" s="2316"/>
      <c r="H82" s="2316"/>
    </row>
    <row r="83" spans="1:8">
      <c r="A83" s="2317" t="s">
        <v>1756</v>
      </c>
      <c r="B83" s="2316"/>
      <c r="C83" s="2316"/>
      <c r="D83" s="2316"/>
      <c r="E83" s="2316"/>
      <c r="F83" s="2316"/>
      <c r="G83" s="2316"/>
      <c r="H83" s="2316"/>
    </row>
    <row r="84" spans="1:8">
      <c r="A84" s="2317" t="s">
        <v>1757</v>
      </c>
      <c r="B84" s="2316"/>
      <c r="C84" s="2316"/>
      <c r="D84" s="2316"/>
      <c r="E84" s="2316"/>
      <c r="F84" s="2316"/>
      <c r="G84" s="2316"/>
      <c r="H84" s="2316"/>
    </row>
    <row r="85" spans="1:8">
      <c r="A85" s="2316"/>
      <c r="B85" s="2316"/>
      <c r="C85" s="2316"/>
      <c r="D85" s="2316"/>
      <c r="E85" s="2316"/>
      <c r="F85" s="2316"/>
      <c r="G85" s="2316"/>
      <c r="H85" s="2316"/>
    </row>
    <row r="86" spans="1:8" ht="15.75">
      <c r="A86" s="2318" t="s">
        <v>1530</v>
      </c>
      <c r="B86" s="2316"/>
      <c r="C86" s="2316"/>
      <c r="D86" s="2316"/>
      <c r="E86" s="2316"/>
      <c r="F86" s="2316"/>
      <c r="G86" s="2316"/>
      <c r="H86" s="2316"/>
    </row>
    <row r="87" spans="1:8">
      <c r="A87" s="2316"/>
      <c r="B87" s="2316"/>
      <c r="C87" s="2316"/>
      <c r="D87" s="2316"/>
      <c r="E87" s="2316"/>
      <c r="F87" s="2316"/>
      <c r="G87" s="2316"/>
      <c r="H87" s="2316"/>
    </row>
    <row r="88" spans="1:8">
      <c r="A88" s="2317" t="s">
        <v>1747</v>
      </c>
      <c r="B88" s="2316"/>
      <c r="C88" s="2316"/>
      <c r="D88" s="2316"/>
      <c r="E88" s="2316"/>
      <c r="F88" s="2316"/>
      <c r="G88" s="2316"/>
      <c r="H88" s="2316"/>
    </row>
    <row r="89" spans="1:8">
      <c r="A89" s="2317" t="s">
        <v>1748</v>
      </c>
      <c r="B89" s="2316"/>
      <c r="C89" s="2316"/>
      <c r="D89" s="2316"/>
      <c r="E89" s="2316"/>
      <c r="F89" s="2316"/>
      <c r="G89" s="2316"/>
      <c r="H89" s="2316"/>
    </row>
    <row r="90" spans="1:8">
      <c r="A90" s="2317" t="s">
        <v>1749</v>
      </c>
      <c r="B90" s="2316"/>
      <c r="C90" s="2316"/>
      <c r="D90" s="2316"/>
      <c r="E90" s="2316"/>
      <c r="F90" s="2316"/>
      <c r="G90" s="2316"/>
      <c r="H90" s="2316"/>
    </row>
    <row r="91" spans="1:8">
      <c r="A91" s="2317" t="s">
        <v>1750</v>
      </c>
      <c r="B91" s="2316"/>
      <c r="C91" s="2316"/>
      <c r="D91" s="2316"/>
      <c r="E91" s="2316"/>
      <c r="F91" s="2316"/>
      <c r="G91" s="2316"/>
      <c r="H91" s="2316"/>
    </row>
    <row r="92" spans="1:8">
      <c r="A92" s="2317" t="s">
        <v>1751</v>
      </c>
      <c r="B92" s="2316"/>
      <c r="C92" s="2316"/>
      <c r="D92" s="2316"/>
      <c r="E92" s="2316"/>
      <c r="F92" s="2316"/>
      <c r="G92" s="2316"/>
      <c r="H92" s="2316"/>
    </row>
    <row r="93" spans="1:8">
      <c r="A93" s="2317" t="s">
        <v>1752</v>
      </c>
      <c r="B93" s="2316"/>
      <c r="C93" s="2316"/>
      <c r="D93" s="2316"/>
      <c r="E93" s="2316"/>
      <c r="F93" s="2316"/>
      <c r="G93" s="2316"/>
      <c r="H93" s="2316"/>
    </row>
    <row r="94" spans="1:8">
      <c r="A94" s="2317" t="s">
        <v>1753</v>
      </c>
      <c r="B94" s="2316"/>
      <c r="C94" s="2316"/>
      <c r="D94" s="2316"/>
      <c r="E94" s="2316"/>
      <c r="F94" s="2316"/>
      <c r="G94" s="2316"/>
      <c r="H94" s="2316"/>
    </row>
    <row r="95" spans="1:8">
      <c r="A95" s="2317" t="s">
        <v>1754</v>
      </c>
      <c r="B95" s="2316"/>
      <c r="C95" s="2316"/>
      <c r="D95" s="2316"/>
      <c r="E95" s="2316"/>
      <c r="F95" s="2316"/>
      <c r="G95" s="2316"/>
      <c r="H95" s="2316"/>
    </row>
    <row r="96" spans="1:8">
      <c r="A96" s="2317" t="s">
        <v>1755</v>
      </c>
      <c r="B96" s="2316"/>
      <c r="C96" s="2316"/>
      <c r="D96" s="2316"/>
      <c r="E96" s="2316"/>
      <c r="F96" s="2316"/>
      <c r="G96" s="2316"/>
      <c r="H96" s="2316"/>
    </row>
    <row r="97" spans="1:8">
      <c r="A97" s="2316"/>
      <c r="B97" s="2316"/>
      <c r="C97" s="2316"/>
      <c r="D97" s="2316"/>
      <c r="E97" s="2316"/>
      <c r="F97" s="2316"/>
      <c r="G97" s="2316"/>
      <c r="H97" s="2316"/>
    </row>
    <row r="98" spans="1:8" ht="15.75">
      <c r="A98" s="2319" t="s">
        <v>1531</v>
      </c>
      <c r="B98" s="2319"/>
      <c r="C98" s="2319"/>
      <c r="D98" s="2319"/>
      <c r="E98" s="2319"/>
      <c r="F98" s="2319"/>
      <c r="G98" s="2319"/>
      <c r="H98" s="2319"/>
    </row>
    <row r="99" spans="1:8">
      <c r="A99" s="2320" t="s">
        <v>1532</v>
      </c>
      <c r="B99" s="2320"/>
      <c r="C99" s="2320"/>
      <c r="D99" s="2320"/>
      <c r="E99" s="2320"/>
      <c r="F99" s="2320"/>
      <c r="G99" s="2320"/>
      <c r="H99" s="2320"/>
    </row>
    <row r="100" spans="1:8">
      <c r="A100" s="2321"/>
      <c r="B100" s="2321"/>
      <c r="C100" s="2321"/>
      <c r="D100" s="2321"/>
      <c r="E100" s="2321"/>
      <c r="F100" s="2321"/>
      <c r="G100" s="2321"/>
      <c r="H100" s="2321"/>
    </row>
    <row r="101" spans="1:8">
      <c r="A101" s="2320" t="s">
        <v>1745</v>
      </c>
      <c r="B101" s="2320"/>
      <c r="C101" s="2320"/>
      <c r="D101" s="2320"/>
      <c r="E101" s="2320"/>
      <c r="F101" s="2320"/>
      <c r="G101" s="2320"/>
      <c r="H101" s="2320"/>
    </row>
    <row r="102" spans="1:8">
      <c r="A102" s="2317" t="s">
        <v>1746</v>
      </c>
      <c r="B102" s="2317"/>
      <c r="C102" s="2317"/>
      <c r="D102" s="2317"/>
      <c r="E102" s="2317"/>
      <c r="F102" s="2317"/>
      <c r="G102" s="2317"/>
      <c r="H102" s="2317"/>
    </row>
    <row r="103" spans="1:8">
      <c r="A103" s="2321"/>
      <c r="B103" s="2321"/>
      <c r="C103" s="2321"/>
      <c r="D103" s="2321"/>
      <c r="E103" s="2321"/>
      <c r="F103" s="2321"/>
      <c r="G103" s="2321"/>
      <c r="H103" s="2321"/>
    </row>
    <row r="104" spans="1:8">
      <c r="A104" s="2320" t="s">
        <v>1738</v>
      </c>
      <c r="B104" s="2320"/>
      <c r="C104" s="2320"/>
      <c r="D104" s="2320"/>
      <c r="E104" s="2320"/>
      <c r="F104" s="2320"/>
      <c r="G104" s="2320"/>
      <c r="H104" s="2320"/>
    </row>
    <row r="105" spans="1:8">
      <c r="A105" s="2317" t="s">
        <v>1739</v>
      </c>
      <c r="B105" s="2317"/>
      <c r="C105" s="2317"/>
      <c r="D105" s="2317"/>
      <c r="E105" s="2317"/>
      <c r="F105" s="2317"/>
      <c r="G105" s="2317"/>
      <c r="H105" s="2317"/>
    </row>
    <row r="106" spans="1:8">
      <c r="A106" s="2317" t="s">
        <v>1740</v>
      </c>
      <c r="B106" s="2317"/>
      <c r="C106" s="2317"/>
      <c r="D106" s="2317"/>
      <c r="E106" s="2317"/>
      <c r="F106" s="2317"/>
      <c r="G106" s="2317"/>
      <c r="H106" s="2317"/>
    </row>
    <row r="107" spans="1:8">
      <c r="A107" s="2317" t="s">
        <v>1741</v>
      </c>
      <c r="B107" s="2317"/>
      <c r="C107" s="2317"/>
      <c r="D107" s="2317"/>
      <c r="E107" s="2317"/>
      <c r="F107" s="2317"/>
      <c r="G107" s="2317"/>
      <c r="H107" s="2317"/>
    </row>
    <row r="108" spans="1:8">
      <c r="A108" s="2317" t="s">
        <v>1742</v>
      </c>
      <c r="B108" s="2317"/>
      <c r="C108" s="2317"/>
      <c r="D108" s="2317"/>
      <c r="E108" s="2317"/>
      <c r="F108" s="2317"/>
      <c r="G108" s="2317"/>
      <c r="H108" s="2317"/>
    </row>
    <row r="109" spans="1:8">
      <c r="A109" s="2317" t="s">
        <v>1743</v>
      </c>
      <c r="B109" s="2317"/>
      <c r="C109" s="2317"/>
      <c r="D109" s="2317"/>
      <c r="E109" s="2317"/>
      <c r="F109" s="2317"/>
      <c r="G109" s="2317"/>
      <c r="H109" s="2317"/>
    </row>
    <row r="110" spans="1:8">
      <c r="A110" s="2317" t="s">
        <v>1744</v>
      </c>
      <c r="B110" s="2317"/>
      <c r="C110" s="2317"/>
      <c r="D110" s="2317"/>
      <c r="E110" s="2317"/>
      <c r="F110" s="2317"/>
      <c r="G110" s="2317"/>
      <c r="H110" s="2317"/>
    </row>
    <row r="111" spans="1:8">
      <c r="A111" s="2322"/>
      <c r="B111" s="2322"/>
      <c r="C111" s="2322"/>
      <c r="D111" s="2322"/>
      <c r="E111" s="2322"/>
      <c r="F111" s="2322"/>
      <c r="G111" s="2322"/>
      <c r="H111" s="2322"/>
    </row>
    <row r="112" spans="1:8">
      <c r="A112" s="2323"/>
      <c r="B112" s="2324" t="s">
        <v>1533</v>
      </c>
      <c r="C112" s="2325"/>
      <c r="D112" s="2324" t="s">
        <v>1534</v>
      </c>
      <c r="E112" s="2326"/>
      <c r="F112" s="2325"/>
      <c r="G112" s="2324" t="s">
        <v>1535</v>
      </c>
      <c r="H112" s="2325"/>
    </row>
    <row r="113" spans="1:8">
      <c r="A113" s="2323" t="s">
        <v>1536</v>
      </c>
      <c r="B113" s="2323" t="s">
        <v>415</v>
      </c>
      <c r="C113" s="2323" t="s">
        <v>369</v>
      </c>
      <c r="D113" s="2323" t="s">
        <v>415</v>
      </c>
      <c r="E113" s="2323" t="s">
        <v>1537</v>
      </c>
      <c r="F113" s="2323" t="s">
        <v>1538</v>
      </c>
      <c r="G113" s="2323" t="s">
        <v>415</v>
      </c>
      <c r="H113" s="2323" t="s">
        <v>1539</v>
      </c>
    </row>
    <row r="114" spans="1:8">
      <c r="A114" s="2323" t="s">
        <v>1540</v>
      </c>
      <c r="B114" s="2323">
        <v>1175</v>
      </c>
      <c r="C114" s="2327">
        <v>0.37</v>
      </c>
      <c r="D114" s="2323">
        <v>315</v>
      </c>
      <c r="E114" s="2327">
        <v>0.41</v>
      </c>
      <c r="F114" s="2327">
        <v>0.27</v>
      </c>
      <c r="G114" s="2323">
        <v>555</v>
      </c>
      <c r="H114" s="2327">
        <v>0.39</v>
      </c>
    </row>
    <row r="115" spans="1:8">
      <c r="A115" s="2323" t="s">
        <v>1541</v>
      </c>
      <c r="B115" s="2323">
        <v>1369</v>
      </c>
      <c r="C115" s="2327">
        <v>0.43</v>
      </c>
      <c r="D115" s="2323">
        <v>357</v>
      </c>
      <c r="E115" s="2327">
        <v>0.47</v>
      </c>
      <c r="F115" s="2327">
        <v>0.26</v>
      </c>
      <c r="G115" s="2323">
        <v>643</v>
      </c>
      <c r="H115" s="2327">
        <v>0.45</v>
      </c>
    </row>
    <row r="116" spans="1:8">
      <c r="A116" s="2323" t="s">
        <v>1542</v>
      </c>
      <c r="B116" s="2323">
        <v>53</v>
      </c>
      <c r="C116" s="2327">
        <v>0.02</v>
      </c>
      <c r="D116" s="2323">
        <v>5</v>
      </c>
      <c r="E116" s="2327">
        <v>0.01</v>
      </c>
      <c r="F116" s="2327">
        <v>0.09</v>
      </c>
      <c r="G116" s="2323">
        <v>7</v>
      </c>
      <c r="H116" s="2327">
        <v>0</v>
      </c>
    </row>
    <row r="117" spans="1:8">
      <c r="A117" s="2323" t="s">
        <v>1543</v>
      </c>
      <c r="B117" s="2323">
        <v>552</v>
      </c>
      <c r="C117" s="2327">
        <v>0.18</v>
      </c>
      <c r="D117" s="2323">
        <v>87</v>
      </c>
      <c r="E117" s="2327">
        <v>0.11</v>
      </c>
      <c r="F117" s="2327">
        <v>0.16</v>
      </c>
      <c r="G117" s="2323">
        <v>222</v>
      </c>
      <c r="H117" s="2327">
        <v>0.16</v>
      </c>
    </row>
    <row r="118" spans="1:8">
      <c r="A118" s="2323" t="s">
        <v>180</v>
      </c>
      <c r="B118" s="2328">
        <v>3149</v>
      </c>
      <c r="C118" s="2323"/>
      <c r="D118" s="2323">
        <v>764</v>
      </c>
      <c r="E118" s="2323"/>
      <c r="F118" s="2323"/>
      <c r="G118" s="2323">
        <v>1427</v>
      </c>
      <c r="H118" s="2323"/>
    </row>
    <row r="119" spans="1:8">
      <c r="A119" s="2329"/>
      <c r="B119" s="2329"/>
      <c r="C119" s="2329"/>
      <c r="D119" s="2329"/>
      <c r="E119" s="2329"/>
      <c r="F119" s="2329"/>
      <c r="G119" s="2329"/>
      <c r="H119" s="2329"/>
    </row>
    <row r="120" spans="1:8">
      <c r="A120" s="2320" t="s">
        <v>1734</v>
      </c>
      <c r="B120" s="2320"/>
      <c r="C120" s="2320"/>
      <c r="D120" s="2320"/>
      <c r="E120" s="2320"/>
      <c r="F120" s="2320"/>
      <c r="G120" s="2320"/>
      <c r="H120" s="2320"/>
    </row>
    <row r="121" spans="1:8">
      <c r="A121" s="2317" t="s">
        <v>1735</v>
      </c>
      <c r="B121" s="2317"/>
      <c r="C121" s="2317"/>
      <c r="D121" s="2317"/>
      <c r="E121" s="2317"/>
      <c r="F121" s="2317"/>
      <c r="G121" s="2317"/>
      <c r="H121" s="2317"/>
    </row>
    <row r="122" spans="1:8">
      <c r="A122" s="2317" t="s">
        <v>1736</v>
      </c>
      <c r="B122" s="2317"/>
      <c r="C122" s="2317"/>
      <c r="D122" s="2317"/>
      <c r="E122" s="2317"/>
      <c r="F122" s="2317"/>
      <c r="G122" s="2317"/>
      <c r="H122" s="2317"/>
    </row>
    <row r="123" spans="1:8">
      <c r="A123" s="2317" t="s">
        <v>1737</v>
      </c>
      <c r="B123" s="2317"/>
      <c r="C123" s="2317"/>
      <c r="D123" s="2317"/>
      <c r="E123" s="2317"/>
      <c r="F123" s="2317"/>
      <c r="G123" s="2317"/>
      <c r="H123" s="2317"/>
    </row>
    <row r="124" spans="1:8">
      <c r="A124" s="2316"/>
      <c r="B124" s="2316"/>
      <c r="C124" s="2316"/>
      <c r="D124" s="2316"/>
      <c r="E124" s="2316"/>
      <c r="F124" s="2316"/>
      <c r="G124" s="2316"/>
      <c r="H124" s="2316"/>
    </row>
    <row r="125" spans="1:8" ht="15.75">
      <c r="A125" s="2318" t="s">
        <v>1544</v>
      </c>
      <c r="B125" s="2316"/>
      <c r="C125" s="2316"/>
      <c r="D125" s="2316"/>
      <c r="E125" s="2316"/>
      <c r="F125" s="2316"/>
      <c r="G125" s="2316"/>
      <c r="H125" s="2316"/>
    </row>
    <row r="126" spans="1:8">
      <c r="A126" s="2316"/>
      <c r="B126" s="2316"/>
      <c r="C126" s="2316"/>
      <c r="D126" s="2316"/>
      <c r="E126" s="2316"/>
      <c r="F126" s="2316"/>
      <c r="G126" s="2316"/>
      <c r="H126" s="2316"/>
    </row>
    <row r="127" spans="1:8">
      <c r="A127" s="2317" t="s">
        <v>1732</v>
      </c>
      <c r="B127" s="2316"/>
      <c r="C127" s="2316"/>
      <c r="D127" s="2316"/>
      <c r="E127" s="2316"/>
      <c r="F127" s="2316"/>
      <c r="G127" s="2316"/>
      <c r="H127" s="2316"/>
    </row>
    <row r="128" spans="1:8">
      <c r="A128" s="2317" t="s">
        <v>1733</v>
      </c>
      <c r="B128" s="2316"/>
      <c r="C128" s="2316"/>
      <c r="D128" s="2316"/>
      <c r="E128" s="2316"/>
      <c r="F128" s="2316"/>
      <c r="G128" s="2316"/>
      <c r="H128" s="2316"/>
    </row>
    <row r="129" spans="1:8">
      <c r="A129" s="2316"/>
      <c r="B129" s="2316"/>
      <c r="C129" s="2316"/>
      <c r="D129" s="2316"/>
      <c r="E129" s="2316"/>
      <c r="F129" s="2316"/>
      <c r="G129" s="2316"/>
      <c r="H129" s="2316"/>
    </row>
    <row r="130" spans="1:8">
      <c r="A130" s="2317" t="s">
        <v>1729</v>
      </c>
      <c r="B130" s="2316"/>
      <c r="C130" s="2316"/>
      <c r="D130" s="2316"/>
      <c r="E130" s="2316"/>
      <c r="F130" s="2316"/>
      <c r="G130" s="2316"/>
      <c r="H130" s="2316"/>
    </row>
    <row r="131" spans="1:8">
      <c r="A131" s="2317" t="s">
        <v>1730</v>
      </c>
      <c r="B131" s="2316"/>
      <c r="C131" s="2316"/>
      <c r="D131" s="2316"/>
      <c r="E131" s="2316"/>
      <c r="F131" s="2316"/>
      <c r="G131" s="2316"/>
      <c r="H131" s="2316"/>
    </row>
    <row r="132" spans="1:8">
      <c r="A132" s="2317" t="s">
        <v>1731</v>
      </c>
      <c r="B132" s="2316"/>
      <c r="C132" s="2316"/>
      <c r="D132" s="2316"/>
      <c r="E132" s="2316"/>
      <c r="F132" s="2316"/>
      <c r="G132" s="2316"/>
      <c r="H132" s="2316"/>
    </row>
    <row r="133" spans="1:8">
      <c r="A133" s="2316"/>
      <c r="B133" s="2316"/>
      <c r="C133" s="2316"/>
      <c r="D133" s="2316"/>
      <c r="E133" s="2316"/>
      <c r="F133" s="2316"/>
      <c r="G133" s="2316"/>
      <c r="H133" s="2316"/>
    </row>
    <row r="134" spans="1:8">
      <c r="A134" s="2317" t="s">
        <v>1726</v>
      </c>
      <c r="B134" s="2316"/>
      <c r="C134" s="2316"/>
      <c r="D134" s="2316"/>
      <c r="E134" s="2316"/>
      <c r="F134" s="2316"/>
      <c r="G134" s="2316"/>
      <c r="H134" s="2316"/>
    </row>
    <row r="135" spans="1:8">
      <c r="A135" s="2317" t="s">
        <v>1727</v>
      </c>
      <c r="B135" s="2316"/>
      <c r="C135" s="2316"/>
      <c r="D135" s="2316"/>
      <c r="E135" s="2316"/>
      <c r="F135" s="2316"/>
      <c r="G135" s="2316"/>
      <c r="H135" s="2316"/>
    </row>
    <row r="136" spans="1:8">
      <c r="A136" s="2317" t="s">
        <v>1728</v>
      </c>
      <c r="B136" s="2316"/>
      <c r="C136" s="2316"/>
      <c r="D136" s="2316"/>
      <c r="E136" s="2316"/>
      <c r="F136" s="2316"/>
      <c r="G136" s="2316"/>
      <c r="H136" s="2316"/>
    </row>
    <row r="137" spans="1:8">
      <c r="A137" s="2316"/>
      <c r="B137" s="2316"/>
      <c r="C137" s="2316"/>
      <c r="D137" s="2316"/>
      <c r="E137" s="2316"/>
      <c r="F137" s="2316"/>
      <c r="G137" s="2316"/>
      <c r="H137" s="2316"/>
    </row>
    <row r="138" spans="1:8">
      <c r="A138" s="2317" t="s">
        <v>1723</v>
      </c>
      <c r="B138" s="2316"/>
      <c r="C138" s="2316"/>
      <c r="D138" s="2316"/>
      <c r="E138" s="2316"/>
      <c r="F138" s="2316"/>
      <c r="G138" s="2316"/>
      <c r="H138" s="2316"/>
    </row>
    <row r="139" spans="1:8">
      <c r="A139" s="2317" t="s">
        <v>1724</v>
      </c>
      <c r="B139" s="2316"/>
      <c r="C139" s="2316"/>
      <c r="D139" s="2316"/>
      <c r="E139" s="2316"/>
      <c r="F139" s="2316"/>
      <c r="G139" s="2316"/>
      <c r="H139" s="2316"/>
    </row>
    <row r="140" spans="1:8">
      <c r="A140" s="2317" t="s">
        <v>1725</v>
      </c>
      <c r="B140" s="2316"/>
      <c r="C140" s="2316"/>
      <c r="D140" s="2316"/>
      <c r="E140" s="2316"/>
      <c r="F140" s="2316"/>
      <c r="G140" s="2316"/>
      <c r="H140" s="2316"/>
    </row>
    <row r="141" spans="1:8">
      <c r="A141" s="2316"/>
      <c r="B141" s="2316"/>
      <c r="C141" s="2316"/>
      <c r="D141" s="2316"/>
      <c r="E141" s="2316"/>
      <c r="F141" s="2316"/>
      <c r="G141" s="2316"/>
      <c r="H141" s="2316"/>
    </row>
    <row r="142" spans="1:8">
      <c r="A142" s="2317" t="s">
        <v>1721</v>
      </c>
      <c r="B142" s="2316"/>
      <c r="C142" s="2316"/>
      <c r="D142" s="2316"/>
      <c r="E142" s="2316"/>
      <c r="F142" s="2316"/>
      <c r="G142" s="2316"/>
      <c r="H142" s="2316"/>
    </row>
    <row r="143" spans="1:8">
      <c r="A143" s="2317" t="s">
        <v>1722</v>
      </c>
      <c r="B143" s="2316"/>
      <c r="C143" s="2316"/>
      <c r="D143" s="2316"/>
      <c r="E143" s="2316"/>
      <c r="F143" s="2316"/>
      <c r="G143" s="2316"/>
      <c r="H143" s="2316"/>
    </row>
    <row r="144" spans="1:8">
      <c r="A144" s="2316"/>
      <c r="B144" s="2316"/>
      <c r="C144" s="2316"/>
      <c r="D144" s="2316"/>
      <c r="E144" s="2316"/>
      <c r="F144" s="2316"/>
      <c r="G144" s="2316"/>
      <c r="H144" s="2316"/>
    </row>
    <row r="145" spans="1:8" ht="15.75">
      <c r="A145" s="2318" t="s">
        <v>1545</v>
      </c>
      <c r="B145" s="2316"/>
      <c r="C145" s="2316"/>
      <c r="D145" s="2316"/>
      <c r="E145" s="2316"/>
      <c r="F145" s="2316"/>
      <c r="G145" s="2316"/>
      <c r="H145" s="2316"/>
    </row>
    <row r="146" spans="1:8">
      <c r="A146" s="2316"/>
      <c r="B146" s="2316"/>
      <c r="C146" s="2316"/>
      <c r="D146" s="2316"/>
      <c r="E146" s="2316"/>
      <c r="F146" s="2316"/>
      <c r="G146" s="2316"/>
      <c r="H146" s="2316"/>
    </row>
    <row r="147" spans="1:8">
      <c r="A147" s="2317" t="s">
        <v>1719</v>
      </c>
      <c r="B147" s="2316"/>
      <c r="C147" s="2316"/>
      <c r="D147" s="2316"/>
      <c r="E147" s="2316"/>
      <c r="F147" s="2316"/>
      <c r="G147" s="2316"/>
      <c r="H147" s="2316"/>
    </row>
    <row r="148" spans="1:8">
      <c r="A148" s="2317" t="s">
        <v>1720</v>
      </c>
      <c r="B148" s="2316"/>
      <c r="C148" s="2316"/>
      <c r="D148" s="2316"/>
      <c r="E148" s="2316"/>
      <c r="F148" s="2316"/>
      <c r="G148" s="2316"/>
      <c r="H148" s="2316"/>
    </row>
    <row r="149" spans="1:8">
      <c r="A149" s="2316"/>
      <c r="B149" s="2316"/>
      <c r="C149" s="2316"/>
      <c r="D149" s="2316"/>
      <c r="E149" s="2316"/>
      <c r="F149" s="2316"/>
      <c r="G149" s="2316"/>
      <c r="H149" s="2316"/>
    </row>
    <row r="150" spans="1:8">
      <c r="A150" s="2317" t="s">
        <v>1717</v>
      </c>
      <c r="B150" s="2316"/>
      <c r="C150" s="2316"/>
      <c r="D150" s="2316"/>
      <c r="E150" s="2316"/>
      <c r="F150" s="2316"/>
      <c r="G150" s="2316"/>
      <c r="H150" s="2316"/>
    </row>
    <row r="151" spans="1:8">
      <c r="A151" s="2317" t="s">
        <v>1718</v>
      </c>
      <c r="B151" s="2316"/>
      <c r="C151" s="2316"/>
      <c r="D151" s="2316"/>
      <c r="E151" s="2316"/>
      <c r="F151" s="2316"/>
      <c r="G151" s="2316"/>
      <c r="H151" s="2316"/>
    </row>
    <row r="152" spans="1:8">
      <c r="A152" s="2316"/>
      <c r="B152" s="2316"/>
      <c r="C152" s="2316"/>
      <c r="D152" s="2316"/>
      <c r="E152" s="2316"/>
      <c r="F152" s="2316"/>
      <c r="G152" s="2316"/>
      <c r="H152" s="2316"/>
    </row>
    <row r="153" spans="1:8">
      <c r="A153" s="2317" t="s">
        <v>1715</v>
      </c>
      <c r="B153" s="2316"/>
      <c r="C153" s="2316"/>
      <c r="D153" s="2316"/>
      <c r="E153" s="2316"/>
      <c r="F153" s="2316"/>
      <c r="G153" s="2316"/>
      <c r="H153" s="2316"/>
    </row>
    <row r="154" spans="1:8">
      <c r="A154" s="2317" t="s">
        <v>1716</v>
      </c>
      <c r="B154" s="2316"/>
      <c r="C154" s="2316"/>
      <c r="D154" s="2316"/>
      <c r="E154" s="2316"/>
      <c r="F154" s="2316"/>
      <c r="G154" s="2316"/>
      <c r="H154" s="2316"/>
    </row>
    <row r="155" spans="1:8">
      <c r="A155" s="2316"/>
      <c r="B155" s="2316"/>
      <c r="C155" s="2316"/>
      <c r="D155" s="2316"/>
      <c r="E155" s="2316"/>
      <c r="F155" s="2316"/>
      <c r="G155" s="2316"/>
      <c r="H155" s="2316"/>
    </row>
    <row r="156" spans="1:8">
      <c r="A156" s="2317" t="s">
        <v>1712</v>
      </c>
      <c r="B156" s="2316"/>
      <c r="C156" s="2316"/>
      <c r="D156" s="2316"/>
      <c r="E156" s="2316"/>
      <c r="F156" s="2316"/>
      <c r="G156" s="2316"/>
      <c r="H156" s="2316"/>
    </row>
    <row r="157" spans="1:8">
      <c r="A157" s="2317" t="s">
        <v>1713</v>
      </c>
      <c r="B157" s="2316"/>
      <c r="C157" s="2316"/>
      <c r="D157" s="2316"/>
      <c r="E157" s="2316"/>
      <c r="F157" s="2316"/>
      <c r="G157" s="2316"/>
      <c r="H157" s="2316"/>
    </row>
    <row r="158" spans="1:8">
      <c r="A158" s="2317" t="s">
        <v>1714</v>
      </c>
      <c r="B158" s="2316"/>
      <c r="C158" s="2316"/>
      <c r="D158" s="2316"/>
      <c r="E158" s="2316"/>
      <c r="F158" s="2316"/>
      <c r="G158" s="2316"/>
      <c r="H158" s="2316"/>
    </row>
    <row r="159" spans="1:8">
      <c r="A159" s="2316"/>
      <c r="B159" s="2316"/>
      <c r="C159" s="2316"/>
      <c r="D159" s="2316"/>
      <c r="E159" s="2316"/>
      <c r="F159" s="2316"/>
      <c r="G159" s="2316"/>
      <c r="H159" s="2316"/>
    </row>
    <row r="160" spans="1:8">
      <c r="A160" s="2316"/>
      <c r="B160" s="2316"/>
      <c r="C160" s="2316"/>
      <c r="D160" s="2316"/>
      <c r="E160" s="2316"/>
      <c r="F160" s="2316"/>
      <c r="G160" s="2316"/>
      <c r="H160" s="2316"/>
    </row>
    <row r="161" spans="1:8">
      <c r="A161" s="2317" t="s">
        <v>1546</v>
      </c>
      <c r="B161" s="2316"/>
      <c r="C161" s="2316"/>
      <c r="D161" s="2316"/>
      <c r="E161" s="2316"/>
      <c r="F161" s="2316"/>
      <c r="G161" s="2316"/>
      <c r="H161" s="2316"/>
    </row>
    <row r="162" spans="1:8">
      <c r="A162" s="2316"/>
      <c r="B162" s="2316"/>
      <c r="C162" s="2316"/>
      <c r="D162" s="2316"/>
      <c r="E162" s="2316"/>
      <c r="F162" s="2316"/>
      <c r="G162" s="2316"/>
      <c r="H162" s="2316"/>
    </row>
    <row r="163" spans="1:8" ht="15.75">
      <c r="A163" s="2318" t="s">
        <v>1547</v>
      </c>
      <c r="B163" s="2316"/>
      <c r="C163" s="2316"/>
      <c r="D163" s="2316"/>
      <c r="E163" s="2316"/>
      <c r="F163" s="2316"/>
      <c r="G163" s="2316"/>
      <c r="H163" s="2316"/>
    </row>
    <row r="164" spans="1:8">
      <c r="A164" s="2316"/>
      <c r="B164" s="2316"/>
      <c r="C164" s="2316"/>
      <c r="D164" s="2316"/>
      <c r="E164" s="2316"/>
      <c r="F164" s="2316"/>
      <c r="G164" s="2316"/>
      <c r="H164" s="2316"/>
    </row>
    <row r="165" spans="1:8">
      <c r="A165" s="2316"/>
      <c r="B165" s="2316"/>
      <c r="C165" s="2316"/>
      <c r="D165" s="2316"/>
      <c r="E165" s="2316"/>
      <c r="F165" s="2316"/>
      <c r="G165" s="2316"/>
      <c r="H165" s="2316"/>
    </row>
    <row r="166" spans="1:8">
      <c r="A166" s="2316"/>
      <c r="B166" s="2316"/>
      <c r="C166" s="2316"/>
      <c r="D166" s="2316"/>
      <c r="E166" s="2316"/>
      <c r="F166" s="2316"/>
      <c r="G166" s="2316"/>
      <c r="H166" s="2316"/>
    </row>
    <row r="167" spans="1:8">
      <c r="A167" s="2316"/>
      <c r="B167" s="2316"/>
      <c r="C167" s="2316"/>
      <c r="D167" s="2316"/>
      <c r="E167" s="2316"/>
      <c r="F167" s="2316"/>
      <c r="G167" s="2316"/>
      <c r="H167" s="2316"/>
    </row>
    <row r="168" spans="1:8">
      <c r="A168" s="2316"/>
      <c r="B168" s="2316"/>
      <c r="C168" s="2316"/>
      <c r="D168" s="2316"/>
      <c r="E168" s="2316"/>
      <c r="F168" s="2316"/>
      <c r="G168" s="2316"/>
      <c r="H168" s="2316"/>
    </row>
    <row r="169" spans="1:8">
      <c r="A169" s="2316"/>
      <c r="B169" s="2316"/>
      <c r="C169" s="2316"/>
      <c r="D169" s="2316"/>
      <c r="E169" s="2316"/>
      <c r="F169" s="2316"/>
      <c r="G169" s="2316"/>
      <c r="H169" s="2316"/>
    </row>
    <row r="170" spans="1:8">
      <c r="A170" s="2316"/>
      <c r="B170" s="2316"/>
      <c r="C170" s="2316"/>
      <c r="D170" s="2316"/>
      <c r="E170" s="2316"/>
      <c r="F170" s="2316"/>
      <c r="G170" s="2316"/>
      <c r="H170" s="2316"/>
    </row>
    <row r="171" spans="1:8">
      <c r="A171" s="2316"/>
      <c r="B171" s="2316"/>
      <c r="C171" s="2316"/>
      <c r="D171" s="2316"/>
      <c r="E171" s="2316"/>
      <c r="F171" s="2316"/>
      <c r="G171" s="2316"/>
      <c r="H171" s="2316"/>
    </row>
    <row r="172" spans="1:8">
      <c r="A172" s="2316"/>
      <c r="B172" s="2316"/>
      <c r="C172" s="2316"/>
      <c r="D172" s="2316"/>
      <c r="E172" s="2316"/>
      <c r="F172" s="2316"/>
      <c r="G172" s="2316"/>
      <c r="H172" s="2316"/>
    </row>
    <row r="173" spans="1:8">
      <c r="A173" s="2316"/>
      <c r="B173" s="2316"/>
      <c r="C173" s="2316"/>
      <c r="D173" s="2316"/>
      <c r="E173" s="2316"/>
      <c r="F173" s="2316"/>
      <c r="G173" s="2316"/>
      <c r="H173" s="2316"/>
    </row>
    <row r="174" spans="1:8">
      <c r="A174" s="2316"/>
      <c r="B174" s="2316"/>
      <c r="C174" s="2316"/>
      <c r="D174" s="2316"/>
      <c r="E174" s="2316"/>
      <c r="F174" s="2316"/>
      <c r="G174" s="2316"/>
      <c r="H174" s="2316"/>
    </row>
    <row r="175" spans="1:8">
      <c r="A175" s="2316"/>
      <c r="B175" s="2316"/>
      <c r="C175" s="2316"/>
      <c r="D175" s="2316"/>
      <c r="E175" s="2316"/>
      <c r="F175" s="2316"/>
      <c r="G175" s="2316"/>
      <c r="H175" s="2316"/>
    </row>
    <row r="176" spans="1:8">
      <c r="A176" s="2316"/>
      <c r="B176" s="2316"/>
      <c r="C176" s="2316"/>
      <c r="D176" s="2316"/>
      <c r="E176" s="2316"/>
      <c r="F176" s="2316"/>
      <c r="G176" s="2316"/>
      <c r="H176" s="2316"/>
    </row>
    <row r="177" spans="1:8">
      <c r="A177" s="2316"/>
      <c r="B177" s="2316"/>
      <c r="C177" s="2316"/>
      <c r="D177" s="2316"/>
      <c r="E177" s="2316"/>
      <c r="F177" s="2316"/>
      <c r="G177" s="2316"/>
      <c r="H177" s="2316"/>
    </row>
    <row r="178" spans="1:8">
      <c r="A178" s="2316"/>
      <c r="B178" s="2316"/>
      <c r="C178" s="2316"/>
      <c r="D178" s="2316"/>
      <c r="E178" s="2316"/>
      <c r="F178" s="2316"/>
      <c r="G178" s="2316"/>
      <c r="H178" s="2316"/>
    </row>
    <row r="179" spans="1:8">
      <c r="A179" s="2316"/>
      <c r="B179" s="2316"/>
      <c r="C179" s="2316"/>
      <c r="D179" s="2316"/>
      <c r="E179" s="2316"/>
      <c r="F179" s="2316"/>
      <c r="G179" s="2316"/>
      <c r="H179" s="2316"/>
    </row>
    <row r="180" spans="1:8">
      <c r="A180" s="2316"/>
      <c r="B180" s="2316"/>
      <c r="C180" s="2316"/>
      <c r="D180" s="2316"/>
      <c r="E180" s="2316"/>
      <c r="F180" s="2316"/>
      <c r="G180" s="2316"/>
      <c r="H180" s="2316"/>
    </row>
    <row r="181" spans="1:8">
      <c r="A181" s="2316"/>
      <c r="B181" s="2316"/>
      <c r="C181" s="2316"/>
      <c r="D181" s="2316"/>
      <c r="E181" s="2316"/>
      <c r="F181" s="2316"/>
      <c r="G181" s="2316"/>
      <c r="H181" s="2316"/>
    </row>
    <row r="182" spans="1:8">
      <c r="A182" s="2316"/>
      <c r="B182" s="2316"/>
      <c r="C182" s="2316"/>
      <c r="D182" s="2316"/>
      <c r="E182" s="2316"/>
      <c r="F182" s="2316"/>
      <c r="G182" s="2316"/>
      <c r="H182" s="2316"/>
    </row>
    <row r="183" spans="1:8">
      <c r="A183" s="2316"/>
      <c r="B183" s="2316"/>
      <c r="C183" s="2316"/>
      <c r="D183" s="2316"/>
      <c r="E183" s="2316"/>
      <c r="F183" s="2316"/>
      <c r="G183" s="2316"/>
      <c r="H183" s="2316"/>
    </row>
    <row r="184" spans="1:8">
      <c r="A184" s="2316"/>
      <c r="B184" s="2316"/>
      <c r="C184" s="2316"/>
      <c r="D184" s="2316"/>
      <c r="E184" s="2316"/>
      <c r="F184" s="2316"/>
      <c r="G184" s="2316"/>
      <c r="H184" s="2316"/>
    </row>
    <row r="185" spans="1:8">
      <c r="A185" s="2316"/>
      <c r="B185" s="2316"/>
      <c r="C185" s="2316"/>
      <c r="D185" s="2316"/>
      <c r="E185" s="2316"/>
      <c r="F185" s="2316"/>
      <c r="G185" s="2316"/>
      <c r="H185" s="2316"/>
    </row>
    <row r="186" spans="1:8">
      <c r="A186" s="2316"/>
      <c r="B186" s="2316"/>
      <c r="C186" s="2316"/>
      <c r="D186" s="2316"/>
      <c r="E186" s="2316"/>
      <c r="F186" s="2316"/>
      <c r="G186" s="2316"/>
      <c r="H186" s="2316"/>
    </row>
    <row r="187" spans="1:8">
      <c r="A187" s="2316"/>
      <c r="B187" s="2316"/>
      <c r="C187" s="2316"/>
      <c r="D187" s="2316"/>
      <c r="E187" s="2316"/>
      <c r="F187" s="2316"/>
      <c r="G187" s="2316"/>
      <c r="H187" s="2316"/>
    </row>
    <row r="188" spans="1:8">
      <c r="A188" s="2316"/>
      <c r="B188" s="2316"/>
      <c r="C188" s="2316"/>
      <c r="D188" s="2316"/>
      <c r="E188" s="2316"/>
      <c r="F188" s="2316"/>
      <c r="G188" s="2316"/>
      <c r="H188" s="2316"/>
    </row>
    <row r="189" spans="1:8">
      <c r="A189" s="2316"/>
      <c r="B189" s="2316"/>
      <c r="C189" s="2316"/>
      <c r="D189" s="2316"/>
      <c r="E189" s="2316"/>
      <c r="F189" s="2316"/>
      <c r="G189" s="2316"/>
      <c r="H189" s="2316"/>
    </row>
    <row r="190" spans="1:8" ht="15.75">
      <c r="A190" s="2318" t="s">
        <v>1548</v>
      </c>
      <c r="B190" s="2316"/>
      <c r="C190" s="2316"/>
      <c r="D190" s="2316"/>
      <c r="E190" s="2316"/>
      <c r="F190" s="2316"/>
      <c r="G190" s="2316"/>
      <c r="H190" s="2316"/>
    </row>
    <row r="191" spans="1:8">
      <c r="A191" s="2316"/>
      <c r="B191" s="2316"/>
      <c r="C191" s="2316"/>
      <c r="D191" s="2316"/>
      <c r="E191" s="2316"/>
      <c r="F191" s="2316"/>
      <c r="G191" s="2316"/>
      <c r="H191" s="2316"/>
    </row>
    <row r="192" spans="1:8">
      <c r="A192" s="2317" t="s">
        <v>1707</v>
      </c>
      <c r="B192" s="2316"/>
      <c r="C192" s="2316"/>
      <c r="D192" s="2316"/>
      <c r="E192" s="2316"/>
      <c r="F192" s="2316"/>
      <c r="G192" s="2316"/>
      <c r="H192" s="2316"/>
    </row>
    <row r="193" spans="1:8">
      <c r="A193" s="2317" t="s">
        <v>1708</v>
      </c>
      <c r="B193" s="2316"/>
      <c r="C193" s="2316"/>
      <c r="D193" s="2316"/>
      <c r="E193" s="2316"/>
      <c r="F193" s="2316"/>
      <c r="G193" s="2316"/>
      <c r="H193" s="2316"/>
    </row>
    <row r="194" spans="1:8">
      <c r="A194" s="2317" t="s">
        <v>1709</v>
      </c>
      <c r="B194" s="2316"/>
      <c r="C194" s="2316"/>
      <c r="D194" s="2316"/>
      <c r="E194" s="2316"/>
      <c r="F194" s="2316"/>
      <c r="G194" s="2316"/>
      <c r="H194" s="2316"/>
    </row>
    <row r="195" spans="1:8">
      <c r="A195" s="2317" t="s">
        <v>1710</v>
      </c>
      <c r="B195" s="2316"/>
      <c r="C195" s="2316"/>
      <c r="D195" s="2316"/>
      <c r="E195" s="2316"/>
      <c r="F195" s="2316"/>
      <c r="G195" s="2316"/>
      <c r="H195" s="2316"/>
    </row>
    <row r="196" spans="1:8">
      <c r="A196" s="2317" t="s">
        <v>1711</v>
      </c>
      <c r="B196" s="2316"/>
      <c r="C196" s="2316"/>
      <c r="D196" s="2316"/>
      <c r="E196" s="2316"/>
      <c r="F196" s="2316"/>
      <c r="G196" s="2316"/>
      <c r="H196" s="2316"/>
    </row>
    <row r="197" spans="1:8">
      <c r="A197" s="2316"/>
      <c r="B197" s="2316"/>
      <c r="C197" s="2316"/>
      <c r="D197" s="2316"/>
      <c r="E197" s="2316"/>
      <c r="F197" s="2316"/>
      <c r="G197" s="2316"/>
      <c r="H197" s="2316"/>
    </row>
    <row r="198" spans="1:8">
      <c r="A198" s="2317" t="s">
        <v>1704</v>
      </c>
      <c r="B198" s="2316"/>
      <c r="C198" s="2316"/>
      <c r="D198" s="2316"/>
      <c r="E198" s="2316"/>
      <c r="F198" s="2316"/>
      <c r="G198" s="2316"/>
      <c r="H198" s="2316"/>
    </row>
    <row r="199" spans="1:8">
      <c r="A199" s="2317" t="s">
        <v>1705</v>
      </c>
      <c r="B199" s="2316"/>
      <c r="C199" s="2316"/>
      <c r="D199" s="2316"/>
      <c r="E199" s="2316"/>
      <c r="F199" s="2316"/>
      <c r="G199" s="2316"/>
      <c r="H199" s="2316"/>
    </row>
    <row r="200" spans="1:8">
      <c r="A200" s="2317" t="s">
        <v>1706</v>
      </c>
      <c r="B200" s="2316"/>
      <c r="C200" s="2316"/>
      <c r="D200" s="2316"/>
      <c r="E200" s="2316"/>
      <c r="F200" s="2316"/>
      <c r="G200" s="2316"/>
      <c r="H200" s="2316"/>
    </row>
    <row r="201" spans="1:8" ht="15.75">
      <c r="A201" s="2318" t="s">
        <v>1549</v>
      </c>
      <c r="B201" s="2316"/>
      <c r="C201" s="2316"/>
      <c r="D201" s="2316"/>
      <c r="E201" s="2316"/>
      <c r="F201" s="2316"/>
      <c r="G201" s="2316"/>
      <c r="H201" s="2316"/>
    </row>
    <row r="202" spans="1:8">
      <c r="A202" s="2316"/>
      <c r="B202" s="2316"/>
      <c r="C202" s="2316"/>
      <c r="D202" s="2316"/>
      <c r="E202" s="2316"/>
      <c r="F202" s="2316"/>
      <c r="G202" s="2316"/>
      <c r="H202" s="2316"/>
    </row>
    <row r="203" spans="1:8">
      <c r="A203" s="2317" t="s">
        <v>1697</v>
      </c>
      <c r="B203" s="2316"/>
      <c r="C203" s="2316"/>
      <c r="D203" s="2316"/>
      <c r="E203" s="2316"/>
      <c r="F203" s="2316"/>
      <c r="G203" s="2316"/>
      <c r="H203" s="2316"/>
    </row>
    <row r="204" spans="1:8">
      <c r="A204" s="2317" t="s">
        <v>1698</v>
      </c>
      <c r="B204" s="2316"/>
      <c r="C204" s="2316"/>
      <c r="D204" s="2316"/>
      <c r="E204" s="2316"/>
      <c r="F204" s="2316"/>
      <c r="G204" s="2316"/>
      <c r="H204" s="2316"/>
    </row>
    <row r="205" spans="1:8">
      <c r="A205" s="2317" t="s">
        <v>1699</v>
      </c>
      <c r="B205" s="2316"/>
      <c r="C205" s="2316"/>
      <c r="D205" s="2316"/>
      <c r="E205" s="2316"/>
      <c r="F205" s="2316"/>
      <c r="G205" s="2316"/>
      <c r="H205" s="2316"/>
    </row>
    <row r="206" spans="1:8">
      <c r="A206" s="2317" t="s">
        <v>1700</v>
      </c>
      <c r="B206" s="2316"/>
      <c r="C206" s="2316"/>
      <c r="D206" s="2316"/>
      <c r="E206" s="2316"/>
      <c r="F206" s="2316"/>
      <c r="G206" s="2316"/>
      <c r="H206" s="2316"/>
    </row>
    <row r="207" spans="1:8">
      <c r="A207" s="2317" t="s">
        <v>1701</v>
      </c>
      <c r="B207" s="2316"/>
      <c r="C207" s="2316"/>
      <c r="D207" s="2316"/>
      <c r="E207" s="2316"/>
      <c r="F207" s="2316"/>
      <c r="G207" s="2316"/>
      <c r="H207" s="2316"/>
    </row>
    <row r="208" spans="1:8">
      <c r="A208" s="2317" t="s">
        <v>1702</v>
      </c>
      <c r="B208" s="2316"/>
      <c r="C208" s="2316"/>
      <c r="D208" s="2316"/>
      <c r="E208" s="2316"/>
      <c r="F208" s="2316"/>
      <c r="G208" s="2316"/>
      <c r="H208" s="2316"/>
    </row>
    <row r="209" spans="1:8">
      <c r="A209" s="2317" t="s">
        <v>1703</v>
      </c>
      <c r="B209" s="2316"/>
      <c r="C209" s="2316"/>
      <c r="D209" s="2316"/>
      <c r="E209" s="2316"/>
      <c r="F209" s="2316"/>
      <c r="G209" s="2316"/>
      <c r="H209" s="2316"/>
    </row>
    <row r="210" spans="1:8">
      <c r="A210" s="2316"/>
      <c r="B210" s="2316"/>
      <c r="C210" s="2316"/>
      <c r="D210" s="2316"/>
      <c r="E210" s="2316"/>
      <c r="F210" s="2316"/>
      <c r="G210" s="2316"/>
      <c r="H210" s="2316"/>
    </row>
    <row r="211" spans="1:8">
      <c r="A211" s="2317" t="s">
        <v>1694</v>
      </c>
      <c r="B211" s="2316"/>
      <c r="C211" s="2316"/>
      <c r="D211" s="2316"/>
      <c r="E211" s="2316"/>
      <c r="F211" s="2316"/>
      <c r="G211" s="2316"/>
      <c r="H211" s="2316"/>
    </row>
    <row r="212" spans="1:8">
      <c r="A212" s="2317" t="s">
        <v>1695</v>
      </c>
      <c r="B212" s="2316"/>
      <c r="C212" s="2316"/>
      <c r="D212" s="2316"/>
      <c r="E212" s="2316"/>
      <c r="F212" s="2316"/>
      <c r="G212" s="2316"/>
      <c r="H212" s="2316"/>
    </row>
    <row r="213" spans="1:8">
      <c r="A213" s="2317" t="s">
        <v>1696</v>
      </c>
      <c r="B213" s="2316"/>
      <c r="C213" s="2316"/>
      <c r="D213" s="2316"/>
      <c r="E213" s="2316"/>
      <c r="F213" s="2316"/>
      <c r="G213" s="2316"/>
      <c r="H213" s="2316"/>
    </row>
    <row r="214" spans="1:8">
      <c r="A214" s="2316"/>
      <c r="B214" s="2316"/>
      <c r="C214" s="2316"/>
      <c r="D214" s="2316"/>
      <c r="E214" s="2316"/>
      <c r="F214" s="2316"/>
      <c r="G214" s="2316"/>
      <c r="H214" s="2316"/>
    </row>
    <row r="215" spans="1:8">
      <c r="A215" s="2317" t="s">
        <v>1689</v>
      </c>
      <c r="B215" s="2316"/>
      <c r="C215" s="2316"/>
      <c r="D215" s="2316"/>
      <c r="E215" s="2316"/>
      <c r="F215" s="2316"/>
      <c r="G215" s="2316"/>
      <c r="H215" s="2316"/>
    </row>
    <row r="216" spans="1:8">
      <c r="A216" s="2317" t="s">
        <v>1690</v>
      </c>
      <c r="B216" s="2316"/>
      <c r="C216" s="2316"/>
      <c r="D216" s="2316"/>
      <c r="E216" s="2316"/>
      <c r="F216" s="2316"/>
      <c r="G216" s="2316"/>
      <c r="H216" s="2316"/>
    </row>
    <row r="217" spans="1:8">
      <c r="A217" s="2317" t="s">
        <v>1691</v>
      </c>
      <c r="B217" s="2316"/>
      <c r="C217" s="2316"/>
      <c r="D217" s="2316"/>
      <c r="E217" s="2316"/>
      <c r="F217" s="2316"/>
      <c r="G217" s="2316"/>
      <c r="H217" s="2316"/>
    </row>
    <row r="218" spans="1:8">
      <c r="A218" s="2317" t="s">
        <v>1692</v>
      </c>
      <c r="B218" s="2316"/>
      <c r="C218" s="2316"/>
      <c r="D218" s="2316"/>
      <c r="E218" s="2316"/>
      <c r="F218" s="2316"/>
      <c r="G218" s="2316"/>
      <c r="H218" s="2316"/>
    </row>
    <row r="219" spans="1:8">
      <c r="A219" s="2317" t="s">
        <v>1693</v>
      </c>
      <c r="B219" s="2316"/>
      <c r="C219" s="2316"/>
      <c r="D219" s="2316"/>
      <c r="E219" s="2316"/>
      <c r="F219" s="2316"/>
      <c r="G219" s="2316"/>
      <c r="H219" s="2316"/>
    </row>
    <row r="220" spans="1:8">
      <c r="A220" s="2316"/>
      <c r="B220" s="2316"/>
      <c r="C220" s="2316"/>
      <c r="D220" s="2316"/>
      <c r="E220" s="2316"/>
      <c r="F220" s="2316"/>
      <c r="G220" s="2316"/>
      <c r="H220" s="2316"/>
    </row>
    <row r="221" spans="1:8">
      <c r="A221" s="2317" t="s">
        <v>1683</v>
      </c>
      <c r="B221" s="2316"/>
      <c r="C221" s="2316"/>
      <c r="D221" s="2316"/>
      <c r="E221" s="2316"/>
      <c r="F221" s="2316"/>
      <c r="G221" s="2316"/>
      <c r="H221" s="2316"/>
    </row>
    <row r="222" spans="1:8">
      <c r="A222" s="2317" t="s">
        <v>1684</v>
      </c>
      <c r="B222" s="2316"/>
      <c r="C222" s="2316"/>
      <c r="D222" s="2316"/>
      <c r="E222" s="2316"/>
      <c r="F222" s="2316"/>
      <c r="G222" s="2316"/>
      <c r="H222" s="2316"/>
    </row>
    <row r="223" spans="1:8">
      <c r="A223" s="2317" t="s">
        <v>1685</v>
      </c>
      <c r="B223" s="2316"/>
      <c r="C223" s="2316"/>
      <c r="D223" s="2316"/>
      <c r="E223" s="2316"/>
      <c r="F223" s="2316"/>
      <c r="G223" s="2316"/>
      <c r="H223" s="2316"/>
    </row>
    <row r="224" spans="1:8">
      <c r="A224" s="2317" t="s">
        <v>1686</v>
      </c>
      <c r="B224" s="2316"/>
      <c r="C224" s="2316"/>
      <c r="D224" s="2316"/>
      <c r="E224" s="2316"/>
      <c r="F224" s="2316"/>
      <c r="G224" s="2316"/>
      <c r="H224" s="2316"/>
    </row>
    <row r="225" spans="1:8">
      <c r="A225" s="2317" t="s">
        <v>1687</v>
      </c>
      <c r="B225" s="2316"/>
      <c r="C225" s="2316"/>
      <c r="D225" s="2316"/>
      <c r="E225" s="2316"/>
      <c r="F225" s="2316"/>
      <c r="G225" s="2316"/>
      <c r="H225" s="2316"/>
    </row>
    <row r="226" spans="1:8">
      <c r="A226" s="2317" t="s">
        <v>1688</v>
      </c>
      <c r="B226" s="2316"/>
      <c r="C226" s="2316"/>
      <c r="D226" s="2316"/>
      <c r="E226" s="2316"/>
      <c r="F226" s="2316"/>
      <c r="G226" s="2316"/>
      <c r="H226" s="2316"/>
    </row>
    <row r="227" spans="1:8">
      <c r="A227" s="2316"/>
      <c r="B227" s="2316"/>
      <c r="C227" s="2316"/>
      <c r="D227" s="2316"/>
      <c r="E227" s="2316"/>
      <c r="F227" s="2316"/>
      <c r="G227" s="2316"/>
      <c r="H227" s="2316"/>
    </row>
    <row r="228" spans="1:8">
      <c r="A228" s="2317" t="s">
        <v>1673</v>
      </c>
      <c r="B228" s="2316"/>
      <c r="C228" s="2316"/>
      <c r="D228" s="2316"/>
      <c r="E228" s="2316"/>
      <c r="F228" s="2316"/>
      <c r="G228" s="2316"/>
      <c r="H228" s="2316"/>
    </row>
    <row r="229" spans="1:8">
      <c r="A229" s="2317" t="s">
        <v>1674</v>
      </c>
      <c r="B229" s="2316"/>
      <c r="C229" s="2316"/>
      <c r="D229" s="2316"/>
      <c r="E229" s="2316"/>
      <c r="F229" s="2316"/>
      <c r="G229" s="2316"/>
      <c r="H229" s="2316"/>
    </row>
    <row r="230" spans="1:8">
      <c r="A230" s="2317" t="s">
        <v>1675</v>
      </c>
      <c r="B230" s="2316"/>
      <c r="C230" s="2316"/>
      <c r="D230" s="2316"/>
      <c r="E230" s="2316"/>
      <c r="F230" s="2316"/>
      <c r="G230" s="2316"/>
      <c r="H230" s="2316"/>
    </row>
    <row r="231" spans="1:8">
      <c r="A231" s="2317" t="s">
        <v>1676</v>
      </c>
      <c r="B231" s="2316"/>
      <c r="C231" s="2316"/>
      <c r="D231" s="2316"/>
      <c r="E231" s="2316"/>
      <c r="F231" s="2316"/>
      <c r="G231" s="2316"/>
      <c r="H231" s="2316"/>
    </row>
    <row r="232" spans="1:8">
      <c r="A232" s="2317" t="s">
        <v>1677</v>
      </c>
      <c r="B232" s="2316"/>
      <c r="C232" s="2316"/>
      <c r="D232" s="2316"/>
      <c r="E232" s="2316"/>
      <c r="F232" s="2316"/>
      <c r="G232" s="2316"/>
      <c r="H232" s="2316"/>
    </row>
    <row r="233" spans="1:8">
      <c r="A233" s="2317" t="s">
        <v>1678</v>
      </c>
      <c r="B233" s="2316"/>
      <c r="C233" s="2316"/>
      <c r="D233" s="2316"/>
      <c r="E233" s="2316"/>
      <c r="F233" s="2316"/>
      <c r="G233" s="2316"/>
      <c r="H233" s="2316"/>
    </row>
    <row r="234" spans="1:8">
      <c r="A234" s="2317" t="s">
        <v>1679</v>
      </c>
      <c r="B234" s="2316"/>
      <c r="C234" s="2316"/>
      <c r="D234" s="2316"/>
      <c r="E234" s="2316"/>
      <c r="F234" s="2316"/>
      <c r="G234" s="2316"/>
      <c r="H234" s="2316"/>
    </row>
    <row r="235" spans="1:8">
      <c r="A235" s="2317" t="s">
        <v>1680</v>
      </c>
      <c r="B235" s="2316"/>
      <c r="C235" s="2316"/>
      <c r="D235" s="2316"/>
      <c r="E235" s="2316"/>
      <c r="F235" s="2316"/>
      <c r="G235" s="2316"/>
      <c r="H235" s="2316"/>
    </row>
    <row r="236" spans="1:8">
      <c r="A236" s="2317" t="s">
        <v>1681</v>
      </c>
      <c r="B236" s="2316"/>
      <c r="C236" s="2316"/>
      <c r="D236" s="2316"/>
      <c r="E236" s="2316"/>
      <c r="F236" s="2316"/>
      <c r="G236" s="2316"/>
      <c r="H236" s="2316"/>
    </row>
    <row r="237" spans="1:8">
      <c r="A237" s="2317" t="s">
        <v>1682</v>
      </c>
      <c r="B237" s="2316"/>
      <c r="C237" s="2316"/>
      <c r="D237" s="2316"/>
      <c r="E237" s="2316"/>
      <c r="F237" s="2316"/>
      <c r="G237" s="2316"/>
      <c r="H237" s="2316"/>
    </row>
    <row r="238" spans="1:8">
      <c r="A238" s="2316"/>
      <c r="B238" s="2316"/>
      <c r="C238" s="2316"/>
      <c r="D238" s="2316"/>
      <c r="E238" s="2316"/>
      <c r="F238" s="2316"/>
      <c r="G238" s="2316"/>
      <c r="H238" s="2316"/>
    </row>
    <row r="239" spans="1:8">
      <c r="A239" s="2317" t="s">
        <v>1671</v>
      </c>
      <c r="B239" s="2316"/>
      <c r="C239" s="2316"/>
      <c r="D239" s="2316"/>
      <c r="E239" s="2316"/>
      <c r="F239" s="2316"/>
      <c r="G239" s="2316"/>
      <c r="H239" s="2316"/>
    </row>
    <row r="240" spans="1:8">
      <c r="A240" s="2317" t="s">
        <v>1672</v>
      </c>
      <c r="B240" s="2316"/>
      <c r="C240" s="2316"/>
      <c r="D240" s="2316"/>
      <c r="E240" s="2316"/>
      <c r="F240" s="2316"/>
      <c r="G240" s="2316"/>
      <c r="H240" s="2316"/>
    </row>
    <row r="241" spans="1:8">
      <c r="A241" s="2316"/>
      <c r="B241" s="2316"/>
      <c r="C241" s="2316"/>
      <c r="D241" s="2316"/>
      <c r="E241" s="2316"/>
      <c r="F241" s="2316"/>
      <c r="G241" s="2316"/>
      <c r="H241" s="2316"/>
    </row>
    <row r="242" spans="1:8">
      <c r="A242" s="2317" t="s">
        <v>1655</v>
      </c>
      <c r="B242" s="2316"/>
      <c r="C242" s="2316"/>
      <c r="D242" s="2316"/>
      <c r="E242" s="2316"/>
      <c r="F242" s="2316"/>
      <c r="G242" s="2316"/>
      <c r="H242" s="2316"/>
    </row>
    <row r="243" spans="1:8">
      <c r="A243" s="2317" t="s">
        <v>1656</v>
      </c>
      <c r="B243" s="2316"/>
      <c r="C243" s="2316"/>
      <c r="D243" s="2316"/>
      <c r="E243" s="2316"/>
      <c r="F243" s="2316"/>
      <c r="G243" s="2316"/>
      <c r="H243" s="2316"/>
    </row>
    <row r="244" spans="1:8">
      <c r="A244" s="2317" t="s">
        <v>1657</v>
      </c>
      <c r="B244" s="2316"/>
      <c r="C244" s="2316"/>
      <c r="D244" s="2316"/>
      <c r="E244" s="2316"/>
      <c r="F244" s="2316"/>
      <c r="G244" s="2316"/>
      <c r="H244" s="2316"/>
    </row>
    <row r="245" spans="1:8">
      <c r="A245" s="2317" t="s">
        <v>1658</v>
      </c>
      <c r="B245" s="2316"/>
      <c r="C245" s="2316"/>
      <c r="D245" s="2316"/>
      <c r="E245" s="2316"/>
      <c r="F245" s="2316"/>
      <c r="G245" s="2316"/>
      <c r="H245" s="2316"/>
    </row>
    <row r="246" spans="1:8">
      <c r="A246" s="2317" t="s">
        <v>1659</v>
      </c>
      <c r="B246" s="2316"/>
      <c r="C246" s="2316"/>
      <c r="D246" s="2316"/>
      <c r="E246" s="2316"/>
      <c r="F246" s="2316"/>
      <c r="G246" s="2316"/>
      <c r="H246" s="2316"/>
    </row>
    <row r="247" spans="1:8">
      <c r="A247" s="2317" t="s">
        <v>1660</v>
      </c>
      <c r="B247" s="2316"/>
      <c r="C247" s="2316"/>
      <c r="D247" s="2316"/>
      <c r="E247" s="2316"/>
      <c r="F247" s="2316"/>
      <c r="G247" s="2316"/>
      <c r="H247" s="2316"/>
    </row>
    <row r="248" spans="1:8">
      <c r="A248" s="2317" t="s">
        <v>1661</v>
      </c>
      <c r="B248" s="2316"/>
      <c r="C248" s="2316"/>
      <c r="D248" s="2316"/>
      <c r="E248" s="2316"/>
      <c r="F248" s="2316"/>
      <c r="G248" s="2316"/>
      <c r="H248" s="2316"/>
    </row>
    <row r="249" spans="1:8">
      <c r="A249" s="2317" t="s">
        <v>1662</v>
      </c>
      <c r="B249" s="2316"/>
      <c r="C249" s="2316"/>
      <c r="D249" s="2316"/>
      <c r="E249" s="2316"/>
      <c r="F249" s="2316"/>
      <c r="G249" s="2316"/>
      <c r="H249" s="2316"/>
    </row>
    <row r="250" spans="1:8">
      <c r="A250" s="2317" t="s">
        <v>1663</v>
      </c>
      <c r="B250" s="2316"/>
      <c r="C250" s="2316"/>
      <c r="D250" s="2316"/>
      <c r="E250" s="2316"/>
      <c r="F250" s="2316"/>
      <c r="G250" s="2316"/>
      <c r="H250" s="2316"/>
    </row>
    <row r="251" spans="1:8">
      <c r="A251" s="2317" t="s">
        <v>1664</v>
      </c>
      <c r="B251" s="2316"/>
      <c r="C251" s="2316"/>
      <c r="D251" s="2316"/>
      <c r="E251" s="2316"/>
      <c r="F251" s="2316"/>
      <c r="G251" s="2316"/>
      <c r="H251" s="2316"/>
    </row>
    <row r="252" spans="1:8">
      <c r="A252" s="2317" t="s">
        <v>1665</v>
      </c>
      <c r="B252" s="2316"/>
      <c r="C252" s="2316"/>
      <c r="D252" s="2316"/>
      <c r="E252" s="2316"/>
      <c r="F252" s="2316"/>
      <c r="G252" s="2316"/>
      <c r="H252" s="2316"/>
    </row>
    <row r="253" spans="1:8">
      <c r="A253" s="2317" t="s">
        <v>1666</v>
      </c>
      <c r="B253" s="2316"/>
      <c r="C253" s="2316"/>
      <c r="D253" s="2316"/>
      <c r="E253" s="2316"/>
      <c r="F253" s="2316"/>
      <c r="G253" s="2316"/>
      <c r="H253" s="2316"/>
    </row>
    <row r="254" spans="1:8">
      <c r="A254" s="2317" t="s">
        <v>1667</v>
      </c>
      <c r="B254" s="2316"/>
      <c r="C254" s="2316"/>
      <c r="D254" s="2316"/>
      <c r="E254" s="2316"/>
      <c r="F254" s="2316"/>
      <c r="G254" s="2316"/>
      <c r="H254" s="2316"/>
    </row>
    <row r="255" spans="1:8">
      <c r="A255" s="2317" t="s">
        <v>1668</v>
      </c>
      <c r="B255" s="2316"/>
      <c r="C255" s="2316"/>
      <c r="D255" s="2316"/>
      <c r="E255" s="2316"/>
      <c r="F255" s="2316"/>
      <c r="G255" s="2316"/>
      <c r="H255" s="2316"/>
    </row>
    <row r="256" spans="1:8">
      <c r="A256" s="2317" t="s">
        <v>1669</v>
      </c>
      <c r="B256" s="2316"/>
      <c r="C256" s="2316"/>
      <c r="D256" s="2316"/>
      <c r="E256" s="2316"/>
      <c r="F256" s="2316"/>
      <c r="G256" s="2316"/>
      <c r="H256" s="2316"/>
    </row>
    <row r="257" spans="1:8">
      <c r="A257" s="2317" t="s">
        <v>1670</v>
      </c>
      <c r="B257" s="2316"/>
      <c r="C257" s="2316"/>
      <c r="D257" s="2316"/>
      <c r="E257" s="2316"/>
      <c r="F257" s="2316"/>
      <c r="G257" s="2316"/>
      <c r="H257" s="2316"/>
    </row>
    <row r="258" spans="1:8">
      <c r="A258" s="2316"/>
      <c r="B258" s="2316"/>
      <c r="C258" s="2316"/>
      <c r="D258" s="2316"/>
      <c r="E258" s="2316"/>
      <c r="F258" s="2316"/>
      <c r="G258" s="2316"/>
      <c r="H258" s="2316"/>
    </row>
    <row r="259" spans="1:8">
      <c r="A259" s="2317" t="s">
        <v>1648</v>
      </c>
      <c r="B259" s="2316"/>
      <c r="C259" s="2316"/>
      <c r="D259" s="2316"/>
      <c r="E259" s="2316"/>
      <c r="F259" s="2316"/>
      <c r="G259" s="2316"/>
      <c r="H259" s="2316"/>
    </row>
    <row r="260" spans="1:8">
      <c r="A260" s="2317" t="s">
        <v>1649</v>
      </c>
      <c r="B260" s="2316"/>
      <c r="C260" s="2316"/>
      <c r="D260" s="2316"/>
      <c r="E260" s="2316"/>
      <c r="F260" s="2316"/>
      <c r="G260" s="2316"/>
      <c r="H260" s="2316"/>
    </row>
    <row r="261" spans="1:8">
      <c r="A261" s="2317" t="s">
        <v>1650</v>
      </c>
      <c r="B261" s="2316"/>
      <c r="C261" s="2316"/>
      <c r="D261" s="2316"/>
      <c r="E261" s="2316"/>
      <c r="F261" s="2316"/>
      <c r="G261" s="2316"/>
      <c r="H261" s="2316"/>
    </row>
    <row r="262" spans="1:8">
      <c r="A262" s="2317" t="s">
        <v>1651</v>
      </c>
      <c r="B262" s="2316"/>
      <c r="C262" s="2316"/>
      <c r="D262" s="2316"/>
      <c r="E262" s="2316"/>
      <c r="F262" s="2316"/>
      <c r="G262" s="2316"/>
      <c r="H262" s="2316"/>
    </row>
    <row r="263" spans="1:8">
      <c r="A263" s="2317" t="s">
        <v>1652</v>
      </c>
      <c r="B263" s="2316"/>
      <c r="C263" s="2316"/>
      <c r="D263" s="2316"/>
      <c r="E263" s="2316"/>
      <c r="F263" s="2316"/>
      <c r="G263" s="2316"/>
      <c r="H263" s="2316"/>
    </row>
    <row r="264" spans="1:8">
      <c r="A264" s="2317" t="s">
        <v>1653</v>
      </c>
      <c r="B264" s="2316"/>
      <c r="C264" s="2316"/>
      <c r="D264" s="2316"/>
      <c r="E264" s="2316"/>
      <c r="F264" s="2316"/>
      <c r="G264" s="2316"/>
      <c r="H264" s="2316"/>
    </row>
    <row r="265" spans="1:8">
      <c r="A265" s="2317" t="s">
        <v>1654</v>
      </c>
      <c r="B265" s="2316"/>
      <c r="C265" s="2316"/>
      <c r="D265" s="2316"/>
      <c r="E265" s="2316"/>
      <c r="F265" s="2316"/>
      <c r="G265" s="2316"/>
      <c r="H265" s="2316"/>
    </row>
    <row r="266" spans="1:8">
      <c r="A266" s="2316"/>
      <c r="B266" s="2316"/>
      <c r="C266" s="2316"/>
      <c r="D266" s="2316"/>
      <c r="E266" s="2316"/>
      <c r="F266" s="2316"/>
      <c r="G266" s="2316"/>
      <c r="H266" s="2316"/>
    </row>
    <row r="267" spans="1:8">
      <c r="A267" s="2317" t="s">
        <v>1639</v>
      </c>
      <c r="B267" s="2316"/>
      <c r="C267" s="2316"/>
      <c r="D267" s="2316"/>
      <c r="E267" s="2316"/>
      <c r="F267" s="2316"/>
      <c r="G267" s="2316"/>
      <c r="H267" s="2316"/>
    </row>
    <row r="268" spans="1:8">
      <c r="A268" s="2317" t="s">
        <v>1640</v>
      </c>
      <c r="B268" s="2316"/>
      <c r="C268" s="2316"/>
      <c r="D268" s="2316"/>
      <c r="E268" s="2316"/>
      <c r="F268" s="2316"/>
      <c r="G268" s="2316"/>
      <c r="H268" s="2316"/>
    </row>
    <row r="269" spans="1:8">
      <c r="A269" s="2317" t="s">
        <v>1641</v>
      </c>
      <c r="B269" s="2316"/>
      <c r="C269" s="2316"/>
      <c r="D269" s="2316"/>
      <c r="E269" s="2316"/>
      <c r="F269" s="2316"/>
      <c r="G269" s="2316"/>
      <c r="H269" s="2316"/>
    </row>
    <row r="270" spans="1:8">
      <c r="A270" s="2317" t="s">
        <v>1642</v>
      </c>
      <c r="B270" s="2316"/>
      <c r="C270" s="2316"/>
      <c r="D270" s="2316"/>
      <c r="E270" s="2316"/>
      <c r="F270" s="2316"/>
      <c r="G270" s="2316"/>
      <c r="H270" s="2316"/>
    </row>
    <row r="271" spans="1:8">
      <c r="A271" s="2317" t="s">
        <v>1643</v>
      </c>
      <c r="B271" s="2316"/>
      <c r="C271" s="2316"/>
      <c r="D271" s="2316"/>
      <c r="E271" s="2316"/>
      <c r="F271" s="2316"/>
      <c r="G271" s="2316"/>
      <c r="H271" s="2316"/>
    </row>
    <row r="272" spans="1:8">
      <c r="A272" s="2317" t="s">
        <v>1644</v>
      </c>
      <c r="B272" s="2316"/>
      <c r="C272" s="2316"/>
      <c r="D272" s="2316"/>
      <c r="E272" s="2316"/>
      <c r="F272" s="2316"/>
      <c r="G272" s="2316"/>
      <c r="H272" s="2316"/>
    </row>
    <row r="273" spans="1:8">
      <c r="A273" s="2317" t="s">
        <v>1645</v>
      </c>
      <c r="B273" s="2316"/>
      <c r="C273" s="2316"/>
      <c r="D273" s="2316"/>
      <c r="E273" s="2316"/>
      <c r="F273" s="2316"/>
      <c r="G273" s="2316"/>
      <c r="H273" s="2316"/>
    </row>
    <row r="274" spans="1:8">
      <c r="A274" s="2317" t="s">
        <v>1646</v>
      </c>
      <c r="B274" s="2316"/>
      <c r="C274" s="2316"/>
      <c r="D274" s="2316"/>
      <c r="E274" s="2316"/>
      <c r="F274" s="2316"/>
      <c r="G274" s="2316"/>
      <c r="H274" s="2316"/>
    </row>
    <row r="275" spans="1:8">
      <c r="A275" s="2317" t="s">
        <v>1647</v>
      </c>
      <c r="B275" s="2316"/>
      <c r="C275" s="2316"/>
      <c r="D275" s="2316"/>
      <c r="E275" s="2316"/>
      <c r="F275" s="2316"/>
      <c r="G275" s="2316"/>
      <c r="H275" s="2316"/>
    </row>
    <row r="276" spans="1:8">
      <c r="A276" s="2316"/>
      <c r="B276" s="2316"/>
      <c r="C276" s="2316"/>
      <c r="D276" s="2316"/>
      <c r="E276" s="2316"/>
      <c r="F276" s="2316"/>
      <c r="G276" s="2316"/>
      <c r="H276" s="2316"/>
    </row>
    <row r="277" spans="1:8">
      <c r="A277" s="2317" t="s">
        <v>1632</v>
      </c>
      <c r="B277" s="2316"/>
      <c r="C277" s="2316"/>
      <c r="D277" s="2316"/>
      <c r="E277" s="2316"/>
      <c r="F277" s="2316"/>
      <c r="G277" s="2316"/>
      <c r="H277" s="2316"/>
    </row>
    <row r="278" spans="1:8">
      <c r="A278" s="2317" t="s">
        <v>1633</v>
      </c>
      <c r="B278" s="2316"/>
      <c r="C278" s="2316"/>
      <c r="D278" s="2316"/>
      <c r="E278" s="2316"/>
      <c r="F278" s="2316"/>
      <c r="G278" s="2316"/>
      <c r="H278" s="2316"/>
    </row>
    <row r="279" spans="1:8">
      <c r="A279" s="2317" t="s">
        <v>1634</v>
      </c>
      <c r="B279" s="2316"/>
      <c r="C279" s="2316"/>
      <c r="D279" s="2316"/>
      <c r="E279" s="2316"/>
      <c r="F279" s="2316"/>
      <c r="G279" s="2316"/>
      <c r="H279" s="2316"/>
    </row>
    <row r="280" spans="1:8">
      <c r="A280" s="2317" t="s">
        <v>1635</v>
      </c>
      <c r="B280" s="2316"/>
      <c r="C280" s="2316"/>
      <c r="D280" s="2316"/>
      <c r="E280" s="2316"/>
      <c r="F280" s="2316"/>
      <c r="G280" s="2316"/>
      <c r="H280" s="2316"/>
    </row>
    <row r="281" spans="1:8">
      <c r="A281" s="2317" t="s">
        <v>1636</v>
      </c>
      <c r="B281" s="2316"/>
      <c r="C281" s="2316"/>
      <c r="D281" s="2316"/>
      <c r="E281" s="2316"/>
      <c r="F281" s="2316"/>
      <c r="G281" s="2316"/>
      <c r="H281" s="2316"/>
    </row>
    <row r="282" spans="1:8">
      <c r="A282" s="2317" t="s">
        <v>1637</v>
      </c>
      <c r="B282" s="2316"/>
      <c r="C282" s="2316"/>
      <c r="D282" s="2316"/>
      <c r="E282" s="2316"/>
      <c r="F282" s="2316"/>
      <c r="G282" s="2316"/>
      <c r="H282" s="2316"/>
    </row>
    <row r="283" spans="1:8">
      <c r="A283" s="2317" t="s">
        <v>1638</v>
      </c>
      <c r="B283" s="2316"/>
      <c r="C283" s="2316"/>
      <c r="D283" s="2316"/>
      <c r="E283" s="2316"/>
      <c r="F283" s="2316"/>
      <c r="G283" s="2316"/>
      <c r="H283" s="2316"/>
    </row>
    <row r="284" spans="1:8">
      <c r="A284" s="2316"/>
      <c r="B284" s="2316"/>
      <c r="C284" s="2316"/>
      <c r="D284" s="2316"/>
      <c r="E284" s="2316"/>
      <c r="F284" s="2316"/>
      <c r="G284" s="2316"/>
      <c r="H284" s="2316"/>
    </row>
    <row r="285" spans="1:8">
      <c r="A285" s="2317" t="s">
        <v>1629</v>
      </c>
      <c r="B285" s="2316"/>
      <c r="C285" s="2316"/>
      <c r="D285" s="2316"/>
      <c r="E285" s="2316"/>
      <c r="F285" s="2316"/>
      <c r="G285" s="2316"/>
      <c r="H285" s="2316"/>
    </row>
    <row r="286" spans="1:8">
      <c r="A286" s="2317" t="s">
        <v>1630</v>
      </c>
      <c r="B286" s="2316"/>
      <c r="C286" s="2316"/>
      <c r="D286" s="2316"/>
      <c r="E286" s="2316"/>
      <c r="F286" s="2316"/>
      <c r="G286" s="2316"/>
      <c r="H286" s="2316"/>
    </row>
    <row r="287" spans="1:8">
      <c r="A287" s="2317" t="s">
        <v>1631</v>
      </c>
      <c r="B287" s="2316"/>
      <c r="C287" s="2316"/>
      <c r="D287" s="2316"/>
      <c r="E287" s="2316"/>
      <c r="F287" s="2316"/>
      <c r="G287" s="2316"/>
      <c r="H287" s="2316"/>
    </row>
    <row r="288" spans="1:8">
      <c r="A288" s="2316"/>
      <c r="B288" s="2316"/>
      <c r="C288" s="2316"/>
      <c r="D288" s="2316"/>
      <c r="E288" s="2316"/>
      <c r="F288" s="2316"/>
      <c r="G288" s="2316"/>
      <c r="H288" s="2316"/>
    </row>
    <row r="289" spans="1:8">
      <c r="A289" s="2317" t="s">
        <v>1627</v>
      </c>
      <c r="B289" s="2316"/>
      <c r="C289" s="2316"/>
      <c r="D289" s="2316"/>
      <c r="E289" s="2316"/>
      <c r="F289" s="2316"/>
      <c r="G289" s="2316"/>
      <c r="H289" s="2316"/>
    </row>
    <row r="290" spans="1:8">
      <c r="A290" s="2317" t="s">
        <v>1628</v>
      </c>
      <c r="B290" s="2316"/>
      <c r="C290" s="2316"/>
      <c r="D290" s="2316"/>
      <c r="E290" s="2316"/>
      <c r="F290" s="2316"/>
      <c r="G290" s="2316"/>
      <c r="H290" s="2316"/>
    </row>
    <row r="291" spans="1:8">
      <c r="A291" s="2316"/>
      <c r="B291" s="2316"/>
      <c r="C291" s="2316"/>
      <c r="D291" s="2316"/>
      <c r="E291" s="2316"/>
      <c r="F291" s="2316"/>
      <c r="G291" s="2316"/>
      <c r="H291" s="2316"/>
    </row>
    <row r="292" spans="1:8">
      <c r="A292" s="2317" t="s">
        <v>1614</v>
      </c>
      <c r="B292" s="2316"/>
      <c r="C292" s="2316"/>
      <c r="D292" s="2316"/>
      <c r="E292" s="2316"/>
      <c r="F292" s="2316"/>
      <c r="G292" s="2316"/>
      <c r="H292" s="2316"/>
    </row>
    <row r="293" spans="1:8">
      <c r="A293" s="2317" t="s">
        <v>1615</v>
      </c>
      <c r="B293" s="2316"/>
      <c r="C293" s="2316"/>
      <c r="D293" s="2316"/>
      <c r="E293" s="2316"/>
      <c r="F293" s="2316"/>
      <c r="G293" s="2316"/>
      <c r="H293" s="2316"/>
    </row>
    <row r="294" spans="1:8">
      <c r="A294" s="2317" t="s">
        <v>1616</v>
      </c>
      <c r="B294" s="2316"/>
      <c r="C294" s="2316"/>
      <c r="D294" s="2316"/>
      <c r="E294" s="2316"/>
      <c r="F294" s="2316"/>
      <c r="G294" s="2316"/>
      <c r="H294" s="2316"/>
    </row>
    <row r="295" spans="1:8">
      <c r="A295" s="2317" t="s">
        <v>1617</v>
      </c>
      <c r="B295" s="2316"/>
      <c r="C295" s="2316"/>
      <c r="D295" s="2316"/>
      <c r="E295" s="2316"/>
      <c r="F295" s="2316"/>
      <c r="G295" s="2316"/>
      <c r="H295" s="2316"/>
    </row>
    <row r="296" spans="1:8">
      <c r="A296" s="2317" t="s">
        <v>1618</v>
      </c>
      <c r="B296" s="2316"/>
      <c r="C296" s="2316"/>
      <c r="D296" s="2316"/>
      <c r="E296" s="2316"/>
      <c r="F296" s="2316"/>
      <c r="G296" s="2316"/>
      <c r="H296" s="2316"/>
    </row>
    <row r="297" spans="1:8">
      <c r="A297" s="2317" t="s">
        <v>1619</v>
      </c>
      <c r="B297" s="2316"/>
      <c r="C297" s="2316"/>
      <c r="D297" s="2316"/>
      <c r="E297" s="2316"/>
      <c r="F297" s="2316"/>
      <c r="G297" s="2316"/>
      <c r="H297" s="2316"/>
    </row>
    <row r="298" spans="1:8">
      <c r="A298" s="2317" t="s">
        <v>1620</v>
      </c>
      <c r="B298" s="2316"/>
      <c r="C298" s="2316"/>
      <c r="D298" s="2316"/>
      <c r="E298" s="2316"/>
      <c r="F298" s="2316"/>
      <c r="G298" s="2316"/>
      <c r="H298" s="2316"/>
    </row>
    <row r="299" spans="1:8">
      <c r="A299" s="2317" t="s">
        <v>1621</v>
      </c>
      <c r="B299" s="2316"/>
      <c r="C299" s="2316"/>
      <c r="D299" s="2316"/>
      <c r="E299" s="2316"/>
      <c r="F299" s="2316"/>
      <c r="G299" s="2316"/>
      <c r="H299" s="2316"/>
    </row>
    <row r="300" spans="1:8">
      <c r="A300" s="2317" t="s">
        <v>1622</v>
      </c>
      <c r="B300" s="2316"/>
      <c r="C300" s="2316"/>
      <c r="D300" s="2316"/>
      <c r="E300" s="2316"/>
      <c r="F300" s="2316"/>
      <c r="G300" s="2316"/>
      <c r="H300" s="2316"/>
    </row>
    <row r="301" spans="1:8">
      <c r="A301" s="2317" t="s">
        <v>1623</v>
      </c>
      <c r="B301" s="2316"/>
      <c r="C301" s="2316"/>
      <c r="D301" s="2316"/>
      <c r="E301" s="2316"/>
      <c r="F301" s="2316"/>
      <c r="G301" s="2316"/>
      <c r="H301" s="2316"/>
    </row>
    <row r="302" spans="1:8">
      <c r="A302" s="2317" t="s">
        <v>1624</v>
      </c>
      <c r="B302" s="2316"/>
      <c r="C302" s="2316"/>
      <c r="D302" s="2316"/>
      <c r="E302" s="2316"/>
      <c r="F302" s="2316"/>
      <c r="G302" s="2316"/>
      <c r="H302" s="2316"/>
    </row>
    <row r="303" spans="1:8">
      <c r="A303" s="2317" t="s">
        <v>1625</v>
      </c>
      <c r="B303" s="2316"/>
      <c r="C303" s="2316"/>
      <c r="D303" s="2316"/>
      <c r="E303" s="2316"/>
      <c r="F303" s="2316"/>
      <c r="G303" s="2316"/>
      <c r="H303" s="2316"/>
    </row>
    <row r="304" spans="1:8">
      <c r="A304" s="2317" t="s">
        <v>1626</v>
      </c>
      <c r="B304" s="2316"/>
      <c r="C304" s="2316"/>
      <c r="D304" s="2316"/>
      <c r="E304" s="2316"/>
      <c r="F304" s="2316"/>
      <c r="G304" s="2316"/>
      <c r="H304" s="2316"/>
    </row>
    <row r="305" spans="1:8">
      <c r="A305" s="2316"/>
      <c r="B305" s="2316"/>
      <c r="C305" s="2316"/>
      <c r="D305" s="2316"/>
      <c r="E305" s="2316"/>
      <c r="F305" s="2316"/>
      <c r="G305" s="2316"/>
      <c r="H305" s="2316"/>
    </row>
    <row r="306" spans="1:8">
      <c r="A306" s="2317" t="s">
        <v>1606</v>
      </c>
      <c r="B306" s="2316"/>
      <c r="C306" s="2316"/>
      <c r="D306" s="2316"/>
      <c r="E306" s="2316"/>
      <c r="F306" s="2316"/>
      <c r="G306" s="2316"/>
      <c r="H306" s="2316"/>
    </row>
    <row r="307" spans="1:8">
      <c r="A307" s="2317" t="s">
        <v>1607</v>
      </c>
      <c r="B307" s="2316"/>
      <c r="C307" s="2316"/>
      <c r="D307" s="2316"/>
      <c r="E307" s="2316"/>
      <c r="F307" s="2316"/>
      <c r="G307" s="2316"/>
      <c r="H307" s="2316"/>
    </row>
    <row r="308" spans="1:8">
      <c r="A308" s="2317" t="s">
        <v>1608</v>
      </c>
      <c r="B308" s="2316"/>
      <c r="C308" s="2316"/>
      <c r="D308" s="2316"/>
      <c r="E308" s="2316"/>
      <c r="F308" s="2316"/>
      <c r="G308" s="2316"/>
      <c r="H308" s="2316"/>
    </row>
    <row r="309" spans="1:8">
      <c r="A309" s="2317" t="s">
        <v>1609</v>
      </c>
      <c r="B309" s="2316"/>
      <c r="C309" s="2316"/>
      <c r="D309" s="2316"/>
      <c r="E309" s="2316"/>
      <c r="F309" s="2316"/>
      <c r="G309" s="2316"/>
      <c r="H309" s="2316"/>
    </row>
    <row r="310" spans="1:8">
      <c r="A310" s="2317" t="s">
        <v>1610</v>
      </c>
      <c r="B310" s="2316"/>
      <c r="C310" s="2316"/>
      <c r="D310" s="2316"/>
      <c r="E310" s="2316"/>
      <c r="F310" s="2316"/>
      <c r="G310" s="2316"/>
      <c r="H310" s="2316"/>
    </row>
    <row r="311" spans="1:8">
      <c r="A311" s="2317" t="s">
        <v>1611</v>
      </c>
      <c r="B311" s="2316"/>
      <c r="C311" s="2316"/>
      <c r="D311" s="2316"/>
      <c r="E311" s="2316"/>
      <c r="F311" s="2316"/>
      <c r="G311" s="2316"/>
      <c r="H311" s="2316"/>
    </row>
    <row r="312" spans="1:8">
      <c r="A312" s="2317" t="s">
        <v>1612</v>
      </c>
      <c r="B312" s="2316"/>
      <c r="C312" s="2316"/>
      <c r="D312" s="2316"/>
      <c r="E312" s="2316"/>
      <c r="F312" s="2316"/>
      <c r="G312" s="2316"/>
      <c r="H312" s="2316"/>
    </row>
    <row r="313" spans="1:8">
      <c r="A313" s="2317" t="s">
        <v>1613</v>
      </c>
      <c r="B313" s="2316"/>
      <c r="C313" s="2316"/>
      <c r="D313" s="2316"/>
      <c r="E313" s="2316"/>
      <c r="F313" s="2316"/>
      <c r="G313" s="2316"/>
      <c r="H313" s="2316"/>
    </row>
    <row r="314" spans="1:8">
      <c r="A314" s="2316"/>
      <c r="B314" s="2316"/>
      <c r="C314" s="2316"/>
      <c r="D314" s="2316"/>
      <c r="E314" s="2316"/>
      <c r="F314" s="2316"/>
      <c r="G314" s="2316"/>
      <c r="H314" s="2316"/>
    </row>
    <row r="315" spans="1:8">
      <c r="A315" s="2317" t="s">
        <v>1571</v>
      </c>
      <c r="B315" s="2316"/>
      <c r="C315" s="2316"/>
      <c r="D315" s="2316"/>
      <c r="E315" s="2316"/>
      <c r="F315" s="2316"/>
      <c r="G315" s="2316"/>
      <c r="H315" s="2316"/>
    </row>
    <row r="316" spans="1:8">
      <c r="A316" s="2317" t="s">
        <v>1572</v>
      </c>
      <c r="B316" s="2316"/>
      <c r="C316" s="2316"/>
      <c r="D316" s="2316"/>
      <c r="E316" s="2316"/>
      <c r="F316" s="2316"/>
      <c r="G316" s="2316"/>
      <c r="H316" s="2316"/>
    </row>
    <row r="317" spans="1:8">
      <c r="A317" s="2317" t="s">
        <v>1573</v>
      </c>
      <c r="B317" s="2316"/>
      <c r="C317" s="2316"/>
      <c r="D317" s="2316"/>
      <c r="E317" s="2316"/>
      <c r="F317" s="2316"/>
      <c r="G317" s="2316"/>
      <c r="H317" s="2316"/>
    </row>
    <row r="318" spans="1:8">
      <c r="A318" s="2317" t="s">
        <v>1574</v>
      </c>
      <c r="B318" s="2316"/>
      <c r="C318" s="2316"/>
      <c r="D318" s="2316"/>
      <c r="E318" s="2316"/>
      <c r="F318" s="2316"/>
      <c r="G318" s="2316"/>
      <c r="H318" s="2316"/>
    </row>
    <row r="319" spans="1:8">
      <c r="A319" s="2317" t="s">
        <v>1575</v>
      </c>
      <c r="B319" s="2316"/>
      <c r="C319" s="2316"/>
      <c r="D319" s="2316"/>
      <c r="E319" s="2316"/>
      <c r="F319" s="2316"/>
      <c r="G319" s="2316"/>
      <c r="H319" s="2316"/>
    </row>
    <row r="320" spans="1:8">
      <c r="A320" s="2317" t="s">
        <v>1576</v>
      </c>
      <c r="B320" s="2316"/>
      <c r="C320" s="2316"/>
      <c r="D320" s="2316"/>
      <c r="E320" s="2316"/>
      <c r="F320" s="2316"/>
      <c r="G320" s="2316"/>
      <c r="H320" s="2316"/>
    </row>
    <row r="321" spans="1:8">
      <c r="A321" s="2317" t="s">
        <v>1577</v>
      </c>
      <c r="B321" s="2316"/>
      <c r="C321" s="2316"/>
      <c r="D321" s="2316"/>
      <c r="E321" s="2316"/>
      <c r="F321" s="2316"/>
      <c r="G321" s="2316"/>
      <c r="H321" s="2316"/>
    </row>
    <row r="322" spans="1:8">
      <c r="A322" s="2317" t="s">
        <v>1578</v>
      </c>
      <c r="B322" s="2316"/>
      <c r="C322" s="2316"/>
      <c r="D322" s="2316"/>
      <c r="E322" s="2316"/>
      <c r="F322" s="2316"/>
      <c r="G322" s="2316"/>
      <c r="H322" s="2316"/>
    </row>
    <row r="323" spans="1:8">
      <c r="A323" s="2317" t="s">
        <v>1579</v>
      </c>
      <c r="B323" s="2316"/>
      <c r="C323" s="2316"/>
      <c r="D323" s="2316"/>
      <c r="E323" s="2316"/>
      <c r="F323" s="2316"/>
      <c r="G323" s="2316"/>
      <c r="H323" s="2316"/>
    </row>
    <row r="324" spans="1:8">
      <c r="A324" s="2317" t="s">
        <v>1580</v>
      </c>
      <c r="B324" s="2316"/>
      <c r="C324" s="2316"/>
      <c r="D324" s="2316"/>
      <c r="E324" s="2316"/>
      <c r="F324" s="2316"/>
      <c r="G324" s="2316"/>
      <c r="H324" s="2316"/>
    </row>
    <row r="325" spans="1:8">
      <c r="A325" s="2317" t="s">
        <v>1581</v>
      </c>
      <c r="B325" s="2316"/>
      <c r="C325" s="2316"/>
      <c r="D325" s="2316"/>
      <c r="E325" s="2316"/>
      <c r="F325" s="2316"/>
      <c r="G325" s="2316"/>
      <c r="H325" s="2316"/>
    </row>
    <row r="326" spans="1:8">
      <c r="A326" s="2317" t="s">
        <v>1582</v>
      </c>
      <c r="B326" s="2316"/>
      <c r="C326" s="2316"/>
      <c r="D326" s="2316"/>
      <c r="E326" s="2316"/>
      <c r="F326" s="2316"/>
      <c r="G326" s="2316"/>
      <c r="H326" s="2316"/>
    </row>
    <row r="327" spans="1:8">
      <c r="A327" s="2317" t="s">
        <v>1583</v>
      </c>
      <c r="B327" s="2316"/>
      <c r="C327" s="2316"/>
      <c r="D327" s="2316"/>
      <c r="E327" s="2316"/>
      <c r="F327" s="2316"/>
      <c r="G327" s="2316"/>
      <c r="H327" s="2316"/>
    </row>
    <row r="328" spans="1:8">
      <c r="A328" s="2317" t="s">
        <v>1584</v>
      </c>
      <c r="B328" s="2316"/>
      <c r="C328" s="2316"/>
      <c r="D328" s="2316"/>
      <c r="E328" s="2316"/>
      <c r="F328" s="2316"/>
      <c r="G328" s="2316"/>
      <c r="H328" s="2316"/>
    </row>
    <row r="329" spans="1:8">
      <c r="A329" s="2317" t="s">
        <v>1585</v>
      </c>
      <c r="B329" s="2316"/>
      <c r="C329" s="2316"/>
      <c r="D329" s="2316"/>
      <c r="E329" s="2316"/>
      <c r="F329" s="2316"/>
      <c r="G329" s="2316"/>
      <c r="H329" s="2316"/>
    </row>
    <row r="330" spans="1:8">
      <c r="A330" s="2317" t="s">
        <v>1586</v>
      </c>
      <c r="B330" s="2316"/>
      <c r="C330" s="2316"/>
      <c r="D330" s="2316"/>
      <c r="E330" s="2316"/>
      <c r="F330" s="2316"/>
      <c r="G330" s="2316"/>
      <c r="H330" s="2316"/>
    </row>
    <row r="331" spans="1:8">
      <c r="A331" s="2317" t="s">
        <v>1587</v>
      </c>
      <c r="B331" s="2316"/>
      <c r="C331" s="2316"/>
      <c r="D331" s="2316"/>
      <c r="E331" s="2316"/>
      <c r="F331" s="2316"/>
      <c r="G331" s="2316"/>
      <c r="H331" s="2316"/>
    </row>
    <row r="332" spans="1:8">
      <c r="A332" s="2317" t="s">
        <v>1588</v>
      </c>
      <c r="B332" s="2316"/>
      <c r="C332" s="2316"/>
      <c r="D332" s="2316"/>
      <c r="E332" s="2316"/>
      <c r="F332" s="2316"/>
      <c r="G332" s="2316"/>
      <c r="H332" s="2316"/>
    </row>
    <row r="333" spans="1:8">
      <c r="A333" s="2317" t="s">
        <v>1589</v>
      </c>
      <c r="B333" s="2316"/>
      <c r="C333" s="2316"/>
      <c r="D333" s="2316"/>
      <c r="E333" s="2316"/>
      <c r="F333" s="2316"/>
      <c r="G333" s="2316"/>
      <c r="H333" s="2316"/>
    </row>
    <row r="334" spans="1:8">
      <c r="A334" s="2317" t="s">
        <v>1590</v>
      </c>
      <c r="B334" s="2316"/>
      <c r="C334" s="2316"/>
      <c r="D334" s="2316"/>
      <c r="E334" s="2316"/>
      <c r="F334" s="2316"/>
      <c r="G334" s="2316"/>
      <c r="H334" s="2316"/>
    </row>
    <row r="335" spans="1:8">
      <c r="A335" s="2317" t="s">
        <v>1591</v>
      </c>
      <c r="B335" s="2316"/>
      <c r="C335" s="2316"/>
      <c r="D335" s="2316"/>
      <c r="E335" s="2316"/>
      <c r="F335" s="2316"/>
      <c r="G335" s="2316"/>
      <c r="H335" s="2316"/>
    </row>
    <row r="336" spans="1:8">
      <c r="A336" s="2317" t="s">
        <v>1592</v>
      </c>
      <c r="B336" s="2316"/>
      <c r="C336" s="2316"/>
      <c r="D336" s="2316"/>
      <c r="E336" s="2316"/>
      <c r="F336" s="2316"/>
      <c r="G336" s="2316"/>
      <c r="H336" s="2316"/>
    </row>
    <row r="337" spans="1:8">
      <c r="A337" s="2317" t="s">
        <v>1593</v>
      </c>
      <c r="B337" s="2316"/>
      <c r="C337" s="2316"/>
      <c r="D337" s="2316"/>
      <c r="E337" s="2316"/>
      <c r="F337" s="2316"/>
      <c r="G337" s="2316"/>
      <c r="H337" s="2316"/>
    </row>
    <row r="338" spans="1:8">
      <c r="A338" s="2317" t="s">
        <v>1594</v>
      </c>
      <c r="B338" s="2316"/>
      <c r="C338" s="2316"/>
      <c r="D338" s="2316"/>
      <c r="E338" s="2316"/>
      <c r="F338" s="2316"/>
      <c r="G338" s="2316"/>
      <c r="H338" s="2316"/>
    </row>
    <row r="339" spans="1:8">
      <c r="A339" s="2317" t="s">
        <v>1595</v>
      </c>
      <c r="B339" s="2316"/>
      <c r="C339" s="2316"/>
      <c r="D339" s="2316"/>
      <c r="E339" s="2316"/>
      <c r="F339" s="2316"/>
      <c r="G339" s="2316"/>
      <c r="H339" s="2316"/>
    </row>
    <row r="340" spans="1:8">
      <c r="A340" s="2317" t="s">
        <v>1596</v>
      </c>
      <c r="B340" s="2316"/>
      <c r="C340" s="2316"/>
      <c r="D340" s="2316"/>
      <c r="E340" s="2316"/>
      <c r="F340" s="2316"/>
      <c r="G340" s="2316"/>
      <c r="H340" s="2316"/>
    </row>
    <row r="341" spans="1:8">
      <c r="A341" s="2317" t="s">
        <v>1597</v>
      </c>
      <c r="B341" s="2316"/>
      <c r="C341" s="2316"/>
      <c r="D341" s="2316"/>
      <c r="E341" s="2316"/>
      <c r="F341" s="2316"/>
      <c r="G341" s="2316"/>
      <c r="H341" s="2316"/>
    </row>
    <row r="342" spans="1:8">
      <c r="A342" s="2317" t="s">
        <v>1598</v>
      </c>
      <c r="B342" s="2316"/>
      <c r="C342" s="2316"/>
      <c r="D342" s="2316"/>
      <c r="E342" s="2316"/>
      <c r="F342" s="2316"/>
      <c r="G342" s="2316"/>
      <c r="H342" s="2316"/>
    </row>
    <row r="343" spans="1:8">
      <c r="A343" s="2317" t="s">
        <v>1599</v>
      </c>
      <c r="B343" s="2316"/>
      <c r="C343" s="2316"/>
      <c r="D343" s="2316"/>
      <c r="E343" s="2316"/>
      <c r="F343" s="2316"/>
      <c r="G343" s="2316"/>
      <c r="H343" s="2316"/>
    </row>
    <row r="344" spans="1:8">
      <c r="A344" s="2317" t="s">
        <v>1600</v>
      </c>
      <c r="B344" s="2316"/>
      <c r="C344" s="2316"/>
      <c r="D344" s="2316"/>
      <c r="E344" s="2316"/>
      <c r="F344" s="2316"/>
      <c r="G344" s="2316"/>
      <c r="H344" s="2316"/>
    </row>
    <row r="345" spans="1:8">
      <c r="A345" s="2317" t="s">
        <v>1601</v>
      </c>
      <c r="B345" s="2316"/>
      <c r="C345" s="2316"/>
      <c r="D345" s="2316"/>
      <c r="E345" s="2316"/>
      <c r="F345" s="2316"/>
      <c r="G345" s="2316"/>
      <c r="H345" s="2316"/>
    </row>
    <row r="346" spans="1:8">
      <c r="A346" s="2317" t="s">
        <v>1602</v>
      </c>
      <c r="B346" s="2316"/>
      <c r="C346" s="2316"/>
      <c r="D346" s="2316"/>
      <c r="E346" s="2316"/>
      <c r="F346" s="2316"/>
      <c r="G346" s="2316"/>
      <c r="H346" s="2316"/>
    </row>
    <row r="347" spans="1:8">
      <c r="A347" s="2317" t="s">
        <v>1603</v>
      </c>
      <c r="B347" s="2316"/>
      <c r="C347" s="2316"/>
      <c r="D347" s="2316"/>
      <c r="E347" s="2316"/>
      <c r="F347" s="2316"/>
      <c r="G347" s="2316"/>
      <c r="H347" s="2316"/>
    </row>
    <row r="348" spans="1:8">
      <c r="A348" s="2317" t="s">
        <v>1604</v>
      </c>
      <c r="B348" s="2316"/>
      <c r="C348" s="2316"/>
      <c r="D348" s="2316"/>
      <c r="E348" s="2316"/>
      <c r="F348" s="2316"/>
      <c r="G348" s="2316"/>
      <c r="H348" s="2316"/>
    </row>
    <row r="349" spans="1:8">
      <c r="A349" s="2317" t="s">
        <v>1605</v>
      </c>
      <c r="B349" s="2316"/>
      <c r="C349" s="2316"/>
      <c r="D349" s="2316"/>
      <c r="E349" s="2316"/>
      <c r="F349" s="2316"/>
      <c r="G349" s="2316"/>
      <c r="H349" s="2316"/>
    </row>
    <row r="350" spans="1:8">
      <c r="A350" s="2316"/>
      <c r="B350" s="2316"/>
      <c r="C350" s="2316"/>
      <c r="D350" s="2316"/>
      <c r="E350" s="2316"/>
      <c r="F350" s="2316"/>
      <c r="G350" s="2316"/>
      <c r="H350" s="2316"/>
    </row>
    <row r="351" spans="1:8">
      <c r="A351" s="2317" t="s">
        <v>1563</v>
      </c>
      <c r="B351" s="2316"/>
      <c r="C351" s="2316"/>
      <c r="D351" s="2316"/>
      <c r="E351" s="2316"/>
      <c r="F351" s="2316"/>
      <c r="G351" s="2316"/>
      <c r="H351" s="2316"/>
    </row>
    <row r="352" spans="1:8">
      <c r="A352" s="2317" t="s">
        <v>1567</v>
      </c>
      <c r="B352" s="2316"/>
      <c r="C352" s="2316"/>
      <c r="D352" s="2316"/>
      <c r="E352" s="2316"/>
      <c r="F352" s="2316"/>
      <c r="G352" s="2316"/>
      <c r="H352" s="2316"/>
    </row>
    <row r="353" spans="1:8">
      <c r="A353" s="2317" t="s">
        <v>1568</v>
      </c>
      <c r="B353" s="2316"/>
      <c r="C353" s="2316"/>
      <c r="D353" s="2316"/>
      <c r="E353" s="2316"/>
      <c r="F353" s="2316"/>
      <c r="G353" s="2316"/>
      <c r="H353" s="2316"/>
    </row>
    <row r="354" spans="1:8">
      <c r="A354" s="2317" t="s">
        <v>1569</v>
      </c>
      <c r="B354" s="2316"/>
      <c r="C354" s="2316"/>
      <c r="D354" s="2316"/>
      <c r="E354" s="2316"/>
      <c r="F354" s="2316"/>
      <c r="G354" s="2316"/>
      <c r="H354" s="2316"/>
    </row>
    <row r="355" spans="1:8">
      <c r="A355" s="2317" t="s">
        <v>1570</v>
      </c>
      <c r="B355" s="2316"/>
      <c r="C355" s="2316"/>
      <c r="D355" s="2316"/>
      <c r="E355" s="2316"/>
      <c r="F355" s="2316"/>
      <c r="G355" s="2316"/>
      <c r="H355" s="2316"/>
    </row>
    <row r="356" spans="1:8">
      <c r="A356" s="2316"/>
      <c r="B356" s="2316"/>
      <c r="C356" s="2316"/>
      <c r="D356" s="2316"/>
      <c r="E356" s="2316"/>
      <c r="F356" s="2316"/>
      <c r="G356" s="2316"/>
      <c r="H356" s="2316"/>
    </row>
    <row r="357" spans="1:8">
      <c r="A357" s="2317" t="s">
        <v>1563</v>
      </c>
      <c r="B357" s="2316"/>
      <c r="C357" s="2316"/>
      <c r="D357" s="2316"/>
      <c r="E357" s="2316"/>
      <c r="F357" s="2316"/>
      <c r="G357" s="2316"/>
      <c r="H357" s="2316"/>
    </row>
    <row r="358" spans="1:8">
      <c r="A358" s="2317" t="s">
        <v>1564</v>
      </c>
      <c r="B358" s="2316"/>
      <c r="C358" s="2316"/>
      <c r="D358" s="2316"/>
      <c r="E358" s="2316"/>
      <c r="F358" s="2316"/>
      <c r="G358" s="2316"/>
      <c r="H358" s="2316"/>
    </row>
    <row r="359" spans="1:8">
      <c r="A359" s="2317" t="s">
        <v>1565</v>
      </c>
      <c r="B359" s="2316"/>
      <c r="C359" s="2316"/>
      <c r="D359" s="2316"/>
      <c r="E359" s="2316"/>
      <c r="F359" s="2316"/>
      <c r="G359" s="2316"/>
      <c r="H359" s="2316"/>
    </row>
    <row r="360" spans="1:8">
      <c r="A360" s="2317" t="s">
        <v>1566</v>
      </c>
      <c r="B360" s="2316"/>
      <c r="C360" s="2316"/>
      <c r="D360" s="2316"/>
      <c r="E360" s="2316"/>
      <c r="F360" s="2316"/>
      <c r="G360" s="2316"/>
      <c r="H360" s="2316"/>
    </row>
    <row r="361" spans="1:8">
      <c r="A361" s="2316"/>
      <c r="B361" s="2316"/>
      <c r="C361" s="2316"/>
      <c r="D361" s="2316"/>
      <c r="E361" s="2316"/>
      <c r="F361" s="2316"/>
      <c r="G361" s="2316"/>
      <c r="H361" s="2316"/>
    </row>
    <row r="362" spans="1:8">
      <c r="A362" s="2317" t="s">
        <v>1557</v>
      </c>
      <c r="B362" s="2316"/>
      <c r="C362" s="2316"/>
      <c r="D362" s="2316"/>
      <c r="E362" s="2316"/>
      <c r="F362" s="2316"/>
      <c r="G362" s="2316"/>
      <c r="H362" s="2316"/>
    </row>
    <row r="363" spans="1:8">
      <c r="A363" s="2317" t="s">
        <v>1558</v>
      </c>
      <c r="B363" s="2316"/>
      <c r="C363" s="2316"/>
      <c r="D363" s="2316"/>
      <c r="E363" s="2316"/>
      <c r="F363" s="2316"/>
      <c r="G363" s="2316"/>
      <c r="H363" s="2316"/>
    </row>
    <row r="364" spans="1:8">
      <c r="A364" s="2317" t="s">
        <v>1559</v>
      </c>
      <c r="B364" s="2316"/>
      <c r="C364" s="2316"/>
      <c r="D364" s="2316"/>
      <c r="E364" s="2316"/>
      <c r="F364" s="2316"/>
      <c r="G364" s="2316"/>
      <c r="H364" s="2316"/>
    </row>
    <row r="365" spans="1:8">
      <c r="A365" s="2317" t="s">
        <v>1560</v>
      </c>
      <c r="B365" s="2316"/>
      <c r="C365" s="2316"/>
      <c r="D365" s="2316"/>
      <c r="E365" s="2316"/>
      <c r="F365" s="2316"/>
      <c r="G365" s="2316"/>
      <c r="H365" s="2316"/>
    </row>
    <row r="366" spans="1:8">
      <c r="A366" s="2317" t="s">
        <v>1561</v>
      </c>
      <c r="B366" s="2316"/>
      <c r="C366" s="2316"/>
      <c r="D366" s="2316"/>
      <c r="E366" s="2316"/>
      <c r="F366" s="2316"/>
      <c r="G366" s="2316"/>
      <c r="H366" s="2316"/>
    </row>
    <row r="367" spans="1:8">
      <c r="A367" s="2317" t="s">
        <v>1562</v>
      </c>
      <c r="B367" s="2316"/>
      <c r="C367" s="2316"/>
      <c r="D367" s="2316"/>
      <c r="E367" s="2316"/>
      <c r="F367" s="2316"/>
      <c r="G367" s="2316"/>
      <c r="H367" s="2316"/>
    </row>
    <row r="368" spans="1:8">
      <c r="A368" s="2316"/>
      <c r="B368" s="2316"/>
      <c r="C368" s="2316"/>
      <c r="D368" s="2316"/>
      <c r="E368" s="2316"/>
      <c r="F368" s="2316"/>
      <c r="G368" s="2316"/>
      <c r="H368" s="2316"/>
    </row>
    <row r="369" spans="1:8">
      <c r="A369" s="2317" t="s">
        <v>1552</v>
      </c>
      <c r="B369" s="2316"/>
      <c r="C369" s="2316"/>
      <c r="D369" s="2316"/>
      <c r="E369" s="2316"/>
      <c r="F369" s="2316"/>
      <c r="G369" s="2316"/>
      <c r="H369" s="2316"/>
    </row>
    <row r="370" spans="1:8">
      <c r="A370" s="2317" t="s">
        <v>1553</v>
      </c>
      <c r="B370" s="2316"/>
      <c r="C370" s="2316"/>
      <c r="D370" s="2316"/>
      <c r="E370" s="2316"/>
      <c r="F370" s="2316"/>
      <c r="G370" s="2316"/>
      <c r="H370" s="2316"/>
    </row>
    <row r="371" spans="1:8">
      <c r="A371" s="2317" t="s">
        <v>1554</v>
      </c>
      <c r="B371" s="2316"/>
      <c r="C371" s="2316"/>
      <c r="D371" s="2316"/>
      <c r="E371" s="2316"/>
      <c r="F371" s="2316"/>
      <c r="G371" s="2316"/>
      <c r="H371" s="2316"/>
    </row>
    <row r="372" spans="1:8">
      <c r="A372" s="2317" t="s">
        <v>1555</v>
      </c>
      <c r="B372" s="2316"/>
      <c r="C372" s="2316"/>
      <c r="D372" s="2316"/>
      <c r="E372" s="2316"/>
      <c r="F372" s="2316"/>
      <c r="G372" s="2316"/>
      <c r="H372" s="2316"/>
    </row>
    <row r="373" spans="1:8">
      <c r="A373" s="2317" t="s">
        <v>1556</v>
      </c>
      <c r="B373" s="2316"/>
      <c r="C373" s="2316"/>
      <c r="D373" s="2316"/>
      <c r="E373" s="2316"/>
      <c r="F373" s="2316"/>
      <c r="G373" s="2316"/>
      <c r="H373" s="2316"/>
    </row>
    <row r="374" spans="1:8">
      <c r="A374" s="2316"/>
      <c r="B374" s="2316"/>
      <c r="C374" s="2316"/>
      <c r="D374" s="2316"/>
      <c r="E374" s="2316"/>
      <c r="F374" s="2316"/>
      <c r="G374" s="2316"/>
      <c r="H374" s="2316"/>
    </row>
    <row r="375" spans="1:8">
      <c r="A375" s="2317" t="s">
        <v>1550</v>
      </c>
      <c r="B375" s="2316"/>
      <c r="C375" s="2316"/>
      <c r="D375" s="2316"/>
      <c r="E375" s="2316"/>
      <c r="F375" s="2316"/>
      <c r="G375" s="2316"/>
      <c r="H375" s="2316"/>
    </row>
    <row r="376" spans="1:8">
      <c r="A376" s="2317" t="s">
        <v>1551</v>
      </c>
      <c r="B376" s="2316"/>
      <c r="C376" s="2316"/>
      <c r="D376" s="2316"/>
      <c r="E376" s="2316"/>
      <c r="F376" s="2316"/>
      <c r="G376" s="2316"/>
      <c r="H376" s="2316"/>
    </row>
    <row r="378" spans="1:8">
      <c r="A378" s="2312" t="s">
        <v>1797</v>
      </c>
    </row>
  </sheetData>
  <mergeCells count="12">
    <mergeCell ref="A119:H119"/>
    <mergeCell ref="A120:H120"/>
    <mergeCell ref="B112:C112"/>
    <mergeCell ref="D112:F112"/>
    <mergeCell ref="G112:H112"/>
    <mergeCell ref="A98:H98"/>
    <mergeCell ref="A99:H99"/>
    <mergeCell ref="A100:H100"/>
    <mergeCell ref="A101:H101"/>
    <mergeCell ref="A103:H103"/>
    <mergeCell ref="A104:H104"/>
    <mergeCell ref="A111:H11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L51"/>
  <sheetViews>
    <sheetView zoomScaleNormal="100" workbookViewId="0">
      <selection activeCell="I45" sqref="I45"/>
    </sheetView>
  </sheetViews>
  <sheetFormatPr defaultRowHeight="11.25"/>
  <cols>
    <col min="1" max="1" width="29" style="652" customWidth="1"/>
    <col min="2" max="4" width="9.28515625" style="650" customWidth="1"/>
    <col min="5" max="5" width="10.140625" style="652" bestFit="1" customWidth="1"/>
    <col min="6" max="6" width="4.140625" style="652" customWidth="1"/>
    <col min="7" max="8" width="9.28515625" style="652" customWidth="1"/>
    <col min="9" max="9" width="10.5703125" style="652" bestFit="1" customWidth="1"/>
    <col min="10" max="10" width="1.5703125" style="652" customWidth="1"/>
    <col min="11" max="11" width="20.140625" style="652" customWidth="1"/>
    <col min="12" max="16384" width="9.140625" style="652"/>
  </cols>
  <sheetData>
    <row r="1" spans="1:11" ht="12.75">
      <c r="A1" s="649" t="s">
        <v>356</v>
      </c>
      <c r="E1" s="2145" t="s">
        <v>1484</v>
      </c>
      <c r="K1" s="651"/>
    </row>
    <row r="2" spans="1:11">
      <c r="A2" s="653"/>
      <c r="B2" s="654"/>
      <c r="C2" s="654"/>
      <c r="D2" s="655" t="s">
        <v>654</v>
      </c>
      <c r="E2" s="655" t="s">
        <v>655</v>
      </c>
      <c r="G2" s="656" t="s">
        <v>656</v>
      </c>
      <c r="H2" s="657"/>
      <c r="I2" s="658"/>
      <c r="K2" s="651"/>
    </row>
    <row r="3" spans="1:11">
      <c r="A3" s="655"/>
      <c r="B3" s="655" t="s">
        <v>1481</v>
      </c>
      <c r="C3" s="655" t="s">
        <v>1482</v>
      </c>
      <c r="D3" s="655" t="s">
        <v>1483</v>
      </c>
      <c r="E3" s="655" t="str">
        <f>D3</f>
        <v>2Q17E</v>
      </c>
      <c r="G3" s="655" t="str">
        <f>B3</f>
        <v>2Q17A</v>
      </c>
      <c r="H3" s="655" t="str">
        <f>D2&amp;" "&amp;D3</f>
        <v>MS 2Q17E</v>
      </c>
      <c r="I3" s="655" t="s">
        <v>787</v>
      </c>
      <c r="K3" s="651"/>
    </row>
    <row r="4" spans="1:11">
      <c r="A4" s="659" t="s">
        <v>268</v>
      </c>
      <c r="B4" s="660">
        <f>sumry!CK8</f>
        <v>779.32100000000003</v>
      </c>
      <c r="C4" s="661">
        <f>sumry!CF8</f>
        <v>783.16</v>
      </c>
      <c r="D4" s="2146">
        <v>764.53824821916828</v>
      </c>
      <c r="E4" s="771" t="str">
        <f>_xll.ThomsonONEAddinShim.SpreadsheetFormulas.TF($A$1,"TF.ES.Sales.Mean(period=#1,scale=6)",,E1)</f>
        <v xml:space="preserve">$759 </v>
      </c>
      <c r="G4" s="662">
        <f>IF(ISERROR(C4-B4)=TRUE,"NA",C4-B4)</f>
        <v>3.8389999999999418</v>
      </c>
      <c r="H4" s="662">
        <f>IF(ISERROR(C4-D4)=TRUE,"NA",C4-D4)</f>
        <v>18.621751780831687</v>
      </c>
      <c r="I4" s="662">
        <f>IF(ISERROR(C4-E4)=TRUE,"NA",C4-E4)</f>
        <v>24.159999999999968</v>
      </c>
      <c r="K4" s="651"/>
    </row>
    <row r="5" spans="1:11">
      <c r="A5" s="659"/>
      <c r="B5" s="663"/>
      <c r="C5" s="664"/>
      <c r="D5" s="2147"/>
      <c r="E5" s="664"/>
      <c r="G5" s="665"/>
      <c r="H5" s="665"/>
      <c r="I5" s="665"/>
      <c r="K5" s="651"/>
    </row>
    <row r="6" spans="1:11">
      <c r="A6" s="659" t="s">
        <v>290</v>
      </c>
      <c r="B6" s="666">
        <f>sumry!CK10</f>
        <v>318.42599999999999</v>
      </c>
      <c r="C6" s="667">
        <f>sumry!CF10</f>
        <v>306.053</v>
      </c>
      <c r="D6" s="2148">
        <v>312.69614352163984</v>
      </c>
      <c r="E6" s="667">
        <f>E4-E8</f>
        <v>304</v>
      </c>
      <c r="G6" s="668">
        <f>IF(ISERROR(C6-B6)=TRUE,"NA",C6-B6)</f>
        <v>-12.37299999999999</v>
      </c>
      <c r="H6" s="668">
        <f>IF(ISERROR(C6-D6)=TRUE,"NA",C6-D6)</f>
        <v>-6.6431435216398427</v>
      </c>
      <c r="I6" s="668">
        <f>IF(ISERROR(C6-E6)=TRUE,"NA",C6-E6)</f>
        <v>2.0529999999999973</v>
      </c>
      <c r="K6" s="669"/>
    </row>
    <row r="7" spans="1:11">
      <c r="A7" s="659"/>
      <c r="C7" s="670"/>
      <c r="D7" s="2149"/>
      <c r="E7" s="670"/>
      <c r="G7" s="665"/>
      <c r="H7" s="665"/>
      <c r="I7" s="665"/>
      <c r="K7" s="650"/>
    </row>
    <row r="8" spans="1:11">
      <c r="A8" s="659" t="s">
        <v>291</v>
      </c>
      <c r="B8" s="666">
        <f>sumry!CK12</f>
        <v>460.89500000000004</v>
      </c>
      <c r="C8" s="667">
        <f>sumry!CF12</f>
        <v>477.10699999999997</v>
      </c>
      <c r="D8" s="2148">
        <v>451.84210469752844</v>
      </c>
      <c r="E8" s="667">
        <f>_xll.ThomsonONEAddinShim.SpreadsheetFormulas.TF($A$1,"TF.ES.GPM.Mean(period=#1)*TF.ES.Sales.Mean(period=#1,scale=6)",,E$1)</f>
        <v>455</v>
      </c>
      <c r="G8" s="668">
        <f>IF(ISERROR(C8-B8)=TRUE,"NA",C8-B8)</f>
        <v>16.211999999999932</v>
      </c>
      <c r="H8" s="668">
        <f>IF(ISERROR(C8-D8)=TRUE,"NA",C8-D8)</f>
        <v>25.26489530247153</v>
      </c>
      <c r="I8" s="668">
        <f>IF(ISERROR(C8-E8)=TRUE,"NA",C8-E8)</f>
        <v>22.106999999999971</v>
      </c>
      <c r="K8" s="671"/>
    </row>
    <row r="9" spans="1:11">
      <c r="A9" s="659" t="s">
        <v>292</v>
      </c>
      <c r="B9" s="666">
        <f>sumry!CK13</f>
        <v>478.64800000000002</v>
      </c>
      <c r="C9" s="667">
        <f>sumry!CF13</f>
        <v>494.63599999999997</v>
      </c>
      <c r="D9" s="2148">
        <v>485.48178761917188</v>
      </c>
      <c r="E9" s="667">
        <f>E8-E11</f>
        <v>483</v>
      </c>
      <c r="G9" s="668">
        <f>IF(ISERROR(C9-B9)=TRUE,"NA",C9-B9)</f>
        <v>15.987999999999943</v>
      </c>
      <c r="H9" s="668">
        <f>IF(ISERROR(C9-D9)=TRUE,"NA",C9-D9)</f>
        <v>9.1542123808280849</v>
      </c>
      <c r="I9" s="668">
        <f>IF(ISERROR(C9-E9)=TRUE,"NA",C9-E9)</f>
        <v>11.635999999999967</v>
      </c>
      <c r="K9" s="650"/>
    </row>
    <row r="10" spans="1:11">
      <c r="A10" s="659"/>
      <c r="B10" s="666"/>
      <c r="C10" s="667"/>
      <c r="D10" s="2148"/>
      <c r="E10" s="667"/>
      <c r="G10" s="665"/>
      <c r="H10" s="665"/>
      <c r="I10" s="665"/>
      <c r="K10" s="672"/>
    </row>
    <row r="11" spans="1:11">
      <c r="A11" s="659" t="s">
        <v>657</v>
      </c>
      <c r="B11" s="666">
        <f>sumry!CK20</f>
        <v>-17.752999999999986</v>
      </c>
      <c r="C11" s="667">
        <f>sumry!CF20</f>
        <v>-17.528999999999996</v>
      </c>
      <c r="D11" s="2148">
        <v>-33.639682921643441</v>
      </c>
      <c r="E11" s="667" t="str">
        <f>_xll.ThomsonONEAddinShim.SpreadsheetFormulas.TF($A$1,"TF.ES.EBIT.Mean(period=#1,scale=6)",,E$1)</f>
        <v>(28)</v>
      </c>
      <c r="G11" s="668">
        <f>IF(ISERROR(C11-B11)=TRUE,"NA",C11-B11)</f>
        <v>0.22399999999998954</v>
      </c>
      <c r="H11" s="668">
        <f>IF(ISERROR(C11-D11)=TRUE,"NA",C11-D11)</f>
        <v>16.110682921643445</v>
      </c>
      <c r="I11" s="668">
        <f>IF(ISERROR(C11-E11)=TRUE,"NA",C11-E11)</f>
        <v>10.471000000000004</v>
      </c>
    </row>
    <row r="12" spans="1:11">
      <c r="A12" s="659"/>
      <c r="B12" s="666"/>
      <c r="C12" s="667"/>
      <c r="D12" s="2148"/>
      <c r="E12" s="667"/>
      <c r="G12" s="668"/>
      <c r="H12" s="668"/>
      <c r="I12" s="668"/>
    </row>
    <row r="13" spans="1:11">
      <c r="A13" s="659" t="s">
        <v>658</v>
      </c>
      <c r="B13" s="666">
        <f>sumry!CK22+sumry!CK23</f>
        <v>-1.2900000000000005</v>
      </c>
      <c r="C13" s="667">
        <f>sumry!CF22+sumry!CF23</f>
        <v>-3.9429999999999996</v>
      </c>
      <c r="D13" s="2148">
        <v>-3.12</v>
      </c>
      <c r="E13" s="667">
        <f>E15-E11</f>
        <v>-5</v>
      </c>
      <c r="G13" s="668">
        <f>IF(ISERROR(C13-B13)=TRUE,"NA",C13-B13)</f>
        <v>-2.6529999999999991</v>
      </c>
      <c r="H13" s="668">
        <f>IF(ISERROR(C13-D13)=TRUE,"NA",C13-D13)</f>
        <v>-0.82299999999999951</v>
      </c>
      <c r="I13" s="668"/>
    </row>
    <row r="14" spans="1:11">
      <c r="A14" s="659"/>
      <c r="B14" s="666"/>
      <c r="C14" s="667"/>
      <c r="D14" s="2148"/>
      <c r="E14" s="667"/>
      <c r="G14" s="668"/>
      <c r="H14" s="668"/>
      <c r="I14" s="668"/>
      <c r="K14" s="669"/>
    </row>
    <row r="15" spans="1:11">
      <c r="A15" s="659" t="s">
        <v>294</v>
      </c>
      <c r="B15" s="666">
        <f>sumry!CK24</f>
        <v>-19.042999999999985</v>
      </c>
      <c r="C15" s="667">
        <f>sumry!CF24</f>
        <v>-21.471999999999994</v>
      </c>
      <c r="D15" s="2148">
        <v>-36.759682921643439</v>
      </c>
      <c r="E15" s="667" t="str">
        <f>_xll.ThomsonONEAddinShim.SpreadsheetFormulas.TF($A$1,"TF.ES.PBT.Mean(period=#1,scale=6)",,E$1)</f>
        <v>(33)</v>
      </c>
      <c r="G15" s="668">
        <f>IF(ISERROR(C15-B15)=TRUE,"NA",C15-B15)</f>
        <v>-2.4290000000000092</v>
      </c>
      <c r="H15" s="668">
        <f>IF(ISERROR(C15-D15)=TRUE,"NA",C15-D15)</f>
        <v>15.287682921643444</v>
      </c>
      <c r="I15" s="668"/>
      <c r="K15" s="673"/>
    </row>
    <row r="16" spans="1:11">
      <c r="A16" s="659"/>
      <c r="B16" s="674"/>
      <c r="C16" s="675"/>
      <c r="D16" s="2150"/>
      <c r="E16" s="675"/>
      <c r="G16" s="668"/>
      <c r="H16" s="668"/>
      <c r="I16" s="668"/>
      <c r="K16" s="671"/>
    </row>
    <row r="17" spans="1:12">
      <c r="A17" s="659" t="s">
        <v>295</v>
      </c>
      <c r="B17" s="666">
        <f>sumry!CK26</f>
        <v>-8.9529999999999994</v>
      </c>
      <c r="C17" s="667">
        <f>sumry!CF26</f>
        <v>-5.7619999999999996</v>
      </c>
      <c r="D17" s="2148">
        <v>-11.027904876493031</v>
      </c>
      <c r="E17" s="667">
        <f>E15-E19</f>
        <v>-10</v>
      </c>
      <c r="G17" s="668">
        <f>IF(ISERROR(C17-B17)=TRUE,"NA",C17-B17)</f>
        <v>3.1909999999999998</v>
      </c>
      <c r="H17" s="668">
        <f>IF(ISERROR(C17-D17)=TRUE,"NA",C17-D17)</f>
        <v>5.265904876493031</v>
      </c>
      <c r="I17" s="668"/>
      <c r="K17" s="650"/>
    </row>
    <row r="18" spans="1:12">
      <c r="A18" s="659"/>
      <c r="B18" s="666"/>
      <c r="C18" s="667"/>
      <c r="D18" s="2148"/>
      <c r="E18" s="667"/>
      <c r="G18" s="668"/>
      <c r="H18" s="668"/>
      <c r="I18" s="668"/>
      <c r="K18" s="769" t="s">
        <v>788</v>
      </c>
    </row>
    <row r="19" spans="1:12">
      <c r="A19" s="659" t="s">
        <v>296</v>
      </c>
      <c r="B19" s="666">
        <f>sumry!CK28</f>
        <v>-10.089999999999986</v>
      </c>
      <c r="C19" s="667">
        <f>sumry!CF28</f>
        <v>-15.709999999999994</v>
      </c>
      <c r="D19" s="2148">
        <v>-25.731778045150406</v>
      </c>
      <c r="E19" s="667" t="str">
        <f>_xll.ThomsonONEAddinShim.SpreadsheetFormulas.TF($A$1,"TF.ES.NetInc.Mean(period=#1,scale=6)",,E$1)</f>
        <v>(23)</v>
      </c>
      <c r="G19" s="668">
        <f>IF(ISERROR(C19-B19)=TRUE,"NA",C19-B19)</f>
        <v>-5.6200000000000081</v>
      </c>
      <c r="H19" s="668">
        <f>IF(ISERROR(C19-D19)=TRUE,"NA",C19-D19)</f>
        <v>10.021778045150413</v>
      </c>
      <c r="I19" s="668"/>
      <c r="K19" s="1962" t="s">
        <v>789</v>
      </c>
    </row>
    <row r="20" spans="1:12">
      <c r="A20" s="659"/>
      <c r="B20" s="666"/>
      <c r="C20" s="667"/>
      <c r="D20" s="2148"/>
      <c r="E20" s="667"/>
      <c r="G20" s="662"/>
      <c r="H20" s="662"/>
      <c r="I20" s="662"/>
      <c r="K20" s="676"/>
    </row>
    <row r="21" spans="1:12">
      <c r="A21" s="659" t="s">
        <v>659</v>
      </c>
      <c r="B21" s="677">
        <f>sumry!CK32</f>
        <v>-0.16019048732032232</v>
      </c>
      <c r="C21" s="678">
        <f>sumry!CF32</f>
        <v>-0.24738019545508053</v>
      </c>
      <c r="D21" s="2151">
        <v>-0.39413244671382791</v>
      </c>
      <c r="E21" s="772" t="str">
        <f>_xll.ThomsonONEAddinShim.SpreadsheetFormulas.TF($A$1,"TF.ES.EPS.Mean(period=#1)",,E$1)</f>
        <v>($0.33)</v>
      </c>
      <c r="G21" s="679">
        <f>IF(ISERROR(C21-B21)=TRUE,"NA",C21-B21)</f>
        <v>-8.7189708134758209E-2</v>
      </c>
      <c r="H21" s="679">
        <f>IF(ISERROR(C21-D21)=TRUE,"NA",C21-D21)</f>
        <v>0.14675225125874738</v>
      </c>
      <c r="I21" s="679">
        <f>IF(ISERROR(C21-E21)=TRUE,"NA",C21-E21)</f>
        <v>8.261980454491949E-2</v>
      </c>
    </row>
    <row r="22" spans="1:12">
      <c r="A22" s="659" t="s">
        <v>297</v>
      </c>
      <c r="B22" s="666">
        <f>sumry!CK37</f>
        <v>68.456000000000003</v>
      </c>
      <c r="C22" s="667">
        <f>sumry!CF37</f>
        <v>67.944000000000003</v>
      </c>
      <c r="D22" s="2148">
        <v>68.072999999999993</v>
      </c>
      <c r="E22" s="667"/>
      <c r="G22" s="668">
        <f>IF(ISERROR(C22-B22)=TRUE,"NA",C22-B22)</f>
        <v>-0.51200000000000045</v>
      </c>
      <c r="H22" s="680">
        <f>IF(ISERROR(C22-D22)=TRUE,"NA",C22-D22)</f>
        <v>-0.12899999999999068</v>
      </c>
      <c r="I22" s="668"/>
      <c r="K22" s="669"/>
    </row>
    <row r="23" spans="1:12">
      <c r="A23" s="659"/>
      <c r="B23" s="666"/>
      <c r="C23" s="667"/>
      <c r="D23" s="2148"/>
      <c r="E23" s="667"/>
      <c r="G23" s="668"/>
      <c r="H23" s="668"/>
      <c r="I23" s="668"/>
      <c r="K23" s="681"/>
      <c r="L23" s="682"/>
    </row>
    <row r="24" spans="1:12">
      <c r="A24" s="683" t="s">
        <v>299</v>
      </c>
      <c r="B24" s="684"/>
      <c r="C24" s="685"/>
      <c r="D24" s="2152"/>
      <c r="E24" s="685"/>
      <c r="G24" s="684"/>
      <c r="H24" s="684"/>
      <c r="I24" s="684"/>
      <c r="K24" s="650"/>
    </row>
    <row r="25" spans="1:12">
      <c r="A25" s="659" t="s">
        <v>300</v>
      </c>
      <c r="B25" s="663">
        <f>sumry!CK45</f>
        <v>0.59140585201733309</v>
      </c>
      <c r="C25" s="664">
        <f>sumry!CF45</f>
        <v>0.60920756933449105</v>
      </c>
      <c r="D25" s="2147">
        <v>0.59099999999999997</v>
      </c>
      <c r="E25" s="773">
        <f>E8/E4</f>
        <v>0.59947299077733862</v>
      </c>
      <c r="G25" s="665">
        <f t="shared" ref="G25:G30" si="0">IF(ISERROR((C25-B25)*10000)=TRUE,"NA",(C25-B25)*10000)</f>
        <v>178.0171731715796</v>
      </c>
      <c r="H25" s="665">
        <f t="shared" ref="H25:H30" si="1">IF(ISERROR((C25-D25)*10000)=TRUE,"NA",(C25-D25)*10000)</f>
        <v>182.0756933449108</v>
      </c>
      <c r="I25" s="665">
        <f>IF(ISERROR((C25-E25)*10000)=TRUE,"NA",(C25-E25)*10000)</f>
        <v>97.345785571524289</v>
      </c>
      <c r="K25" s="672"/>
    </row>
    <row r="26" spans="1:12">
      <c r="A26" s="659" t="s">
        <v>301</v>
      </c>
      <c r="B26" s="663">
        <f>sumry!CK46</f>
        <v>0.61418593878517325</v>
      </c>
      <c r="C26" s="664">
        <f>sumry!CF46</f>
        <v>0.63158996884416974</v>
      </c>
      <c r="D26" s="2147">
        <v>0.63500000000000001</v>
      </c>
      <c r="E26" s="664">
        <f>E9/E4</f>
        <v>0.63636363636363635</v>
      </c>
      <c r="G26" s="665">
        <f t="shared" si="0"/>
        <v>174.04030058996489</v>
      </c>
      <c r="H26" s="665">
        <f t="shared" si="1"/>
        <v>-34.100311558302735</v>
      </c>
      <c r="I26" s="665">
        <f>IF(ISERROR((C26-E26)*10000)=TRUE,"NA",(C26-E26)*10000)</f>
        <v>-47.736675194666176</v>
      </c>
      <c r="K26" s="650"/>
    </row>
    <row r="27" spans="1:12">
      <c r="A27" s="659" t="s">
        <v>278</v>
      </c>
      <c r="B27" s="663">
        <f>sumry!CK49</f>
        <v>-2.2780086767840192E-2</v>
      </c>
      <c r="C27" s="664">
        <f>sumry!CF49</f>
        <v>-2.2382399509678734E-2</v>
      </c>
      <c r="D27" s="2147">
        <v>-4.4000000000000046E-2</v>
      </c>
      <c r="E27" s="773">
        <f>E11/E4</f>
        <v>-3.689064558629776E-2</v>
      </c>
      <c r="G27" s="665">
        <f t="shared" si="0"/>
        <v>3.9768725816145825</v>
      </c>
      <c r="H27" s="665">
        <f t="shared" si="1"/>
        <v>216.17600490321311</v>
      </c>
      <c r="I27" s="665">
        <f>IF(ISERROR((C27-E27)*10000)=TRUE,"NA",(C27-E27)*10000)</f>
        <v>145.08246076619025</v>
      </c>
      <c r="K27" s="672"/>
    </row>
    <row r="28" spans="1:12">
      <c r="A28" s="659" t="s">
        <v>302</v>
      </c>
      <c r="B28" s="663">
        <f>sumry!CK50</f>
        <v>-2.4435373870330689E-2</v>
      </c>
      <c r="C28" s="664">
        <f>sumry!CF50</f>
        <v>-2.7417130599111286E-2</v>
      </c>
      <c r="D28" s="2147">
        <v>-4.8080894588684635E-2</v>
      </c>
      <c r="E28" s="664">
        <f>E15/E4</f>
        <v>-4.3478260869565216E-2</v>
      </c>
      <c r="G28" s="665">
        <f t="shared" si="0"/>
        <v>-29.817567287805971</v>
      </c>
      <c r="H28" s="665">
        <f t="shared" si="1"/>
        <v>206.63763989573349</v>
      </c>
      <c r="I28" s="665"/>
    </row>
    <row r="29" spans="1:12">
      <c r="A29" s="659" t="s">
        <v>303</v>
      </c>
      <c r="B29" s="663">
        <f>sumry!CK51</f>
        <v>0.47014651052880357</v>
      </c>
      <c r="C29" s="664">
        <f>sumry!CF51</f>
        <v>0.26834947839046203</v>
      </c>
      <c r="D29" s="2147">
        <v>0.3</v>
      </c>
      <c r="E29" s="664">
        <f>E17/E15</f>
        <v>0.30303030303030304</v>
      </c>
      <c r="F29" s="663"/>
      <c r="G29" s="665">
        <f t="shared" si="0"/>
        <v>-2017.9703213834155</v>
      </c>
      <c r="H29" s="665">
        <f t="shared" si="1"/>
        <v>-316.50521609537964</v>
      </c>
      <c r="I29" s="665"/>
      <c r="J29" s="663"/>
    </row>
    <row r="30" spans="1:12">
      <c r="A30" s="659" t="s">
        <v>279</v>
      </c>
      <c r="B30" s="663">
        <f>sumry!CK52</f>
        <v>-1.2947168111728011E-2</v>
      </c>
      <c r="C30" s="664">
        <f>sumry!CF52</f>
        <v>-2.0059757903876596E-2</v>
      </c>
      <c r="D30" s="2147">
        <v>-3.3656626212079245E-2</v>
      </c>
      <c r="E30" s="664">
        <f>E19/E4</f>
        <v>-3.0303030303030304E-2</v>
      </c>
      <c r="F30" s="663"/>
      <c r="G30" s="665">
        <f t="shared" si="0"/>
        <v>-71.125897921485858</v>
      </c>
      <c r="H30" s="665">
        <f t="shared" si="1"/>
        <v>135.9686830820265</v>
      </c>
      <c r="I30" s="665"/>
      <c r="J30" s="663"/>
    </row>
    <row r="31" spans="1:12">
      <c r="A31" s="659"/>
      <c r="B31" s="663"/>
      <c r="C31" s="664"/>
      <c r="D31" s="2147"/>
      <c r="E31" s="664"/>
      <c r="F31" s="663"/>
      <c r="G31" s="665"/>
      <c r="H31" s="665"/>
      <c r="I31" s="663"/>
      <c r="J31" s="663"/>
    </row>
    <row r="32" spans="1:12">
      <c r="A32" s="683" t="s">
        <v>304</v>
      </c>
      <c r="B32" s="663"/>
      <c r="C32" s="664"/>
      <c r="D32" s="2147"/>
      <c r="E32" s="242"/>
      <c r="F32" s="663"/>
      <c r="G32" s="665"/>
      <c r="H32" s="665"/>
      <c r="I32" s="663"/>
      <c r="J32" s="663"/>
    </row>
    <row r="33" spans="1:12">
      <c r="A33" s="659" t="s">
        <v>145</v>
      </c>
      <c r="B33" s="663">
        <f>sumry!CK56</f>
        <v>-4.9019357474844316E-3</v>
      </c>
      <c r="C33" s="664">
        <f>sumry!CF56</f>
        <v>-4.2306017931999285E-2</v>
      </c>
      <c r="D33" s="2147">
        <v>-2.3777710532754126E-2</v>
      </c>
      <c r="E33" s="664">
        <f>E4/B4-1</f>
        <v>-2.6075262953263234E-2</v>
      </c>
      <c r="F33" s="663"/>
      <c r="G33" s="665"/>
      <c r="H33" s="665"/>
      <c r="I33" s="663"/>
      <c r="J33" s="663"/>
    </row>
    <row r="34" spans="1:12">
      <c r="A34" s="659" t="s">
        <v>305</v>
      </c>
      <c r="B34" s="663">
        <f>sumry!CK57</f>
        <v>-0.01</v>
      </c>
      <c r="C34" s="664">
        <f>sumry!CF57</f>
        <v>-0.04</v>
      </c>
      <c r="D34" s="2147">
        <v>-1.687000000000001E-2</v>
      </c>
      <c r="E34" s="773">
        <v>-5.0999999999999997E-2</v>
      </c>
      <c r="F34" s="663"/>
      <c r="G34" s="665"/>
      <c r="H34" s="665"/>
      <c r="I34" s="663"/>
      <c r="J34" s="663"/>
    </row>
    <row r="35" spans="1:12">
      <c r="A35" s="659" t="s">
        <v>306</v>
      </c>
      <c r="B35" s="663">
        <f>sumry!CK58</f>
        <v>-3.2322758553764652E-2</v>
      </c>
      <c r="C35" s="664">
        <f>sumry!CF58</f>
        <v>5.5784603124262588E-3</v>
      </c>
      <c r="D35" s="2147">
        <v>-1.8506967509093752E-2</v>
      </c>
      <c r="E35" s="773">
        <f>E9/B9-1</f>
        <v>9.092276579030889E-3</v>
      </c>
      <c r="F35" s="663"/>
      <c r="G35" s="665"/>
      <c r="H35" s="665"/>
      <c r="I35" s="663"/>
      <c r="J35" s="663"/>
    </row>
    <row r="36" spans="1:12">
      <c r="A36" s="659" t="s">
        <v>307</v>
      </c>
      <c r="B36" s="663">
        <f>sumry!CK61</f>
        <v>1.277882366364258E-2</v>
      </c>
      <c r="C36" s="664">
        <f>sumry!CF61</f>
        <v>-2.1420287966642784</v>
      </c>
      <c r="D36" s="2147">
        <v>0.91908739355601843</v>
      </c>
      <c r="E36" s="773">
        <f>E11/B11-1</f>
        <v>0.577198220019153</v>
      </c>
      <c r="F36" s="663"/>
      <c r="G36" s="665"/>
      <c r="H36" s="665"/>
      <c r="I36" s="663"/>
      <c r="J36" s="663"/>
    </row>
    <row r="37" spans="1:12">
      <c r="A37" s="659" t="s">
        <v>308</v>
      </c>
      <c r="B37" s="663">
        <f>sumry!CK62</f>
        <v>-0.35245225663422264</v>
      </c>
      <c r="C37" s="664">
        <f>sumry!CF62</f>
        <v>-3.0169672467405415</v>
      </c>
      <c r="D37" s="2147">
        <v>0.5932255449502819</v>
      </c>
      <c r="E37" s="773">
        <f>E21/B21-1</f>
        <v>1.060047419296009</v>
      </c>
      <c r="F37" s="663"/>
      <c r="G37" s="665"/>
      <c r="H37" s="665"/>
      <c r="I37" s="663"/>
      <c r="J37" s="663"/>
    </row>
    <row r="38" spans="1:12">
      <c r="L38" s="686"/>
    </row>
    <row r="39" spans="1:12">
      <c r="A39" s="687" t="s">
        <v>660</v>
      </c>
      <c r="B39" s="652"/>
      <c r="C39" s="652"/>
      <c r="D39" s="652"/>
      <c r="H39" s="688"/>
      <c r="L39" s="686"/>
    </row>
    <row r="40" spans="1:12">
      <c r="A40" s="689" t="s">
        <v>145</v>
      </c>
      <c r="B40" s="652"/>
      <c r="C40" s="652"/>
      <c r="D40" s="652"/>
      <c r="H40" s="690">
        <f>(H4*(C19/C4))/C22</f>
        <v>-5.4978781418457334E-3</v>
      </c>
      <c r="L40" s="691"/>
    </row>
    <row r="41" spans="1:12">
      <c r="A41" s="689" t="s">
        <v>276</v>
      </c>
      <c r="B41" s="652"/>
      <c r="C41" s="652"/>
      <c r="D41" s="652"/>
      <c r="H41" s="690">
        <f>(((C25*D4)-D8)*(1-C29))/C22</f>
        <v>0.14990073593618727</v>
      </c>
      <c r="L41" s="691"/>
    </row>
    <row r="42" spans="1:12">
      <c r="A42" s="689" t="s">
        <v>147</v>
      </c>
      <c r="B42" s="652"/>
      <c r="C42" s="652"/>
      <c r="D42" s="652"/>
      <c r="H42" s="690">
        <f>-(((C26*D4)-D9)*(1-C29))/C22</f>
        <v>2.807437777298322E-2</v>
      </c>
      <c r="L42" s="691"/>
    </row>
    <row r="43" spans="1:12">
      <c r="A43" s="689" t="s">
        <v>307</v>
      </c>
      <c r="B43" s="652"/>
      <c r="C43" s="652"/>
      <c r="D43" s="652"/>
      <c r="H43" s="690">
        <f>(((C27*D4)-D11)*(1-C29))/C22</f>
        <v>0.17797511370917055</v>
      </c>
      <c r="L43" s="692"/>
    </row>
    <row r="44" spans="1:12">
      <c r="A44" s="689" t="s">
        <v>658</v>
      </c>
      <c r="B44" s="652"/>
      <c r="C44" s="652"/>
      <c r="D44" s="652"/>
      <c r="H44" s="690">
        <f>-(H13*(1-C29))/C22</f>
        <v>8.86242168969518E-3</v>
      </c>
      <c r="K44" s="686"/>
      <c r="L44" s="691"/>
    </row>
    <row r="45" spans="1:12">
      <c r="A45" s="689" t="s">
        <v>303</v>
      </c>
      <c r="B45" s="652"/>
      <c r="C45" s="652"/>
      <c r="D45" s="652"/>
      <c r="H45" s="690">
        <f>((C15*D29)-C17)/C22</f>
        <v>-1.0002354880489799E-2</v>
      </c>
      <c r="K45" s="686"/>
      <c r="L45" s="691"/>
    </row>
    <row r="46" spans="1:12">
      <c r="A46" s="689" t="s">
        <v>695</v>
      </c>
      <c r="B46" s="652"/>
      <c r="C46" s="652"/>
      <c r="D46" s="652"/>
      <c r="H46" s="690">
        <f>C21-(C19/D22)</f>
        <v>-1.6598534591008213E-2</v>
      </c>
      <c r="K46" s="686"/>
      <c r="L46" s="686"/>
    </row>
    <row r="47" spans="1:12">
      <c r="A47" s="693" t="s">
        <v>275</v>
      </c>
      <c r="B47" s="652"/>
      <c r="C47" s="652"/>
      <c r="D47" s="652"/>
      <c r="H47" s="679">
        <f>SUM(H40,H43:H46)</f>
        <v>0.15473876778552195</v>
      </c>
      <c r="K47" s="694"/>
    </row>
    <row r="49" spans="1:4">
      <c r="A49" s="652" t="s">
        <v>661</v>
      </c>
      <c r="B49" s="695">
        <f>turn!H151</f>
        <v>486.02600000000001</v>
      </c>
      <c r="C49" s="695">
        <f>turn!H158</f>
        <v>441.005</v>
      </c>
      <c r="D49" s="695">
        <v>445.69517911495433</v>
      </c>
    </row>
    <row r="50" spans="1:4">
      <c r="A50" s="652" t="s">
        <v>662</v>
      </c>
      <c r="B50" s="696">
        <f>work!CE10/100</f>
        <v>5.9734426443974531E-2</v>
      </c>
      <c r="C50" s="696">
        <f>work!CI10/100</f>
        <v>-9.263084690942458E-2</v>
      </c>
      <c r="D50" s="697">
        <f>turn!N151/100</f>
        <v>5.9734426443974531E-2</v>
      </c>
    </row>
    <row r="51" spans="1:4">
      <c r="A51" s="659" t="s">
        <v>744</v>
      </c>
      <c r="B51" s="696">
        <f>(qtrSales!AM153-turn!AF151)/100</f>
        <v>-0.11823085766575157</v>
      </c>
      <c r="C51" s="698">
        <f>(qtrSales!AM160-turn!AF158)/100</f>
        <v>-7.2197953768432979E-2</v>
      </c>
      <c r="D51" s="698">
        <v>-9.3819901754452775E-2</v>
      </c>
    </row>
  </sheetData>
  <phoneticPr fontId="59" type="noConversion"/>
  <dataValidations count="1">
    <dataValidation type="custom" allowBlank="1" showInputMessage="1" showErrorMessage="1" sqref="D49:D50">
      <formula1>-1</formula1>
    </dataValidation>
  </dataValidations>
  <pageMargins left="0.75" right="0.75" top="1" bottom="1" header="0.5" footer="0.5"/>
  <pageSetup scale="98" orientation="portrait" r:id="rId1"/>
  <headerFooter alignWithMargins="0"/>
  <colBreaks count="1" manualBreakCount="1">
    <brk id="11" max="53"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A210"/>
  <sheetViews>
    <sheetView zoomScale="85" workbookViewId="0">
      <selection activeCell="R33" sqref="R33"/>
    </sheetView>
  </sheetViews>
  <sheetFormatPr defaultRowHeight="12.75" outlineLevelRow="1" outlineLevelCol="1"/>
  <cols>
    <col min="1" max="1" width="24.42578125" customWidth="1"/>
    <col min="2" max="2" width="1" customWidth="1"/>
    <col min="3" max="9" width="8.140625" hidden="1" customWidth="1" outlineLevel="1"/>
    <col min="10" max="10" width="8.140625" customWidth="1" collapsed="1"/>
    <col min="11" max="13" width="8.140625" customWidth="1"/>
    <col min="14" max="14" width="8.28515625" customWidth="1"/>
    <col min="15" max="15" width="7.85546875" customWidth="1"/>
    <col min="16" max="16" width="8.5703125" customWidth="1"/>
    <col min="17" max="19" width="8.7109375" customWidth="1"/>
    <col min="20" max="20" width="8.7109375" style="2197" customWidth="1"/>
  </cols>
  <sheetData>
    <row r="1" spans="1:20">
      <c r="A1" s="24" t="s">
        <v>232</v>
      </c>
    </row>
    <row r="3" spans="1:20">
      <c r="A3" s="617" t="s">
        <v>225</v>
      </c>
      <c r="B3" s="618"/>
      <c r="C3" s="280" t="s">
        <v>62</v>
      </c>
      <c r="D3" s="280" t="s">
        <v>28</v>
      </c>
      <c r="E3" s="280" t="s">
        <v>58</v>
      </c>
      <c r="F3" s="280" t="s">
        <v>26</v>
      </c>
      <c r="G3" s="280" t="s">
        <v>20</v>
      </c>
      <c r="H3" s="280" t="s">
        <v>19</v>
      </c>
      <c r="I3" s="280" t="s">
        <v>10</v>
      </c>
      <c r="J3" s="280" t="s">
        <v>68</v>
      </c>
      <c r="K3" s="280" t="s">
        <v>552</v>
      </c>
      <c r="L3" s="280" t="s">
        <v>679</v>
      </c>
      <c r="M3" s="280" t="s">
        <v>790</v>
      </c>
      <c r="N3" s="280" t="s">
        <v>1431</v>
      </c>
      <c r="O3" s="280" t="s">
        <v>1433</v>
      </c>
      <c r="P3" s="280" t="s">
        <v>389</v>
      </c>
      <c r="Q3" s="280" t="s">
        <v>375</v>
      </c>
      <c r="R3" s="280" t="s">
        <v>782</v>
      </c>
      <c r="S3" s="280" t="s">
        <v>1428</v>
      </c>
      <c r="T3" s="280" t="s">
        <v>1496</v>
      </c>
    </row>
    <row r="4" spans="1:20">
      <c r="A4" s="26" t="s">
        <v>289</v>
      </c>
      <c r="B4" s="618"/>
      <c r="C4" s="95" t="s">
        <v>100</v>
      </c>
      <c r="D4" s="95" t="s">
        <v>100</v>
      </c>
      <c r="E4" s="95" t="s">
        <v>100</v>
      </c>
      <c r="F4" s="95" t="s">
        <v>100</v>
      </c>
      <c r="G4" s="95" t="s">
        <v>100</v>
      </c>
      <c r="H4" s="95" t="s">
        <v>100</v>
      </c>
      <c r="I4" s="95" t="s">
        <v>100</v>
      </c>
      <c r="J4" s="95" t="s">
        <v>100</v>
      </c>
      <c r="K4" s="95" t="s">
        <v>100</v>
      </c>
      <c r="L4" s="95" t="s">
        <v>100</v>
      </c>
      <c r="M4" s="95" t="s">
        <v>100</v>
      </c>
      <c r="N4" s="95" t="s">
        <v>100</v>
      </c>
      <c r="O4" s="95" t="s">
        <v>100</v>
      </c>
      <c r="P4" s="95" t="s">
        <v>100</v>
      </c>
      <c r="Q4" s="95" t="s">
        <v>100</v>
      </c>
      <c r="R4" s="95" t="s">
        <v>100</v>
      </c>
      <c r="S4" s="95" t="s">
        <v>100</v>
      </c>
      <c r="T4" s="95" t="s">
        <v>100</v>
      </c>
    </row>
    <row r="5" spans="1:20">
      <c r="A5" s="618"/>
      <c r="B5" s="618"/>
      <c r="C5" s="619"/>
      <c r="D5" s="619"/>
      <c r="E5" s="619"/>
      <c r="F5" s="619"/>
      <c r="G5" s="619"/>
      <c r="H5" s="619"/>
      <c r="I5" s="619"/>
      <c r="J5" s="619"/>
      <c r="K5" s="619"/>
      <c r="L5" s="619"/>
      <c r="M5" s="619"/>
    </row>
    <row r="6" spans="1:20">
      <c r="A6" s="620" t="s">
        <v>268</v>
      </c>
      <c r="B6" s="620"/>
      <c r="C6" s="621">
        <f>'yrP&amp;L'!L7</f>
        <v>2021.2539999999999</v>
      </c>
      <c r="D6" s="621">
        <f>'yrP&amp;L'!N7</f>
        <v>2768.1640000000002</v>
      </c>
      <c r="E6" s="621">
        <f>'yrP&amp;L'!P7</f>
        <v>3284.1759999999999</v>
      </c>
      <c r="F6" s="621">
        <f>'yrP&amp;L'!R7</f>
        <v>3699.6559999999999</v>
      </c>
      <c r="G6" s="621">
        <f>'yrP&amp;L'!S7</f>
        <v>3484.0569999999998</v>
      </c>
      <c r="H6" s="621">
        <f>'yrP&amp;L'!T7</f>
        <v>2928.625</v>
      </c>
      <c r="I6" s="621">
        <f>'yrP&amp;L'!U7</f>
        <v>3468.7759999999998</v>
      </c>
      <c r="J6" s="621">
        <f>'yrP&amp;L'!V7</f>
        <v>4158.058</v>
      </c>
      <c r="K6" s="621">
        <f>'yrP&amp;L'!W7</f>
        <v>4510.8050000000003</v>
      </c>
      <c r="L6" s="621">
        <f>'yrP&amp;L'!X7</f>
        <v>4116.8969999999999</v>
      </c>
      <c r="M6" s="621">
        <f>'yrP&amp;L'!Y7</f>
        <v>3744.0299999999997</v>
      </c>
      <c r="N6" s="621">
        <f>'yrP&amp;L'!Z7</f>
        <v>3518.6800000000003</v>
      </c>
      <c r="O6" s="621">
        <f>'yrP&amp;L'!AA7</f>
        <v>3326.74</v>
      </c>
      <c r="P6" s="621">
        <f>'yrP&amp;L'!AB7</f>
        <v>3492.69</v>
      </c>
      <c r="Q6" s="621">
        <f>'yrP&amp;L'!AC7</f>
        <v>3507.8603602149997</v>
      </c>
      <c r="R6" s="621">
        <f>'yrP&amp;L'!AD7</f>
        <v>3501.053784940505</v>
      </c>
      <c r="S6" s="621">
        <f>'yrP&amp;L'!AE7</f>
        <v>3482.3514356037103</v>
      </c>
      <c r="T6" s="621">
        <f>'yrP&amp;L'!AF7</f>
        <v>3457.2244743780684</v>
      </c>
    </row>
    <row r="7" spans="1:20">
      <c r="A7" s="620"/>
      <c r="B7" s="620"/>
      <c r="C7" s="622"/>
      <c r="D7" s="622"/>
      <c r="E7" s="622"/>
      <c r="F7" s="622"/>
      <c r="G7" s="622"/>
      <c r="H7" s="622"/>
      <c r="I7" s="622"/>
      <c r="J7" s="622"/>
      <c r="K7" s="622"/>
      <c r="L7" s="622"/>
      <c r="M7" s="622"/>
    </row>
    <row r="8" spans="1:20">
      <c r="A8" s="620" t="s">
        <v>290</v>
      </c>
      <c r="B8" s="620"/>
      <c r="C8" s="621">
        <f>'yrP&amp;L'!L11</f>
        <v>680.029</v>
      </c>
      <c r="D8" s="621">
        <f>'yrP&amp;L'!N11</f>
        <v>913.97900000000004</v>
      </c>
      <c r="E8" s="621">
        <f>'yrP&amp;L'!P11</f>
        <v>1083.509</v>
      </c>
      <c r="F8" s="621">
        <f>'yrP&amp;L'!R11</f>
        <v>1211.49</v>
      </c>
      <c r="G8" s="621">
        <f>'yrP&amp;L'!S11</f>
        <v>1152.963</v>
      </c>
      <c r="H8" s="621">
        <f>'yrP&amp;L'!T11</f>
        <v>1045.029</v>
      </c>
      <c r="I8" s="621">
        <f>'yrP&amp;L'!U11</f>
        <v>1251.348</v>
      </c>
      <c r="J8" s="621">
        <f>'yrP&amp;L'!V11</f>
        <v>1607.8340000000001</v>
      </c>
      <c r="K8" s="621">
        <f>'yrP&amp;L'!W11</f>
        <v>1694.096</v>
      </c>
      <c r="L8" s="621">
        <f>'yrP&amp;L'!X11</f>
        <v>1541.462</v>
      </c>
      <c r="M8" s="621">
        <f>'yrP&amp;L'!Y11</f>
        <v>1430.46</v>
      </c>
      <c r="N8" s="621">
        <f>'yrP&amp;L'!Z11</f>
        <v>1340.49</v>
      </c>
      <c r="O8" s="621">
        <f>'yrP&amp;L'!AA11</f>
        <v>1298.172</v>
      </c>
      <c r="P8" s="621">
        <f>'yrP&amp;L'!AB11</f>
        <v>1408.848</v>
      </c>
      <c r="Q8" s="621">
        <f>'yrP&amp;L'!AC11</f>
        <v>1420.4319961016351</v>
      </c>
      <c r="R8" s="621">
        <f>'yrP&amp;L'!AD11</f>
        <v>1414.425729115964</v>
      </c>
      <c r="S8" s="621">
        <f>'yrP&amp;L'!AE11</f>
        <v>1410.3523314195029</v>
      </c>
      <c r="T8" s="621">
        <f>'yrP&amp;L'!AF11</f>
        <v>1402.9416917026203</v>
      </c>
    </row>
    <row r="9" spans="1:20">
      <c r="A9" s="620"/>
      <c r="B9" s="620"/>
      <c r="C9" s="622"/>
      <c r="D9" s="622"/>
      <c r="E9" s="622"/>
      <c r="F9" s="622"/>
      <c r="G9" s="622"/>
      <c r="H9" s="622"/>
      <c r="I9" s="622"/>
      <c r="J9" s="622"/>
      <c r="K9" s="622"/>
      <c r="L9" s="622"/>
      <c r="M9" s="622"/>
    </row>
    <row r="10" spans="1:20">
      <c r="A10" s="620" t="s">
        <v>291</v>
      </c>
      <c r="B10" s="620"/>
      <c r="C10" s="621">
        <f t="shared" ref="C10:P10" si="0">C6-C8</f>
        <v>1341.2249999999999</v>
      </c>
      <c r="D10" s="621">
        <f t="shared" si="0"/>
        <v>1854.1850000000002</v>
      </c>
      <c r="E10" s="621">
        <f t="shared" si="0"/>
        <v>2200.6669999999999</v>
      </c>
      <c r="F10" s="621">
        <f t="shared" si="0"/>
        <v>2488.1660000000002</v>
      </c>
      <c r="G10" s="621">
        <f t="shared" si="0"/>
        <v>2331.0940000000001</v>
      </c>
      <c r="H10" s="621">
        <f t="shared" si="0"/>
        <v>1883.596</v>
      </c>
      <c r="I10" s="621">
        <f t="shared" si="0"/>
        <v>2217.4279999999999</v>
      </c>
      <c r="J10" s="621">
        <f t="shared" si="0"/>
        <v>2550.2240000000002</v>
      </c>
      <c r="K10" s="621">
        <f>K6-K8</f>
        <v>2816.7090000000003</v>
      </c>
      <c r="L10" s="621">
        <f t="shared" si="0"/>
        <v>2575.4349999999999</v>
      </c>
      <c r="M10" s="621">
        <f t="shared" si="0"/>
        <v>2313.5699999999997</v>
      </c>
      <c r="N10" s="621">
        <f t="shared" si="0"/>
        <v>2178.1900000000005</v>
      </c>
      <c r="O10" s="621">
        <f t="shared" si="0"/>
        <v>2028.5679999999998</v>
      </c>
      <c r="P10" s="621">
        <f t="shared" si="0"/>
        <v>2083.8420000000001</v>
      </c>
      <c r="Q10" s="621">
        <f>Q6-Q8</f>
        <v>2087.4283641133643</v>
      </c>
      <c r="R10" s="621">
        <f>R6-R8</f>
        <v>2086.6280558245408</v>
      </c>
      <c r="S10" s="621">
        <f>S6-S8</f>
        <v>2071.9991041842077</v>
      </c>
      <c r="T10" s="621">
        <f>T6-T8</f>
        <v>2054.2827826754483</v>
      </c>
    </row>
    <row r="11" spans="1:20">
      <c r="A11" s="620" t="s">
        <v>292</v>
      </c>
      <c r="B11" s="620"/>
      <c r="C11" s="623">
        <f>'yrP&amp;L'!L14</f>
        <v>965.18</v>
      </c>
      <c r="D11" s="623">
        <f>'yrP&amp;L'!N14</f>
        <v>1281.893</v>
      </c>
      <c r="E11" s="623">
        <f>'yrP&amp;L'!P14</f>
        <v>1512.6610000000001</v>
      </c>
      <c r="F11" s="623">
        <f>'yrP&amp;L'!R14</f>
        <v>1720.9580000000001</v>
      </c>
      <c r="G11" s="623">
        <f>'yrP&amp;L'!S14</f>
        <v>1837.6110000000001</v>
      </c>
      <c r="H11" s="623">
        <f>'yrP&amp;L'!T14</f>
        <v>1746.019</v>
      </c>
      <c r="I11" s="623">
        <f>'yrP&amp;L'!U14</f>
        <v>1975.7060000000001</v>
      </c>
      <c r="J11" s="623">
        <f>'yrP&amp;L'!V14</f>
        <v>2213.7280000000001</v>
      </c>
      <c r="K11" s="623">
        <f>'yrP&amp;L'!W14</f>
        <v>2454.4089999999997</v>
      </c>
      <c r="L11" s="623">
        <f>'yrP&amp;L'!X14</f>
        <v>2374.8130000000001</v>
      </c>
      <c r="M11" s="623">
        <f>'yrP&amp;L'!Y14</f>
        <v>2137.0809999999997</v>
      </c>
      <c r="N11" s="623">
        <f>'yrP&amp;L'!Z14</f>
        <v>2050.3526000000002</v>
      </c>
      <c r="O11" s="623">
        <f>'yrP&amp;L'!AA14</f>
        <v>2039.2359999999999</v>
      </c>
      <c r="P11" s="623">
        <f>'yrP&amp;L'!AB14</f>
        <v>1999.269</v>
      </c>
      <c r="Q11" s="623">
        <f>'yrP&amp;L'!AC14</f>
        <v>2030.8763915643058</v>
      </c>
      <c r="R11" s="623">
        <f>'yrP&amp;L'!AD14</f>
        <v>2034.8124598074212</v>
      </c>
      <c r="S11" s="623">
        <f>'yrP&amp;L'!AE14</f>
        <v>2024.9873598035576</v>
      </c>
      <c r="T11" s="623">
        <f>'yrP&amp;L'!AF14</f>
        <v>2011.7589216405979</v>
      </c>
    </row>
    <row r="12" spans="1:20">
      <c r="A12" s="620" t="s">
        <v>226</v>
      </c>
      <c r="B12" s="620"/>
      <c r="C12" s="623">
        <f>'yrP&amp;L'!L27</f>
        <v>105.81399999999999</v>
      </c>
      <c r="D12" s="623">
        <f>'yrP&amp;L'!N27</f>
        <v>124.206</v>
      </c>
      <c r="E12" s="623">
        <f>'yrP&amp;L'!P27</f>
        <v>146.15600000000001</v>
      </c>
      <c r="F12" s="623">
        <f>'yrP&amp;L'!R27</f>
        <v>183.71600000000001</v>
      </c>
      <c r="G12" s="623">
        <f>'yrP&amp;L'!S27</f>
        <v>225.334</v>
      </c>
      <c r="H12" s="623">
        <f>'yrP&amp;L'!T27</f>
        <v>238.75200000000001</v>
      </c>
      <c r="I12" s="623">
        <f>'yrP&amp;L'!U27</f>
        <v>229.15299999999999</v>
      </c>
      <c r="J12" s="623">
        <f>'yrP&amp;L'!V27</f>
        <v>232.95599999999999</v>
      </c>
      <c r="K12" s="623">
        <f>'yrP&amp;L'!W27</f>
        <v>224.245</v>
      </c>
      <c r="L12" s="623">
        <f>'yrP&amp;L'!X27</f>
        <v>235.24</v>
      </c>
      <c r="M12" s="623">
        <f>'yrP&amp;L'!Y27</f>
        <v>226.42099999999999</v>
      </c>
      <c r="N12" s="623">
        <f>'yrP&amp;L'!Z27</f>
        <v>213.68</v>
      </c>
      <c r="O12" s="623">
        <f>'yrP&amp;L'!AA27</f>
        <v>195.41399999999999</v>
      </c>
      <c r="P12" s="623">
        <f>'yrP&amp;L'!AB27</f>
        <v>192.14699999999999</v>
      </c>
      <c r="Q12" s="623">
        <f>'yrP&amp;L'!AC27</f>
        <v>180</v>
      </c>
      <c r="R12" s="623">
        <f>'yrP&amp;L'!AD27</f>
        <v>175.05268924702526</v>
      </c>
      <c r="S12" s="623">
        <f>'yrP&amp;L'!AE27</f>
        <v>167.15286890897809</v>
      </c>
      <c r="T12" s="623">
        <f>'yrP&amp;L'!AF27</f>
        <v>159.03232582139114</v>
      </c>
    </row>
    <row r="13" spans="1:20">
      <c r="A13" s="624" t="s">
        <v>307</v>
      </c>
      <c r="B13" s="620"/>
      <c r="C13" s="621">
        <f>C10-C11</f>
        <v>376.04499999999996</v>
      </c>
      <c r="D13" s="621">
        <f>D10-D11</f>
        <v>572.29200000000014</v>
      </c>
      <c r="E13" s="621">
        <f>E10-E11</f>
        <v>688.00599999999986</v>
      </c>
      <c r="F13" s="621">
        <f>F10-F11</f>
        <v>767.20800000000008</v>
      </c>
      <c r="G13" s="621">
        <f t="shared" ref="G13:P13" si="1">G10-G11</f>
        <v>493.48299999999995</v>
      </c>
      <c r="H13" s="621">
        <f>H10-H11</f>
        <v>137.577</v>
      </c>
      <c r="I13" s="621">
        <f t="shared" si="1"/>
        <v>241.72199999999975</v>
      </c>
      <c r="J13" s="621">
        <f t="shared" si="1"/>
        <v>336.49600000000009</v>
      </c>
      <c r="K13" s="621">
        <f>K10-K11</f>
        <v>362.30000000000064</v>
      </c>
      <c r="L13" s="621">
        <f t="shared" si="1"/>
        <v>200.62199999999984</v>
      </c>
      <c r="M13" s="621">
        <f t="shared" si="1"/>
        <v>176.48900000000003</v>
      </c>
      <c r="N13" s="621">
        <f t="shared" si="1"/>
        <v>127.83740000000034</v>
      </c>
      <c r="O13" s="621">
        <f t="shared" si="1"/>
        <v>-10.66800000000012</v>
      </c>
      <c r="P13" s="621">
        <f t="shared" si="1"/>
        <v>84.573000000000093</v>
      </c>
      <c r="Q13" s="621">
        <f>Q10-Q11</f>
        <v>56.551972549058519</v>
      </c>
      <c r="R13" s="621">
        <f>R10-R11</f>
        <v>51.81559601711956</v>
      </c>
      <c r="S13" s="621">
        <f>S10-S11</f>
        <v>47.011744380650043</v>
      </c>
      <c r="T13" s="621">
        <f>T10-T11</f>
        <v>42.52386103485037</v>
      </c>
    </row>
    <row r="14" spans="1:20">
      <c r="A14" s="620"/>
      <c r="B14" s="620"/>
      <c r="C14" s="622"/>
      <c r="D14" s="622"/>
      <c r="E14" s="622"/>
      <c r="F14" s="622"/>
      <c r="G14" s="622"/>
      <c r="H14" s="622"/>
      <c r="I14" s="622"/>
      <c r="J14" s="622"/>
      <c r="K14" s="622"/>
      <c r="L14" s="622"/>
      <c r="M14" s="622"/>
    </row>
    <row r="15" spans="1:20">
      <c r="A15" s="620" t="s">
        <v>227</v>
      </c>
      <c r="B15" s="620"/>
      <c r="C15" s="623">
        <f>'yrP&amp;L'!L33</f>
        <v>5.2149999999999999</v>
      </c>
      <c r="D15" s="623">
        <f>'yrP&amp;L'!N33</f>
        <v>6.6719999999999997</v>
      </c>
      <c r="E15" s="623">
        <f>'yrP&amp;L'!P33</f>
        <v>13.896000000000001</v>
      </c>
      <c r="F15" s="623">
        <f>'yrP&amp;L'!R33</f>
        <v>18.827000000000002</v>
      </c>
      <c r="G15" s="623">
        <f>'yrP&amp;L'!S33</f>
        <v>11.382000000000001</v>
      </c>
      <c r="H15" s="623">
        <f>'yrP&amp;L'!T33</f>
        <v>1.5990000000000002</v>
      </c>
      <c r="I15" s="623">
        <f>'yrP&amp;L'!U33</f>
        <v>-3.3609999999999998</v>
      </c>
      <c r="J15" s="623">
        <f>'yrP&amp;L'!V33</f>
        <v>-3.577</v>
      </c>
      <c r="K15" s="623">
        <f>'yrP&amp;L'!W33</f>
        <v>-7.2879999999999994</v>
      </c>
      <c r="L15" s="623">
        <f>'yrP&amp;L'!X33</f>
        <v>-7.5460000000000003</v>
      </c>
      <c r="M15" s="623">
        <f>'yrP&amp;L'!Y33</f>
        <v>-14.365</v>
      </c>
      <c r="N15" s="623">
        <f>'yrP&amp;L'!Z33</f>
        <v>-18.248000000000001</v>
      </c>
      <c r="O15" s="623">
        <f>'yrP&amp;L'!AA33</f>
        <v>-18.666</v>
      </c>
      <c r="P15" s="623">
        <f>'yrP&amp;L'!AB33</f>
        <v>-16.888999999999999</v>
      </c>
      <c r="Q15" s="623">
        <f>'yrP&amp;L'!AC33</f>
        <v>-16.436</v>
      </c>
      <c r="R15" s="623">
        <f>'yrP&amp;L'!AD33</f>
        <v>-16.436</v>
      </c>
      <c r="S15" s="623">
        <f>'yrP&amp;L'!AE33</f>
        <v>-16.436</v>
      </c>
      <c r="T15" s="623">
        <f>'yrP&amp;L'!AF33</f>
        <v>-16.436</v>
      </c>
    </row>
    <row r="16" spans="1:20">
      <c r="A16" s="624" t="s">
        <v>52</v>
      </c>
      <c r="B16" s="620"/>
      <c r="C16" s="616">
        <f>'yrP&amp;L'!L36</f>
        <v>4.49</v>
      </c>
      <c r="D16" s="616">
        <f>'yrP&amp;L'!N36</f>
        <v>5.5250000000000004</v>
      </c>
      <c r="E16" s="616">
        <f>'yrP&amp;L'!P36</f>
        <v>9.9830000000000005</v>
      </c>
      <c r="F16" s="616">
        <f>'yrP&amp;L'!R36</f>
        <v>11.702</v>
      </c>
      <c r="G16" s="616">
        <f>'yrP&amp;L'!S36</f>
        <v>8.7789999999999999</v>
      </c>
      <c r="H16" s="616">
        <f>'yrP&amp;L'!T36</f>
        <v>13.533999999999999</v>
      </c>
      <c r="I16" s="616">
        <f>'yrP&amp;L'!U36</f>
        <v>10.055</v>
      </c>
      <c r="J16" s="616">
        <f>'yrP&amp;L'!V36</f>
        <v>9.9690000000000012</v>
      </c>
      <c r="K16" s="616">
        <f>'yrP&amp;L'!W36</f>
        <v>19.332999999999998</v>
      </c>
      <c r="L16" s="616">
        <f>'yrP&amp;L'!X36</f>
        <v>23.073999999999998</v>
      </c>
      <c r="M16" s="616">
        <f>'yrP&amp;L'!Y36</f>
        <v>15.224</v>
      </c>
      <c r="N16" s="616">
        <f>'yrP&amp;L'!Z36</f>
        <v>8.652000000000001</v>
      </c>
      <c r="O16" s="616">
        <f>'yrP&amp;L'!AA36</f>
        <v>13.93</v>
      </c>
      <c r="P16" s="616">
        <f>'yrP&amp;L'!AB36</f>
        <v>16.207999999999998</v>
      </c>
      <c r="Q16" s="616">
        <f>'yrP&amp;L'!AC36</f>
        <v>4</v>
      </c>
      <c r="R16" s="616">
        <f>'yrP&amp;L'!AD36</f>
        <v>4</v>
      </c>
      <c r="S16" s="616">
        <f>'yrP&amp;L'!AE36</f>
        <v>4</v>
      </c>
      <c r="T16" s="616">
        <f>'yrP&amp;L'!AF36</f>
        <v>4</v>
      </c>
    </row>
    <row r="17" spans="1:23">
      <c r="A17" s="624" t="s">
        <v>228</v>
      </c>
      <c r="B17" s="620"/>
      <c r="C17" s="621">
        <f>C13+C15+C16</f>
        <v>385.74999999999994</v>
      </c>
      <c r="D17" s="621">
        <f t="shared" ref="D17:M17" si="2">D13+D15+D16</f>
        <v>584.48900000000015</v>
      </c>
      <c r="E17" s="621">
        <f t="shared" si="2"/>
        <v>711.88499999999976</v>
      </c>
      <c r="F17" s="621">
        <f t="shared" si="2"/>
        <v>797.73700000000008</v>
      </c>
      <c r="G17" s="621">
        <f t="shared" si="2"/>
        <v>513.64400000000001</v>
      </c>
      <c r="H17" s="621">
        <f t="shared" si="2"/>
        <v>152.70999999999998</v>
      </c>
      <c r="I17" s="621">
        <f t="shared" si="2"/>
        <v>248.41599999999977</v>
      </c>
      <c r="J17" s="621">
        <f t="shared" si="2"/>
        <v>342.88800000000009</v>
      </c>
      <c r="K17" s="621">
        <f t="shared" si="2"/>
        <v>374.3450000000006</v>
      </c>
      <c r="L17" s="621">
        <f t="shared" si="2"/>
        <v>216.14999999999986</v>
      </c>
      <c r="M17" s="621">
        <f t="shared" si="2"/>
        <v>177.34800000000001</v>
      </c>
      <c r="N17" s="621">
        <f t="shared" ref="N17:S17" si="3">N13+N15+N16</f>
        <v>118.24140000000034</v>
      </c>
      <c r="O17" s="621">
        <f t="shared" si="3"/>
        <v>-15.404000000000121</v>
      </c>
      <c r="P17" s="621">
        <f t="shared" si="3"/>
        <v>83.892000000000095</v>
      </c>
      <c r="Q17" s="621">
        <f t="shared" si="3"/>
        <v>44.115972549058519</v>
      </c>
      <c r="R17" s="621">
        <f t="shared" si="3"/>
        <v>39.37959601711956</v>
      </c>
      <c r="S17" s="621">
        <f t="shared" si="3"/>
        <v>34.575744380650043</v>
      </c>
      <c r="T17" s="621">
        <f t="shared" ref="T17" si="4">T13+T15+T16</f>
        <v>30.08786103485037</v>
      </c>
    </row>
    <row r="19" spans="1:23">
      <c r="A19" s="620" t="s">
        <v>295</v>
      </c>
      <c r="B19" s="620"/>
      <c r="C19" s="623">
        <f>'yrP&amp;L'!L42</f>
        <v>148.67599999999999</v>
      </c>
      <c r="D19" s="623">
        <f>'yrP&amp;L'!N42</f>
        <v>229.107</v>
      </c>
      <c r="E19" s="623">
        <f>'yrP&amp;L'!P42</f>
        <v>265.36099999999999</v>
      </c>
      <c r="F19" s="623">
        <f>'yrP&amp;L'!R42</f>
        <v>298.61</v>
      </c>
      <c r="G19" s="623">
        <f>'yrP&amp;L'!S42</f>
        <v>200.47399999999999</v>
      </c>
      <c r="H19" s="623">
        <f>'yrP&amp;L'!T42</f>
        <v>53.838000000000008</v>
      </c>
      <c r="I19" s="623">
        <f>'yrP&amp;L'!U42</f>
        <v>60.108999999999995</v>
      </c>
      <c r="J19" s="623">
        <f>'yrP&amp;L'!V42</f>
        <v>120.812</v>
      </c>
      <c r="K19" s="623">
        <f>'yrP&amp;L'!W42</f>
        <v>132.749</v>
      </c>
      <c r="L19" s="623">
        <f>'yrP&amp;L'!X42</f>
        <v>64.611999999999995</v>
      </c>
      <c r="M19" s="623">
        <f>'yrP&amp;L'!Y42</f>
        <v>65.018999999999991</v>
      </c>
      <c r="N19" s="623">
        <f>'yrP&amp;L'!Z42</f>
        <v>37.216999999999999</v>
      </c>
      <c r="O19" s="623">
        <f>'yrP&amp;L'!AA42</f>
        <v>-15.096</v>
      </c>
      <c r="P19" s="623">
        <f>'yrP&amp;L'!AB42</f>
        <v>35.455999999999996</v>
      </c>
      <c r="Q19" s="623">
        <f>'yrP&amp;L'!AC42</f>
        <v>22.743084687179234</v>
      </c>
      <c r="R19" s="623">
        <f>'yrP&amp;L'!AD42</f>
        <v>10.632490924622282</v>
      </c>
      <c r="S19" s="623">
        <f>'yrP&amp;L'!AE42</f>
        <v>9.3354509827755123</v>
      </c>
      <c r="T19" s="623">
        <f>'yrP&amp;L'!AF42</f>
        <v>8.1237224794096008</v>
      </c>
    </row>
    <row r="20" spans="1:23">
      <c r="A20" s="620"/>
      <c r="B20" s="620"/>
      <c r="C20" s="622"/>
      <c r="D20" s="622"/>
      <c r="E20" s="622"/>
      <c r="F20" s="622"/>
      <c r="G20" s="622"/>
      <c r="H20" s="622"/>
      <c r="I20" s="622"/>
      <c r="J20" s="622"/>
      <c r="K20" s="622"/>
      <c r="L20" s="622"/>
      <c r="M20" s="622"/>
    </row>
    <row r="21" spans="1:23">
      <c r="A21" s="620" t="s">
        <v>1430</v>
      </c>
      <c r="B21" s="620"/>
      <c r="C21" s="622"/>
      <c r="D21" s="622"/>
      <c r="E21" s="622"/>
      <c r="F21" s="622"/>
      <c r="G21" s="622"/>
      <c r="H21" s="622"/>
      <c r="I21" s="622"/>
      <c r="J21" s="622"/>
      <c r="K21" s="622"/>
      <c r="L21" s="622"/>
      <c r="M21" s="622"/>
      <c r="N21" s="623">
        <f>'yrP&amp;L'!Z48</f>
        <v>2.9829999999999997</v>
      </c>
      <c r="O21" s="623">
        <f>'yrP&amp;L'!AA48</f>
        <v>3.7620000000000005</v>
      </c>
      <c r="P21" s="623">
        <f>'yrP&amp;L'!AB48</f>
        <v>3.431</v>
      </c>
      <c r="Q21" s="623">
        <f>'yrP&amp;L'!AC48</f>
        <v>3.431</v>
      </c>
      <c r="R21" s="623">
        <f>'yrP&amp;L'!AD48</f>
        <v>3.431</v>
      </c>
      <c r="S21" s="623">
        <f>'yrP&amp;L'!AE48</f>
        <v>3.431</v>
      </c>
      <c r="T21" s="623">
        <f>'yrP&amp;L'!AF48</f>
        <v>3.431</v>
      </c>
    </row>
    <row r="22" spans="1:23">
      <c r="A22" s="620"/>
      <c r="B22" s="620"/>
      <c r="C22" s="622"/>
      <c r="D22" s="622"/>
      <c r="E22" s="622"/>
      <c r="F22" s="622"/>
      <c r="G22" s="622"/>
      <c r="H22" s="622"/>
      <c r="I22" s="622"/>
      <c r="J22" s="622"/>
      <c r="K22" s="622"/>
      <c r="L22" s="622"/>
      <c r="M22" s="622"/>
    </row>
    <row r="23" spans="1:23">
      <c r="A23" s="620" t="s">
        <v>229</v>
      </c>
      <c r="B23" s="620"/>
      <c r="C23" s="625">
        <f>C17-C19</f>
        <v>237.07399999999996</v>
      </c>
      <c r="D23" s="625">
        <f t="shared" ref="D23:M23" si="5">D17-D19</f>
        <v>355.38200000000018</v>
      </c>
      <c r="E23" s="625">
        <f t="shared" si="5"/>
        <v>446.52399999999977</v>
      </c>
      <c r="F23" s="625">
        <f t="shared" si="5"/>
        <v>499.12700000000007</v>
      </c>
      <c r="G23" s="625">
        <f t="shared" si="5"/>
        <v>313.17</v>
      </c>
      <c r="H23" s="625">
        <f t="shared" si="5"/>
        <v>98.871999999999971</v>
      </c>
      <c r="I23" s="625">
        <f t="shared" si="5"/>
        <v>188.30699999999979</v>
      </c>
      <c r="J23" s="625">
        <f t="shared" si="5"/>
        <v>222.07600000000008</v>
      </c>
      <c r="K23" s="625">
        <f>K17-K19</f>
        <v>241.5960000000006</v>
      </c>
      <c r="L23" s="625">
        <f t="shared" si="5"/>
        <v>151.53799999999987</v>
      </c>
      <c r="M23" s="625">
        <f t="shared" si="5"/>
        <v>112.32900000000002</v>
      </c>
      <c r="N23" s="625">
        <f t="shared" ref="N23:S23" si="6">N17-N19-N21</f>
        <v>78.041400000000337</v>
      </c>
      <c r="O23" s="625">
        <f t="shared" si="6"/>
        <v>-4.0700000000001211</v>
      </c>
      <c r="P23" s="625">
        <f t="shared" si="6"/>
        <v>45.005000000000102</v>
      </c>
      <c r="Q23" s="625">
        <f t="shared" si="6"/>
        <v>17.941887861879284</v>
      </c>
      <c r="R23" s="625">
        <f t="shared" si="6"/>
        <v>25.316105092497278</v>
      </c>
      <c r="S23" s="625">
        <f t="shared" si="6"/>
        <v>21.80929339787453</v>
      </c>
      <c r="T23" s="625">
        <f t="shared" ref="T23" si="7">T17-T19-T21</f>
        <v>18.533138555440768</v>
      </c>
    </row>
    <row r="24" spans="1:23">
      <c r="A24" s="620"/>
      <c r="B24" s="620"/>
      <c r="C24" s="622"/>
      <c r="D24" s="622"/>
      <c r="E24" s="622"/>
      <c r="F24" s="622"/>
      <c r="G24" s="622"/>
      <c r="H24" s="622"/>
      <c r="I24" s="622"/>
      <c r="J24" s="622"/>
      <c r="K24" s="622"/>
      <c r="L24" s="622"/>
      <c r="M24" s="622"/>
      <c r="U24" t="s">
        <v>746</v>
      </c>
      <c r="V24" t="s">
        <v>434</v>
      </c>
      <c r="W24" t="s">
        <v>748</v>
      </c>
    </row>
    <row r="25" spans="1:23">
      <c r="A25" s="626" t="s">
        <v>412</v>
      </c>
      <c r="B25" s="626"/>
      <c r="C25" s="627">
        <f t="shared" ref="C25:P25" si="8">C23/C26</f>
        <v>2.4926295867942376</v>
      </c>
      <c r="D25" s="627">
        <f t="shared" si="8"/>
        <v>3.8958353887810939</v>
      </c>
      <c r="E25" s="627">
        <f t="shared" si="8"/>
        <v>4.8529942397565451</v>
      </c>
      <c r="F25" s="627">
        <f t="shared" si="8"/>
        <v>5.4535690482173891</v>
      </c>
      <c r="G25" s="627">
        <f t="shared" si="8"/>
        <v>3.5072963680550115</v>
      </c>
      <c r="H25" s="627">
        <f t="shared" si="8"/>
        <v>1.1158234490853072</v>
      </c>
      <c r="I25" s="627">
        <f t="shared" si="8"/>
        <v>2.0957696631089227</v>
      </c>
      <c r="J25" s="627">
        <f t="shared" si="8"/>
        <v>2.4802707260685533</v>
      </c>
      <c r="K25" s="627">
        <f>K23/K26</f>
        <v>2.9046621440873408</v>
      </c>
      <c r="L25" s="627">
        <f>L23/L26</f>
        <v>1.914180329939619</v>
      </c>
      <c r="M25" s="627">
        <f t="shared" si="8"/>
        <v>1.5400825369839728</v>
      </c>
      <c r="N25" s="627">
        <f t="shared" si="8"/>
        <v>1.1242404598297295</v>
      </c>
      <c r="O25" s="627">
        <f>O23/O26</f>
        <v>-5.9604006795151439E-2</v>
      </c>
      <c r="P25" s="627">
        <f t="shared" si="8"/>
        <v>0.64845900033139925</v>
      </c>
      <c r="Q25" s="627">
        <f>Q23/Q26</f>
        <v>0.25263326075062886</v>
      </c>
      <c r="R25" s="627">
        <f>R23/R26</f>
        <v>0.35182268705612074</v>
      </c>
      <c r="S25" s="627">
        <f>S23/S26</f>
        <v>0.30099636195087476</v>
      </c>
      <c r="T25" s="627">
        <f>T23/T26</f>
        <v>0.25402824342339692</v>
      </c>
      <c r="U25" s="707">
        <v>13.5</v>
      </c>
      <c r="V25" s="702">
        <f>N25</f>
        <v>1.1242404598297295</v>
      </c>
      <c r="W25" s="702">
        <f>U25*V25</f>
        <v>15.177246207701348</v>
      </c>
    </row>
    <row r="26" spans="1:23">
      <c r="A26" s="620" t="s">
        <v>230</v>
      </c>
      <c r="B26" s="620"/>
      <c r="C26" s="623">
        <f>'yrP&amp;L'!L61</f>
        <v>95.11</v>
      </c>
      <c r="D26" s="623">
        <f>'yrP&amp;L'!N61</f>
        <v>91.221000000000004</v>
      </c>
      <c r="E26" s="623">
        <f>'yrP&amp;L'!P61</f>
        <v>92.01</v>
      </c>
      <c r="F26" s="623">
        <f>'yrP&amp;L'!R61</f>
        <v>91.522999999999996</v>
      </c>
      <c r="G26" s="623">
        <f>'yrP&amp;L'!S61</f>
        <v>89.290999999999997</v>
      </c>
      <c r="H26" s="623">
        <f>'yrP&amp;L'!T61</f>
        <v>88.608999999999995</v>
      </c>
      <c r="I26" s="623">
        <f>'yrP&amp;L'!U61</f>
        <v>89.850999999999999</v>
      </c>
      <c r="J26" s="623">
        <f>'yrP&amp;L'!V61</f>
        <v>89.537000000000006</v>
      </c>
      <c r="K26" s="623">
        <f>'yrP&amp;L'!W61</f>
        <v>83.175250000000005</v>
      </c>
      <c r="L26" s="623">
        <f>'yrP&amp;L'!X61</f>
        <v>79.165999999999997</v>
      </c>
      <c r="M26" s="623">
        <f>'yrP&amp;L'!Y61</f>
        <v>72.936999999999998</v>
      </c>
      <c r="N26" s="623">
        <f>'yrP&amp;L'!Z61</f>
        <v>69.417000000000002</v>
      </c>
      <c r="O26" s="623">
        <f>'yrP&amp;L'!AA61</f>
        <v>68.284000000000006</v>
      </c>
      <c r="P26" s="623">
        <f>'yrP&amp;L'!AB61</f>
        <v>69.403000000000006</v>
      </c>
      <c r="Q26" s="623">
        <f>'yrP&amp;L'!AC61</f>
        <v>71.019499999999994</v>
      </c>
      <c r="R26" s="623">
        <f>'yrP&amp;L'!AD61</f>
        <v>71.956999999999994</v>
      </c>
      <c r="S26" s="623">
        <f>'yrP&amp;L'!AE61</f>
        <v>72.456999999999994</v>
      </c>
      <c r="T26" s="623">
        <f>'yrP&amp;L'!AF61</f>
        <v>72.956999999999994</v>
      </c>
    </row>
    <row r="27" spans="1:23">
      <c r="A27" s="620"/>
      <c r="B27" s="620"/>
      <c r="C27" s="622"/>
      <c r="D27" s="622"/>
      <c r="E27" s="622"/>
      <c r="F27" s="622"/>
      <c r="G27" s="622"/>
      <c r="H27" s="622"/>
      <c r="I27" s="622"/>
      <c r="J27" s="622"/>
      <c r="K27" s="622"/>
      <c r="L27" s="622"/>
      <c r="M27" s="622"/>
    </row>
    <row r="28" spans="1:23">
      <c r="A28" s="620" t="s">
        <v>274</v>
      </c>
      <c r="B28" s="620"/>
      <c r="C28" s="625">
        <f t="shared" ref="C28:P28" si="9">C13+C12</f>
        <v>481.85899999999992</v>
      </c>
      <c r="D28" s="625">
        <f t="shared" si="9"/>
        <v>696.49800000000016</v>
      </c>
      <c r="E28" s="625">
        <f t="shared" si="9"/>
        <v>834.16199999999981</v>
      </c>
      <c r="F28" s="625">
        <f t="shared" si="9"/>
        <v>950.92400000000009</v>
      </c>
      <c r="G28" s="625">
        <f t="shared" si="9"/>
        <v>718.81700000000001</v>
      </c>
      <c r="H28" s="625">
        <f t="shared" si="9"/>
        <v>376.32900000000001</v>
      </c>
      <c r="I28" s="625">
        <f t="shared" si="9"/>
        <v>470.87499999999977</v>
      </c>
      <c r="J28" s="625">
        <f t="shared" si="9"/>
        <v>569.45200000000011</v>
      </c>
      <c r="K28" s="625">
        <f>K13+K12</f>
        <v>586.54500000000064</v>
      </c>
      <c r="L28" s="625">
        <f t="shared" si="9"/>
        <v>435.86199999999985</v>
      </c>
      <c r="M28" s="625">
        <f t="shared" si="9"/>
        <v>402.91</v>
      </c>
      <c r="N28" s="625">
        <f t="shared" si="9"/>
        <v>341.51740000000035</v>
      </c>
      <c r="O28" s="625">
        <f t="shared" si="9"/>
        <v>184.74599999999987</v>
      </c>
      <c r="P28" s="625">
        <f t="shared" si="9"/>
        <v>276.72000000000008</v>
      </c>
      <c r="Q28" s="625">
        <f>Q13+Q12</f>
        <v>236.55197254905852</v>
      </c>
      <c r="R28" s="625">
        <f>R13+R12</f>
        <v>226.86828526414482</v>
      </c>
      <c r="S28" s="625">
        <f>S13+S12</f>
        <v>214.16461328962814</v>
      </c>
      <c r="T28" s="625">
        <f>T13+T12</f>
        <v>201.55618685624151</v>
      </c>
    </row>
    <row r="29" spans="1:23">
      <c r="A29" s="620"/>
      <c r="B29" s="620"/>
      <c r="C29" s="622"/>
      <c r="D29" s="622"/>
      <c r="E29" s="622"/>
      <c r="F29" s="622"/>
      <c r="G29" s="622"/>
      <c r="H29" s="622"/>
      <c r="I29" s="622"/>
      <c r="J29" s="622"/>
      <c r="K29" s="622"/>
      <c r="L29" s="622"/>
      <c r="M29" s="622"/>
    </row>
    <row r="30" spans="1:23">
      <c r="A30" s="628" t="s">
        <v>299</v>
      </c>
      <c r="B30" s="620"/>
      <c r="C30" s="622"/>
      <c r="D30" s="622"/>
      <c r="E30" s="622"/>
      <c r="F30" s="622"/>
      <c r="G30" s="622"/>
      <c r="H30" s="622"/>
      <c r="I30" s="622"/>
      <c r="J30" s="622"/>
      <c r="K30" s="622"/>
      <c r="L30" s="622"/>
      <c r="M30" s="622"/>
    </row>
    <row r="31" spans="1:23">
      <c r="A31" s="620" t="s">
        <v>276</v>
      </c>
      <c r="B31" s="620"/>
      <c r="C31" s="629">
        <f t="shared" ref="C31:M31" si="10">C10/C6</f>
        <v>0.66356083896432605</v>
      </c>
      <c r="D31" s="629">
        <f t="shared" si="10"/>
        <v>0.66982483696775197</v>
      </c>
      <c r="E31" s="629">
        <f t="shared" si="10"/>
        <v>0.67008193227159563</v>
      </c>
      <c r="F31" s="629">
        <f t="shared" si="10"/>
        <v>0.67253982532430046</v>
      </c>
      <c r="G31" s="629">
        <f t="shared" si="10"/>
        <v>0.6690745874708709</v>
      </c>
      <c r="H31" s="629">
        <f t="shared" si="10"/>
        <v>0.6431673566946946</v>
      </c>
      <c r="I31" s="629">
        <f t="shared" si="10"/>
        <v>0.63925373099906135</v>
      </c>
      <c r="J31" s="629">
        <f t="shared" si="10"/>
        <v>0.61332093010727606</v>
      </c>
      <c r="K31" s="629">
        <f>K10/K6</f>
        <v>0.62443599313204634</v>
      </c>
      <c r="L31" s="629">
        <f t="shared" si="10"/>
        <v>0.62557673898569721</v>
      </c>
      <c r="M31" s="629">
        <f t="shared" si="10"/>
        <v>0.61793575371992204</v>
      </c>
      <c r="N31" s="629">
        <f t="shared" ref="N31:S31" si="11">N10/N6</f>
        <v>0.61903611581615847</v>
      </c>
      <c r="O31" s="629">
        <f t="shared" si="11"/>
        <v>0.60977653799214848</v>
      </c>
      <c r="P31" s="629">
        <f t="shared" si="11"/>
        <v>0.5966295319653333</v>
      </c>
      <c r="Q31" s="629">
        <f t="shared" si="11"/>
        <v>0.59507168181159409</v>
      </c>
      <c r="R31" s="629">
        <f t="shared" si="11"/>
        <v>0.59599999999999997</v>
      </c>
      <c r="S31" s="629">
        <f t="shared" si="11"/>
        <v>0.59499999999999997</v>
      </c>
      <c r="T31" s="629">
        <f t="shared" ref="T31" si="12">T10/T6</f>
        <v>0.59420000000000006</v>
      </c>
    </row>
    <row r="32" spans="1:23">
      <c r="A32" s="620" t="s">
        <v>301</v>
      </c>
      <c r="B32" s="620"/>
      <c r="C32" s="629">
        <f t="shared" ref="C32:M32" si="13">C11/C6</f>
        <v>0.47751544338316709</v>
      </c>
      <c r="D32" s="629">
        <f t="shared" si="13"/>
        <v>0.46308419587856786</v>
      </c>
      <c r="E32" s="629">
        <f t="shared" si="13"/>
        <v>0.46059072351786268</v>
      </c>
      <c r="F32" s="629">
        <f t="shared" si="13"/>
        <v>0.46516703174565421</v>
      </c>
      <c r="G32" s="629">
        <f t="shared" si="13"/>
        <v>0.5274342526543051</v>
      </c>
      <c r="H32" s="629">
        <f t="shared" si="13"/>
        <v>0.59619070382858852</v>
      </c>
      <c r="I32" s="629">
        <f t="shared" si="13"/>
        <v>0.56956863170178762</v>
      </c>
      <c r="J32" s="629">
        <f t="shared" si="13"/>
        <v>0.53239469002115891</v>
      </c>
      <c r="K32" s="629">
        <f>K11/K6</f>
        <v>0.54411773508276229</v>
      </c>
      <c r="L32" s="766">
        <f t="shared" si="13"/>
        <v>0.57684537650565471</v>
      </c>
      <c r="M32" s="766">
        <f t="shared" si="13"/>
        <v>0.57079697545158559</v>
      </c>
      <c r="N32" s="766">
        <f t="shared" ref="N32:S32" si="14">N11/N6</f>
        <v>0.58270504848409066</v>
      </c>
      <c r="O32" s="766">
        <f>O11/O6</f>
        <v>0.61298328092967891</v>
      </c>
      <c r="P32" s="766">
        <f t="shared" si="14"/>
        <v>0.57241524441046876</v>
      </c>
      <c r="Q32" s="766">
        <f t="shared" si="14"/>
        <v>0.57895018131218645</v>
      </c>
      <c r="R32" s="766">
        <f t="shared" si="14"/>
        <v>0.58119999999999994</v>
      </c>
      <c r="S32" s="766">
        <f t="shared" si="14"/>
        <v>0.58150000000000002</v>
      </c>
      <c r="T32" s="766">
        <f t="shared" ref="T32" si="15">T11/T6</f>
        <v>0.58189999999999997</v>
      </c>
    </row>
    <row r="33" spans="1:20">
      <c r="A33" s="620" t="s">
        <v>278</v>
      </c>
      <c r="B33" s="620"/>
      <c r="C33" s="629">
        <f t="shared" ref="C33:M33" si="16">C13/C6</f>
        <v>0.18604539558115901</v>
      </c>
      <c r="D33" s="629">
        <f t="shared" si="16"/>
        <v>0.20674064108918405</v>
      </c>
      <c r="E33" s="629">
        <f t="shared" si="16"/>
        <v>0.209491208753733</v>
      </c>
      <c r="F33" s="629">
        <f t="shared" si="16"/>
        <v>0.20737279357864627</v>
      </c>
      <c r="G33" s="629">
        <f t="shared" si="16"/>
        <v>0.14164033481656585</v>
      </c>
      <c r="H33" s="629">
        <f t="shared" si="16"/>
        <v>4.6976652866106104E-2</v>
      </c>
      <c r="I33" s="629">
        <f t="shared" si="16"/>
        <v>6.9685099297273664E-2</v>
      </c>
      <c r="J33" s="629">
        <f t="shared" si="16"/>
        <v>8.0926240086117152E-2</v>
      </c>
      <c r="K33" s="629">
        <f>K13/K6</f>
        <v>8.0318258049284025E-2</v>
      </c>
      <c r="L33" s="766">
        <f>L13/L6</f>
        <v>4.8731362480042575E-2</v>
      </c>
      <c r="M33" s="766">
        <f t="shared" si="16"/>
        <v>4.713877826833654E-2</v>
      </c>
      <c r="N33" s="766">
        <f t="shared" ref="N33:S33" si="17">N13/N6</f>
        <v>3.6331067332067798E-2</v>
      </c>
      <c r="O33" s="766">
        <f t="shared" si="17"/>
        <v>-3.2067429375304715E-3</v>
      </c>
      <c r="P33" s="766">
        <f t="shared" si="17"/>
        <v>2.4214287554864614E-2</v>
      </c>
      <c r="Q33" s="766">
        <f t="shared" si="17"/>
        <v>1.6121500499407679E-2</v>
      </c>
      <c r="R33" s="766">
        <f t="shared" si="17"/>
        <v>1.4800000000000025E-2</v>
      </c>
      <c r="S33" s="766">
        <f t="shared" si="17"/>
        <v>1.3499999999999986E-2</v>
      </c>
      <c r="T33" s="766">
        <f t="shared" ref="T33" si="18">T13/T6</f>
        <v>1.2300000000000037E-2</v>
      </c>
    </row>
    <row r="34" spans="1:20">
      <c r="A34" s="620" t="s">
        <v>303</v>
      </c>
      <c r="B34" s="620"/>
      <c r="C34" s="629">
        <f>C19/C17</f>
        <v>0.38542060920285159</v>
      </c>
      <c r="D34" s="629">
        <f t="shared" ref="D34:M34" si="19">D19/D17</f>
        <v>0.39197829214921059</v>
      </c>
      <c r="E34" s="629">
        <f t="shared" si="19"/>
        <v>0.37275824044613959</v>
      </c>
      <c r="F34" s="629">
        <f t="shared" si="19"/>
        <v>0.37432136155148876</v>
      </c>
      <c r="G34" s="629">
        <f t="shared" si="19"/>
        <v>0.39029756017786638</v>
      </c>
      <c r="H34" s="629">
        <f t="shared" si="19"/>
        <v>0.35255058607818751</v>
      </c>
      <c r="I34" s="629">
        <f t="shared" si="19"/>
        <v>0.24196911632101012</v>
      </c>
      <c r="J34" s="629">
        <f t="shared" si="19"/>
        <v>0.35233662303725988</v>
      </c>
      <c r="K34" s="629">
        <f>K19/K17</f>
        <v>0.35461673055603732</v>
      </c>
      <c r="L34" s="629">
        <f t="shared" si="19"/>
        <v>0.29892204487624352</v>
      </c>
      <c r="M34" s="629">
        <f t="shared" si="19"/>
        <v>0.36661817443670064</v>
      </c>
      <c r="N34" s="629">
        <f t="shared" ref="N34:S34" si="20">N19/N17</f>
        <v>0.31475439228561142</v>
      </c>
      <c r="O34" s="629">
        <f t="shared" si="20"/>
        <v>0.98000519345623749</v>
      </c>
      <c r="P34" s="629">
        <f t="shared" si="20"/>
        <v>0.42263863062032081</v>
      </c>
      <c r="Q34" s="629">
        <f t="shared" si="20"/>
        <v>0.51552948678368404</v>
      </c>
      <c r="R34" s="629">
        <f t="shared" si="20"/>
        <v>0.27</v>
      </c>
      <c r="S34" s="629">
        <f t="shared" si="20"/>
        <v>0.27</v>
      </c>
      <c r="T34" s="629">
        <f t="shared" ref="T34" si="21">T19/T17</f>
        <v>0.27</v>
      </c>
    </row>
    <row r="35" spans="1:20">
      <c r="A35" s="620"/>
      <c r="B35" s="620"/>
      <c r="C35" s="622"/>
      <c r="D35" s="622"/>
      <c r="E35" s="622"/>
      <c r="F35" s="622"/>
      <c r="G35" s="622"/>
      <c r="H35" s="622"/>
      <c r="I35" s="622"/>
      <c r="J35" s="622"/>
      <c r="K35" s="622"/>
      <c r="L35" s="622"/>
      <c r="M35" s="622"/>
    </row>
    <row r="36" spans="1:20">
      <c r="A36" s="628" t="s">
        <v>304</v>
      </c>
      <c r="B36" s="620"/>
      <c r="C36" s="622"/>
      <c r="D36" s="622"/>
      <c r="E36" s="622"/>
      <c r="F36" s="622"/>
      <c r="G36" s="622"/>
      <c r="H36" s="622"/>
      <c r="I36" s="622"/>
      <c r="J36" s="622"/>
      <c r="K36" s="622"/>
      <c r="L36" s="622"/>
      <c r="M36" s="622"/>
    </row>
    <row r="37" spans="1:20">
      <c r="A37" s="620" t="s">
        <v>145</v>
      </c>
      <c r="B37" s="620"/>
      <c r="C37" s="630" t="s">
        <v>251</v>
      </c>
      <c r="D37" s="629">
        <f>((D6/C6)-1)</f>
        <v>0.36952802567119236</v>
      </c>
      <c r="E37" s="629">
        <f t="shared" ref="E37:M37" si="22">((E6/D6)-1)</f>
        <v>0.18640947573915412</v>
      </c>
      <c r="F37" s="629">
        <f t="shared" si="22"/>
        <v>0.12650966330671687</v>
      </c>
      <c r="G37" s="629">
        <f t="shared" si="22"/>
        <v>-5.8275418038866378E-2</v>
      </c>
      <c r="H37" s="629">
        <f t="shared" si="22"/>
        <v>-0.1594210427670959</v>
      </c>
      <c r="I37" s="629">
        <f t="shared" si="22"/>
        <v>0.18443843100431079</v>
      </c>
      <c r="J37" s="629">
        <f t="shared" si="22"/>
        <v>0.19871043849473136</v>
      </c>
      <c r="K37" s="629">
        <f t="shared" si="22"/>
        <v>8.4834554977347709E-2</v>
      </c>
      <c r="L37" s="629">
        <f t="shared" si="22"/>
        <v>-8.7325433043547784E-2</v>
      </c>
      <c r="M37" s="629">
        <f t="shared" si="22"/>
        <v>-9.0569912242157158E-2</v>
      </c>
      <c r="N37" s="629">
        <f t="shared" ref="N37:T37" si="23">((N6/M6)-1)</f>
        <v>-6.0189154467245043E-2</v>
      </c>
      <c r="O37" s="629">
        <f t="shared" si="23"/>
        <v>-5.454886491525246E-2</v>
      </c>
      <c r="P37" s="629">
        <f t="shared" si="23"/>
        <v>4.9883669899060346E-2</v>
      </c>
      <c r="Q37" s="629">
        <f t="shared" si="23"/>
        <v>4.3434602598568794E-3</v>
      </c>
      <c r="R37" s="629">
        <f t="shared" si="23"/>
        <v>-1.9403780582866181E-3</v>
      </c>
      <c r="S37" s="629">
        <f t="shared" si="23"/>
        <v>-5.3419200291184854E-3</v>
      </c>
      <c r="T37" s="629">
        <f t="shared" si="23"/>
        <v>-7.2155156337015969E-3</v>
      </c>
    </row>
    <row r="38" spans="1:20">
      <c r="A38" s="620" t="s">
        <v>231</v>
      </c>
      <c r="B38" s="620"/>
      <c r="C38" s="642">
        <f>yrSales!L240</f>
        <v>0.02</v>
      </c>
      <c r="D38" s="642">
        <f>yrSales!M240</f>
        <v>0.26</v>
      </c>
      <c r="E38" s="642">
        <f>yrSales!N240</f>
        <v>0.02</v>
      </c>
      <c r="F38" s="642">
        <f>yrSales!O240</f>
        <v>-0.01</v>
      </c>
      <c r="G38" s="642">
        <f>yrSales!P240</f>
        <v>-0.13</v>
      </c>
      <c r="H38" s="642">
        <f>yrSales!Q240</f>
        <v>-0.23</v>
      </c>
      <c r="I38" s="642">
        <f>yrSales!R241</f>
        <v>3.076657134320715E-2</v>
      </c>
      <c r="J38" s="642">
        <f>yrSales!S241</f>
        <v>7.4777962024644984E-3</v>
      </c>
      <c r="K38" s="642">
        <f>yrSales!T241</f>
        <v>-4.9657853905901835E-2</v>
      </c>
      <c r="L38" s="642">
        <f>yrSales!U240</f>
        <v>-0.11</v>
      </c>
      <c r="M38" s="642">
        <f>yrSales!V240</f>
        <v>-7.9683968878454511E-2</v>
      </c>
      <c r="N38" s="642">
        <f>yrSales!W240</f>
        <v>-0.03</v>
      </c>
      <c r="O38" s="642">
        <f>yrSales!X240</f>
        <v>-0.05</v>
      </c>
      <c r="P38" s="642">
        <f>yrSales!Y240</f>
        <v>0.03</v>
      </c>
      <c r="Q38" s="642">
        <f>yrSales!Z240</f>
        <v>-1.1912052448902445E-3</v>
      </c>
      <c r="R38" s="642">
        <f>yrSales!AA240</f>
        <v>-1.1958268990164398E-2</v>
      </c>
      <c r="S38" s="642">
        <f>yrSales!AB240</f>
        <v>-1.1688112704915718E-2</v>
      </c>
      <c r="T38" s="642">
        <f>yrSales!AC240</f>
        <v>-1.1378564297995202E-2</v>
      </c>
    </row>
    <row r="39" spans="1:20">
      <c r="A39" s="620" t="s">
        <v>292</v>
      </c>
      <c r="B39" s="620"/>
      <c r="C39" s="630" t="s">
        <v>251</v>
      </c>
      <c r="D39" s="629">
        <f>((D11/C11)-1)</f>
        <v>0.32813879276404401</v>
      </c>
      <c r="E39" s="629">
        <f t="shared" ref="E39:M39" si="24">((E11/D11)-1)</f>
        <v>0.1800212654254294</v>
      </c>
      <c r="F39" s="629">
        <f t="shared" si="24"/>
        <v>0.13770236688854931</v>
      </c>
      <c r="G39" s="629">
        <f t="shared" si="24"/>
        <v>6.7783757651261656E-2</v>
      </c>
      <c r="H39" s="629">
        <f t="shared" si="24"/>
        <v>-4.9842975471957929E-2</v>
      </c>
      <c r="I39" s="629">
        <f>((I11/H11)-1)</f>
        <v>0.13154896939838578</v>
      </c>
      <c r="J39" s="629">
        <f t="shared" si="24"/>
        <v>0.12047440256799336</v>
      </c>
      <c r="K39" s="629">
        <f t="shared" si="24"/>
        <v>0.10872202908397033</v>
      </c>
      <c r="L39" s="629">
        <f t="shared" si="24"/>
        <v>-3.2429802856817846E-2</v>
      </c>
      <c r="M39" s="629">
        <f t="shared" si="24"/>
        <v>-0.10010556620668676</v>
      </c>
      <c r="N39" s="629">
        <f t="shared" ref="N39:T39" si="25">((N11/M11)-1)</f>
        <v>-4.058264520624133E-2</v>
      </c>
      <c r="O39" s="629">
        <f t="shared" si="25"/>
        <v>-5.4217991578621172E-3</v>
      </c>
      <c r="P39" s="629">
        <f t="shared" si="25"/>
        <v>-1.959900668681791E-2</v>
      </c>
      <c r="Q39" s="629">
        <f t="shared" si="25"/>
        <v>1.5809474144952818E-2</v>
      </c>
      <c r="R39" s="629">
        <f t="shared" si="25"/>
        <v>1.9381131512803407E-3</v>
      </c>
      <c r="S39" s="629">
        <f t="shared" si="25"/>
        <v>-4.8285039520513662E-3</v>
      </c>
      <c r="T39" s="629">
        <f t="shared" si="25"/>
        <v>-6.5326028327619134E-3</v>
      </c>
    </row>
    <row r="40" spans="1:20">
      <c r="A40" s="620" t="s">
        <v>307</v>
      </c>
      <c r="B40" s="620"/>
      <c r="C40" s="630" t="s">
        <v>251</v>
      </c>
      <c r="D40" s="629">
        <f>((D13/C13)-1)</f>
        <v>0.52187105266656975</v>
      </c>
      <c r="E40" s="629">
        <f t="shared" ref="E40:M40" si="26">((E13/D13)-1)</f>
        <v>0.20219398488883233</v>
      </c>
      <c r="F40" s="629">
        <f t="shared" si="26"/>
        <v>0.11511818210887736</v>
      </c>
      <c r="G40" s="629">
        <f t="shared" si="26"/>
        <v>-0.35678069050374883</v>
      </c>
      <c r="H40" s="629">
        <f t="shared" si="26"/>
        <v>-0.72121228086884448</v>
      </c>
      <c r="I40" s="629">
        <f t="shared" si="26"/>
        <v>0.75699426502976341</v>
      </c>
      <c r="J40" s="629">
        <f t="shared" si="26"/>
        <v>0.3920785034047396</v>
      </c>
      <c r="K40" s="629">
        <f t="shared" si="26"/>
        <v>7.6684418239742813E-2</v>
      </c>
      <c r="L40" s="629">
        <f t="shared" si="26"/>
        <v>-0.44625448523323352</v>
      </c>
      <c r="M40" s="629">
        <f t="shared" si="26"/>
        <v>-0.12029089531556769</v>
      </c>
      <c r="N40" s="629">
        <f t="shared" ref="N40:T40" si="27">((N13/M13)-1)</f>
        <v>-0.27566363909365277</v>
      </c>
      <c r="O40" s="629">
        <f t="shared" si="27"/>
        <v>-1.0834497572697825</v>
      </c>
      <c r="P40" s="629">
        <f t="shared" si="27"/>
        <v>-8.9277277840269171</v>
      </c>
      <c r="Q40" s="629">
        <f t="shared" si="27"/>
        <v>-0.33132356013079289</v>
      </c>
      <c r="R40" s="629">
        <f t="shared" si="27"/>
        <v>-8.3752631755332319E-2</v>
      </c>
      <c r="S40" s="629">
        <f t="shared" si="27"/>
        <v>-9.2710535161698249E-2</v>
      </c>
      <c r="T40" s="629">
        <f t="shared" si="27"/>
        <v>-9.5463025355146724E-2</v>
      </c>
    </row>
    <row r="41" spans="1:20">
      <c r="A41" s="620" t="s">
        <v>308</v>
      </c>
      <c r="B41" s="620"/>
      <c r="C41" s="630" t="s">
        <v>251</v>
      </c>
      <c r="D41" s="629">
        <f>((D25/C25)-1)</f>
        <v>0.5629419667570883</v>
      </c>
      <c r="E41" s="629">
        <f t="shared" ref="E41:M41" si="28">((E25/D25)-1)</f>
        <v>0.24568770378024651</v>
      </c>
      <c r="F41" s="629">
        <f t="shared" si="28"/>
        <v>0.12375345586459474</v>
      </c>
      <c r="G41" s="629">
        <f t="shared" si="28"/>
        <v>-0.35688054244010292</v>
      </c>
      <c r="H41" s="629">
        <f t="shared" si="28"/>
        <v>-0.68185652651187478</v>
      </c>
      <c r="I41" s="629">
        <f t="shared" si="28"/>
        <v>0.87822694067499962</v>
      </c>
      <c r="J41" s="629">
        <f t="shared" si="28"/>
        <v>0.18346532528257486</v>
      </c>
      <c r="K41" s="629">
        <f t="shared" si="28"/>
        <v>0.17110689311383576</v>
      </c>
      <c r="L41" s="629">
        <f t="shared" si="28"/>
        <v>-0.34099725373015322</v>
      </c>
      <c r="M41" s="629">
        <f t="shared" si="28"/>
        <v>-0.19543497919417374</v>
      </c>
      <c r="N41" s="629">
        <f t="shared" ref="N41:T41" si="29">((N25/M25)-1)</f>
        <v>-0.27001285136873854</v>
      </c>
      <c r="O41" s="629">
        <f t="shared" si="29"/>
        <v>-1.0530171337226013</v>
      </c>
      <c r="P41" s="629">
        <f t="shared" si="29"/>
        <v>-11.879453164282053</v>
      </c>
      <c r="Q41" s="629">
        <f t="shared" si="29"/>
        <v>-0.61040981677867223</v>
      </c>
      <c r="R41" s="629">
        <f t="shared" si="29"/>
        <v>0.39262219871911697</v>
      </c>
      <c r="S41" s="629">
        <f t="shared" si="29"/>
        <v>-0.1444657407699762</v>
      </c>
      <c r="T41" s="629">
        <f t="shared" si="29"/>
        <v>-0.15604214689858431</v>
      </c>
    </row>
    <row r="42" spans="1:20">
      <c r="A42" s="620" t="s">
        <v>274</v>
      </c>
      <c r="B42" s="620"/>
      <c r="C42" s="630" t="s">
        <v>251</v>
      </c>
      <c r="D42" s="629">
        <f>((D28/C28)-1)</f>
        <v>0.44543943352723581</v>
      </c>
      <c r="E42" s="629">
        <f t="shared" ref="E42:M42" si="30">((E28/D28)-1)</f>
        <v>0.1976516802632593</v>
      </c>
      <c r="F42" s="629">
        <f t="shared" si="30"/>
        <v>0.13997520865251634</v>
      </c>
      <c r="G42" s="629">
        <f t="shared" si="30"/>
        <v>-0.2440857523839971</v>
      </c>
      <c r="H42" s="629">
        <f t="shared" si="30"/>
        <v>-0.47646062906136055</v>
      </c>
      <c r="I42" s="629">
        <f t="shared" si="30"/>
        <v>0.25123229939760083</v>
      </c>
      <c r="J42" s="629">
        <f t="shared" si="30"/>
        <v>0.20934855322537915</v>
      </c>
      <c r="K42" s="629">
        <f t="shared" si="30"/>
        <v>3.0016577341023476E-2</v>
      </c>
      <c r="L42" s="629">
        <f t="shared" si="30"/>
        <v>-0.25689930013895035</v>
      </c>
      <c r="M42" s="629">
        <f t="shared" si="30"/>
        <v>-7.560191069650446E-2</v>
      </c>
      <c r="N42" s="629">
        <f t="shared" ref="N42:T42" si="31">((N28/M28)-1)</f>
        <v>-0.15237298652304399</v>
      </c>
      <c r="O42" s="629">
        <f t="shared" si="31"/>
        <v>-0.45904366805322461</v>
      </c>
      <c r="P42" s="629">
        <f t="shared" si="31"/>
        <v>0.49784027800331421</v>
      </c>
      <c r="Q42" s="629">
        <f t="shared" si="31"/>
        <v>-0.14515765918958357</v>
      </c>
      <c r="R42" s="629">
        <f t="shared" si="31"/>
        <v>-4.0936827457253244E-2</v>
      </c>
      <c r="S42" s="629">
        <f t="shared" si="31"/>
        <v>-5.5995803731339833E-2</v>
      </c>
      <c r="T42" s="629">
        <f t="shared" si="31"/>
        <v>-5.8872594495036679E-2</v>
      </c>
    </row>
    <row r="43" spans="1:20">
      <c r="A43" s="631"/>
      <c r="B43" s="631"/>
      <c r="C43" s="631"/>
      <c r="D43" s="631"/>
      <c r="E43" s="631"/>
      <c r="F43" s="631"/>
      <c r="G43" s="631"/>
      <c r="H43" s="631"/>
      <c r="I43" s="631"/>
      <c r="J43" s="631"/>
      <c r="K43" s="631"/>
      <c r="L43" s="631"/>
      <c r="M43" s="631"/>
      <c r="N43" s="631"/>
      <c r="O43" s="631"/>
      <c r="P43" s="631"/>
      <c r="Q43" s="631"/>
      <c r="R43" s="631"/>
      <c r="S43" s="631"/>
      <c r="T43" s="631"/>
    </row>
    <row r="44" spans="1:20">
      <c r="A44" s="617" t="s">
        <v>666</v>
      </c>
      <c r="B44" s="618"/>
      <c r="C44" s="280" t="s">
        <v>62</v>
      </c>
      <c r="D44" s="280" t="s">
        <v>28</v>
      </c>
      <c r="E44" s="280" t="s">
        <v>58</v>
      </c>
      <c r="F44" s="280" t="s">
        <v>26</v>
      </c>
      <c r="G44" s="280" t="s">
        <v>20</v>
      </c>
      <c r="H44" s="280" t="s">
        <v>19</v>
      </c>
      <c r="I44" s="280" t="s">
        <v>10</v>
      </c>
      <c r="J44" s="280" t="s">
        <v>68</v>
      </c>
      <c r="K44" s="280" t="s">
        <v>552</v>
      </c>
      <c r="L44" s="280" t="s">
        <v>679</v>
      </c>
      <c r="M44" s="280" t="s">
        <v>790</v>
      </c>
      <c r="N44" s="280" t="s">
        <v>1431</v>
      </c>
      <c r="O44" s="280" t="s">
        <v>1433</v>
      </c>
      <c r="P44" s="280" t="s">
        <v>389</v>
      </c>
      <c r="Q44" s="280" t="s">
        <v>375</v>
      </c>
      <c r="R44" s="280" t="s">
        <v>782</v>
      </c>
      <c r="S44" s="280" t="s">
        <v>1428</v>
      </c>
      <c r="T44" s="280" t="str">
        <f>T3</f>
        <v>2021E</v>
      </c>
    </row>
    <row r="45" spans="1:20">
      <c r="A45" s="26" t="s">
        <v>289</v>
      </c>
      <c r="B45" s="618"/>
      <c r="C45" s="95" t="s">
        <v>100</v>
      </c>
      <c r="D45" s="95" t="s">
        <v>100</v>
      </c>
      <c r="E45" s="95" t="s">
        <v>100</v>
      </c>
      <c r="F45" s="95" t="s">
        <v>100</v>
      </c>
      <c r="G45" s="95" t="s">
        <v>100</v>
      </c>
      <c r="H45" s="95" t="s">
        <v>100</v>
      </c>
      <c r="I45" s="95" t="s">
        <v>100</v>
      </c>
      <c r="J45" s="95" t="s">
        <v>100</v>
      </c>
      <c r="K45" s="95" t="s">
        <v>100</v>
      </c>
      <c r="L45" s="95" t="s">
        <v>100</v>
      </c>
      <c r="M45" s="95" t="s">
        <v>100</v>
      </c>
      <c r="N45" s="95" t="s">
        <v>100</v>
      </c>
      <c r="O45" s="95" t="s">
        <v>100</v>
      </c>
      <c r="P45" s="95" t="s">
        <v>100</v>
      </c>
      <c r="Q45" s="95" t="s">
        <v>100</v>
      </c>
      <c r="R45" s="95" t="s">
        <v>100</v>
      </c>
      <c r="S45" s="95" t="s">
        <v>100</v>
      </c>
      <c r="T45" s="95" t="s">
        <v>100</v>
      </c>
    </row>
    <row r="46" spans="1:20">
      <c r="A46" s="618"/>
      <c r="B46" s="618"/>
      <c r="C46" s="619"/>
      <c r="D46" s="619"/>
      <c r="E46" s="619"/>
      <c r="F46" s="619"/>
      <c r="G46" s="619"/>
      <c r="H46" s="619"/>
      <c r="I46" s="619"/>
      <c r="J46" s="619"/>
      <c r="K46" s="619"/>
      <c r="L46" s="619"/>
      <c r="M46" s="619"/>
    </row>
    <row r="47" spans="1:20">
      <c r="A47" s="618" t="s">
        <v>268</v>
      </c>
      <c r="B47" s="618"/>
      <c r="C47" s="632">
        <f>C6</f>
        <v>2021.2539999999999</v>
      </c>
      <c r="D47" s="632">
        <f t="shared" ref="D47:J47" si="32">D6</f>
        <v>2768.1640000000002</v>
      </c>
      <c r="E47" s="632">
        <f t="shared" si="32"/>
        <v>3284.1759999999999</v>
      </c>
      <c r="F47" s="632">
        <f t="shared" si="32"/>
        <v>3699.6559999999999</v>
      </c>
      <c r="G47" s="632">
        <f t="shared" si="32"/>
        <v>3484.0569999999998</v>
      </c>
      <c r="H47" s="632">
        <f t="shared" si="32"/>
        <v>2928.625</v>
      </c>
      <c r="I47" s="632">
        <f t="shared" si="32"/>
        <v>3468.7759999999998</v>
      </c>
      <c r="J47" s="632">
        <f t="shared" si="32"/>
        <v>4158.058</v>
      </c>
      <c r="K47" s="632">
        <f t="shared" ref="K47:P47" si="33">K6</f>
        <v>4510.8050000000003</v>
      </c>
      <c r="L47" s="632">
        <f t="shared" si="33"/>
        <v>4116.8969999999999</v>
      </c>
      <c r="M47" s="632">
        <f t="shared" si="33"/>
        <v>3744.0299999999997</v>
      </c>
      <c r="N47" s="632">
        <f t="shared" si="33"/>
        <v>3518.6800000000003</v>
      </c>
      <c r="O47" s="632">
        <f t="shared" si="33"/>
        <v>3326.74</v>
      </c>
      <c r="P47" s="632">
        <f t="shared" si="33"/>
        <v>3492.69</v>
      </c>
      <c r="Q47" s="632">
        <f>(P47*(1+Q77))</f>
        <v>3557.4258408617752</v>
      </c>
      <c r="R47" s="632">
        <f>(Q47*(1+R77))</f>
        <v>3639.3102808649755</v>
      </c>
      <c r="S47" s="632">
        <f>(R47*(1+S77))</f>
        <v>3709.7170787655991</v>
      </c>
      <c r="T47" s="632">
        <f>(S47*(1+T77))</f>
        <v>3773.3871335192139</v>
      </c>
    </row>
    <row r="48" spans="1:20" hidden="1" outlineLevel="1">
      <c r="A48" s="618"/>
      <c r="B48" s="618"/>
      <c r="C48" s="619"/>
      <c r="D48" s="619"/>
      <c r="E48" s="619"/>
      <c r="F48" s="619"/>
      <c r="G48" s="619"/>
      <c r="H48" s="619"/>
      <c r="I48" s="619"/>
      <c r="J48" s="619"/>
      <c r="K48" s="619"/>
      <c r="L48" s="619"/>
      <c r="M48" s="619"/>
      <c r="N48" s="619"/>
      <c r="O48" s="619"/>
      <c r="P48" s="619"/>
    </row>
    <row r="49" spans="1:20" hidden="1" outlineLevel="1">
      <c r="A49" s="618" t="s">
        <v>290</v>
      </c>
      <c r="B49" s="618"/>
      <c r="C49" s="632">
        <f>C8</f>
        <v>680.029</v>
      </c>
      <c r="D49" s="632">
        <f t="shared" ref="D49:J49" si="34">D8</f>
        <v>913.97900000000004</v>
      </c>
      <c r="E49" s="632">
        <f t="shared" si="34"/>
        <v>1083.509</v>
      </c>
      <c r="F49" s="632">
        <f t="shared" si="34"/>
        <v>1211.49</v>
      </c>
      <c r="G49" s="632">
        <f t="shared" si="34"/>
        <v>1152.963</v>
      </c>
      <c r="H49" s="632">
        <f t="shared" si="34"/>
        <v>1045.029</v>
      </c>
      <c r="I49" s="632">
        <f t="shared" si="34"/>
        <v>1251.348</v>
      </c>
      <c r="J49" s="632">
        <f t="shared" si="34"/>
        <v>1607.8340000000001</v>
      </c>
      <c r="K49" s="632">
        <f t="shared" ref="K49:P49" si="35">K8</f>
        <v>1694.096</v>
      </c>
      <c r="L49" s="632">
        <f t="shared" si="35"/>
        <v>1541.462</v>
      </c>
      <c r="M49" s="632">
        <f t="shared" si="35"/>
        <v>1430.46</v>
      </c>
      <c r="N49" s="632">
        <f t="shared" si="35"/>
        <v>1340.49</v>
      </c>
      <c r="O49" s="632">
        <f t="shared" si="35"/>
        <v>1298.172</v>
      </c>
      <c r="P49" s="632">
        <f t="shared" si="35"/>
        <v>1408.848</v>
      </c>
      <c r="Q49" s="632">
        <f>Q47-Q51</f>
        <v>1419.1579077749639</v>
      </c>
      <c r="R49" s="632">
        <f>R47-R51</f>
        <v>1444.8061815033952</v>
      </c>
      <c r="S49" s="632">
        <f>S47-S51</f>
        <v>1472.7576802699427</v>
      </c>
      <c r="T49" s="632">
        <f>T47-T51</f>
        <v>1501.053401713943</v>
      </c>
    </row>
    <row r="50" spans="1:20" hidden="1" outlineLevel="1">
      <c r="A50" s="618"/>
      <c r="B50" s="618"/>
      <c r="C50" s="619"/>
      <c r="D50" s="619"/>
      <c r="E50" s="619"/>
      <c r="F50" s="619"/>
      <c r="G50" s="619"/>
      <c r="H50" s="619"/>
      <c r="I50" s="619"/>
      <c r="J50" s="619"/>
      <c r="K50" s="619"/>
      <c r="L50" s="619"/>
      <c r="M50" s="619"/>
      <c r="N50" s="619"/>
      <c r="O50" s="619"/>
      <c r="P50" s="619"/>
    </row>
    <row r="51" spans="1:20" collapsed="1">
      <c r="A51" s="618" t="s">
        <v>291</v>
      </c>
      <c r="B51" s="618"/>
      <c r="C51" s="632">
        <f t="shared" ref="C51:J51" si="36">C47-C49</f>
        <v>1341.2249999999999</v>
      </c>
      <c r="D51" s="632">
        <f t="shared" si="36"/>
        <v>1854.1850000000002</v>
      </c>
      <c r="E51" s="632">
        <f t="shared" si="36"/>
        <v>2200.6669999999999</v>
      </c>
      <c r="F51" s="632">
        <f t="shared" si="36"/>
        <v>2488.1660000000002</v>
      </c>
      <c r="G51" s="632">
        <f t="shared" si="36"/>
        <v>2331.0940000000001</v>
      </c>
      <c r="H51" s="632">
        <f t="shared" si="36"/>
        <v>1883.596</v>
      </c>
      <c r="I51" s="632">
        <f t="shared" si="36"/>
        <v>2217.4279999999999</v>
      </c>
      <c r="J51" s="632">
        <f t="shared" si="36"/>
        <v>2550.2240000000002</v>
      </c>
      <c r="K51" s="632">
        <f t="shared" ref="K51:P51" si="37">K47-K49</f>
        <v>2816.7090000000003</v>
      </c>
      <c r="L51" s="632">
        <f t="shared" si="37"/>
        <v>2575.4349999999999</v>
      </c>
      <c r="M51" s="632">
        <f t="shared" si="37"/>
        <v>2313.5699999999997</v>
      </c>
      <c r="N51" s="632">
        <f t="shared" si="37"/>
        <v>2178.1900000000005</v>
      </c>
      <c r="O51" s="632">
        <f t="shared" si="37"/>
        <v>2028.5679999999998</v>
      </c>
      <c r="P51" s="632">
        <f t="shared" si="37"/>
        <v>2083.8420000000001</v>
      </c>
      <c r="Q51" s="632">
        <f>Q47*Q71</f>
        <v>2138.2679330868114</v>
      </c>
      <c r="R51" s="632">
        <f>R47*R71</f>
        <v>2194.5040993615803</v>
      </c>
      <c r="S51" s="632">
        <f>S47*S71</f>
        <v>2236.9593984956564</v>
      </c>
      <c r="T51" s="632">
        <f>T47*T71</f>
        <v>2272.3337318052709</v>
      </c>
    </row>
    <row r="52" spans="1:20">
      <c r="A52" s="618" t="s">
        <v>292</v>
      </c>
      <c r="B52" s="618"/>
      <c r="C52" s="633">
        <f>C11</f>
        <v>965.18</v>
      </c>
      <c r="D52" s="633">
        <f t="shared" ref="D52:J52" si="38">D11</f>
        <v>1281.893</v>
      </c>
      <c r="E52" s="633">
        <f t="shared" si="38"/>
        <v>1512.6610000000001</v>
      </c>
      <c r="F52" s="633">
        <f t="shared" si="38"/>
        <v>1720.9580000000001</v>
      </c>
      <c r="G52" s="633">
        <f t="shared" si="38"/>
        <v>1837.6110000000001</v>
      </c>
      <c r="H52" s="633">
        <f t="shared" si="38"/>
        <v>1746.019</v>
      </c>
      <c r="I52" s="633">
        <f t="shared" si="38"/>
        <v>1975.7060000000001</v>
      </c>
      <c r="J52" s="633">
        <f t="shared" si="38"/>
        <v>2213.7280000000001</v>
      </c>
      <c r="K52" s="633">
        <f t="shared" ref="K52:M53" si="39">K11</f>
        <v>2454.4089999999997</v>
      </c>
      <c r="L52" s="633">
        <f t="shared" si="39"/>
        <v>2374.8130000000001</v>
      </c>
      <c r="M52" s="633">
        <f t="shared" si="39"/>
        <v>2137.0809999999997</v>
      </c>
      <c r="N52" s="633">
        <f t="shared" ref="N52:P53" si="40">N11</f>
        <v>2050.3526000000002</v>
      </c>
      <c r="O52" s="633">
        <f t="shared" si="40"/>
        <v>2039.2359999999999</v>
      </c>
      <c r="P52" s="633">
        <f t="shared" si="40"/>
        <v>1999.269</v>
      </c>
      <c r="Q52" s="633">
        <f>Q47*Q72</f>
        <v>2006.2109479586554</v>
      </c>
      <c r="R52" s="633">
        <f>R47*R72</f>
        <v>2024.184378217099</v>
      </c>
      <c r="S52" s="633">
        <f>S47*S72</f>
        <v>2045.9089689392279</v>
      </c>
      <c r="T52" s="633">
        <f>T47*T72</f>
        <v>2082.5323589892541</v>
      </c>
    </row>
    <row r="53" spans="1:20" hidden="1" outlineLevel="1">
      <c r="A53" s="618" t="s">
        <v>226</v>
      </c>
      <c r="B53" s="618"/>
      <c r="C53" s="633">
        <f>C12</f>
        <v>105.81399999999999</v>
      </c>
      <c r="D53" s="633">
        <f t="shared" ref="D53:J53" si="41">D12</f>
        <v>124.206</v>
      </c>
      <c r="E53" s="633">
        <f t="shared" si="41"/>
        <v>146.15600000000001</v>
      </c>
      <c r="F53" s="633">
        <f t="shared" si="41"/>
        <v>183.71600000000001</v>
      </c>
      <c r="G53" s="633">
        <f t="shared" si="41"/>
        <v>225.334</v>
      </c>
      <c r="H53" s="633">
        <f t="shared" si="41"/>
        <v>238.75200000000001</v>
      </c>
      <c r="I53" s="633">
        <f t="shared" si="41"/>
        <v>229.15299999999999</v>
      </c>
      <c r="J53" s="633">
        <f t="shared" si="41"/>
        <v>232.95599999999999</v>
      </c>
      <c r="K53" s="633">
        <f t="shared" si="39"/>
        <v>224.245</v>
      </c>
      <c r="L53" s="633">
        <f t="shared" si="39"/>
        <v>235.24</v>
      </c>
      <c r="M53" s="633">
        <f t="shared" si="39"/>
        <v>226.42099999999999</v>
      </c>
      <c r="N53" s="633">
        <f t="shared" si="40"/>
        <v>213.68</v>
      </c>
      <c r="O53" s="633">
        <f t="shared" si="40"/>
        <v>195.41399999999999</v>
      </c>
      <c r="P53" s="633">
        <f t="shared" si="40"/>
        <v>192.14699999999999</v>
      </c>
      <c r="Q53" s="633">
        <f>Q12</f>
        <v>180</v>
      </c>
      <c r="R53" s="633">
        <f>R12</f>
        <v>175.05268924702526</v>
      </c>
      <c r="S53" s="633">
        <f>S12</f>
        <v>167.15286890897809</v>
      </c>
      <c r="T53" s="633">
        <f>T12</f>
        <v>159.03232582139114</v>
      </c>
    </row>
    <row r="54" spans="1:20" collapsed="1">
      <c r="A54" s="634" t="s">
        <v>307</v>
      </c>
      <c r="B54" s="618"/>
      <c r="C54" s="632">
        <f t="shared" ref="C54:J54" si="42">C51-C52</f>
        <v>376.04499999999996</v>
      </c>
      <c r="D54" s="632">
        <f t="shared" si="42"/>
        <v>572.29200000000014</v>
      </c>
      <c r="E54" s="632">
        <f t="shared" si="42"/>
        <v>688.00599999999986</v>
      </c>
      <c r="F54" s="632">
        <f t="shared" si="42"/>
        <v>767.20800000000008</v>
      </c>
      <c r="G54" s="632">
        <f t="shared" si="42"/>
        <v>493.48299999999995</v>
      </c>
      <c r="H54" s="632">
        <f t="shared" si="42"/>
        <v>137.577</v>
      </c>
      <c r="I54" s="632">
        <f t="shared" si="42"/>
        <v>241.72199999999975</v>
      </c>
      <c r="J54" s="632">
        <f t="shared" si="42"/>
        <v>336.49600000000009</v>
      </c>
      <c r="K54" s="632">
        <f t="shared" ref="K54:Q54" si="43">K51-K52</f>
        <v>362.30000000000064</v>
      </c>
      <c r="L54" s="632">
        <f t="shared" si="43"/>
        <v>200.62199999999984</v>
      </c>
      <c r="M54" s="632">
        <f>M51-M52</f>
        <v>176.48900000000003</v>
      </c>
      <c r="N54" s="632">
        <f>N51-N52</f>
        <v>127.83740000000034</v>
      </c>
      <c r="O54" s="632">
        <f>O51-O52</f>
        <v>-10.66800000000012</v>
      </c>
      <c r="P54" s="632">
        <f>P51-P52</f>
        <v>84.573000000000093</v>
      </c>
      <c r="Q54" s="632">
        <f t="shared" si="43"/>
        <v>132.05698512815593</v>
      </c>
      <c r="R54" s="632">
        <f>R51-R52</f>
        <v>170.31972114448126</v>
      </c>
      <c r="S54" s="632">
        <f>S51-S52</f>
        <v>191.05042955642853</v>
      </c>
      <c r="T54" s="632">
        <f>T51-T52</f>
        <v>189.80137281601674</v>
      </c>
    </row>
    <row r="55" spans="1:20" hidden="1" outlineLevel="1">
      <c r="A55" s="618"/>
      <c r="B55" s="618"/>
      <c r="C55" s="619"/>
      <c r="D55" s="619"/>
      <c r="E55" s="619"/>
      <c r="F55" s="619"/>
      <c r="G55" s="619"/>
      <c r="H55" s="619"/>
      <c r="I55" s="619"/>
      <c r="J55" s="619"/>
      <c r="K55" s="619"/>
      <c r="L55" s="619"/>
      <c r="M55" s="619"/>
      <c r="N55" s="619"/>
      <c r="O55" s="619"/>
      <c r="P55" s="619"/>
    </row>
    <row r="56" spans="1:20" hidden="1" outlineLevel="1">
      <c r="A56" s="618" t="s">
        <v>227</v>
      </c>
      <c r="B56" s="618"/>
      <c r="C56" s="633">
        <f>C15</f>
        <v>5.2149999999999999</v>
      </c>
      <c r="D56" s="633">
        <f t="shared" ref="D56:J56" si="44">D15</f>
        <v>6.6719999999999997</v>
      </c>
      <c r="E56" s="633">
        <f t="shared" si="44"/>
        <v>13.896000000000001</v>
      </c>
      <c r="F56" s="633">
        <f t="shared" si="44"/>
        <v>18.827000000000002</v>
      </c>
      <c r="G56" s="633">
        <f t="shared" si="44"/>
        <v>11.382000000000001</v>
      </c>
      <c r="H56" s="633">
        <f t="shared" si="44"/>
        <v>1.5990000000000002</v>
      </c>
      <c r="I56" s="633">
        <f t="shared" si="44"/>
        <v>-3.3609999999999998</v>
      </c>
      <c r="J56" s="633">
        <f t="shared" si="44"/>
        <v>-3.577</v>
      </c>
      <c r="K56" s="633">
        <f t="shared" ref="K56:M57" si="45">K15</f>
        <v>-7.2879999999999994</v>
      </c>
      <c r="L56" s="633">
        <f t="shared" si="45"/>
        <v>-7.5460000000000003</v>
      </c>
      <c r="M56" s="633">
        <f t="shared" si="45"/>
        <v>-14.365</v>
      </c>
      <c r="N56" s="633">
        <f t="shared" ref="N56:P57" si="46">N15</f>
        <v>-18.248000000000001</v>
      </c>
      <c r="O56" s="633">
        <f t="shared" si="46"/>
        <v>-18.666</v>
      </c>
      <c r="P56" s="633">
        <f t="shared" si="46"/>
        <v>-16.888999999999999</v>
      </c>
      <c r="Q56" s="633">
        <f t="shared" ref="Q56:S57" si="47">Q15</f>
        <v>-16.436</v>
      </c>
      <c r="R56" s="633">
        <f t="shared" si="47"/>
        <v>-16.436</v>
      </c>
      <c r="S56" s="633">
        <f t="shared" si="47"/>
        <v>-16.436</v>
      </c>
      <c r="T56" s="633">
        <f t="shared" ref="T56" si="48">T15</f>
        <v>-16.436</v>
      </c>
    </row>
    <row r="57" spans="1:20" hidden="1" outlineLevel="1">
      <c r="A57" s="634" t="s">
        <v>52</v>
      </c>
      <c r="B57" s="618"/>
      <c r="C57" s="635">
        <f>C16</f>
        <v>4.49</v>
      </c>
      <c r="D57" s="635">
        <f t="shared" ref="D57:J57" si="49">D16</f>
        <v>5.5250000000000004</v>
      </c>
      <c r="E57" s="635">
        <f t="shared" si="49"/>
        <v>9.9830000000000005</v>
      </c>
      <c r="F57" s="635">
        <f t="shared" si="49"/>
        <v>11.702</v>
      </c>
      <c r="G57" s="635">
        <f t="shared" si="49"/>
        <v>8.7789999999999999</v>
      </c>
      <c r="H57" s="635">
        <f t="shared" si="49"/>
        <v>13.533999999999999</v>
      </c>
      <c r="I57" s="635">
        <f t="shared" si="49"/>
        <v>10.055</v>
      </c>
      <c r="J57" s="635">
        <f t="shared" si="49"/>
        <v>9.9690000000000012</v>
      </c>
      <c r="K57" s="635">
        <f t="shared" si="45"/>
        <v>19.332999999999998</v>
      </c>
      <c r="L57" s="635">
        <f t="shared" si="45"/>
        <v>23.073999999999998</v>
      </c>
      <c r="M57" s="635">
        <f t="shared" si="45"/>
        <v>15.224</v>
      </c>
      <c r="N57" s="635">
        <f t="shared" si="46"/>
        <v>8.652000000000001</v>
      </c>
      <c r="O57" s="635">
        <f t="shared" si="46"/>
        <v>13.93</v>
      </c>
      <c r="P57" s="635">
        <f t="shared" si="46"/>
        <v>16.207999999999998</v>
      </c>
      <c r="Q57" s="635">
        <f t="shared" si="47"/>
        <v>4</v>
      </c>
      <c r="R57" s="635">
        <f t="shared" si="47"/>
        <v>4</v>
      </c>
      <c r="S57" s="635">
        <f t="shared" si="47"/>
        <v>4</v>
      </c>
      <c r="T57" s="635">
        <f t="shared" ref="T57" si="50">T16</f>
        <v>4</v>
      </c>
    </row>
    <row r="58" spans="1:20" hidden="1" outlineLevel="1">
      <c r="A58" s="634" t="s">
        <v>228</v>
      </c>
      <c r="B58" s="618"/>
      <c r="C58" s="632">
        <f t="shared" ref="C58:L58" si="51">C54+C56+C57</f>
        <v>385.74999999999994</v>
      </c>
      <c r="D58" s="632">
        <f t="shared" si="51"/>
        <v>584.48900000000015</v>
      </c>
      <c r="E58" s="632">
        <f t="shared" si="51"/>
        <v>711.88499999999976</v>
      </c>
      <c r="F58" s="632">
        <f t="shared" si="51"/>
        <v>797.73700000000008</v>
      </c>
      <c r="G58" s="632">
        <f t="shared" si="51"/>
        <v>513.64400000000001</v>
      </c>
      <c r="H58" s="632">
        <f t="shared" si="51"/>
        <v>152.70999999999998</v>
      </c>
      <c r="I58" s="632">
        <f t="shared" si="51"/>
        <v>248.41599999999977</v>
      </c>
      <c r="J58" s="632">
        <f t="shared" si="51"/>
        <v>342.88800000000009</v>
      </c>
      <c r="K58" s="632">
        <f t="shared" si="51"/>
        <v>374.3450000000006</v>
      </c>
      <c r="L58" s="632">
        <f t="shared" si="51"/>
        <v>216.14999999999986</v>
      </c>
      <c r="M58" s="632">
        <f t="shared" ref="M58:R58" si="52">M54+M56+M57</f>
        <v>177.34800000000001</v>
      </c>
      <c r="N58" s="632">
        <f>N54+N56+N57</f>
        <v>118.24140000000034</v>
      </c>
      <c r="O58" s="632">
        <f>O54+O56+O57</f>
        <v>-15.404000000000121</v>
      </c>
      <c r="P58" s="632">
        <f>P54+P56+P57</f>
        <v>83.892000000000095</v>
      </c>
      <c r="Q58" s="632">
        <f t="shared" si="52"/>
        <v>119.62098512815592</v>
      </c>
      <c r="R58" s="632">
        <f t="shared" si="52"/>
        <v>157.88372114448126</v>
      </c>
      <c r="S58" s="632">
        <f>S54+S56+S57</f>
        <v>178.61442955642852</v>
      </c>
      <c r="T58" s="632">
        <f>T54+T56+T57</f>
        <v>177.36537281601673</v>
      </c>
    </row>
    <row r="59" spans="1:20" hidden="1" outlineLevel="1">
      <c r="A59" s="636"/>
      <c r="B59" s="636"/>
      <c r="C59" s="636"/>
      <c r="D59" s="636"/>
      <c r="E59" s="636"/>
      <c r="F59" s="636"/>
      <c r="G59" s="636"/>
      <c r="H59" s="636"/>
      <c r="I59" s="636"/>
      <c r="J59" s="636"/>
      <c r="K59" s="636"/>
      <c r="L59" s="636"/>
      <c r="M59" s="636"/>
      <c r="N59" s="636"/>
      <c r="O59" s="636"/>
      <c r="P59" s="636"/>
    </row>
    <row r="60" spans="1:20" collapsed="1">
      <c r="A60" s="618" t="s">
        <v>295</v>
      </c>
      <c r="B60" s="618"/>
      <c r="C60" s="633">
        <f>C19</f>
        <v>148.67599999999999</v>
      </c>
      <c r="D60" s="633">
        <f t="shared" ref="D60:J60" si="53">D19</f>
        <v>229.107</v>
      </c>
      <c r="E60" s="633">
        <f t="shared" si="53"/>
        <v>265.36099999999999</v>
      </c>
      <c r="F60" s="633">
        <f t="shared" si="53"/>
        <v>298.61</v>
      </c>
      <c r="G60" s="633">
        <f t="shared" si="53"/>
        <v>200.47399999999999</v>
      </c>
      <c r="H60" s="633">
        <f t="shared" si="53"/>
        <v>53.838000000000008</v>
      </c>
      <c r="I60" s="633">
        <f t="shared" si="53"/>
        <v>60.108999999999995</v>
      </c>
      <c r="J60" s="633">
        <f t="shared" si="53"/>
        <v>120.812</v>
      </c>
      <c r="K60" s="633">
        <f t="shared" ref="K60:P60" si="54">K19</f>
        <v>132.749</v>
      </c>
      <c r="L60" s="633">
        <f t="shared" si="54"/>
        <v>64.611999999999995</v>
      </c>
      <c r="M60" s="633">
        <f t="shared" si="54"/>
        <v>65.018999999999991</v>
      </c>
      <c r="N60" s="633">
        <f t="shared" si="54"/>
        <v>37.216999999999999</v>
      </c>
      <c r="O60" s="633">
        <f t="shared" si="54"/>
        <v>-15.096</v>
      </c>
      <c r="P60" s="633">
        <f t="shared" si="54"/>
        <v>35.455999999999996</v>
      </c>
      <c r="Q60" s="633">
        <f>Q58*Q74</f>
        <v>61.668145071676925</v>
      </c>
      <c r="R60" s="633">
        <f>R58*R74</f>
        <v>42.628604709009942</v>
      </c>
      <c r="S60" s="633">
        <f>S58*S74</f>
        <v>48.225895980235705</v>
      </c>
      <c r="T60" s="633">
        <f>T58*T74</f>
        <v>47.888650660324522</v>
      </c>
    </row>
    <row r="61" spans="1:20" hidden="1" outlineLevel="1">
      <c r="A61" s="618"/>
      <c r="B61" s="618"/>
      <c r="C61" s="619"/>
      <c r="D61" s="619"/>
      <c r="E61" s="619"/>
      <c r="F61" s="619"/>
      <c r="G61" s="619"/>
      <c r="H61" s="619"/>
      <c r="I61" s="619"/>
      <c r="J61" s="619"/>
      <c r="K61" s="619"/>
      <c r="L61" s="619"/>
      <c r="M61" s="619"/>
      <c r="N61" s="619"/>
      <c r="O61" s="619"/>
      <c r="P61" s="619"/>
    </row>
    <row r="62" spans="1:20" hidden="1" outlineLevel="1">
      <c r="A62" s="618" t="s">
        <v>229</v>
      </c>
      <c r="B62" s="618"/>
      <c r="C62" s="637">
        <f>C58-C60</f>
        <v>237.07399999999996</v>
      </c>
      <c r="D62" s="637">
        <f t="shared" ref="D62:J62" si="55">D58-D60</f>
        <v>355.38200000000018</v>
      </c>
      <c r="E62" s="637">
        <f t="shared" si="55"/>
        <v>446.52399999999977</v>
      </c>
      <c r="F62" s="637">
        <f t="shared" si="55"/>
        <v>499.12700000000007</v>
      </c>
      <c r="G62" s="637">
        <f t="shared" si="55"/>
        <v>313.17</v>
      </c>
      <c r="H62" s="637">
        <f t="shared" si="55"/>
        <v>98.871999999999971</v>
      </c>
      <c r="I62" s="637">
        <f t="shared" si="55"/>
        <v>188.30699999999979</v>
      </c>
      <c r="J62" s="637">
        <f t="shared" si="55"/>
        <v>222.07600000000008</v>
      </c>
      <c r="K62" s="637">
        <f t="shared" ref="K62:P62" si="56">K58-K60</f>
        <v>241.5960000000006</v>
      </c>
      <c r="L62" s="637">
        <f t="shared" si="56"/>
        <v>151.53799999999987</v>
      </c>
      <c r="M62" s="637">
        <f t="shared" si="56"/>
        <v>112.32900000000002</v>
      </c>
      <c r="N62" s="637">
        <f t="shared" si="56"/>
        <v>81.024400000000341</v>
      </c>
      <c r="O62" s="637">
        <f t="shared" si="56"/>
        <v>-0.30800000000012062</v>
      </c>
      <c r="P62" s="637">
        <f t="shared" si="56"/>
        <v>48.436000000000099</v>
      </c>
      <c r="Q62" s="637">
        <f>Q58-Q60-Q63</f>
        <v>54.521840056479</v>
      </c>
      <c r="R62" s="637">
        <f>R58-R60-R63</f>
        <v>111.82411643547131</v>
      </c>
      <c r="S62" s="637">
        <f>S58-S60-S63</f>
        <v>126.9575335761928</v>
      </c>
      <c r="T62" s="637">
        <f>T58-T60-T63</f>
        <v>126.04572215569222</v>
      </c>
    </row>
    <row r="63" spans="1:20" hidden="1" outlineLevel="1">
      <c r="A63" s="620" t="s">
        <v>1430</v>
      </c>
      <c r="B63" s="620"/>
      <c r="C63" s="622"/>
      <c r="D63" s="622"/>
      <c r="E63" s="622"/>
      <c r="F63" s="622"/>
      <c r="G63" s="622"/>
      <c r="H63" s="622"/>
      <c r="I63" s="622"/>
      <c r="J63" s="622"/>
      <c r="K63" s="622"/>
      <c r="L63" s="622"/>
      <c r="M63" s="623">
        <f t="shared" ref="M63:S63" si="57">M21</f>
        <v>0</v>
      </c>
      <c r="N63" s="623">
        <f t="shared" si="57"/>
        <v>2.9829999999999997</v>
      </c>
      <c r="O63" s="623">
        <f t="shared" si="57"/>
        <v>3.7620000000000005</v>
      </c>
      <c r="P63" s="623">
        <f t="shared" ref="P63" si="58">P21</f>
        <v>3.431</v>
      </c>
      <c r="Q63" s="623">
        <f t="shared" si="57"/>
        <v>3.431</v>
      </c>
      <c r="R63" s="623">
        <f t="shared" si="57"/>
        <v>3.431</v>
      </c>
      <c r="S63" s="623">
        <f t="shared" si="57"/>
        <v>3.431</v>
      </c>
      <c r="T63" s="623">
        <f t="shared" ref="T63" si="59">T21</f>
        <v>3.431</v>
      </c>
    </row>
    <row r="64" spans="1:20" collapsed="1">
      <c r="A64" s="620"/>
      <c r="B64" s="620"/>
      <c r="C64" s="622"/>
      <c r="D64" s="622"/>
      <c r="E64" s="622"/>
      <c r="F64" s="622"/>
      <c r="G64" s="622"/>
      <c r="H64" s="622"/>
      <c r="I64" s="622"/>
      <c r="J64" s="622"/>
      <c r="K64" s="622"/>
      <c r="L64" s="622"/>
      <c r="M64" s="622"/>
      <c r="N64" s="622"/>
      <c r="O64" s="622"/>
      <c r="P64" s="622"/>
      <c r="Q64" s="623"/>
      <c r="R64" s="623"/>
      <c r="S64" s="623"/>
      <c r="T64" s="623"/>
    </row>
    <row r="65" spans="1:23">
      <c r="A65" s="626" t="s">
        <v>412</v>
      </c>
      <c r="B65" s="626"/>
      <c r="C65" s="627">
        <f t="shared" ref="C65:I65" si="60">C62/C66</f>
        <v>2.4926295867942376</v>
      </c>
      <c r="D65" s="627">
        <f t="shared" si="60"/>
        <v>3.8958353887810939</v>
      </c>
      <c r="E65" s="627">
        <f t="shared" si="60"/>
        <v>4.8529942397565451</v>
      </c>
      <c r="F65" s="627">
        <f t="shared" si="60"/>
        <v>5.4535690482173891</v>
      </c>
      <c r="G65" s="627">
        <f t="shared" si="60"/>
        <v>3.5072963680550115</v>
      </c>
      <c r="H65" s="627">
        <f t="shared" si="60"/>
        <v>1.1158234490853072</v>
      </c>
      <c r="I65" s="627">
        <f t="shared" si="60"/>
        <v>2.0957696631089227</v>
      </c>
      <c r="J65" s="627">
        <f t="shared" ref="J65:S65" si="61">(J62-J63)/J66</f>
        <v>2.4802707260685533</v>
      </c>
      <c r="K65" s="627">
        <f t="shared" si="61"/>
        <v>2.9046621440873408</v>
      </c>
      <c r="L65" s="627">
        <f t="shared" si="61"/>
        <v>1.914180329939619</v>
      </c>
      <c r="M65" s="627">
        <f t="shared" si="61"/>
        <v>1.5400825369839728</v>
      </c>
      <c r="N65" s="627">
        <f t="shared" si="61"/>
        <v>1.1242404598297295</v>
      </c>
      <c r="O65" s="627">
        <f t="shared" si="61"/>
        <v>-5.9604006795151439E-2</v>
      </c>
      <c r="P65" s="627">
        <f t="shared" ref="P65" si="62">(P62-P63)/P66</f>
        <v>0.64845900033139925</v>
      </c>
      <c r="Q65" s="627">
        <f t="shared" si="61"/>
        <v>0.71939171715485195</v>
      </c>
      <c r="R65" s="627">
        <f t="shared" si="61"/>
        <v>1.5063595819096312</v>
      </c>
      <c r="S65" s="627">
        <f t="shared" si="61"/>
        <v>1.7048253940432645</v>
      </c>
      <c r="T65" s="627">
        <f t="shared" ref="T65" si="63">(T62-T63)/T66</f>
        <v>1.6806436963648756</v>
      </c>
      <c r="U65" s="707">
        <v>14.5</v>
      </c>
      <c r="V65" s="702">
        <f>N65</f>
        <v>1.1242404598297295</v>
      </c>
      <c r="W65" s="702">
        <f>U65*V65</f>
        <v>16.30148666753108</v>
      </c>
    </row>
    <row r="66" spans="1:23">
      <c r="A66" s="618" t="s">
        <v>230</v>
      </c>
      <c r="B66" s="618"/>
      <c r="C66" s="633">
        <f>C26</f>
        <v>95.11</v>
      </c>
      <c r="D66" s="633">
        <f t="shared" ref="D66:J66" si="64">D26</f>
        <v>91.221000000000004</v>
      </c>
      <c r="E66" s="633">
        <f t="shared" si="64"/>
        <v>92.01</v>
      </c>
      <c r="F66" s="633">
        <f t="shared" si="64"/>
        <v>91.522999999999996</v>
      </c>
      <c r="G66" s="633">
        <f t="shared" si="64"/>
        <v>89.290999999999997</v>
      </c>
      <c r="H66" s="633">
        <f t="shared" si="64"/>
        <v>88.608999999999995</v>
      </c>
      <c r="I66" s="633">
        <f t="shared" si="64"/>
        <v>89.850999999999999</v>
      </c>
      <c r="J66" s="633">
        <f t="shared" si="64"/>
        <v>89.537000000000006</v>
      </c>
      <c r="K66" s="633">
        <f t="shared" ref="K66:S66" si="65">K26</f>
        <v>83.175250000000005</v>
      </c>
      <c r="L66" s="633">
        <f t="shared" si="65"/>
        <v>79.165999999999997</v>
      </c>
      <c r="M66" s="633">
        <f t="shared" si="65"/>
        <v>72.936999999999998</v>
      </c>
      <c r="N66" s="633">
        <f t="shared" si="65"/>
        <v>69.417000000000002</v>
      </c>
      <c r="O66" s="633">
        <f t="shared" si="65"/>
        <v>68.284000000000006</v>
      </c>
      <c r="P66" s="633">
        <f t="shared" ref="P66" si="66">P26</f>
        <v>69.403000000000006</v>
      </c>
      <c r="Q66" s="768">
        <f t="shared" si="65"/>
        <v>71.019499999999994</v>
      </c>
      <c r="R66" s="768">
        <f t="shared" si="65"/>
        <v>71.956999999999994</v>
      </c>
      <c r="S66" s="768">
        <f t="shared" si="65"/>
        <v>72.456999999999994</v>
      </c>
      <c r="T66" s="768">
        <f t="shared" ref="T66" si="67">T26</f>
        <v>72.956999999999994</v>
      </c>
    </row>
    <row r="67" spans="1:23" outlineLevel="1">
      <c r="A67" s="618"/>
      <c r="B67" s="618"/>
      <c r="C67" s="619"/>
      <c r="D67" s="619"/>
      <c r="E67" s="619"/>
      <c r="F67" s="619"/>
      <c r="G67" s="619"/>
      <c r="H67" s="619"/>
      <c r="I67" s="619"/>
      <c r="J67" s="619"/>
      <c r="K67" s="619"/>
      <c r="L67" s="619"/>
      <c r="M67" s="619"/>
      <c r="N67" s="619"/>
      <c r="O67" s="619"/>
      <c r="P67" s="619"/>
    </row>
    <row r="68" spans="1:23" outlineLevel="1">
      <c r="A68" s="618" t="s">
        <v>274</v>
      </c>
      <c r="B68" s="618"/>
      <c r="C68" s="637">
        <f t="shared" ref="C68:J68" si="68">C54+C53</f>
        <v>481.85899999999992</v>
      </c>
      <c r="D68" s="637">
        <f t="shared" si="68"/>
        <v>696.49800000000016</v>
      </c>
      <c r="E68" s="637">
        <f t="shared" si="68"/>
        <v>834.16199999999981</v>
      </c>
      <c r="F68" s="637">
        <f t="shared" si="68"/>
        <v>950.92400000000009</v>
      </c>
      <c r="G68" s="637">
        <f t="shared" si="68"/>
        <v>718.81700000000001</v>
      </c>
      <c r="H68" s="637">
        <f t="shared" si="68"/>
        <v>376.32900000000001</v>
      </c>
      <c r="I68" s="637">
        <f t="shared" si="68"/>
        <v>470.87499999999977</v>
      </c>
      <c r="J68" s="637">
        <f t="shared" si="68"/>
        <v>569.45200000000011</v>
      </c>
      <c r="K68" s="637">
        <f t="shared" ref="K68:T68" si="69">K54+K53</f>
        <v>586.54500000000064</v>
      </c>
      <c r="L68" s="637">
        <f t="shared" si="69"/>
        <v>435.86199999999985</v>
      </c>
      <c r="M68" s="637">
        <f t="shared" si="69"/>
        <v>402.91</v>
      </c>
      <c r="N68" s="637">
        <f t="shared" si="69"/>
        <v>341.51740000000035</v>
      </c>
      <c r="O68" s="637">
        <f t="shared" si="69"/>
        <v>184.74599999999987</v>
      </c>
      <c r="P68" s="637">
        <f t="shared" si="69"/>
        <v>276.72000000000008</v>
      </c>
      <c r="Q68" s="637">
        <f t="shared" si="69"/>
        <v>312.05698512815593</v>
      </c>
      <c r="R68" s="637">
        <f t="shared" si="69"/>
        <v>345.37241039150649</v>
      </c>
      <c r="S68" s="637">
        <f t="shared" si="69"/>
        <v>358.20329846540665</v>
      </c>
      <c r="T68" s="637">
        <f t="shared" si="69"/>
        <v>348.83369863740791</v>
      </c>
    </row>
    <row r="69" spans="1:23">
      <c r="A69" s="618"/>
      <c r="B69" s="618"/>
      <c r="C69" s="619"/>
      <c r="D69" s="619"/>
      <c r="E69" s="619"/>
      <c r="F69" s="619"/>
      <c r="G69" s="619"/>
      <c r="H69" s="619"/>
      <c r="I69" s="619"/>
      <c r="J69" s="619"/>
      <c r="K69" s="619"/>
      <c r="L69" s="619"/>
      <c r="M69" s="619"/>
      <c r="N69" s="619"/>
      <c r="O69" s="619"/>
      <c r="P69" s="619"/>
    </row>
    <row r="70" spans="1:23">
      <c r="A70" s="638" t="s">
        <v>299</v>
      </c>
      <c r="B70" s="618"/>
      <c r="C70" s="619"/>
      <c r="D70" s="619"/>
      <c r="E70" s="619"/>
      <c r="F70" s="619"/>
      <c r="G70" s="619"/>
      <c r="H70" s="619"/>
      <c r="I70" s="619"/>
      <c r="J70" s="619"/>
      <c r="K70" s="619"/>
      <c r="L70" s="619"/>
      <c r="M70" s="619"/>
      <c r="N70" s="619"/>
      <c r="O70" s="619"/>
      <c r="P70" s="619"/>
    </row>
    <row r="71" spans="1:23">
      <c r="A71" s="618" t="s">
        <v>276</v>
      </c>
      <c r="B71" s="618"/>
      <c r="C71" s="639">
        <f t="shared" ref="C71:J71" si="70">C51/C47</f>
        <v>0.66356083896432605</v>
      </c>
      <c r="D71" s="639">
        <f t="shared" si="70"/>
        <v>0.66982483696775197</v>
      </c>
      <c r="E71" s="639">
        <f t="shared" si="70"/>
        <v>0.67008193227159563</v>
      </c>
      <c r="F71" s="639">
        <f t="shared" si="70"/>
        <v>0.67253982532430046</v>
      </c>
      <c r="G71" s="639">
        <f t="shared" si="70"/>
        <v>0.6690745874708709</v>
      </c>
      <c r="H71" s="639">
        <f t="shared" si="70"/>
        <v>0.6431673566946946</v>
      </c>
      <c r="I71" s="639">
        <f t="shared" si="70"/>
        <v>0.63925373099906135</v>
      </c>
      <c r="J71" s="639">
        <f t="shared" si="70"/>
        <v>0.61332093010727606</v>
      </c>
      <c r="K71" s="639">
        <f t="shared" ref="K71:P71" si="71">K51/K47</f>
        <v>0.62443599313204634</v>
      </c>
      <c r="L71" s="639">
        <f t="shared" si="71"/>
        <v>0.62557673898569721</v>
      </c>
      <c r="M71" s="639">
        <f t="shared" si="71"/>
        <v>0.61793575371992204</v>
      </c>
      <c r="N71" s="639">
        <f t="shared" si="71"/>
        <v>0.61903611581615847</v>
      </c>
      <c r="O71" s="639">
        <f t="shared" si="71"/>
        <v>0.60977653799214848</v>
      </c>
      <c r="P71" s="639">
        <f t="shared" si="71"/>
        <v>0.5966295319653333</v>
      </c>
      <c r="Q71" s="641">
        <f>Q31+0.6%</f>
        <v>0.60107168181159409</v>
      </c>
      <c r="R71" s="641">
        <f>R31+0.7%</f>
        <v>0.60299999999999998</v>
      </c>
      <c r="S71" s="641">
        <f>S31+0.8%</f>
        <v>0.60299999999999998</v>
      </c>
      <c r="T71" s="641">
        <f>T31+0.8%</f>
        <v>0.60220000000000007</v>
      </c>
    </row>
    <row r="72" spans="1:23">
      <c r="A72" s="618" t="s">
        <v>301</v>
      </c>
      <c r="B72" s="618"/>
      <c r="C72" s="639">
        <f t="shared" ref="C72:J72" si="72">C52/C47</f>
        <v>0.47751544338316709</v>
      </c>
      <c r="D72" s="639">
        <f t="shared" si="72"/>
        <v>0.46308419587856786</v>
      </c>
      <c r="E72" s="639">
        <f t="shared" si="72"/>
        <v>0.46059072351786268</v>
      </c>
      <c r="F72" s="639">
        <f t="shared" si="72"/>
        <v>0.46516703174565421</v>
      </c>
      <c r="G72" s="639">
        <f t="shared" si="72"/>
        <v>0.5274342526543051</v>
      </c>
      <c r="H72" s="639">
        <f t="shared" si="72"/>
        <v>0.59619070382858852</v>
      </c>
      <c r="I72" s="639">
        <f t="shared" si="72"/>
        <v>0.56956863170178762</v>
      </c>
      <c r="J72" s="639">
        <f t="shared" si="72"/>
        <v>0.53239469002115891</v>
      </c>
      <c r="K72" s="639">
        <f t="shared" ref="K72:P72" si="73">K52/K47</f>
        <v>0.54411773508276229</v>
      </c>
      <c r="L72" s="639">
        <f t="shared" si="73"/>
        <v>0.57684537650565471</v>
      </c>
      <c r="M72" s="639">
        <f t="shared" si="73"/>
        <v>0.57079697545158559</v>
      </c>
      <c r="N72" s="639">
        <f t="shared" si="73"/>
        <v>0.58270504848409066</v>
      </c>
      <c r="O72" s="639">
        <f t="shared" si="73"/>
        <v>0.61298328092967891</v>
      </c>
      <c r="P72" s="639">
        <f t="shared" si="73"/>
        <v>0.57241524441046876</v>
      </c>
      <c r="Q72" s="641">
        <f>Q32-0.015</f>
        <v>0.56395018131218644</v>
      </c>
      <c r="R72" s="641">
        <f>R32-0.025</f>
        <v>0.55619999999999992</v>
      </c>
      <c r="S72" s="641">
        <f>S32-0.03</f>
        <v>0.55149999999999999</v>
      </c>
      <c r="T72" s="641">
        <f>T32-0.03</f>
        <v>0.55189999999999995</v>
      </c>
    </row>
    <row r="73" spans="1:23">
      <c r="A73" s="618" t="s">
        <v>278</v>
      </c>
      <c r="B73" s="618"/>
      <c r="C73" s="639">
        <f t="shared" ref="C73:J73" si="74">C54/C47</f>
        <v>0.18604539558115901</v>
      </c>
      <c r="D73" s="639">
        <f t="shared" si="74"/>
        <v>0.20674064108918405</v>
      </c>
      <c r="E73" s="639">
        <f t="shared" si="74"/>
        <v>0.209491208753733</v>
      </c>
      <c r="F73" s="639">
        <f t="shared" si="74"/>
        <v>0.20737279357864627</v>
      </c>
      <c r="G73" s="639">
        <f t="shared" si="74"/>
        <v>0.14164033481656585</v>
      </c>
      <c r="H73" s="639">
        <f t="shared" si="74"/>
        <v>4.6976652866106104E-2</v>
      </c>
      <c r="I73" s="639">
        <f t="shared" si="74"/>
        <v>6.9685099297273664E-2</v>
      </c>
      <c r="J73" s="639">
        <f t="shared" si="74"/>
        <v>8.0926240086117152E-2</v>
      </c>
      <c r="K73" s="639">
        <f t="shared" ref="K73:T73" si="75">K54/K47</f>
        <v>8.0318258049284025E-2</v>
      </c>
      <c r="L73" s="639">
        <f t="shared" si="75"/>
        <v>4.8731362480042575E-2</v>
      </c>
      <c r="M73" s="639">
        <f t="shared" si="75"/>
        <v>4.713877826833654E-2</v>
      </c>
      <c r="N73" s="639">
        <f t="shared" si="75"/>
        <v>3.6331067332067798E-2</v>
      </c>
      <c r="O73" s="639">
        <f t="shared" si="75"/>
        <v>-3.2067429375304715E-3</v>
      </c>
      <c r="P73" s="639">
        <f t="shared" si="75"/>
        <v>2.4214287554864614E-2</v>
      </c>
      <c r="Q73" s="719">
        <f t="shared" si="75"/>
        <v>3.7121500499407614E-2</v>
      </c>
      <c r="R73" s="719">
        <f t="shared" si="75"/>
        <v>4.6800000000000112E-2</v>
      </c>
      <c r="S73" s="719">
        <f t="shared" si="75"/>
        <v>5.1500000000000046E-2</v>
      </c>
      <c r="T73" s="719">
        <f t="shared" si="75"/>
        <v>5.0300000000000074E-2</v>
      </c>
    </row>
    <row r="74" spans="1:23">
      <c r="A74" s="618" t="s">
        <v>303</v>
      </c>
      <c r="B74" s="618"/>
      <c r="C74" s="639">
        <f>C60/C58</f>
        <v>0.38542060920285159</v>
      </c>
      <c r="D74" s="639">
        <f t="shared" ref="D74:J74" si="76">D60/D58</f>
        <v>0.39197829214921059</v>
      </c>
      <c r="E74" s="639">
        <f t="shared" si="76"/>
        <v>0.37275824044613959</v>
      </c>
      <c r="F74" s="639">
        <f t="shared" si="76"/>
        <v>0.37432136155148876</v>
      </c>
      <c r="G74" s="639">
        <f t="shared" si="76"/>
        <v>0.39029756017786638</v>
      </c>
      <c r="H74" s="639">
        <f t="shared" si="76"/>
        <v>0.35255058607818751</v>
      </c>
      <c r="I74" s="639">
        <f t="shared" si="76"/>
        <v>0.24196911632101012</v>
      </c>
      <c r="J74" s="639">
        <f t="shared" si="76"/>
        <v>0.35233662303725988</v>
      </c>
      <c r="K74" s="639">
        <f t="shared" ref="K74:P74" si="77">K60/K58</f>
        <v>0.35461673055603732</v>
      </c>
      <c r="L74" s="639">
        <f t="shared" si="77"/>
        <v>0.29892204487624352</v>
      </c>
      <c r="M74" s="639">
        <f t="shared" si="77"/>
        <v>0.36661817443670064</v>
      </c>
      <c r="N74" s="639">
        <f t="shared" si="77"/>
        <v>0.31475439228561142</v>
      </c>
      <c r="O74" s="639">
        <f t="shared" si="77"/>
        <v>0.98000519345623749</v>
      </c>
      <c r="P74" s="639">
        <f t="shared" si="77"/>
        <v>0.42263863062032081</v>
      </c>
      <c r="Q74" s="641">
        <f>Q34</f>
        <v>0.51552948678368404</v>
      </c>
      <c r="R74" s="641">
        <f>R34</f>
        <v>0.27</v>
      </c>
      <c r="S74" s="641">
        <f>S34</f>
        <v>0.27</v>
      </c>
      <c r="T74" s="641">
        <f>T34</f>
        <v>0.27</v>
      </c>
    </row>
    <row r="75" spans="1:23">
      <c r="A75" s="618"/>
      <c r="B75" s="618"/>
      <c r="C75" s="619"/>
      <c r="D75" s="619"/>
      <c r="E75" s="619"/>
      <c r="F75" s="619"/>
      <c r="G75" s="619"/>
      <c r="H75" s="619"/>
      <c r="I75" s="619"/>
      <c r="J75" s="619"/>
      <c r="K75" s="619"/>
      <c r="L75" s="619"/>
      <c r="M75" s="619"/>
      <c r="N75" s="619"/>
      <c r="O75" s="619"/>
      <c r="P75" s="765">
        <f>P52-O52</f>
        <v>-39.966999999999871</v>
      </c>
      <c r="Q75" s="765">
        <f>Q52-P52</f>
        <v>6.9419479586554189</v>
      </c>
      <c r="R75" s="765">
        <f>R52-Q52</f>
        <v>17.973430258443614</v>
      </c>
      <c r="S75" s="765">
        <f>S52-R52</f>
        <v>21.724590722128823</v>
      </c>
      <c r="T75" s="765">
        <f>T52-S52</f>
        <v>36.623390050026273</v>
      </c>
    </row>
    <row r="76" spans="1:23">
      <c r="A76" s="638" t="s">
        <v>304</v>
      </c>
      <c r="B76" s="618"/>
      <c r="C76" s="619"/>
      <c r="D76" s="619"/>
      <c r="E76" s="619"/>
      <c r="F76" s="619"/>
      <c r="G76" s="619"/>
      <c r="H76" s="619"/>
      <c r="I76" s="619"/>
      <c r="J76" s="619"/>
      <c r="K76" s="619"/>
      <c r="L76" s="619"/>
      <c r="M76" s="619"/>
      <c r="N76" s="619"/>
      <c r="O76" s="619"/>
    </row>
    <row r="77" spans="1:23">
      <c r="A77" s="618" t="s">
        <v>145</v>
      </c>
      <c r="B77" s="618"/>
      <c r="C77" s="640" t="s">
        <v>251</v>
      </c>
      <c r="D77" s="639">
        <f t="shared" ref="D77:O77" si="78">((D47/C47)-1)</f>
        <v>0.36952802567119236</v>
      </c>
      <c r="E77" s="639">
        <f t="shared" si="78"/>
        <v>0.18640947573915412</v>
      </c>
      <c r="F77" s="639">
        <f t="shared" si="78"/>
        <v>0.12650966330671687</v>
      </c>
      <c r="G77" s="639">
        <f t="shared" si="78"/>
        <v>-5.8275418038866378E-2</v>
      </c>
      <c r="H77" s="639">
        <f t="shared" si="78"/>
        <v>-0.1594210427670959</v>
      </c>
      <c r="I77" s="639">
        <f t="shared" si="78"/>
        <v>0.18443843100431079</v>
      </c>
      <c r="J77" s="639">
        <f t="shared" si="78"/>
        <v>0.19871043849473136</v>
      </c>
      <c r="K77" s="639">
        <f t="shared" si="78"/>
        <v>8.4834554977347709E-2</v>
      </c>
      <c r="L77" s="639">
        <f t="shared" si="78"/>
        <v>-8.7325433043547784E-2</v>
      </c>
      <c r="M77" s="639">
        <f t="shared" si="78"/>
        <v>-9.0569912242157158E-2</v>
      </c>
      <c r="N77" s="639">
        <f t="shared" si="78"/>
        <v>-6.0189154467245043E-2</v>
      </c>
      <c r="O77" s="639">
        <f t="shared" si="78"/>
        <v>-5.454886491525246E-2</v>
      </c>
      <c r="P77" s="639">
        <f>P78+P84</f>
        <v>3.2883669899060344E-2</v>
      </c>
      <c r="Q77" s="639">
        <f>Q78+Q84</f>
        <v>1.8534665504747125E-2</v>
      </c>
      <c r="R77" s="639">
        <f>R78+R84</f>
        <v>2.3017890931877782E-2</v>
      </c>
      <c r="S77" s="639">
        <f>S78+S84</f>
        <v>1.9346192675797236E-2</v>
      </c>
      <c r="T77" s="639">
        <f>T78+T84</f>
        <v>1.7163048664293606E-2</v>
      </c>
    </row>
    <row r="78" spans="1:23">
      <c r="A78" s="618" t="s">
        <v>231</v>
      </c>
      <c r="B78" s="618"/>
      <c r="C78" s="643">
        <f>C38</f>
        <v>0.02</v>
      </c>
      <c r="D78" s="643">
        <f t="shared" ref="D78:J78" si="79">D38</f>
        <v>0.26</v>
      </c>
      <c r="E78" s="643">
        <f t="shared" si="79"/>
        <v>0.02</v>
      </c>
      <c r="F78" s="643">
        <f t="shared" si="79"/>
        <v>-0.01</v>
      </c>
      <c r="G78" s="643">
        <f t="shared" si="79"/>
        <v>-0.13</v>
      </c>
      <c r="H78" s="643">
        <f t="shared" si="79"/>
        <v>-0.23</v>
      </c>
      <c r="I78" s="643">
        <f t="shared" si="79"/>
        <v>3.076657134320715E-2</v>
      </c>
      <c r="J78" s="643">
        <f t="shared" si="79"/>
        <v>7.4777962024644984E-3</v>
      </c>
      <c r="K78" s="643">
        <f>K38</f>
        <v>-4.9657853905901835E-2</v>
      </c>
      <c r="L78" s="643">
        <f>L38</f>
        <v>-0.11</v>
      </c>
      <c r="M78" s="643">
        <f>M38</f>
        <v>-7.9683968878454511E-2</v>
      </c>
      <c r="N78" s="643">
        <f>N38</f>
        <v>-0.03</v>
      </c>
      <c r="O78" s="643">
        <f>O38</f>
        <v>-0.05</v>
      </c>
      <c r="P78" s="641">
        <v>0.01</v>
      </c>
      <c r="Q78" s="641">
        <v>0.01</v>
      </c>
      <c r="R78" s="641">
        <v>0.01</v>
      </c>
      <c r="S78" s="641">
        <v>0.01</v>
      </c>
      <c r="T78" s="641">
        <v>0.01</v>
      </c>
    </row>
    <row r="79" spans="1:23">
      <c r="A79" s="618" t="s">
        <v>292</v>
      </c>
      <c r="B79" s="618"/>
      <c r="C79" s="640" t="s">
        <v>251</v>
      </c>
      <c r="D79" s="639">
        <f t="shared" ref="D79:O79" si="80">((D52/C52)-1)</f>
        <v>0.32813879276404401</v>
      </c>
      <c r="E79" s="639">
        <f t="shared" si="80"/>
        <v>0.1800212654254294</v>
      </c>
      <c r="F79" s="639">
        <f t="shared" si="80"/>
        <v>0.13770236688854931</v>
      </c>
      <c r="G79" s="639">
        <f t="shared" si="80"/>
        <v>6.7783757651261656E-2</v>
      </c>
      <c r="H79" s="639">
        <f t="shared" si="80"/>
        <v>-4.9842975471957929E-2</v>
      </c>
      <c r="I79" s="639">
        <f t="shared" si="80"/>
        <v>0.13154896939838578</v>
      </c>
      <c r="J79" s="639">
        <f t="shared" si="80"/>
        <v>0.12047440256799336</v>
      </c>
      <c r="K79" s="639">
        <f t="shared" si="80"/>
        <v>0.10872202908397033</v>
      </c>
      <c r="L79" s="639">
        <f t="shared" si="80"/>
        <v>-3.2429802856817846E-2</v>
      </c>
      <c r="M79" s="639">
        <f t="shared" si="80"/>
        <v>-0.10010556620668676</v>
      </c>
      <c r="N79" s="639">
        <f t="shared" si="80"/>
        <v>-4.058264520624133E-2</v>
      </c>
      <c r="O79" s="639">
        <f t="shared" si="80"/>
        <v>-5.4217991578621172E-3</v>
      </c>
      <c r="P79" s="639">
        <f>((P52/O52)-1)</f>
        <v>-1.959900668681791E-2</v>
      </c>
      <c r="Q79" s="639">
        <f>((Q52/P52)-1)</f>
        <v>3.4722430841749308E-3</v>
      </c>
      <c r="R79" s="639">
        <f>((R52/Q52)-1)</f>
        <v>8.9588935185165308E-3</v>
      </c>
      <c r="S79" s="639">
        <f>((S52/R52)-1)</f>
        <v>1.0732515750992988E-2</v>
      </c>
      <c r="T79" s="639">
        <f>((T52/S52)-1)</f>
        <v>1.7900791582635689E-2</v>
      </c>
    </row>
    <row r="80" spans="1:23">
      <c r="A80" s="618" t="s">
        <v>307</v>
      </c>
      <c r="B80" s="618"/>
      <c r="C80" s="640" t="s">
        <v>251</v>
      </c>
      <c r="D80" s="639">
        <f t="shared" ref="D80:O80" si="81">((D54/C54)-1)</f>
        <v>0.52187105266656975</v>
      </c>
      <c r="E80" s="639">
        <f t="shared" si="81"/>
        <v>0.20219398488883233</v>
      </c>
      <c r="F80" s="639">
        <f t="shared" si="81"/>
        <v>0.11511818210887736</v>
      </c>
      <c r="G80" s="639">
        <f t="shared" si="81"/>
        <v>-0.35678069050374883</v>
      </c>
      <c r="H80" s="639">
        <f t="shared" si="81"/>
        <v>-0.72121228086884448</v>
      </c>
      <c r="I80" s="639">
        <f t="shared" si="81"/>
        <v>0.75699426502976341</v>
      </c>
      <c r="J80" s="639">
        <f t="shared" si="81"/>
        <v>0.3920785034047396</v>
      </c>
      <c r="K80" s="639">
        <f t="shared" si="81"/>
        <v>7.6684418239742813E-2</v>
      </c>
      <c r="L80" s="639">
        <f t="shared" si="81"/>
        <v>-0.44625448523323352</v>
      </c>
      <c r="M80" s="639">
        <f t="shared" si="81"/>
        <v>-0.12029089531556769</v>
      </c>
      <c r="N80" s="639">
        <f t="shared" si="81"/>
        <v>-0.27566363909365277</v>
      </c>
      <c r="O80" s="639">
        <f t="shared" si="81"/>
        <v>-1.0834497572697825</v>
      </c>
      <c r="P80" s="639">
        <f>((P54/O54)-1)</f>
        <v>-8.9277277840269171</v>
      </c>
      <c r="Q80" s="639">
        <f>((Q54/P54)-1)</f>
        <v>0.56145560791453275</v>
      </c>
      <c r="R80" s="639">
        <f>((R54/Q54)-1)</f>
        <v>0.28974412810646033</v>
      </c>
      <c r="S80" s="639">
        <f>((S54/R54)-1)</f>
        <v>0.12171642997443333</v>
      </c>
      <c r="T80" s="639">
        <f>((T54/S54)-1)</f>
        <v>-6.5378379065244019E-3</v>
      </c>
    </row>
    <row r="81" spans="1:20">
      <c r="A81" s="618" t="s">
        <v>308</v>
      </c>
      <c r="B81" s="618"/>
      <c r="C81" s="640" t="s">
        <v>251</v>
      </c>
      <c r="D81" s="639">
        <f t="shared" ref="D81:O81" si="82">((D65/C65)-1)</f>
        <v>0.5629419667570883</v>
      </c>
      <c r="E81" s="639">
        <f t="shared" si="82"/>
        <v>0.24568770378024651</v>
      </c>
      <c r="F81" s="639">
        <f t="shared" si="82"/>
        <v>0.12375345586459474</v>
      </c>
      <c r="G81" s="639">
        <f t="shared" si="82"/>
        <v>-0.35688054244010292</v>
      </c>
      <c r="H81" s="639">
        <f t="shared" si="82"/>
        <v>-0.68185652651187478</v>
      </c>
      <c r="I81" s="639">
        <f t="shared" si="82"/>
        <v>0.87822694067499962</v>
      </c>
      <c r="J81" s="639">
        <f t="shared" si="82"/>
        <v>0.18346532528257486</v>
      </c>
      <c r="K81" s="639">
        <f t="shared" si="82"/>
        <v>0.17110689311383576</v>
      </c>
      <c r="L81" s="639">
        <f t="shared" si="82"/>
        <v>-0.34099725373015322</v>
      </c>
      <c r="M81" s="639">
        <f t="shared" si="82"/>
        <v>-0.19543497919417374</v>
      </c>
      <c r="N81" s="639">
        <f t="shared" si="82"/>
        <v>-0.27001285136873854</v>
      </c>
      <c r="O81" s="639">
        <f t="shared" si="82"/>
        <v>-1.0530171337226013</v>
      </c>
      <c r="P81" s="639">
        <f>((P65/O65)-1)</f>
        <v>-11.879453164282053</v>
      </c>
      <c r="Q81" s="639">
        <f>((Q65/P65)-1)</f>
        <v>0.10938658695029613</v>
      </c>
      <c r="R81" s="639">
        <f>((R65/Q65)-1)</f>
        <v>1.0939351204475729</v>
      </c>
      <c r="S81" s="639">
        <f>((S65/R65)-1)</f>
        <v>0.13175194987775485</v>
      </c>
      <c r="T81" s="639">
        <f>((T65/S65)-1)</f>
        <v>-1.418426647261406E-2</v>
      </c>
    </row>
    <row r="82" spans="1:20" hidden="1" outlineLevel="1">
      <c r="A82" s="618" t="s">
        <v>274</v>
      </c>
      <c r="B82" s="618"/>
      <c r="C82" s="640" t="s">
        <v>251</v>
      </c>
      <c r="D82" s="639">
        <f t="shared" ref="D82:O82" si="83">((D68/C68)-1)</f>
        <v>0.44543943352723581</v>
      </c>
      <c r="E82" s="639">
        <f t="shared" si="83"/>
        <v>0.1976516802632593</v>
      </c>
      <c r="F82" s="639">
        <f t="shared" si="83"/>
        <v>0.13997520865251634</v>
      </c>
      <c r="G82" s="639">
        <f t="shared" si="83"/>
        <v>-0.2440857523839971</v>
      </c>
      <c r="H82" s="639">
        <f t="shared" si="83"/>
        <v>-0.47646062906136055</v>
      </c>
      <c r="I82" s="639">
        <f t="shared" si="83"/>
        <v>0.25123229939760083</v>
      </c>
      <c r="J82" s="639">
        <f t="shared" si="83"/>
        <v>0.20934855322537915</v>
      </c>
      <c r="K82" s="639">
        <f t="shared" si="83"/>
        <v>3.0016577341023476E-2</v>
      </c>
      <c r="L82" s="639">
        <f t="shared" si="83"/>
        <v>-0.25689930013895035</v>
      </c>
      <c r="M82" s="639">
        <f t="shared" si="83"/>
        <v>-7.560191069650446E-2</v>
      </c>
      <c r="N82" s="639">
        <f t="shared" si="83"/>
        <v>-0.15237298652304399</v>
      </c>
      <c r="O82" s="639">
        <f t="shared" si="83"/>
        <v>-0.45904366805322461</v>
      </c>
      <c r="P82" s="639">
        <f>((P68/O68)-1)</f>
        <v>0.49784027800331421</v>
      </c>
      <c r="Q82" s="639">
        <f>((Q68/P68)-1)</f>
        <v>0.12769942587509342</v>
      </c>
      <c r="R82" s="639">
        <f>((R68/Q68)-1)</f>
        <v>0.10676070990581588</v>
      </c>
      <c r="S82" s="639">
        <f>((S68/R68)-1)</f>
        <v>3.7150877394506843E-2</v>
      </c>
      <c r="T82" s="639">
        <f>((T68/S68)-1)</f>
        <v>-2.6157212588882928E-2</v>
      </c>
    </row>
    <row r="83" spans="1:20" collapsed="1">
      <c r="A83" s="618" t="s">
        <v>667</v>
      </c>
      <c r="B83" s="636"/>
      <c r="C83" s="640" t="s">
        <v>251</v>
      </c>
      <c r="D83" s="639">
        <f>D37-D38</f>
        <v>0.10952802567119235</v>
      </c>
      <c r="E83" s="639">
        <f t="shared" ref="E83:J83" si="84">E37-E38</f>
        <v>0.16640947573915413</v>
      </c>
      <c r="F83" s="639">
        <f t="shared" si="84"/>
        <v>0.13650966330671688</v>
      </c>
      <c r="G83" s="639">
        <f t="shared" si="84"/>
        <v>7.1724581961133627E-2</v>
      </c>
      <c r="H83" s="639">
        <f t="shared" si="84"/>
        <v>7.057895723290411E-2</v>
      </c>
      <c r="I83" s="639">
        <f t="shared" si="84"/>
        <v>0.15367185966110364</v>
      </c>
      <c r="J83" s="639">
        <f t="shared" si="84"/>
        <v>0.19123264229226686</v>
      </c>
      <c r="K83" s="639">
        <f t="shared" ref="K83:Q83" si="85">K37-K38</f>
        <v>0.13449240888324954</v>
      </c>
      <c r="L83" s="639">
        <f t="shared" si="85"/>
        <v>2.2674566956452216E-2</v>
      </c>
      <c r="M83" s="639">
        <f t="shared" si="85"/>
        <v>-1.0885943363702646E-2</v>
      </c>
      <c r="N83" s="639">
        <f>N37-N38</f>
        <v>-3.0189154467245044E-2</v>
      </c>
      <c r="O83" s="639">
        <f>O37-O38</f>
        <v>-4.5488649152524568E-3</v>
      </c>
      <c r="P83" s="639">
        <f>P37-P38</f>
        <v>1.9883669899060347E-2</v>
      </c>
      <c r="Q83" s="639">
        <f t="shared" si="85"/>
        <v>5.5346655047471237E-3</v>
      </c>
      <c r="R83" s="639">
        <f>R37-R38</f>
        <v>1.001789093187778E-2</v>
      </c>
      <c r="S83" s="639">
        <f>S37-S38</f>
        <v>6.3461926757972329E-3</v>
      </c>
      <c r="T83" s="639">
        <f>T37-T38</f>
        <v>4.1630486642936053E-3</v>
      </c>
    </row>
    <row r="84" spans="1:20">
      <c r="A84" s="618" t="s">
        <v>668</v>
      </c>
      <c r="B84" s="636"/>
      <c r="C84" s="640" t="str">
        <f>C83</f>
        <v>NA</v>
      </c>
      <c r="D84" s="639">
        <f t="shared" ref="D84:L84" si="86">D83</f>
        <v>0.10952802567119235</v>
      </c>
      <c r="E84" s="639">
        <f t="shared" si="86"/>
        <v>0.16640947573915413</v>
      </c>
      <c r="F84" s="639">
        <f t="shared" si="86"/>
        <v>0.13650966330671688</v>
      </c>
      <c r="G84" s="639">
        <f t="shared" si="86"/>
        <v>7.1724581961133627E-2</v>
      </c>
      <c r="H84" s="639">
        <f t="shared" si="86"/>
        <v>7.057895723290411E-2</v>
      </c>
      <c r="I84" s="639">
        <f t="shared" si="86"/>
        <v>0.15367185966110364</v>
      </c>
      <c r="J84" s="639">
        <f t="shared" si="86"/>
        <v>0.19123264229226686</v>
      </c>
      <c r="K84" s="639">
        <f t="shared" si="86"/>
        <v>0.13449240888324954</v>
      </c>
      <c r="L84" s="639">
        <f t="shared" si="86"/>
        <v>2.2674566956452216E-2</v>
      </c>
      <c r="M84" s="639">
        <f>M83</f>
        <v>-1.0885943363702646E-2</v>
      </c>
      <c r="N84" s="639">
        <f>N83</f>
        <v>-3.0189154467245044E-2</v>
      </c>
      <c r="O84" s="639">
        <f>O83</f>
        <v>-4.5488649152524568E-3</v>
      </c>
      <c r="P84" s="641">
        <f>P83+0.003</f>
        <v>2.2883669899060346E-2</v>
      </c>
      <c r="Q84" s="641">
        <f t="shared" ref="Q84:S84" si="87">Q83+0.003</f>
        <v>8.5346655047471229E-3</v>
      </c>
      <c r="R84" s="641">
        <f t="shared" si="87"/>
        <v>1.3017890931877781E-2</v>
      </c>
      <c r="S84" s="641">
        <f t="shared" si="87"/>
        <v>9.3461926757972338E-3</v>
      </c>
      <c r="T84" s="641">
        <f t="shared" ref="T84" si="88">T83+0.003</f>
        <v>7.1630486642936054E-3</v>
      </c>
    </row>
    <row r="85" spans="1:20">
      <c r="A85" s="631"/>
      <c r="B85" s="631"/>
      <c r="C85" s="631"/>
      <c r="D85" s="631"/>
      <c r="E85" s="631"/>
      <c r="F85" s="631"/>
      <c r="G85" s="631"/>
      <c r="H85" s="631"/>
      <c r="I85" s="631"/>
      <c r="J85" s="631"/>
      <c r="K85" s="631"/>
      <c r="L85" s="631"/>
      <c r="M85" s="631"/>
      <c r="N85" s="631"/>
      <c r="O85" s="631"/>
      <c r="P85" s="631"/>
      <c r="Q85" s="631"/>
      <c r="R85" s="631"/>
      <c r="S85" s="631"/>
      <c r="T85" s="631"/>
    </row>
    <row r="86" spans="1:20">
      <c r="A86" s="617" t="s">
        <v>669</v>
      </c>
      <c r="B86" s="618"/>
      <c r="C86" s="280" t="s">
        <v>62</v>
      </c>
      <c r="D86" s="280" t="s">
        <v>28</v>
      </c>
      <c r="E86" s="280" t="s">
        <v>58</v>
      </c>
      <c r="F86" s="280" t="s">
        <v>26</v>
      </c>
      <c r="G86" s="280" t="s">
        <v>20</v>
      </c>
      <c r="H86" s="280" t="s">
        <v>19</v>
      </c>
      <c r="I86" s="280" t="s">
        <v>10</v>
      </c>
      <c r="J86" s="280" t="s">
        <v>68</v>
      </c>
      <c r="K86" s="280" t="s">
        <v>552</v>
      </c>
      <c r="L86" s="280" t="s">
        <v>679</v>
      </c>
      <c r="M86" s="280" t="s">
        <v>790</v>
      </c>
      <c r="N86" s="280" t="s">
        <v>1431</v>
      </c>
      <c r="O86" s="280" t="s">
        <v>1433</v>
      </c>
      <c r="P86" s="280" t="s">
        <v>389</v>
      </c>
      <c r="Q86" s="280" t="s">
        <v>375</v>
      </c>
      <c r="R86" s="280" t="s">
        <v>782</v>
      </c>
      <c r="S86" s="280" t="s">
        <v>1428</v>
      </c>
      <c r="T86" s="280" t="str">
        <f>T44</f>
        <v>2021E</v>
      </c>
    </row>
    <row r="87" spans="1:20">
      <c r="A87" s="26" t="s">
        <v>289</v>
      </c>
      <c r="B87" s="618"/>
      <c r="C87" s="95" t="s">
        <v>100</v>
      </c>
      <c r="D87" s="95" t="s">
        <v>100</v>
      </c>
      <c r="E87" s="95" t="s">
        <v>100</v>
      </c>
      <c r="F87" s="95" t="s">
        <v>100</v>
      </c>
      <c r="G87" s="95" t="s">
        <v>100</v>
      </c>
      <c r="H87" s="95" t="s">
        <v>100</v>
      </c>
      <c r="I87" s="95" t="s">
        <v>100</v>
      </c>
      <c r="J87" s="95" t="s">
        <v>100</v>
      </c>
      <c r="K87" s="95" t="s">
        <v>100</v>
      </c>
      <c r="L87" s="95" t="s">
        <v>100</v>
      </c>
      <c r="M87" s="95" t="s">
        <v>100</v>
      </c>
      <c r="N87" s="95" t="s">
        <v>100</v>
      </c>
      <c r="O87" s="95" t="s">
        <v>100</v>
      </c>
      <c r="P87" s="95" t="s">
        <v>100</v>
      </c>
      <c r="Q87" s="95" t="s">
        <v>100</v>
      </c>
      <c r="R87" s="95" t="s">
        <v>100</v>
      </c>
      <c r="S87" s="95" t="s">
        <v>100</v>
      </c>
      <c r="T87" s="95" t="s">
        <v>100</v>
      </c>
    </row>
    <row r="88" spans="1:20">
      <c r="A88" s="618"/>
      <c r="B88" s="618"/>
      <c r="C88" s="619"/>
      <c r="D88" s="619"/>
      <c r="E88" s="619"/>
      <c r="F88" s="619"/>
      <c r="G88" s="619"/>
      <c r="H88" s="619"/>
      <c r="I88" s="619"/>
      <c r="J88" s="619"/>
      <c r="K88" s="619"/>
      <c r="L88" s="619"/>
      <c r="M88" s="619"/>
    </row>
    <row r="89" spans="1:20">
      <c r="A89" s="618" t="s">
        <v>268</v>
      </c>
      <c r="B89" s="618"/>
      <c r="C89" s="632">
        <f>C6</f>
        <v>2021.2539999999999</v>
      </c>
      <c r="D89" s="632">
        <f t="shared" ref="D89:J89" si="89">D6</f>
        <v>2768.1640000000002</v>
      </c>
      <c r="E89" s="632">
        <f t="shared" si="89"/>
        <v>3284.1759999999999</v>
      </c>
      <c r="F89" s="632">
        <f t="shared" si="89"/>
        <v>3699.6559999999999</v>
      </c>
      <c r="G89" s="632">
        <f t="shared" si="89"/>
        <v>3484.0569999999998</v>
      </c>
      <c r="H89" s="632">
        <f t="shared" si="89"/>
        <v>2928.625</v>
      </c>
      <c r="I89" s="632">
        <f t="shared" si="89"/>
        <v>3468.7759999999998</v>
      </c>
      <c r="J89" s="632">
        <f t="shared" si="89"/>
        <v>4158.058</v>
      </c>
      <c r="K89" s="632">
        <f t="shared" ref="K89:P89" si="90">K6</f>
        <v>4510.8050000000003</v>
      </c>
      <c r="L89" s="632">
        <f t="shared" si="90"/>
        <v>4116.8969999999999</v>
      </c>
      <c r="M89" s="632">
        <f t="shared" si="90"/>
        <v>3744.0299999999997</v>
      </c>
      <c r="N89" s="632">
        <f t="shared" si="90"/>
        <v>3518.6800000000003</v>
      </c>
      <c r="O89" s="632">
        <f t="shared" si="90"/>
        <v>3326.74</v>
      </c>
      <c r="P89" s="632">
        <f t="shared" si="90"/>
        <v>3492.69</v>
      </c>
      <c r="Q89" s="632">
        <f>(P89*(1+Q119))</f>
        <v>3389.7767208617752</v>
      </c>
      <c r="R89" s="632">
        <f>(Q89*(1+R119))</f>
        <v>3264.5570872599619</v>
      </c>
      <c r="S89" s="632">
        <f>(R89*(1+S119))</f>
        <v>3132.8585863152284</v>
      </c>
      <c r="T89" s="632">
        <f>(S89*(1+T119))</f>
        <v>3000.6033456864616</v>
      </c>
    </row>
    <row r="90" spans="1:20" hidden="1" outlineLevel="1">
      <c r="A90" s="618"/>
      <c r="B90" s="618"/>
      <c r="C90" s="619"/>
      <c r="D90" s="619"/>
      <c r="E90" s="619"/>
      <c r="F90" s="619"/>
      <c r="G90" s="619"/>
      <c r="H90" s="619"/>
      <c r="I90" s="619"/>
      <c r="J90" s="619"/>
      <c r="K90" s="619"/>
      <c r="L90" s="619"/>
      <c r="M90" s="619"/>
      <c r="N90" s="619"/>
      <c r="O90" s="619"/>
      <c r="P90" s="619"/>
    </row>
    <row r="91" spans="1:20" hidden="1" outlineLevel="1">
      <c r="A91" s="618" t="s">
        <v>290</v>
      </c>
      <c r="B91" s="618"/>
      <c r="C91" s="632">
        <f>C8</f>
        <v>680.029</v>
      </c>
      <c r="D91" s="632">
        <f t="shared" ref="D91:J91" si="91">D8</f>
        <v>913.97900000000004</v>
      </c>
      <c r="E91" s="632">
        <f t="shared" si="91"/>
        <v>1083.509</v>
      </c>
      <c r="F91" s="632">
        <f t="shared" si="91"/>
        <v>1211.49</v>
      </c>
      <c r="G91" s="632">
        <f t="shared" si="91"/>
        <v>1152.963</v>
      </c>
      <c r="H91" s="632">
        <f t="shared" si="91"/>
        <v>1045.029</v>
      </c>
      <c r="I91" s="632">
        <f t="shared" si="91"/>
        <v>1251.348</v>
      </c>
      <c r="J91" s="632">
        <f t="shared" si="91"/>
        <v>1607.8340000000001</v>
      </c>
      <c r="K91" s="632">
        <f t="shared" ref="K91:P91" si="92">K8</f>
        <v>1694.096</v>
      </c>
      <c r="L91" s="632">
        <f t="shared" si="92"/>
        <v>1541.462</v>
      </c>
      <c r="M91" s="632">
        <f t="shared" si="92"/>
        <v>1430.46</v>
      </c>
      <c r="N91" s="632">
        <f t="shared" si="92"/>
        <v>1340.49</v>
      </c>
      <c r="O91" s="632">
        <f t="shared" si="92"/>
        <v>1298.172</v>
      </c>
      <c r="P91" s="632">
        <f t="shared" si="92"/>
        <v>1408.848</v>
      </c>
      <c r="Q91" s="632">
        <f>Q89-Q93</f>
        <v>1409.9041305422477</v>
      </c>
      <c r="R91" s="632">
        <f>R89-R93</f>
        <v>1367.8494195619242</v>
      </c>
      <c r="S91" s="632">
        <f>S89-S93</f>
        <v>1318.9334648387112</v>
      </c>
      <c r="T91" s="632">
        <f>T89-T93</f>
        <v>1265.6544912105494</v>
      </c>
    </row>
    <row r="92" spans="1:20" hidden="1" outlineLevel="1">
      <c r="A92" s="618"/>
      <c r="B92" s="618"/>
      <c r="C92" s="619"/>
      <c r="D92" s="619"/>
      <c r="E92" s="619"/>
      <c r="F92" s="619"/>
      <c r="G92" s="619"/>
      <c r="H92" s="619"/>
      <c r="I92" s="619"/>
      <c r="J92" s="619"/>
      <c r="K92" s="619"/>
      <c r="L92" s="619"/>
      <c r="M92" s="619"/>
      <c r="N92" s="619"/>
      <c r="O92" s="619"/>
      <c r="P92" s="619"/>
    </row>
    <row r="93" spans="1:20" collapsed="1">
      <c r="A93" s="618" t="s">
        <v>291</v>
      </c>
      <c r="B93" s="618"/>
      <c r="C93" s="632">
        <f t="shared" ref="C93:J93" si="93">C89-C91</f>
        <v>1341.2249999999999</v>
      </c>
      <c r="D93" s="632">
        <f t="shared" si="93"/>
        <v>1854.1850000000002</v>
      </c>
      <c r="E93" s="632">
        <f t="shared" si="93"/>
        <v>2200.6669999999999</v>
      </c>
      <c r="F93" s="632">
        <f t="shared" si="93"/>
        <v>2488.1660000000002</v>
      </c>
      <c r="G93" s="632">
        <f t="shared" si="93"/>
        <v>2331.0940000000001</v>
      </c>
      <c r="H93" s="632">
        <f t="shared" si="93"/>
        <v>1883.596</v>
      </c>
      <c r="I93" s="632">
        <f t="shared" si="93"/>
        <v>2217.4279999999999</v>
      </c>
      <c r="J93" s="632">
        <f t="shared" si="93"/>
        <v>2550.2240000000002</v>
      </c>
      <c r="K93" s="632">
        <f t="shared" ref="K93:P93" si="94">K89-K91</f>
        <v>2816.7090000000003</v>
      </c>
      <c r="L93" s="632">
        <f t="shared" si="94"/>
        <v>2575.4349999999999</v>
      </c>
      <c r="M93" s="632">
        <f t="shared" si="94"/>
        <v>2313.5699999999997</v>
      </c>
      <c r="N93" s="632">
        <f t="shared" si="94"/>
        <v>2178.1900000000005</v>
      </c>
      <c r="O93" s="632">
        <f t="shared" si="94"/>
        <v>2028.5679999999998</v>
      </c>
      <c r="P93" s="632">
        <f t="shared" si="94"/>
        <v>2083.8420000000001</v>
      </c>
      <c r="Q93" s="632">
        <f>Q89*Q113</f>
        <v>1979.8725903195275</v>
      </c>
      <c r="R93" s="632">
        <f>R89*R113</f>
        <v>1896.7076676980378</v>
      </c>
      <c r="S93" s="632">
        <f>S89*S113</f>
        <v>1813.9251214765172</v>
      </c>
      <c r="T93" s="632">
        <f>T89*T113</f>
        <v>1734.9488544759122</v>
      </c>
    </row>
    <row r="94" spans="1:20">
      <c r="A94" s="618" t="s">
        <v>292</v>
      </c>
      <c r="B94" s="618"/>
      <c r="C94" s="633">
        <f>C11</f>
        <v>965.18</v>
      </c>
      <c r="D94" s="633">
        <f t="shared" ref="D94:J94" si="95">D11</f>
        <v>1281.893</v>
      </c>
      <c r="E94" s="633">
        <f t="shared" si="95"/>
        <v>1512.6610000000001</v>
      </c>
      <c r="F94" s="633">
        <f t="shared" si="95"/>
        <v>1720.9580000000001</v>
      </c>
      <c r="G94" s="633">
        <f t="shared" si="95"/>
        <v>1837.6110000000001</v>
      </c>
      <c r="H94" s="633">
        <f t="shared" si="95"/>
        <v>1746.019</v>
      </c>
      <c r="I94" s="633">
        <f t="shared" si="95"/>
        <v>1975.7060000000001</v>
      </c>
      <c r="J94" s="633">
        <f t="shared" si="95"/>
        <v>2213.7280000000001</v>
      </c>
      <c r="K94" s="633">
        <f t="shared" ref="K94:P94" si="96">K11</f>
        <v>2454.4089999999997</v>
      </c>
      <c r="L94" s="633">
        <f t="shared" si="96"/>
        <v>2374.8130000000001</v>
      </c>
      <c r="M94" s="633">
        <f t="shared" si="96"/>
        <v>2137.0809999999997</v>
      </c>
      <c r="N94" s="633">
        <f t="shared" si="96"/>
        <v>2050.3526000000002</v>
      </c>
      <c r="O94" s="633">
        <f t="shared" si="96"/>
        <v>2039.2359999999999</v>
      </c>
      <c r="P94" s="633">
        <f t="shared" si="96"/>
        <v>1999.269</v>
      </c>
      <c r="Q94" s="633">
        <f>Q89*Q114</f>
        <v>2081.1540323809159</v>
      </c>
      <c r="R94" s="633">
        <f>R89*R114</f>
        <v>2070.382104740268</v>
      </c>
      <c r="S94" s="633">
        <f>S89*S114</f>
        <v>2072.3859548475234</v>
      </c>
      <c r="T94" s="633">
        <f>T89*T114</f>
        <v>1986.0993545098688</v>
      </c>
    </row>
    <row r="95" spans="1:20" hidden="1" outlineLevel="1">
      <c r="A95" s="618" t="s">
        <v>226</v>
      </c>
      <c r="B95" s="618"/>
      <c r="C95" s="633">
        <f>C53</f>
        <v>105.81399999999999</v>
      </c>
      <c r="D95" s="633">
        <f t="shared" ref="D95:J95" si="97">D53</f>
        <v>124.206</v>
      </c>
      <c r="E95" s="633">
        <f t="shared" si="97"/>
        <v>146.15600000000001</v>
      </c>
      <c r="F95" s="633">
        <f t="shared" si="97"/>
        <v>183.71600000000001</v>
      </c>
      <c r="G95" s="633">
        <f t="shared" si="97"/>
        <v>225.334</v>
      </c>
      <c r="H95" s="633">
        <f t="shared" si="97"/>
        <v>238.75200000000001</v>
      </c>
      <c r="I95" s="633">
        <f t="shared" si="97"/>
        <v>229.15299999999999</v>
      </c>
      <c r="J95" s="633">
        <f t="shared" si="97"/>
        <v>232.95599999999999</v>
      </c>
      <c r="K95" s="633">
        <f t="shared" ref="K95:Q95" si="98">K53</f>
        <v>224.245</v>
      </c>
      <c r="L95" s="633">
        <f t="shared" si="98"/>
        <v>235.24</v>
      </c>
      <c r="M95" s="633">
        <f t="shared" si="98"/>
        <v>226.42099999999999</v>
      </c>
      <c r="N95" s="633">
        <f>N53</f>
        <v>213.68</v>
      </c>
      <c r="O95" s="633">
        <f>O53</f>
        <v>195.41399999999999</v>
      </c>
      <c r="P95" s="633">
        <f>P53</f>
        <v>192.14699999999999</v>
      </c>
      <c r="Q95" s="633">
        <f t="shared" si="98"/>
        <v>180</v>
      </c>
      <c r="R95" s="633">
        <f>R53</f>
        <v>175.05268924702526</v>
      </c>
      <c r="S95" s="633">
        <f>S53</f>
        <v>167.15286890897809</v>
      </c>
      <c r="T95" s="633">
        <f>T53</f>
        <v>159.03232582139114</v>
      </c>
    </row>
    <row r="96" spans="1:20" collapsed="1">
      <c r="A96" s="634" t="s">
        <v>307</v>
      </c>
      <c r="B96" s="618"/>
      <c r="C96" s="632">
        <f t="shared" ref="C96:J96" si="99">C93-C94</f>
        <v>376.04499999999996</v>
      </c>
      <c r="D96" s="632">
        <f t="shared" si="99"/>
        <v>572.29200000000014</v>
      </c>
      <c r="E96" s="632">
        <f t="shared" si="99"/>
        <v>688.00599999999986</v>
      </c>
      <c r="F96" s="632">
        <f t="shared" si="99"/>
        <v>767.20800000000008</v>
      </c>
      <c r="G96" s="632">
        <f t="shared" si="99"/>
        <v>493.48299999999995</v>
      </c>
      <c r="H96" s="632">
        <f t="shared" si="99"/>
        <v>137.577</v>
      </c>
      <c r="I96" s="632">
        <f t="shared" si="99"/>
        <v>241.72199999999975</v>
      </c>
      <c r="J96" s="632">
        <f t="shared" si="99"/>
        <v>336.49600000000009</v>
      </c>
      <c r="K96" s="632">
        <f t="shared" ref="K96:Q96" si="100">K93-K94</f>
        <v>362.30000000000064</v>
      </c>
      <c r="L96" s="632">
        <f t="shared" si="100"/>
        <v>200.62199999999984</v>
      </c>
      <c r="M96" s="632">
        <f>M93-M94</f>
        <v>176.48900000000003</v>
      </c>
      <c r="N96" s="632">
        <f>N93-N94</f>
        <v>127.83740000000034</v>
      </c>
      <c r="O96" s="632">
        <f>O93-O94</f>
        <v>-10.66800000000012</v>
      </c>
      <c r="P96" s="632">
        <f>P93-P94</f>
        <v>84.573000000000093</v>
      </c>
      <c r="Q96" s="632">
        <f t="shared" si="100"/>
        <v>-101.28144206138836</v>
      </c>
      <c r="R96" s="632">
        <f>R93-R94</f>
        <v>-173.67443704223024</v>
      </c>
      <c r="S96" s="632">
        <f>S93-S94</f>
        <v>-258.46083337100617</v>
      </c>
      <c r="T96" s="632">
        <f>T93-T94</f>
        <v>-251.15050003395663</v>
      </c>
    </row>
    <row r="97" spans="1:23" hidden="1" outlineLevel="1">
      <c r="A97" s="618"/>
      <c r="B97" s="618"/>
      <c r="C97" s="619"/>
      <c r="D97" s="619"/>
      <c r="E97" s="619"/>
      <c r="F97" s="619"/>
      <c r="G97" s="619"/>
      <c r="H97" s="619"/>
      <c r="I97" s="619"/>
      <c r="J97" s="619"/>
      <c r="K97" s="619"/>
      <c r="L97" s="619"/>
      <c r="M97" s="619"/>
      <c r="N97" s="619"/>
      <c r="O97" s="619"/>
      <c r="P97" s="619"/>
    </row>
    <row r="98" spans="1:23" hidden="1" outlineLevel="1">
      <c r="A98" s="618" t="s">
        <v>227</v>
      </c>
      <c r="B98" s="618"/>
      <c r="C98" s="633">
        <f>C56</f>
        <v>5.2149999999999999</v>
      </c>
      <c r="D98" s="633">
        <f t="shared" ref="D98:J98" si="101">D56</f>
        <v>6.6719999999999997</v>
      </c>
      <c r="E98" s="633">
        <f t="shared" si="101"/>
        <v>13.896000000000001</v>
      </c>
      <c r="F98" s="633">
        <f t="shared" si="101"/>
        <v>18.827000000000002</v>
      </c>
      <c r="G98" s="633">
        <f t="shared" si="101"/>
        <v>11.382000000000001</v>
      </c>
      <c r="H98" s="633">
        <f t="shared" si="101"/>
        <v>1.5990000000000002</v>
      </c>
      <c r="I98" s="633">
        <f t="shared" si="101"/>
        <v>-3.3609999999999998</v>
      </c>
      <c r="J98" s="633">
        <f t="shared" si="101"/>
        <v>-3.577</v>
      </c>
      <c r="K98" s="633">
        <f t="shared" ref="K98:S98" si="102">K56</f>
        <v>-7.2879999999999994</v>
      </c>
      <c r="L98" s="633">
        <f t="shared" si="102"/>
        <v>-7.5460000000000003</v>
      </c>
      <c r="M98" s="633">
        <f t="shared" si="102"/>
        <v>-14.365</v>
      </c>
      <c r="N98" s="633">
        <f t="shared" ref="N98:P99" si="103">N56</f>
        <v>-18.248000000000001</v>
      </c>
      <c r="O98" s="633">
        <f t="shared" si="103"/>
        <v>-18.666</v>
      </c>
      <c r="P98" s="633">
        <f t="shared" si="103"/>
        <v>-16.888999999999999</v>
      </c>
      <c r="Q98" s="633">
        <f t="shared" si="102"/>
        <v>-16.436</v>
      </c>
      <c r="R98" s="633">
        <f t="shared" si="102"/>
        <v>-16.436</v>
      </c>
      <c r="S98" s="633">
        <f t="shared" si="102"/>
        <v>-16.436</v>
      </c>
      <c r="T98" s="633">
        <f t="shared" ref="T98" si="104">T56</f>
        <v>-16.436</v>
      </c>
    </row>
    <row r="99" spans="1:23" hidden="1" outlineLevel="1">
      <c r="A99" s="634" t="s">
        <v>52</v>
      </c>
      <c r="B99" s="618"/>
      <c r="C99" s="635">
        <f>C57</f>
        <v>4.49</v>
      </c>
      <c r="D99" s="635">
        <f t="shared" ref="D99:J99" si="105">D57</f>
        <v>5.5250000000000004</v>
      </c>
      <c r="E99" s="635">
        <f t="shared" si="105"/>
        <v>9.9830000000000005</v>
      </c>
      <c r="F99" s="635">
        <f t="shared" si="105"/>
        <v>11.702</v>
      </c>
      <c r="G99" s="635">
        <f t="shared" si="105"/>
        <v>8.7789999999999999</v>
      </c>
      <c r="H99" s="635">
        <f t="shared" si="105"/>
        <v>13.533999999999999</v>
      </c>
      <c r="I99" s="635">
        <f t="shared" si="105"/>
        <v>10.055</v>
      </c>
      <c r="J99" s="635">
        <f t="shared" si="105"/>
        <v>9.9690000000000012</v>
      </c>
      <c r="K99" s="635">
        <f t="shared" ref="K99:S99" si="106">K57</f>
        <v>19.332999999999998</v>
      </c>
      <c r="L99" s="635">
        <f t="shared" si="106"/>
        <v>23.073999999999998</v>
      </c>
      <c r="M99" s="635">
        <f t="shared" si="106"/>
        <v>15.224</v>
      </c>
      <c r="N99" s="635">
        <f t="shared" si="103"/>
        <v>8.652000000000001</v>
      </c>
      <c r="O99" s="635">
        <f t="shared" si="103"/>
        <v>13.93</v>
      </c>
      <c r="P99" s="635">
        <f t="shared" si="103"/>
        <v>16.207999999999998</v>
      </c>
      <c r="Q99" s="635">
        <f t="shared" si="106"/>
        <v>4</v>
      </c>
      <c r="R99" s="635">
        <f t="shared" si="106"/>
        <v>4</v>
      </c>
      <c r="S99" s="635">
        <f t="shared" si="106"/>
        <v>4</v>
      </c>
      <c r="T99" s="635">
        <f t="shared" ref="T99" si="107">T57</f>
        <v>4</v>
      </c>
    </row>
    <row r="100" spans="1:23" hidden="1" outlineLevel="1">
      <c r="A100" s="634" t="s">
        <v>228</v>
      </c>
      <c r="B100" s="618"/>
      <c r="C100" s="632">
        <f t="shared" ref="C100:L100" si="108">C96+C98+C99</f>
        <v>385.74999999999994</v>
      </c>
      <c r="D100" s="632">
        <f t="shared" si="108"/>
        <v>584.48900000000015</v>
      </c>
      <c r="E100" s="632">
        <f t="shared" si="108"/>
        <v>711.88499999999976</v>
      </c>
      <c r="F100" s="632">
        <f t="shared" si="108"/>
        <v>797.73700000000008</v>
      </c>
      <c r="G100" s="632">
        <f t="shared" si="108"/>
        <v>513.64400000000001</v>
      </c>
      <c r="H100" s="632">
        <f t="shared" si="108"/>
        <v>152.70999999999998</v>
      </c>
      <c r="I100" s="632">
        <f t="shared" si="108"/>
        <v>248.41599999999977</v>
      </c>
      <c r="J100" s="632">
        <f t="shared" si="108"/>
        <v>342.88800000000009</v>
      </c>
      <c r="K100" s="632">
        <f t="shared" si="108"/>
        <v>374.3450000000006</v>
      </c>
      <c r="L100" s="632">
        <f t="shared" si="108"/>
        <v>216.14999999999986</v>
      </c>
      <c r="M100" s="632">
        <f t="shared" ref="M100:R100" si="109">M96+M98+M99</f>
        <v>177.34800000000001</v>
      </c>
      <c r="N100" s="632">
        <f>N96+N98+N99</f>
        <v>118.24140000000034</v>
      </c>
      <c r="O100" s="632">
        <f>O96+O98+O99</f>
        <v>-15.404000000000121</v>
      </c>
      <c r="P100" s="632">
        <f>P96+P98+P99</f>
        <v>83.892000000000095</v>
      </c>
      <c r="Q100" s="632">
        <f t="shared" si="109"/>
        <v>-113.71744206138837</v>
      </c>
      <c r="R100" s="632">
        <f t="shared" si="109"/>
        <v>-186.11043704223025</v>
      </c>
      <c r="S100" s="632">
        <f>S96+S98+S99</f>
        <v>-270.89683337100615</v>
      </c>
      <c r="T100" s="632">
        <f>T96+T98+T99</f>
        <v>-263.58650003395661</v>
      </c>
    </row>
    <row r="101" spans="1:23" hidden="1" outlineLevel="1">
      <c r="A101" s="636"/>
      <c r="B101" s="636"/>
      <c r="C101" s="636"/>
      <c r="D101" s="636"/>
      <c r="E101" s="636"/>
      <c r="F101" s="636"/>
      <c r="G101" s="636"/>
      <c r="H101" s="636"/>
      <c r="I101" s="636"/>
      <c r="J101" s="636"/>
      <c r="K101" s="636"/>
      <c r="L101" s="636"/>
      <c r="M101" s="636"/>
      <c r="N101" s="636"/>
      <c r="O101" s="636"/>
      <c r="P101" s="636"/>
    </row>
    <row r="102" spans="1:23" collapsed="1">
      <c r="A102" s="618" t="s">
        <v>295</v>
      </c>
      <c r="B102" s="618"/>
      <c r="C102" s="633">
        <f>C19</f>
        <v>148.67599999999999</v>
      </c>
      <c r="D102" s="633">
        <f t="shared" ref="D102:J102" si="110">D19</f>
        <v>229.107</v>
      </c>
      <c r="E102" s="633">
        <f t="shared" si="110"/>
        <v>265.36099999999999</v>
      </c>
      <c r="F102" s="633">
        <f t="shared" si="110"/>
        <v>298.61</v>
      </c>
      <c r="G102" s="633">
        <f t="shared" si="110"/>
        <v>200.47399999999999</v>
      </c>
      <c r="H102" s="633">
        <f t="shared" si="110"/>
        <v>53.838000000000008</v>
      </c>
      <c r="I102" s="633">
        <f t="shared" si="110"/>
        <v>60.108999999999995</v>
      </c>
      <c r="J102" s="633">
        <f t="shared" si="110"/>
        <v>120.812</v>
      </c>
      <c r="K102" s="633">
        <f t="shared" ref="K102:P102" si="111">K19</f>
        <v>132.749</v>
      </c>
      <c r="L102" s="633">
        <f t="shared" si="111"/>
        <v>64.611999999999995</v>
      </c>
      <c r="M102" s="633">
        <f t="shared" si="111"/>
        <v>65.018999999999991</v>
      </c>
      <c r="N102" s="633">
        <f t="shared" si="111"/>
        <v>37.216999999999999</v>
      </c>
      <c r="O102" s="633">
        <f t="shared" si="111"/>
        <v>-15.096</v>
      </c>
      <c r="P102" s="633">
        <f t="shared" si="111"/>
        <v>35.455999999999996</v>
      </c>
      <c r="Q102" s="633">
        <f>Q100*Q116</f>
        <v>-58.624694544260869</v>
      </c>
      <c r="R102" s="633">
        <f>R100*R116</f>
        <v>-50.249818001402168</v>
      </c>
      <c r="S102" s="633">
        <f>S100*S116</f>
        <v>-73.14214501017166</v>
      </c>
      <c r="T102" s="633">
        <f>T100*T116</f>
        <v>-71.168355009168295</v>
      </c>
    </row>
    <row r="103" spans="1:23" hidden="1" outlineLevel="1">
      <c r="A103" s="618"/>
      <c r="B103" s="618"/>
      <c r="C103" s="619"/>
      <c r="D103" s="619"/>
      <c r="E103" s="619"/>
      <c r="F103" s="619"/>
      <c r="G103" s="619"/>
      <c r="H103" s="619"/>
      <c r="I103" s="619"/>
      <c r="J103" s="619"/>
      <c r="K103" s="619"/>
      <c r="L103" s="619"/>
      <c r="M103" s="619"/>
      <c r="N103" s="619"/>
      <c r="O103" s="619"/>
      <c r="P103" s="619"/>
      <c r="U103" s="707"/>
      <c r="V103" s="702"/>
      <c r="W103" s="702"/>
    </row>
    <row r="104" spans="1:23" hidden="1" outlineLevel="1">
      <c r="A104" s="618" t="s">
        <v>229</v>
      </c>
      <c r="B104" s="618"/>
      <c r="C104" s="637">
        <f>C100-C102</f>
        <v>237.07399999999996</v>
      </c>
      <c r="D104" s="637">
        <f t="shared" ref="D104:J104" si="112">D100-D102</f>
        <v>355.38200000000018</v>
      </c>
      <c r="E104" s="637">
        <f t="shared" si="112"/>
        <v>446.52399999999977</v>
      </c>
      <c r="F104" s="637">
        <f t="shared" si="112"/>
        <v>499.12700000000007</v>
      </c>
      <c r="G104" s="637">
        <f t="shared" si="112"/>
        <v>313.17</v>
      </c>
      <c r="H104" s="637">
        <f t="shared" si="112"/>
        <v>98.871999999999971</v>
      </c>
      <c r="I104" s="637">
        <f t="shared" si="112"/>
        <v>188.30699999999979</v>
      </c>
      <c r="J104" s="637">
        <f t="shared" si="112"/>
        <v>222.07600000000008</v>
      </c>
      <c r="K104" s="637">
        <f t="shared" ref="K104:P104" si="113">K100-K102</f>
        <v>241.5960000000006</v>
      </c>
      <c r="L104" s="637">
        <f t="shared" si="113"/>
        <v>151.53799999999987</v>
      </c>
      <c r="M104" s="637">
        <f t="shared" si="113"/>
        <v>112.32900000000002</v>
      </c>
      <c r="N104" s="637">
        <f t="shared" si="113"/>
        <v>81.024400000000341</v>
      </c>
      <c r="O104" s="637">
        <f t="shared" si="113"/>
        <v>-0.30800000000012062</v>
      </c>
      <c r="P104" s="637">
        <f t="shared" si="113"/>
        <v>48.436000000000099</v>
      </c>
      <c r="Q104" s="637">
        <f>Q100-Q102-Q105</f>
        <v>-58.523747517127497</v>
      </c>
      <c r="R104" s="637">
        <f>R100-R102-R105</f>
        <v>-139.2916190408281</v>
      </c>
      <c r="S104" s="637">
        <f>S100-S102-S105</f>
        <v>-201.18568836083452</v>
      </c>
      <c r="T104" s="637">
        <f>T100-T102-T105</f>
        <v>-195.84914502478833</v>
      </c>
    </row>
    <row r="105" spans="1:23" hidden="1" outlineLevel="1">
      <c r="A105" s="620" t="s">
        <v>1430</v>
      </c>
      <c r="B105" s="620"/>
      <c r="C105" s="622"/>
      <c r="D105" s="622"/>
      <c r="E105" s="622"/>
      <c r="F105" s="622"/>
      <c r="G105" s="622"/>
      <c r="H105" s="622"/>
      <c r="I105" s="622"/>
      <c r="J105" s="622"/>
      <c r="K105" s="622"/>
      <c r="L105" s="622"/>
      <c r="M105" s="623">
        <f t="shared" ref="M105:S105" si="114">M63</f>
        <v>0</v>
      </c>
      <c r="N105" s="623">
        <f t="shared" si="114"/>
        <v>2.9829999999999997</v>
      </c>
      <c r="O105" s="623">
        <f t="shared" si="114"/>
        <v>3.7620000000000005</v>
      </c>
      <c r="P105" s="623">
        <f t="shared" ref="P105" si="115">P63</f>
        <v>3.431</v>
      </c>
      <c r="Q105" s="623">
        <f t="shared" si="114"/>
        <v>3.431</v>
      </c>
      <c r="R105" s="623">
        <f t="shared" si="114"/>
        <v>3.431</v>
      </c>
      <c r="S105" s="623">
        <f t="shared" si="114"/>
        <v>3.431</v>
      </c>
      <c r="T105" s="623">
        <f t="shared" ref="T105" si="116">T63</f>
        <v>3.431</v>
      </c>
    </row>
    <row r="106" spans="1:23" hidden="1" outlineLevel="1">
      <c r="A106" s="618"/>
      <c r="B106" s="618"/>
      <c r="C106" s="619"/>
      <c r="D106" s="619"/>
      <c r="E106" s="619"/>
      <c r="F106" s="619"/>
      <c r="G106" s="619"/>
      <c r="H106" s="619"/>
      <c r="I106" s="619"/>
      <c r="J106" s="619"/>
      <c r="K106" s="619"/>
      <c r="L106" s="619"/>
      <c r="M106" s="619"/>
      <c r="N106" s="619"/>
      <c r="O106" s="619"/>
      <c r="P106" s="619"/>
      <c r="U106" t="s">
        <v>746</v>
      </c>
      <c r="V106" t="s">
        <v>747</v>
      </c>
      <c r="W106" t="s">
        <v>748</v>
      </c>
    </row>
    <row r="107" spans="1:23" collapsed="1">
      <c r="A107" s="626" t="s">
        <v>412</v>
      </c>
      <c r="B107" s="626"/>
      <c r="C107" s="627">
        <f t="shared" ref="C107:J107" si="117">C104/C108</f>
        <v>2.4926295867942376</v>
      </c>
      <c r="D107" s="627">
        <f t="shared" si="117"/>
        <v>3.8958353887810939</v>
      </c>
      <c r="E107" s="627">
        <f t="shared" si="117"/>
        <v>4.8529942397565451</v>
      </c>
      <c r="F107" s="627">
        <f t="shared" si="117"/>
        <v>5.4535690482173891</v>
      </c>
      <c r="G107" s="627">
        <f t="shared" si="117"/>
        <v>3.5072963680550115</v>
      </c>
      <c r="H107" s="627">
        <f t="shared" si="117"/>
        <v>1.1158234490853072</v>
      </c>
      <c r="I107" s="627">
        <f t="shared" si="117"/>
        <v>2.0957696631089227</v>
      </c>
      <c r="J107" s="627">
        <f t="shared" si="117"/>
        <v>2.4802707260685533</v>
      </c>
      <c r="K107" s="627">
        <f t="shared" ref="K107:S107" si="118">(K104-K105)/K108</f>
        <v>2.9046621440873408</v>
      </c>
      <c r="L107" s="627">
        <f t="shared" si="118"/>
        <v>1.914180329939619</v>
      </c>
      <c r="M107" s="627">
        <f t="shared" si="118"/>
        <v>1.5400825369839728</v>
      </c>
      <c r="N107" s="627">
        <f t="shared" si="118"/>
        <v>1.1242404598297295</v>
      </c>
      <c r="O107" s="627">
        <f t="shared" si="118"/>
        <v>-5.9604006795151439E-2</v>
      </c>
      <c r="P107" s="627">
        <f t="shared" ref="P107" si="119">(P104-P105)/P108</f>
        <v>0.64845900033139925</v>
      </c>
      <c r="Q107" s="627">
        <f t="shared" si="118"/>
        <v>-0.87236248519248238</v>
      </c>
      <c r="R107" s="627">
        <f t="shared" si="118"/>
        <v>-1.9834431541174329</v>
      </c>
      <c r="S107" s="627">
        <f t="shared" si="118"/>
        <v>-2.823974058556586</v>
      </c>
      <c r="T107" s="627">
        <f t="shared" ref="T107" si="120">(T104-T105)/T108</f>
        <v>-2.7314739507489119</v>
      </c>
      <c r="U107" s="707">
        <v>12</v>
      </c>
      <c r="V107" s="702">
        <f>N107</f>
        <v>1.1242404598297295</v>
      </c>
      <c r="W107" s="702">
        <f>U107*V107</f>
        <v>13.490885517956755</v>
      </c>
    </row>
    <row r="108" spans="1:23">
      <c r="A108" s="618" t="s">
        <v>230</v>
      </c>
      <c r="B108" s="618"/>
      <c r="C108" s="633">
        <f>C66</f>
        <v>95.11</v>
      </c>
      <c r="D108" s="633">
        <f t="shared" ref="D108:J108" si="121">D66</f>
        <v>91.221000000000004</v>
      </c>
      <c r="E108" s="633">
        <f t="shared" si="121"/>
        <v>92.01</v>
      </c>
      <c r="F108" s="633">
        <f t="shared" si="121"/>
        <v>91.522999999999996</v>
      </c>
      <c r="G108" s="633">
        <f t="shared" si="121"/>
        <v>89.290999999999997</v>
      </c>
      <c r="H108" s="633">
        <f t="shared" si="121"/>
        <v>88.608999999999995</v>
      </c>
      <c r="I108" s="633">
        <f t="shared" si="121"/>
        <v>89.850999999999999</v>
      </c>
      <c r="J108" s="633">
        <f t="shared" si="121"/>
        <v>89.537000000000006</v>
      </c>
      <c r="K108" s="633">
        <f t="shared" ref="K108:P108" si="122">K66</f>
        <v>83.175250000000005</v>
      </c>
      <c r="L108" s="633">
        <f t="shared" si="122"/>
        <v>79.165999999999997</v>
      </c>
      <c r="M108" s="633">
        <f t="shared" si="122"/>
        <v>72.936999999999998</v>
      </c>
      <c r="N108" s="633">
        <f t="shared" si="122"/>
        <v>69.417000000000002</v>
      </c>
      <c r="O108" s="633">
        <f t="shared" si="122"/>
        <v>68.284000000000006</v>
      </c>
      <c r="P108" s="633">
        <f t="shared" si="122"/>
        <v>69.403000000000006</v>
      </c>
      <c r="Q108" s="633">
        <f>Q26</f>
        <v>71.019499999999994</v>
      </c>
      <c r="R108" s="633">
        <f>R26</f>
        <v>71.956999999999994</v>
      </c>
      <c r="S108" s="633">
        <f>S26</f>
        <v>72.456999999999994</v>
      </c>
      <c r="T108" s="633">
        <f>T26</f>
        <v>72.956999999999994</v>
      </c>
    </row>
    <row r="109" spans="1:23" outlineLevel="1">
      <c r="A109" s="618"/>
      <c r="B109" s="618"/>
      <c r="C109" s="619"/>
      <c r="D109" s="619"/>
      <c r="E109" s="619"/>
      <c r="F109" s="619"/>
      <c r="G109" s="619"/>
      <c r="H109" s="619"/>
      <c r="I109" s="619"/>
      <c r="J109" s="619"/>
      <c r="K109" s="619"/>
      <c r="L109" s="619"/>
      <c r="M109" s="619"/>
      <c r="N109" s="619"/>
      <c r="O109" s="619"/>
      <c r="P109" s="619"/>
    </row>
    <row r="110" spans="1:23" outlineLevel="1">
      <c r="A110" s="618" t="s">
        <v>274</v>
      </c>
      <c r="B110" s="618"/>
      <c r="C110" s="637">
        <f t="shared" ref="C110:J110" si="123">C96+C95</f>
        <v>481.85899999999992</v>
      </c>
      <c r="D110" s="637">
        <f t="shared" si="123"/>
        <v>696.49800000000016</v>
      </c>
      <c r="E110" s="637">
        <f t="shared" si="123"/>
        <v>834.16199999999981</v>
      </c>
      <c r="F110" s="637">
        <f t="shared" si="123"/>
        <v>950.92400000000009</v>
      </c>
      <c r="G110" s="637">
        <f t="shared" si="123"/>
        <v>718.81700000000001</v>
      </c>
      <c r="H110" s="637">
        <f t="shared" si="123"/>
        <v>376.32900000000001</v>
      </c>
      <c r="I110" s="637">
        <f t="shared" si="123"/>
        <v>470.87499999999977</v>
      </c>
      <c r="J110" s="637">
        <f t="shared" si="123"/>
        <v>569.45200000000011</v>
      </c>
      <c r="K110" s="637">
        <f t="shared" ref="K110:T110" si="124">K96+K95</f>
        <v>586.54500000000064</v>
      </c>
      <c r="L110" s="637">
        <f t="shared" si="124"/>
        <v>435.86199999999985</v>
      </c>
      <c r="M110" s="637">
        <f t="shared" si="124"/>
        <v>402.91</v>
      </c>
      <c r="N110" s="637">
        <f t="shared" si="124"/>
        <v>341.51740000000035</v>
      </c>
      <c r="O110" s="637">
        <f t="shared" si="124"/>
        <v>184.74599999999987</v>
      </c>
      <c r="P110" s="637">
        <f t="shared" si="124"/>
        <v>276.72000000000008</v>
      </c>
      <c r="Q110" s="637">
        <f t="shared" si="124"/>
        <v>78.718557938611639</v>
      </c>
      <c r="R110" s="637">
        <f t="shared" si="124"/>
        <v>1.3782522047950181</v>
      </c>
      <c r="S110" s="637">
        <f t="shared" si="124"/>
        <v>-91.307964462028082</v>
      </c>
      <c r="T110" s="637">
        <f t="shared" si="124"/>
        <v>-92.118174212565492</v>
      </c>
    </row>
    <row r="111" spans="1:23">
      <c r="A111" s="618"/>
      <c r="B111" s="618"/>
      <c r="C111" s="619"/>
      <c r="D111" s="619"/>
      <c r="E111" s="619"/>
      <c r="F111" s="619"/>
      <c r="G111" s="619"/>
      <c r="H111" s="619"/>
      <c r="I111" s="619"/>
      <c r="J111" s="619"/>
      <c r="K111" s="619"/>
      <c r="L111" s="619"/>
      <c r="M111" s="619"/>
      <c r="N111" s="619"/>
      <c r="O111" s="619"/>
      <c r="P111" s="619"/>
    </row>
    <row r="112" spans="1:23">
      <c r="A112" s="638" t="s">
        <v>299</v>
      </c>
      <c r="B112" s="618"/>
      <c r="C112" s="619"/>
      <c r="D112" s="619"/>
      <c r="E112" s="619"/>
      <c r="F112" s="619"/>
      <c r="G112" s="619"/>
      <c r="H112" s="619"/>
      <c r="I112" s="619"/>
      <c r="J112" s="619"/>
      <c r="K112" s="619"/>
      <c r="L112" s="619"/>
      <c r="M112" s="619"/>
      <c r="N112" s="619"/>
      <c r="O112" s="619"/>
      <c r="P112" s="619"/>
    </row>
    <row r="113" spans="1:20">
      <c r="A113" s="618" t="s">
        <v>276</v>
      </c>
      <c r="B113" s="618"/>
      <c r="C113" s="639">
        <f t="shared" ref="C113:J113" si="125">C93/C89</f>
        <v>0.66356083896432605</v>
      </c>
      <c r="D113" s="639">
        <f t="shared" si="125"/>
        <v>0.66982483696775197</v>
      </c>
      <c r="E113" s="639">
        <f t="shared" si="125"/>
        <v>0.67008193227159563</v>
      </c>
      <c r="F113" s="639">
        <f t="shared" si="125"/>
        <v>0.67253982532430046</v>
      </c>
      <c r="G113" s="639">
        <f t="shared" si="125"/>
        <v>0.6690745874708709</v>
      </c>
      <c r="H113" s="639">
        <f t="shared" si="125"/>
        <v>0.6431673566946946</v>
      </c>
      <c r="I113" s="639">
        <f t="shared" si="125"/>
        <v>0.63925373099906135</v>
      </c>
      <c r="J113" s="639">
        <f t="shared" si="125"/>
        <v>0.61332093010727606</v>
      </c>
      <c r="K113" s="639">
        <f t="shared" ref="K113:P113" si="126">K93/K89</f>
        <v>0.62443599313204634</v>
      </c>
      <c r="L113" s="639">
        <f t="shared" si="126"/>
        <v>0.62557673898569721</v>
      </c>
      <c r="M113" s="639">
        <f t="shared" si="126"/>
        <v>0.61793575371992204</v>
      </c>
      <c r="N113" s="639">
        <f t="shared" si="126"/>
        <v>0.61903611581615847</v>
      </c>
      <c r="O113" s="639">
        <f t="shared" si="126"/>
        <v>0.60977653799214848</v>
      </c>
      <c r="P113" s="639">
        <f t="shared" si="126"/>
        <v>0.5966295319653333</v>
      </c>
      <c r="Q113" s="641">
        <f>Q31-1.1%</f>
        <v>0.58407168181159408</v>
      </c>
      <c r="R113" s="641">
        <f>R31-1.5%</f>
        <v>0.58099999999999996</v>
      </c>
      <c r="S113" s="641">
        <f>S31-1.6%</f>
        <v>0.57899999999999996</v>
      </c>
      <c r="T113" s="641">
        <f>T31-1.6%</f>
        <v>0.57820000000000005</v>
      </c>
    </row>
    <row r="114" spans="1:20">
      <c r="A114" s="618" t="s">
        <v>301</v>
      </c>
      <c r="B114" s="618"/>
      <c r="C114" s="639">
        <f t="shared" ref="C114:J114" si="127">C94/C89</f>
        <v>0.47751544338316709</v>
      </c>
      <c r="D114" s="639">
        <f t="shared" si="127"/>
        <v>0.46308419587856786</v>
      </c>
      <c r="E114" s="639">
        <f t="shared" si="127"/>
        <v>0.46059072351786268</v>
      </c>
      <c r="F114" s="639">
        <f t="shared" si="127"/>
        <v>0.46516703174565421</v>
      </c>
      <c r="G114" s="639">
        <f t="shared" si="127"/>
        <v>0.5274342526543051</v>
      </c>
      <c r="H114" s="639">
        <f t="shared" si="127"/>
        <v>0.59619070382858852</v>
      </c>
      <c r="I114" s="639">
        <f t="shared" si="127"/>
        <v>0.56956863170178762</v>
      </c>
      <c r="J114" s="639">
        <f t="shared" si="127"/>
        <v>0.53239469002115891</v>
      </c>
      <c r="K114" s="639">
        <f t="shared" ref="K114:P114" si="128">K94/K89</f>
        <v>0.54411773508276229</v>
      </c>
      <c r="L114" s="639">
        <f t="shared" si="128"/>
        <v>0.57684537650565471</v>
      </c>
      <c r="M114" s="639">
        <f t="shared" si="128"/>
        <v>0.57079697545158559</v>
      </c>
      <c r="N114" s="639">
        <f t="shared" si="128"/>
        <v>0.58270504848409066</v>
      </c>
      <c r="O114" s="639">
        <f t="shared" si="128"/>
        <v>0.61298328092967891</v>
      </c>
      <c r="P114" s="639">
        <f t="shared" si="128"/>
        <v>0.57241524441046876</v>
      </c>
      <c r="Q114" s="641">
        <f>Q32+0.035</f>
        <v>0.61395018131218648</v>
      </c>
      <c r="R114" s="641">
        <f>R32+0.053</f>
        <v>0.63419999999999999</v>
      </c>
      <c r="S114" s="641">
        <f>S32+0.08</f>
        <v>0.66149999999999998</v>
      </c>
      <c r="T114" s="641">
        <f>T32+0.08</f>
        <v>0.66189999999999993</v>
      </c>
    </row>
    <row r="115" spans="1:20">
      <c r="A115" s="618" t="s">
        <v>278</v>
      </c>
      <c r="B115" s="618"/>
      <c r="C115" s="639">
        <f t="shared" ref="C115:J115" si="129">C96/C89</f>
        <v>0.18604539558115901</v>
      </c>
      <c r="D115" s="639">
        <f t="shared" si="129"/>
        <v>0.20674064108918405</v>
      </c>
      <c r="E115" s="639">
        <f t="shared" si="129"/>
        <v>0.209491208753733</v>
      </c>
      <c r="F115" s="639">
        <f t="shared" si="129"/>
        <v>0.20737279357864627</v>
      </c>
      <c r="G115" s="639">
        <f t="shared" si="129"/>
        <v>0.14164033481656585</v>
      </c>
      <c r="H115" s="639">
        <f t="shared" si="129"/>
        <v>4.6976652866106104E-2</v>
      </c>
      <c r="I115" s="639">
        <f t="shared" si="129"/>
        <v>6.9685099297273664E-2</v>
      </c>
      <c r="J115" s="639">
        <f t="shared" si="129"/>
        <v>8.0926240086117152E-2</v>
      </c>
      <c r="K115" s="639">
        <f t="shared" ref="K115:Q115" si="130">K96/K89</f>
        <v>8.0318258049284025E-2</v>
      </c>
      <c r="L115" s="639">
        <f t="shared" si="130"/>
        <v>4.8731362480042575E-2</v>
      </c>
      <c r="M115" s="639">
        <f t="shared" si="130"/>
        <v>4.713877826833654E-2</v>
      </c>
      <c r="N115" s="639">
        <f>N96/N89</f>
        <v>3.6331067332067798E-2</v>
      </c>
      <c r="O115" s="639">
        <f>O96/O89</f>
        <v>-3.2067429375304715E-3</v>
      </c>
      <c r="P115" s="639">
        <f>P96/P89</f>
        <v>2.4214287554864614E-2</v>
      </c>
      <c r="Q115" s="719">
        <f t="shared" si="130"/>
        <v>-2.9878499500592421E-2</v>
      </c>
      <c r="R115" s="719">
        <f>R96/R89</f>
        <v>-5.3200000000000081E-2</v>
      </c>
      <c r="S115" s="719">
        <f>S96/S89</f>
        <v>-8.2499999999999948E-2</v>
      </c>
      <c r="T115" s="719">
        <f>T96/T89</f>
        <v>-8.3699999999999927E-2</v>
      </c>
    </row>
    <row r="116" spans="1:20">
      <c r="A116" s="618" t="s">
        <v>303</v>
      </c>
      <c r="B116" s="618"/>
      <c r="C116" s="639">
        <f>C102/C100</f>
        <v>0.38542060920285159</v>
      </c>
      <c r="D116" s="639">
        <f t="shared" ref="D116:J116" si="131">D102/D100</f>
        <v>0.39197829214921059</v>
      </c>
      <c r="E116" s="639">
        <f t="shared" si="131"/>
        <v>0.37275824044613959</v>
      </c>
      <c r="F116" s="639">
        <f t="shared" si="131"/>
        <v>0.37432136155148876</v>
      </c>
      <c r="G116" s="639">
        <f t="shared" si="131"/>
        <v>0.39029756017786638</v>
      </c>
      <c r="H116" s="639">
        <f t="shared" si="131"/>
        <v>0.35255058607818751</v>
      </c>
      <c r="I116" s="639">
        <f t="shared" si="131"/>
        <v>0.24196911632101012</v>
      </c>
      <c r="J116" s="639">
        <f t="shared" si="131"/>
        <v>0.35233662303725988</v>
      </c>
      <c r="K116" s="639">
        <f t="shared" ref="K116:P116" si="132">K102/K100</f>
        <v>0.35461673055603732</v>
      </c>
      <c r="L116" s="639">
        <f t="shared" si="132"/>
        <v>0.29892204487624352</v>
      </c>
      <c r="M116" s="639">
        <f t="shared" si="132"/>
        <v>0.36661817443670064</v>
      </c>
      <c r="N116" s="639">
        <f t="shared" si="132"/>
        <v>0.31475439228561142</v>
      </c>
      <c r="O116" s="639">
        <f t="shared" si="132"/>
        <v>0.98000519345623749</v>
      </c>
      <c r="P116" s="639">
        <f t="shared" si="132"/>
        <v>0.42263863062032081</v>
      </c>
      <c r="Q116" s="641">
        <f>Q34</f>
        <v>0.51552948678368404</v>
      </c>
      <c r="R116" s="641">
        <f>R34</f>
        <v>0.27</v>
      </c>
      <c r="S116" s="641">
        <f>S34</f>
        <v>0.27</v>
      </c>
      <c r="T116" s="641">
        <f>T34</f>
        <v>0.27</v>
      </c>
    </row>
    <row r="117" spans="1:20">
      <c r="A117" s="618"/>
      <c r="B117" s="618"/>
      <c r="C117" s="619"/>
      <c r="D117" s="619"/>
      <c r="E117" s="619"/>
      <c r="F117" s="619"/>
      <c r="G117" s="619"/>
      <c r="H117" s="619"/>
      <c r="I117" s="619"/>
      <c r="J117" s="619"/>
      <c r="K117" s="619"/>
      <c r="L117" s="619"/>
      <c r="M117" s="619"/>
      <c r="N117" s="619"/>
      <c r="O117" s="619"/>
      <c r="P117">
        <f>P94-O94</f>
        <v>-39.966999999999871</v>
      </c>
      <c r="Q117">
        <f>Q94-P94</f>
        <v>81.885032380915845</v>
      </c>
      <c r="R117">
        <f>R94-Q94</f>
        <v>-10.771927640647846</v>
      </c>
      <c r="S117">
        <f>S94-R94</f>
        <v>2.0038501072554027</v>
      </c>
      <c r="T117" s="2197">
        <f>T94-S94</f>
        <v>-86.28660033765459</v>
      </c>
    </row>
    <row r="118" spans="1:20">
      <c r="A118" s="638" t="s">
        <v>304</v>
      </c>
      <c r="B118" s="618"/>
      <c r="C118" s="619"/>
      <c r="D118" s="619"/>
      <c r="E118" s="619"/>
      <c r="F118" s="619"/>
      <c r="G118" s="619"/>
      <c r="H118" s="619"/>
      <c r="I118" s="619"/>
      <c r="J118" s="619"/>
      <c r="K118" s="619"/>
      <c r="L118" s="619"/>
      <c r="M118" s="619"/>
      <c r="N118" s="619"/>
      <c r="O118" s="619"/>
    </row>
    <row r="119" spans="1:20">
      <c r="A119" s="618" t="s">
        <v>145</v>
      </c>
      <c r="B119" s="618"/>
      <c r="C119" s="640" t="s">
        <v>251</v>
      </c>
      <c r="D119" s="639">
        <f t="shared" ref="D119:O119" si="133">((D89/C89)-1)</f>
        <v>0.36952802567119236</v>
      </c>
      <c r="E119" s="639">
        <f t="shared" si="133"/>
        <v>0.18640947573915412</v>
      </c>
      <c r="F119" s="639">
        <f t="shared" si="133"/>
        <v>0.12650966330671687</v>
      </c>
      <c r="G119" s="639">
        <f t="shared" si="133"/>
        <v>-5.8275418038866378E-2</v>
      </c>
      <c r="H119" s="639">
        <f t="shared" si="133"/>
        <v>-0.1594210427670959</v>
      </c>
      <c r="I119" s="639">
        <f t="shared" si="133"/>
        <v>0.18443843100431079</v>
      </c>
      <c r="J119" s="639">
        <f t="shared" si="133"/>
        <v>0.19871043849473136</v>
      </c>
      <c r="K119" s="639">
        <f t="shared" si="133"/>
        <v>8.4834554977347709E-2</v>
      </c>
      <c r="L119" s="639">
        <f t="shared" si="133"/>
        <v>-8.7325433043547784E-2</v>
      </c>
      <c r="M119" s="639">
        <f t="shared" si="133"/>
        <v>-9.0569912242157158E-2</v>
      </c>
      <c r="N119" s="639">
        <f t="shared" si="133"/>
        <v>-6.0189154467245043E-2</v>
      </c>
      <c r="O119" s="639">
        <f t="shared" si="133"/>
        <v>-5.454886491525246E-2</v>
      </c>
      <c r="P119" s="639">
        <f>P120+P126</f>
        <v>2.4883669899060344E-2</v>
      </c>
      <c r="Q119" s="639">
        <f>Q120+Q126</f>
        <v>-2.9465334495252876E-2</v>
      </c>
      <c r="R119" s="639">
        <f>R120+R126</f>
        <v>-3.6940378058286615E-2</v>
      </c>
      <c r="S119" s="639">
        <f>S120+S126</f>
        <v>-4.0341920029118482E-2</v>
      </c>
      <c r="T119" s="639">
        <f>T120+T126</f>
        <v>-4.22155156337016E-2</v>
      </c>
    </row>
    <row r="120" spans="1:20">
      <c r="A120" s="618" t="s">
        <v>231</v>
      </c>
      <c r="B120" s="618"/>
      <c r="C120" s="643">
        <f>C38</f>
        <v>0.02</v>
      </c>
      <c r="D120" s="643">
        <f t="shared" ref="D120:J120" si="134">D38</f>
        <v>0.26</v>
      </c>
      <c r="E120" s="643">
        <f t="shared" si="134"/>
        <v>0.02</v>
      </c>
      <c r="F120" s="643">
        <f t="shared" si="134"/>
        <v>-0.01</v>
      </c>
      <c r="G120" s="643">
        <f t="shared" si="134"/>
        <v>-0.13</v>
      </c>
      <c r="H120" s="643">
        <f t="shared" si="134"/>
        <v>-0.23</v>
      </c>
      <c r="I120" s="643">
        <f t="shared" si="134"/>
        <v>3.076657134320715E-2</v>
      </c>
      <c r="J120" s="643">
        <f t="shared" si="134"/>
        <v>7.4777962024644984E-3</v>
      </c>
      <c r="K120" s="643">
        <f>K38</f>
        <v>-4.9657853905901835E-2</v>
      </c>
      <c r="L120" s="643">
        <f>L38</f>
        <v>-0.11</v>
      </c>
      <c r="M120" s="643">
        <f>M38</f>
        <v>-7.9683968878454511E-2</v>
      </c>
      <c r="N120" s="643">
        <f>N38</f>
        <v>-0.03</v>
      </c>
      <c r="O120" s="643">
        <f>O38</f>
        <v>-0.05</v>
      </c>
      <c r="P120" s="2168">
        <f>P38-2%</f>
        <v>9.9999999999999985E-3</v>
      </c>
      <c r="Q120" s="2168">
        <v>-0.03</v>
      </c>
      <c r="R120" s="2168">
        <f>R38-3%</f>
        <v>-4.1958268990164395E-2</v>
      </c>
      <c r="S120" s="2168">
        <f>S38-3%</f>
        <v>-4.1688112704915715E-2</v>
      </c>
      <c r="T120" s="2168">
        <f>T38-3%</f>
        <v>-4.1378564297995205E-2</v>
      </c>
    </row>
    <row r="121" spans="1:20">
      <c r="A121" s="618" t="s">
        <v>292</v>
      </c>
      <c r="B121" s="618"/>
      <c r="C121" s="640" t="s">
        <v>251</v>
      </c>
      <c r="D121" s="639">
        <f t="shared" ref="D121:O121" si="135">((D94/C94)-1)</f>
        <v>0.32813879276404401</v>
      </c>
      <c r="E121" s="639">
        <f t="shared" si="135"/>
        <v>0.1800212654254294</v>
      </c>
      <c r="F121" s="639">
        <f t="shared" si="135"/>
        <v>0.13770236688854931</v>
      </c>
      <c r="G121" s="639">
        <f t="shared" si="135"/>
        <v>6.7783757651261656E-2</v>
      </c>
      <c r="H121" s="639">
        <f t="shared" si="135"/>
        <v>-4.9842975471957929E-2</v>
      </c>
      <c r="I121" s="639">
        <f t="shared" si="135"/>
        <v>0.13154896939838578</v>
      </c>
      <c r="J121" s="639">
        <f t="shared" si="135"/>
        <v>0.12047440256799336</v>
      </c>
      <c r="K121" s="639">
        <f t="shared" si="135"/>
        <v>0.10872202908397033</v>
      </c>
      <c r="L121" s="639">
        <f t="shared" si="135"/>
        <v>-3.2429802856817846E-2</v>
      </c>
      <c r="M121" s="639">
        <f t="shared" si="135"/>
        <v>-0.10010556620668676</v>
      </c>
      <c r="N121" s="639">
        <f t="shared" si="135"/>
        <v>-4.058264520624133E-2</v>
      </c>
      <c r="O121" s="639">
        <f t="shared" si="135"/>
        <v>-5.4217991578621172E-3</v>
      </c>
      <c r="P121" s="639">
        <f>((P94/O94)-1)</f>
        <v>-1.959900668681791E-2</v>
      </c>
      <c r="Q121" s="639">
        <f>((Q94/P94)-1)</f>
        <v>4.0957486151646405E-2</v>
      </c>
      <c r="R121" s="639">
        <f>((R94/Q94)-1)</f>
        <v>-5.1759396339945418E-3</v>
      </c>
      <c r="S121" s="639">
        <f>((S94/R94)-1)</f>
        <v>9.6786487029021373E-4</v>
      </c>
      <c r="T121" s="639">
        <f>((T94/S94)-1)</f>
        <v>-4.1636356459481605E-2</v>
      </c>
    </row>
    <row r="122" spans="1:20">
      <c r="A122" s="618" t="s">
        <v>307</v>
      </c>
      <c r="B122" s="618"/>
      <c r="C122" s="640" t="s">
        <v>251</v>
      </c>
      <c r="D122" s="639">
        <f t="shared" ref="D122:O122" si="136">((D96/C96)-1)</f>
        <v>0.52187105266656975</v>
      </c>
      <c r="E122" s="639">
        <f t="shared" si="136"/>
        <v>0.20219398488883233</v>
      </c>
      <c r="F122" s="639">
        <f t="shared" si="136"/>
        <v>0.11511818210887736</v>
      </c>
      <c r="G122" s="639">
        <f t="shared" si="136"/>
        <v>-0.35678069050374883</v>
      </c>
      <c r="H122" s="639">
        <f t="shared" si="136"/>
        <v>-0.72121228086884448</v>
      </c>
      <c r="I122" s="639">
        <f t="shared" si="136"/>
        <v>0.75699426502976341</v>
      </c>
      <c r="J122" s="639">
        <f t="shared" si="136"/>
        <v>0.3920785034047396</v>
      </c>
      <c r="K122" s="639">
        <f t="shared" si="136"/>
        <v>7.6684418239742813E-2</v>
      </c>
      <c r="L122" s="639">
        <f t="shared" si="136"/>
        <v>-0.44625448523323352</v>
      </c>
      <c r="M122" s="639">
        <f t="shared" si="136"/>
        <v>-0.12029089531556769</v>
      </c>
      <c r="N122" s="639">
        <f t="shared" si="136"/>
        <v>-0.27566363909365277</v>
      </c>
      <c r="O122" s="639">
        <f t="shared" si="136"/>
        <v>-1.0834497572697825</v>
      </c>
      <c r="P122" s="639">
        <f>((P96/O96)-1)</f>
        <v>-8.9277277840269171</v>
      </c>
      <c r="Q122" s="639">
        <f>((Q96/P96)-1)</f>
        <v>-2.1975623669656779</v>
      </c>
      <c r="R122" s="639">
        <f>((R96/Q96)-1)</f>
        <v>0.71477057896710527</v>
      </c>
      <c r="S122" s="639">
        <f>((S96/R96)-1)</f>
        <v>0.48819157138341263</v>
      </c>
      <c r="T122" s="639">
        <f>((T96/S96)-1)</f>
        <v>-2.8284104952010169E-2</v>
      </c>
    </row>
    <row r="123" spans="1:20">
      <c r="A123" s="618" t="s">
        <v>308</v>
      </c>
      <c r="B123" s="618"/>
      <c r="C123" s="640" t="s">
        <v>251</v>
      </c>
      <c r="D123" s="639">
        <f t="shared" ref="D123:O123" si="137">((D107/C107)-1)</f>
        <v>0.5629419667570883</v>
      </c>
      <c r="E123" s="639">
        <f t="shared" si="137"/>
        <v>0.24568770378024651</v>
      </c>
      <c r="F123" s="639">
        <f t="shared" si="137"/>
        <v>0.12375345586459474</v>
      </c>
      <c r="G123" s="639">
        <f t="shared" si="137"/>
        <v>-0.35688054244010292</v>
      </c>
      <c r="H123" s="639">
        <f t="shared" si="137"/>
        <v>-0.68185652651187478</v>
      </c>
      <c r="I123" s="639">
        <f t="shared" si="137"/>
        <v>0.87822694067499962</v>
      </c>
      <c r="J123" s="639">
        <f t="shared" si="137"/>
        <v>0.18346532528257486</v>
      </c>
      <c r="K123" s="639">
        <f t="shared" si="137"/>
        <v>0.17110689311383576</v>
      </c>
      <c r="L123" s="639">
        <f t="shared" si="137"/>
        <v>-0.34099725373015322</v>
      </c>
      <c r="M123" s="639">
        <f t="shared" si="137"/>
        <v>-0.19543497919417374</v>
      </c>
      <c r="N123" s="639">
        <f t="shared" si="137"/>
        <v>-0.27001285136873854</v>
      </c>
      <c r="O123" s="639">
        <f t="shared" si="137"/>
        <v>-1.0530171337226013</v>
      </c>
      <c r="P123" s="639">
        <f>((P107/O107)-1)</f>
        <v>-11.879453164282053</v>
      </c>
      <c r="Q123" s="639">
        <f>((Q107/P107)-1)</f>
        <v>-2.3452854918301016</v>
      </c>
      <c r="R123" s="639">
        <f>((R107/Q107)-1)</f>
        <v>1.2736456321592007</v>
      </c>
      <c r="S123" s="639">
        <f>((S107/R107)-1)</f>
        <v>0.42377362955640741</v>
      </c>
      <c r="T123" s="639">
        <f>((T107/S107)-1)</f>
        <v>-3.2755296574839554E-2</v>
      </c>
    </row>
    <row r="124" spans="1:20">
      <c r="A124" s="618" t="s">
        <v>274</v>
      </c>
      <c r="B124" s="618"/>
      <c r="C124" s="640" t="s">
        <v>251</v>
      </c>
      <c r="D124" s="639">
        <f t="shared" ref="D124:O124" si="138">((D110/C110)-1)</f>
        <v>0.44543943352723581</v>
      </c>
      <c r="E124" s="639">
        <f t="shared" si="138"/>
        <v>0.1976516802632593</v>
      </c>
      <c r="F124" s="639">
        <f t="shared" si="138"/>
        <v>0.13997520865251634</v>
      </c>
      <c r="G124" s="639">
        <f t="shared" si="138"/>
        <v>-0.2440857523839971</v>
      </c>
      <c r="H124" s="639">
        <f t="shared" si="138"/>
        <v>-0.47646062906136055</v>
      </c>
      <c r="I124" s="639">
        <f t="shared" si="138"/>
        <v>0.25123229939760083</v>
      </c>
      <c r="J124" s="639">
        <f t="shared" si="138"/>
        <v>0.20934855322537915</v>
      </c>
      <c r="K124" s="639">
        <f t="shared" si="138"/>
        <v>3.0016577341023476E-2</v>
      </c>
      <c r="L124" s="639">
        <f t="shared" si="138"/>
        <v>-0.25689930013895035</v>
      </c>
      <c r="M124" s="639">
        <f t="shared" si="138"/>
        <v>-7.560191069650446E-2</v>
      </c>
      <c r="N124" s="639">
        <f t="shared" si="138"/>
        <v>-0.15237298652304399</v>
      </c>
      <c r="O124" s="639">
        <f t="shared" si="138"/>
        <v>-0.45904366805322461</v>
      </c>
      <c r="P124" s="639">
        <f>((P110/O110)-1)</f>
        <v>0.49784027800331421</v>
      </c>
      <c r="Q124" s="639">
        <f>((Q110/P110)-1)</f>
        <v>-0.71552992939212334</v>
      </c>
      <c r="R124" s="639">
        <f>((R110/Q110)-1)</f>
        <v>-0.98249139414025033</v>
      </c>
      <c r="S124" s="639">
        <f>((S110/R110)-1)</f>
        <v>-67.249097330925693</v>
      </c>
      <c r="T124" s="639">
        <f>((T110/S110)-1)</f>
        <v>8.873374357987629E-3</v>
      </c>
    </row>
    <row r="125" spans="1:20" outlineLevel="1">
      <c r="A125" s="618" t="s">
        <v>667</v>
      </c>
      <c r="B125" s="636"/>
      <c r="C125" s="640" t="s">
        <v>251</v>
      </c>
      <c r="D125" s="639">
        <f>D37-D38</f>
        <v>0.10952802567119235</v>
      </c>
      <c r="E125" s="639">
        <f t="shared" ref="E125:P125" si="139">E37-E38</f>
        <v>0.16640947573915413</v>
      </c>
      <c r="F125" s="639">
        <f t="shared" si="139"/>
        <v>0.13650966330671688</v>
      </c>
      <c r="G125" s="639">
        <f t="shared" si="139"/>
        <v>7.1724581961133627E-2</v>
      </c>
      <c r="H125" s="639">
        <f t="shared" si="139"/>
        <v>7.057895723290411E-2</v>
      </c>
      <c r="I125" s="639">
        <f t="shared" si="139"/>
        <v>0.15367185966110364</v>
      </c>
      <c r="J125" s="639">
        <f t="shared" si="139"/>
        <v>0.19123264229226686</v>
      </c>
      <c r="K125" s="639">
        <f>K37-K38</f>
        <v>0.13449240888324954</v>
      </c>
      <c r="L125" s="639">
        <f>L37-L38</f>
        <v>2.2674566956452216E-2</v>
      </c>
      <c r="M125" s="639">
        <f>M37-M38</f>
        <v>-1.0885943363702646E-2</v>
      </c>
      <c r="N125" s="639">
        <f>N37-N38</f>
        <v>-3.0189154467245044E-2</v>
      </c>
      <c r="O125" s="639">
        <f>O37-O38</f>
        <v>-4.5488649152524568E-3</v>
      </c>
      <c r="P125" s="639">
        <f t="shared" si="139"/>
        <v>1.9883669899060347E-2</v>
      </c>
      <c r="Q125" s="639">
        <f>Q37-Q38</f>
        <v>5.5346655047471237E-3</v>
      </c>
      <c r="R125" s="639">
        <f>R37-R38</f>
        <v>1.001789093187778E-2</v>
      </c>
      <c r="S125" s="639">
        <f>S37-S38</f>
        <v>6.3461926757972329E-3</v>
      </c>
      <c r="T125" s="639">
        <f>T37-T38</f>
        <v>4.1630486642936053E-3</v>
      </c>
    </row>
    <row r="126" spans="1:20" outlineLevel="1">
      <c r="A126" s="618" t="s">
        <v>670</v>
      </c>
      <c r="B126" s="636"/>
      <c r="C126" s="640" t="str">
        <f t="shared" ref="C126:L126" si="140">C125</f>
        <v>NA</v>
      </c>
      <c r="D126" s="639">
        <f t="shared" si="140"/>
        <v>0.10952802567119235</v>
      </c>
      <c r="E126" s="639">
        <f t="shared" si="140"/>
        <v>0.16640947573915413</v>
      </c>
      <c r="F126" s="639">
        <f t="shared" si="140"/>
        <v>0.13650966330671688</v>
      </c>
      <c r="G126" s="639">
        <f t="shared" si="140"/>
        <v>7.1724581961133627E-2</v>
      </c>
      <c r="H126" s="639">
        <f t="shared" si="140"/>
        <v>7.057895723290411E-2</v>
      </c>
      <c r="I126" s="639">
        <f t="shared" si="140"/>
        <v>0.15367185966110364</v>
      </c>
      <c r="J126" s="639">
        <f t="shared" si="140"/>
        <v>0.19123264229226686</v>
      </c>
      <c r="K126" s="639">
        <f t="shared" si="140"/>
        <v>0.13449240888324954</v>
      </c>
      <c r="L126" s="639">
        <f t="shared" si="140"/>
        <v>2.2674566956452216E-2</v>
      </c>
      <c r="M126" s="639">
        <f>M125</f>
        <v>-1.0885943363702646E-2</v>
      </c>
      <c r="N126" s="639">
        <f>N125</f>
        <v>-3.0189154467245044E-2</v>
      </c>
      <c r="O126" s="639">
        <f>O125</f>
        <v>-4.5488649152524568E-3</v>
      </c>
      <c r="P126" s="641">
        <f>P125-0.5%</f>
        <v>1.4883669899060346E-2</v>
      </c>
      <c r="Q126" s="641">
        <f t="shared" ref="Q126:S126" si="141">Q125-0.5%</f>
        <v>5.3466550474712358E-4</v>
      </c>
      <c r="R126" s="641">
        <f t="shared" si="141"/>
        <v>5.0178909318777795E-3</v>
      </c>
      <c r="S126" s="641">
        <f t="shared" si="141"/>
        <v>1.3461926757972328E-3</v>
      </c>
      <c r="T126" s="641">
        <f t="shared" ref="T126" si="142">T125-0.5%</f>
        <v>-8.3695133570639482E-4</v>
      </c>
    </row>
    <row r="127" spans="1:20">
      <c r="A127" s="720"/>
      <c r="B127" s="720"/>
      <c r="C127" s="720"/>
      <c r="D127" s="720"/>
      <c r="E127" s="720"/>
      <c r="F127" s="720"/>
      <c r="G127" s="720"/>
      <c r="H127" s="720"/>
      <c r="I127" s="720"/>
      <c r="J127" s="720"/>
      <c r="K127" s="720"/>
      <c r="L127" s="720"/>
      <c r="M127" s="720"/>
      <c r="N127" s="720"/>
      <c r="O127" s="720"/>
      <c r="P127" s="720"/>
      <c r="Q127" s="720"/>
      <c r="R127" s="720"/>
      <c r="S127" s="720"/>
      <c r="T127" s="720"/>
    </row>
    <row r="128" spans="1:20">
      <c r="A128" s="708" t="s">
        <v>749</v>
      </c>
      <c r="B128" s="22"/>
      <c r="C128" s="62" t="str">
        <f t="shared" ref="C128:S128" si="143">C86</f>
        <v>2004A</v>
      </c>
      <c r="D128" s="62" t="str">
        <f t="shared" si="143"/>
        <v>2005A</v>
      </c>
      <c r="E128" s="62" t="str">
        <f t="shared" si="143"/>
        <v>2006A</v>
      </c>
      <c r="F128" s="62" t="str">
        <f t="shared" si="143"/>
        <v>2007A</v>
      </c>
      <c r="G128" s="62" t="str">
        <f t="shared" si="143"/>
        <v>2008A</v>
      </c>
      <c r="H128" s="62" t="str">
        <f t="shared" si="143"/>
        <v>2009A</v>
      </c>
      <c r="I128" s="62" t="str">
        <f t="shared" si="143"/>
        <v>2010A</v>
      </c>
      <c r="J128" s="62" t="str">
        <f t="shared" si="143"/>
        <v>2011A</v>
      </c>
      <c r="K128" s="62" t="str">
        <f t="shared" si="143"/>
        <v>2012A</v>
      </c>
      <c r="L128" s="62" t="str">
        <f t="shared" si="143"/>
        <v>2013A</v>
      </c>
      <c r="M128" s="62" t="str">
        <f t="shared" si="143"/>
        <v>2014A</v>
      </c>
      <c r="N128" s="62" t="str">
        <f t="shared" si="143"/>
        <v>2015A</v>
      </c>
      <c r="O128" s="62" t="str">
        <f t="shared" si="143"/>
        <v>2016A</v>
      </c>
      <c r="P128" s="62" t="str">
        <f t="shared" si="143"/>
        <v>2017E</v>
      </c>
      <c r="Q128" s="62" t="str">
        <f t="shared" si="143"/>
        <v>2018E</v>
      </c>
      <c r="R128" s="62" t="str">
        <f t="shared" si="143"/>
        <v>2019E</v>
      </c>
      <c r="S128" s="62" t="str">
        <f t="shared" si="143"/>
        <v>2020E</v>
      </c>
      <c r="T128" s="62" t="str">
        <f t="shared" ref="T128" si="144">T86</f>
        <v>2021E</v>
      </c>
    </row>
    <row r="129" spans="1:20">
      <c r="A129" s="26" t="s">
        <v>289</v>
      </c>
      <c r="B129" s="22"/>
      <c r="C129" s="95" t="str">
        <f t="shared" ref="C129:S129" si="145">C87</f>
        <v>Jan</v>
      </c>
      <c r="D129" s="95" t="str">
        <f t="shared" si="145"/>
        <v>Jan</v>
      </c>
      <c r="E129" s="95" t="str">
        <f t="shared" si="145"/>
        <v>Jan</v>
      </c>
      <c r="F129" s="95" t="str">
        <f t="shared" si="145"/>
        <v>Jan</v>
      </c>
      <c r="G129" s="95" t="str">
        <f t="shared" si="145"/>
        <v>Jan</v>
      </c>
      <c r="H129" s="95" t="str">
        <f t="shared" si="145"/>
        <v>Jan</v>
      </c>
      <c r="I129" s="95" t="str">
        <f t="shared" si="145"/>
        <v>Jan</v>
      </c>
      <c r="J129" s="95" t="str">
        <f t="shared" si="145"/>
        <v>Jan</v>
      </c>
      <c r="K129" s="95" t="str">
        <f t="shared" si="145"/>
        <v>Jan</v>
      </c>
      <c r="L129" s="95" t="str">
        <f t="shared" si="145"/>
        <v>Jan</v>
      </c>
      <c r="M129" s="95" t="str">
        <f t="shared" si="145"/>
        <v>Jan</v>
      </c>
      <c r="N129" s="95" t="str">
        <f t="shared" si="145"/>
        <v>Jan</v>
      </c>
      <c r="O129" s="95" t="str">
        <f t="shared" si="145"/>
        <v>Jan</v>
      </c>
      <c r="P129" s="95" t="str">
        <f t="shared" si="145"/>
        <v>Jan</v>
      </c>
      <c r="Q129" s="95" t="str">
        <f t="shared" si="145"/>
        <v>Jan</v>
      </c>
      <c r="R129" s="95" t="str">
        <f t="shared" si="145"/>
        <v>Jan</v>
      </c>
      <c r="S129" s="95" t="str">
        <f t="shared" si="145"/>
        <v>Jan</v>
      </c>
      <c r="T129" s="95" t="str">
        <f t="shared" ref="T129" si="146">T87</f>
        <v>Jan</v>
      </c>
    </row>
    <row r="130" spans="1:20">
      <c r="A130" s="23"/>
      <c r="B130" s="22"/>
      <c r="C130" s="22"/>
      <c r="D130" s="22"/>
      <c r="E130" s="22"/>
      <c r="F130" s="22"/>
      <c r="G130" s="22"/>
      <c r="H130" s="22"/>
      <c r="I130" s="22"/>
      <c r="J130" s="22"/>
      <c r="K130" s="22"/>
      <c r="L130" s="22"/>
      <c r="M130" s="22"/>
      <c r="N130" s="22"/>
      <c r="O130" s="22"/>
      <c r="P130" s="22"/>
      <c r="Q130" s="22"/>
      <c r="R130" s="22"/>
      <c r="S130" s="22"/>
      <c r="T130" s="22"/>
    </row>
    <row r="131" spans="1:20">
      <c r="A131" s="23" t="s">
        <v>268</v>
      </c>
      <c r="B131" s="22"/>
      <c r="C131" s="709">
        <f t="shared" ref="C131:J131" si="147">C6</f>
        <v>2021.2539999999999</v>
      </c>
      <c r="D131" s="709">
        <f t="shared" si="147"/>
        <v>2768.1640000000002</v>
      </c>
      <c r="E131" s="709">
        <f t="shared" si="147"/>
        <v>3284.1759999999999</v>
      </c>
      <c r="F131" s="709">
        <f t="shared" si="147"/>
        <v>3699.6559999999999</v>
      </c>
      <c r="G131" s="709">
        <f t="shared" si="147"/>
        <v>3484.0569999999998</v>
      </c>
      <c r="H131" s="709">
        <f t="shared" si="147"/>
        <v>2928.625</v>
      </c>
      <c r="I131" s="709">
        <f t="shared" si="147"/>
        <v>3468.7759999999998</v>
      </c>
      <c r="J131" s="709">
        <f t="shared" si="147"/>
        <v>4158.058</v>
      </c>
      <c r="K131" s="709">
        <f>K6</f>
        <v>4510.8050000000003</v>
      </c>
      <c r="L131" s="709">
        <f>L6</f>
        <v>4116.8969999999999</v>
      </c>
      <c r="M131" s="709">
        <f t="shared" ref="M131:T131" si="148">(L131*(1+M173))</f>
        <v>3744.0299999999997</v>
      </c>
      <c r="N131" s="709">
        <f t="shared" si="148"/>
        <v>3518.6800000000003</v>
      </c>
      <c r="O131" s="709">
        <f t="shared" si="148"/>
        <v>3326.74</v>
      </c>
      <c r="P131" s="709">
        <f t="shared" si="148"/>
        <v>3492.6899999999996</v>
      </c>
      <c r="Q131" s="709">
        <f t="shared" si="148"/>
        <v>3507.8603602149992</v>
      </c>
      <c r="R131" s="709">
        <f t="shared" si="148"/>
        <v>3501.0537849405046</v>
      </c>
      <c r="S131" s="709">
        <f t="shared" si="148"/>
        <v>3482.3514356037099</v>
      </c>
      <c r="T131" s="709">
        <f t="shared" si="148"/>
        <v>3457.224474378068</v>
      </c>
    </row>
    <row r="132" spans="1:20">
      <c r="A132" s="23"/>
      <c r="B132" s="22"/>
      <c r="C132" s="115"/>
      <c r="D132" s="115"/>
      <c r="E132" s="115"/>
      <c r="F132" s="115"/>
      <c r="G132" s="115"/>
      <c r="H132" s="115"/>
      <c r="I132" s="115"/>
      <c r="J132" s="115"/>
      <c r="K132" s="115"/>
      <c r="L132" s="115"/>
      <c r="M132" s="115"/>
    </row>
    <row r="133" spans="1:20">
      <c r="A133" s="23" t="s">
        <v>290</v>
      </c>
      <c r="B133" s="22"/>
      <c r="C133" s="709">
        <f t="shared" ref="C133:J133" si="149">C8</f>
        <v>680.029</v>
      </c>
      <c r="D133" s="709">
        <f t="shared" si="149"/>
        <v>913.97900000000004</v>
      </c>
      <c r="E133" s="709">
        <f t="shared" si="149"/>
        <v>1083.509</v>
      </c>
      <c r="F133" s="709">
        <f t="shared" si="149"/>
        <v>1211.49</v>
      </c>
      <c r="G133" s="709">
        <f t="shared" si="149"/>
        <v>1152.963</v>
      </c>
      <c r="H133" s="709">
        <f t="shared" si="149"/>
        <v>1045.029</v>
      </c>
      <c r="I133" s="709">
        <f t="shared" si="149"/>
        <v>1251.348</v>
      </c>
      <c r="J133" s="709">
        <f t="shared" si="149"/>
        <v>1607.8340000000001</v>
      </c>
      <c r="K133" s="709">
        <f>K8</f>
        <v>1694.096</v>
      </c>
      <c r="L133" s="709">
        <f>L8</f>
        <v>1541.462</v>
      </c>
      <c r="M133" s="709">
        <f t="shared" ref="M133:R133" si="150">M131-M135</f>
        <v>1430.46</v>
      </c>
      <c r="N133" s="709">
        <f t="shared" si="150"/>
        <v>1340.4899999999998</v>
      </c>
      <c r="O133" s="709">
        <f t="shared" si="150"/>
        <v>1298.1719999999998</v>
      </c>
      <c r="P133" s="709">
        <f t="shared" si="150"/>
        <v>1408.848</v>
      </c>
      <c r="Q133" s="709">
        <f t="shared" si="150"/>
        <v>1420.4319961016354</v>
      </c>
      <c r="R133" s="709">
        <f t="shared" si="150"/>
        <v>1414.4257291159638</v>
      </c>
      <c r="S133" s="709">
        <f>S131-S135</f>
        <v>1410.3523314195027</v>
      </c>
      <c r="T133" s="709">
        <f>T131-T135</f>
        <v>1402.9416917026197</v>
      </c>
    </row>
    <row r="134" spans="1:20">
      <c r="A134" s="23"/>
      <c r="B134" s="22"/>
      <c r="C134" s="115"/>
      <c r="D134" s="115"/>
      <c r="E134" s="115"/>
      <c r="F134" s="115"/>
      <c r="G134" s="115"/>
      <c r="H134" s="115"/>
      <c r="I134" s="115"/>
      <c r="J134" s="115"/>
      <c r="K134" s="115"/>
      <c r="L134" s="115"/>
      <c r="M134" s="115"/>
    </row>
    <row r="135" spans="1:20">
      <c r="A135" s="23" t="s">
        <v>291</v>
      </c>
      <c r="B135" s="22"/>
      <c r="C135" s="709">
        <f t="shared" ref="C135:J135" si="151">C131-C133</f>
        <v>1341.2249999999999</v>
      </c>
      <c r="D135" s="709">
        <f t="shared" si="151"/>
        <v>1854.1850000000002</v>
      </c>
      <c r="E135" s="709">
        <f t="shared" si="151"/>
        <v>2200.6669999999999</v>
      </c>
      <c r="F135" s="709">
        <f t="shared" si="151"/>
        <v>2488.1660000000002</v>
      </c>
      <c r="G135" s="709">
        <f t="shared" si="151"/>
        <v>2331.0940000000001</v>
      </c>
      <c r="H135" s="709">
        <f t="shared" si="151"/>
        <v>1883.596</v>
      </c>
      <c r="I135" s="709">
        <f t="shared" si="151"/>
        <v>2217.4279999999999</v>
      </c>
      <c r="J135" s="709">
        <f t="shared" si="151"/>
        <v>2550.2240000000002</v>
      </c>
      <c r="K135" s="709">
        <f>K131-K133</f>
        <v>2816.7090000000003</v>
      </c>
      <c r="L135" s="709">
        <f>L131-L133</f>
        <v>2575.4349999999999</v>
      </c>
      <c r="M135" s="709">
        <f t="shared" ref="M135:R135" si="152">M131*M158</f>
        <v>2313.5699999999997</v>
      </c>
      <c r="N135" s="709">
        <f t="shared" si="152"/>
        <v>2178.1900000000005</v>
      </c>
      <c r="O135" s="709">
        <f t="shared" si="152"/>
        <v>2028.568</v>
      </c>
      <c r="P135" s="709">
        <f t="shared" si="152"/>
        <v>2083.8419999999996</v>
      </c>
      <c r="Q135" s="709">
        <f t="shared" si="152"/>
        <v>2087.4283641133638</v>
      </c>
      <c r="R135" s="709">
        <f t="shared" si="152"/>
        <v>2086.6280558245408</v>
      </c>
      <c r="S135" s="709">
        <f>S131*S158</f>
        <v>2071.9991041842072</v>
      </c>
      <c r="T135" s="709">
        <f>T131*T158</f>
        <v>2054.2827826754483</v>
      </c>
    </row>
    <row r="136" spans="1:20">
      <c r="A136" s="23" t="s">
        <v>292</v>
      </c>
      <c r="B136" s="22"/>
      <c r="C136" s="115">
        <f t="shared" ref="C136:L136" si="153">C11</f>
        <v>965.18</v>
      </c>
      <c r="D136" s="115">
        <f t="shared" si="153"/>
        <v>1281.893</v>
      </c>
      <c r="E136" s="115">
        <f t="shared" si="153"/>
        <v>1512.6610000000001</v>
      </c>
      <c r="F136" s="115">
        <f t="shared" si="153"/>
        <v>1720.9580000000001</v>
      </c>
      <c r="G136" s="115">
        <f t="shared" si="153"/>
        <v>1837.6110000000001</v>
      </c>
      <c r="H136" s="115">
        <f t="shared" si="153"/>
        <v>1746.019</v>
      </c>
      <c r="I136" s="115">
        <f t="shared" si="153"/>
        <v>1975.7060000000001</v>
      </c>
      <c r="J136" s="115">
        <f t="shared" si="153"/>
        <v>2213.7280000000001</v>
      </c>
      <c r="K136" s="115">
        <f t="shared" si="153"/>
        <v>2454.4089999999997</v>
      </c>
      <c r="L136" s="115">
        <f t="shared" si="153"/>
        <v>2374.8130000000001</v>
      </c>
      <c r="M136" s="115">
        <f t="shared" ref="M136:R136" si="154">M131*M162</f>
        <v>2137.0809999999997</v>
      </c>
      <c r="N136" s="115">
        <f t="shared" si="154"/>
        <v>2050.3526000000002</v>
      </c>
      <c r="O136" s="115">
        <f t="shared" si="154"/>
        <v>2039.2359999999999</v>
      </c>
      <c r="P136" s="115">
        <f t="shared" si="154"/>
        <v>1999.269</v>
      </c>
      <c r="Q136" s="115">
        <f t="shared" si="154"/>
        <v>2030.8763915643055</v>
      </c>
      <c r="R136" s="115">
        <f t="shared" si="154"/>
        <v>2034.812459807421</v>
      </c>
      <c r="S136" s="115">
        <f>S131*S162</f>
        <v>2024.9873598035574</v>
      </c>
      <c r="T136" s="115">
        <f>T131*T162</f>
        <v>2011.7589216405977</v>
      </c>
    </row>
    <row r="137" spans="1:20">
      <c r="A137" s="23" t="s">
        <v>226</v>
      </c>
      <c r="B137" s="22"/>
      <c r="C137" s="115">
        <f t="shared" ref="C137:L137" si="155">C12</f>
        <v>105.81399999999999</v>
      </c>
      <c r="D137" s="115">
        <f t="shared" si="155"/>
        <v>124.206</v>
      </c>
      <c r="E137" s="115">
        <f t="shared" si="155"/>
        <v>146.15600000000001</v>
      </c>
      <c r="F137" s="115">
        <f t="shared" si="155"/>
        <v>183.71600000000001</v>
      </c>
      <c r="G137" s="115">
        <f t="shared" si="155"/>
        <v>225.334</v>
      </c>
      <c r="H137" s="115">
        <f t="shared" si="155"/>
        <v>238.75200000000001</v>
      </c>
      <c r="I137" s="115">
        <f t="shared" si="155"/>
        <v>229.15299999999999</v>
      </c>
      <c r="J137" s="115">
        <f t="shared" si="155"/>
        <v>232.95599999999999</v>
      </c>
      <c r="K137" s="115">
        <f t="shared" si="155"/>
        <v>224.245</v>
      </c>
      <c r="L137" s="115">
        <f t="shared" si="155"/>
        <v>235.24</v>
      </c>
      <c r="M137" s="115">
        <f t="shared" ref="M137:S137" si="156">M12</f>
        <v>226.42099999999999</v>
      </c>
      <c r="N137" s="115">
        <f t="shared" si="156"/>
        <v>213.68</v>
      </c>
      <c r="O137" s="115">
        <f t="shared" si="156"/>
        <v>195.41399999999999</v>
      </c>
      <c r="P137" s="115">
        <f t="shared" si="156"/>
        <v>192.14699999999999</v>
      </c>
      <c r="Q137" s="115">
        <f t="shared" si="156"/>
        <v>180</v>
      </c>
      <c r="R137" s="115">
        <f t="shared" si="156"/>
        <v>175.05268924702526</v>
      </c>
      <c r="S137" s="115">
        <f t="shared" si="156"/>
        <v>167.15286890897809</v>
      </c>
      <c r="T137" s="115">
        <f t="shared" ref="T137" si="157">T12</f>
        <v>159.03232582139114</v>
      </c>
    </row>
    <row r="138" spans="1:20">
      <c r="A138" s="710" t="s">
        <v>307</v>
      </c>
      <c r="B138" s="22"/>
      <c r="C138" s="709">
        <f>C135-C136</f>
        <v>376.04499999999996</v>
      </c>
      <c r="D138" s="709">
        <f t="shared" ref="D138:P138" si="158">D135-D136</f>
        <v>572.29200000000014</v>
      </c>
      <c r="E138" s="709">
        <f t="shared" si="158"/>
        <v>688.00599999999986</v>
      </c>
      <c r="F138" s="709">
        <f t="shared" si="158"/>
        <v>767.20800000000008</v>
      </c>
      <c r="G138" s="709">
        <f t="shared" si="158"/>
        <v>493.48299999999995</v>
      </c>
      <c r="H138" s="709">
        <f t="shared" si="158"/>
        <v>137.577</v>
      </c>
      <c r="I138" s="709">
        <f t="shared" si="158"/>
        <v>241.72199999999975</v>
      </c>
      <c r="J138" s="709">
        <f t="shared" si="158"/>
        <v>336.49600000000009</v>
      </c>
      <c r="K138" s="709">
        <f>K135-K136</f>
        <v>362.30000000000064</v>
      </c>
      <c r="L138" s="709">
        <f>L135-L136</f>
        <v>200.62199999999984</v>
      </c>
      <c r="M138" s="709">
        <f t="shared" si="158"/>
        <v>176.48900000000003</v>
      </c>
      <c r="N138" s="709">
        <f t="shared" si="158"/>
        <v>127.83740000000034</v>
      </c>
      <c r="O138" s="709">
        <f t="shared" si="158"/>
        <v>-10.667999999999893</v>
      </c>
      <c r="P138" s="709">
        <f t="shared" si="158"/>
        <v>84.572999999999638</v>
      </c>
      <c r="Q138" s="709">
        <f>Q135-Q136</f>
        <v>56.551972549058291</v>
      </c>
      <c r="R138" s="709">
        <f>R135-R136</f>
        <v>51.815596017119788</v>
      </c>
      <c r="S138" s="709">
        <f>S135-S136</f>
        <v>47.011744380649816</v>
      </c>
      <c r="T138" s="709">
        <f>T135-T136</f>
        <v>42.523861034850597</v>
      </c>
    </row>
    <row r="139" spans="1:20">
      <c r="A139" s="23"/>
      <c r="B139" s="22"/>
      <c r="C139" s="115"/>
      <c r="D139" s="115"/>
      <c r="E139" s="115"/>
      <c r="F139" s="115"/>
      <c r="G139" s="115"/>
      <c r="H139" s="115"/>
      <c r="I139" s="115"/>
      <c r="J139" s="115"/>
      <c r="K139" s="115"/>
      <c r="L139" s="115"/>
      <c r="M139" s="115"/>
    </row>
    <row r="140" spans="1:20">
      <c r="A140" s="23" t="s">
        <v>227</v>
      </c>
      <c r="B140" s="22"/>
      <c r="C140" s="115">
        <f t="shared" ref="C140:S140" si="159">C15</f>
        <v>5.2149999999999999</v>
      </c>
      <c r="D140" s="115">
        <f t="shared" si="159"/>
        <v>6.6719999999999997</v>
      </c>
      <c r="E140" s="115">
        <f t="shared" si="159"/>
        <v>13.896000000000001</v>
      </c>
      <c r="F140" s="115">
        <f t="shared" si="159"/>
        <v>18.827000000000002</v>
      </c>
      <c r="G140" s="115">
        <f t="shared" si="159"/>
        <v>11.382000000000001</v>
      </c>
      <c r="H140" s="115">
        <f t="shared" si="159"/>
        <v>1.5990000000000002</v>
      </c>
      <c r="I140" s="115">
        <f t="shared" si="159"/>
        <v>-3.3609999999999998</v>
      </c>
      <c r="J140" s="115">
        <f t="shared" si="159"/>
        <v>-3.577</v>
      </c>
      <c r="K140" s="115">
        <f t="shared" si="159"/>
        <v>-7.2879999999999994</v>
      </c>
      <c r="L140" s="115">
        <f t="shared" si="159"/>
        <v>-7.5460000000000003</v>
      </c>
      <c r="M140" s="115">
        <f t="shared" si="159"/>
        <v>-14.365</v>
      </c>
      <c r="N140" s="115">
        <f t="shared" si="159"/>
        <v>-18.248000000000001</v>
      </c>
      <c r="O140" s="115">
        <f t="shared" si="159"/>
        <v>-18.666</v>
      </c>
      <c r="P140" s="115">
        <f t="shared" si="159"/>
        <v>-16.888999999999999</v>
      </c>
      <c r="Q140" s="115">
        <f t="shared" si="159"/>
        <v>-16.436</v>
      </c>
      <c r="R140" s="115">
        <f t="shared" si="159"/>
        <v>-16.436</v>
      </c>
      <c r="S140" s="115">
        <f t="shared" si="159"/>
        <v>-16.436</v>
      </c>
      <c r="T140" s="115">
        <f t="shared" ref="T140" si="160">T15</f>
        <v>-16.436</v>
      </c>
    </row>
    <row r="141" spans="1:20">
      <c r="A141" s="115" t="s">
        <v>52</v>
      </c>
      <c r="B141" s="115"/>
      <c r="C141" s="115">
        <f t="shared" ref="C141:S141" si="161">C16</f>
        <v>4.49</v>
      </c>
      <c r="D141" s="115">
        <f t="shared" si="161"/>
        <v>5.5250000000000004</v>
      </c>
      <c r="E141" s="115">
        <f t="shared" si="161"/>
        <v>9.9830000000000005</v>
      </c>
      <c r="F141" s="115">
        <f t="shared" si="161"/>
        <v>11.702</v>
      </c>
      <c r="G141" s="115">
        <f t="shared" si="161"/>
        <v>8.7789999999999999</v>
      </c>
      <c r="H141" s="115">
        <f t="shared" si="161"/>
        <v>13.533999999999999</v>
      </c>
      <c r="I141" s="115">
        <f t="shared" si="161"/>
        <v>10.055</v>
      </c>
      <c r="J141" s="115">
        <f t="shared" si="161"/>
        <v>9.9690000000000012</v>
      </c>
      <c r="K141" s="115">
        <f t="shared" si="161"/>
        <v>19.332999999999998</v>
      </c>
      <c r="L141" s="115">
        <f t="shared" si="161"/>
        <v>23.073999999999998</v>
      </c>
      <c r="M141" s="115">
        <f t="shared" si="161"/>
        <v>15.224</v>
      </c>
      <c r="N141" s="115">
        <f t="shared" si="161"/>
        <v>8.652000000000001</v>
      </c>
      <c r="O141" s="115">
        <f t="shared" si="161"/>
        <v>13.93</v>
      </c>
      <c r="P141" s="115">
        <f t="shared" si="161"/>
        <v>16.207999999999998</v>
      </c>
      <c r="Q141" s="115">
        <f t="shared" si="161"/>
        <v>4</v>
      </c>
      <c r="R141" s="115">
        <f t="shared" si="161"/>
        <v>4</v>
      </c>
      <c r="S141" s="115">
        <f t="shared" si="161"/>
        <v>4</v>
      </c>
      <c r="T141" s="115">
        <f t="shared" ref="T141" si="162">T16</f>
        <v>4</v>
      </c>
    </row>
    <row r="142" spans="1:20">
      <c r="A142" s="710" t="s">
        <v>228</v>
      </c>
      <c r="B142" s="22"/>
      <c r="C142" s="709">
        <f>C138+C140+C141</f>
        <v>385.74999999999994</v>
      </c>
      <c r="D142" s="709">
        <f t="shared" ref="D142:Q142" si="163">D138+D140+D141</f>
        <v>584.48900000000015</v>
      </c>
      <c r="E142" s="709">
        <f t="shared" si="163"/>
        <v>711.88499999999976</v>
      </c>
      <c r="F142" s="709">
        <f t="shared" si="163"/>
        <v>797.73700000000008</v>
      </c>
      <c r="G142" s="709">
        <f t="shared" si="163"/>
        <v>513.64400000000001</v>
      </c>
      <c r="H142" s="709">
        <f t="shared" si="163"/>
        <v>152.70999999999998</v>
      </c>
      <c r="I142" s="709">
        <f t="shared" si="163"/>
        <v>248.41599999999977</v>
      </c>
      <c r="J142" s="709">
        <f t="shared" si="163"/>
        <v>342.88800000000009</v>
      </c>
      <c r="K142" s="709">
        <f t="shared" si="163"/>
        <v>374.3450000000006</v>
      </c>
      <c r="L142" s="709">
        <f t="shared" si="163"/>
        <v>216.14999999999986</v>
      </c>
      <c r="M142" s="709">
        <f t="shared" si="163"/>
        <v>177.34800000000001</v>
      </c>
      <c r="N142" s="709">
        <f t="shared" si="163"/>
        <v>118.24140000000034</v>
      </c>
      <c r="O142" s="709">
        <f t="shared" si="163"/>
        <v>-15.403999999999893</v>
      </c>
      <c r="P142" s="709">
        <f t="shared" si="163"/>
        <v>83.891999999999641</v>
      </c>
      <c r="Q142" s="709">
        <f t="shared" si="163"/>
        <v>44.115972549058291</v>
      </c>
      <c r="R142" s="709">
        <f>R138+R140+R141</f>
        <v>39.379596017119788</v>
      </c>
      <c r="S142" s="709">
        <f>S138+S140+S141</f>
        <v>34.575744380649816</v>
      </c>
      <c r="T142" s="709">
        <f>T138+T140+T141</f>
        <v>30.087861034850597</v>
      </c>
    </row>
    <row r="143" spans="1:20">
      <c r="A143" s="23"/>
      <c r="B143" s="22"/>
      <c r="C143" s="115"/>
      <c r="D143" s="115"/>
      <c r="E143" s="115"/>
      <c r="F143" s="115"/>
      <c r="G143" s="115"/>
      <c r="H143" s="115"/>
      <c r="I143" s="115"/>
      <c r="J143" s="115"/>
      <c r="K143" s="115"/>
      <c r="L143" s="115"/>
      <c r="M143" s="115"/>
    </row>
    <row r="144" spans="1:20">
      <c r="A144" s="23" t="s">
        <v>295</v>
      </c>
      <c r="B144" s="22"/>
      <c r="C144" s="115">
        <f>C19</f>
        <v>148.67599999999999</v>
      </c>
      <c r="D144" s="115">
        <f t="shared" ref="D144:J144" si="164">D19</f>
        <v>229.107</v>
      </c>
      <c r="E144" s="115">
        <f t="shared" si="164"/>
        <v>265.36099999999999</v>
      </c>
      <c r="F144" s="115">
        <f t="shared" si="164"/>
        <v>298.61</v>
      </c>
      <c r="G144" s="115">
        <f t="shared" si="164"/>
        <v>200.47399999999999</v>
      </c>
      <c r="H144" s="115">
        <f t="shared" si="164"/>
        <v>53.838000000000008</v>
      </c>
      <c r="I144" s="115">
        <f t="shared" si="164"/>
        <v>60.108999999999995</v>
      </c>
      <c r="J144" s="115">
        <f t="shared" si="164"/>
        <v>120.812</v>
      </c>
      <c r="K144" s="115">
        <f>K19</f>
        <v>132.749</v>
      </c>
      <c r="L144" s="115">
        <f>L19</f>
        <v>64.611999999999995</v>
      </c>
      <c r="M144" s="115">
        <f t="shared" ref="M144:R144" si="165">M142*M167</f>
        <v>65.018999999999991</v>
      </c>
      <c r="N144" s="115">
        <f t="shared" si="165"/>
        <v>37.216999999999999</v>
      </c>
      <c r="O144" s="115">
        <f t="shared" si="165"/>
        <v>-15.095999999999778</v>
      </c>
      <c r="P144" s="115">
        <f t="shared" si="165"/>
        <v>35.455999999999804</v>
      </c>
      <c r="Q144" s="115">
        <f t="shared" si="165"/>
        <v>22.743084687179113</v>
      </c>
      <c r="R144" s="115">
        <f t="shared" si="165"/>
        <v>10.632490924622344</v>
      </c>
      <c r="S144" s="115">
        <f>S142*S167</f>
        <v>9.3354509827754502</v>
      </c>
      <c r="T144" s="115">
        <f>T142*T167</f>
        <v>8.1237224794096612</v>
      </c>
    </row>
    <row r="145" spans="1:27">
      <c r="A145" s="23"/>
      <c r="B145" s="22"/>
      <c r="C145" s="115"/>
      <c r="D145" s="115"/>
      <c r="E145" s="115"/>
      <c r="F145" s="115"/>
      <c r="G145" s="115"/>
      <c r="H145" s="115"/>
      <c r="I145" s="115"/>
      <c r="J145" s="115"/>
      <c r="K145" s="115"/>
      <c r="L145" s="115"/>
      <c r="M145" s="115"/>
    </row>
    <row r="146" spans="1:27">
      <c r="A146" s="23"/>
      <c r="B146" s="22"/>
      <c r="C146" s="115"/>
      <c r="D146" s="115"/>
      <c r="E146" s="115"/>
      <c r="F146" s="115"/>
      <c r="G146" s="115"/>
      <c r="H146" s="115"/>
      <c r="I146" s="115"/>
      <c r="J146" s="115"/>
      <c r="K146" s="115"/>
      <c r="L146" s="115"/>
      <c r="M146" s="115"/>
    </row>
    <row r="147" spans="1:27">
      <c r="A147" s="23" t="s">
        <v>229</v>
      </c>
      <c r="B147" s="22"/>
      <c r="C147" s="709">
        <f t="shared" ref="C147:P147" si="166">C142-C144</f>
        <v>237.07399999999996</v>
      </c>
      <c r="D147" s="709">
        <f t="shared" si="166"/>
        <v>355.38200000000018</v>
      </c>
      <c r="E147" s="709">
        <f t="shared" si="166"/>
        <v>446.52399999999977</v>
      </c>
      <c r="F147" s="709">
        <f t="shared" si="166"/>
        <v>499.12700000000007</v>
      </c>
      <c r="G147" s="709">
        <f t="shared" si="166"/>
        <v>313.17</v>
      </c>
      <c r="H147" s="709">
        <f t="shared" si="166"/>
        <v>98.871999999999971</v>
      </c>
      <c r="I147" s="709">
        <f t="shared" si="166"/>
        <v>188.30699999999979</v>
      </c>
      <c r="J147" s="709">
        <f t="shared" si="166"/>
        <v>222.07600000000008</v>
      </c>
      <c r="K147" s="709">
        <f>K142-K144</f>
        <v>241.5960000000006</v>
      </c>
      <c r="L147" s="709">
        <f>L142-L144</f>
        <v>151.53799999999987</v>
      </c>
      <c r="M147" s="709">
        <f t="shared" si="166"/>
        <v>112.32900000000002</v>
      </c>
      <c r="N147" s="709">
        <f t="shared" si="166"/>
        <v>81.024400000000341</v>
      </c>
      <c r="O147" s="709">
        <f t="shared" si="166"/>
        <v>-0.30800000000011529</v>
      </c>
      <c r="P147" s="709">
        <f t="shared" si="166"/>
        <v>48.435999999999837</v>
      </c>
      <c r="Q147" s="709">
        <f>Q142-Q144</f>
        <v>21.372887861879178</v>
      </c>
      <c r="R147" s="709">
        <f>R142-R144</f>
        <v>28.747105092497442</v>
      </c>
      <c r="S147" s="709">
        <f>S142-S144</f>
        <v>25.240293397874368</v>
      </c>
      <c r="T147" s="709">
        <f>T142-T144</f>
        <v>21.964138555440936</v>
      </c>
    </row>
    <row r="148" spans="1:27">
      <c r="A148" s="23"/>
      <c r="B148" s="22"/>
    </row>
    <row r="149" spans="1:27">
      <c r="A149" s="254" t="s">
        <v>412</v>
      </c>
      <c r="B149" s="22"/>
      <c r="C149" s="711">
        <f t="shared" ref="C149:P149" si="167">C147/C150</f>
        <v>2.4926295867942376</v>
      </c>
      <c r="D149" s="711">
        <f t="shared" si="167"/>
        <v>3.8958353887810939</v>
      </c>
      <c r="E149" s="711">
        <f t="shared" si="167"/>
        <v>4.8529942397565451</v>
      </c>
      <c r="F149" s="711">
        <f t="shared" si="167"/>
        <v>5.4535690482173891</v>
      </c>
      <c r="G149" s="711">
        <f t="shared" si="167"/>
        <v>3.5072963680550115</v>
      </c>
      <c r="H149" s="711">
        <f t="shared" si="167"/>
        <v>1.1158234490853072</v>
      </c>
      <c r="I149" s="711">
        <f t="shared" si="167"/>
        <v>2.0957696631089227</v>
      </c>
      <c r="J149" s="711">
        <f t="shared" si="167"/>
        <v>2.4802707260685533</v>
      </c>
      <c r="K149" s="711">
        <f>K147/K150</f>
        <v>2.9046621440873408</v>
      </c>
      <c r="L149" s="711">
        <f>L147/L150</f>
        <v>1.914180329939619</v>
      </c>
      <c r="M149" s="711">
        <f t="shared" si="167"/>
        <v>1.5400825369839728</v>
      </c>
      <c r="N149" s="711">
        <f t="shared" si="167"/>
        <v>1.1672126424362956</v>
      </c>
      <c r="O149" s="711">
        <f t="shared" si="167"/>
        <v>-4.5105734872022034E-3</v>
      </c>
      <c r="P149" s="711">
        <f t="shared" si="167"/>
        <v>0.69789490367851292</v>
      </c>
      <c r="Q149" s="711">
        <f>Q147/Q150</f>
        <v>0.30094393598771013</v>
      </c>
      <c r="R149" s="711">
        <f>R147/R150</f>
        <v>0.39950394113842219</v>
      </c>
      <c r="S149" s="711">
        <f>S147/S150</f>
        <v>0.34834858464847246</v>
      </c>
      <c r="T149" s="711">
        <f>T147/T150</f>
        <v>0.30105594467207997</v>
      </c>
    </row>
    <row r="150" spans="1:27">
      <c r="A150" s="23" t="s">
        <v>230</v>
      </c>
      <c r="B150" s="22"/>
      <c r="C150" s="115">
        <f t="shared" ref="C150:J150" si="168">C26</f>
        <v>95.11</v>
      </c>
      <c r="D150" s="115">
        <f t="shared" si="168"/>
        <v>91.221000000000004</v>
      </c>
      <c r="E150" s="115">
        <f t="shared" si="168"/>
        <v>92.01</v>
      </c>
      <c r="F150" s="115">
        <f t="shared" si="168"/>
        <v>91.522999999999996</v>
      </c>
      <c r="G150" s="115">
        <f>G26</f>
        <v>89.290999999999997</v>
      </c>
      <c r="H150" s="115">
        <f t="shared" si="168"/>
        <v>88.608999999999995</v>
      </c>
      <c r="I150" s="115">
        <f t="shared" si="168"/>
        <v>89.850999999999999</v>
      </c>
      <c r="J150" s="115">
        <f t="shared" si="168"/>
        <v>89.537000000000006</v>
      </c>
      <c r="K150" s="115">
        <f>K26</f>
        <v>83.175250000000005</v>
      </c>
      <c r="L150" s="115">
        <f>L26</f>
        <v>79.165999999999997</v>
      </c>
      <c r="M150" s="717">
        <f t="shared" ref="M150:R150" si="169">INDEX(M151:M153,MATCH($Y$155,$AA$155:$AA$157,0))</f>
        <v>72.936999999999998</v>
      </c>
      <c r="N150" s="717">
        <f t="shared" si="169"/>
        <v>69.417000000000002</v>
      </c>
      <c r="O150" s="717">
        <f t="shared" si="169"/>
        <v>68.284000000000006</v>
      </c>
      <c r="P150" s="717">
        <f t="shared" si="169"/>
        <v>69.403000000000006</v>
      </c>
      <c r="Q150" s="717">
        <f t="shared" si="169"/>
        <v>71.019499999999994</v>
      </c>
      <c r="R150" s="717">
        <f t="shared" si="169"/>
        <v>71.956999999999994</v>
      </c>
      <c r="S150" s="717">
        <f>INDEX(S151:S153,MATCH($Y$155,$AA$155:$AA$157,0))</f>
        <v>72.456999999999994</v>
      </c>
      <c r="T150" s="717">
        <f>INDEX(T151:T153,MATCH($Y$155,$AA$155:$AA$157,0))</f>
        <v>72.956999999999994</v>
      </c>
    </row>
    <row r="151" spans="1:27" hidden="1" outlineLevel="1">
      <c r="A151" s="710" t="s">
        <v>4</v>
      </c>
      <c r="B151" s="22"/>
      <c r="C151" s="115"/>
      <c r="D151" s="115"/>
      <c r="E151" s="115"/>
      <c r="F151" s="115"/>
      <c r="G151" s="115"/>
      <c r="H151" s="115"/>
      <c r="I151" s="115"/>
      <c r="J151" s="115"/>
      <c r="K151" s="115"/>
      <c r="L151" s="115"/>
      <c r="M151" s="717">
        <f t="shared" ref="M151:R151" si="170">M66</f>
        <v>72.936999999999998</v>
      </c>
      <c r="N151" s="717">
        <f t="shared" si="170"/>
        <v>69.417000000000002</v>
      </c>
      <c r="O151" s="717">
        <f t="shared" si="170"/>
        <v>68.284000000000006</v>
      </c>
      <c r="P151" s="717">
        <f t="shared" si="170"/>
        <v>69.403000000000006</v>
      </c>
      <c r="Q151" s="717">
        <f t="shared" si="170"/>
        <v>71.019499999999994</v>
      </c>
      <c r="R151" s="717">
        <f t="shared" si="170"/>
        <v>71.956999999999994</v>
      </c>
      <c r="S151" s="717">
        <f>S66</f>
        <v>72.456999999999994</v>
      </c>
      <c r="T151" s="717">
        <f>T66</f>
        <v>72.956999999999994</v>
      </c>
    </row>
    <row r="152" spans="1:27" hidden="1" outlineLevel="1">
      <c r="A152" s="710" t="s">
        <v>692</v>
      </c>
      <c r="B152" s="22"/>
      <c r="C152" s="115"/>
      <c r="D152" s="115"/>
      <c r="E152" s="115"/>
      <c r="F152" s="115"/>
      <c r="G152" s="115"/>
      <c r="H152" s="115"/>
      <c r="I152" s="115"/>
      <c r="J152" s="115"/>
      <c r="K152" s="115"/>
      <c r="L152" s="115"/>
      <c r="M152" s="717">
        <f t="shared" ref="M152:R152" si="171">M26</f>
        <v>72.936999999999998</v>
      </c>
      <c r="N152" s="717">
        <f t="shared" si="171"/>
        <v>69.417000000000002</v>
      </c>
      <c r="O152" s="717">
        <f t="shared" si="171"/>
        <v>68.284000000000006</v>
      </c>
      <c r="P152" s="717">
        <f t="shared" si="171"/>
        <v>69.403000000000006</v>
      </c>
      <c r="Q152" s="717">
        <f t="shared" si="171"/>
        <v>71.019499999999994</v>
      </c>
      <c r="R152" s="717">
        <f t="shared" si="171"/>
        <v>71.956999999999994</v>
      </c>
      <c r="S152" s="717">
        <f>S26</f>
        <v>72.456999999999994</v>
      </c>
      <c r="T152" s="717">
        <f>T26</f>
        <v>72.956999999999994</v>
      </c>
    </row>
    <row r="153" spans="1:27" hidden="1" outlineLevel="1">
      <c r="A153" s="710" t="s">
        <v>5</v>
      </c>
      <c r="B153" s="22"/>
      <c r="C153" s="115"/>
      <c r="D153" s="115"/>
      <c r="E153" s="115"/>
      <c r="F153" s="115"/>
      <c r="G153" s="115"/>
      <c r="H153" s="115"/>
      <c r="I153" s="115"/>
      <c r="J153" s="115"/>
      <c r="K153" s="115"/>
      <c r="L153" s="115"/>
      <c r="M153" s="717">
        <f t="shared" ref="M153:R153" si="172">M108</f>
        <v>72.936999999999998</v>
      </c>
      <c r="N153" s="717">
        <f t="shared" si="172"/>
        <v>69.417000000000002</v>
      </c>
      <c r="O153" s="717">
        <f t="shared" si="172"/>
        <v>68.284000000000006</v>
      </c>
      <c r="P153" s="717">
        <f t="shared" si="172"/>
        <v>69.403000000000006</v>
      </c>
      <c r="Q153" s="717">
        <f t="shared" si="172"/>
        <v>71.019499999999994</v>
      </c>
      <c r="R153" s="717">
        <f t="shared" si="172"/>
        <v>71.956999999999994</v>
      </c>
      <c r="S153" s="717">
        <f>S108</f>
        <v>72.456999999999994</v>
      </c>
      <c r="T153" s="717">
        <f>T108</f>
        <v>72.956999999999994</v>
      </c>
    </row>
    <row r="154" spans="1:27" ht="13.5" collapsed="1" thickBot="1">
      <c r="A154" s="23"/>
      <c r="B154" s="22"/>
      <c r="M154" s="598"/>
      <c r="N154" s="598"/>
      <c r="O154" s="598"/>
      <c r="P154" s="598"/>
      <c r="Q154" s="598"/>
      <c r="R154" s="598"/>
      <c r="S154" s="598"/>
      <c r="T154" s="598"/>
    </row>
    <row r="155" spans="1:27" ht="13.5" thickBot="1">
      <c r="A155" s="23" t="s">
        <v>274</v>
      </c>
      <c r="B155" s="22"/>
      <c r="C155" s="709">
        <f>C137+C138</f>
        <v>481.85899999999992</v>
      </c>
      <c r="D155" s="709">
        <f>D137+D138</f>
        <v>696.49800000000016</v>
      </c>
      <c r="E155" s="709">
        <f>E137+E138</f>
        <v>834.16199999999981</v>
      </c>
      <c r="F155" s="709">
        <f>F137+F138</f>
        <v>950.92400000000009</v>
      </c>
      <c r="G155" s="709">
        <f t="shared" ref="G155:P155" si="173">G137+G138</f>
        <v>718.81700000000001</v>
      </c>
      <c r="H155" s="709">
        <f>H137+H138</f>
        <v>376.32900000000001</v>
      </c>
      <c r="I155" s="709">
        <f>I137+I138</f>
        <v>470.87499999999977</v>
      </c>
      <c r="J155" s="709">
        <f>J137+J138</f>
        <v>569.45200000000011</v>
      </c>
      <c r="K155" s="709">
        <f>K137+K138</f>
        <v>586.54500000000064</v>
      </c>
      <c r="L155" s="709">
        <f>L137+L138</f>
        <v>435.86199999999985</v>
      </c>
      <c r="M155" s="718">
        <f t="shared" si="173"/>
        <v>402.91</v>
      </c>
      <c r="N155" s="718">
        <f t="shared" si="173"/>
        <v>341.51740000000035</v>
      </c>
      <c r="O155" s="718">
        <f t="shared" si="173"/>
        <v>184.74600000000009</v>
      </c>
      <c r="P155" s="718">
        <f t="shared" si="173"/>
        <v>276.71999999999963</v>
      </c>
      <c r="Q155" s="718">
        <f>Q137+Q138</f>
        <v>236.55197254905829</v>
      </c>
      <c r="R155" s="718">
        <f>R137+R138</f>
        <v>226.86828526414504</v>
      </c>
      <c r="S155" s="718">
        <f>S137+S138</f>
        <v>214.16461328962791</v>
      </c>
      <c r="T155" s="718">
        <f>T137+T138</f>
        <v>201.55618685624174</v>
      </c>
      <c r="X155" s="713" t="s">
        <v>750</v>
      </c>
      <c r="Y155" s="714" t="s">
        <v>692</v>
      </c>
      <c r="Z155" s="22"/>
      <c r="AA155" s="715" t="s">
        <v>4</v>
      </c>
    </row>
    <row r="156" spans="1:27">
      <c r="A156" s="23"/>
      <c r="B156" s="22"/>
      <c r="M156" s="598"/>
      <c r="N156" s="598"/>
      <c r="O156" s="598"/>
      <c r="P156" s="598"/>
      <c r="Q156" s="598"/>
      <c r="R156" s="598"/>
      <c r="S156" s="598"/>
      <c r="T156" s="598"/>
      <c r="X156" s="22"/>
      <c r="Y156" s="22"/>
      <c r="Z156" s="22"/>
      <c r="AA156" s="715" t="s">
        <v>692</v>
      </c>
    </row>
    <row r="157" spans="1:27">
      <c r="A157" s="26" t="s">
        <v>299</v>
      </c>
      <c r="B157" s="22"/>
      <c r="M157" s="598"/>
      <c r="N157" s="598"/>
      <c r="O157" s="598"/>
      <c r="P157" s="598"/>
      <c r="Q157" s="598"/>
      <c r="R157" s="598"/>
      <c r="S157" s="598"/>
      <c r="T157" s="598"/>
      <c r="X157" s="22"/>
      <c r="Y157" s="22"/>
      <c r="Z157" s="22"/>
      <c r="AA157" s="716" t="s">
        <v>5</v>
      </c>
    </row>
    <row r="158" spans="1:27">
      <c r="A158" s="23" t="s">
        <v>276</v>
      </c>
      <c r="B158" s="22"/>
      <c r="C158" s="92">
        <f t="shared" ref="C158:J158" si="174">C135/C131</f>
        <v>0.66356083896432605</v>
      </c>
      <c r="D158" s="92">
        <f t="shared" si="174"/>
        <v>0.66982483696775197</v>
      </c>
      <c r="E158" s="92">
        <f t="shared" si="174"/>
        <v>0.67008193227159563</v>
      </c>
      <c r="F158" s="92">
        <f t="shared" si="174"/>
        <v>0.67253982532430046</v>
      </c>
      <c r="G158" s="92">
        <f t="shared" si="174"/>
        <v>0.6690745874708709</v>
      </c>
      <c r="H158" s="92">
        <f t="shared" si="174"/>
        <v>0.6431673566946946</v>
      </c>
      <c r="I158" s="92">
        <f t="shared" si="174"/>
        <v>0.63925373099906135</v>
      </c>
      <c r="J158" s="92">
        <f t="shared" si="174"/>
        <v>0.61332093010727606</v>
      </c>
      <c r="K158" s="92">
        <f>K135/K131</f>
        <v>0.62443599313204634</v>
      </c>
      <c r="L158" s="92">
        <f>L135/L131</f>
        <v>0.62557673898569721</v>
      </c>
      <c r="M158" s="220">
        <f t="shared" ref="M158:R158" si="175">INDEX(M159:M161,MATCH($Y$155,$AA$155:$AA$157,0))</f>
        <v>0.61793575371992204</v>
      </c>
      <c r="N158" s="220">
        <f t="shared" si="175"/>
        <v>0.61903611581615847</v>
      </c>
      <c r="O158" s="220">
        <f t="shared" si="175"/>
        <v>0.60977653799214848</v>
      </c>
      <c r="P158" s="220">
        <f t="shared" si="175"/>
        <v>0.5966295319653333</v>
      </c>
      <c r="Q158" s="220">
        <f t="shared" si="175"/>
        <v>0.59507168181159409</v>
      </c>
      <c r="R158" s="220">
        <f t="shared" si="175"/>
        <v>0.59599999999999997</v>
      </c>
      <c r="S158" s="220">
        <f>INDEX(S159:S161,MATCH($Y$155,$AA$155:$AA$157,0))</f>
        <v>0.59499999999999997</v>
      </c>
      <c r="T158" s="220">
        <f>INDEX(T159:T161,MATCH($Y$155,$AA$155:$AA$157,0))</f>
        <v>0.59420000000000006</v>
      </c>
    </row>
    <row r="159" spans="1:27" hidden="1" outlineLevel="1">
      <c r="A159" s="710" t="s">
        <v>4</v>
      </c>
      <c r="B159" s="22"/>
      <c r="C159" s="92"/>
      <c r="D159" s="92"/>
      <c r="E159" s="92"/>
      <c r="F159" s="92"/>
      <c r="G159" s="92"/>
      <c r="H159" s="92"/>
      <c r="I159" s="92"/>
      <c r="J159" s="92"/>
      <c r="K159" s="92"/>
      <c r="L159" s="92"/>
      <c r="M159" s="220">
        <f t="shared" ref="M159:R159" si="176">M71</f>
        <v>0.61793575371992204</v>
      </c>
      <c r="N159" s="220">
        <f t="shared" si="176"/>
        <v>0.61903611581615847</v>
      </c>
      <c r="O159" s="220">
        <f t="shared" si="176"/>
        <v>0.60977653799214848</v>
      </c>
      <c r="P159" s="220">
        <f t="shared" si="176"/>
        <v>0.5966295319653333</v>
      </c>
      <c r="Q159" s="220">
        <f t="shared" si="176"/>
        <v>0.60107168181159409</v>
      </c>
      <c r="R159" s="220">
        <f t="shared" si="176"/>
        <v>0.60299999999999998</v>
      </c>
      <c r="S159" s="220">
        <f>S71</f>
        <v>0.60299999999999998</v>
      </c>
      <c r="T159" s="220">
        <f>T71</f>
        <v>0.60220000000000007</v>
      </c>
    </row>
    <row r="160" spans="1:27" hidden="1" outlineLevel="1">
      <c r="A160" s="710" t="s">
        <v>692</v>
      </c>
      <c r="B160" s="22"/>
      <c r="C160" s="92"/>
      <c r="D160" s="92"/>
      <c r="E160" s="92"/>
      <c r="F160" s="92"/>
      <c r="G160" s="92"/>
      <c r="H160" s="92"/>
      <c r="I160" s="92"/>
      <c r="J160" s="92"/>
      <c r="K160" s="92"/>
      <c r="L160" s="92"/>
      <c r="M160" s="220">
        <f t="shared" ref="M160:R160" si="177">M31</f>
        <v>0.61793575371992204</v>
      </c>
      <c r="N160" s="220">
        <f t="shared" si="177"/>
        <v>0.61903611581615847</v>
      </c>
      <c r="O160" s="220">
        <f t="shared" si="177"/>
        <v>0.60977653799214848</v>
      </c>
      <c r="P160" s="220">
        <f t="shared" si="177"/>
        <v>0.5966295319653333</v>
      </c>
      <c r="Q160" s="220">
        <f t="shared" si="177"/>
        <v>0.59507168181159409</v>
      </c>
      <c r="R160" s="220">
        <f t="shared" si="177"/>
        <v>0.59599999999999997</v>
      </c>
      <c r="S160" s="220">
        <f>S31</f>
        <v>0.59499999999999997</v>
      </c>
      <c r="T160" s="220">
        <f>T31</f>
        <v>0.59420000000000006</v>
      </c>
    </row>
    <row r="161" spans="1:20" hidden="1" outlineLevel="1">
      <c r="A161" s="710" t="s">
        <v>5</v>
      </c>
      <c r="B161" s="22"/>
      <c r="C161" s="92"/>
      <c r="D161" s="92"/>
      <c r="E161" s="92"/>
      <c r="F161" s="92"/>
      <c r="G161" s="92"/>
      <c r="H161" s="92"/>
      <c r="I161" s="92"/>
      <c r="J161" s="92"/>
      <c r="K161" s="92"/>
      <c r="L161" s="92"/>
      <c r="M161" s="220">
        <f t="shared" ref="M161:R161" si="178">M113</f>
        <v>0.61793575371992204</v>
      </c>
      <c r="N161" s="220">
        <f t="shared" si="178"/>
        <v>0.61903611581615847</v>
      </c>
      <c r="O161" s="220">
        <f t="shared" si="178"/>
        <v>0.60977653799214848</v>
      </c>
      <c r="P161" s="220">
        <f t="shared" si="178"/>
        <v>0.5966295319653333</v>
      </c>
      <c r="Q161" s="220">
        <f t="shared" si="178"/>
        <v>0.58407168181159408</v>
      </c>
      <c r="R161" s="220">
        <f t="shared" si="178"/>
        <v>0.58099999999999996</v>
      </c>
      <c r="S161" s="220">
        <f>S113</f>
        <v>0.57899999999999996</v>
      </c>
      <c r="T161" s="220">
        <f>T113</f>
        <v>0.57820000000000005</v>
      </c>
    </row>
    <row r="162" spans="1:20" collapsed="1">
      <c r="A162" s="23" t="s">
        <v>301</v>
      </c>
      <c r="B162" s="22"/>
      <c r="C162" s="92">
        <f t="shared" ref="C162:J162" si="179">C136/C131</f>
        <v>0.47751544338316709</v>
      </c>
      <c r="D162" s="92">
        <f t="shared" si="179"/>
        <v>0.46308419587856786</v>
      </c>
      <c r="E162" s="92">
        <f t="shared" si="179"/>
        <v>0.46059072351786268</v>
      </c>
      <c r="F162" s="92">
        <f t="shared" si="179"/>
        <v>0.46516703174565421</v>
      </c>
      <c r="G162" s="92">
        <f t="shared" si="179"/>
        <v>0.5274342526543051</v>
      </c>
      <c r="H162" s="92">
        <f t="shared" si="179"/>
        <v>0.59619070382858852</v>
      </c>
      <c r="I162" s="92">
        <f t="shared" si="179"/>
        <v>0.56956863170178762</v>
      </c>
      <c r="J162" s="92">
        <f t="shared" si="179"/>
        <v>0.53239469002115891</v>
      </c>
      <c r="K162" s="92">
        <f>K136/K131</f>
        <v>0.54411773508276229</v>
      </c>
      <c r="L162" s="92">
        <f>L136/L131</f>
        <v>0.57684537650565471</v>
      </c>
      <c r="M162" s="220">
        <f t="shared" ref="M162:R162" si="180">INDEX(M163:M165,MATCH($Y$155,$AA$155:$AA$157,0))</f>
        <v>0.57079697545158559</v>
      </c>
      <c r="N162" s="220">
        <f t="shared" si="180"/>
        <v>0.58270504848409066</v>
      </c>
      <c r="O162" s="220">
        <f t="shared" si="180"/>
        <v>0.61298328092967891</v>
      </c>
      <c r="P162" s="220">
        <f t="shared" si="180"/>
        <v>0.57241524441046876</v>
      </c>
      <c r="Q162" s="220">
        <f t="shared" si="180"/>
        <v>0.57895018131218645</v>
      </c>
      <c r="R162" s="220">
        <f t="shared" si="180"/>
        <v>0.58119999999999994</v>
      </c>
      <c r="S162" s="220">
        <f>INDEX(S163:S165,MATCH($Y$155,$AA$155:$AA$157,0))</f>
        <v>0.58150000000000002</v>
      </c>
      <c r="T162" s="220">
        <f>INDEX(T163:T165,MATCH($Y$155,$AA$155:$AA$157,0))</f>
        <v>0.58189999999999997</v>
      </c>
    </row>
    <row r="163" spans="1:20" hidden="1" outlineLevel="1">
      <c r="A163" s="710" t="s">
        <v>4</v>
      </c>
      <c r="B163" s="22"/>
      <c r="C163" s="92"/>
      <c r="D163" s="92"/>
      <c r="E163" s="92"/>
      <c r="F163" s="92"/>
      <c r="G163" s="92"/>
      <c r="H163" s="92"/>
      <c r="I163" s="92"/>
      <c r="J163" s="92"/>
      <c r="K163" s="92"/>
      <c r="L163" s="92"/>
      <c r="M163" s="220">
        <f t="shared" ref="M163:R163" si="181">M72</f>
        <v>0.57079697545158559</v>
      </c>
      <c r="N163" s="220">
        <f t="shared" si="181"/>
        <v>0.58270504848409066</v>
      </c>
      <c r="O163" s="220">
        <f t="shared" si="181"/>
        <v>0.61298328092967891</v>
      </c>
      <c r="P163" s="220">
        <f t="shared" si="181"/>
        <v>0.57241524441046876</v>
      </c>
      <c r="Q163" s="220">
        <f t="shared" si="181"/>
        <v>0.56395018131218644</v>
      </c>
      <c r="R163" s="220">
        <f t="shared" si="181"/>
        <v>0.55619999999999992</v>
      </c>
      <c r="S163" s="220">
        <f>S72</f>
        <v>0.55149999999999999</v>
      </c>
      <c r="T163" s="220">
        <f>T72</f>
        <v>0.55189999999999995</v>
      </c>
    </row>
    <row r="164" spans="1:20" hidden="1" outlineLevel="1">
      <c r="A164" s="710" t="s">
        <v>692</v>
      </c>
      <c r="B164" s="22"/>
      <c r="C164" s="92"/>
      <c r="D164" s="92"/>
      <c r="E164" s="92"/>
      <c r="F164" s="92"/>
      <c r="G164" s="92"/>
      <c r="H164" s="92"/>
      <c r="I164" s="92"/>
      <c r="J164" s="92"/>
      <c r="K164" s="92"/>
      <c r="L164" s="92"/>
      <c r="M164" s="220">
        <f t="shared" ref="M164:R164" si="182">M32</f>
        <v>0.57079697545158559</v>
      </c>
      <c r="N164" s="220">
        <f t="shared" si="182"/>
        <v>0.58270504848409066</v>
      </c>
      <c r="O164" s="220">
        <f t="shared" si="182"/>
        <v>0.61298328092967891</v>
      </c>
      <c r="P164" s="220">
        <f t="shared" si="182"/>
        <v>0.57241524441046876</v>
      </c>
      <c r="Q164" s="220">
        <f t="shared" si="182"/>
        <v>0.57895018131218645</v>
      </c>
      <c r="R164" s="220">
        <f t="shared" si="182"/>
        <v>0.58119999999999994</v>
      </c>
      <c r="S164" s="220">
        <f>S32</f>
        <v>0.58150000000000002</v>
      </c>
      <c r="T164" s="220">
        <f>T32</f>
        <v>0.58189999999999997</v>
      </c>
    </row>
    <row r="165" spans="1:20" hidden="1" outlineLevel="1">
      <c r="A165" s="710" t="s">
        <v>5</v>
      </c>
      <c r="B165" s="22"/>
      <c r="C165" s="92"/>
      <c r="D165" s="92"/>
      <c r="E165" s="92"/>
      <c r="F165" s="92"/>
      <c r="G165" s="92"/>
      <c r="H165" s="92"/>
      <c r="I165" s="92"/>
      <c r="J165" s="92"/>
      <c r="K165" s="92"/>
      <c r="L165" s="92"/>
      <c r="M165" s="220">
        <f t="shared" ref="M165:R165" si="183">M114</f>
        <v>0.57079697545158559</v>
      </c>
      <c r="N165" s="220">
        <f t="shared" si="183"/>
        <v>0.58270504848409066</v>
      </c>
      <c r="O165" s="220">
        <f t="shared" si="183"/>
        <v>0.61298328092967891</v>
      </c>
      <c r="P165" s="220">
        <f t="shared" si="183"/>
        <v>0.57241524441046876</v>
      </c>
      <c r="Q165" s="220">
        <f t="shared" si="183"/>
        <v>0.61395018131218648</v>
      </c>
      <c r="R165" s="220">
        <f t="shared" si="183"/>
        <v>0.63419999999999999</v>
      </c>
      <c r="S165" s="220">
        <f>S114</f>
        <v>0.66149999999999998</v>
      </c>
      <c r="T165" s="220">
        <f>T114</f>
        <v>0.66189999999999993</v>
      </c>
    </row>
    <row r="166" spans="1:20" collapsed="1">
      <c r="A166" s="23" t="s">
        <v>278</v>
      </c>
      <c r="B166" s="22"/>
      <c r="C166" s="92">
        <f>C138/C131</f>
        <v>0.18604539558115901</v>
      </c>
      <c r="D166" s="92">
        <f>D138/D131</f>
        <v>0.20674064108918405</v>
      </c>
      <c r="E166" s="92">
        <f>E138/E131</f>
        <v>0.209491208753733</v>
      </c>
      <c r="F166" s="92">
        <f>F138/F131</f>
        <v>0.20737279357864627</v>
      </c>
      <c r="G166" s="92">
        <f t="shared" ref="G166:P166" si="184">G138/G131</f>
        <v>0.14164033481656585</v>
      </c>
      <c r="H166" s="92">
        <f t="shared" si="184"/>
        <v>4.6976652866106104E-2</v>
      </c>
      <c r="I166" s="92">
        <f t="shared" si="184"/>
        <v>6.9685099297273664E-2</v>
      </c>
      <c r="J166" s="92">
        <f t="shared" si="184"/>
        <v>8.0926240086117152E-2</v>
      </c>
      <c r="K166" s="92">
        <f>K138/K131</f>
        <v>8.0318258049284025E-2</v>
      </c>
      <c r="L166" s="92">
        <f>L138/L131</f>
        <v>4.8731362480042575E-2</v>
      </c>
      <c r="M166" s="220">
        <f t="shared" si="184"/>
        <v>4.713877826833654E-2</v>
      </c>
      <c r="N166" s="220">
        <f t="shared" si="184"/>
        <v>3.6331067332067798E-2</v>
      </c>
      <c r="O166" s="220">
        <f t="shared" si="184"/>
        <v>-3.206742937530403E-3</v>
      </c>
      <c r="P166" s="220">
        <f t="shared" si="184"/>
        <v>2.4214287554864489E-2</v>
      </c>
      <c r="Q166" s="220">
        <f>Q138/Q131</f>
        <v>1.6121500499407616E-2</v>
      </c>
      <c r="R166" s="220">
        <f>R138/R131</f>
        <v>1.4800000000000091E-2</v>
      </c>
      <c r="S166" s="220">
        <f>S138/S131</f>
        <v>1.3499999999999924E-2</v>
      </c>
      <c r="T166" s="220">
        <f>T138/T131</f>
        <v>1.2300000000000104E-2</v>
      </c>
    </row>
    <row r="167" spans="1:20">
      <c r="A167" s="23" t="s">
        <v>303</v>
      </c>
      <c r="B167" s="22"/>
      <c r="C167" s="92">
        <f t="shared" ref="C167:J167" si="185">C144/C142</f>
        <v>0.38542060920285159</v>
      </c>
      <c r="D167" s="92">
        <f t="shared" si="185"/>
        <v>0.39197829214921059</v>
      </c>
      <c r="E167" s="92">
        <f t="shared" si="185"/>
        <v>0.37275824044613959</v>
      </c>
      <c r="F167" s="92">
        <f t="shared" si="185"/>
        <v>0.37432136155148876</v>
      </c>
      <c r="G167" s="92">
        <f t="shared" si="185"/>
        <v>0.39029756017786638</v>
      </c>
      <c r="H167" s="92">
        <f t="shared" si="185"/>
        <v>0.35255058607818751</v>
      </c>
      <c r="I167" s="92">
        <f t="shared" si="185"/>
        <v>0.24196911632101012</v>
      </c>
      <c r="J167" s="92">
        <f t="shared" si="185"/>
        <v>0.35233662303725988</v>
      </c>
      <c r="K167" s="92">
        <f>K144/K142</f>
        <v>0.35461673055603732</v>
      </c>
      <c r="L167" s="92">
        <f>L144/L142</f>
        <v>0.29892204487624352</v>
      </c>
      <c r="M167" s="220">
        <f t="shared" ref="M167:R167" si="186">INDEX(M168:M170,MATCH($Y$155,$AA$155:$AA$157,0))</f>
        <v>0.36661817443670064</v>
      </c>
      <c r="N167" s="220">
        <f t="shared" si="186"/>
        <v>0.31475439228561142</v>
      </c>
      <c r="O167" s="220">
        <f t="shared" si="186"/>
        <v>0.98000519345623749</v>
      </c>
      <c r="P167" s="220">
        <f t="shared" si="186"/>
        <v>0.42263863062032081</v>
      </c>
      <c r="Q167" s="220">
        <f t="shared" si="186"/>
        <v>0.51552948678368404</v>
      </c>
      <c r="R167" s="220">
        <f t="shared" si="186"/>
        <v>0.27</v>
      </c>
      <c r="S167" s="220">
        <f>INDEX(S168:S170,MATCH($Y$155,$AA$155:$AA$157,0))</f>
        <v>0.27</v>
      </c>
      <c r="T167" s="220">
        <f>INDEX(T168:T170,MATCH($Y$155,$AA$155:$AA$157,0))</f>
        <v>0.27</v>
      </c>
    </row>
    <row r="168" spans="1:20" hidden="1" outlineLevel="1">
      <c r="A168" s="710" t="s">
        <v>4</v>
      </c>
      <c r="B168" s="22"/>
      <c r="C168" s="92"/>
      <c r="D168" s="92"/>
      <c r="E168" s="92"/>
      <c r="F168" s="92"/>
      <c r="G168" s="92"/>
      <c r="H168" s="92"/>
      <c r="I168" s="92"/>
      <c r="J168" s="92"/>
      <c r="K168" s="92"/>
      <c r="L168" s="92"/>
      <c r="M168" s="220">
        <f t="shared" ref="M168:R168" si="187">M74</f>
        <v>0.36661817443670064</v>
      </c>
      <c r="N168" s="220">
        <f t="shared" si="187"/>
        <v>0.31475439228561142</v>
      </c>
      <c r="O168" s="220">
        <f t="shared" si="187"/>
        <v>0.98000519345623749</v>
      </c>
      <c r="P168" s="220">
        <f t="shared" si="187"/>
        <v>0.42263863062032081</v>
      </c>
      <c r="Q168" s="220">
        <f t="shared" si="187"/>
        <v>0.51552948678368404</v>
      </c>
      <c r="R168" s="220">
        <f t="shared" si="187"/>
        <v>0.27</v>
      </c>
      <c r="S168" s="220">
        <f>S74</f>
        <v>0.27</v>
      </c>
      <c r="T168" s="220">
        <f>T74</f>
        <v>0.27</v>
      </c>
    </row>
    <row r="169" spans="1:20" hidden="1" outlineLevel="1">
      <c r="A169" s="710" t="s">
        <v>692</v>
      </c>
      <c r="B169" s="22"/>
      <c r="C169" s="92"/>
      <c r="D169" s="92"/>
      <c r="E169" s="92"/>
      <c r="F169" s="92"/>
      <c r="G169" s="92"/>
      <c r="H169" s="92"/>
      <c r="I169" s="92"/>
      <c r="J169" s="92"/>
      <c r="K169" s="92"/>
      <c r="L169" s="92"/>
      <c r="M169" s="220">
        <f t="shared" ref="M169:R169" si="188">M34</f>
        <v>0.36661817443670064</v>
      </c>
      <c r="N169" s="220">
        <f t="shared" si="188"/>
        <v>0.31475439228561142</v>
      </c>
      <c r="O169" s="220">
        <f t="shared" si="188"/>
        <v>0.98000519345623749</v>
      </c>
      <c r="P169" s="220">
        <f t="shared" si="188"/>
        <v>0.42263863062032081</v>
      </c>
      <c r="Q169" s="220">
        <f t="shared" si="188"/>
        <v>0.51552948678368404</v>
      </c>
      <c r="R169" s="220">
        <f t="shared" si="188"/>
        <v>0.27</v>
      </c>
      <c r="S169" s="220">
        <f>S34</f>
        <v>0.27</v>
      </c>
      <c r="T169" s="220">
        <f>T34</f>
        <v>0.27</v>
      </c>
    </row>
    <row r="170" spans="1:20" hidden="1" outlineLevel="1">
      <c r="A170" s="710" t="s">
        <v>5</v>
      </c>
      <c r="B170" s="22"/>
      <c r="C170" s="92"/>
      <c r="D170" s="92"/>
      <c r="E170" s="92"/>
      <c r="F170" s="92"/>
      <c r="G170" s="92"/>
      <c r="H170" s="92"/>
      <c r="I170" s="92"/>
      <c r="J170" s="92"/>
      <c r="K170" s="92"/>
      <c r="L170" s="92"/>
      <c r="M170" s="220">
        <f t="shared" ref="M170:R170" si="189">M116</f>
        <v>0.36661817443670064</v>
      </c>
      <c r="N170" s="220">
        <f t="shared" si="189"/>
        <v>0.31475439228561142</v>
      </c>
      <c r="O170" s="220">
        <f t="shared" si="189"/>
        <v>0.98000519345623749</v>
      </c>
      <c r="P170" s="220">
        <f t="shared" si="189"/>
        <v>0.42263863062032081</v>
      </c>
      <c r="Q170" s="220">
        <f t="shared" si="189"/>
        <v>0.51552948678368404</v>
      </c>
      <c r="R170" s="220">
        <f t="shared" si="189"/>
        <v>0.27</v>
      </c>
      <c r="S170" s="220">
        <f>S116</f>
        <v>0.27</v>
      </c>
      <c r="T170" s="220">
        <f>T116</f>
        <v>0.27</v>
      </c>
    </row>
    <row r="171" spans="1:20" collapsed="1">
      <c r="A171" s="23"/>
      <c r="B171" s="22"/>
      <c r="M171" s="598"/>
      <c r="N171" s="598"/>
      <c r="O171" s="598"/>
      <c r="P171" s="598"/>
      <c r="Q171" s="598"/>
      <c r="R171" s="598"/>
      <c r="S171" s="598"/>
      <c r="T171" s="598"/>
    </row>
    <row r="172" spans="1:20">
      <c r="A172" s="26" t="s">
        <v>304</v>
      </c>
      <c r="B172" s="22"/>
      <c r="M172" s="598"/>
      <c r="N172" s="598"/>
      <c r="O172" s="598"/>
      <c r="P172" s="598"/>
      <c r="Q172" s="598"/>
      <c r="R172" s="598"/>
      <c r="S172" s="598"/>
      <c r="T172" s="598"/>
    </row>
    <row r="173" spans="1:20">
      <c r="A173" s="23" t="s">
        <v>145</v>
      </c>
      <c r="B173" s="22"/>
      <c r="C173" s="643" t="s">
        <v>251</v>
      </c>
      <c r="D173" s="639">
        <f t="shared" ref="D173:L173" si="190">((D131/C131)-1)</f>
        <v>0.36952802567119236</v>
      </c>
      <c r="E173" s="639">
        <f t="shared" si="190"/>
        <v>0.18640947573915412</v>
      </c>
      <c r="F173" s="639">
        <f t="shared" si="190"/>
        <v>0.12650966330671687</v>
      </c>
      <c r="G173" s="639">
        <f t="shared" si="190"/>
        <v>-5.8275418038866378E-2</v>
      </c>
      <c r="H173" s="639">
        <f t="shared" si="190"/>
        <v>-0.1594210427670959</v>
      </c>
      <c r="I173" s="639">
        <f t="shared" si="190"/>
        <v>0.18443843100431079</v>
      </c>
      <c r="J173" s="639">
        <f t="shared" si="190"/>
        <v>0.19871043849473136</v>
      </c>
      <c r="K173" s="639">
        <f t="shared" si="190"/>
        <v>8.4834554977347709E-2</v>
      </c>
      <c r="L173" s="639">
        <f t="shared" si="190"/>
        <v>-8.7325433043547784E-2</v>
      </c>
      <c r="M173" s="719">
        <f t="shared" ref="M173:R173" si="191">M174+M183</f>
        <v>-9.0569912242157158E-2</v>
      </c>
      <c r="N173" s="719">
        <f t="shared" si="191"/>
        <v>-6.0189154467245043E-2</v>
      </c>
      <c r="O173" s="719">
        <f t="shared" si="191"/>
        <v>-5.454886491525246E-2</v>
      </c>
      <c r="P173" s="719">
        <f t="shared" si="191"/>
        <v>4.9883669899060346E-2</v>
      </c>
      <c r="Q173" s="719">
        <f t="shared" si="191"/>
        <v>4.3434602598568794E-3</v>
      </c>
      <c r="R173" s="719">
        <f t="shared" si="191"/>
        <v>-1.9403780582866181E-3</v>
      </c>
      <c r="S173" s="719">
        <f>S174+S183</f>
        <v>-5.3419200291184854E-3</v>
      </c>
      <c r="T173" s="719">
        <f>T174+T183</f>
        <v>-7.2155156337015969E-3</v>
      </c>
    </row>
    <row r="174" spans="1:20">
      <c r="A174" s="23" t="s">
        <v>231</v>
      </c>
      <c r="B174" s="22"/>
      <c r="C174" s="92">
        <f t="shared" ref="C174:K174" si="192">C38</f>
        <v>0.02</v>
      </c>
      <c r="D174" s="92">
        <f t="shared" si="192"/>
        <v>0.26</v>
      </c>
      <c r="E174" s="92">
        <f t="shared" si="192"/>
        <v>0.02</v>
      </c>
      <c r="F174" s="92">
        <f t="shared" si="192"/>
        <v>-0.01</v>
      </c>
      <c r="G174" s="92">
        <f t="shared" si="192"/>
        <v>-0.13</v>
      </c>
      <c r="H174" s="92">
        <f t="shared" si="192"/>
        <v>-0.23</v>
      </c>
      <c r="I174" s="92">
        <f t="shared" si="192"/>
        <v>3.076657134320715E-2</v>
      </c>
      <c r="J174" s="92">
        <f t="shared" si="192"/>
        <v>7.4777962024644984E-3</v>
      </c>
      <c r="K174" s="92">
        <f t="shared" si="192"/>
        <v>-4.9657853905901835E-2</v>
      </c>
      <c r="L174" s="92">
        <f>L38</f>
        <v>-0.11</v>
      </c>
      <c r="M174" s="220">
        <f t="shared" ref="M174:R174" si="193">INDEX(M175:M177,MATCH($Y$155,$AA$155:$AA$157,0))</f>
        <v>-7.9683968878454511E-2</v>
      </c>
      <c r="N174" s="220">
        <f t="shared" si="193"/>
        <v>-0.03</v>
      </c>
      <c r="O174" s="220">
        <f t="shared" si="193"/>
        <v>-0.05</v>
      </c>
      <c r="P174" s="220">
        <f t="shared" si="193"/>
        <v>0.03</v>
      </c>
      <c r="Q174" s="220">
        <f t="shared" si="193"/>
        <v>-1.1912052448902445E-3</v>
      </c>
      <c r="R174" s="220">
        <f t="shared" si="193"/>
        <v>-1.1958268990164398E-2</v>
      </c>
      <c r="S174" s="220">
        <f>INDEX(S175:S177,MATCH($Y$155,$AA$155:$AA$157,0))</f>
        <v>-1.1688112704915718E-2</v>
      </c>
      <c r="T174" s="220">
        <f>INDEX(T175:T177,MATCH($Y$155,$AA$155:$AA$157,0))</f>
        <v>-1.1378564297995202E-2</v>
      </c>
    </row>
    <row r="175" spans="1:20" hidden="1" outlineLevel="1">
      <c r="A175" s="710" t="s">
        <v>4</v>
      </c>
      <c r="B175" s="22"/>
      <c r="C175" s="712"/>
      <c r="D175" s="712"/>
      <c r="E175" s="712"/>
      <c r="F175" s="712"/>
      <c r="G175" s="712"/>
      <c r="H175" s="92"/>
      <c r="I175" s="92"/>
      <c r="J175" s="92"/>
      <c r="K175" s="92"/>
      <c r="L175" s="92"/>
      <c r="M175" s="220">
        <f t="shared" ref="M175:R175" si="194">M78</f>
        <v>-7.9683968878454511E-2</v>
      </c>
      <c r="N175" s="220">
        <f t="shared" si="194"/>
        <v>-0.03</v>
      </c>
      <c r="O175" s="220">
        <f t="shared" si="194"/>
        <v>-0.05</v>
      </c>
      <c r="P175" s="220">
        <f t="shared" si="194"/>
        <v>0.01</v>
      </c>
      <c r="Q175" s="220">
        <f t="shared" si="194"/>
        <v>0.01</v>
      </c>
      <c r="R175" s="220">
        <f t="shared" si="194"/>
        <v>0.01</v>
      </c>
      <c r="S175" s="220">
        <f>S78</f>
        <v>0.01</v>
      </c>
      <c r="T175" s="220">
        <f>T78</f>
        <v>0.01</v>
      </c>
    </row>
    <row r="176" spans="1:20" hidden="1" outlineLevel="1">
      <c r="A176" s="710" t="s">
        <v>692</v>
      </c>
      <c r="B176" s="22"/>
      <c r="C176" s="712"/>
      <c r="D176" s="712"/>
      <c r="E176" s="712"/>
      <c r="F176" s="712"/>
      <c r="G176" s="712"/>
      <c r="H176" s="92"/>
      <c r="I176" s="92"/>
      <c r="J176" s="92"/>
      <c r="K176" s="92"/>
      <c r="L176" s="92"/>
      <c r="M176" s="220">
        <f t="shared" ref="M176:R176" si="195">M38</f>
        <v>-7.9683968878454511E-2</v>
      </c>
      <c r="N176" s="220">
        <f t="shared" si="195"/>
        <v>-0.03</v>
      </c>
      <c r="O176" s="220">
        <f t="shared" si="195"/>
        <v>-0.05</v>
      </c>
      <c r="P176" s="220">
        <f t="shared" si="195"/>
        <v>0.03</v>
      </c>
      <c r="Q176" s="220">
        <f t="shared" si="195"/>
        <v>-1.1912052448902445E-3</v>
      </c>
      <c r="R176" s="220">
        <f t="shared" si="195"/>
        <v>-1.1958268990164398E-2</v>
      </c>
      <c r="S176" s="220">
        <f>S38</f>
        <v>-1.1688112704915718E-2</v>
      </c>
      <c r="T176" s="220">
        <f>T38</f>
        <v>-1.1378564297995202E-2</v>
      </c>
    </row>
    <row r="177" spans="1:20" hidden="1" outlineLevel="1">
      <c r="A177" s="710" t="s">
        <v>5</v>
      </c>
      <c r="B177" s="22"/>
      <c r="C177" s="712"/>
      <c r="D177" s="712"/>
      <c r="E177" s="712"/>
      <c r="F177" s="712"/>
      <c r="G177" s="712"/>
      <c r="H177" s="92"/>
      <c r="I177" s="92"/>
      <c r="J177" s="92"/>
      <c r="K177" s="92"/>
      <c r="L177" s="92"/>
      <c r="M177" s="220">
        <f t="shared" ref="M177:R177" si="196">M120</f>
        <v>-7.9683968878454511E-2</v>
      </c>
      <c r="N177" s="220">
        <f t="shared" si="196"/>
        <v>-0.03</v>
      </c>
      <c r="O177" s="220">
        <f t="shared" si="196"/>
        <v>-0.05</v>
      </c>
      <c r="P177" s="220">
        <f t="shared" si="196"/>
        <v>9.9999999999999985E-3</v>
      </c>
      <c r="Q177" s="220">
        <f t="shared" si="196"/>
        <v>-0.03</v>
      </c>
      <c r="R177" s="220">
        <f t="shared" si="196"/>
        <v>-4.1958268990164395E-2</v>
      </c>
      <c r="S177" s="220">
        <f>S120</f>
        <v>-4.1688112704915715E-2</v>
      </c>
      <c r="T177" s="220">
        <f>T120</f>
        <v>-4.1378564297995205E-2</v>
      </c>
    </row>
    <row r="178" spans="1:20" collapsed="1">
      <c r="A178" s="23" t="s">
        <v>292</v>
      </c>
      <c r="B178" s="22"/>
      <c r="C178" s="643" t="s">
        <v>251</v>
      </c>
      <c r="D178" s="639">
        <f>((D136/C136)-1)</f>
        <v>0.32813879276404401</v>
      </c>
      <c r="E178" s="639">
        <f>((E136/D136)-1)</f>
        <v>0.1800212654254294</v>
      </c>
      <c r="F178" s="639">
        <f>((F136/E136)-1)</f>
        <v>0.13770236688854931</v>
      </c>
      <c r="G178" s="639">
        <f>((G136/F136)-1)</f>
        <v>6.7783757651261656E-2</v>
      </c>
      <c r="H178" s="639">
        <f t="shared" ref="H178:T178" si="197">((H136/G136)-1)</f>
        <v>-4.9842975471957929E-2</v>
      </c>
      <c r="I178" s="639">
        <f t="shared" si="197"/>
        <v>0.13154896939838578</v>
      </c>
      <c r="J178" s="639">
        <f t="shared" si="197"/>
        <v>0.12047440256799336</v>
      </c>
      <c r="K178" s="639">
        <f t="shared" si="197"/>
        <v>0.10872202908397033</v>
      </c>
      <c r="L178" s="639">
        <f t="shared" si="197"/>
        <v>-3.2429802856817846E-2</v>
      </c>
      <c r="M178" s="719">
        <f t="shared" si="197"/>
        <v>-0.10010556620668676</v>
      </c>
      <c r="N178" s="719">
        <f t="shared" si="197"/>
        <v>-4.058264520624133E-2</v>
      </c>
      <c r="O178" s="719">
        <f t="shared" si="197"/>
        <v>-5.4217991578621172E-3</v>
      </c>
      <c r="P178" s="719">
        <f t="shared" si="197"/>
        <v>-1.959900668681791E-2</v>
      </c>
      <c r="Q178" s="719">
        <f t="shared" si="197"/>
        <v>1.5809474144952818E-2</v>
      </c>
      <c r="R178" s="719">
        <f t="shared" si="197"/>
        <v>1.9381131512803407E-3</v>
      </c>
      <c r="S178" s="719">
        <f t="shared" si="197"/>
        <v>-4.8285039520513662E-3</v>
      </c>
      <c r="T178" s="719">
        <f t="shared" si="197"/>
        <v>-6.5326028327619134E-3</v>
      </c>
    </row>
    <row r="179" spans="1:20">
      <c r="A179" s="23" t="s">
        <v>307</v>
      </c>
      <c r="B179" s="22"/>
      <c r="C179" s="643" t="s">
        <v>251</v>
      </c>
      <c r="D179" s="639">
        <f>((D138/C138)-1)</f>
        <v>0.52187105266656975</v>
      </c>
      <c r="E179" s="639">
        <f>((E138/D138)-1)</f>
        <v>0.20219398488883233</v>
      </c>
      <c r="F179" s="639">
        <f>((F138/E138)-1)</f>
        <v>0.11511818210887736</v>
      </c>
      <c r="G179" s="639">
        <f>((G138/F138)-1)</f>
        <v>-0.35678069050374883</v>
      </c>
      <c r="H179" s="639">
        <f t="shared" ref="H179:T179" si="198">((H138/G138)-1)</f>
        <v>-0.72121228086884448</v>
      </c>
      <c r="I179" s="639">
        <f t="shared" si="198"/>
        <v>0.75699426502976341</v>
      </c>
      <c r="J179" s="639">
        <f t="shared" si="198"/>
        <v>0.3920785034047396</v>
      </c>
      <c r="K179" s="639">
        <f t="shared" si="198"/>
        <v>7.6684418239742813E-2</v>
      </c>
      <c r="L179" s="639">
        <f t="shared" si="198"/>
        <v>-0.44625448523323352</v>
      </c>
      <c r="M179" s="719">
        <f t="shared" si="198"/>
        <v>-0.12029089531556769</v>
      </c>
      <c r="N179" s="719">
        <f t="shared" si="198"/>
        <v>-0.27566363909365277</v>
      </c>
      <c r="O179" s="719">
        <f t="shared" si="198"/>
        <v>-1.0834497572697808</v>
      </c>
      <c r="P179" s="719">
        <f t="shared" si="198"/>
        <v>-8.9277277840270415</v>
      </c>
      <c r="Q179" s="719">
        <f t="shared" si="198"/>
        <v>-0.33132356013079189</v>
      </c>
      <c r="R179" s="719">
        <f t="shared" si="198"/>
        <v>-8.3752631755324547E-2</v>
      </c>
      <c r="S179" s="719">
        <f t="shared" si="198"/>
        <v>-9.2710535161706686E-2</v>
      </c>
      <c r="T179" s="719">
        <f t="shared" si="198"/>
        <v>-9.546302535513751E-2</v>
      </c>
    </row>
    <row r="180" spans="1:20">
      <c r="A180" s="23" t="s">
        <v>308</v>
      </c>
      <c r="B180" s="22"/>
      <c r="C180" s="643" t="s">
        <v>251</v>
      </c>
      <c r="D180" s="639">
        <f>((D149/C149)-1)</f>
        <v>0.5629419667570883</v>
      </c>
      <c r="E180" s="639">
        <f>((E149/D149)-1)</f>
        <v>0.24568770378024651</v>
      </c>
      <c r="F180" s="639">
        <f>((F149/E149)-1)</f>
        <v>0.12375345586459474</v>
      </c>
      <c r="G180" s="639">
        <f>((G149/F149)-1)</f>
        <v>-0.35688054244010292</v>
      </c>
      <c r="H180" s="639">
        <f t="shared" ref="H180:T180" si="199">((H149/G149)-1)</f>
        <v>-0.68185652651187478</v>
      </c>
      <c r="I180" s="639">
        <f t="shared" si="199"/>
        <v>0.87822694067499962</v>
      </c>
      <c r="J180" s="639">
        <f t="shared" si="199"/>
        <v>0.18346532528257486</v>
      </c>
      <c r="K180" s="639">
        <f t="shared" si="199"/>
        <v>0.17110689311383576</v>
      </c>
      <c r="L180" s="639">
        <f t="shared" si="199"/>
        <v>-0.34099725373015322</v>
      </c>
      <c r="M180" s="719">
        <f t="shared" si="199"/>
        <v>-0.19543497919417374</v>
      </c>
      <c r="N180" s="719">
        <f t="shared" si="199"/>
        <v>-0.24211033213706101</v>
      </c>
      <c r="O180" s="719">
        <f t="shared" si="199"/>
        <v>-1.0038643973884547</v>
      </c>
      <c r="P180" s="719">
        <f t="shared" si="199"/>
        <v>-155.72420650248617</v>
      </c>
      <c r="Q180" s="719">
        <f t="shared" si="199"/>
        <v>-0.56878330189621118</v>
      </c>
      <c r="R180" s="719">
        <f t="shared" si="199"/>
        <v>0.32750287799365063</v>
      </c>
      <c r="S180" s="719">
        <f t="shared" si="199"/>
        <v>-0.1280471885813641</v>
      </c>
      <c r="T180" s="719">
        <f t="shared" si="199"/>
        <v>-0.13576240025236996</v>
      </c>
    </row>
    <row r="181" spans="1:20">
      <c r="A181" s="23" t="s">
        <v>274</v>
      </c>
      <c r="B181" s="22"/>
      <c r="C181" s="643" t="s">
        <v>251</v>
      </c>
      <c r="D181" s="639">
        <f>((D155/C155)-1)</f>
        <v>0.44543943352723581</v>
      </c>
      <c r="E181" s="639">
        <f>((E155/D155)-1)</f>
        <v>0.1976516802632593</v>
      </c>
      <c r="F181" s="639">
        <f>((F155/E155)-1)</f>
        <v>0.13997520865251634</v>
      </c>
      <c r="G181" s="639">
        <f>((G155/F155)-1)</f>
        <v>-0.2440857523839971</v>
      </c>
      <c r="H181" s="639">
        <f t="shared" ref="H181:T181" si="200">((H155/G155)-1)</f>
        <v>-0.47646062906136055</v>
      </c>
      <c r="I181" s="639">
        <f t="shared" si="200"/>
        <v>0.25123229939760083</v>
      </c>
      <c r="J181" s="639">
        <f t="shared" si="200"/>
        <v>0.20934855322537915</v>
      </c>
      <c r="K181" s="639">
        <f t="shared" si="200"/>
        <v>3.0016577341023476E-2</v>
      </c>
      <c r="L181" s="639">
        <f t="shared" si="200"/>
        <v>-0.25689930013895035</v>
      </c>
      <c r="M181" s="719">
        <f t="shared" si="200"/>
        <v>-7.560191069650446E-2</v>
      </c>
      <c r="N181" s="719">
        <f t="shared" si="200"/>
        <v>-0.15237298652304399</v>
      </c>
      <c r="O181" s="719">
        <f t="shared" si="200"/>
        <v>-0.45904366805322394</v>
      </c>
      <c r="P181" s="719">
        <f t="shared" si="200"/>
        <v>0.49784027800330999</v>
      </c>
      <c r="Q181" s="719">
        <f t="shared" si="200"/>
        <v>-0.1451576591895829</v>
      </c>
      <c r="R181" s="719">
        <f t="shared" si="200"/>
        <v>-4.0936827457251357E-2</v>
      </c>
      <c r="S181" s="719">
        <f t="shared" si="200"/>
        <v>-5.5995803731341831E-2</v>
      </c>
      <c r="T181" s="719">
        <f t="shared" si="200"/>
        <v>-5.887259449503468E-2</v>
      </c>
    </row>
    <row r="182" spans="1:20">
      <c r="A182" s="23" t="s">
        <v>667</v>
      </c>
      <c r="B182" s="22"/>
      <c r="C182" s="643" t="s">
        <v>251</v>
      </c>
      <c r="D182" s="92">
        <f t="shared" ref="D182:P182" si="201">D37-D38</f>
        <v>0.10952802567119235</v>
      </c>
      <c r="E182" s="92">
        <f t="shared" si="201"/>
        <v>0.16640947573915413</v>
      </c>
      <c r="F182" s="92">
        <f t="shared" si="201"/>
        <v>0.13650966330671688</v>
      </c>
      <c r="G182" s="92">
        <f t="shared" si="201"/>
        <v>7.1724581961133627E-2</v>
      </c>
      <c r="H182" s="92">
        <f t="shared" si="201"/>
        <v>7.057895723290411E-2</v>
      </c>
      <c r="I182" s="92">
        <f t="shared" si="201"/>
        <v>0.15367185966110364</v>
      </c>
      <c r="J182" s="92">
        <f t="shared" si="201"/>
        <v>0.19123264229226686</v>
      </c>
      <c r="K182" s="92">
        <f>K37-K38</f>
        <v>0.13449240888324954</v>
      </c>
      <c r="L182" s="92">
        <f>L37-L38</f>
        <v>2.2674566956452216E-2</v>
      </c>
      <c r="M182" s="220">
        <f t="shared" si="201"/>
        <v>-1.0885943363702646E-2</v>
      </c>
      <c r="N182" s="220">
        <f t="shared" si="201"/>
        <v>-3.0189154467245044E-2</v>
      </c>
      <c r="O182" s="220">
        <f t="shared" si="201"/>
        <v>-4.5488649152524568E-3</v>
      </c>
      <c r="P182" s="220">
        <f t="shared" si="201"/>
        <v>1.9883669899060347E-2</v>
      </c>
      <c r="Q182" s="220">
        <f>Q37-Q38</f>
        <v>5.5346655047471237E-3</v>
      </c>
      <c r="R182" s="220">
        <f>R37-R38</f>
        <v>1.001789093187778E-2</v>
      </c>
      <c r="S182" s="220">
        <f>S37-S38</f>
        <v>6.3461926757972329E-3</v>
      </c>
      <c r="T182" s="220">
        <f>T37-T38</f>
        <v>4.1630486642936053E-3</v>
      </c>
    </row>
    <row r="183" spans="1:20">
      <c r="A183" s="23" t="s">
        <v>670</v>
      </c>
      <c r="B183" s="22"/>
      <c r="C183" s="643" t="s">
        <v>251</v>
      </c>
      <c r="D183" s="92">
        <f t="shared" ref="D183:L183" si="202">D182</f>
        <v>0.10952802567119235</v>
      </c>
      <c r="E183" s="92">
        <f t="shared" si="202"/>
        <v>0.16640947573915413</v>
      </c>
      <c r="F183" s="92">
        <f t="shared" si="202"/>
        <v>0.13650966330671688</v>
      </c>
      <c r="G183" s="92">
        <f t="shared" si="202"/>
        <v>7.1724581961133627E-2</v>
      </c>
      <c r="H183" s="92">
        <f t="shared" si="202"/>
        <v>7.057895723290411E-2</v>
      </c>
      <c r="I183" s="92">
        <f t="shared" si="202"/>
        <v>0.15367185966110364</v>
      </c>
      <c r="J183" s="92">
        <f t="shared" si="202"/>
        <v>0.19123264229226686</v>
      </c>
      <c r="K183" s="92">
        <f t="shared" si="202"/>
        <v>0.13449240888324954</v>
      </c>
      <c r="L183" s="92">
        <f t="shared" si="202"/>
        <v>2.2674566956452216E-2</v>
      </c>
      <c r="M183" s="220">
        <f t="shared" ref="M183:R183" si="203">INDEX(M184:M186,MATCH($Y$155,$AA$155:$AA$157,0))</f>
        <v>-1.0885943363702646E-2</v>
      </c>
      <c r="N183" s="220">
        <f t="shared" si="203"/>
        <v>-3.0189154467245044E-2</v>
      </c>
      <c r="O183" s="220">
        <f t="shared" si="203"/>
        <v>-4.5488649152524568E-3</v>
      </c>
      <c r="P183" s="220">
        <f t="shared" si="203"/>
        <v>1.9883669899060347E-2</v>
      </c>
      <c r="Q183" s="220">
        <f t="shared" si="203"/>
        <v>5.5346655047471237E-3</v>
      </c>
      <c r="R183" s="220">
        <f t="shared" si="203"/>
        <v>1.001789093187778E-2</v>
      </c>
      <c r="S183" s="220">
        <f>INDEX(S184:S186,MATCH($Y$155,$AA$155:$AA$157,0))</f>
        <v>6.3461926757972329E-3</v>
      </c>
      <c r="T183" s="220">
        <f>INDEX(T184:T186,MATCH($Y$155,$AA$155:$AA$157,0))</f>
        <v>4.1630486642936053E-3</v>
      </c>
    </row>
    <row r="184" spans="1:20" hidden="1" outlineLevel="1">
      <c r="A184" s="710" t="s">
        <v>4</v>
      </c>
      <c r="B184" s="22"/>
      <c r="C184" s="643"/>
      <c r="D184" s="643"/>
      <c r="E184" s="643"/>
      <c r="F184" s="643"/>
      <c r="G184" s="643"/>
      <c r="H184" s="92"/>
      <c r="I184" s="92"/>
      <c r="J184" s="92"/>
      <c r="K184" s="92"/>
      <c r="L184" s="220">
        <f t="shared" ref="L184:Q184" si="204">L84</f>
        <v>2.2674566956452216E-2</v>
      </c>
      <c r="M184" s="220">
        <f t="shared" si="204"/>
        <v>-1.0885943363702646E-2</v>
      </c>
      <c r="N184" s="220">
        <f t="shared" si="204"/>
        <v>-3.0189154467245044E-2</v>
      </c>
      <c r="O184" s="220">
        <f t="shared" si="204"/>
        <v>-4.5488649152524568E-3</v>
      </c>
      <c r="P184" s="220">
        <f t="shared" si="204"/>
        <v>2.2883669899060346E-2</v>
      </c>
      <c r="Q184" s="220">
        <f t="shared" si="204"/>
        <v>8.5346655047471229E-3</v>
      </c>
      <c r="R184" s="220">
        <f>R84</f>
        <v>1.3017890931877781E-2</v>
      </c>
      <c r="S184" s="220">
        <f>S84</f>
        <v>9.3461926757972338E-3</v>
      </c>
      <c r="T184" s="220">
        <f>T84</f>
        <v>7.1630486642936054E-3</v>
      </c>
    </row>
    <row r="185" spans="1:20" hidden="1" outlineLevel="1">
      <c r="A185" s="710" t="s">
        <v>692</v>
      </c>
      <c r="B185" s="22"/>
      <c r="C185" s="643"/>
      <c r="D185" s="643"/>
      <c r="E185" s="643"/>
      <c r="F185" s="643"/>
      <c r="G185" s="643"/>
      <c r="H185" s="92"/>
      <c r="I185" s="92"/>
      <c r="J185" s="92"/>
      <c r="K185" s="92"/>
      <c r="L185" s="220">
        <f t="shared" ref="L185:P186" si="205">L125</f>
        <v>2.2674566956452216E-2</v>
      </c>
      <c r="M185" s="220">
        <f t="shared" si="205"/>
        <v>-1.0885943363702646E-2</v>
      </c>
      <c r="N185" s="220">
        <f t="shared" si="205"/>
        <v>-3.0189154467245044E-2</v>
      </c>
      <c r="O185" s="220">
        <f t="shared" si="205"/>
        <v>-4.5488649152524568E-3</v>
      </c>
      <c r="P185" s="220">
        <f t="shared" si="205"/>
        <v>1.9883669899060347E-2</v>
      </c>
      <c r="Q185" s="220">
        <f t="shared" ref="Q185:S186" si="206">Q125</f>
        <v>5.5346655047471237E-3</v>
      </c>
      <c r="R185" s="220">
        <f t="shared" si="206"/>
        <v>1.001789093187778E-2</v>
      </c>
      <c r="S185" s="220">
        <f t="shared" si="206"/>
        <v>6.3461926757972329E-3</v>
      </c>
      <c r="T185" s="220">
        <f t="shared" ref="T185" si="207">T125</f>
        <v>4.1630486642936053E-3</v>
      </c>
    </row>
    <row r="186" spans="1:20" hidden="1" outlineLevel="1">
      <c r="A186" s="710" t="s">
        <v>5</v>
      </c>
      <c r="B186" s="22"/>
      <c r="C186" s="643"/>
      <c r="D186" s="643"/>
      <c r="E186" s="643"/>
      <c r="F186" s="643"/>
      <c r="G186" s="643"/>
      <c r="H186" s="92"/>
      <c r="I186" s="92"/>
      <c r="J186" s="92"/>
      <c r="K186" s="92"/>
      <c r="L186" s="220">
        <f t="shared" si="205"/>
        <v>2.2674566956452216E-2</v>
      </c>
      <c r="M186" s="220">
        <f t="shared" si="205"/>
        <v>-1.0885943363702646E-2</v>
      </c>
      <c r="N186" s="220">
        <f t="shared" si="205"/>
        <v>-3.0189154467245044E-2</v>
      </c>
      <c r="O186" s="220">
        <f t="shared" si="205"/>
        <v>-4.5488649152524568E-3</v>
      </c>
      <c r="P186" s="220">
        <f t="shared" si="205"/>
        <v>1.4883669899060346E-2</v>
      </c>
      <c r="Q186" s="220">
        <f t="shared" si="206"/>
        <v>5.3466550474712358E-4</v>
      </c>
      <c r="R186" s="220">
        <f t="shared" si="206"/>
        <v>5.0178909318777795E-3</v>
      </c>
      <c r="S186" s="220">
        <f t="shared" si="206"/>
        <v>1.3461926757972328E-3</v>
      </c>
      <c r="T186" s="220">
        <f t="shared" ref="T186" si="208">T126</f>
        <v>-8.3695133570639482E-4</v>
      </c>
    </row>
    <row r="187" spans="1:20" collapsed="1"/>
    <row r="192" spans="1:20">
      <c r="L192" s="22"/>
      <c r="M192" s="22"/>
      <c r="N192" s="22"/>
      <c r="O192" s="22"/>
      <c r="P192" s="22"/>
      <c r="Q192" s="22"/>
      <c r="R192" s="22"/>
      <c r="S192" s="22"/>
      <c r="T192" s="22"/>
    </row>
    <row r="193" spans="12:20">
      <c r="L193" s="22"/>
      <c r="M193" s="22"/>
      <c r="N193" s="22"/>
      <c r="O193" s="22"/>
      <c r="P193" s="22"/>
      <c r="Q193" s="22"/>
      <c r="R193" s="22"/>
      <c r="S193" s="22"/>
      <c r="T193" s="22"/>
    </row>
    <row r="194" spans="12:20">
      <c r="L194" s="22"/>
      <c r="M194" s="22"/>
      <c r="N194" s="22"/>
      <c r="O194" s="22"/>
      <c r="P194" s="22"/>
      <c r="Q194" s="22"/>
      <c r="R194" s="22"/>
      <c r="S194" s="22"/>
      <c r="T194" s="22"/>
    </row>
    <row r="195" spans="12:20">
      <c r="L195" s="22"/>
      <c r="M195" s="22"/>
      <c r="N195" s="22"/>
      <c r="O195" s="22"/>
      <c r="P195" s="22"/>
      <c r="Q195" s="22"/>
      <c r="R195" s="22"/>
      <c r="S195" s="22"/>
      <c r="T195" s="22"/>
    </row>
    <row r="196" spans="12:20">
      <c r="L196" s="22"/>
      <c r="M196" s="22"/>
      <c r="N196" s="22"/>
      <c r="O196" s="22"/>
      <c r="P196" s="22"/>
      <c r="Q196" s="22"/>
      <c r="R196" s="22"/>
      <c r="S196" s="22"/>
      <c r="T196" s="22"/>
    </row>
    <row r="197" spans="12:20">
      <c r="L197" s="22"/>
      <c r="M197" s="22"/>
      <c r="N197" s="22"/>
      <c r="O197" s="22"/>
      <c r="P197" s="22"/>
      <c r="Q197" s="22"/>
      <c r="R197" s="22"/>
      <c r="S197" s="22"/>
      <c r="T197" s="22"/>
    </row>
    <row r="198" spans="12:20">
      <c r="L198" s="22"/>
      <c r="M198" s="22"/>
      <c r="N198" s="22"/>
      <c r="O198" s="22"/>
      <c r="P198" s="22"/>
      <c r="Q198" s="22"/>
      <c r="R198" s="22"/>
      <c r="S198" s="22"/>
      <c r="T198" s="22"/>
    </row>
    <row r="199" spans="12:20">
      <c r="L199" s="22"/>
      <c r="M199" s="22"/>
      <c r="N199" s="22"/>
      <c r="O199" s="22"/>
      <c r="P199" s="22"/>
      <c r="Q199" s="22"/>
      <c r="R199" s="22"/>
      <c r="S199" s="22"/>
      <c r="T199" s="22"/>
    </row>
    <row r="200" spans="12:20">
      <c r="L200" s="22"/>
      <c r="M200" s="22"/>
      <c r="N200" s="22"/>
      <c r="O200" s="22"/>
      <c r="P200" s="22"/>
      <c r="Q200" s="22"/>
      <c r="R200" s="22"/>
      <c r="S200" s="22"/>
      <c r="T200" s="22"/>
    </row>
    <row r="201" spans="12:20">
      <c r="L201" s="22"/>
      <c r="M201" s="22"/>
      <c r="N201" s="22"/>
      <c r="O201" s="22"/>
      <c r="P201" s="22"/>
      <c r="Q201" s="22"/>
      <c r="R201" s="22"/>
      <c r="S201" s="22"/>
      <c r="T201" s="22"/>
    </row>
    <row r="202" spans="12:20">
      <c r="L202" s="22"/>
      <c r="M202" s="22"/>
      <c r="N202" s="22"/>
      <c r="O202" s="22"/>
      <c r="P202" s="22"/>
      <c r="Q202" s="22"/>
      <c r="R202" s="22"/>
      <c r="S202" s="22"/>
      <c r="T202" s="22"/>
    </row>
    <row r="203" spans="12:20">
      <c r="L203" s="22"/>
      <c r="M203" s="22"/>
      <c r="N203" s="22"/>
      <c r="O203" s="22"/>
      <c r="P203" s="22"/>
      <c r="Q203" s="22"/>
      <c r="R203" s="22"/>
      <c r="S203" s="22"/>
      <c r="T203" s="22"/>
    </row>
    <row r="204" spans="12:20">
      <c r="L204" s="22"/>
      <c r="M204" s="22"/>
      <c r="N204" s="22"/>
      <c r="O204" s="22"/>
      <c r="P204" s="22"/>
      <c r="Q204" s="22"/>
      <c r="R204" s="22"/>
      <c r="S204" s="22"/>
      <c r="T204" s="22"/>
    </row>
    <row r="205" spans="12:20">
      <c r="L205" s="22"/>
      <c r="M205" s="22"/>
      <c r="N205" s="22"/>
      <c r="O205" s="22"/>
      <c r="P205" s="22"/>
      <c r="Q205" s="22"/>
      <c r="R205" s="22"/>
      <c r="S205" s="22"/>
      <c r="T205" s="22"/>
    </row>
    <row r="206" spans="12:20">
      <c r="L206" s="22"/>
      <c r="M206" s="22"/>
      <c r="N206" s="22"/>
      <c r="O206" s="22"/>
      <c r="P206" s="22"/>
      <c r="Q206" s="22"/>
      <c r="R206" s="22"/>
      <c r="S206" s="22"/>
      <c r="T206" s="22"/>
    </row>
    <row r="207" spans="12:20">
      <c r="L207" s="22"/>
      <c r="M207" s="22"/>
      <c r="N207" s="22"/>
      <c r="O207" s="22"/>
      <c r="P207" s="22"/>
      <c r="Q207" s="22"/>
      <c r="R207" s="22"/>
      <c r="S207" s="22"/>
      <c r="T207" s="22"/>
    </row>
    <row r="208" spans="12:20">
      <c r="L208" s="22"/>
      <c r="M208" s="22"/>
      <c r="N208" s="22"/>
      <c r="O208" s="22"/>
      <c r="P208" s="22"/>
      <c r="Q208" s="22"/>
      <c r="R208" s="22"/>
      <c r="S208" s="22"/>
      <c r="T208" s="22"/>
    </row>
    <row r="209" spans="12:20">
      <c r="L209" s="22"/>
      <c r="M209" s="22"/>
      <c r="N209" s="22"/>
      <c r="O209" s="22"/>
      <c r="P209" s="22"/>
      <c r="Q209" s="22"/>
      <c r="R209" s="22"/>
      <c r="S209" s="22"/>
      <c r="T209" s="22"/>
    </row>
    <row r="210" spans="12:20">
      <c r="L210" s="22"/>
      <c r="M210" s="22"/>
      <c r="N210" s="22"/>
      <c r="O210" s="22"/>
      <c r="P210" s="22"/>
      <c r="Q210" s="22"/>
      <c r="R210" s="22"/>
      <c r="S210" s="22"/>
      <c r="T210" s="22"/>
    </row>
  </sheetData>
  <phoneticPr fontId="59"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IV6"/>
  <sheetViews>
    <sheetView workbookViewId="0"/>
  </sheetViews>
  <sheetFormatPr defaultRowHeight="12.75"/>
  <sheetData>
    <row r="1" spans="1:256">
      <c r="A1" t="s">
        <v>1329</v>
      </c>
    </row>
    <row r="2" spans="1:256" s="367" customFormat="1">
      <c r="A2" s="367" t="s">
        <v>952</v>
      </c>
      <c r="B2" s="367" t="s">
        <v>251</v>
      </c>
      <c r="C2" s="367" t="s">
        <v>1055</v>
      </c>
      <c r="D2" s="367" t="s">
        <v>251</v>
      </c>
      <c r="E2" s="367" t="s">
        <v>1060</v>
      </c>
      <c r="F2" s="367" t="s">
        <v>251</v>
      </c>
      <c r="G2" s="367" t="s">
        <v>1277</v>
      </c>
      <c r="H2" s="367" t="s">
        <v>251</v>
      </c>
      <c r="I2" s="367" t="s">
        <v>923</v>
      </c>
      <c r="J2" s="367" t="s">
        <v>251</v>
      </c>
      <c r="K2" s="367" t="s">
        <v>1181</v>
      </c>
      <c r="L2" s="367" t="s">
        <v>251</v>
      </c>
      <c r="M2" s="367" t="s">
        <v>1095</v>
      </c>
      <c r="N2" s="367" t="s">
        <v>251</v>
      </c>
      <c r="O2" s="367" t="s">
        <v>826</v>
      </c>
      <c r="P2" s="367" t="s">
        <v>251</v>
      </c>
      <c r="Q2" s="367" t="s">
        <v>1310</v>
      </c>
      <c r="R2" s="367" t="s">
        <v>251</v>
      </c>
      <c r="S2" s="367" t="s">
        <v>1366</v>
      </c>
      <c r="T2" s="367" t="s">
        <v>251</v>
      </c>
      <c r="U2" s="367" t="s">
        <v>900</v>
      </c>
      <c r="V2" s="367" t="s">
        <v>251</v>
      </c>
      <c r="W2" s="367" t="s">
        <v>1050</v>
      </c>
      <c r="X2" s="367" t="s">
        <v>251</v>
      </c>
      <c r="Y2" s="367" t="s">
        <v>1051</v>
      </c>
      <c r="Z2" s="367" t="s">
        <v>251</v>
      </c>
      <c r="AA2" s="367" t="s">
        <v>918</v>
      </c>
      <c r="AB2" s="367" t="s">
        <v>251</v>
      </c>
      <c r="AC2" s="367" t="s">
        <v>1215</v>
      </c>
      <c r="AD2" s="367" t="s">
        <v>251</v>
      </c>
      <c r="AE2" s="367" t="s">
        <v>1163</v>
      </c>
      <c r="AF2" s="367" t="s">
        <v>251</v>
      </c>
      <c r="AG2" s="367" t="s">
        <v>1336</v>
      </c>
      <c r="AH2" s="367" t="s">
        <v>251</v>
      </c>
      <c r="AI2" s="367" t="s">
        <v>1252</v>
      </c>
      <c r="AJ2" s="367" t="s">
        <v>251</v>
      </c>
      <c r="AK2" s="367" t="s">
        <v>1318</v>
      </c>
      <c r="AL2" s="367" t="s">
        <v>251</v>
      </c>
      <c r="AM2" s="367" t="s">
        <v>1028</v>
      </c>
      <c r="AN2" s="367" t="s">
        <v>251</v>
      </c>
      <c r="AO2" s="367" t="s">
        <v>1409</v>
      </c>
      <c r="AP2" s="367" t="s">
        <v>251</v>
      </c>
      <c r="AQ2" s="367" t="s">
        <v>1286</v>
      </c>
      <c r="AR2" s="367" t="s">
        <v>251</v>
      </c>
      <c r="AS2" s="367" t="s">
        <v>1148</v>
      </c>
      <c r="AT2" s="367" t="s">
        <v>251</v>
      </c>
      <c r="AU2" s="367" t="s">
        <v>1062</v>
      </c>
      <c r="AV2" s="367" t="s">
        <v>251</v>
      </c>
      <c r="AW2" s="367" t="s">
        <v>981</v>
      </c>
      <c r="AX2" s="367" t="s">
        <v>251</v>
      </c>
      <c r="AY2" s="367" t="s">
        <v>1086</v>
      </c>
      <c r="AZ2" s="367" t="s">
        <v>251</v>
      </c>
      <c r="BA2" s="367" t="s">
        <v>1004</v>
      </c>
      <c r="BB2" s="367" t="s">
        <v>251</v>
      </c>
      <c r="BC2" s="367" t="s">
        <v>442</v>
      </c>
      <c r="BD2" s="367" t="s">
        <v>443</v>
      </c>
      <c r="BE2" s="367" t="s">
        <v>868</v>
      </c>
      <c r="BF2" s="367" t="s">
        <v>251</v>
      </c>
      <c r="BG2" s="367" t="s">
        <v>1110</v>
      </c>
      <c r="BH2" s="367" t="s">
        <v>251</v>
      </c>
      <c r="BI2" s="367" t="s">
        <v>901</v>
      </c>
      <c r="BJ2" s="367" t="s">
        <v>251</v>
      </c>
      <c r="BK2" s="367" t="s">
        <v>905</v>
      </c>
      <c r="BL2" s="367" t="s">
        <v>251</v>
      </c>
      <c r="BM2" s="367" t="s">
        <v>1074</v>
      </c>
      <c r="BN2" s="367" t="s">
        <v>251</v>
      </c>
      <c r="BO2" s="367" t="s">
        <v>1155</v>
      </c>
      <c r="BP2" s="367" t="s">
        <v>251</v>
      </c>
      <c r="BQ2" s="367" t="s">
        <v>1169</v>
      </c>
      <c r="BR2" s="367" t="s">
        <v>251</v>
      </c>
      <c r="BS2" s="367" t="s">
        <v>869</v>
      </c>
      <c r="BT2" s="367" t="s">
        <v>251</v>
      </c>
      <c r="BU2" s="367" t="s">
        <v>1043</v>
      </c>
      <c r="BV2" s="367" t="s">
        <v>251</v>
      </c>
      <c r="BW2" s="367" t="s">
        <v>1223</v>
      </c>
      <c r="BX2" s="367" t="s">
        <v>251</v>
      </c>
      <c r="BY2" s="367" t="s">
        <v>1005</v>
      </c>
      <c r="BZ2" s="367" t="s">
        <v>251</v>
      </c>
      <c r="CA2" s="367" t="s">
        <v>1390</v>
      </c>
      <c r="CB2" s="367" t="s">
        <v>251</v>
      </c>
      <c r="CC2" s="367" t="s">
        <v>1054</v>
      </c>
      <c r="CD2" s="367" t="s">
        <v>251</v>
      </c>
      <c r="CE2" s="367" t="s">
        <v>893</v>
      </c>
      <c r="CF2" s="367" t="s">
        <v>251</v>
      </c>
      <c r="CG2" s="367" t="s">
        <v>883</v>
      </c>
      <c r="CH2" s="367" t="s">
        <v>251</v>
      </c>
      <c r="CI2" s="367" t="s">
        <v>1138</v>
      </c>
      <c r="CJ2" s="367" t="s">
        <v>251</v>
      </c>
      <c r="CK2" s="367" t="s">
        <v>967</v>
      </c>
      <c r="CL2" s="367" t="s">
        <v>251</v>
      </c>
      <c r="CM2" s="367" t="s">
        <v>1278</v>
      </c>
      <c r="CN2" s="367" t="s">
        <v>251</v>
      </c>
      <c r="CO2" s="367" t="s">
        <v>1261</v>
      </c>
      <c r="CP2" s="367" t="s">
        <v>251</v>
      </c>
      <c r="CQ2" s="367" t="s">
        <v>971</v>
      </c>
      <c r="CR2" s="367" t="s">
        <v>251</v>
      </c>
      <c r="CS2" s="367" t="s">
        <v>1111</v>
      </c>
      <c r="CT2" s="367" t="s">
        <v>251</v>
      </c>
      <c r="CU2" s="367" t="s">
        <v>1044</v>
      </c>
      <c r="CV2" s="367" t="s">
        <v>251</v>
      </c>
      <c r="CW2" s="367" t="s">
        <v>1158</v>
      </c>
      <c r="CX2" s="367" t="s">
        <v>251</v>
      </c>
      <c r="CY2" s="367" t="s">
        <v>1332</v>
      </c>
      <c r="CZ2" s="367" t="s">
        <v>251</v>
      </c>
      <c r="DA2" s="367" t="s">
        <v>969</v>
      </c>
      <c r="DB2" s="367" t="s">
        <v>251</v>
      </c>
      <c r="DC2" s="367" t="s">
        <v>1273</v>
      </c>
      <c r="DD2" s="367" t="s">
        <v>251</v>
      </c>
      <c r="DE2" s="367" t="s">
        <v>1275</v>
      </c>
      <c r="DF2" s="367" t="s">
        <v>251</v>
      </c>
      <c r="DG2" s="367" t="s">
        <v>1326</v>
      </c>
      <c r="DH2" s="367" t="s">
        <v>251</v>
      </c>
      <c r="DI2" s="367" t="s">
        <v>878</v>
      </c>
      <c r="DJ2" s="367" t="s">
        <v>251</v>
      </c>
      <c r="DK2" s="367" t="s">
        <v>1373</v>
      </c>
      <c r="DL2" s="367" t="s">
        <v>251</v>
      </c>
      <c r="DM2" s="367" t="s">
        <v>1156</v>
      </c>
      <c r="DN2" s="367" t="s">
        <v>251</v>
      </c>
      <c r="DO2" s="367" t="s">
        <v>1296</v>
      </c>
      <c r="DP2" s="367" t="s">
        <v>251</v>
      </c>
      <c r="DQ2" s="367" t="s">
        <v>1348</v>
      </c>
      <c r="DR2" s="367" t="s">
        <v>251</v>
      </c>
      <c r="DS2" s="367" t="s">
        <v>895</v>
      </c>
      <c r="DT2" s="367" t="s">
        <v>251</v>
      </c>
      <c r="DU2" s="367" t="s">
        <v>1202</v>
      </c>
      <c r="DV2" s="367" t="s">
        <v>251</v>
      </c>
      <c r="DW2" s="367" t="s">
        <v>916</v>
      </c>
      <c r="DX2" s="367" t="s">
        <v>251</v>
      </c>
      <c r="DY2" s="367" t="s">
        <v>980</v>
      </c>
      <c r="DZ2" s="367" t="s">
        <v>251</v>
      </c>
      <c r="EA2" s="367" t="s">
        <v>837</v>
      </c>
      <c r="EB2" s="367" t="s">
        <v>251</v>
      </c>
      <c r="EC2" s="367" t="s">
        <v>1067</v>
      </c>
      <c r="ED2" s="367" t="s">
        <v>251</v>
      </c>
      <c r="EE2" s="367" t="s">
        <v>88</v>
      </c>
      <c r="EF2" s="367" t="s">
        <v>648</v>
      </c>
      <c r="EG2" s="367" t="s">
        <v>1418</v>
      </c>
      <c r="EH2" s="367" t="s">
        <v>251</v>
      </c>
      <c r="EI2" s="367" t="s">
        <v>1397</v>
      </c>
      <c r="EJ2" s="367" t="s">
        <v>251</v>
      </c>
      <c r="EK2" s="367" t="s">
        <v>1115</v>
      </c>
      <c r="EL2" s="367" t="s">
        <v>251</v>
      </c>
      <c r="EM2" s="367" t="s">
        <v>1424</v>
      </c>
      <c r="EN2" s="367" t="s">
        <v>251</v>
      </c>
      <c r="EO2" s="367" t="s">
        <v>1008</v>
      </c>
      <c r="EP2" s="367" t="s">
        <v>251</v>
      </c>
      <c r="EQ2" s="367" t="s">
        <v>940</v>
      </c>
      <c r="ER2" s="367" t="s">
        <v>251</v>
      </c>
      <c r="ES2" s="367" t="s">
        <v>846</v>
      </c>
      <c r="ET2" s="367" t="s">
        <v>251</v>
      </c>
      <c r="EU2" s="367" t="s">
        <v>982</v>
      </c>
      <c r="EV2" s="367" t="s">
        <v>251</v>
      </c>
      <c r="EW2" s="367" t="s">
        <v>1193</v>
      </c>
      <c r="EX2" s="367" t="s">
        <v>251</v>
      </c>
      <c r="EY2" s="367" t="s">
        <v>1378</v>
      </c>
      <c r="EZ2" s="367" t="s">
        <v>251</v>
      </c>
      <c r="FA2" s="367" t="s">
        <v>1300</v>
      </c>
      <c r="FB2" s="367" t="s">
        <v>251</v>
      </c>
      <c r="FC2" s="367" t="s">
        <v>1102</v>
      </c>
      <c r="FD2" s="367" t="s">
        <v>251</v>
      </c>
      <c r="FE2" s="367" t="s">
        <v>1056</v>
      </c>
      <c r="FF2" s="367" t="s">
        <v>251</v>
      </c>
      <c r="FG2" s="367" t="s">
        <v>979</v>
      </c>
      <c r="FH2" s="367" t="s">
        <v>251</v>
      </c>
      <c r="FI2" s="367" t="s">
        <v>1291</v>
      </c>
      <c r="FJ2" s="367" t="s">
        <v>251</v>
      </c>
      <c r="FK2" s="367" t="s">
        <v>1319</v>
      </c>
      <c r="FL2" s="367" t="s">
        <v>251</v>
      </c>
      <c r="FM2" s="367" t="s">
        <v>926</v>
      </c>
      <c r="FN2" s="367" t="s">
        <v>251</v>
      </c>
      <c r="FO2" s="367" t="s">
        <v>922</v>
      </c>
      <c r="FP2" s="367" t="s">
        <v>251</v>
      </c>
      <c r="FQ2" s="367" t="s">
        <v>1384</v>
      </c>
      <c r="FR2" s="367" t="s">
        <v>251</v>
      </c>
      <c r="FS2" s="367" t="s">
        <v>1351</v>
      </c>
      <c r="FT2" s="367" t="s">
        <v>251</v>
      </c>
      <c r="FU2" s="367" t="s">
        <v>933</v>
      </c>
      <c r="FV2" s="367" t="s">
        <v>251</v>
      </c>
      <c r="FW2" s="367" t="s">
        <v>925</v>
      </c>
      <c r="FX2" s="367" t="s">
        <v>251</v>
      </c>
      <c r="FY2" s="367" t="s">
        <v>1232</v>
      </c>
      <c r="FZ2" s="367" t="s">
        <v>251</v>
      </c>
      <c r="GA2" s="367" t="s">
        <v>867</v>
      </c>
      <c r="GB2" s="367" t="s">
        <v>251</v>
      </c>
      <c r="GC2" s="367" t="s">
        <v>1098</v>
      </c>
      <c r="GD2" s="367" t="s">
        <v>251</v>
      </c>
      <c r="GE2" s="367" t="s">
        <v>1019</v>
      </c>
      <c r="GF2" s="367" t="s">
        <v>251</v>
      </c>
      <c r="GG2" s="367" t="s">
        <v>1116</v>
      </c>
      <c r="GH2" s="367" t="s">
        <v>251</v>
      </c>
      <c r="GI2" s="367" t="s">
        <v>1394</v>
      </c>
      <c r="GJ2" s="367" t="s">
        <v>251</v>
      </c>
      <c r="GK2" s="367" t="s">
        <v>899</v>
      </c>
      <c r="GL2" s="367" t="s">
        <v>251</v>
      </c>
      <c r="GM2" s="367" t="s">
        <v>898</v>
      </c>
      <c r="GN2" s="367" t="s">
        <v>251</v>
      </c>
      <c r="GO2" s="367" t="s">
        <v>1125</v>
      </c>
      <c r="GP2" s="367" t="s">
        <v>251</v>
      </c>
      <c r="GQ2" s="367" t="s">
        <v>820</v>
      </c>
      <c r="GR2" s="367" t="s">
        <v>251</v>
      </c>
      <c r="GS2" s="367" t="s">
        <v>1238</v>
      </c>
      <c r="GT2" s="367" t="s">
        <v>251</v>
      </c>
      <c r="GU2" s="367" t="s">
        <v>861</v>
      </c>
      <c r="GV2" s="367" t="s">
        <v>251</v>
      </c>
      <c r="GW2" s="367" t="s">
        <v>958</v>
      </c>
      <c r="GX2" s="367" t="s">
        <v>251</v>
      </c>
      <c r="GY2" s="367" t="s">
        <v>1183</v>
      </c>
      <c r="GZ2" s="367" t="s">
        <v>251</v>
      </c>
      <c r="HA2" s="367" t="s">
        <v>1224</v>
      </c>
      <c r="HB2" s="367" t="s">
        <v>251</v>
      </c>
      <c r="HC2" s="367" t="s">
        <v>1251</v>
      </c>
      <c r="HD2" s="367" t="s">
        <v>251</v>
      </c>
      <c r="HE2" s="367" t="s">
        <v>1139</v>
      </c>
      <c r="HF2" s="367" t="s">
        <v>251</v>
      </c>
      <c r="HG2" s="367" t="s">
        <v>1092</v>
      </c>
      <c r="HH2" s="367" t="s">
        <v>251</v>
      </c>
      <c r="HI2" s="367" t="s">
        <v>1201</v>
      </c>
      <c r="HJ2" s="367" t="s">
        <v>251</v>
      </c>
      <c r="HK2" s="367" t="s">
        <v>1260</v>
      </c>
      <c r="HL2" s="367" t="s">
        <v>251</v>
      </c>
      <c r="HM2" s="367" t="s">
        <v>858</v>
      </c>
      <c r="HN2" s="367" t="s">
        <v>251</v>
      </c>
      <c r="HO2" s="367" t="s">
        <v>854</v>
      </c>
      <c r="HP2" s="367" t="s">
        <v>251</v>
      </c>
      <c r="HQ2" s="367" t="s">
        <v>1122</v>
      </c>
      <c r="HR2" s="367" t="s">
        <v>251</v>
      </c>
      <c r="HS2" s="367" t="s">
        <v>1128</v>
      </c>
      <c r="HT2" s="367" t="s">
        <v>251</v>
      </c>
      <c r="HU2" s="367" t="s">
        <v>1308</v>
      </c>
      <c r="HV2" s="367" t="s">
        <v>251</v>
      </c>
      <c r="HW2" s="367" t="s">
        <v>902</v>
      </c>
      <c r="HX2" s="367" t="s">
        <v>251</v>
      </c>
      <c r="HY2" s="367" t="s">
        <v>1048</v>
      </c>
      <c r="HZ2" s="367" t="s">
        <v>251</v>
      </c>
      <c r="IA2" s="367" t="s">
        <v>1130</v>
      </c>
      <c r="IB2" s="367" t="s">
        <v>251</v>
      </c>
      <c r="IC2" s="367" t="s">
        <v>965</v>
      </c>
      <c r="ID2" s="367" t="s">
        <v>251</v>
      </c>
      <c r="IE2" s="367" t="s">
        <v>1029</v>
      </c>
      <c r="IF2" s="367" t="s">
        <v>251</v>
      </c>
      <c r="IG2" s="367" t="s">
        <v>1354</v>
      </c>
      <c r="IH2" s="367" t="s">
        <v>251</v>
      </c>
      <c r="II2" s="367" t="s">
        <v>1132</v>
      </c>
      <c r="IJ2" s="367" t="s">
        <v>251</v>
      </c>
      <c r="IK2" s="367" t="s">
        <v>1281</v>
      </c>
      <c r="IL2" s="367" t="s">
        <v>251</v>
      </c>
      <c r="IM2" s="367" t="s">
        <v>851</v>
      </c>
      <c r="IN2" s="367" t="s">
        <v>251</v>
      </c>
      <c r="IO2" s="367" t="s">
        <v>1209</v>
      </c>
      <c r="IP2" s="367" t="s">
        <v>251</v>
      </c>
      <c r="IQ2" s="367" t="s">
        <v>1387</v>
      </c>
      <c r="IR2" s="367" t="s">
        <v>251</v>
      </c>
      <c r="IS2" s="367" t="s">
        <v>938</v>
      </c>
      <c r="IT2" s="367" t="s">
        <v>251</v>
      </c>
      <c r="IU2" s="367" t="s">
        <v>1149</v>
      </c>
      <c r="IV2" s="367" t="s">
        <v>251</v>
      </c>
    </row>
    <row r="3" spans="1:256" s="367" customFormat="1">
      <c r="A3" s="367" t="s">
        <v>1340</v>
      </c>
      <c r="B3" s="367" t="s">
        <v>251</v>
      </c>
      <c r="C3" s="367" t="s">
        <v>829</v>
      </c>
      <c r="D3" s="367" t="s">
        <v>251</v>
      </c>
      <c r="E3" s="367" t="s">
        <v>1066</v>
      </c>
      <c r="F3" s="367" t="s">
        <v>251</v>
      </c>
      <c r="G3" s="367" t="s">
        <v>1198</v>
      </c>
      <c r="H3" s="367" t="s">
        <v>251</v>
      </c>
      <c r="I3" s="367" t="s">
        <v>865</v>
      </c>
      <c r="J3" s="367" t="s">
        <v>251</v>
      </c>
      <c r="K3" s="367" t="s">
        <v>1220</v>
      </c>
      <c r="L3" s="367" t="s">
        <v>251</v>
      </c>
      <c r="M3" s="367" t="s">
        <v>897</v>
      </c>
      <c r="N3" s="367" t="s">
        <v>251</v>
      </c>
      <c r="O3" s="367" t="s">
        <v>822</v>
      </c>
      <c r="P3" s="367" t="s">
        <v>251</v>
      </c>
      <c r="Q3" s="367" t="s">
        <v>1118</v>
      </c>
      <c r="R3" s="367" t="s">
        <v>251</v>
      </c>
      <c r="S3" s="367" t="s">
        <v>894</v>
      </c>
      <c r="T3" s="367" t="s">
        <v>251</v>
      </c>
      <c r="U3" s="367" t="s">
        <v>1331</v>
      </c>
      <c r="V3" s="367" t="s">
        <v>251</v>
      </c>
      <c r="W3" s="367" t="s">
        <v>961</v>
      </c>
      <c r="X3" s="367" t="s">
        <v>251</v>
      </c>
      <c r="Y3" s="367" t="s">
        <v>1011</v>
      </c>
      <c r="Z3" s="367" t="s">
        <v>251</v>
      </c>
      <c r="AA3" s="367" t="s">
        <v>1023</v>
      </c>
      <c r="AB3" s="367" t="s">
        <v>251</v>
      </c>
      <c r="AC3" s="367" t="s">
        <v>834</v>
      </c>
      <c r="AD3" s="367" t="s">
        <v>251</v>
      </c>
      <c r="AE3" s="367" t="s">
        <v>1217</v>
      </c>
      <c r="AF3" s="367" t="s">
        <v>251</v>
      </c>
      <c r="AG3" s="367" t="s">
        <v>928</v>
      </c>
      <c r="AH3" s="367" t="s">
        <v>251</v>
      </c>
      <c r="AI3" s="367" t="s">
        <v>1320</v>
      </c>
      <c r="AJ3" s="367" t="s">
        <v>251</v>
      </c>
      <c r="AK3" s="367" t="s">
        <v>795</v>
      </c>
      <c r="AL3" s="367" t="s">
        <v>803</v>
      </c>
      <c r="AM3" s="367" t="s">
        <v>1090</v>
      </c>
      <c r="AN3" s="367" t="s">
        <v>251</v>
      </c>
      <c r="AO3" s="367" t="s">
        <v>1258</v>
      </c>
      <c r="AP3" s="367" t="s">
        <v>251</v>
      </c>
      <c r="AQ3" s="367" t="s">
        <v>1120</v>
      </c>
      <c r="AR3" s="367" t="s">
        <v>251</v>
      </c>
      <c r="AS3" s="367" t="s">
        <v>1009</v>
      </c>
      <c r="AT3" s="367" t="s">
        <v>251</v>
      </c>
      <c r="AU3" s="367" t="s">
        <v>1358</v>
      </c>
      <c r="AV3" s="367" t="s">
        <v>251</v>
      </c>
      <c r="AW3" s="367" t="s">
        <v>1076</v>
      </c>
      <c r="AX3" s="367" t="s">
        <v>251</v>
      </c>
      <c r="AY3" s="367" t="s">
        <v>884</v>
      </c>
      <c r="AZ3" s="367" t="s">
        <v>251</v>
      </c>
      <c r="BA3" s="367" t="s">
        <v>1031</v>
      </c>
      <c r="BB3" s="367" t="s">
        <v>251</v>
      </c>
      <c r="BC3" s="367" t="s">
        <v>815</v>
      </c>
      <c r="BD3" s="367" t="s">
        <v>251</v>
      </c>
      <c r="BE3" s="367" t="s">
        <v>1080</v>
      </c>
      <c r="BF3" s="367" t="s">
        <v>251</v>
      </c>
      <c r="BG3" s="367" t="s">
        <v>1297</v>
      </c>
      <c r="BH3" s="367" t="s">
        <v>251</v>
      </c>
      <c r="BI3" s="367" t="s">
        <v>1167</v>
      </c>
      <c r="BJ3" s="367" t="s">
        <v>251</v>
      </c>
      <c r="BK3" s="367" t="s">
        <v>934</v>
      </c>
      <c r="BL3" s="367" t="s">
        <v>251</v>
      </c>
      <c r="BM3" s="367" t="s">
        <v>1040</v>
      </c>
      <c r="BN3" s="367" t="s">
        <v>251</v>
      </c>
      <c r="BO3" s="367" t="s">
        <v>1147</v>
      </c>
      <c r="BP3" s="367" t="s">
        <v>251</v>
      </c>
      <c r="BQ3" s="367" t="s">
        <v>1236</v>
      </c>
      <c r="BR3" s="367" t="s">
        <v>251</v>
      </c>
      <c r="BS3" s="367" t="s">
        <v>877</v>
      </c>
      <c r="BT3" s="367" t="s">
        <v>251</v>
      </c>
      <c r="BU3" s="367" t="s">
        <v>953</v>
      </c>
      <c r="BV3" s="367" t="s">
        <v>251</v>
      </c>
      <c r="BW3" s="367" t="s">
        <v>804</v>
      </c>
      <c r="BX3" s="367" t="s">
        <v>251</v>
      </c>
      <c r="BY3" s="367" t="s">
        <v>1374</v>
      </c>
      <c r="BZ3" s="367" t="s">
        <v>251</v>
      </c>
      <c r="CA3" s="367" t="s">
        <v>885</v>
      </c>
      <c r="CB3" s="367" t="s">
        <v>251</v>
      </c>
      <c r="CC3" s="367" t="s">
        <v>1136</v>
      </c>
      <c r="CD3" s="367" t="s">
        <v>251</v>
      </c>
      <c r="CE3" s="367" t="s">
        <v>860</v>
      </c>
      <c r="CF3" s="367" t="s">
        <v>251</v>
      </c>
      <c r="CG3" s="367" t="s">
        <v>1423</v>
      </c>
      <c r="CH3" s="367" t="s">
        <v>251</v>
      </c>
      <c r="CI3" s="367" t="s">
        <v>1206</v>
      </c>
      <c r="CJ3" s="367" t="s">
        <v>251</v>
      </c>
      <c r="CK3" s="367" t="s">
        <v>881</v>
      </c>
      <c r="CL3" s="367" t="s">
        <v>251</v>
      </c>
      <c r="CM3" s="367" t="s">
        <v>1119</v>
      </c>
      <c r="CN3" s="367" t="s">
        <v>251</v>
      </c>
      <c r="CO3" s="367" t="s">
        <v>987</v>
      </c>
      <c r="CP3" s="367" t="s">
        <v>251</v>
      </c>
      <c r="CQ3" s="367" t="s">
        <v>964</v>
      </c>
      <c r="CR3" s="367" t="s">
        <v>251</v>
      </c>
      <c r="CS3" s="367" t="s">
        <v>819</v>
      </c>
      <c r="CT3" s="367" t="s">
        <v>251</v>
      </c>
      <c r="CU3" s="367" t="s">
        <v>1229</v>
      </c>
      <c r="CV3" s="367" t="s">
        <v>251</v>
      </c>
      <c r="CW3" s="367" t="s">
        <v>970</v>
      </c>
      <c r="CX3" s="367" t="s">
        <v>251</v>
      </c>
      <c r="CY3" s="367" t="s">
        <v>1061</v>
      </c>
      <c r="CZ3" s="367" t="s">
        <v>251</v>
      </c>
      <c r="DA3" s="367" t="s">
        <v>1212</v>
      </c>
      <c r="DB3" s="367" t="s">
        <v>251</v>
      </c>
      <c r="DC3" s="367" t="s">
        <v>948</v>
      </c>
      <c r="DD3" s="367" t="s">
        <v>251</v>
      </c>
      <c r="DE3" s="367" t="s">
        <v>1247</v>
      </c>
      <c r="DF3" s="367" t="s">
        <v>251</v>
      </c>
      <c r="DG3" s="367" t="s">
        <v>1410</v>
      </c>
      <c r="DH3" s="367" t="s">
        <v>251</v>
      </c>
      <c r="DI3" s="367" t="s">
        <v>1176</v>
      </c>
      <c r="DJ3" s="367" t="s">
        <v>251</v>
      </c>
      <c r="DK3" s="367" t="s">
        <v>1173</v>
      </c>
      <c r="DL3" s="367" t="s">
        <v>251</v>
      </c>
      <c r="DM3" s="367" t="s">
        <v>1361</v>
      </c>
      <c r="DN3" s="367" t="s">
        <v>251</v>
      </c>
      <c r="DO3" s="367" t="s">
        <v>1133</v>
      </c>
      <c r="DP3" s="367" t="s">
        <v>251</v>
      </c>
      <c r="DQ3" s="367" t="s">
        <v>1280</v>
      </c>
      <c r="DR3" s="367" t="s">
        <v>251</v>
      </c>
      <c r="DS3" s="367" t="s">
        <v>1254</v>
      </c>
      <c r="DT3" s="367" t="s">
        <v>251</v>
      </c>
      <c r="DU3" s="367" t="s">
        <v>1154</v>
      </c>
      <c r="DV3" s="367" t="s">
        <v>251</v>
      </c>
      <c r="DW3" s="367" t="s">
        <v>1403</v>
      </c>
      <c r="DX3" s="367" t="s">
        <v>251</v>
      </c>
      <c r="DY3" s="367" t="s">
        <v>390</v>
      </c>
      <c r="DZ3" s="367" t="s">
        <v>419</v>
      </c>
      <c r="EA3" s="367" t="s">
        <v>1333</v>
      </c>
      <c r="EB3" s="367" t="s">
        <v>251</v>
      </c>
      <c r="EC3" s="367" t="s">
        <v>1263</v>
      </c>
      <c r="ED3" s="367" t="s">
        <v>251</v>
      </c>
      <c r="EE3" s="367" t="s">
        <v>862</v>
      </c>
      <c r="EF3" s="367" t="s">
        <v>251</v>
      </c>
      <c r="EG3" s="367" t="s">
        <v>1058</v>
      </c>
      <c r="EH3" s="367" t="s">
        <v>251</v>
      </c>
      <c r="EI3" s="367" t="s">
        <v>89</v>
      </c>
      <c r="EJ3" s="367" t="s">
        <v>251</v>
      </c>
      <c r="EK3" s="367" t="s">
        <v>906</v>
      </c>
      <c r="EL3" s="367" t="s">
        <v>251</v>
      </c>
      <c r="EM3" s="367" t="s">
        <v>1081</v>
      </c>
      <c r="EN3" s="367" t="s">
        <v>251</v>
      </c>
      <c r="EO3" s="367" t="s">
        <v>806</v>
      </c>
      <c r="EP3" s="367" t="s">
        <v>251</v>
      </c>
      <c r="EQ3" s="367" t="s">
        <v>1413</v>
      </c>
      <c r="ER3" s="367" t="s">
        <v>251</v>
      </c>
      <c r="ES3" s="367" t="s">
        <v>1038</v>
      </c>
      <c r="ET3" s="367" t="s">
        <v>251</v>
      </c>
      <c r="EU3" s="367" t="s">
        <v>1408</v>
      </c>
      <c r="EV3" s="367" t="s">
        <v>251</v>
      </c>
      <c r="EW3" s="367" t="s">
        <v>997</v>
      </c>
      <c r="EX3" s="367" t="s">
        <v>251</v>
      </c>
      <c r="EY3" s="367" t="s">
        <v>880</v>
      </c>
      <c r="EZ3" s="367" t="s">
        <v>251</v>
      </c>
      <c r="FA3" s="367" t="s">
        <v>1407</v>
      </c>
      <c r="FB3" s="367" t="s">
        <v>251</v>
      </c>
      <c r="FC3" s="367" t="s">
        <v>1151</v>
      </c>
      <c r="FD3" s="367" t="s">
        <v>251</v>
      </c>
      <c r="FE3" s="367" t="s">
        <v>1015</v>
      </c>
      <c r="FF3" s="367" t="s">
        <v>251</v>
      </c>
      <c r="FG3" s="367" t="s">
        <v>1166</v>
      </c>
      <c r="FH3" s="367" t="s">
        <v>251</v>
      </c>
      <c r="FI3" s="367" t="s">
        <v>998</v>
      </c>
      <c r="FJ3" s="367" t="s">
        <v>251</v>
      </c>
      <c r="FK3" s="367" t="s">
        <v>919</v>
      </c>
      <c r="FL3" s="367" t="s">
        <v>251</v>
      </c>
      <c r="FM3" s="367" t="s">
        <v>1309</v>
      </c>
      <c r="FN3" s="367" t="s">
        <v>251</v>
      </c>
      <c r="FO3" s="367" t="s">
        <v>942</v>
      </c>
      <c r="FP3" s="367" t="s">
        <v>251</v>
      </c>
      <c r="FQ3" s="367" t="s">
        <v>1337</v>
      </c>
      <c r="FR3" s="367" t="s">
        <v>251</v>
      </c>
      <c r="FS3" s="367" t="s">
        <v>1244</v>
      </c>
      <c r="FT3" s="367" t="s">
        <v>251</v>
      </c>
      <c r="FU3" s="367" t="s">
        <v>1177</v>
      </c>
      <c r="FV3" s="367" t="s">
        <v>251</v>
      </c>
      <c r="FW3" s="367" t="s">
        <v>1364</v>
      </c>
      <c r="FX3" s="367" t="s">
        <v>251</v>
      </c>
      <c r="FY3" s="367" t="s">
        <v>853</v>
      </c>
      <c r="FZ3" s="367" t="s">
        <v>251</v>
      </c>
      <c r="GA3" s="367" t="s">
        <v>939</v>
      </c>
      <c r="GB3" s="367" t="s">
        <v>251</v>
      </c>
      <c r="GC3" s="367" t="s">
        <v>1269</v>
      </c>
      <c r="GD3" s="367" t="s">
        <v>251</v>
      </c>
      <c r="GE3" s="367" t="s">
        <v>1097</v>
      </c>
      <c r="GF3" s="367" t="s">
        <v>251</v>
      </c>
      <c r="GG3" s="367" t="s">
        <v>827</v>
      </c>
      <c r="GH3" s="367" t="s">
        <v>251</v>
      </c>
      <c r="GI3" s="367" t="s">
        <v>391</v>
      </c>
      <c r="GJ3" s="367" t="s">
        <v>392</v>
      </c>
      <c r="GK3" s="367" t="s">
        <v>1382</v>
      </c>
      <c r="GL3" s="367" t="s">
        <v>251</v>
      </c>
      <c r="GM3" s="367" t="s">
        <v>847</v>
      </c>
      <c r="GN3" s="367" t="s">
        <v>251</v>
      </c>
      <c r="GO3" s="367" t="s">
        <v>1417</v>
      </c>
      <c r="GP3" s="367" t="s">
        <v>251</v>
      </c>
      <c r="GQ3" s="367" t="s">
        <v>1400</v>
      </c>
      <c r="GR3" s="367" t="s">
        <v>251</v>
      </c>
      <c r="GS3" s="367" t="s">
        <v>1172</v>
      </c>
      <c r="GT3" s="367" t="s">
        <v>251</v>
      </c>
      <c r="GU3" s="367" t="s">
        <v>1289</v>
      </c>
      <c r="GV3" s="367" t="s">
        <v>251</v>
      </c>
      <c r="GW3" s="367" t="s">
        <v>1211</v>
      </c>
      <c r="GX3" s="367" t="s">
        <v>251</v>
      </c>
      <c r="GY3" s="367" t="s">
        <v>1114</v>
      </c>
      <c r="GZ3" s="367" t="s">
        <v>251</v>
      </c>
      <c r="HA3" s="367" t="s">
        <v>1035</v>
      </c>
      <c r="HB3" s="367" t="s">
        <v>251</v>
      </c>
      <c r="HC3" s="367" t="s">
        <v>984</v>
      </c>
      <c r="HD3" s="367" t="s">
        <v>251</v>
      </c>
      <c r="HE3" s="367" t="s">
        <v>1249</v>
      </c>
      <c r="HF3" s="367" t="s">
        <v>251</v>
      </c>
      <c r="HG3" s="367" t="s">
        <v>1287</v>
      </c>
      <c r="HH3" s="367" t="s">
        <v>251</v>
      </c>
      <c r="HI3" s="367" t="s">
        <v>1406</v>
      </c>
      <c r="HJ3" s="367" t="s">
        <v>251</v>
      </c>
      <c r="HK3" s="367" t="s">
        <v>1228</v>
      </c>
      <c r="HL3" s="367" t="s">
        <v>251</v>
      </c>
      <c r="HM3" s="367" t="s">
        <v>1419</v>
      </c>
      <c r="HN3" s="367" t="s">
        <v>251</v>
      </c>
      <c r="HO3" s="367" t="s">
        <v>1205</v>
      </c>
      <c r="HP3" s="367" t="s">
        <v>251</v>
      </c>
      <c r="HQ3" s="367" t="s">
        <v>1352</v>
      </c>
      <c r="HR3" s="367" t="s">
        <v>251</v>
      </c>
      <c r="HS3" s="367" t="s">
        <v>870</v>
      </c>
      <c r="HT3" s="367" t="s">
        <v>251</v>
      </c>
      <c r="HU3" s="367" t="s">
        <v>833</v>
      </c>
      <c r="HV3" s="367" t="s">
        <v>251</v>
      </c>
      <c r="HW3" s="367" t="s">
        <v>1271</v>
      </c>
      <c r="HX3" s="367" t="s">
        <v>251</v>
      </c>
      <c r="HY3" s="367" t="s">
        <v>1007</v>
      </c>
      <c r="HZ3" s="367" t="s">
        <v>251</v>
      </c>
      <c r="IA3" s="367" t="s">
        <v>417</v>
      </c>
      <c r="IB3" s="367" t="s">
        <v>419</v>
      </c>
      <c r="IC3" s="367" t="s">
        <v>1272</v>
      </c>
      <c r="ID3" s="367" t="s">
        <v>251</v>
      </c>
      <c r="IE3" s="367" t="s">
        <v>808</v>
      </c>
      <c r="IF3" s="367" t="s">
        <v>251</v>
      </c>
      <c r="IG3" s="367" t="s">
        <v>1073</v>
      </c>
      <c r="IH3" s="367" t="s">
        <v>251</v>
      </c>
      <c r="II3" s="367" t="s">
        <v>1072</v>
      </c>
      <c r="IJ3" s="367" t="s">
        <v>251</v>
      </c>
      <c r="IK3" s="367" t="s">
        <v>1085</v>
      </c>
      <c r="IL3" s="367" t="s">
        <v>251</v>
      </c>
      <c r="IM3" s="367" t="s">
        <v>807</v>
      </c>
      <c r="IN3" s="367" t="s">
        <v>251</v>
      </c>
      <c r="IO3" s="367" t="s">
        <v>1065</v>
      </c>
      <c r="IP3" s="367" t="s">
        <v>251</v>
      </c>
      <c r="IQ3" s="367" t="s">
        <v>1037</v>
      </c>
      <c r="IR3" s="367" t="s">
        <v>251</v>
      </c>
      <c r="IS3" s="367" t="s">
        <v>823</v>
      </c>
      <c r="IT3" s="367" t="s">
        <v>251</v>
      </c>
      <c r="IU3" s="367" t="s">
        <v>1049</v>
      </c>
      <c r="IV3" s="367" t="s">
        <v>251</v>
      </c>
    </row>
    <row r="4" spans="1:256" s="367" customFormat="1">
      <c r="A4" s="367" t="s">
        <v>1369</v>
      </c>
      <c r="B4" s="367" t="s">
        <v>251</v>
      </c>
      <c r="C4" s="367" t="s">
        <v>888</v>
      </c>
      <c r="D4" s="367" t="s">
        <v>251</v>
      </c>
      <c r="E4" s="367" t="s">
        <v>1321</v>
      </c>
      <c r="F4" s="367" t="s">
        <v>251</v>
      </c>
      <c r="G4" s="367" t="s">
        <v>1353</v>
      </c>
      <c r="H4" s="367" t="s">
        <v>251</v>
      </c>
      <c r="I4" s="367" t="s">
        <v>1365</v>
      </c>
      <c r="J4" s="367" t="s">
        <v>251</v>
      </c>
      <c r="K4" s="367" t="s">
        <v>440</v>
      </c>
      <c r="L4" s="367" t="s">
        <v>441</v>
      </c>
      <c r="M4" s="367" t="s">
        <v>968</v>
      </c>
      <c r="N4" s="367" t="s">
        <v>251</v>
      </c>
      <c r="O4" s="367" t="s">
        <v>1030</v>
      </c>
      <c r="P4" s="367" t="s">
        <v>251</v>
      </c>
      <c r="Q4" s="367" t="s">
        <v>832</v>
      </c>
      <c r="R4" s="367" t="s">
        <v>251</v>
      </c>
      <c r="S4" s="367" t="s">
        <v>911</v>
      </c>
      <c r="T4" s="367" t="s">
        <v>251</v>
      </c>
      <c r="U4" s="367" t="s">
        <v>812</v>
      </c>
      <c r="V4" s="367" t="s">
        <v>251</v>
      </c>
      <c r="W4" s="367" t="s">
        <v>1282</v>
      </c>
      <c r="X4" s="367" t="s">
        <v>251</v>
      </c>
      <c r="Y4" s="367" t="s">
        <v>1100</v>
      </c>
      <c r="Z4" s="367" t="s">
        <v>251</v>
      </c>
      <c r="AA4" s="367" t="s">
        <v>1386</v>
      </c>
      <c r="AB4" s="367" t="s">
        <v>251</v>
      </c>
      <c r="AC4" s="367" t="s">
        <v>1216</v>
      </c>
      <c r="AD4" s="367" t="s">
        <v>251</v>
      </c>
      <c r="AE4" s="367" t="s">
        <v>886</v>
      </c>
      <c r="AF4" s="367" t="s">
        <v>251</v>
      </c>
      <c r="AG4" s="367" t="s">
        <v>1161</v>
      </c>
      <c r="AH4" s="367" t="s">
        <v>251</v>
      </c>
      <c r="AI4" s="367" t="s">
        <v>848</v>
      </c>
      <c r="AJ4" s="367" t="s">
        <v>251</v>
      </c>
      <c r="AK4" s="367" t="s">
        <v>863</v>
      </c>
      <c r="AL4" s="367" t="s">
        <v>251</v>
      </c>
      <c r="AM4" s="367" t="s">
        <v>1079</v>
      </c>
      <c r="AN4" s="367" t="s">
        <v>251</v>
      </c>
      <c r="AO4" s="367" t="s">
        <v>954</v>
      </c>
      <c r="AP4" s="367" t="s">
        <v>251</v>
      </c>
      <c r="AQ4" s="367" t="s">
        <v>850</v>
      </c>
      <c r="AR4" s="367" t="s">
        <v>251</v>
      </c>
      <c r="AS4" s="367" t="s">
        <v>1020</v>
      </c>
      <c r="AT4" s="367" t="s">
        <v>251</v>
      </c>
      <c r="AU4" s="367" t="s">
        <v>852</v>
      </c>
      <c r="AV4" s="367" t="s">
        <v>251</v>
      </c>
      <c r="AW4" s="367" t="s">
        <v>1077</v>
      </c>
      <c r="AX4" s="367" t="s">
        <v>251</v>
      </c>
      <c r="AY4" s="367" t="s">
        <v>932</v>
      </c>
      <c r="AZ4" s="367" t="s">
        <v>251</v>
      </c>
      <c r="BA4" s="367" t="s">
        <v>1021</v>
      </c>
      <c r="BB4" s="367" t="s">
        <v>251</v>
      </c>
      <c r="BC4" s="367" t="s">
        <v>1371</v>
      </c>
      <c r="BD4" s="367" t="s">
        <v>251</v>
      </c>
      <c r="BE4" s="367" t="s">
        <v>889</v>
      </c>
      <c r="BF4" s="367" t="s">
        <v>251</v>
      </c>
      <c r="BG4" s="367" t="s">
        <v>1006</v>
      </c>
      <c r="BH4" s="367" t="s">
        <v>251</v>
      </c>
      <c r="BI4" s="367" t="s">
        <v>1053</v>
      </c>
      <c r="BJ4" s="367" t="s">
        <v>251</v>
      </c>
      <c r="BK4" s="367" t="s">
        <v>1126</v>
      </c>
      <c r="BL4" s="367" t="s">
        <v>251</v>
      </c>
      <c r="BM4" s="367" t="s">
        <v>1121</v>
      </c>
      <c r="BN4" s="367" t="s">
        <v>251</v>
      </c>
      <c r="BO4" s="367" t="s">
        <v>1370</v>
      </c>
      <c r="BP4" s="367" t="s">
        <v>251</v>
      </c>
      <c r="BQ4" s="367" t="s">
        <v>1314</v>
      </c>
      <c r="BR4" s="367" t="s">
        <v>251</v>
      </c>
      <c r="BS4" s="367" t="s">
        <v>1335</v>
      </c>
      <c r="BT4" s="367" t="s">
        <v>251</v>
      </c>
      <c r="BU4" s="367" t="s">
        <v>857</v>
      </c>
      <c r="BV4" s="367" t="s">
        <v>251</v>
      </c>
      <c r="BW4" s="367" t="s">
        <v>1204</v>
      </c>
      <c r="BX4" s="367" t="s">
        <v>251</v>
      </c>
      <c r="BY4" s="367" t="s">
        <v>1267</v>
      </c>
      <c r="BZ4" s="367" t="s">
        <v>251</v>
      </c>
      <c r="CA4" s="367" t="s">
        <v>1250</v>
      </c>
      <c r="CB4" s="367" t="s">
        <v>251</v>
      </c>
      <c r="CC4" s="367" t="s">
        <v>992</v>
      </c>
      <c r="CD4" s="367" t="s">
        <v>251</v>
      </c>
      <c r="CE4" s="367" t="s">
        <v>1189</v>
      </c>
      <c r="CF4" s="367" t="s">
        <v>251</v>
      </c>
      <c r="CG4" s="367" t="s">
        <v>1112</v>
      </c>
      <c r="CH4" s="367" t="s">
        <v>251</v>
      </c>
      <c r="CI4" s="367" t="s">
        <v>955</v>
      </c>
      <c r="CJ4" s="367" t="s">
        <v>251</v>
      </c>
      <c r="CK4" s="367" t="s">
        <v>1057</v>
      </c>
      <c r="CL4" s="367" t="s">
        <v>251</v>
      </c>
      <c r="CM4" s="367" t="s">
        <v>1264</v>
      </c>
      <c r="CN4" s="367" t="s">
        <v>251</v>
      </c>
      <c r="CO4" s="367" t="s">
        <v>1196</v>
      </c>
      <c r="CP4" s="367" t="s">
        <v>251</v>
      </c>
      <c r="CQ4" s="367" t="s">
        <v>838</v>
      </c>
      <c r="CR4" s="367" t="s">
        <v>251</v>
      </c>
      <c r="CS4" s="367" t="s">
        <v>1339</v>
      </c>
      <c r="CT4" s="367" t="s">
        <v>251</v>
      </c>
      <c r="CU4" s="367" t="s">
        <v>1063</v>
      </c>
      <c r="CV4" s="367" t="s">
        <v>251</v>
      </c>
      <c r="CW4" s="367" t="s">
        <v>1306</v>
      </c>
      <c r="CX4" s="367" t="s">
        <v>251</v>
      </c>
      <c r="CY4" s="367" t="s">
        <v>1346</v>
      </c>
      <c r="CZ4" s="367" t="s">
        <v>251</v>
      </c>
      <c r="DA4" s="367" t="s">
        <v>1107</v>
      </c>
      <c r="DB4" s="367" t="s">
        <v>251</v>
      </c>
      <c r="DC4" s="367" t="s">
        <v>844</v>
      </c>
      <c r="DD4" s="367" t="s">
        <v>251</v>
      </c>
      <c r="DE4" s="367" t="s">
        <v>936</v>
      </c>
      <c r="DF4" s="367" t="s">
        <v>251</v>
      </c>
      <c r="DG4" s="367" t="s">
        <v>873</v>
      </c>
      <c r="DH4" s="367" t="s">
        <v>251</v>
      </c>
      <c r="DI4" s="367" t="s">
        <v>1256</v>
      </c>
      <c r="DJ4" s="367" t="s">
        <v>251</v>
      </c>
      <c r="DK4" s="367" t="s">
        <v>1159</v>
      </c>
      <c r="DL4" s="367" t="s">
        <v>251</v>
      </c>
      <c r="DM4" s="367" t="s">
        <v>950</v>
      </c>
      <c r="DN4" s="367" t="s">
        <v>251</v>
      </c>
      <c r="DO4" s="367" t="s">
        <v>874</v>
      </c>
      <c r="DP4" s="367" t="s">
        <v>251</v>
      </c>
      <c r="DQ4" s="367" t="s">
        <v>995</v>
      </c>
      <c r="DR4" s="367" t="s">
        <v>251</v>
      </c>
      <c r="DS4" s="367" t="s">
        <v>1187</v>
      </c>
      <c r="DT4" s="367" t="s">
        <v>251</v>
      </c>
      <c r="DU4" s="367" t="s">
        <v>896</v>
      </c>
      <c r="DV4" s="367" t="s">
        <v>251</v>
      </c>
      <c r="DW4" s="367" t="s">
        <v>1302</v>
      </c>
      <c r="DX4" s="367" t="s">
        <v>251</v>
      </c>
      <c r="DY4" s="367" t="s">
        <v>963</v>
      </c>
      <c r="DZ4" s="367" t="s">
        <v>251</v>
      </c>
      <c r="EA4" s="367" t="s">
        <v>1001</v>
      </c>
      <c r="EB4" s="367" t="s">
        <v>251</v>
      </c>
      <c r="EC4" s="367" t="s">
        <v>1416</v>
      </c>
      <c r="ED4" s="367" t="s">
        <v>251</v>
      </c>
      <c r="EE4" s="367" t="s">
        <v>977</v>
      </c>
      <c r="EF4" s="367" t="s">
        <v>251</v>
      </c>
      <c r="EG4" s="367" t="s">
        <v>1342</v>
      </c>
      <c r="EH4" s="367" t="s">
        <v>251</v>
      </c>
      <c r="EI4" s="367" t="s">
        <v>1124</v>
      </c>
      <c r="EJ4" s="367" t="s">
        <v>251</v>
      </c>
      <c r="EK4" s="367" t="s">
        <v>840</v>
      </c>
      <c r="EL4" s="367" t="s">
        <v>251</v>
      </c>
      <c r="EM4" s="367" t="s">
        <v>890</v>
      </c>
      <c r="EN4" s="367" t="s">
        <v>251</v>
      </c>
      <c r="EO4" s="367" t="s">
        <v>1242</v>
      </c>
      <c r="EP4" s="367" t="s">
        <v>251</v>
      </c>
      <c r="EQ4" s="367" t="s">
        <v>1284</v>
      </c>
      <c r="ER4" s="367" t="s">
        <v>251</v>
      </c>
      <c r="ES4" s="367" t="s">
        <v>915</v>
      </c>
      <c r="ET4" s="367" t="s">
        <v>251</v>
      </c>
      <c r="EU4" s="367" t="s">
        <v>1200</v>
      </c>
      <c r="EV4" s="367" t="s">
        <v>251</v>
      </c>
      <c r="EW4" s="367" t="s">
        <v>1129</v>
      </c>
      <c r="EX4" s="367" t="s">
        <v>251</v>
      </c>
      <c r="EY4" s="367" t="s">
        <v>1367</v>
      </c>
      <c r="EZ4" s="367" t="s">
        <v>251</v>
      </c>
      <c r="FA4" s="367" t="s">
        <v>959</v>
      </c>
      <c r="FB4" s="367" t="s">
        <v>251</v>
      </c>
      <c r="FC4" s="367" t="s">
        <v>1415</v>
      </c>
      <c r="FD4" s="367" t="s">
        <v>251</v>
      </c>
      <c r="FE4" s="367" t="s">
        <v>824</v>
      </c>
      <c r="FF4" s="367" t="s">
        <v>251</v>
      </c>
      <c r="FG4" s="367" t="s">
        <v>985</v>
      </c>
      <c r="FH4" s="367" t="s">
        <v>251</v>
      </c>
      <c r="FI4" s="367" t="s">
        <v>1207</v>
      </c>
      <c r="FJ4" s="367" t="s">
        <v>251</v>
      </c>
      <c r="FK4" s="367" t="s">
        <v>1368</v>
      </c>
      <c r="FL4" s="367" t="s">
        <v>251</v>
      </c>
      <c r="FM4" s="367" t="s">
        <v>994</v>
      </c>
      <c r="FN4" s="367" t="s">
        <v>251</v>
      </c>
      <c r="FO4" s="367" t="s">
        <v>1188</v>
      </c>
      <c r="FP4" s="367" t="s">
        <v>251</v>
      </c>
      <c r="FQ4" s="367" t="s">
        <v>1381</v>
      </c>
      <c r="FR4" s="367" t="s">
        <v>251</v>
      </c>
      <c r="FS4" s="367" t="s">
        <v>914</v>
      </c>
      <c r="FT4" s="367" t="s">
        <v>251</v>
      </c>
      <c r="FU4" s="367" t="s">
        <v>1385</v>
      </c>
      <c r="FV4" s="367" t="s">
        <v>251</v>
      </c>
      <c r="FW4" s="367" t="s">
        <v>1184</v>
      </c>
      <c r="FX4" s="367" t="s">
        <v>251</v>
      </c>
      <c r="FY4" s="367" t="s">
        <v>875</v>
      </c>
      <c r="FZ4" s="367" t="s">
        <v>251</v>
      </c>
      <c r="GA4" s="367" t="s">
        <v>1083</v>
      </c>
      <c r="GB4" s="367" t="s">
        <v>251</v>
      </c>
      <c r="GC4" s="367" t="s">
        <v>908</v>
      </c>
      <c r="GD4" s="367" t="s">
        <v>251</v>
      </c>
      <c r="GE4" s="367" t="s">
        <v>1127</v>
      </c>
      <c r="GF4" s="367" t="s">
        <v>251</v>
      </c>
      <c r="GG4" s="367" t="s">
        <v>1298</v>
      </c>
      <c r="GH4" s="367" t="s">
        <v>251</v>
      </c>
      <c r="GI4" s="367" t="s">
        <v>1372</v>
      </c>
      <c r="GJ4" s="367" t="s">
        <v>251</v>
      </c>
      <c r="GK4" s="367" t="s">
        <v>1363</v>
      </c>
      <c r="GL4" s="367" t="s">
        <v>251</v>
      </c>
      <c r="GM4" s="367" t="s">
        <v>1012</v>
      </c>
      <c r="GN4" s="367" t="s">
        <v>251</v>
      </c>
      <c r="GO4" s="367" t="s">
        <v>1357</v>
      </c>
      <c r="GP4" s="367" t="s">
        <v>251</v>
      </c>
      <c r="GQ4" s="367" t="s">
        <v>1307</v>
      </c>
      <c r="GR4" s="367" t="s">
        <v>251</v>
      </c>
      <c r="GS4" s="367" t="s">
        <v>1027</v>
      </c>
      <c r="GT4" s="367" t="s">
        <v>251</v>
      </c>
      <c r="GU4" s="367" t="s">
        <v>828</v>
      </c>
      <c r="GV4" s="367" t="s">
        <v>251</v>
      </c>
      <c r="GW4" s="367" t="s">
        <v>1171</v>
      </c>
      <c r="GX4" s="367" t="s">
        <v>251</v>
      </c>
      <c r="GY4" s="367" t="s">
        <v>1376</v>
      </c>
      <c r="GZ4" s="367" t="s">
        <v>251</v>
      </c>
      <c r="HA4" s="367" t="s">
        <v>1265</v>
      </c>
      <c r="HB4" s="367" t="s">
        <v>251</v>
      </c>
      <c r="HC4" s="367" t="s">
        <v>1233</v>
      </c>
      <c r="HD4" s="367" t="s">
        <v>251</v>
      </c>
      <c r="HE4" s="367" t="s">
        <v>1033</v>
      </c>
      <c r="HF4" s="367" t="s">
        <v>251</v>
      </c>
      <c r="HG4" s="367" t="s">
        <v>962</v>
      </c>
      <c r="HH4" s="367" t="s">
        <v>251</v>
      </c>
      <c r="HI4" s="367" t="s">
        <v>920</v>
      </c>
      <c r="HJ4" s="367" t="s">
        <v>251</v>
      </c>
      <c r="HK4" s="367" t="s">
        <v>1388</v>
      </c>
      <c r="HL4" s="367" t="s">
        <v>251</v>
      </c>
      <c r="HM4" s="367" t="s">
        <v>1398</v>
      </c>
      <c r="HN4" s="367" t="s">
        <v>251</v>
      </c>
      <c r="HO4" s="367" t="s">
        <v>1343</v>
      </c>
      <c r="HP4" s="367" t="s">
        <v>251</v>
      </c>
      <c r="HQ4" s="367" t="s">
        <v>1392</v>
      </c>
      <c r="HR4" s="367" t="s">
        <v>251</v>
      </c>
      <c r="HS4" s="367" t="s">
        <v>1241</v>
      </c>
      <c r="HT4" s="367" t="s">
        <v>251</v>
      </c>
      <c r="HU4" s="367" t="s">
        <v>1165</v>
      </c>
      <c r="HV4" s="367" t="s">
        <v>251</v>
      </c>
      <c r="HW4" s="367" t="s">
        <v>1203</v>
      </c>
      <c r="HX4" s="367" t="s">
        <v>251</v>
      </c>
      <c r="HY4" s="367" t="s">
        <v>1089</v>
      </c>
      <c r="HZ4" s="367" t="s">
        <v>251</v>
      </c>
      <c r="IA4" s="367" t="s">
        <v>1025</v>
      </c>
      <c r="IB4" s="367" t="s">
        <v>251</v>
      </c>
      <c r="IC4" s="367" t="s">
        <v>1396</v>
      </c>
      <c r="ID4" s="367" t="s">
        <v>251</v>
      </c>
      <c r="IE4" s="367" t="s">
        <v>841</v>
      </c>
      <c r="IF4" s="367" t="s">
        <v>251</v>
      </c>
      <c r="IG4" s="367" t="s">
        <v>1243</v>
      </c>
      <c r="IH4" s="367" t="s">
        <v>251</v>
      </c>
      <c r="II4" s="367" t="s">
        <v>1405</v>
      </c>
      <c r="IJ4" s="367" t="s">
        <v>251</v>
      </c>
      <c r="IK4" s="367" t="s">
        <v>1135</v>
      </c>
      <c r="IL4" s="367" t="s">
        <v>251</v>
      </c>
      <c r="IM4" s="367" t="s">
        <v>1099</v>
      </c>
      <c r="IN4" s="367" t="s">
        <v>251</v>
      </c>
      <c r="IO4" s="367" t="s">
        <v>1068</v>
      </c>
      <c r="IP4" s="367" t="s">
        <v>251</v>
      </c>
      <c r="IQ4" s="367" t="s">
        <v>1375</v>
      </c>
      <c r="IR4" s="367" t="s">
        <v>251</v>
      </c>
      <c r="IS4" s="367" t="s">
        <v>1292</v>
      </c>
      <c r="IT4" s="367" t="s">
        <v>251</v>
      </c>
      <c r="IU4" s="367" t="s">
        <v>1160</v>
      </c>
      <c r="IV4" s="367" t="s">
        <v>251</v>
      </c>
    </row>
    <row r="5" spans="1:256" s="367" customFormat="1">
      <c r="A5" s="367" t="s">
        <v>960</v>
      </c>
      <c r="B5" s="367" t="s">
        <v>251</v>
      </c>
      <c r="C5" s="367" t="s">
        <v>1334</v>
      </c>
      <c r="D5" s="367" t="s">
        <v>251</v>
      </c>
      <c r="E5" s="367" t="s">
        <v>1389</v>
      </c>
      <c r="F5" s="367" t="s">
        <v>251</v>
      </c>
      <c r="G5" s="367" t="s">
        <v>973</v>
      </c>
      <c r="H5" s="367" t="s">
        <v>251</v>
      </c>
      <c r="I5" s="367" t="s">
        <v>1377</v>
      </c>
      <c r="J5" s="367" t="s">
        <v>251</v>
      </c>
      <c r="K5" s="367" t="s">
        <v>1143</v>
      </c>
      <c r="L5" s="367" t="s">
        <v>251</v>
      </c>
      <c r="M5" s="367" t="s">
        <v>825</v>
      </c>
      <c r="N5" s="367" t="s">
        <v>251</v>
      </c>
      <c r="O5" s="367" t="s">
        <v>1420</v>
      </c>
      <c r="P5" s="367" t="s">
        <v>251</v>
      </c>
      <c r="Q5" s="367" t="s">
        <v>1237</v>
      </c>
      <c r="R5" s="367" t="s">
        <v>251</v>
      </c>
      <c r="S5" s="367" t="s">
        <v>1290</v>
      </c>
      <c r="T5" s="367" t="s">
        <v>251</v>
      </c>
      <c r="U5" s="367" t="s">
        <v>418</v>
      </c>
      <c r="V5" s="367" t="s">
        <v>141</v>
      </c>
      <c r="W5" s="367" t="s">
        <v>856</v>
      </c>
      <c r="X5" s="367" t="s">
        <v>251</v>
      </c>
      <c r="Y5" s="367" t="s">
        <v>836</v>
      </c>
      <c r="Z5" s="367" t="s">
        <v>251</v>
      </c>
      <c r="AA5" s="367" t="s">
        <v>1210</v>
      </c>
      <c r="AB5" s="367" t="s">
        <v>251</v>
      </c>
      <c r="AC5" s="367" t="s">
        <v>866</v>
      </c>
      <c r="AD5" s="367" t="s">
        <v>251</v>
      </c>
      <c r="AE5" s="367" t="s">
        <v>1226</v>
      </c>
      <c r="AF5" s="367" t="s">
        <v>251</v>
      </c>
      <c r="AG5" s="367" t="s">
        <v>1324</v>
      </c>
      <c r="AH5" s="367" t="s">
        <v>251</v>
      </c>
      <c r="AI5" s="367" t="s">
        <v>1327</v>
      </c>
      <c r="AJ5" s="367" t="s">
        <v>251</v>
      </c>
      <c r="AK5" s="367" t="s">
        <v>876</v>
      </c>
      <c r="AL5" s="367" t="s">
        <v>251</v>
      </c>
      <c r="AM5" s="367" t="s">
        <v>843</v>
      </c>
      <c r="AN5" s="367" t="s">
        <v>251</v>
      </c>
      <c r="AO5" s="367" t="s">
        <v>1279</v>
      </c>
      <c r="AP5" s="367" t="s">
        <v>251</v>
      </c>
      <c r="AQ5" s="367" t="s">
        <v>1404</v>
      </c>
      <c r="AR5" s="367" t="s">
        <v>251</v>
      </c>
      <c r="AS5" s="367" t="s">
        <v>1094</v>
      </c>
      <c r="AT5" s="367" t="s">
        <v>251</v>
      </c>
      <c r="AU5" s="367" t="s">
        <v>1157</v>
      </c>
      <c r="AV5" s="367" t="s">
        <v>251</v>
      </c>
      <c r="AW5" s="367" t="s">
        <v>1230</v>
      </c>
      <c r="AX5" s="367" t="s">
        <v>251</v>
      </c>
      <c r="AY5" s="367" t="s">
        <v>1069</v>
      </c>
      <c r="AZ5" s="367" t="s">
        <v>251</v>
      </c>
      <c r="BA5" s="367" t="s">
        <v>1096</v>
      </c>
      <c r="BB5" s="367" t="s">
        <v>251</v>
      </c>
      <c r="BC5" s="367" t="s">
        <v>1414</v>
      </c>
      <c r="BD5" s="367" t="s">
        <v>251</v>
      </c>
      <c r="BE5" s="367" t="s">
        <v>1064</v>
      </c>
      <c r="BF5" s="367" t="s">
        <v>251</v>
      </c>
      <c r="BG5" s="367" t="s">
        <v>1185</v>
      </c>
      <c r="BH5" s="367" t="s">
        <v>251</v>
      </c>
      <c r="BI5" s="367" t="s">
        <v>972</v>
      </c>
      <c r="BJ5" s="367" t="s">
        <v>251</v>
      </c>
      <c r="BK5" s="367" t="s">
        <v>1014</v>
      </c>
      <c r="BL5" s="367" t="s">
        <v>251</v>
      </c>
      <c r="BM5" s="367" t="s">
        <v>882</v>
      </c>
      <c r="BN5" s="367" t="s">
        <v>251</v>
      </c>
      <c r="BO5" s="367" t="s">
        <v>1235</v>
      </c>
      <c r="BP5" s="367" t="s">
        <v>251</v>
      </c>
      <c r="BQ5" s="367" t="s">
        <v>1295</v>
      </c>
      <c r="BR5" s="367" t="s">
        <v>251</v>
      </c>
      <c r="BS5" s="367" t="s">
        <v>1317</v>
      </c>
      <c r="BT5" s="367" t="s">
        <v>251</v>
      </c>
      <c r="BU5" s="367" t="s">
        <v>1016</v>
      </c>
      <c r="BV5" s="367" t="s">
        <v>251</v>
      </c>
      <c r="BW5" s="367" t="s">
        <v>1182</v>
      </c>
      <c r="BX5" s="367" t="s">
        <v>251</v>
      </c>
      <c r="BY5" s="367" t="s">
        <v>1234</v>
      </c>
      <c r="BZ5" s="367" t="s">
        <v>251</v>
      </c>
      <c r="CA5" s="367" t="s">
        <v>1253</v>
      </c>
      <c r="CB5" s="367" t="s">
        <v>251</v>
      </c>
      <c r="CC5" s="367" t="s">
        <v>1350</v>
      </c>
      <c r="CD5" s="367" t="s">
        <v>251</v>
      </c>
      <c r="CE5" s="367" t="s">
        <v>1383</v>
      </c>
      <c r="CF5" s="367" t="s">
        <v>251</v>
      </c>
      <c r="CG5" s="367" t="s">
        <v>1091</v>
      </c>
      <c r="CH5" s="367" t="s">
        <v>251</v>
      </c>
      <c r="CI5" s="367" t="s">
        <v>1399</v>
      </c>
      <c r="CJ5" s="367" t="s">
        <v>251</v>
      </c>
      <c r="CK5" s="367" t="s">
        <v>1178</v>
      </c>
      <c r="CL5" s="367" t="s">
        <v>251</v>
      </c>
      <c r="CM5" s="367" t="s">
        <v>1047</v>
      </c>
      <c r="CN5" s="367" t="s">
        <v>251</v>
      </c>
      <c r="CO5" s="367" t="s">
        <v>1017</v>
      </c>
      <c r="CP5" s="367" t="s">
        <v>251</v>
      </c>
      <c r="CQ5" s="367" t="s">
        <v>907</v>
      </c>
      <c r="CR5" s="367" t="s">
        <v>251</v>
      </c>
      <c r="CS5" s="367" t="s">
        <v>946</v>
      </c>
      <c r="CT5" s="367" t="s">
        <v>251</v>
      </c>
      <c r="CU5" s="367" t="s">
        <v>1093</v>
      </c>
      <c r="CV5" s="367" t="s">
        <v>251</v>
      </c>
      <c r="CW5" s="367" t="s">
        <v>1013</v>
      </c>
      <c r="CX5" s="367" t="s">
        <v>251</v>
      </c>
      <c r="CY5" s="367" t="s">
        <v>1087</v>
      </c>
      <c r="CZ5" s="367" t="s">
        <v>251</v>
      </c>
      <c r="DA5" s="367" t="s">
        <v>1214</v>
      </c>
      <c r="DB5" s="367" t="s">
        <v>251</v>
      </c>
      <c r="DC5" s="367" t="s">
        <v>910</v>
      </c>
      <c r="DD5" s="367" t="s">
        <v>251</v>
      </c>
      <c r="DE5" s="367" t="s">
        <v>913</v>
      </c>
      <c r="DF5" s="367" t="s">
        <v>251</v>
      </c>
      <c r="DG5" s="367" t="s">
        <v>943</v>
      </c>
      <c r="DH5" s="367" t="s">
        <v>251</v>
      </c>
      <c r="DI5" s="367" t="s">
        <v>1071</v>
      </c>
      <c r="DJ5" s="367" t="s">
        <v>251</v>
      </c>
      <c r="DK5" s="367" t="s">
        <v>1347</v>
      </c>
      <c r="DL5" s="367" t="s">
        <v>251</v>
      </c>
      <c r="DM5" s="367" t="s">
        <v>988</v>
      </c>
      <c r="DN5" s="367" t="s">
        <v>251</v>
      </c>
      <c r="DO5" s="367" t="s">
        <v>1259</v>
      </c>
      <c r="DP5" s="367" t="s">
        <v>251</v>
      </c>
      <c r="DQ5" s="367" t="s">
        <v>879</v>
      </c>
      <c r="DR5" s="367" t="s">
        <v>251</v>
      </c>
      <c r="DS5" s="367" t="s">
        <v>810</v>
      </c>
      <c r="DT5" s="367" t="s">
        <v>251</v>
      </c>
      <c r="DU5" s="367" t="s">
        <v>1195</v>
      </c>
      <c r="DV5" s="367" t="s">
        <v>251</v>
      </c>
      <c r="DW5" s="367" t="s">
        <v>416</v>
      </c>
      <c r="DX5" s="367" t="s">
        <v>425</v>
      </c>
      <c r="DY5" s="367" t="s">
        <v>903</v>
      </c>
      <c r="DZ5" s="367" t="s">
        <v>251</v>
      </c>
      <c r="EA5" s="367" t="s">
        <v>1075</v>
      </c>
      <c r="EB5" s="367" t="s">
        <v>251</v>
      </c>
      <c r="EC5" s="367" t="s">
        <v>937</v>
      </c>
      <c r="ED5" s="367" t="s">
        <v>251</v>
      </c>
      <c r="EE5" s="367" t="s">
        <v>1379</v>
      </c>
      <c r="EF5" s="367" t="s">
        <v>251</v>
      </c>
      <c r="EG5" s="367" t="s">
        <v>1034</v>
      </c>
      <c r="EH5" s="367" t="s">
        <v>251</v>
      </c>
      <c r="EI5" s="367" t="s">
        <v>1395</v>
      </c>
      <c r="EJ5" s="367" t="s">
        <v>251</v>
      </c>
      <c r="EK5" s="367" t="s">
        <v>845</v>
      </c>
      <c r="EL5" s="367" t="s">
        <v>251</v>
      </c>
      <c r="EM5" s="367" t="s">
        <v>1150</v>
      </c>
      <c r="EN5" s="367" t="s">
        <v>251</v>
      </c>
      <c r="EO5" s="367" t="s">
        <v>1359</v>
      </c>
      <c r="EP5" s="367" t="s">
        <v>251</v>
      </c>
      <c r="EQ5" s="367" t="s">
        <v>989</v>
      </c>
      <c r="ER5" s="367" t="s">
        <v>251</v>
      </c>
      <c r="ES5" s="367" t="s">
        <v>1174</v>
      </c>
      <c r="ET5" s="367" t="s">
        <v>251</v>
      </c>
      <c r="EU5" s="367" t="s">
        <v>1316</v>
      </c>
      <c r="EV5" s="367" t="s">
        <v>251</v>
      </c>
      <c r="EW5" s="367" t="s">
        <v>892</v>
      </c>
      <c r="EX5" s="367" t="s">
        <v>251</v>
      </c>
      <c r="EY5" s="367" t="s">
        <v>1002</v>
      </c>
      <c r="EZ5" s="367" t="s">
        <v>251</v>
      </c>
      <c r="FA5" s="367" t="s">
        <v>1312</v>
      </c>
      <c r="FB5" s="367" t="s">
        <v>251</v>
      </c>
      <c r="FC5" s="367" t="s">
        <v>1039</v>
      </c>
      <c r="FD5" s="367" t="s">
        <v>251</v>
      </c>
      <c r="FE5" s="367" t="s">
        <v>947</v>
      </c>
      <c r="FF5" s="367" t="s">
        <v>251</v>
      </c>
      <c r="FG5" s="367" t="s">
        <v>817</v>
      </c>
      <c r="FH5" s="367" t="s">
        <v>251</v>
      </c>
      <c r="FI5" s="367" t="s">
        <v>1199</v>
      </c>
      <c r="FJ5" s="367" t="s">
        <v>251</v>
      </c>
      <c r="FK5" s="367" t="s">
        <v>1145</v>
      </c>
      <c r="FL5" s="367" t="s">
        <v>251</v>
      </c>
      <c r="FM5" s="367" t="s">
        <v>1113</v>
      </c>
      <c r="FN5" s="367" t="s">
        <v>251</v>
      </c>
      <c r="FO5" s="367" t="s">
        <v>393</v>
      </c>
      <c r="FP5" s="367" t="s">
        <v>251</v>
      </c>
      <c r="FQ5" s="367" t="s">
        <v>1042</v>
      </c>
      <c r="FR5" s="367" t="s">
        <v>251</v>
      </c>
      <c r="FS5" s="367" t="s">
        <v>1045</v>
      </c>
      <c r="FT5" s="367" t="s">
        <v>251</v>
      </c>
      <c r="FU5" s="367" t="s">
        <v>983</v>
      </c>
      <c r="FV5" s="367" t="s">
        <v>251</v>
      </c>
      <c r="FW5" s="367" t="s">
        <v>986</v>
      </c>
      <c r="FX5" s="367" t="s">
        <v>251</v>
      </c>
      <c r="FY5" s="367" t="s">
        <v>1315</v>
      </c>
      <c r="FZ5" s="367" t="s">
        <v>251</v>
      </c>
      <c r="GA5" s="367" t="s">
        <v>1257</v>
      </c>
      <c r="GB5" s="367" t="s">
        <v>251</v>
      </c>
      <c r="GC5" s="367" t="s">
        <v>1255</v>
      </c>
      <c r="GD5" s="367" t="s">
        <v>251</v>
      </c>
      <c r="GE5" s="367" t="s">
        <v>859</v>
      </c>
      <c r="GF5" s="367" t="s">
        <v>251</v>
      </c>
      <c r="GG5" s="367" t="s">
        <v>1142</v>
      </c>
      <c r="GH5" s="367" t="s">
        <v>251</v>
      </c>
      <c r="GI5" s="367" t="s">
        <v>1231</v>
      </c>
      <c r="GJ5" s="367" t="s">
        <v>251</v>
      </c>
      <c r="GK5" s="367" t="s">
        <v>917</v>
      </c>
      <c r="GL5" s="367" t="s">
        <v>251</v>
      </c>
      <c r="GM5" s="367" t="s">
        <v>941</v>
      </c>
      <c r="GN5" s="367" t="s">
        <v>251</v>
      </c>
      <c r="GO5" s="367" t="s">
        <v>966</v>
      </c>
      <c r="GP5" s="367" t="s">
        <v>251</v>
      </c>
      <c r="GQ5" s="367" t="s">
        <v>1164</v>
      </c>
      <c r="GR5" s="367" t="s">
        <v>251</v>
      </c>
      <c r="GS5" s="367" t="s">
        <v>1299</v>
      </c>
      <c r="GT5" s="367" t="s">
        <v>251</v>
      </c>
      <c r="GU5" s="367" t="s">
        <v>1221</v>
      </c>
      <c r="GV5" s="367" t="s">
        <v>251</v>
      </c>
      <c r="GW5" s="367" t="s">
        <v>1022</v>
      </c>
      <c r="GX5" s="367" t="s">
        <v>251</v>
      </c>
      <c r="GY5" s="367" t="s">
        <v>1141</v>
      </c>
      <c r="GZ5" s="367" t="s">
        <v>251</v>
      </c>
      <c r="HA5" s="367" t="s">
        <v>818</v>
      </c>
      <c r="HB5" s="367" t="s">
        <v>251</v>
      </c>
      <c r="HC5" s="367" t="s">
        <v>1222</v>
      </c>
      <c r="HD5" s="367" t="s">
        <v>251</v>
      </c>
      <c r="HE5" s="367" t="s">
        <v>1328</v>
      </c>
      <c r="HF5" s="367" t="s">
        <v>251</v>
      </c>
      <c r="HG5" s="367" t="s">
        <v>835</v>
      </c>
      <c r="HH5" s="367" t="s">
        <v>251</v>
      </c>
      <c r="HI5" s="367" t="s">
        <v>1070</v>
      </c>
      <c r="HJ5" s="367" t="s">
        <v>251</v>
      </c>
      <c r="HK5" s="367" t="s">
        <v>1240</v>
      </c>
      <c r="HL5" s="367" t="s">
        <v>251</v>
      </c>
      <c r="HM5" s="367" t="s">
        <v>1170</v>
      </c>
      <c r="HN5" s="367" t="s">
        <v>251</v>
      </c>
      <c r="HO5" s="367" t="s">
        <v>1000</v>
      </c>
      <c r="HP5" s="367" t="s">
        <v>251</v>
      </c>
      <c r="HQ5" s="367" t="s">
        <v>1082</v>
      </c>
      <c r="HR5" s="367" t="s">
        <v>251</v>
      </c>
      <c r="HS5" s="367" t="s">
        <v>1422</v>
      </c>
      <c r="HT5" s="367" t="s">
        <v>251</v>
      </c>
      <c r="HU5" s="367" t="s">
        <v>1137</v>
      </c>
      <c r="HV5" s="367" t="s">
        <v>251</v>
      </c>
      <c r="HW5" s="367" t="s">
        <v>1088</v>
      </c>
      <c r="HX5" s="367" t="s">
        <v>251</v>
      </c>
      <c r="HY5" s="367" t="s">
        <v>957</v>
      </c>
      <c r="HZ5" s="367" t="s">
        <v>251</v>
      </c>
      <c r="IA5" s="367" t="s">
        <v>991</v>
      </c>
      <c r="IB5" s="367" t="s">
        <v>251</v>
      </c>
      <c r="IC5" s="367" t="s">
        <v>1032</v>
      </c>
      <c r="ID5" s="367" t="s">
        <v>251</v>
      </c>
      <c r="IE5" s="367" t="s">
        <v>990</v>
      </c>
      <c r="IF5" s="367" t="s">
        <v>251</v>
      </c>
      <c r="IG5" s="367" t="s">
        <v>1168</v>
      </c>
      <c r="IH5" s="367" t="s">
        <v>251</v>
      </c>
      <c r="II5" s="367" t="s">
        <v>887</v>
      </c>
      <c r="IJ5" s="367" t="s">
        <v>251</v>
      </c>
      <c r="IK5" s="367" t="s">
        <v>1355</v>
      </c>
      <c r="IL5" s="367" t="s">
        <v>251</v>
      </c>
      <c r="IM5" s="367" t="s">
        <v>831</v>
      </c>
      <c r="IN5" s="367" t="s">
        <v>251</v>
      </c>
      <c r="IO5" s="367" t="s">
        <v>91</v>
      </c>
      <c r="IP5" s="367" t="s">
        <v>251</v>
      </c>
      <c r="IQ5" s="367" t="s">
        <v>930</v>
      </c>
      <c r="IR5" s="367" t="s">
        <v>251</v>
      </c>
      <c r="IS5" s="367" t="s">
        <v>1421</v>
      </c>
      <c r="IT5" s="367" t="s">
        <v>251</v>
      </c>
      <c r="IU5" s="367" t="s">
        <v>1213</v>
      </c>
      <c r="IV5" s="367" t="s">
        <v>251</v>
      </c>
    </row>
    <row r="6" spans="1:256" s="367" customFormat="1">
      <c r="A6" s="367" t="s">
        <v>944</v>
      </c>
      <c r="B6" s="367" t="s">
        <v>251</v>
      </c>
      <c r="C6" s="367" t="s">
        <v>1003</v>
      </c>
      <c r="D6" s="367" t="s">
        <v>251</v>
      </c>
      <c r="E6" s="367" t="s">
        <v>842</v>
      </c>
      <c r="F6" s="367" t="s">
        <v>251</v>
      </c>
      <c r="G6" s="367" t="s">
        <v>90</v>
      </c>
      <c r="H6" s="367" t="s">
        <v>251</v>
      </c>
      <c r="I6" s="367" t="s">
        <v>999</v>
      </c>
      <c r="J6" s="367" t="s">
        <v>251</v>
      </c>
      <c r="K6" s="367" t="s">
        <v>805</v>
      </c>
      <c r="L6" s="367" t="s">
        <v>251</v>
      </c>
      <c r="M6" s="367" t="s">
        <v>1218</v>
      </c>
      <c r="N6" s="367" t="s">
        <v>251</v>
      </c>
      <c r="O6" s="367" t="s">
        <v>1105</v>
      </c>
      <c r="P6" s="367" t="s">
        <v>251</v>
      </c>
      <c r="Q6" s="367" t="s">
        <v>945</v>
      </c>
      <c r="R6" s="367" t="s">
        <v>251</v>
      </c>
      <c r="S6" s="367" t="s">
        <v>951</v>
      </c>
      <c r="T6" s="367" t="s">
        <v>251</v>
      </c>
      <c r="U6" s="367" t="s">
        <v>1108</v>
      </c>
      <c r="V6" s="367" t="s">
        <v>251</v>
      </c>
      <c r="W6" s="367" t="s">
        <v>1152</v>
      </c>
      <c r="X6" s="367" t="s">
        <v>251</v>
      </c>
      <c r="Y6" s="367" t="s">
        <v>1268</v>
      </c>
      <c r="Z6" s="367" t="s">
        <v>251</v>
      </c>
      <c r="AA6" s="367" t="s">
        <v>1344</v>
      </c>
      <c r="AB6" s="367" t="s">
        <v>251</v>
      </c>
      <c r="AC6" s="367" t="s">
        <v>1304</v>
      </c>
      <c r="AD6" s="367" t="s">
        <v>251</v>
      </c>
      <c r="AE6" s="367" t="s">
        <v>872</v>
      </c>
      <c r="AF6" s="367" t="s">
        <v>251</v>
      </c>
      <c r="AG6" s="367" t="s">
        <v>1208</v>
      </c>
      <c r="AH6" s="367" t="s">
        <v>251</v>
      </c>
      <c r="AI6" s="367" t="s">
        <v>1046</v>
      </c>
      <c r="AJ6" s="367" t="s">
        <v>251</v>
      </c>
      <c r="AK6" s="367" t="s">
        <v>949</v>
      </c>
      <c r="AL6" s="367" t="s">
        <v>251</v>
      </c>
      <c r="AM6" s="367" t="s">
        <v>871</v>
      </c>
      <c r="AN6" s="367" t="s">
        <v>251</v>
      </c>
      <c r="AO6" s="367" t="s">
        <v>1162</v>
      </c>
      <c r="AP6" s="367" t="s">
        <v>251</v>
      </c>
      <c r="AQ6" s="367" t="s">
        <v>1106</v>
      </c>
      <c r="AR6" s="367" t="s">
        <v>251</v>
      </c>
      <c r="AS6" s="367" t="s">
        <v>1288</v>
      </c>
      <c r="AT6" s="367" t="s">
        <v>251</v>
      </c>
      <c r="AU6" s="367" t="s">
        <v>956</v>
      </c>
      <c r="AV6" s="367" t="s">
        <v>251</v>
      </c>
      <c r="AW6" s="367" t="s">
        <v>1036</v>
      </c>
      <c r="AX6" s="367" t="s">
        <v>251</v>
      </c>
      <c r="AY6" s="367" t="s">
        <v>976</v>
      </c>
      <c r="AZ6" s="367" t="s">
        <v>251</v>
      </c>
      <c r="BA6" s="367" t="s">
        <v>1084</v>
      </c>
      <c r="BB6" s="367" t="s">
        <v>251</v>
      </c>
      <c r="BC6" s="367" t="s">
        <v>1294</v>
      </c>
      <c r="BD6" s="367" t="s">
        <v>251</v>
      </c>
      <c r="BE6" s="367" t="s">
        <v>924</v>
      </c>
      <c r="BF6" s="367" t="s">
        <v>251</v>
      </c>
      <c r="BG6" s="367" t="s">
        <v>1323</v>
      </c>
      <c r="BH6" s="367" t="s">
        <v>251</v>
      </c>
      <c r="BI6" s="367" t="s">
        <v>1356</v>
      </c>
      <c r="BJ6" s="367" t="s">
        <v>251</v>
      </c>
      <c r="BK6" s="367" t="s">
        <v>830</v>
      </c>
      <c r="BL6" s="367" t="s">
        <v>251</v>
      </c>
      <c r="BM6" s="367" t="s">
        <v>1270</v>
      </c>
      <c r="BN6" s="367" t="s">
        <v>251</v>
      </c>
      <c r="BO6" s="367" t="s">
        <v>975</v>
      </c>
      <c r="BP6" s="367" t="s">
        <v>251</v>
      </c>
      <c r="BQ6" s="367" t="s">
        <v>1144</v>
      </c>
      <c r="BR6" s="367" t="s">
        <v>251</v>
      </c>
      <c r="BS6" s="367" t="s">
        <v>811</v>
      </c>
      <c r="BT6" s="367" t="s">
        <v>251</v>
      </c>
      <c r="BU6" s="367" t="s">
        <v>1245</v>
      </c>
      <c r="BV6" s="367" t="s">
        <v>251</v>
      </c>
      <c r="BW6" s="367" t="s">
        <v>1175</v>
      </c>
      <c r="BX6" s="367" t="s">
        <v>251</v>
      </c>
      <c r="BY6" s="367" t="s">
        <v>1131</v>
      </c>
      <c r="BZ6" s="367" t="s">
        <v>251</v>
      </c>
      <c r="CA6" s="367" t="s">
        <v>839</v>
      </c>
      <c r="CB6" s="367" t="s">
        <v>251</v>
      </c>
      <c r="CC6" s="367" t="s">
        <v>855</v>
      </c>
      <c r="CD6" s="367" t="s">
        <v>251</v>
      </c>
      <c r="CE6" s="367" t="s">
        <v>1425</v>
      </c>
      <c r="CF6" s="367" t="s">
        <v>251</v>
      </c>
      <c r="CG6" s="367" t="s">
        <v>1104</v>
      </c>
      <c r="CH6" s="367" t="s">
        <v>251</v>
      </c>
      <c r="CI6" s="367" t="s">
        <v>974</v>
      </c>
      <c r="CJ6" s="367" t="s">
        <v>251</v>
      </c>
      <c r="CK6" s="367" t="s">
        <v>1186</v>
      </c>
      <c r="CL6" s="367" t="s">
        <v>251</v>
      </c>
      <c r="CM6" s="367" t="s">
        <v>813</v>
      </c>
      <c r="CN6" s="367" t="s">
        <v>251</v>
      </c>
      <c r="CO6" s="367" t="s">
        <v>1341</v>
      </c>
      <c r="CP6" s="367" t="s">
        <v>251</v>
      </c>
      <c r="CQ6" s="367" t="s">
        <v>929</v>
      </c>
      <c r="CR6" s="367" t="s">
        <v>251</v>
      </c>
      <c r="CS6" s="367" t="s">
        <v>978</v>
      </c>
      <c r="CT6" s="367" t="s">
        <v>251</v>
      </c>
      <c r="CU6" s="367" t="s">
        <v>1285</v>
      </c>
      <c r="CV6" s="367" t="s">
        <v>251</v>
      </c>
      <c r="CW6" s="367" t="s">
        <v>1322</v>
      </c>
      <c r="CX6" s="367" t="s">
        <v>251</v>
      </c>
      <c r="CY6" s="367" t="s">
        <v>1018</v>
      </c>
      <c r="CZ6" s="367" t="s">
        <v>251</v>
      </c>
      <c r="DA6" s="367" t="s">
        <v>1266</v>
      </c>
      <c r="DB6" s="367" t="s">
        <v>251</v>
      </c>
      <c r="DC6" s="367" t="s">
        <v>1227</v>
      </c>
      <c r="DD6" s="367" t="s">
        <v>251</v>
      </c>
      <c r="DE6" s="367" t="s">
        <v>809</v>
      </c>
      <c r="DF6" s="367" t="s">
        <v>251</v>
      </c>
      <c r="DG6" s="367" t="s">
        <v>1401</v>
      </c>
      <c r="DH6" s="367" t="s">
        <v>251</v>
      </c>
      <c r="DI6" s="367" t="s">
        <v>1180</v>
      </c>
      <c r="DJ6" s="367" t="s">
        <v>251</v>
      </c>
      <c r="DK6" s="367" t="s">
        <v>1219</v>
      </c>
      <c r="DL6" s="367" t="s">
        <v>251</v>
      </c>
      <c r="DM6" s="367" t="s">
        <v>1305</v>
      </c>
      <c r="DN6" s="367" t="s">
        <v>251</v>
      </c>
      <c r="DO6" s="367" t="s">
        <v>1402</v>
      </c>
      <c r="DP6" s="367" t="s">
        <v>251</v>
      </c>
      <c r="DQ6" s="367" t="s">
        <v>1117</v>
      </c>
      <c r="DR6" s="367" t="s">
        <v>251</v>
      </c>
      <c r="DS6" s="367" t="s">
        <v>1197</v>
      </c>
      <c r="DT6" s="367" t="s">
        <v>251</v>
      </c>
      <c r="DU6" s="367" t="s">
        <v>1101</v>
      </c>
      <c r="DV6" s="367" t="s">
        <v>251</v>
      </c>
      <c r="DW6" s="367" t="s">
        <v>891</v>
      </c>
      <c r="DX6" s="367" t="s">
        <v>251</v>
      </c>
      <c r="DY6" s="367" t="s">
        <v>1052</v>
      </c>
      <c r="DZ6" s="367" t="s">
        <v>251</v>
      </c>
      <c r="EA6" s="367" t="s">
        <v>1010</v>
      </c>
      <c r="EB6" s="367" t="s">
        <v>251</v>
      </c>
      <c r="EC6" s="367" t="s">
        <v>1349</v>
      </c>
      <c r="ED6" s="367" t="s">
        <v>251</v>
      </c>
      <c r="EE6" s="367" t="s">
        <v>1024</v>
      </c>
      <c r="EF6" s="367" t="s">
        <v>251</v>
      </c>
      <c r="EG6" s="367" t="s">
        <v>904</v>
      </c>
      <c r="EH6" s="367" t="s">
        <v>251</v>
      </c>
      <c r="EI6" s="367" t="s">
        <v>1393</v>
      </c>
      <c r="EJ6" s="367" t="s">
        <v>251</v>
      </c>
      <c r="EK6" s="367" t="s">
        <v>1140</v>
      </c>
      <c r="EL6" s="367" t="s">
        <v>251</v>
      </c>
      <c r="EM6" s="367" t="s">
        <v>1325</v>
      </c>
      <c r="EN6" s="367" t="s">
        <v>251</v>
      </c>
      <c r="EO6" s="367" t="s">
        <v>1293</v>
      </c>
      <c r="EP6" s="367" t="s">
        <v>251</v>
      </c>
      <c r="EQ6" s="367" t="s">
        <v>1190</v>
      </c>
      <c r="ER6" s="367" t="s">
        <v>251</v>
      </c>
      <c r="ES6" s="367" t="s">
        <v>1179</v>
      </c>
      <c r="ET6" s="367" t="s">
        <v>251</v>
      </c>
      <c r="EU6" s="367" t="s">
        <v>1134</v>
      </c>
      <c r="EV6" s="367" t="s">
        <v>251</v>
      </c>
      <c r="EW6" s="367" t="s">
        <v>1123</v>
      </c>
      <c r="EX6" s="367" t="s">
        <v>251</v>
      </c>
      <c r="EY6" s="367" t="s">
        <v>864</v>
      </c>
      <c r="EZ6" s="367" t="s">
        <v>251</v>
      </c>
      <c r="FA6" s="367" t="s">
        <v>1041</v>
      </c>
      <c r="FB6" s="367" t="s">
        <v>251</v>
      </c>
      <c r="FC6" s="367" t="s">
        <v>909</v>
      </c>
      <c r="FD6" s="367" t="s">
        <v>251</v>
      </c>
      <c r="FE6" s="367" t="s">
        <v>1153</v>
      </c>
      <c r="FF6" s="367" t="s">
        <v>251</v>
      </c>
      <c r="FG6" s="367" t="s">
        <v>849</v>
      </c>
      <c r="FH6" s="367" t="s">
        <v>251</v>
      </c>
      <c r="FI6" s="367" t="s">
        <v>1225</v>
      </c>
      <c r="FJ6" s="367" t="s">
        <v>251</v>
      </c>
      <c r="FK6" s="367" t="s">
        <v>1109</v>
      </c>
      <c r="FL6" s="367" t="s">
        <v>251</v>
      </c>
      <c r="FM6" s="367" t="s">
        <v>1412</v>
      </c>
      <c r="FN6" s="367" t="s">
        <v>251</v>
      </c>
      <c r="FO6" s="367" t="s">
        <v>1345</v>
      </c>
      <c r="FP6" s="367" t="s">
        <v>251</v>
      </c>
      <c r="FQ6" s="367" t="s">
        <v>1380</v>
      </c>
      <c r="FR6" s="367" t="s">
        <v>251</v>
      </c>
      <c r="FS6" s="367" t="s">
        <v>1301</v>
      </c>
      <c r="FT6" s="367" t="s">
        <v>251</v>
      </c>
      <c r="FU6" s="367" t="s">
        <v>927</v>
      </c>
      <c r="FV6" s="367" t="s">
        <v>251</v>
      </c>
      <c r="FW6" s="367" t="s">
        <v>814</v>
      </c>
      <c r="FX6" s="367" t="s">
        <v>251</v>
      </c>
      <c r="FY6" s="367" t="s">
        <v>816</v>
      </c>
      <c r="FZ6" s="367" t="s">
        <v>251</v>
      </c>
      <c r="GA6" s="367" t="s">
        <v>1262</v>
      </c>
      <c r="GB6" s="367" t="s">
        <v>251</v>
      </c>
      <c r="GC6" s="367" t="s">
        <v>1360</v>
      </c>
      <c r="GD6" s="367" t="s">
        <v>251</v>
      </c>
      <c r="GE6" s="367" t="s">
        <v>1191</v>
      </c>
      <c r="GF6" s="367" t="s">
        <v>251</v>
      </c>
      <c r="GG6" s="367" t="s">
        <v>1246</v>
      </c>
      <c r="GH6" s="367" t="s">
        <v>251</v>
      </c>
      <c r="GI6" s="367" t="s">
        <v>1276</v>
      </c>
      <c r="GJ6" s="367" t="s">
        <v>251</v>
      </c>
      <c r="GK6" s="367" t="s">
        <v>1391</v>
      </c>
      <c r="GL6" s="367" t="s">
        <v>251</v>
      </c>
      <c r="GM6" s="367" t="s">
        <v>996</v>
      </c>
      <c r="GN6" s="367" t="s">
        <v>251</v>
      </c>
      <c r="GO6" s="367" t="s">
        <v>1239</v>
      </c>
      <c r="GP6" s="367" t="s">
        <v>251</v>
      </c>
      <c r="GQ6" s="367" t="s">
        <v>1194</v>
      </c>
      <c r="GR6" s="367" t="s">
        <v>251</v>
      </c>
      <c r="GS6" s="367" t="s">
        <v>993</v>
      </c>
      <c r="GT6" s="367" t="s">
        <v>251</v>
      </c>
      <c r="GU6" s="367" t="s">
        <v>912</v>
      </c>
      <c r="GV6" s="367" t="s">
        <v>251</v>
      </c>
      <c r="GW6" s="367" t="s">
        <v>931</v>
      </c>
      <c r="GX6" s="367" t="s">
        <v>251</v>
      </c>
      <c r="GY6" s="367" t="s">
        <v>1411</v>
      </c>
      <c r="GZ6" s="367" t="s">
        <v>251</v>
      </c>
      <c r="HA6" s="367" t="s">
        <v>1103</v>
      </c>
      <c r="HB6" s="367" t="s">
        <v>251</v>
      </c>
      <c r="HC6" s="367" t="s">
        <v>1283</v>
      </c>
      <c r="HD6" s="367" t="s">
        <v>251</v>
      </c>
      <c r="HE6" s="367" t="s">
        <v>921</v>
      </c>
      <c r="HF6" s="367" t="s">
        <v>251</v>
      </c>
      <c r="HG6" s="367" t="s">
        <v>1078</v>
      </c>
      <c r="HH6" s="367" t="s">
        <v>251</v>
      </c>
      <c r="HI6" s="367" t="s">
        <v>1313</v>
      </c>
      <c r="HJ6" s="367" t="s">
        <v>251</v>
      </c>
      <c r="HK6" s="367" t="s">
        <v>1303</v>
      </c>
      <c r="HL6" s="367" t="s">
        <v>251</v>
      </c>
      <c r="HM6" s="367" t="s">
        <v>1192</v>
      </c>
      <c r="HN6" s="367" t="s">
        <v>251</v>
      </c>
      <c r="HO6" s="367" t="s">
        <v>1146</v>
      </c>
      <c r="HP6" s="367" t="s">
        <v>251</v>
      </c>
      <c r="HQ6" s="367" t="s">
        <v>1338</v>
      </c>
      <c r="HR6" s="367" t="s">
        <v>251</v>
      </c>
      <c r="HS6" s="367" t="s">
        <v>935</v>
      </c>
      <c r="HT6" s="367" t="s">
        <v>251</v>
      </c>
      <c r="HU6" s="367" t="s">
        <v>1362</v>
      </c>
      <c r="HV6" s="367" t="s">
        <v>251</v>
      </c>
      <c r="HW6" s="367" t="s">
        <v>821</v>
      </c>
      <c r="HX6" s="367" t="s">
        <v>251</v>
      </c>
      <c r="HY6" s="367" t="s">
        <v>1248</v>
      </c>
      <c r="HZ6" s="367" t="s">
        <v>251</v>
      </c>
      <c r="IA6" s="367" t="s">
        <v>1330</v>
      </c>
      <c r="IB6" s="367" t="s">
        <v>251</v>
      </c>
      <c r="IC6" s="367" t="s">
        <v>1059</v>
      </c>
      <c r="ID6" s="367" t="s">
        <v>251</v>
      </c>
      <c r="IE6" s="367" t="s">
        <v>1311</v>
      </c>
      <c r="IF6" s="367" t="s">
        <v>251</v>
      </c>
      <c r="IG6" s="367" t="s">
        <v>1026</v>
      </c>
      <c r="IH6" s="367" t="s">
        <v>251</v>
      </c>
      <c r="II6" s="367" t="s">
        <v>1274</v>
      </c>
      <c r="IJ6" s="367" t="s">
        <v>251</v>
      </c>
    </row>
  </sheetData>
  <phoneticPr fontId="59"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EA93"/>
  <sheetViews>
    <sheetView showGridLines="0" zoomScale="85" zoomScaleNormal="85" zoomScaleSheetLayoutView="85" workbookViewId="0">
      <pane xSplit="2" ySplit="5" topLeftCell="CL31" activePane="bottomRight" state="frozen"/>
      <selection activeCell="P42" sqref="P42"/>
      <selection pane="topRight" activeCell="P42" sqref="P42"/>
      <selection pane="bottomLeft" activeCell="P42" sqref="P42"/>
      <selection pane="bottomRight" activeCell="DN48" sqref="DN48"/>
    </sheetView>
  </sheetViews>
  <sheetFormatPr defaultRowHeight="12.75" outlineLevelRow="2" outlineLevelCol="2"/>
  <cols>
    <col min="1" max="1" width="25.7109375" style="22" customWidth="1"/>
    <col min="2" max="2" width="1.5703125" style="22" hidden="1" customWidth="1" outlineLevel="1"/>
    <col min="3" max="3" width="8.140625" style="22" hidden="1" customWidth="1" outlineLevel="2"/>
    <col min="4" max="4" width="7.140625" style="22" hidden="1" customWidth="1" outlineLevel="2"/>
    <col min="5" max="6" width="7" style="22" hidden="1" customWidth="1" outlineLevel="2"/>
    <col min="7" max="7" width="2.140625" style="22" hidden="1" customWidth="1" outlineLevel="2"/>
    <col min="8" max="11" width="7.140625" style="22" hidden="1" customWidth="1" outlineLevel="2"/>
    <col min="12" max="12" width="2.140625" style="22" hidden="1" customWidth="1" outlineLevel="2"/>
    <col min="13" max="13" width="8" style="22" hidden="1" customWidth="1" outlineLevel="2" collapsed="1"/>
    <col min="14" max="14" width="8.140625" style="22" hidden="1" customWidth="1" outlineLevel="2"/>
    <col min="15" max="15" width="7.85546875" style="22" hidden="1" customWidth="1" outlineLevel="2"/>
    <col min="16" max="16" width="8" style="22" hidden="1" customWidth="1" outlineLevel="2"/>
    <col min="17" max="17" width="2.140625" style="22" hidden="1" customWidth="1" outlineLevel="2"/>
    <col min="18" max="20" width="7.140625" style="22" hidden="1" customWidth="1" outlineLevel="2"/>
    <col min="21" max="21" width="8.42578125" style="22" hidden="1" customWidth="1" outlineLevel="2"/>
    <col min="22" max="22" width="1.42578125" style="22" hidden="1" customWidth="1" outlineLevel="2" collapsed="1"/>
    <col min="23" max="23" width="7" style="22" hidden="1" customWidth="1" outlineLevel="2"/>
    <col min="24" max="24" width="7.140625" style="22" hidden="1" customWidth="1" outlineLevel="2"/>
    <col min="25" max="25" width="7.7109375" style="22" hidden="1" customWidth="1" outlineLevel="2"/>
    <col min="26" max="26" width="7.140625" style="22" hidden="1" customWidth="1" outlineLevel="2"/>
    <col min="27" max="27" width="1.42578125" style="22" hidden="1" customWidth="1" outlineLevel="2"/>
    <col min="28" max="28" width="7.140625" style="22" hidden="1" customWidth="1" outlineLevel="2"/>
    <col min="29" max="29" width="7" style="22" hidden="1" customWidth="1" outlineLevel="2"/>
    <col min="30" max="30" width="7.28515625" style="22" hidden="1" customWidth="1" outlineLevel="2"/>
    <col min="31" max="31" width="8" style="22" hidden="1" customWidth="1" outlineLevel="2"/>
    <col min="32" max="32" width="1.42578125" style="22" hidden="1" customWidth="1" outlineLevel="2" collapsed="1"/>
    <col min="33" max="34" width="7" style="22" hidden="1" customWidth="1" outlineLevel="2"/>
    <col min="35" max="35" width="8.42578125" style="22" hidden="1" customWidth="1" outlineLevel="2"/>
    <col min="36" max="36" width="8.7109375" style="22" hidden="1" customWidth="1" outlineLevel="2"/>
    <col min="37" max="37" width="1.42578125" style="22" hidden="1" customWidth="1" outlineLevel="2"/>
    <col min="38" max="38" width="7.140625" style="22" hidden="1" customWidth="1" outlineLevel="2"/>
    <col min="39" max="39" width="7.42578125" style="22" hidden="1" customWidth="1" outlineLevel="2"/>
    <col min="40" max="41" width="8.7109375" style="22" hidden="1" customWidth="1" outlineLevel="2"/>
    <col min="42" max="42" width="1.5703125" style="22" hidden="1" customWidth="1" outlineLevel="2"/>
    <col min="43" max="43" width="8.42578125" style="22" hidden="1" customWidth="1" outlineLevel="2" collapsed="1"/>
    <col min="44" max="46" width="8.42578125" style="22" hidden="1" customWidth="1" outlineLevel="2"/>
    <col min="47" max="47" width="0.7109375" style="22" hidden="1" customWidth="1" outlineLevel="2" collapsed="1"/>
    <col min="48" max="48" width="8.42578125" style="22" hidden="1" customWidth="1" outlineLevel="2"/>
    <col min="49" max="49" width="9.5703125" style="22" hidden="1" customWidth="1" outlineLevel="2"/>
    <col min="50" max="51" width="8.42578125" style="22" hidden="1" customWidth="1" outlineLevel="2"/>
    <col min="52" max="52" width="1" style="22" hidden="1" customWidth="1" outlineLevel="2"/>
    <col min="53" max="53" width="9" style="22" hidden="1" customWidth="1" outlineLevel="2" collapsed="1"/>
    <col min="54" max="54" width="9" style="22" hidden="1" customWidth="1" outlineLevel="2"/>
    <col min="55" max="55" width="8.42578125" style="22" hidden="1" customWidth="1" outlineLevel="2"/>
    <col min="56" max="56" width="8.7109375" style="22" hidden="1" customWidth="1" outlineLevel="2"/>
    <col min="57" max="57" width="3.140625" style="22" hidden="1" customWidth="1" outlineLevel="2" collapsed="1"/>
    <col min="58" max="59" width="9" style="22" hidden="1" customWidth="1" outlineLevel="2"/>
    <col min="60" max="60" width="8.42578125" style="22" hidden="1" customWidth="1" outlineLevel="2"/>
    <col min="61" max="61" width="8.7109375" style="22" hidden="1" customWidth="1" outlineLevel="2"/>
    <col min="62" max="62" width="2.28515625" style="22" hidden="1" customWidth="1" outlineLevel="2"/>
    <col min="63" max="63" width="9.7109375" style="22" hidden="1" customWidth="1" outlineLevel="2"/>
    <col min="64" max="64" width="9.28515625" style="22" hidden="1" customWidth="1" outlineLevel="2"/>
    <col min="65" max="65" width="8.85546875" style="22" hidden="1" customWidth="1" outlineLevel="2"/>
    <col min="66" max="66" width="9" style="22" hidden="1" customWidth="1" outlineLevel="2"/>
    <col min="67" max="67" width="1.85546875" style="22" hidden="1" customWidth="1" outlineLevel="2"/>
    <col min="68" max="68" width="9.7109375" style="22" hidden="1" customWidth="1" outlineLevel="2"/>
    <col min="69" max="69" width="8.7109375" style="22" hidden="1" customWidth="1" outlineLevel="2"/>
    <col min="70" max="71" width="9.7109375" style="22" hidden="1" customWidth="1" outlineLevel="2"/>
    <col min="72" max="72" width="2.5703125" style="97" hidden="1" customWidth="1" outlineLevel="2"/>
    <col min="73" max="73" width="8.140625" style="22" hidden="1" customWidth="1" outlineLevel="1"/>
    <col min="74" max="74" width="8.5703125" style="22" hidden="1" customWidth="1" outlineLevel="1"/>
    <col min="75" max="75" width="8.140625" style="22" hidden="1" customWidth="1" outlineLevel="1"/>
    <col min="76" max="76" width="7.85546875" style="22" hidden="1" customWidth="1" outlineLevel="1"/>
    <col min="77" max="77" width="2" style="97" hidden="1" customWidth="1" outlineLevel="1" collapsed="1"/>
    <col min="78" max="78" width="8.7109375" style="22" hidden="1" customWidth="1" outlineLevel="1" collapsed="1"/>
    <col min="79" max="79" width="7.5703125" style="22" hidden="1" customWidth="1" outlineLevel="1"/>
    <col min="80" max="80" width="7.85546875" style="22" hidden="1" customWidth="1" outlineLevel="1"/>
    <col min="81" max="81" width="7.42578125" style="22" hidden="1" customWidth="1" outlineLevel="1"/>
    <col min="82" max="82" width="1.42578125" style="97" hidden="1" customWidth="1" outlineLevel="1"/>
    <col min="83" max="83" width="8.28515625" style="22" customWidth="1" collapsed="1"/>
    <col min="84" max="86" width="8.42578125" style="22" customWidth="1"/>
    <col min="87" max="87" width="1.42578125" style="22" customWidth="1"/>
    <col min="88" max="88" width="7.85546875" style="22" customWidth="1"/>
    <col min="89" max="89" width="7.5703125" style="22" customWidth="1"/>
    <col min="90" max="90" width="8.140625" style="22" customWidth="1"/>
    <col min="91" max="91" width="7.140625" style="22" customWidth="1"/>
    <col min="92" max="92" width="1.42578125" style="22" customWidth="1"/>
    <col min="93" max="93" width="7.85546875" style="22" customWidth="1"/>
    <col min="94" max="94" width="8.7109375" style="22" customWidth="1"/>
    <col min="95" max="95" width="8.140625" style="22" customWidth="1"/>
    <col min="96" max="96" width="7.7109375" style="22" customWidth="1"/>
    <col min="97" max="97" width="1.5703125" style="22" customWidth="1"/>
    <col min="98" max="98" width="10.5703125" style="22" hidden="1" customWidth="1" outlineLevel="1"/>
    <col min="99" max="104" width="8.7109375" style="22" hidden="1" customWidth="1" outlineLevel="1"/>
    <col min="105" max="105" width="8.7109375" style="22" hidden="1" customWidth="1" outlineLevel="1" collapsed="1"/>
    <col min="106" max="106" width="8.5703125" style="22" hidden="1" customWidth="1" outlineLevel="1"/>
    <col min="107" max="107" width="8.7109375" style="22" hidden="1" customWidth="1" outlineLevel="1"/>
    <col min="108" max="108" width="8.5703125" style="22" hidden="1" customWidth="1" outlineLevel="1"/>
    <col min="109" max="109" width="8.7109375" style="22" hidden="1" customWidth="1" outlineLevel="1"/>
    <col min="110" max="110" width="9" style="22" hidden="1" customWidth="1" outlineLevel="1"/>
    <col min="111" max="111" width="8.28515625" style="22" hidden="1" customWidth="1" outlineLevel="1"/>
    <col min="112" max="112" width="8.7109375" style="22" hidden="1" customWidth="1" outlineLevel="1"/>
    <col min="113" max="113" width="7.28515625" style="22" hidden="1" customWidth="1" outlineLevel="1" collapsed="1"/>
    <col min="114" max="114" width="7" style="22" customWidth="1" collapsed="1"/>
    <col min="115" max="115" width="7.140625" style="22" customWidth="1"/>
    <col min="116" max="116" width="7.5703125" style="22" customWidth="1"/>
    <col min="117" max="117" width="7.7109375" style="22" customWidth="1"/>
    <col min="118" max="118" width="7" style="22" customWidth="1"/>
    <col min="119" max="119" width="7.7109375" style="22" customWidth="1"/>
    <col min="120" max="120" width="7.140625" style="22" customWidth="1"/>
    <col min="121" max="121" width="7.5703125" style="22" customWidth="1"/>
    <col min="122" max="123" width="8.140625" style="22" customWidth="1"/>
    <col min="124" max="124" width="36.7109375" hidden="1" customWidth="1" outlineLevel="1"/>
    <col min="125" max="128" width="9.140625" hidden="1" customWidth="1" outlineLevel="1"/>
    <col min="129" max="129" width="9.140625" style="22" hidden="1" customWidth="1" outlineLevel="1"/>
    <col min="130" max="130" width="9.140625" style="22" collapsed="1"/>
    <col min="131" max="16384" width="9.140625" style="22"/>
  </cols>
  <sheetData>
    <row r="1" spans="1:129">
      <c r="A1" s="24" t="s">
        <v>357</v>
      </c>
      <c r="B1" s="800"/>
      <c r="C1" s="800"/>
      <c r="D1" s="800"/>
      <c r="E1" s="800"/>
      <c r="F1" s="800"/>
      <c r="G1" s="800"/>
      <c r="H1" s="800"/>
      <c r="I1" s="800"/>
      <c r="J1" s="800"/>
      <c r="K1" s="800"/>
      <c r="L1" s="801"/>
      <c r="M1" s="800"/>
      <c r="N1" s="800"/>
      <c r="O1" s="800"/>
      <c r="P1" s="800"/>
      <c r="Q1" s="801"/>
      <c r="R1" s="800"/>
      <c r="S1" s="800"/>
      <c r="T1" s="800"/>
      <c r="U1" s="800"/>
      <c r="V1" s="801"/>
      <c r="W1" s="800"/>
      <c r="X1" s="800"/>
      <c r="Y1" s="800"/>
      <c r="Z1" s="800"/>
      <c r="AA1" s="801"/>
      <c r="AB1" s="800"/>
      <c r="AC1" s="800"/>
      <c r="AD1" s="800"/>
      <c r="AE1" s="800"/>
      <c r="AF1" s="801"/>
      <c r="AG1" s="800"/>
      <c r="AH1" s="800"/>
      <c r="AI1" s="800"/>
      <c r="AJ1" s="800"/>
      <c r="AK1" s="801"/>
      <c r="AL1" s="800"/>
      <c r="AM1" s="800"/>
      <c r="AN1" s="800"/>
      <c r="AO1" s="800"/>
      <c r="AP1" s="800"/>
      <c r="AQ1" s="800"/>
      <c r="AR1" s="800"/>
      <c r="AS1" s="800"/>
      <c r="AT1" s="800"/>
      <c r="AU1" s="800"/>
      <c r="AV1" s="800"/>
      <c r="AW1" s="800"/>
      <c r="AX1" s="800"/>
      <c r="AY1" s="800"/>
      <c r="AZ1" s="801"/>
      <c r="BA1" s="801"/>
      <c r="BB1" s="801"/>
      <c r="BC1" s="801"/>
      <c r="BD1" s="801"/>
      <c r="BE1" s="801"/>
      <c r="BF1" s="801"/>
      <c r="BG1" s="801"/>
      <c r="BH1" s="801"/>
      <c r="BI1" s="801"/>
      <c r="BJ1" s="801"/>
      <c r="BK1" s="801"/>
      <c r="BL1" s="801"/>
      <c r="BM1" s="801"/>
      <c r="BN1" s="801"/>
      <c r="BO1" s="801"/>
      <c r="BP1" s="801"/>
      <c r="BQ1" s="801"/>
      <c r="BR1" s="801"/>
      <c r="BS1" s="801"/>
      <c r="BT1" s="802"/>
      <c r="BU1" s="801"/>
      <c r="BV1" s="801"/>
      <c r="BW1" s="801"/>
      <c r="BX1" s="801"/>
      <c r="BY1" s="802"/>
      <c r="BZ1" s="801"/>
      <c r="CA1" s="801"/>
      <c r="CB1" s="801"/>
      <c r="CC1" s="801"/>
      <c r="CD1" s="802"/>
      <c r="CE1" s="801"/>
      <c r="CF1" s="801"/>
      <c r="CG1" s="801"/>
      <c r="CH1" s="801"/>
      <c r="CI1" s="801"/>
      <c r="CJ1" s="801"/>
      <c r="CK1" s="801"/>
      <c r="CL1" s="801"/>
      <c r="CM1" s="801"/>
      <c r="CN1" s="801"/>
      <c r="CO1" s="801"/>
      <c r="CP1" s="801"/>
      <c r="CQ1" s="801"/>
      <c r="CR1" s="801"/>
      <c r="CS1" s="801"/>
      <c r="CT1" s="801"/>
      <c r="CU1" s="801"/>
      <c r="CV1" s="801"/>
      <c r="CW1" s="801"/>
      <c r="CX1" s="800"/>
      <c r="CY1" s="800"/>
      <c r="CZ1" s="801"/>
      <c r="DA1" s="801"/>
      <c r="DB1" s="801"/>
      <c r="DC1" s="803"/>
      <c r="DD1" s="801"/>
      <c r="DY1" s="252" t="s">
        <v>474</v>
      </c>
    </row>
    <row r="2" spans="1:129">
      <c r="A2" s="804" t="s">
        <v>628</v>
      </c>
      <c r="B2" s="805"/>
      <c r="C2" s="805"/>
      <c r="D2" s="805"/>
      <c r="E2" s="805"/>
      <c r="F2" s="805"/>
      <c r="G2" s="805"/>
      <c r="H2" s="805"/>
      <c r="I2" s="805"/>
      <c r="J2" s="805"/>
      <c r="K2" s="805"/>
      <c r="L2" s="806"/>
      <c r="M2" s="805"/>
      <c r="N2" s="805"/>
      <c r="O2" s="805"/>
      <c r="P2" s="805"/>
      <c r="Q2" s="806"/>
      <c r="R2" s="805"/>
      <c r="S2" s="805"/>
      <c r="T2" s="805"/>
      <c r="U2" s="805"/>
      <c r="V2" s="806"/>
      <c r="W2" s="805"/>
      <c r="X2" s="805"/>
      <c r="Y2" s="805"/>
      <c r="Z2" s="805"/>
      <c r="AA2" s="806"/>
      <c r="AB2" s="805"/>
      <c r="AC2" s="805"/>
      <c r="AD2" s="805"/>
      <c r="AE2" s="805"/>
      <c r="AF2" s="806"/>
      <c r="AG2" s="805"/>
      <c r="AH2" s="805"/>
      <c r="AI2" s="805"/>
      <c r="AJ2" s="805"/>
      <c r="AK2" s="806"/>
      <c r="AL2" s="805"/>
      <c r="AM2" s="805"/>
      <c r="AN2" s="805"/>
      <c r="AO2" s="805"/>
      <c r="AP2" s="805"/>
      <c r="AQ2" s="805"/>
      <c r="AR2" s="805"/>
      <c r="AS2" s="805"/>
      <c r="AT2" s="805"/>
      <c r="AU2" s="805"/>
      <c r="AV2" s="805"/>
      <c r="AW2" s="805"/>
      <c r="AX2" s="805"/>
      <c r="AY2" s="805"/>
      <c r="AZ2" s="806"/>
      <c r="BA2" s="806"/>
      <c r="BB2" s="806"/>
      <c r="BC2" s="806"/>
      <c r="BD2" s="806"/>
      <c r="BE2" s="806"/>
      <c r="BF2" s="806"/>
      <c r="BG2" s="806"/>
      <c r="BH2" s="806"/>
      <c r="BI2" s="806"/>
      <c r="BJ2" s="806"/>
      <c r="BK2" s="806"/>
      <c r="BL2" s="806"/>
      <c r="BM2" s="806"/>
      <c r="BN2" s="806"/>
      <c r="BO2" s="806"/>
      <c r="BP2" s="806"/>
      <c r="BQ2" s="806"/>
      <c r="BR2" s="806"/>
      <c r="BS2" s="806"/>
      <c r="BT2" s="802"/>
      <c r="BU2" s="806"/>
      <c r="BV2" s="806"/>
      <c r="BW2" s="806"/>
      <c r="BX2" s="806"/>
      <c r="BY2" s="802"/>
      <c r="BZ2" s="806"/>
      <c r="CA2" s="806"/>
      <c r="CB2" s="806"/>
      <c r="CC2" s="806"/>
      <c r="CD2" s="802"/>
      <c r="CE2" s="806"/>
      <c r="CF2" s="806"/>
      <c r="CG2" s="806"/>
      <c r="CH2" s="806"/>
      <c r="CI2" s="806"/>
      <c r="CJ2" s="806"/>
      <c r="CK2" s="806"/>
      <c r="CL2" s="806"/>
      <c r="CM2" s="806"/>
      <c r="CN2" s="806"/>
      <c r="CO2" s="806"/>
      <c r="CP2" s="806"/>
      <c r="CQ2" s="806"/>
      <c r="CR2" s="806"/>
      <c r="CS2" s="806"/>
      <c r="CT2" s="806"/>
      <c r="CU2" s="806"/>
      <c r="CV2" s="806"/>
      <c r="CW2" s="806"/>
      <c r="CX2" s="805"/>
      <c r="CY2" s="805"/>
      <c r="CZ2" s="806"/>
      <c r="DA2" s="806"/>
      <c r="DB2" s="806"/>
      <c r="DC2" s="806"/>
      <c r="DD2" s="806"/>
      <c r="DE2" s="96"/>
      <c r="DF2" s="96"/>
      <c r="DG2" s="96"/>
      <c r="DH2" s="96"/>
      <c r="DI2" s="96"/>
      <c r="DJ2" s="96"/>
      <c r="DK2" s="96"/>
      <c r="DL2" s="96"/>
      <c r="DM2" s="96"/>
      <c r="DN2" s="96"/>
      <c r="DO2" s="96"/>
      <c r="DP2" s="96"/>
      <c r="DQ2" s="96"/>
      <c r="DR2" s="96"/>
      <c r="DS2" s="96"/>
    </row>
    <row r="3" spans="1:129">
      <c r="A3" s="801" t="s">
        <v>286</v>
      </c>
      <c r="B3" s="800"/>
      <c r="C3" s="800"/>
      <c r="D3" s="800"/>
      <c r="E3" s="800"/>
      <c r="F3" s="800"/>
      <c r="G3" s="800"/>
      <c r="H3" s="800"/>
      <c r="I3" s="800"/>
      <c r="J3" s="800"/>
      <c r="K3" s="800"/>
      <c r="L3" s="801"/>
      <c r="M3" s="800"/>
      <c r="N3" s="800"/>
      <c r="O3" s="800"/>
      <c r="P3" s="800"/>
      <c r="Q3" s="801"/>
      <c r="R3" s="800"/>
      <c r="S3" s="800"/>
      <c r="T3" s="800"/>
      <c r="U3" s="800"/>
      <c r="V3" s="801"/>
      <c r="W3" s="800"/>
      <c r="X3" s="800"/>
      <c r="Y3" s="800"/>
      <c r="Z3" s="800"/>
      <c r="AA3" s="801"/>
      <c r="AB3" s="800"/>
      <c r="AC3" s="800"/>
      <c r="AD3" s="800"/>
      <c r="AE3" s="800"/>
      <c r="AF3" s="801"/>
      <c r="AG3" s="800"/>
      <c r="AH3" s="800"/>
      <c r="AI3" s="800"/>
      <c r="AJ3" s="800"/>
      <c r="AK3" s="801"/>
      <c r="AL3" s="800"/>
      <c r="AM3" s="800"/>
      <c r="AN3" s="800"/>
      <c r="AO3" s="800"/>
      <c r="AP3" s="800"/>
      <c r="AQ3" s="800"/>
      <c r="AR3" s="800"/>
      <c r="AS3" s="800"/>
      <c r="AT3" s="800"/>
      <c r="AU3" s="800"/>
      <c r="AV3" s="800"/>
      <c r="AW3" s="800"/>
      <c r="AX3" s="800"/>
      <c r="AY3" s="800"/>
      <c r="AZ3" s="801"/>
      <c r="BA3" s="801"/>
      <c r="BB3" s="801"/>
      <c r="BC3" s="801"/>
      <c r="BD3" s="801"/>
      <c r="BE3" s="801"/>
      <c r="BF3" s="801"/>
      <c r="BG3" s="801"/>
      <c r="BH3" s="801"/>
      <c r="BI3" s="801"/>
      <c r="BJ3" s="801"/>
      <c r="BK3" s="801"/>
      <c r="BL3" s="801"/>
      <c r="BM3" s="801"/>
      <c r="BN3" s="801"/>
      <c r="BO3" s="801"/>
      <c r="BP3" s="801"/>
      <c r="BQ3" s="801"/>
      <c r="BR3" s="801"/>
      <c r="BS3" s="801"/>
      <c r="BT3" s="802"/>
      <c r="BU3" s="801"/>
      <c r="BV3" s="801"/>
      <c r="BW3" s="801"/>
      <c r="BX3" s="801"/>
      <c r="BY3" s="802"/>
      <c r="BZ3" s="801"/>
      <c r="CA3" s="801"/>
      <c r="CB3" s="801"/>
      <c r="CC3" s="801"/>
      <c r="CD3" s="802"/>
      <c r="CE3" s="801"/>
      <c r="CF3" s="801"/>
      <c r="CG3" s="801"/>
      <c r="CH3" s="801"/>
      <c r="CI3" s="801"/>
      <c r="CJ3" s="801"/>
      <c r="CK3" s="801"/>
      <c r="CL3" s="801"/>
      <c r="CM3" s="801"/>
      <c r="CN3" s="801"/>
      <c r="CO3" s="801"/>
      <c r="CP3" s="801"/>
      <c r="CQ3" s="801"/>
      <c r="CR3" s="801"/>
      <c r="CS3" s="801"/>
      <c r="CT3" s="801"/>
      <c r="CU3" s="801"/>
      <c r="CV3" s="801"/>
      <c r="CW3" s="801"/>
      <c r="CX3" s="800"/>
      <c r="CY3" s="800"/>
      <c r="CZ3" s="801"/>
      <c r="DA3" s="801"/>
      <c r="DB3" s="801"/>
      <c r="DC3" s="801"/>
      <c r="DD3" s="801"/>
    </row>
    <row r="4" spans="1:129" ht="7.5" customHeight="1">
      <c r="A4" s="97"/>
      <c r="B4" s="807"/>
      <c r="C4" s="807"/>
      <c r="D4" s="807"/>
      <c r="E4" s="807"/>
      <c r="F4" s="807"/>
      <c r="G4" s="807"/>
      <c r="H4" s="807"/>
      <c r="I4" s="807"/>
      <c r="J4" s="807"/>
      <c r="K4" s="807"/>
      <c r="L4" s="807"/>
      <c r="M4" s="807"/>
      <c r="N4" s="807"/>
      <c r="O4" s="807"/>
      <c r="P4" s="807"/>
      <c r="Q4" s="807"/>
      <c r="R4" s="807"/>
      <c r="S4" s="807"/>
      <c r="T4" s="807"/>
      <c r="U4" s="807"/>
      <c r="V4" s="807"/>
      <c r="W4" s="807"/>
      <c r="X4" s="807"/>
      <c r="Y4" s="807"/>
      <c r="Z4" s="807"/>
      <c r="AA4" s="808"/>
      <c r="AC4" s="807"/>
      <c r="AD4" s="807"/>
      <c r="AE4" s="807"/>
      <c r="AF4" s="807"/>
      <c r="AG4" s="807"/>
      <c r="AH4" s="807"/>
      <c r="AI4" s="807"/>
      <c r="AJ4" s="807"/>
      <c r="AK4" s="808"/>
      <c r="AL4" s="809" t="s">
        <v>287</v>
      </c>
      <c r="AM4" s="809"/>
      <c r="AN4" s="809"/>
      <c r="AO4" s="809"/>
      <c r="AP4" s="809"/>
      <c r="AQ4" s="810"/>
      <c r="AR4" s="810"/>
      <c r="AS4" s="810"/>
      <c r="AT4" s="810"/>
      <c r="AU4" s="809"/>
      <c r="AV4" s="810"/>
      <c r="AW4" s="810"/>
      <c r="AX4" s="810"/>
      <c r="AY4" s="810"/>
      <c r="AZ4" s="801"/>
      <c r="BA4" s="801"/>
      <c r="BB4" s="801"/>
      <c r="BC4" s="801"/>
      <c r="BD4" s="801"/>
      <c r="BE4" s="801"/>
      <c r="BF4" s="801"/>
      <c r="BG4" s="801"/>
      <c r="BH4" s="801"/>
      <c r="BI4" s="801"/>
      <c r="BJ4" s="802"/>
      <c r="BK4" s="801"/>
      <c r="BL4" s="2289"/>
      <c r="BM4" s="2289"/>
      <c r="BN4" s="2289"/>
      <c r="BO4" s="2290"/>
      <c r="BP4" s="801"/>
      <c r="BQ4" s="801"/>
      <c r="BR4" s="801"/>
      <c r="BS4" s="801"/>
      <c r="BT4" s="802"/>
      <c r="BU4" s="801"/>
      <c r="BV4" s="801"/>
      <c r="BW4" s="801"/>
      <c r="BX4" s="801"/>
      <c r="BY4" s="802"/>
      <c r="BZ4" s="801"/>
      <c r="CA4" s="801"/>
      <c r="CB4" s="801"/>
      <c r="CC4" s="801"/>
      <c r="CD4" s="802"/>
      <c r="CE4" s="801"/>
      <c r="CF4" s="801"/>
      <c r="CG4" s="801"/>
      <c r="CH4" s="801"/>
      <c r="CI4" s="801"/>
      <c r="CJ4" s="801"/>
      <c r="CK4" s="801"/>
      <c r="CL4" s="801"/>
      <c r="CM4" s="801"/>
      <c r="CN4" s="801"/>
      <c r="CO4" s="801"/>
      <c r="CP4" s="801"/>
      <c r="CQ4" s="801"/>
      <c r="CR4" s="801"/>
      <c r="CS4" s="801"/>
      <c r="CT4" s="801"/>
      <c r="CU4" s="801"/>
      <c r="CV4" s="801"/>
      <c r="CW4" s="810"/>
      <c r="CX4" s="810"/>
      <c r="CY4" s="810"/>
      <c r="CZ4" s="810"/>
      <c r="DA4" s="811"/>
      <c r="DB4" s="812"/>
      <c r="DC4" s="812"/>
      <c r="DD4" s="812"/>
      <c r="DE4" s="812"/>
      <c r="DF4" s="812"/>
      <c r="DG4" s="812"/>
      <c r="DH4" s="812"/>
      <c r="DK4" s="96"/>
      <c r="DL4" s="96"/>
      <c r="DM4" s="97"/>
    </row>
    <row r="5" spans="1:129">
      <c r="A5" s="813"/>
      <c r="B5" s="814" t="s">
        <v>288</v>
      </c>
      <c r="C5" s="815">
        <v>1999</v>
      </c>
      <c r="D5" s="816"/>
      <c r="E5" s="816"/>
      <c r="F5" s="816"/>
      <c r="G5" s="817"/>
      <c r="H5" s="818">
        <f>+CY5</f>
        <v>2000</v>
      </c>
      <c r="I5" s="819"/>
      <c r="J5" s="819"/>
      <c r="K5" s="819"/>
      <c r="L5" s="820"/>
      <c r="M5" s="818">
        <f>+DA5</f>
        <v>2002</v>
      </c>
      <c r="N5" s="819"/>
      <c r="O5" s="819"/>
      <c r="P5" s="819"/>
      <c r="Q5" s="820"/>
      <c r="R5" s="818">
        <f>+DB5</f>
        <v>2003</v>
      </c>
      <c r="S5" s="819"/>
      <c r="T5" s="819"/>
      <c r="U5" s="819"/>
      <c r="V5" s="820"/>
      <c r="W5" s="818">
        <f>+DC5</f>
        <v>2004</v>
      </c>
      <c r="X5" s="819"/>
      <c r="Y5" s="819"/>
      <c r="Z5" s="819"/>
      <c r="AA5" s="821"/>
      <c r="AB5" s="822" t="str">
        <f>+DD5</f>
        <v>2005PF</v>
      </c>
      <c r="AC5" s="819"/>
      <c r="AD5" s="819"/>
      <c r="AE5" s="819"/>
      <c r="AF5" s="821"/>
      <c r="AG5" s="818" t="str">
        <f>DE5</f>
        <v>2006PF</v>
      </c>
      <c r="AH5" s="819"/>
      <c r="AI5" s="819"/>
      <c r="AJ5" s="819"/>
      <c r="AK5" s="813"/>
      <c r="AL5" s="818" t="str">
        <f>DF5</f>
        <v>2007PF</v>
      </c>
      <c r="AM5" s="818"/>
      <c r="AN5" s="818"/>
      <c r="AO5" s="818"/>
      <c r="AP5" s="823"/>
      <c r="AQ5" s="2291">
        <f>DG5</f>
        <v>2008</v>
      </c>
      <c r="AR5" s="2291"/>
      <c r="AS5" s="2291"/>
      <c r="AT5" s="2291"/>
      <c r="AU5" s="823"/>
      <c r="AV5" s="2291">
        <f>DH5</f>
        <v>2009</v>
      </c>
      <c r="AW5" s="2291"/>
      <c r="AX5" s="2291"/>
      <c r="AY5" s="2291"/>
      <c r="AZ5" s="820"/>
      <c r="BA5" s="2291" t="str">
        <f>DI5</f>
        <v>2010A</v>
      </c>
      <c r="BB5" s="2291"/>
      <c r="BC5" s="2291"/>
      <c r="BD5" s="2291"/>
      <c r="BE5" s="820"/>
      <c r="BF5" s="2291" t="str">
        <f>DJ5</f>
        <v>2011A</v>
      </c>
      <c r="BG5" s="2291"/>
      <c r="BH5" s="2291"/>
      <c r="BI5" s="2291"/>
      <c r="BJ5" s="813"/>
      <c r="BK5" s="2291">
        <v>2012</v>
      </c>
      <c r="BL5" s="2291"/>
      <c r="BM5" s="2291"/>
      <c r="BN5" s="2291"/>
      <c r="BO5" s="824"/>
      <c r="BP5" s="2291" t="s">
        <v>679</v>
      </c>
      <c r="BQ5" s="2291"/>
      <c r="BR5" s="2291"/>
      <c r="BS5" s="2291"/>
      <c r="BT5" s="824"/>
      <c r="BU5" s="2291" t="s">
        <v>790</v>
      </c>
      <c r="BV5" s="2291"/>
      <c r="BW5" s="2291"/>
      <c r="BX5" s="2291"/>
      <c r="BY5" s="824"/>
      <c r="BZ5" s="2291" t="s">
        <v>1431</v>
      </c>
      <c r="CA5" s="2291"/>
      <c r="CB5" s="2291"/>
      <c r="CC5" s="2291"/>
      <c r="CD5" s="824"/>
      <c r="CE5" s="2291" t="s">
        <v>1433</v>
      </c>
      <c r="CF5" s="2291"/>
      <c r="CG5" s="2291"/>
      <c r="CH5" s="2291"/>
      <c r="CI5" s="824"/>
      <c r="CJ5" s="2291" t="s">
        <v>1437</v>
      </c>
      <c r="CK5" s="2291"/>
      <c r="CL5" s="2291"/>
      <c r="CM5" s="2291"/>
      <c r="CN5" s="824"/>
      <c r="CO5" s="2292" t="s">
        <v>375</v>
      </c>
      <c r="CP5" s="2292"/>
      <c r="CQ5" s="2292"/>
      <c r="CR5" s="2292"/>
      <c r="CS5" s="824"/>
      <c r="CT5" s="825">
        <v>1995</v>
      </c>
      <c r="CU5" s="825">
        <v>1996</v>
      </c>
      <c r="CV5" s="825">
        <v>1997</v>
      </c>
      <c r="CW5" s="825">
        <v>1998</v>
      </c>
      <c r="CX5" s="826">
        <v>1999</v>
      </c>
      <c r="CY5" s="827">
        <v>2000</v>
      </c>
      <c r="CZ5" s="828">
        <f>+CY5+1</f>
        <v>2001</v>
      </c>
      <c r="DA5" s="828">
        <f>+CZ5+1</f>
        <v>2002</v>
      </c>
      <c r="DB5" s="828">
        <v>2003</v>
      </c>
      <c r="DC5" s="829">
        <v>2004</v>
      </c>
      <c r="DD5" s="829" t="s">
        <v>23</v>
      </c>
      <c r="DE5" s="828" t="s">
        <v>22</v>
      </c>
      <c r="DF5" s="829" t="s">
        <v>21</v>
      </c>
      <c r="DG5" s="829">
        <v>2008</v>
      </c>
      <c r="DH5" s="829">
        <v>2009</v>
      </c>
      <c r="DI5" s="828" t="s">
        <v>10</v>
      </c>
      <c r="DJ5" s="828" t="s">
        <v>68</v>
      </c>
      <c r="DK5" s="829" t="s">
        <v>552</v>
      </c>
      <c r="DL5" s="829" t="s">
        <v>679</v>
      </c>
      <c r="DM5" s="829" t="s">
        <v>790</v>
      </c>
      <c r="DN5" s="829" t="s">
        <v>1431</v>
      </c>
      <c r="DO5" s="829" t="s">
        <v>1433</v>
      </c>
      <c r="DP5" s="829" t="s">
        <v>1437</v>
      </c>
      <c r="DQ5" s="830" t="s">
        <v>375</v>
      </c>
      <c r="DR5" s="830" t="s">
        <v>782</v>
      </c>
      <c r="DS5" s="831" t="s">
        <v>1428</v>
      </c>
    </row>
    <row r="6" spans="1:129">
      <c r="A6" s="832" t="s">
        <v>289</v>
      </c>
      <c r="B6" s="833"/>
      <c r="C6" s="834" t="s">
        <v>96</v>
      </c>
      <c r="D6" s="834" t="s">
        <v>97</v>
      </c>
      <c r="E6" s="834" t="s">
        <v>99</v>
      </c>
      <c r="F6" s="834" t="s">
        <v>100</v>
      </c>
      <c r="G6" s="833"/>
      <c r="H6" s="835" t="str">
        <f>+C6</f>
        <v>Apr</v>
      </c>
      <c r="I6" s="835" t="str">
        <f>D6</f>
        <v>Jul</v>
      </c>
      <c r="J6" s="835" t="str">
        <f>E6</f>
        <v>Oct</v>
      </c>
      <c r="K6" s="835" t="str">
        <f>F6</f>
        <v>Jan</v>
      </c>
      <c r="L6" s="836"/>
      <c r="M6" s="835" t="str">
        <f>+H6</f>
        <v>Apr</v>
      </c>
      <c r="N6" s="835" t="str">
        <f>+I6</f>
        <v>Jul</v>
      </c>
      <c r="O6" s="835" t="str">
        <f>+J6</f>
        <v>Oct</v>
      </c>
      <c r="P6" s="835" t="str">
        <f>+K6</f>
        <v>Jan</v>
      </c>
      <c r="Q6" s="836"/>
      <c r="R6" s="835" t="s">
        <v>96</v>
      </c>
      <c r="S6" s="835" t="s">
        <v>97</v>
      </c>
      <c r="T6" s="835" t="s">
        <v>99</v>
      </c>
      <c r="U6" s="835" t="s">
        <v>100</v>
      </c>
      <c r="V6" s="837"/>
      <c r="W6" s="835" t="s">
        <v>96</v>
      </c>
      <c r="X6" s="835" t="s">
        <v>97</v>
      </c>
      <c r="Y6" s="835" t="s">
        <v>99</v>
      </c>
      <c r="Z6" s="835" t="s">
        <v>100</v>
      </c>
      <c r="AA6" s="836"/>
      <c r="AB6" s="835" t="s">
        <v>734</v>
      </c>
      <c r="AC6" s="835" t="s">
        <v>735</v>
      </c>
      <c r="AD6" s="835" t="s">
        <v>51</v>
      </c>
      <c r="AE6" s="835" t="s">
        <v>100</v>
      </c>
      <c r="AF6" s="836"/>
      <c r="AG6" s="835" t="s">
        <v>96</v>
      </c>
      <c r="AH6" s="835" t="s">
        <v>97</v>
      </c>
      <c r="AI6" s="835" t="s">
        <v>99</v>
      </c>
      <c r="AJ6" s="835" t="s">
        <v>100</v>
      </c>
      <c r="AK6" s="836"/>
      <c r="AL6" s="835" t="s">
        <v>96</v>
      </c>
      <c r="AM6" s="835" t="s">
        <v>97</v>
      </c>
      <c r="AN6" s="835" t="s">
        <v>99</v>
      </c>
      <c r="AO6" s="835" t="s">
        <v>100</v>
      </c>
      <c r="AP6" s="834"/>
      <c r="AQ6" s="835" t="s">
        <v>96</v>
      </c>
      <c r="AR6" s="835" t="s">
        <v>97</v>
      </c>
      <c r="AS6" s="835" t="s">
        <v>99</v>
      </c>
      <c r="AT6" s="835" t="s">
        <v>100</v>
      </c>
      <c r="AU6" s="834"/>
      <c r="AV6" s="835" t="s">
        <v>96</v>
      </c>
      <c r="AW6" s="835" t="s">
        <v>97</v>
      </c>
      <c r="AX6" s="835" t="s">
        <v>99</v>
      </c>
      <c r="AY6" s="835" t="s">
        <v>100</v>
      </c>
      <c r="AZ6" s="836"/>
      <c r="BA6" s="835" t="s">
        <v>96</v>
      </c>
      <c r="BB6" s="835" t="s">
        <v>97</v>
      </c>
      <c r="BC6" s="835" t="s">
        <v>99</v>
      </c>
      <c r="BD6" s="835" t="s">
        <v>100</v>
      </c>
      <c r="BE6" s="836"/>
      <c r="BF6" s="835" t="s">
        <v>96</v>
      </c>
      <c r="BG6" s="835" t="s">
        <v>97</v>
      </c>
      <c r="BH6" s="835" t="s">
        <v>99</v>
      </c>
      <c r="BI6" s="835" t="s">
        <v>100</v>
      </c>
      <c r="BJ6" s="838"/>
      <c r="BK6" s="835" t="s">
        <v>96</v>
      </c>
      <c r="BL6" s="835" t="s">
        <v>97</v>
      </c>
      <c r="BM6" s="835" t="s">
        <v>99</v>
      </c>
      <c r="BN6" s="835" t="s">
        <v>100</v>
      </c>
      <c r="BO6" s="839"/>
      <c r="BP6" s="840" t="s">
        <v>96</v>
      </c>
      <c r="BQ6" s="840" t="s">
        <v>97</v>
      </c>
      <c r="BR6" s="840" t="s">
        <v>99</v>
      </c>
      <c r="BS6" s="841" t="s">
        <v>100</v>
      </c>
      <c r="BT6" s="839"/>
      <c r="BU6" s="835" t="s">
        <v>96</v>
      </c>
      <c r="BV6" s="835" t="s">
        <v>97</v>
      </c>
      <c r="BW6" s="835" t="s">
        <v>99</v>
      </c>
      <c r="BX6" s="841" t="s">
        <v>100</v>
      </c>
      <c r="BY6" s="839"/>
      <c r="BZ6" s="835" t="s">
        <v>96</v>
      </c>
      <c r="CA6" s="835" t="s">
        <v>97</v>
      </c>
      <c r="CB6" s="835" t="s">
        <v>99</v>
      </c>
      <c r="CC6" s="841" t="s">
        <v>100</v>
      </c>
      <c r="CD6" s="839"/>
      <c r="CE6" s="835" t="s">
        <v>96</v>
      </c>
      <c r="CF6" s="835" t="s">
        <v>97</v>
      </c>
      <c r="CG6" s="835" t="s">
        <v>99</v>
      </c>
      <c r="CH6" s="841" t="s">
        <v>100</v>
      </c>
      <c r="CI6" s="839"/>
      <c r="CJ6" s="835" t="s">
        <v>96</v>
      </c>
      <c r="CK6" s="835" t="s">
        <v>97</v>
      </c>
      <c r="CL6" s="835" t="s">
        <v>99</v>
      </c>
      <c r="CM6" s="841" t="s">
        <v>100</v>
      </c>
      <c r="CN6" s="839"/>
      <c r="CO6" s="2216" t="s">
        <v>96</v>
      </c>
      <c r="CP6" s="2216" t="s">
        <v>97</v>
      </c>
      <c r="CQ6" s="1954" t="s">
        <v>99</v>
      </c>
      <c r="CR6" s="842" t="s">
        <v>100</v>
      </c>
      <c r="CS6" s="839"/>
      <c r="CT6" s="843" t="s">
        <v>100</v>
      </c>
      <c r="CU6" s="843" t="s">
        <v>100</v>
      </c>
      <c r="CV6" s="843" t="s">
        <v>100</v>
      </c>
      <c r="CW6" s="843" t="s">
        <v>100</v>
      </c>
      <c r="CX6" s="840" t="str">
        <f t="shared" ref="CX6:DC6" si="0">CW6</f>
        <v>Jan</v>
      </c>
      <c r="CY6" s="840" t="str">
        <f t="shared" si="0"/>
        <v>Jan</v>
      </c>
      <c r="CZ6" s="840" t="str">
        <f t="shared" si="0"/>
        <v>Jan</v>
      </c>
      <c r="DA6" s="840" t="str">
        <f t="shared" si="0"/>
        <v>Jan</v>
      </c>
      <c r="DB6" s="844" t="str">
        <f t="shared" si="0"/>
        <v>Jan</v>
      </c>
      <c r="DC6" s="840" t="str">
        <f t="shared" si="0"/>
        <v>Jan</v>
      </c>
      <c r="DD6" s="840" t="str">
        <f>DC6</f>
        <v>Jan</v>
      </c>
      <c r="DE6" s="844" t="s">
        <v>630</v>
      </c>
      <c r="DF6" s="840" t="s">
        <v>631</v>
      </c>
      <c r="DG6" s="840" t="s">
        <v>632</v>
      </c>
      <c r="DH6" s="840" t="s">
        <v>633</v>
      </c>
      <c r="DI6" s="844" t="s">
        <v>634</v>
      </c>
      <c r="DJ6" s="844" t="s">
        <v>635</v>
      </c>
      <c r="DK6" s="840" t="s">
        <v>636</v>
      </c>
      <c r="DL6" s="840" t="s">
        <v>637</v>
      </c>
      <c r="DM6" s="840" t="s">
        <v>638</v>
      </c>
      <c r="DN6" s="840" t="s">
        <v>639</v>
      </c>
      <c r="DO6" s="840" t="s">
        <v>640</v>
      </c>
      <c r="DP6" s="840" t="s">
        <v>783</v>
      </c>
      <c r="DQ6" s="839" t="s">
        <v>784</v>
      </c>
      <c r="DR6" s="839" t="s">
        <v>785</v>
      </c>
      <c r="DS6" s="845" t="s">
        <v>1429</v>
      </c>
    </row>
    <row r="7" spans="1:129" ht="10.5" customHeight="1">
      <c r="A7" s="801"/>
      <c r="B7" s="846"/>
      <c r="C7" s="846"/>
      <c r="D7" s="846"/>
      <c r="E7" s="846"/>
      <c r="F7" s="846"/>
      <c r="G7" s="846"/>
      <c r="H7" s="846"/>
      <c r="I7" s="846"/>
      <c r="J7" s="846"/>
      <c r="K7" s="846"/>
      <c r="L7" s="847"/>
      <c r="M7" s="846"/>
      <c r="N7" s="846"/>
      <c r="O7" s="846"/>
      <c r="P7" s="846"/>
      <c r="Q7" s="847"/>
      <c r="R7" s="848"/>
      <c r="S7" s="848"/>
      <c r="T7" s="848"/>
      <c r="U7" s="848"/>
      <c r="V7" s="847"/>
      <c r="W7" s="848"/>
      <c r="X7" s="848"/>
      <c r="Y7" s="848"/>
      <c r="Z7" s="848"/>
      <c r="AA7" s="847"/>
      <c r="AB7" s="848"/>
      <c r="AC7" s="848"/>
      <c r="AD7" s="848"/>
      <c r="AE7" s="848"/>
      <c r="AF7" s="847"/>
      <c r="AG7" s="848"/>
      <c r="AH7" s="848"/>
      <c r="AI7" s="848"/>
      <c r="AJ7" s="848"/>
      <c r="AK7" s="847"/>
      <c r="AL7" s="848"/>
      <c r="AM7" s="848"/>
      <c r="AN7" s="848"/>
      <c r="AO7" s="848"/>
      <c r="AP7" s="848"/>
      <c r="AQ7" s="848"/>
      <c r="AR7" s="848"/>
      <c r="AS7" s="848"/>
      <c r="AT7" s="848"/>
      <c r="AU7" s="848"/>
      <c r="AV7" s="848"/>
      <c r="AW7" s="848"/>
      <c r="AX7" s="848"/>
      <c r="AY7" s="848"/>
      <c r="AZ7" s="847"/>
      <c r="BA7" s="848"/>
      <c r="BB7" s="848"/>
      <c r="BC7" s="848"/>
      <c r="BD7" s="848"/>
      <c r="BE7" s="847"/>
      <c r="BF7" s="848"/>
      <c r="BG7" s="848"/>
      <c r="BH7" s="848"/>
      <c r="BI7" s="849"/>
      <c r="BJ7" s="850"/>
      <c r="BK7" s="848"/>
      <c r="BL7" s="848"/>
      <c r="BM7" s="848"/>
      <c r="BN7" s="849"/>
      <c r="BO7" s="849"/>
      <c r="BP7" s="849"/>
      <c r="BQ7" s="849"/>
      <c r="BR7" s="849"/>
      <c r="BS7" s="849"/>
      <c r="BT7" s="849"/>
      <c r="BU7" s="849"/>
      <c r="BV7" s="849"/>
      <c r="BW7" s="849"/>
      <c r="BX7" s="849"/>
      <c r="BY7" s="849"/>
      <c r="BZ7" s="849"/>
      <c r="CA7" s="849"/>
      <c r="CB7" s="849"/>
      <c r="CC7" s="849"/>
      <c r="CD7" s="849"/>
      <c r="CE7" s="849"/>
      <c r="CF7" s="849"/>
      <c r="CG7" s="849"/>
      <c r="CH7" s="849"/>
      <c r="CI7" s="849"/>
      <c r="CJ7" s="849"/>
      <c r="CK7" s="849"/>
      <c r="CL7" s="849"/>
      <c r="CM7" s="849"/>
      <c r="CN7" s="849"/>
      <c r="CO7" s="849"/>
      <c r="CP7" s="849"/>
      <c r="CQ7" s="849"/>
      <c r="CR7" s="849"/>
      <c r="CS7" s="849"/>
      <c r="CT7" s="802"/>
      <c r="CU7" s="802"/>
      <c r="CV7" s="802"/>
      <c r="CW7" s="802"/>
      <c r="CX7" s="802"/>
      <c r="CY7" s="802"/>
      <c r="CZ7" s="802"/>
      <c r="DA7" s="802"/>
      <c r="DB7" s="851"/>
      <c r="DC7" s="802"/>
      <c r="DD7" s="802"/>
      <c r="DE7" s="851"/>
      <c r="DF7" s="802"/>
      <c r="DG7" s="802"/>
      <c r="DH7" s="802"/>
      <c r="DI7" s="851"/>
      <c r="DJ7" s="851"/>
      <c r="DK7" s="802"/>
      <c r="DL7" s="802"/>
      <c r="DM7" s="802"/>
      <c r="DN7" s="802"/>
      <c r="DO7" s="802"/>
      <c r="DP7" s="802"/>
      <c r="DQ7" s="802"/>
      <c r="DR7" s="802"/>
      <c r="DS7" s="852"/>
    </row>
    <row r="8" spans="1:129">
      <c r="A8" s="853" t="s">
        <v>268</v>
      </c>
      <c r="B8" s="854"/>
      <c r="C8" s="854">
        <f>'qtrP&amp;L'!$X10</f>
        <v>186.42699999999999</v>
      </c>
      <c r="D8" s="854">
        <f>'qtrP&amp;L'!$X11</f>
        <v>196.227</v>
      </c>
      <c r="E8" s="854">
        <f>'qtrP&amp;L'!$X12</f>
        <v>284.51</v>
      </c>
      <c r="F8" s="854">
        <f>'qtrP&amp;L'!$X13</f>
        <v>363.69400000000002</v>
      </c>
      <c r="G8" s="854"/>
      <c r="H8" s="854">
        <f>'qtrP&amp;L'!$AB10</f>
        <v>205.006</v>
      </c>
      <c r="I8" s="854">
        <f>'qtrP&amp;L'!$AB11</f>
        <v>229.03100000000001</v>
      </c>
      <c r="J8" s="854">
        <f>'qtrP&amp;L'!$AB12</f>
        <v>364.12200000000001</v>
      </c>
      <c r="K8" s="854">
        <f>'qtrP&amp;L'!$AB13</f>
        <v>439.44499999999999</v>
      </c>
      <c r="L8" s="854"/>
      <c r="M8" s="854">
        <f>'qtrP&amp;L'!$AJ10</f>
        <v>312.79199999999997</v>
      </c>
      <c r="N8" s="854">
        <f>'qtrP&amp;L'!$AJ11</f>
        <v>329.154</v>
      </c>
      <c r="O8" s="854">
        <f>'qtrP&amp;L'!$AJ12</f>
        <v>419.32900000000001</v>
      </c>
      <c r="P8" s="854">
        <f>'qtrP&amp;L'!$AJ13</f>
        <v>534.48199999999997</v>
      </c>
      <c r="Q8" s="854"/>
      <c r="R8" s="854">
        <f>'qtrP&amp;L'!$AN10</f>
        <v>346.72199999999998</v>
      </c>
      <c r="S8" s="854">
        <f>'qtrP&amp;L'!$AN11</f>
        <v>355.71899999999999</v>
      </c>
      <c r="T8" s="854">
        <f>'qtrP&amp;L'!$AN12</f>
        <v>444.97899999999998</v>
      </c>
      <c r="U8" s="854">
        <f>'qtrP&amp;L'!$AN13</f>
        <v>560.38900000000001</v>
      </c>
      <c r="V8" s="854"/>
      <c r="W8" s="854">
        <f>+'qtrP&amp;L'!$AR$10</f>
        <v>411.93</v>
      </c>
      <c r="X8" s="854">
        <f>+'qtrP&amp;L'!$AR$11</f>
        <v>401.346</v>
      </c>
      <c r="Y8" s="854">
        <f>+'qtrP&amp;L'!$AR$12</f>
        <v>520.72400000000005</v>
      </c>
      <c r="Z8" s="854">
        <f>+'qtrP&amp;L'!$AR$13</f>
        <v>687.25400000000002</v>
      </c>
      <c r="AA8" s="854"/>
      <c r="AB8" s="854">
        <f>+'qtrP&amp;L'!$AV$10</f>
        <v>546.80999999999995</v>
      </c>
      <c r="AC8" s="854">
        <f>+'qtrP&amp;L'!$AV$11</f>
        <v>571.59100000000001</v>
      </c>
      <c r="AD8" s="854">
        <f>+'qtrP&amp;L'!$AV$12</f>
        <v>704.91800000000001</v>
      </c>
      <c r="AE8" s="854">
        <f>+'qtrP&amp;L'!$AV$13</f>
        <v>961.39200000000005</v>
      </c>
      <c r="AF8" s="854"/>
      <c r="AG8" s="854">
        <f>'qtrP&amp;L'!AZ10</f>
        <v>657.27099999999996</v>
      </c>
      <c r="AH8" s="854">
        <f>'qtrP&amp;L'!AZ11</f>
        <v>658.69600000000003</v>
      </c>
      <c r="AI8" s="854">
        <f>'qtrP&amp;L'!AZ12</f>
        <v>863.44799999999998</v>
      </c>
      <c r="AJ8" s="854">
        <f>'qtrP&amp;L'!AZ13</f>
        <v>1138.7429999999999</v>
      </c>
      <c r="AK8" s="854"/>
      <c r="AL8" s="854">
        <f>'qtrP&amp;L'!BD10</f>
        <v>742.41</v>
      </c>
      <c r="AM8" s="854">
        <f>'qtrP&amp;L'!BD11</f>
        <v>804.53800000000001</v>
      </c>
      <c r="AN8" s="854">
        <f>'qtrP&amp;L'!BD12</f>
        <v>973.93</v>
      </c>
      <c r="AO8" s="854">
        <f>'qtrP&amp;L'!BD13</f>
        <v>1228.9690000000001</v>
      </c>
      <c r="AP8" s="854"/>
      <c r="AQ8" s="854">
        <f>'qtrP&amp;L'!BH10</f>
        <v>787.13900000000001</v>
      </c>
      <c r="AR8" s="854">
        <f>'qtrP&amp;L'!BH11</f>
        <v>833.298</v>
      </c>
      <c r="AS8" s="854">
        <f>'qtrP&amp;L'!BH12</f>
        <v>882.81100000000004</v>
      </c>
      <c r="AT8" s="854">
        <f>'qtrP&amp;L'!BH13</f>
        <v>980.80899999999997</v>
      </c>
      <c r="AU8" s="854"/>
      <c r="AV8" s="854">
        <f>'qtrP&amp;L'!$BL$10</f>
        <v>601.72900000000004</v>
      </c>
      <c r="AW8" s="854">
        <f>'qtrP&amp;L'!$BL$11</f>
        <v>637.221</v>
      </c>
      <c r="AX8" s="854">
        <f>'qtrP&amp;L'!$BL$12</f>
        <v>753.68399999999997</v>
      </c>
      <c r="AY8" s="854">
        <f>'qtrP&amp;L'!$BL$13</f>
        <v>935.99099999999999</v>
      </c>
      <c r="AZ8" s="854"/>
      <c r="BA8" s="854">
        <f>'qtrP&amp;L'!$BP10</f>
        <v>687.80399999999997</v>
      </c>
      <c r="BB8" s="854">
        <f>'qtrP&amp;L'!$BP$11</f>
        <v>745.798</v>
      </c>
      <c r="BC8" s="854">
        <f>'qtrP&amp;L'!$BP$12</f>
        <v>885.77800000000002</v>
      </c>
      <c r="BD8" s="854">
        <f>'qtrP&amp;L'!$BP13</f>
        <v>1149.396</v>
      </c>
      <c r="BE8" s="854"/>
      <c r="BF8" s="854">
        <f>'qtrP&amp;L'!$BT10</f>
        <v>836.67399999999998</v>
      </c>
      <c r="BG8" s="854">
        <f>'qtrP&amp;L'!$BT11</f>
        <v>916.76300000000003</v>
      </c>
      <c r="BH8" s="854">
        <f>'qtrP&amp;L'!$BT12</f>
        <v>1075.856</v>
      </c>
      <c r="BI8" s="855">
        <f>'qtrP&amp;L'!$BT13</f>
        <v>1328.7650000000001</v>
      </c>
      <c r="BJ8" s="855"/>
      <c r="BK8" s="854">
        <f>'qtrP&amp;L'!$BX10</f>
        <v>921.21799999999996</v>
      </c>
      <c r="BL8" s="854">
        <f>'qtrP&amp;L'!$BX11</f>
        <v>951.40700000000004</v>
      </c>
      <c r="BM8" s="854">
        <f>'qtrP&amp;L'!$BX12</f>
        <v>1169.6489999999999</v>
      </c>
      <c r="BN8" s="855">
        <f>'qtrP&amp;L'!$BX13</f>
        <v>1468.5309999999999</v>
      </c>
      <c r="BO8" s="855"/>
      <c r="BP8" s="855">
        <f>'qtrP&amp;L'!CB10</f>
        <v>838.76900000000001</v>
      </c>
      <c r="BQ8" s="855">
        <f>'qtrP&amp;L'!CB11</f>
        <v>945.69799999999998</v>
      </c>
      <c r="BR8" s="855">
        <f>'qtrP&amp;L'!CB12</f>
        <v>1033.2929999999999</v>
      </c>
      <c r="BS8" s="855">
        <f>'qtrP&amp;L'!CB13</f>
        <v>1299.1369999999999</v>
      </c>
      <c r="BT8" s="855"/>
      <c r="BU8" s="855">
        <f>'qtrP&amp;L'!CF10</f>
        <v>822.428</v>
      </c>
      <c r="BV8" s="855">
        <f>'qtrP&amp;L'!CF11</f>
        <v>890.60500000000002</v>
      </c>
      <c r="BW8" s="855">
        <f>'qtrP&amp;L'!CF12</f>
        <v>911.45299999999997</v>
      </c>
      <c r="BX8" s="855">
        <f>'qtrP&amp;L'!CF13</f>
        <v>1119.5440000000001</v>
      </c>
      <c r="BY8" s="855"/>
      <c r="BZ8" s="855">
        <f>'qtrP&amp;L'!CJ10</f>
        <v>709.42200000000003</v>
      </c>
      <c r="CA8" s="855">
        <f>'qtrP&amp;L'!CJ11</f>
        <v>817.75599999999997</v>
      </c>
      <c r="CB8" s="855">
        <f>'qtrP&amp;L'!CJ12</f>
        <v>878.572</v>
      </c>
      <c r="CC8" s="855">
        <f>'qtrP&amp;L'!CJ13</f>
        <v>1112.93</v>
      </c>
      <c r="CD8" s="855"/>
      <c r="CE8" s="855">
        <f>'qtrP&amp;L'!CN10</f>
        <v>685.48299999999995</v>
      </c>
      <c r="CF8" s="855">
        <f>'qtrP&amp;L'!CN11</f>
        <v>783.16</v>
      </c>
      <c r="CG8" s="855">
        <f>'qtrP&amp;L'!CN12</f>
        <v>821.73400000000004</v>
      </c>
      <c r="CH8" s="855">
        <f>'qtrP&amp;L'!CN13</f>
        <v>1036.3630000000001</v>
      </c>
      <c r="CI8" s="855"/>
      <c r="CJ8" s="855">
        <f t="array" ref="CJ8:CM8">TRANSPOSE('qtrP&amp;L'!CR10:CR13)</f>
        <v>661.09900000000005</v>
      </c>
      <c r="CK8" s="855">
        <v>779.32100000000003</v>
      </c>
      <c r="CL8" s="855">
        <v>859.11199999999997</v>
      </c>
      <c r="CM8" s="855">
        <v>1193.1579999999999</v>
      </c>
      <c r="CN8" s="855"/>
      <c r="CO8" s="855">
        <f t="array" ref="CO8:CR8">TRANSPOSE('qtrP&amp;L'!CV10:CV13)</f>
        <v>699.03953011499993</v>
      </c>
      <c r="CP8" s="855">
        <v>832.10776663999991</v>
      </c>
      <c r="CQ8" s="855">
        <v>863.99221295999996</v>
      </c>
      <c r="CR8" s="855">
        <v>1112.7208505000001</v>
      </c>
      <c r="CS8" s="855"/>
      <c r="CT8" s="855">
        <f>'yrP&amp;L'!C7</f>
        <v>235.65899999999999</v>
      </c>
      <c r="CU8" s="855">
        <f>'yrP&amp;L'!D7</f>
        <v>335.37200000000001</v>
      </c>
      <c r="CV8" s="855">
        <f>'yrP&amp;L'!E7</f>
        <v>521.61699999999996</v>
      </c>
      <c r="CW8" s="855">
        <f>'yrP&amp;L'!F7</f>
        <v>805.18000000000006</v>
      </c>
      <c r="CX8" s="855">
        <f>'yrP&amp;L'!G7</f>
        <v>1030.8579999999999</v>
      </c>
      <c r="CY8" s="855">
        <f>'yrP&amp;L'!H7</f>
        <v>1237.604</v>
      </c>
      <c r="CZ8" s="855">
        <f>'yrP&amp;L'!I7</f>
        <v>1364.8530000000001</v>
      </c>
      <c r="DA8" s="855">
        <f>'yrP&amp;L'!J7</f>
        <v>1595.7569999999998</v>
      </c>
      <c r="DB8" s="856">
        <f>'yrP&amp;L'!K7</f>
        <v>1707.8090000000002</v>
      </c>
      <c r="DC8" s="855">
        <f>'yrP&amp;L'!L7</f>
        <v>2021.2539999999999</v>
      </c>
      <c r="DD8" s="855">
        <f>'yrP&amp;L'!N7</f>
        <v>2768.1640000000002</v>
      </c>
      <c r="DE8" s="856">
        <f>'yrP&amp;L'!P7</f>
        <v>3284.1759999999999</v>
      </c>
      <c r="DF8" s="855">
        <f>'yrP&amp;L'!R7</f>
        <v>3699.6559999999999</v>
      </c>
      <c r="DG8" s="855">
        <f>'yrP&amp;L'!S7</f>
        <v>3484.0569999999998</v>
      </c>
      <c r="DH8" s="855">
        <f>'yrP&amp;L'!T7</f>
        <v>2928.625</v>
      </c>
      <c r="DI8" s="856">
        <f>'yrP&amp;L'!U7</f>
        <v>3468.7759999999998</v>
      </c>
      <c r="DJ8" s="856">
        <f>'yrP&amp;L'!V7</f>
        <v>4158.058</v>
      </c>
      <c r="DK8" s="855">
        <f>'yrP&amp;L'!W7</f>
        <v>4510.8050000000003</v>
      </c>
      <c r="DL8" s="855">
        <f>'yrP&amp;L'!X7</f>
        <v>4116.8969999999999</v>
      </c>
      <c r="DM8" s="855">
        <f>'yrP&amp;L'!Y7</f>
        <v>3744.0299999999997</v>
      </c>
      <c r="DN8" s="855">
        <f>'yrP&amp;L'!Z7</f>
        <v>3518.6800000000003</v>
      </c>
      <c r="DO8" s="855">
        <f>'yrP&amp;L'!AA7</f>
        <v>3326.74</v>
      </c>
      <c r="DP8" s="855">
        <f>'yrP&amp;L'!AB7</f>
        <v>3492.69</v>
      </c>
      <c r="DQ8" s="855">
        <f>'yrP&amp;L'!AC7</f>
        <v>3507.8603602149997</v>
      </c>
      <c r="DR8" s="855">
        <f>'yrP&amp;L'!AD7</f>
        <v>3501.053784940505</v>
      </c>
      <c r="DS8" s="857">
        <f>'yrP&amp;L'!AE7</f>
        <v>3482.3514356037103</v>
      </c>
    </row>
    <row r="9" spans="1:129" ht="4.5" customHeight="1">
      <c r="A9" s="801"/>
      <c r="B9" s="858"/>
      <c r="C9" s="854"/>
      <c r="D9" s="854"/>
      <c r="E9" s="854"/>
      <c r="F9" s="854"/>
      <c r="G9" s="858"/>
      <c r="H9" s="854"/>
      <c r="I9" s="854"/>
      <c r="J9" s="854"/>
      <c r="K9" s="854"/>
      <c r="L9" s="858"/>
      <c r="M9" s="854"/>
      <c r="N9" s="854"/>
      <c r="O9" s="854"/>
      <c r="P9" s="854"/>
      <c r="Q9" s="858"/>
      <c r="R9" s="854"/>
      <c r="S9" s="854"/>
      <c r="T9" s="854"/>
      <c r="U9" s="854"/>
      <c r="V9" s="858"/>
      <c r="W9" s="854"/>
      <c r="X9" s="854"/>
      <c r="Y9" s="854"/>
      <c r="Z9" s="854"/>
      <c r="AA9" s="858"/>
      <c r="AB9" s="854"/>
      <c r="AC9" s="854"/>
      <c r="AD9" s="854"/>
      <c r="AE9" s="854"/>
      <c r="AF9" s="858"/>
      <c r="AG9" s="854"/>
      <c r="AH9" s="854"/>
      <c r="AI9" s="854"/>
      <c r="AJ9" s="854"/>
      <c r="AK9" s="858"/>
      <c r="AL9" s="854"/>
      <c r="AM9" s="854"/>
      <c r="AN9" s="854"/>
      <c r="AO9" s="854"/>
      <c r="AP9" s="854"/>
      <c r="AQ9" s="854"/>
      <c r="AR9" s="854"/>
      <c r="AS9" s="854"/>
      <c r="AT9" s="854"/>
      <c r="AU9" s="854"/>
      <c r="AV9" s="854"/>
      <c r="AW9" s="854"/>
      <c r="AX9" s="854"/>
      <c r="AY9" s="854"/>
      <c r="AZ9" s="858"/>
      <c r="BA9" s="854"/>
      <c r="BB9" s="854"/>
      <c r="BC9" s="854"/>
      <c r="BD9" s="854"/>
      <c r="BE9" s="858"/>
      <c r="BF9" s="854"/>
      <c r="BG9" s="854"/>
      <c r="BH9" s="854"/>
      <c r="BI9" s="855"/>
      <c r="BJ9" s="859"/>
      <c r="BK9" s="854"/>
      <c r="BL9" s="854"/>
      <c r="BM9" s="854"/>
      <c r="BN9" s="855"/>
      <c r="BO9" s="855"/>
      <c r="BP9" s="855"/>
      <c r="BQ9" s="855"/>
      <c r="BR9" s="855"/>
      <c r="BS9" s="855"/>
      <c r="BT9" s="855"/>
      <c r="BU9" s="855"/>
      <c r="BV9" s="855"/>
      <c r="BW9" s="855"/>
      <c r="BX9" s="855"/>
      <c r="BY9" s="855"/>
      <c r="BZ9" s="855"/>
      <c r="CA9" s="855"/>
      <c r="CB9" s="855"/>
      <c r="CC9" s="855"/>
      <c r="CD9" s="855"/>
      <c r="CE9" s="855"/>
      <c r="CF9" s="855"/>
      <c r="CG9" s="855"/>
      <c r="CH9" s="855"/>
      <c r="CI9" s="855"/>
      <c r="CJ9" s="855"/>
      <c r="CK9" s="855"/>
      <c r="CL9" s="855"/>
      <c r="CM9" s="855"/>
      <c r="CN9" s="855"/>
      <c r="CO9" s="855"/>
      <c r="CP9" s="855"/>
      <c r="CQ9" s="855"/>
      <c r="CR9" s="855"/>
      <c r="CS9" s="855"/>
      <c r="CT9" s="855"/>
      <c r="CU9" s="855"/>
      <c r="CV9" s="855"/>
      <c r="CW9" s="855"/>
      <c r="CX9" s="855"/>
      <c r="CY9" s="855"/>
      <c r="CZ9" s="855"/>
      <c r="DA9" s="855"/>
      <c r="DB9" s="856"/>
      <c r="DC9" s="855"/>
      <c r="DD9" s="855"/>
      <c r="DE9" s="856"/>
      <c r="DF9" s="855"/>
      <c r="DG9" s="855"/>
      <c r="DH9" s="855"/>
      <c r="DI9" s="856"/>
      <c r="DJ9" s="856"/>
      <c r="DK9" s="855"/>
      <c r="DL9" s="855"/>
      <c r="DM9" s="855"/>
      <c r="DN9" s="855"/>
      <c r="DO9" s="855"/>
      <c r="DP9" s="855"/>
      <c r="DQ9" s="855"/>
      <c r="DR9" s="855"/>
      <c r="DS9" s="857"/>
    </row>
    <row r="10" spans="1:129">
      <c r="A10" s="853" t="s">
        <v>290</v>
      </c>
      <c r="B10" s="854"/>
      <c r="C10" s="854">
        <f>'qtrP&amp;L'!$X20</f>
        <v>117.059</v>
      </c>
      <c r="D10" s="854">
        <f>'qtrP&amp;L'!$X21</f>
        <v>118.881</v>
      </c>
      <c r="E10" s="854">
        <f>'qtrP&amp;L'!$X22</f>
        <v>165.91</v>
      </c>
      <c r="F10" s="854">
        <f>'qtrP&amp;L'!$X23</f>
        <v>178.625</v>
      </c>
      <c r="G10" s="854"/>
      <c r="H10" s="854">
        <f>'qtrP&amp;L'!$AB20</f>
        <v>129.60300000000001</v>
      </c>
      <c r="I10" s="854">
        <f>'qtrP&amp;L'!$AB21</f>
        <v>141.26599999999999</v>
      </c>
      <c r="J10" s="854">
        <f>'qtrP&amp;L'!$AB22</f>
        <v>220.839</v>
      </c>
      <c r="K10" s="854">
        <f>'qtrP&amp;L'!$AB23</f>
        <v>236.52099999999999</v>
      </c>
      <c r="L10" s="854"/>
      <c r="M10" s="854">
        <f>'qtrP&amp;L'!$AJ20</f>
        <v>122.84</v>
      </c>
      <c r="N10" s="854">
        <f>'qtrP&amp;L'!$AJ21</f>
        <v>119.02800000000001</v>
      </c>
      <c r="O10" s="854">
        <f>'qtrP&amp;L'!$AJ22</f>
        <v>169.96299999999999</v>
      </c>
      <c r="P10" s="854">
        <f>'qtrP&amp;L'!$AJ23</f>
        <v>203.37</v>
      </c>
      <c r="Q10" s="854"/>
      <c r="R10" s="854">
        <f>'qtrP&amp;L'!$AN20</f>
        <v>130.24299999999999</v>
      </c>
      <c r="S10" s="854">
        <f>'qtrP&amp;L'!$AN21</f>
        <v>122.068</v>
      </c>
      <c r="T10" s="854">
        <f>'qtrP&amp;L'!$AN22</f>
        <v>167.328</v>
      </c>
      <c r="U10" s="854">
        <f>'qtrP&amp;L'!$AN23</f>
        <v>205.001</v>
      </c>
      <c r="V10" s="854"/>
      <c r="W10" s="854">
        <f>+'qtrP&amp;L'!$AR$20</f>
        <v>144.006</v>
      </c>
      <c r="X10" s="854">
        <f>+'qtrP&amp;L'!$AR$21</f>
        <v>120.429</v>
      </c>
      <c r="Y10" s="854">
        <f>+'qtrP&amp;L'!$AR$22</f>
        <v>184.107</v>
      </c>
      <c r="Z10" s="854">
        <f>+'qtrP&amp;L'!$AR$23</f>
        <v>231.48699999999999</v>
      </c>
      <c r="AA10" s="854"/>
      <c r="AB10" s="854">
        <f>+'qtrP&amp;L'!$AV$20</f>
        <v>189.55799999999999</v>
      </c>
      <c r="AC10" s="854">
        <f>+'qtrP&amp;L'!$AV$21</f>
        <v>181.93100000000001</v>
      </c>
      <c r="AD10" s="854">
        <f>+'qtrP&amp;L'!$AV$22</f>
        <v>239.83199999999999</v>
      </c>
      <c r="AE10" s="854">
        <f>+'qtrP&amp;L'!$AV$23</f>
        <v>321.97399999999999</v>
      </c>
      <c r="AF10" s="854"/>
      <c r="AG10" s="854">
        <f>'qtrP&amp;L'!AZ20</f>
        <v>227.35599999999999</v>
      </c>
      <c r="AH10" s="854">
        <f>'qtrP&amp;L'!AZ21</f>
        <v>203.43799999999999</v>
      </c>
      <c r="AI10" s="854">
        <f>'qtrP&amp;L'!AZ22</f>
        <v>295.25</v>
      </c>
      <c r="AJ10" s="854">
        <f>'qtrP&amp;L'!AZ23</f>
        <v>383.108</v>
      </c>
      <c r="AK10" s="854"/>
      <c r="AL10" s="854">
        <f>'qtrP&amp;L'!BD20</f>
        <v>255.14099999999999</v>
      </c>
      <c r="AM10" s="854">
        <f>'qtrP&amp;L'!BD21</f>
        <v>251.1</v>
      </c>
      <c r="AN10" s="854">
        <f>'qtrP&amp;L'!BD22</f>
        <v>328.887</v>
      </c>
      <c r="AO10" s="854">
        <f>'qtrP&amp;L'!BD23</f>
        <v>403.35199999999998</v>
      </c>
      <c r="AP10" s="854"/>
      <c r="AQ10" s="854">
        <f>'qtrP&amp;L'!BH20</f>
        <v>260.404</v>
      </c>
      <c r="AR10" s="854">
        <f>'qtrP&amp;L'!BH21</f>
        <v>247.751</v>
      </c>
      <c r="AS10" s="854">
        <f>'qtrP&amp;L'!BH22</f>
        <v>297.84699999999998</v>
      </c>
      <c r="AT10" s="854">
        <f>'qtrP&amp;L'!BH23</f>
        <v>346.96</v>
      </c>
      <c r="AU10" s="854"/>
      <c r="AV10" s="854">
        <f>'qtrP&amp;L'!$BL$20</f>
        <v>220.27699999999999</v>
      </c>
      <c r="AW10" s="854">
        <f>'qtrP&amp;L'!$BL$21</f>
        <v>212.70599999999999</v>
      </c>
      <c r="AX10" s="854">
        <f>'qtrP&amp;L'!$BL$22</f>
        <v>270.59699999999998</v>
      </c>
      <c r="AY10" s="854">
        <f>'qtrP&amp;L'!$BL$23</f>
        <v>341.44900000000001</v>
      </c>
      <c r="AZ10" s="854"/>
      <c r="BA10" s="854">
        <f>'qtrP&amp;L'!$BP20</f>
        <v>256.38799999999998</v>
      </c>
      <c r="BB10" s="854">
        <f>'qtrP&amp;L'!$BP$21</f>
        <v>260.45</v>
      </c>
      <c r="BC10" s="854">
        <f>'qtrP&amp;L'!$BP$22</f>
        <v>321.346</v>
      </c>
      <c r="BD10" s="854">
        <f>'qtrP&amp;L'!$BP$23</f>
        <v>418.41</v>
      </c>
      <c r="BE10" s="854"/>
      <c r="BF10" s="854">
        <f>'qtrP&amp;L'!$BT20</f>
        <v>311.13799999999998</v>
      </c>
      <c r="BG10" s="854">
        <f>'qtrP&amp;L'!$BT21</f>
        <v>338.298</v>
      </c>
      <c r="BH10" s="854">
        <f>'qtrP&amp;L'!$BT22</f>
        <v>419.60199999999998</v>
      </c>
      <c r="BI10" s="855">
        <f>'qtrP&amp;L'!$BT23</f>
        <v>538.79600000000005</v>
      </c>
      <c r="BJ10" s="855"/>
      <c r="BK10" s="854">
        <f>'qtrP&amp;L'!$BX20</f>
        <v>380.12599999999998</v>
      </c>
      <c r="BL10" s="854">
        <f>'qtrP&amp;L'!$BX21</f>
        <v>358.95600000000002</v>
      </c>
      <c r="BM10" s="854">
        <f>'qtrP&amp;L'!$BX22</f>
        <v>417.13499999999999</v>
      </c>
      <c r="BN10" s="855">
        <f>'qtrP&amp;L'!$BX23</f>
        <v>537.87900000000002</v>
      </c>
      <c r="BO10" s="855"/>
      <c r="BP10" s="855">
        <f>'qtrP&amp;L'!CB20</f>
        <v>285.60300000000001</v>
      </c>
      <c r="BQ10" s="855">
        <f>'qtrP&amp;L'!CB21</f>
        <v>341.57600000000002</v>
      </c>
      <c r="BR10" s="855">
        <f>'qtrP&amp;L'!CB22</f>
        <v>382.25299999999999</v>
      </c>
      <c r="BS10" s="855">
        <f>'qtrP&amp;L'!CB23</f>
        <v>532.03</v>
      </c>
      <c r="BT10" s="855"/>
      <c r="BU10" s="855">
        <f>'qtrP&amp;L'!CF20</f>
        <v>310.76900000000001</v>
      </c>
      <c r="BV10" s="855">
        <f>'qtrP&amp;L'!CF21</f>
        <v>337.649</v>
      </c>
      <c r="BW10" s="855">
        <f>'qtrP&amp;L'!CF22</f>
        <v>344.38299999999998</v>
      </c>
      <c r="BX10" s="855">
        <f>'qtrP&amp;L'!CF23</f>
        <v>437.65899999999999</v>
      </c>
      <c r="BY10" s="855"/>
      <c r="BZ10" s="855">
        <f>'qtrP&amp;L'!CJ20</f>
        <v>271.012</v>
      </c>
      <c r="CA10" s="855">
        <f>'qtrP&amp;L'!CJ21</f>
        <v>310.51499999999999</v>
      </c>
      <c r="CB10" s="855">
        <f>'qtrP&amp;L'!CJ22</f>
        <v>321.358</v>
      </c>
      <c r="CC10" s="855">
        <f>'qtrP&amp;L'!CJ23</f>
        <v>437.60499999999996</v>
      </c>
      <c r="CD10" s="855"/>
      <c r="CE10" s="855">
        <f>'qtrP&amp;L'!CN20</f>
        <v>259.762</v>
      </c>
      <c r="CF10" s="855">
        <f>'qtrP&amp;L'!CN21</f>
        <v>306.053</v>
      </c>
      <c r="CG10" s="855">
        <f>'qtrP&amp;L'!CN22</f>
        <v>310.995</v>
      </c>
      <c r="CH10" s="855">
        <f>'qtrP&amp;L'!CN23</f>
        <v>421.36200000000002</v>
      </c>
      <c r="CI10" s="855"/>
      <c r="CJ10" s="855">
        <f t="array" ref="CJ10:CM10">TRANSPOSE('qtrP&amp;L'!CR20:CR23)</f>
        <v>262.17399999999998</v>
      </c>
      <c r="CK10" s="855">
        <v>318.42599999999999</v>
      </c>
      <c r="CL10" s="855">
        <v>332.48500000000001</v>
      </c>
      <c r="CM10" s="855">
        <v>495.76299999999998</v>
      </c>
      <c r="CN10" s="855"/>
      <c r="CO10" s="855">
        <f t="array" ref="CO10:CR10">TRANSPOSE('qtrP&amp;L'!CV20:CV23)</f>
        <v>280.31485157611502</v>
      </c>
      <c r="CP10" s="855">
        <v>341.99629208903997</v>
      </c>
      <c r="CQ10" s="855">
        <v>335.22897862847998</v>
      </c>
      <c r="CR10" s="855">
        <v>462.89187380800007</v>
      </c>
      <c r="CS10" s="855"/>
      <c r="CT10" s="855">
        <f>'yrP&amp;L'!C11</f>
        <v>155.86500000000001</v>
      </c>
      <c r="CU10" s="855">
        <f>'yrP&amp;L'!D11</f>
        <v>211.60599999999999</v>
      </c>
      <c r="CV10" s="855">
        <f>'yrP&amp;L'!E11</f>
        <v>320.53699999999998</v>
      </c>
      <c r="CW10" s="855">
        <f>'yrP&amp;L'!F11</f>
        <v>473.82600000000002</v>
      </c>
      <c r="CX10" s="855">
        <f>'yrP&amp;L'!G11</f>
        <v>580.47500000000002</v>
      </c>
      <c r="CY10" s="855">
        <f>'yrP&amp;L'!H11</f>
        <v>728.22900000000004</v>
      </c>
      <c r="CZ10" s="855">
        <f>'yrP&amp;L'!I11</f>
        <v>806.81900000000007</v>
      </c>
      <c r="DA10" s="855">
        <f>'yrP&amp;L'!J11</f>
        <v>615.20100000000002</v>
      </c>
      <c r="DB10" s="856">
        <f>'yrP&amp;L'!K11</f>
        <v>624.64</v>
      </c>
      <c r="DC10" s="855">
        <f>'yrP&amp;L'!L11</f>
        <v>680.029</v>
      </c>
      <c r="DD10" s="855">
        <f>'yrP&amp;L'!N11</f>
        <v>913.97900000000004</v>
      </c>
      <c r="DE10" s="856">
        <f>'yrP&amp;L'!P11</f>
        <v>1083.509</v>
      </c>
      <c r="DF10" s="855">
        <f>'yrP&amp;L'!R11</f>
        <v>1211.49</v>
      </c>
      <c r="DG10" s="855">
        <f>'yrP&amp;L'!S11</f>
        <v>1152.963</v>
      </c>
      <c r="DH10" s="855">
        <f>'yrP&amp;L'!T11</f>
        <v>1045.029</v>
      </c>
      <c r="DI10" s="856">
        <f>'yrP&amp;L'!U11</f>
        <v>1251.348</v>
      </c>
      <c r="DJ10" s="856">
        <f>'yrP&amp;L'!V11</f>
        <v>1607.8340000000001</v>
      </c>
      <c r="DK10" s="855">
        <f>'yrP&amp;L'!W11</f>
        <v>1694.096</v>
      </c>
      <c r="DL10" s="855">
        <f>'yrP&amp;L'!X11</f>
        <v>1541.462</v>
      </c>
      <c r="DM10" s="855">
        <f>'yrP&amp;L'!Y11</f>
        <v>1430.46</v>
      </c>
      <c r="DN10" s="855">
        <f>'yrP&amp;L'!Z11</f>
        <v>1340.49</v>
      </c>
      <c r="DO10" s="855">
        <f>'yrP&amp;L'!AA11</f>
        <v>1298.172</v>
      </c>
      <c r="DP10" s="855">
        <f>'yrP&amp;L'!AB11</f>
        <v>1408.848</v>
      </c>
      <c r="DQ10" s="855">
        <f>'yrP&amp;L'!AC11</f>
        <v>1420.4319961016351</v>
      </c>
      <c r="DR10" s="855">
        <f>'yrP&amp;L'!AD11</f>
        <v>1414.425729115964</v>
      </c>
      <c r="DS10" s="857">
        <f>'yrP&amp;L'!AE11</f>
        <v>1410.3523314195029</v>
      </c>
    </row>
    <row r="11" spans="1:129" ht="4.5" customHeight="1">
      <c r="A11" s="801"/>
      <c r="B11" s="854"/>
      <c r="C11" s="854"/>
      <c r="D11" s="854"/>
      <c r="E11" s="854"/>
      <c r="F11" s="854"/>
      <c r="G11" s="854"/>
      <c r="H11" s="854"/>
      <c r="I11" s="854"/>
      <c r="J11" s="854"/>
      <c r="K11" s="854"/>
      <c r="L11" s="854"/>
      <c r="M11" s="854"/>
      <c r="N11" s="854"/>
      <c r="O11" s="854"/>
      <c r="P11" s="854"/>
      <c r="Q11" s="854"/>
      <c r="R11" s="854"/>
      <c r="S11" s="854"/>
      <c r="T11" s="854"/>
      <c r="U11" s="854"/>
      <c r="V11" s="854"/>
      <c r="W11" s="854"/>
      <c r="X11" s="854"/>
      <c r="Y11" s="854"/>
      <c r="Z11" s="854"/>
      <c r="AA11" s="854"/>
      <c r="AB11" s="854"/>
      <c r="AC11" s="854"/>
      <c r="AD11" s="854"/>
      <c r="AE11" s="854"/>
      <c r="AF11" s="854"/>
      <c r="AG11" s="854"/>
      <c r="AH11" s="854"/>
      <c r="AI11" s="854"/>
      <c r="AJ11" s="854"/>
      <c r="AK11" s="854"/>
      <c r="AL11" s="854"/>
      <c r="AM11" s="854"/>
      <c r="AN11" s="854"/>
      <c r="AO11" s="854"/>
      <c r="AP11" s="854"/>
      <c r="AQ11" s="854"/>
      <c r="AR11" s="854"/>
      <c r="AS11" s="854"/>
      <c r="AT11" s="854"/>
      <c r="AU11" s="854"/>
      <c r="AV11" s="854"/>
      <c r="AW11" s="854"/>
      <c r="AX11" s="854"/>
      <c r="AY11" s="854"/>
      <c r="AZ11" s="854"/>
      <c r="BA11" s="854"/>
      <c r="BB11" s="854"/>
      <c r="BC11" s="854"/>
      <c r="BD11" s="854"/>
      <c r="BE11" s="854"/>
      <c r="BF11" s="854"/>
      <c r="BG11" s="854"/>
      <c r="BH11" s="854"/>
      <c r="BI11" s="855"/>
      <c r="BJ11" s="855"/>
      <c r="BK11" s="854"/>
      <c r="BL11" s="854"/>
      <c r="BM11" s="854"/>
      <c r="BN11" s="855"/>
      <c r="BO11" s="855"/>
      <c r="BP11" s="855"/>
      <c r="BQ11" s="855"/>
      <c r="BR11" s="855"/>
      <c r="BS11" s="855"/>
      <c r="BT11" s="855"/>
      <c r="BU11" s="855"/>
      <c r="BV11" s="855"/>
      <c r="BW11" s="855"/>
      <c r="BX11" s="855"/>
      <c r="BY11" s="855"/>
      <c r="BZ11" s="855"/>
      <c r="CA11" s="855"/>
      <c r="CB11" s="855"/>
      <c r="CC11" s="855"/>
      <c r="CD11" s="855"/>
      <c r="CE11" s="855"/>
      <c r="CF11" s="855"/>
      <c r="CG11" s="855"/>
      <c r="CH11" s="855"/>
      <c r="CI11" s="855"/>
      <c r="CJ11" s="855"/>
      <c r="CK11" s="855"/>
      <c r="CL11" s="855"/>
      <c r="CM11" s="855"/>
      <c r="CN11" s="855"/>
      <c r="CO11" s="855"/>
      <c r="CP11" s="855"/>
      <c r="CQ11" s="855"/>
      <c r="CR11" s="855"/>
      <c r="CS11" s="855"/>
      <c r="CT11" s="855"/>
      <c r="CU11" s="855"/>
      <c r="CV11" s="855"/>
      <c r="CW11" s="855"/>
      <c r="CX11" s="855"/>
      <c r="CY11" s="855"/>
      <c r="CZ11" s="855"/>
      <c r="DA11" s="855"/>
      <c r="DB11" s="856"/>
      <c r="DC11" s="855"/>
      <c r="DD11" s="855"/>
      <c r="DE11" s="856"/>
      <c r="DF11" s="855"/>
      <c r="DG11" s="855"/>
      <c r="DH11" s="855"/>
      <c r="DI11" s="856"/>
      <c r="DJ11" s="856"/>
      <c r="DK11" s="855"/>
      <c r="DL11" s="855"/>
      <c r="DM11" s="855"/>
      <c r="DN11" s="855"/>
      <c r="DO11" s="855"/>
      <c r="DP11" s="855"/>
      <c r="DQ11" s="855"/>
      <c r="DR11" s="855"/>
      <c r="DS11" s="857"/>
    </row>
    <row r="12" spans="1:129">
      <c r="A12" s="853" t="s">
        <v>291</v>
      </c>
      <c r="B12" s="854"/>
      <c r="C12" s="854">
        <f>C8-C10</f>
        <v>69.367999999999995</v>
      </c>
      <c r="D12" s="854">
        <f>D8-D10</f>
        <v>77.346000000000004</v>
      </c>
      <c r="E12" s="854">
        <f>E8-E10</f>
        <v>118.6</v>
      </c>
      <c r="F12" s="854">
        <f>F8-F10</f>
        <v>185.06900000000002</v>
      </c>
      <c r="G12" s="854"/>
      <c r="H12" s="854">
        <f>H8-H10</f>
        <v>75.402999999999992</v>
      </c>
      <c r="I12" s="854">
        <f>I8-I10</f>
        <v>87.765000000000015</v>
      </c>
      <c r="J12" s="854">
        <f>J8-J10</f>
        <v>143.28300000000002</v>
      </c>
      <c r="K12" s="854">
        <f>K8-K10</f>
        <v>202.92400000000001</v>
      </c>
      <c r="L12" s="854"/>
      <c r="M12" s="854">
        <f>M8-M10</f>
        <v>189.95199999999997</v>
      </c>
      <c r="N12" s="854">
        <f>N8-N10</f>
        <v>210.12599999999998</v>
      </c>
      <c r="O12" s="854">
        <f>O8-O10</f>
        <v>249.36600000000001</v>
      </c>
      <c r="P12" s="854">
        <f>P8-P10</f>
        <v>331.11199999999997</v>
      </c>
      <c r="Q12" s="854"/>
      <c r="R12" s="854">
        <f>R8-R10</f>
        <v>216.47899999999998</v>
      </c>
      <c r="S12" s="854">
        <f>S8-S10</f>
        <v>233.65100000000001</v>
      </c>
      <c r="T12" s="854">
        <f>T8-T10</f>
        <v>277.65099999999995</v>
      </c>
      <c r="U12" s="854">
        <f>U8-U10</f>
        <v>355.38800000000003</v>
      </c>
      <c r="V12" s="854"/>
      <c r="W12" s="854">
        <f>W8-W10</f>
        <v>267.92399999999998</v>
      </c>
      <c r="X12" s="854">
        <f>X8-X10</f>
        <v>280.91700000000003</v>
      </c>
      <c r="Y12" s="854">
        <f>Y8-Y10</f>
        <v>336.61700000000008</v>
      </c>
      <c r="Z12" s="854">
        <f>Z8-Z10</f>
        <v>455.76700000000005</v>
      </c>
      <c r="AA12" s="854"/>
      <c r="AB12" s="854">
        <f>AB8-AB10</f>
        <v>357.25199999999995</v>
      </c>
      <c r="AC12" s="854">
        <f>AC8-AC10</f>
        <v>389.65999999999997</v>
      </c>
      <c r="AD12" s="854">
        <f>AD8-AD10</f>
        <v>465.08600000000001</v>
      </c>
      <c r="AE12" s="854">
        <f>AE8-AE10</f>
        <v>639.41800000000012</v>
      </c>
      <c r="AF12" s="854"/>
      <c r="AG12" s="854">
        <f>AG8-AG10</f>
        <v>429.91499999999996</v>
      </c>
      <c r="AH12" s="854">
        <f>AH8-AH10</f>
        <v>455.25800000000004</v>
      </c>
      <c r="AI12" s="854">
        <f>AI8-AI10</f>
        <v>568.19799999999998</v>
      </c>
      <c r="AJ12" s="854">
        <f>AJ8-AJ10</f>
        <v>755.63499999999999</v>
      </c>
      <c r="AK12" s="854"/>
      <c r="AL12" s="854">
        <f>AL8-AL10</f>
        <v>487.26900000000001</v>
      </c>
      <c r="AM12" s="854">
        <f>AM8-AM10</f>
        <v>553.43799999999999</v>
      </c>
      <c r="AN12" s="854">
        <f>AN8-AN10</f>
        <v>645.04299999999989</v>
      </c>
      <c r="AO12" s="854">
        <f>AO8-AO10</f>
        <v>825.61700000000008</v>
      </c>
      <c r="AP12" s="854"/>
      <c r="AQ12" s="854">
        <f>AQ8-AQ10</f>
        <v>526.73500000000001</v>
      </c>
      <c r="AR12" s="854">
        <f>AR8-AR10</f>
        <v>585.54700000000003</v>
      </c>
      <c r="AS12" s="854">
        <f>AS8-AS10</f>
        <v>584.96400000000006</v>
      </c>
      <c r="AT12" s="854">
        <f>AT8-AT10</f>
        <v>633.84899999999993</v>
      </c>
      <c r="AU12" s="854"/>
      <c r="AV12" s="854">
        <f>AV8-AV10</f>
        <v>381.45200000000006</v>
      </c>
      <c r="AW12" s="854">
        <f>AW8-AW10</f>
        <v>424.51499999999999</v>
      </c>
      <c r="AX12" s="854">
        <f>AX8-AX10</f>
        <v>483.08699999999999</v>
      </c>
      <c r="AY12" s="854">
        <f>AY8-AY10</f>
        <v>594.54199999999992</v>
      </c>
      <c r="AZ12" s="854"/>
      <c r="BA12" s="854">
        <f>BA8-BA10</f>
        <v>431.416</v>
      </c>
      <c r="BB12" s="854">
        <f>BB8-BB10</f>
        <v>485.34800000000001</v>
      </c>
      <c r="BC12" s="854">
        <f>BC8-BC10</f>
        <v>564.43200000000002</v>
      </c>
      <c r="BD12" s="854">
        <f>BD8-BD10</f>
        <v>730.98599999999988</v>
      </c>
      <c r="BE12" s="854"/>
      <c r="BF12" s="854">
        <f>BF8-BF10</f>
        <v>525.53600000000006</v>
      </c>
      <c r="BG12" s="854">
        <f>BG8-BG10</f>
        <v>578.46500000000003</v>
      </c>
      <c r="BH12" s="854">
        <f>BH8-BH10</f>
        <v>656.25400000000002</v>
      </c>
      <c r="BI12" s="855">
        <f>BI8-BI10</f>
        <v>789.96900000000005</v>
      </c>
      <c r="BJ12" s="855"/>
      <c r="BK12" s="854">
        <f>BK8-BK10</f>
        <v>541.09199999999998</v>
      </c>
      <c r="BL12" s="854">
        <f>BL8-BL10</f>
        <v>592.45100000000002</v>
      </c>
      <c r="BM12" s="854">
        <f>BM8-BM10</f>
        <v>752.5139999999999</v>
      </c>
      <c r="BN12" s="855">
        <f>BN8-BN10</f>
        <v>930.65199999999993</v>
      </c>
      <c r="BO12" s="855"/>
      <c r="BP12" s="855">
        <f>BP8-BP10</f>
        <v>553.16599999999994</v>
      </c>
      <c r="BQ12" s="855">
        <f>BQ8-BQ10</f>
        <v>604.12199999999996</v>
      </c>
      <c r="BR12" s="855">
        <f>BR8-BR10</f>
        <v>651.04</v>
      </c>
      <c r="BS12" s="855">
        <f>BS8-BS10</f>
        <v>767.10699999999997</v>
      </c>
      <c r="BT12" s="855"/>
      <c r="BU12" s="854">
        <f>BU8-BU10</f>
        <v>511.65899999999999</v>
      </c>
      <c r="BV12" s="854">
        <f>BV8-BV10</f>
        <v>552.95600000000002</v>
      </c>
      <c r="BW12" s="854">
        <f>BW8-BW10</f>
        <v>567.06999999999994</v>
      </c>
      <c r="BX12" s="855">
        <f>BX8-BX10</f>
        <v>681.8850000000001</v>
      </c>
      <c r="BY12" s="855"/>
      <c r="BZ12" s="854">
        <f>BZ8-BZ10</f>
        <v>438.41</v>
      </c>
      <c r="CA12" s="854">
        <f>CA8-CA10</f>
        <v>507.24099999999999</v>
      </c>
      <c r="CB12" s="854">
        <f>CB8-CB10</f>
        <v>557.21399999999994</v>
      </c>
      <c r="CC12" s="855">
        <f>CC8-CC10</f>
        <v>675.32500000000005</v>
      </c>
      <c r="CD12" s="855"/>
      <c r="CE12" s="854">
        <f>CE8-CE10</f>
        <v>425.72099999999995</v>
      </c>
      <c r="CF12" s="854">
        <f>CF8-CF10</f>
        <v>477.10699999999997</v>
      </c>
      <c r="CG12" s="854">
        <f>CG8-CG10</f>
        <v>510.73900000000003</v>
      </c>
      <c r="CH12" s="855">
        <f>CH8-CH10</f>
        <v>615.00099999999998</v>
      </c>
      <c r="CI12" s="855"/>
      <c r="CJ12" s="854">
        <f>CJ8-CJ10</f>
        <v>398.92500000000007</v>
      </c>
      <c r="CK12" s="854">
        <f>CK8-CK10</f>
        <v>460.89500000000004</v>
      </c>
      <c r="CL12" s="854">
        <f>CL8-CL10</f>
        <v>526.62699999999995</v>
      </c>
      <c r="CM12" s="855">
        <f>CM8-CM10</f>
        <v>697.39499999999998</v>
      </c>
      <c r="CN12" s="855"/>
      <c r="CO12" s="854">
        <f>CO8-CO10</f>
        <v>418.72467853888492</v>
      </c>
      <c r="CP12" s="854">
        <f>CP8-CP10</f>
        <v>490.11147455095994</v>
      </c>
      <c r="CQ12" s="854">
        <f>CQ8-CQ10</f>
        <v>528.76323433151993</v>
      </c>
      <c r="CR12" s="855">
        <f>CR8-CR10</f>
        <v>649.82897669199997</v>
      </c>
      <c r="CS12" s="855"/>
      <c r="CT12" s="855">
        <f>CT8-CT10</f>
        <v>79.793999999999983</v>
      </c>
      <c r="CU12" s="855">
        <f>CU8-CU10</f>
        <v>123.76600000000002</v>
      </c>
      <c r="CV12" s="855">
        <f>CV8-CV10</f>
        <v>201.07999999999998</v>
      </c>
      <c r="CW12" s="855">
        <f t="shared" ref="CW12:DB12" si="1">CW8-CW10</f>
        <v>331.35400000000004</v>
      </c>
      <c r="CX12" s="855">
        <f t="shared" si="1"/>
        <v>450.38299999999992</v>
      </c>
      <c r="CY12" s="855">
        <f t="shared" si="1"/>
        <v>509.375</v>
      </c>
      <c r="CZ12" s="855">
        <f t="shared" si="1"/>
        <v>558.03399999999999</v>
      </c>
      <c r="DA12" s="855">
        <f t="shared" si="1"/>
        <v>980.55599999999981</v>
      </c>
      <c r="DB12" s="856">
        <f t="shared" si="1"/>
        <v>1083.1690000000003</v>
      </c>
      <c r="DC12" s="855">
        <f t="shared" ref="DC12:DH12" si="2">DC8-DC10</f>
        <v>1341.2249999999999</v>
      </c>
      <c r="DD12" s="855">
        <f t="shared" si="2"/>
        <v>1854.1850000000002</v>
      </c>
      <c r="DE12" s="856">
        <f t="shared" si="2"/>
        <v>2200.6669999999999</v>
      </c>
      <c r="DF12" s="855">
        <f t="shared" si="2"/>
        <v>2488.1660000000002</v>
      </c>
      <c r="DG12" s="855">
        <f t="shared" si="2"/>
        <v>2331.0940000000001</v>
      </c>
      <c r="DH12" s="855">
        <f t="shared" si="2"/>
        <v>1883.596</v>
      </c>
      <c r="DI12" s="856">
        <f t="shared" ref="DI12:DP12" si="3">DI8-DI10</f>
        <v>2217.4279999999999</v>
      </c>
      <c r="DJ12" s="856">
        <f t="shared" si="3"/>
        <v>2550.2240000000002</v>
      </c>
      <c r="DK12" s="855">
        <f>DK8-DK10</f>
        <v>2816.7090000000003</v>
      </c>
      <c r="DL12" s="855">
        <f t="shared" si="3"/>
        <v>2575.4349999999999</v>
      </c>
      <c r="DM12" s="855">
        <f t="shared" si="3"/>
        <v>2313.5699999999997</v>
      </c>
      <c r="DN12" s="855">
        <f t="shared" si="3"/>
        <v>2178.1900000000005</v>
      </c>
      <c r="DO12" s="855">
        <f>DO8-DO10</f>
        <v>2028.5679999999998</v>
      </c>
      <c r="DP12" s="855">
        <f t="shared" si="3"/>
        <v>2083.8420000000001</v>
      </c>
      <c r="DQ12" s="855">
        <f>DQ8-DQ10</f>
        <v>2087.4283641133643</v>
      </c>
      <c r="DR12" s="855">
        <f>DR8-DR10</f>
        <v>2086.6280558245408</v>
      </c>
      <c r="DS12" s="857">
        <f>DS8-DS10</f>
        <v>2071.9991041842077</v>
      </c>
    </row>
    <row r="13" spans="1:129">
      <c r="A13" s="860" t="s">
        <v>292</v>
      </c>
      <c r="B13" s="861"/>
      <c r="C13" s="860">
        <f>'qtrP&amp;L'!$X50</f>
        <v>46.323999999999998</v>
      </c>
      <c r="D13" s="860">
        <f>'qtrP&amp;L'!$X51</f>
        <v>47.076000000000001</v>
      </c>
      <c r="E13" s="860">
        <f>'qtrP&amp;L'!$X52</f>
        <v>55.19</v>
      </c>
      <c r="F13" s="860">
        <f>'qtrP&amp;L'!$X53</f>
        <v>59.728999999999999</v>
      </c>
      <c r="G13" s="860"/>
      <c r="H13" s="860">
        <f>'qtrP&amp;L'!$AB50</f>
        <v>50.927</v>
      </c>
      <c r="I13" s="860">
        <f>'qtrP&amp;L'!$AB51</f>
        <v>53.866</v>
      </c>
      <c r="J13" s="860">
        <f>'qtrP&amp;L'!$AB52</f>
        <v>72.099999999999994</v>
      </c>
      <c r="K13" s="860">
        <f>'qtrP&amp;L'!$AB53</f>
        <v>78.83</v>
      </c>
      <c r="L13" s="860"/>
      <c r="M13" s="860">
        <f>'qtrP&amp;L'!$AJ50</f>
        <v>153.41900000000001</v>
      </c>
      <c r="N13" s="860">
        <f>'qtrP&amp;L'!$AJ51</f>
        <v>161.17500000000001</v>
      </c>
      <c r="O13" s="860">
        <f>'qtrP&amp;L'!$AJ52</f>
        <v>173.815</v>
      </c>
      <c r="P13" s="860">
        <f>'qtrP&amp;L'!$AJ53</f>
        <v>180.39100000000002</v>
      </c>
      <c r="Q13" s="860"/>
      <c r="R13" s="860">
        <f>'qtrP&amp;L'!$AN50</f>
        <v>175.98500000000001</v>
      </c>
      <c r="S13" s="860">
        <f>'qtrP&amp;L'!$AN51</f>
        <v>178.66399999999999</v>
      </c>
      <c r="T13" s="860">
        <f>'qtrP&amp;L'!$AN52</f>
        <v>197.26000000000002</v>
      </c>
      <c r="U13" s="860">
        <f>'qtrP&amp;L'!$AN53</f>
        <v>201.059</v>
      </c>
      <c r="V13" s="860"/>
      <c r="W13" s="860">
        <f>+'qtrP&amp;L'!$AR$50</f>
        <v>221.29899999999998</v>
      </c>
      <c r="X13" s="860">
        <f>+'qtrP&amp;L'!$AR$51</f>
        <v>212.21799999999999</v>
      </c>
      <c r="Y13" s="860">
        <f>+'qtrP&amp;L'!$AR$52</f>
        <v>241.75399999999999</v>
      </c>
      <c r="Z13" s="860">
        <f>+'qtrP&amp;L'!$AR$53</f>
        <v>289.90899999999999</v>
      </c>
      <c r="AA13" s="860"/>
      <c r="AB13" s="860">
        <f>+'qtrP&amp;L'!$AV$50</f>
        <v>289.36900000000003</v>
      </c>
      <c r="AC13" s="860">
        <f>+'qtrP&amp;L'!$AV$51</f>
        <v>299.98099999999999</v>
      </c>
      <c r="AD13" s="860">
        <f>+'qtrP&amp;L'!$AV$52</f>
        <v>337.09100000000001</v>
      </c>
      <c r="AE13" s="860">
        <f>+'qtrP&amp;L'!$AV$53</f>
        <v>374.27100000000002</v>
      </c>
      <c r="AF13" s="860"/>
      <c r="AG13" s="860">
        <f>'qtrP&amp;L'!AZ50</f>
        <v>348.05099999999999</v>
      </c>
      <c r="AH13" s="860">
        <f>'qtrP&amp;L'!AZ51</f>
        <v>355.83400000000006</v>
      </c>
      <c r="AI13" s="860">
        <f>'qtrP&amp;L'!AZ52</f>
        <v>405.62300000000005</v>
      </c>
      <c r="AJ13" s="860">
        <f>'qtrP&amp;L'!AZ53</f>
        <v>451.39299999999997</v>
      </c>
      <c r="AK13" s="860"/>
      <c r="AL13" s="860">
        <f>'qtrP&amp;L'!BD50</f>
        <v>398.41300000000001</v>
      </c>
      <c r="AM13" s="860">
        <f>'qtrP&amp;L'!BD51</f>
        <v>432.85699999999997</v>
      </c>
      <c r="AN13" s="860">
        <f>'qtrP&amp;L'!BD52</f>
        <v>459.76599999999996</v>
      </c>
      <c r="AO13" s="860">
        <f>'qtrP&amp;L'!BD53</f>
        <v>491.56799999999998</v>
      </c>
      <c r="AP13" s="860"/>
      <c r="AQ13" s="860">
        <f>'qtrP&amp;L'!BH50</f>
        <v>430.74099999999999</v>
      </c>
      <c r="AR13" s="860">
        <f>'qtrP&amp;L'!BH51</f>
        <v>453.45100000000002</v>
      </c>
      <c r="AS13" s="860">
        <f>'qtrP&amp;L'!BH52</f>
        <v>474.93799999999999</v>
      </c>
      <c r="AT13" s="860">
        <f>'qtrP&amp;L'!BH53</f>
        <v>482.48099999999999</v>
      </c>
      <c r="AU13" s="860"/>
      <c r="AV13" s="860">
        <f>'qtrP&amp;L'!$BL$50</f>
        <v>416.65499999999997</v>
      </c>
      <c r="AW13" s="860">
        <f>'qtrP&amp;L'!$BL$51</f>
        <v>418.96199999999999</v>
      </c>
      <c r="AX13" s="860">
        <f>'qtrP&amp;L'!$BL$52</f>
        <v>437.22900000000004</v>
      </c>
      <c r="AY13" s="860">
        <f>'qtrP&amp;L'!$BL$53</f>
        <v>473.173</v>
      </c>
      <c r="AZ13" s="860"/>
      <c r="BA13" s="860">
        <f>'qtrP&amp;L'!$BP50</f>
        <v>451.04200000000003</v>
      </c>
      <c r="BB13" s="860">
        <f>'qtrP&amp;L'!$BP$51</f>
        <v>457.48800000000006</v>
      </c>
      <c r="BC13" s="860">
        <f>'qtrP&amp;L'!$BP$52</f>
        <v>487.74699999999996</v>
      </c>
      <c r="BD13" s="860">
        <f>'qtrP&amp;L'!$BP$53</f>
        <v>539.42900000000009</v>
      </c>
      <c r="BE13" s="860"/>
      <c r="BF13" s="860">
        <f>'qtrP&amp;L'!$BT50</f>
        <v>506.75200000000001</v>
      </c>
      <c r="BG13" s="860">
        <f>'qtrP&amp;L'!$BT51</f>
        <v>535.32399999999996</v>
      </c>
      <c r="BH13" s="860">
        <f>'qtrP&amp;L'!$BT52</f>
        <v>569.52700000000004</v>
      </c>
      <c r="BI13" s="862">
        <f>'qtrP&amp;L'!$BT53</f>
        <v>602.12499999999989</v>
      </c>
      <c r="BJ13" s="862"/>
      <c r="BK13" s="860">
        <f>'qtrP&amp;L'!$BX50</f>
        <v>572.62099999999998</v>
      </c>
      <c r="BL13" s="860">
        <f>'qtrP&amp;L'!$BX51</f>
        <v>569.37799999999993</v>
      </c>
      <c r="BM13" s="860">
        <f>'qtrP&amp;L'!$BX52</f>
        <v>620.32299999999998</v>
      </c>
      <c r="BN13" s="862">
        <f>'qtrP&amp;L'!$BX53</f>
        <v>692.08699999999999</v>
      </c>
      <c r="BO13" s="862"/>
      <c r="BP13" s="862">
        <f>'qtrP&amp;L'!CB50</f>
        <v>567.08699999999999</v>
      </c>
      <c r="BQ13" s="862">
        <f>'qtrP&amp;L'!CB51</f>
        <v>586.79300000000001</v>
      </c>
      <c r="BR13" s="862">
        <f>'qtrP&amp;L'!CB52</f>
        <v>600.39199999999994</v>
      </c>
      <c r="BS13" s="862">
        <f>'qtrP&amp;L'!CB53</f>
        <v>620.54100000000005</v>
      </c>
      <c r="BT13" s="862"/>
      <c r="BU13" s="862">
        <f>'qtrP&amp;L'!CF50</f>
        <v>531.15200000000004</v>
      </c>
      <c r="BV13" s="862">
        <f>'qtrP&amp;L'!CF51</f>
        <v>535.37</v>
      </c>
      <c r="BW13" s="862">
        <f>'qtrP&amp;L'!CF52</f>
        <v>514.96999999999991</v>
      </c>
      <c r="BX13" s="862">
        <f>'qtrP&amp;L'!CF53</f>
        <v>555.58899999999994</v>
      </c>
      <c r="BY13" s="862"/>
      <c r="BZ13" s="862">
        <f>'qtrP&amp;L'!CJ50</f>
        <v>492.71859999999998</v>
      </c>
      <c r="CA13" s="862">
        <f>'qtrP&amp;L'!CJ51</f>
        <v>491.892</v>
      </c>
      <c r="CB13" s="862">
        <f>'qtrP&amp;L'!CJ52</f>
        <v>510.05699999999996</v>
      </c>
      <c r="CC13" s="862">
        <f>'qtrP&amp;L'!CJ53</f>
        <v>555.68499999999995</v>
      </c>
      <c r="CD13" s="862"/>
      <c r="CE13" s="862">
        <f>'qtrP&amp;L'!CN50</f>
        <v>483.565</v>
      </c>
      <c r="CF13" s="862">
        <f>'qtrP&amp;L'!CN51</f>
        <v>494.63599999999997</v>
      </c>
      <c r="CG13" s="862">
        <f>'qtrP&amp;L'!CN52</f>
        <v>497.916</v>
      </c>
      <c r="CH13" s="862">
        <f>'qtrP&amp;L'!CN53</f>
        <v>563.11900000000003</v>
      </c>
      <c r="CI13" s="862"/>
      <c r="CJ13" s="862">
        <f t="array" ref="CJ13:CM13">TRANSPOSE('qtrP&amp;L'!CR50:CR53)</f>
        <v>469.822</v>
      </c>
      <c r="CK13" s="862">
        <v>478.64800000000002</v>
      </c>
      <c r="CL13" s="862">
        <v>489.40700000000004</v>
      </c>
      <c r="CM13" s="862">
        <v>561.39200000000005</v>
      </c>
      <c r="CN13" s="862"/>
      <c r="CO13" s="862">
        <f t="array" ref="CO13:CR13">TRANSPOSE('qtrP&amp;L'!CV50:CV53)</f>
        <v>479.54111765888996</v>
      </c>
      <c r="CP13" s="862">
        <v>488.78010212433594</v>
      </c>
      <c r="CQ13" s="862">
        <v>495.06753802607994</v>
      </c>
      <c r="CR13" s="862">
        <v>567.48763375500005</v>
      </c>
      <c r="CS13" s="862"/>
      <c r="CT13" s="862">
        <f>'yrP&amp;L'!C14</f>
        <v>55.995999999999995</v>
      </c>
      <c r="CU13" s="862">
        <f>'yrP&amp;L'!D14</f>
        <v>77.772999999999996</v>
      </c>
      <c r="CV13" s="862">
        <f>'yrP&amp;L'!E14</f>
        <v>116.955</v>
      </c>
      <c r="CW13" s="862">
        <f>'yrP&amp;L'!F14</f>
        <v>164.39600000000002</v>
      </c>
      <c r="CX13" s="862">
        <f>'yrP&amp;L'!G14</f>
        <v>208.31900000000002</v>
      </c>
      <c r="CY13" s="862">
        <f>'yrP&amp;L'!H14</f>
        <v>255.72300000000001</v>
      </c>
      <c r="CZ13" s="862">
        <f>'yrP&amp;L'!I14</f>
        <v>286.57600000000002</v>
      </c>
      <c r="DA13" s="862">
        <f>'yrP&amp;L'!J14</f>
        <v>668.80000000000007</v>
      </c>
      <c r="DB13" s="863">
        <f>'yrP&amp;L'!K14</f>
        <v>752.96799999999996</v>
      </c>
      <c r="DC13" s="862">
        <f>'yrP&amp;L'!L14</f>
        <v>965.18</v>
      </c>
      <c r="DD13" s="862">
        <f>'yrP&amp;L'!N14</f>
        <v>1281.893</v>
      </c>
      <c r="DE13" s="863">
        <f>'yrP&amp;L'!P14</f>
        <v>1512.6610000000001</v>
      </c>
      <c r="DF13" s="862">
        <f>'yrP&amp;L'!R14</f>
        <v>1720.9580000000001</v>
      </c>
      <c r="DG13" s="862">
        <f>'yrP&amp;L'!S14</f>
        <v>1837.6110000000001</v>
      </c>
      <c r="DH13" s="862">
        <f>'yrP&amp;L'!T14</f>
        <v>1746.019</v>
      </c>
      <c r="DI13" s="863">
        <f>'yrP&amp;L'!U14</f>
        <v>1975.7060000000001</v>
      </c>
      <c r="DJ13" s="863">
        <f>'yrP&amp;L'!V14</f>
        <v>2213.7280000000001</v>
      </c>
      <c r="DK13" s="862">
        <f>'yrP&amp;L'!W14</f>
        <v>2454.4089999999997</v>
      </c>
      <c r="DL13" s="862">
        <f>'yrP&amp;L'!X14</f>
        <v>2374.8130000000001</v>
      </c>
      <c r="DM13" s="862">
        <f>'yrP&amp;L'!Y14</f>
        <v>2137.0809999999997</v>
      </c>
      <c r="DN13" s="862">
        <f>'yrP&amp;L'!Z14</f>
        <v>2050.3526000000002</v>
      </c>
      <c r="DO13" s="862">
        <f>'yrP&amp;L'!AA14</f>
        <v>2039.2359999999999</v>
      </c>
      <c r="DP13" s="862">
        <f>'yrP&amp;L'!AB14</f>
        <v>1999.269</v>
      </c>
      <c r="DQ13" s="862">
        <f>'yrP&amp;L'!AC14</f>
        <v>2030.8763915643058</v>
      </c>
      <c r="DR13" s="862">
        <f>'yrP&amp;L'!AD14</f>
        <v>2034.8124598074212</v>
      </c>
      <c r="DS13" s="864">
        <f>'yrP&amp;L'!AE14</f>
        <v>2024.9873598035576</v>
      </c>
    </row>
    <row r="14" spans="1:129">
      <c r="A14" s="866" t="s">
        <v>408</v>
      </c>
      <c r="B14" s="867"/>
      <c r="C14" s="866"/>
      <c r="D14" s="866"/>
      <c r="E14" s="866"/>
      <c r="F14" s="866"/>
      <c r="G14" s="866"/>
      <c r="H14" s="866"/>
      <c r="I14" s="866"/>
      <c r="J14" s="866"/>
      <c r="K14" s="866"/>
      <c r="L14" s="866"/>
      <c r="M14" s="866"/>
      <c r="N14" s="866"/>
      <c r="O14" s="866"/>
      <c r="P14" s="866"/>
      <c r="Q14" s="866"/>
      <c r="R14" s="866"/>
      <c r="S14" s="866"/>
      <c r="T14" s="866"/>
      <c r="U14" s="866"/>
      <c r="V14" s="866"/>
      <c r="W14" s="866"/>
      <c r="X14" s="866"/>
      <c r="Y14" s="866"/>
      <c r="Z14" s="866"/>
      <c r="AA14" s="866"/>
      <c r="AB14" s="866">
        <f>'qtrP&amp;L'!AV30</f>
        <v>222.22300000000001</v>
      </c>
      <c r="AC14" s="866">
        <f>'qtrP&amp;L'!AV31</f>
        <v>232.09700000000001</v>
      </c>
      <c r="AD14" s="866">
        <f>'qtrP&amp;L'!AV32</f>
        <v>252.947</v>
      </c>
      <c r="AE14" s="866">
        <f>'qtrP&amp;L'!AV33</f>
        <v>293.488</v>
      </c>
      <c r="AF14" s="866"/>
      <c r="AG14" s="866">
        <f>'qtrP&amp;L'!AZ30</f>
        <v>258.35199999999998</v>
      </c>
      <c r="AH14" s="866">
        <f>'qtrP&amp;L'!AZ31</f>
        <v>270.49400000000003</v>
      </c>
      <c r="AI14" s="866">
        <f>'qtrP&amp;L'!AZ32</f>
        <v>308.45600000000002</v>
      </c>
      <c r="AJ14" s="866">
        <f>'qtrP&amp;L'!AZ33</f>
        <v>349.77</v>
      </c>
      <c r="AK14" s="866"/>
      <c r="AL14" s="866">
        <f>'qtrP&amp;L'!BD30</f>
        <v>308.238</v>
      </c>
      <c r="AM14" s="866">
        <f>'qtrP&amp;L'!BD31</f>
        <v>334.41699999999997</v>
      </c>
      <c r="AN14" s="866">
        <f>'qtrP&amp;L'!BD32</f>
        <v>355.77</v>
      </c>
      <c r="AO14" s="866">
        <f>'qtrP&amp;L'!BD33</f>
        <v>388.42099999999999</v>
      </c>
      <c r="AP14" s="866"/>
      <c r="AQ14" s="866"/>
      <c r="AR14" s="866"/>
      <c r="AS14" s="866"/>
      <c r="AT14" s="866"/>
      <c r="AU14" s="866"/>
      <c r="AV14" s="866"/>
      <c r="AW14" s="866"/>
      <c r="AX14" s="866"/>
      <c r="AY14" s="866"/>
      <c r="AZ14" s="866"/>
      <c r="BA14" s="866"/>
      <c r="BB14" s="866"/>
      <c r="BC14" s="866"/>
      <c r="BD14" s="866"/>
      <c r="BE14" s="866"/>
      <c r="BF14" s="866">
        <f>'qtrP&amp;L'!$BT30</f>
        <v>399.101</v>
      </c>
      <c r="BG14" s="866">
        <f>'qtrP&amp;L'!$BT31</f>
        <v>425.32499999999999</v>
      </c>
      <c r="BH14" s="866">
        <f>'qtrP&amp;L'!$BT32</f>
        <v>461.68299999999999</v>
      </c>
      <c r="BI14" s="866">
        <f>'qtrP&amp;L'!$BT33</f>
        <v>500.49799999999993</v>
      </c>
      <c r="BJ14" s="868"/>
      <c r="BK14" s="866">
        <f>'qtrP&amp;L'!$BX30</f>
        <v>455.73200000000003</v>
      </c>
      <c r="BL14" s="866">
        <f>'qtrP&amp;L'!$BX31</f>
        <v>458.08499999999998</v>
      </c>
      <c r="BM14" s="866">
        <f>'qtrP&amp;L'!$BX32</f>
        <v>496.94200000000001</v>
      </c>
      <c r="BN14" s="866">
        <f>'qtrP&amp;L'!$BX33</f>
        <v>569.76700000000005</v>
      </c>
      <c r="BO14" s="868"/>
      <c r="BP14" s="868">
        <f>'qtrP&amp;L'!$CB30</f>
        <v>449.125</v>
      </c>
      <c r="BQ14" s="868">
        <f>'qtrP&amp;L'!$CB31</f>
        <v>471.72199999999998</v>
      </c>
      <c r="BR14" s="868">
        <f>'qtrP&amp;L'!$CB32</f>
        <v>480.5929999999999</v>
      </c>
      <c r="BS14" s="868">
        <f>'qtrP&amp;L'!$CB33</f>
        <v>501.93300000000005</v>
      </c>
      <c r="BT14" s="868"/>
      <c r="BU14" s="868">
        <f>'qtrP&amp;L'!$CF30</f>
        <v>416.77100000000002</v>
      </c>
      <c r="BV14" s="868">
        <f>'qtrP&amp;L'!$CF31</f>
        <v>425.05599999999998</v>
      </c>
      <c r="BW14" s="868">
        <f>'qtrP&amp;L'!$CF32</f>
        <v>411.19399999999996</v>
      </c>
      <c r="BX14" s="868">
        <f>'qtrP&amp;L'!$CF33</f>
        <v>441.65899999999999</v>
      </c>
      <c r="BY14" s="868"/>
      <c r="BZ14" s="868">
        <f>'qtrP&amp;L'!$CJ30</f>
        <v>386.95</v>
      </c>
      <c r="CA14" s="868">
        <f>'qtrP&amp;L'!$CJ31</f>
        <v>387.79899999999998</v>
      </c>
      <c r="CB14" s="868">
        <f>'qtrP&amp;L'!$CJ32</f>
        <v>392.35899999999998</v>
      </c>
      <c r="CC14" s="868">
        <f>'qtrP&amp;L'!$CJ33</f>
        <v>430.44099999999997</v>
      </c>
      <c r="CD14" s="868"/>
      <c r="CE14" s="868">
        <f>'qtrP&amp;L'!$CN30</f>
        <v>369.11799999999999</v>
      </c>
      <c r="CF14" s="868">
        <f>'qtrP&amp;L'!$CN31</f>
        <v>382.91699999999997</v>
      </c>
      <c r="CG14" s="868">
        <f>'qtrP&amp;L'!$CN32</f>
        <v>386.60899999999998</v>
      </c>
      <c r="CH14" s="868">
        <f>'qtrP&amp;L'!$CN33</f>
        <v>441.39</v>
      </c>
      <c r="CI14" s="868"/>
      <c r="CJ14" s="868">
        <f t="array" ref="CJ14:CM14">TRANSPOSE('qtrP&amp;L'!CR30:CR33)</f>
        <v>359.92899999999997</v>
      </c>
      <c r="CK14" s="868">
        <v>369.29500000000002</v>
      </c>
      <c r="CL14" s="868">
        <v>375.94400000000002</v>
      </c>
      <c r="CM14" s="868">
        <v>437.25700000000001</v>
      </c>
      <c r="CN14" s="868"/>
      <c r="CO14" s="868">
        <f t="array" ref="CO14:CR14">TRANSPOSE('qtrP&amp;L'!CV30:CV33)</f>
        <v>364.89863472002997</v>
      </c>
      <c r="CP14" s="868">
        <v>376.11271052127995</v>
      </c>
      <c r="CQ14" s="868">
        <v>379.29258148943995</v>
      </c>
      <c r="CR14" s="868">
        <v>439.52473594750006</v>
      </c>
      <c r="CS14" s="868"/>
      <c r="CT14" s="868"/>
      <c r="CU14" s="868"/>
      <c r="CV14" s="868"/>
      <c r="CW14" s="868"/>
      <c r="CX14" s="868"/>
      <c r="CY14" s="868"/>
      <c r="CZ14" s="868"/>
      <c r="DA14" s="868">
        <f>'yrP&amp;L'!J17</f>
        <v>533.08900000000006</v>
      </c>
      <c r="DB14" s="869">
        <f>'yrP&amp;L'!K17</f>
        <v>597.41500000000008</v>
      </c>
      <c r="DC14" s="868">
        <f>'yrP&amp;L'!L17</f>
        <v>738.24399999999991</v>
      </c>
      <c r="DD14" s="868">
        <f>'yrP&amp;L'!N17</f>
        <v>998.87800000000004</v>
      </c>
      <c r="DE14" s="869">
        <f>'yrP&amp;L'!P17</f>
        <v>1155.922</v>
      </c>
      <c r="DF14" s="868">
        <f>'yrP&amp;L'!R17</f>
        <v>1344.1780000000001</v>
      </c>
      <c r="DG14" s="868">
        <f>'yrP&amp;L'!S17</f>
        <v>1436.3630000000001</v>
      </c>
      <c r="DH14" s="868">
        <f>'yrP&amp;L'!T17</f>
        <v>1425.95</v>
      </c>
      <c r="DI14" s="869">
        <f>'yrP&amp;L'!U17</f>
        <v>1534.902</v>
      </c>
      <c r="DJ14" s="869">
        <f>'yrP&amp;L'!V17</f>
        <v>1786.607</v>
      </c>
      <c r="DK14" s="868">
        <f>'yrP&amp;L'!W17</f>
        <v>1980.5260000000001</v>
      </c>
      <c r="DL14" s="868">
        <f>'yrP&amp;L'!X17</f>
        <v>1903.3729999999998</v>
      </c>
      <c r="DM14" s="868">
        <f>'yrP&amp;L'!Y17</f>
        <v>1694.6799999999998</v>
      </c>
      <c r="DN14" s="868">
        <f>'yrP&amp;L'!Z17</f>
        <v>1597.549</v>
      </c>
      <c r="DO14" s="868">
        <f>'yrP&amp;L'!AA17</f>
        <v>1580.0340000000001</v>
      </c>
      <c r="DP14" s="868">
        <f>'yrP&amp;L'!AB17</f>
        <v>1542.425</v>
      </c>
      <c r="DQ14" s="868">
        <f>'yrP&amp;L'!AC17</f>
        <v>1559.8286626782501</v>
      </c>
      <c r="DR14" s="868">
        <f>'yrP&amp;L'!AD17</f>
        <v>1557.2687235415365</v>
      </c>
      <c r="DS14" s="870">
        <f>'yrP&amp;L'!AE17</f>
        <v>1551.387564561453</v>
      </c>
      <c r="DY14" s="871"/>
    </row>
    <row r="15" spans="1:129">
      <c r="A15" s="866" t="s">
        <v>407</v>
      </c>
      <c r="B15" s="867"/>
      <c r="C15" s="866"/>
      <c r="D15" s="866"/>
      <c r="E15" s="866"/>
      <c r="F15" s="866"/>
      <c r="G15" s="866"/>
      <c r="H15" s="866"/>
      <c r="I15" s="866"/>
      <c r="J15" s="866"/>
      <c r="K15" s="866"/>
      <c r="L15" s="866"/>
      <c r="M15" s="866"/>
      <c r="N15" s="866"/>
      <c r="O15" s="866"/>
      <c r="P15" s="866"/>
      <c r="Q15" s="866"/>
      <c r="R15" s="866"/>
      <c r="S15" s="866"/>
      <c r="T15" s="866"/>
      <c r="U15" s="866"/>
      <c r="V15" s="866"/>
      <c r="W15" s="866"/>
      <c r="X15" s="866"/>
      <c r="Y15" s="866"/>
      <c r="Z15" s="866"/>
      <c r="AA15" s="866"/>
      <c r="AB15" s="866">
        <f>'qtrP&amp;L'!AV40</f>
        <v>67.146000000000001</v>
      </c>
      <c r="AC15" s="866">
        <f>'qtrP&amp;L'!AV41</f>
        <v>67.884</v>
      </c>
      <c r="AD15" s="866">
        <f>'qtrP&amp;L'!AV42</f>
        <v>84.144000000000005</v>
      </c>
      <c r="AE15" s="866">
        <f>'qtrP&amp;L'!AV43</f>
        <v>80.783000000000001</v>
      </c>
      <c r="AF15" s="866"/>
      <c r="AG15" s="866">
        <f>'qtrP&amp;L'!AZ40</f>
        <v>89.698999999999998</v>
      </c>
      <c r="AH15" s="866">
        <f>'qtrP&amp;L'!AZ41</f>
        <v>85.34</v>
      </c>
      <c r="AI15" s="866">
        <f>'qtrP&amp;L'!AZ42</f>
        <v>97.167000000000002</v>
      </c>
      <c r="AJ15" s="866">
        <f>'qtrP&amp;L'!AZ43</f>
        <v>101.623</v>
      </c>
      <c r="AK15" s="866"/>
      <c r="AL15" s="866">
        <f>'qtrP&amp;L'!BD40</f>
        <v>90.174999999999997</v>
      </c>
      <c r="AM15" s="866">
        <f>'qtrP&amp;L'!BD41</f>
        <v>98.44</v>
      </c>
      <c r="AN15" s="866">
        <f>'qtrP&amp;L'!BD42</f>
        <v>103.996</v>
      </c>
      <c r="AO15" s="866">
        <f>'qtrP&amp;L'!BD43</f>
        <v>103.14700000000001</v>
      </c>
      <c r="AP15" s="866"/>
      <c r="AQ15" s="866"/>
      <c r="AR15" s="866"/>
      <c r="AS15" s="866"/>
      <c r="AT15" s="866"/>
      <c r="AU15" s="866"/>
      <c r="AV15" s="866"/>
      <c r="AW15" s="866"/>
      <c r="AX15" s="866"/>
      <c r="AY15" s="866"/>
      <c r="AZ15" s="866"/>
      <c r="BA15" s="866"/>
      <c r="BB15" s="866"/>
      <c r="BC15" s="866"/>
      <c r="BD15" s="866"/>
      <c r="BE15" s="866"/>
      <c r="BF15" s="866">
        <f>'qtrP&amp;L'!$BT40</f>
        <v>107.651</v>
      </c>
      <c r="BG15" s="866">
        <f>'qtrP&amp;L'!$BT41</f>
        <v>109.999</v>
      </c>
      <c r="BH15" s="866">
        <f>'qtrP&amp;L'!$BT42</f>
        <v>107.84399999999999</v>
      </c>
      <c r="BI15" s="866">
        <f>'qtrP&amp;L'!$BT43</f>
        <v>101.627</v>
      </c>
      <c r="BJ15" s="868"/>
      <c r="BK15" s="866">
        <f>'qtrP&amp;L'!$BX40</f>
        <v>116.889</v>
      </c>
      <c r="BL15" s="866">
        <f>'qtrP&amp;L'!$BX41</f>
        <v>111.29300000000001</v>
      </c>
      <c r="BM15" s="866">
        <f>'qtrP&amp;L'!$BX42</f>
        <v>123.381</v>
      </c>
      <c r="BN15" s="866">
        <f>'qtrP&amp;L'!$BX43</f>
        <v>122.32</v>
      </c>
      <c r="BO15" s="868"/>
      <c r="BP15" s="868">
        <f>'qtrP&amp;L'!$CB40</f>
        <v>117.962</v>
      </c>
      <c r="BQ15" s="868">
        <f>'qtrP&amp;L'!$CB41</f>
        <v>115.071</v>
      </c>
      <c r="BR15" s="868">
        <f>'qtrP&amp;L'!$CB42</f>
        <v>119.79900000000001</v>
      </c>
      <c r="BS15" s="868">
        <f>'qtrP&amp;L'!$CB43</f>
        <v>118.608</v>
      </c>
      <c r="BT15" s="868"/>
      <c r="BU15" s="868">
        <f>'qtrP&amp;L'!$CF40</f>
        <v>114.381</v>
      </c>
      <c r="BV15" s="868">
        <f>'qtrP&amp;L'!$CF41</f>
        <v>110.31400000000001</v>
      </c>
      <c r="BW15" s="868">
        <f>'qtrP&amp;L'!$CF42</f>
        <v>103.776</v>
      </c>
      <c r="BX15" s="868">
        <f>'qtrP&amp;L'!$CF43</f>
        <v>113.92999999999999</v>
      </c>
      <c r="BY15" s="868"/>
      <c r="BZ15" s="868">
        <f>'qtrP&amp;L'!$CJ40</f>
        <v>105.76860000000001</v>
      </c>
      <c r="CA15" s="868">
        <f>'qtrP&amp;L'!$CJ41</f>
        <v>104.093</v>
      </c>
      <c r="CB15" s="868">
        <f>'qtrP&amp;L'!$CJ42</f>
        <v>117.69799999999999</v>
      </c>
      <c r="CC15" s="868">
        <f>'qtrP&amp;L'!$CJ43</f>
        <v>125.244</v>
      </c>
      <c r="CD15" s="868"/>
      <c r="CE15" s="868">
        <f>'qtrP&amp;L'!$CN40</f>
        <v>114.447</v>
      </c>
      <c r="CF15" s="868">
        <f>'qtrP&amp;L'!$CN41</f>
        <v>111.71899999999999</v>
      </c>
      <c r="CG15" s="868">
        <f>'qtrP&amp;L'!$CN42</f>
        <v>111.307</v>
      </c>
      <c r="CH15" s="868">
        <f>'qtrP&amp;L'!$CN43</f>
        <v>121.729</v>
      </c>
      <c r="CI15" s="868"/>
      <c r="CJ15" s="868">
        <f t="array" ref="CJ15:CM15">TRANSPOSE('qtrP&amp;L'!CR40:CR43)</f>
        <v>109.893</v>
      </c>
      <c r="CK15" s="868">
        <v>109.35299999999999</v>
      </c>
      <c r="CL15" s="868">
        <v>113.46299999999999</v>
      </c>
      <c r="CM15" s="868">
        <v>124.13499999999999</v>
      </c>
      <c r="CN15" s="868"/>
      <c r="CO15" s="868">
        <f t="array" ref="CO15:CR15">TRANSPOSE('qtrP&amp;L'!CV40:CV43)</f>
        <v>114.64248293885997</v>
      </c>
      <c r="CP15" s="868">
        <v>112.66739160305598</v>
      </c>
      <c r="CQ15" s="868">
        <v>115.77495653664</v>
      </c>
      <c r="CR15" s="868">
        <v>127.96289780750001</v>
      </c>
      <c r="CS15" s="868"/>
      <c r="CT15" s="868"/>
      <c r="CU15" s="868"/>
      <c r="CV15" s="868"/>
      <c r="CW15" s="868"/>
      <c r="CX15" s="868"/>
      <c r="CY15" s="868"/>
      <c r="CZ15" s="868"/>
      <c r="DA15" s="868">
        <f>'yrP&amp;L'!J19</f>
        <v>135.71100000000001</v>
      </c>
      <c r="DB15" s="869">
        <f>'yrP&amp;L'!K19</f>
        <v>155.553</v>
      </c>
      <c r="DC15" s="868">
        <f>'yrP&amp;L'!L19</f>
        <v>226.93599999999998</v>
      </c>
      <c r="DD15" s="868">
        <f>'yrP&amp;L'!N19</f>
        <v>283.01499999999999</v>
      </c>
      <c r="DE15" s="869">
        <f>'yrP&amp;L'!P19</f>
        <v>356.73899999999998</v>
      </c>
      <c r="DF15" s="868">
        <f>'yrP&amp;L'!R19</f>
        <v>376.78</v>
      </c>
      <c r="DG15" s="868">
        <f>'yrP&amp;L'!S19</f>
        <v>405.24799999999999</v>
      </c>
      <c r="DH15" s="868">
        <f>'yrP&amp;L'!T19</f>
        <v>353.26799999999997</v>
      </c>
      <c r="DI15" s="869">
        <f>'yrP&amp;L'!U19</f>
        <v>400.80400000000003</v>
      </c>
      <c r="DJ15" s="869">
        <f>'yrP&amp;L'!V19</f>
        <v>427.12099999999998</v>
      </c>
      <c r="DK15" s="868">
        <f>'yrP&amp;L'!W19</f>
        <v>473.88299999999998</v>
      </c>
      <c r="DL15" s="868">
        <f>'yrP&amp;L'!X19</f>
        <v>471.44</v>
      </c>
      <c r="DM15" s="868">
        <f>'yrP&amp;L'!Y19</f>
        <v>442.40100000000001</v>
      </c>
      <c r="DN15" s="868">
        <f>'yrP&amp;L'!Z19</f>
        <v>452.80359999999996</v>
      </c>
      <c r="DO15" s="868">
        <f>'yrP&amp;L'!AA19</f>
        <v>459.202</v>
      </c>
      <c r="DP15" s="868">
        <f>'yrP&amp;L'!AB19</f>
        <v>456.84399999999994</v>
      </c>
      <c r="DQ15" s="868">
        <f>'yrP&amp;L'!AC19</f>
        <v>471.04772888605601</v>
      </c>
      <c r="DR15" s="868">
        <f>'yrP&amp;L'!AD19</f>
        <v>477.54373626588489</v>
      </c>
      <c r="DS15" s="870">
        <f>'yrP&amp;L'!AE19</f>
        <v>473.59979524210462</v>
      </c>
      <c r="DY15" s="871"/>
    </row>
    <row r="16" spans="1:129" hidden="1" outlineLevel="1">
      <c r="A16" s="860" t="s">
        <v>719</v>
      </c>
      <c r="B16" s="861"/>
      <c r="C16" s="860"/>
      <c r="D16" s="860"/>
      <c r="E16" s="860"/>
      <c r="F16" s="860"/>
      <c r="G16" s="860"/>
      <c r="H16" s="860"/>
      <c r="I16" s="860"/>
      <c r="J16" s="860"/>
      <c r="K16" s="860"/>
      <c r="L16" s="860"/>
      <c r="M16" s="860"/>
      <c r="N16" s="860"/>
      <c r="O16" s="860"/>
      <c r="P16" s="860"/>
      <c r="Q16" s="860"/>
      <c r="R16" s="860">
        <f>'qtrP&amp;L'!AN60</f>
        <v>9.8195446370160564</v>
      </c>
      <c r="S16" s="860">
        <f>'qtrP&amp;L'!AN61</f>
        <v>9.8195446370160564</v>
      </c>
      <c r="T16" s="860">
        <f>'qtrP&amp;L'!AN62</f>
        <v>9.8195446370160564</v>
      </c>
      <c r="U16" s="860">
        <f>'qtrP&amp;L'!AN63</f>
        <v>9.8195446370160564</v>
      </c>
      <c r="V16" s="860"/>
      <c r="W16" s="872">
        <f>'qtrP&amp;L'!AR60</f>
        <v>8.6137096774193544</v>
      </c>
      <c r="X16" s="872">
        <f>'qtrP&amp;L'!AR61</f>
        <v>8.6137096774193544</v>
      </c>
      <c r="Y16" s="872">
        <f>'qtrP&amp;L'!AR62</f>
        <v>8.6137096774193544</v>
      </c>
      <c r="Z16" s="872">
        <f>'qtrP&amp;L'!AR63</f>
        <v>8.6137096774193544</v>
      </c>
      <c r="AA16" s="872"/>
      <c r="AB16" s="872">
        <f>'qtrP&amp;L'!AV60</f>
        <v>8.8600806451612897</v>
      </c>
      <c r="AC16" s="872">
        <f>'qtrP&amp;L'!AV61</f>
        <v>8.8600806451612897</v>
      </c>
      <c r="AD16" s="872">
        <f>'qtrP&amp;L'!AV62</f>
        <v>8.8600806451612897</v>
      </c>
      <c r="AE16" s="872">
        <f>'qtrP&amp;L'!AV63</f>
        <v>8.8600806451612897</v>
      </c>
      <c r="AF16" s="872"/>
      <c r="AG16" s="872">
        <f>'qtrP&amp;L'!AZ60</f>
        <v>3.9260000000000002</v>
      </c>
      <c r="AH16" s="872">
        <f>'qtrP&amp;L'!AZ61</f>
        <v>3.504</v>
      </c>
      <c r="AI16" s="872">
        <f>'qtrP&amp;L'!AZ62</f>
        <v>1.3340000000000001</v>
      </c>
      <c r="AJ16" s="872">
        <f>'qtrP&amp;L'!AZ63</f>
        <v>1.1160000000000005</v>
      </c>
      <c r="AK16" s="872"/>
      <c r="AL16" s="872">
        <f>'qtrP&amp;L'!BD60</f>
        <v>5.2</v>
      </c>
      <c r="AM16" s="872">
        <f>'qtrP&amp;L'!BD61</f>
        <v>8.14</v>
      </c>
      <c r="AN16" s="872">
        <f>'qtrP&amp;L'!BD62</f>
        <v>8.7080000000000002</v>
      </c>
      <c r="AO16" s="872">
        <f>'qtrP&amp;L'!BD63</f>
        <v>8.7080000000000002</v>
      </c>
      <c r="AP16" s="872"/>
      <c r="AQ16" s="872"/>
      <c r="AR16" s="872"/>
      <c r="AS16" s="872"/>
      <c r="AT16" s="872"/>
      <c r="AU16" s="872"/>
      <c r="AV16" s="872"/>
      <c r="AW16" s="872"/>
      <c r="AX16" s="872"/>
      <c r="AY16" s="872"/>
      <c r="AZ16" s="872"/>
      <c r="BA16" s="872"/>
      <c r="BB16" s="872"/>
      <c r="BC16" s="872"/>
      <c r="BD16" s="872"/>
      <c r="BE16" s="872"/>
      <c r="BF16" s="872"/>
      <c r="BG16" s="872"/>
      <c r="BH16" s="872"/>
      <c r="BI16" s="873"/>
      <c r="BJ16" s="873"/>
      <c r="BK16" s="872"/>
      <c r="BL16" s="872"/>
      <c r="BM16" s="872"/>
      <c r="BN16" s="873"/>
      <c r="BO16" s="873"/>
      <c r="BP16" s="873"/>
      <c r="BQ16" s="873"/>
      <c r="BR16" s="873"/>
      <c r="BS16" s="873"/>
      <c r="BT16" s="873"/>
      <c r="BU16" s="873"/>
      <c r="BV16" s="873"/>
      <c r="BW16" s="873"/>
      <c r="BX16" s="873"/>
      <c r="BY16" s="873"/>
      <c r="BZ16" s="873"/>
      <c r="CA16" s="873"/>
      <c r="CB16" s="873"/>
      <c r="CC16" s="873"/>
      <c r="CD16" s="873"/>
      <c r="CE16" s="873"/>
      <c r="CF16" s="873"/>
      <c r="CG16" s="873"/>
      <c r="CH16" s="873"/>
      <c r="CI16" s="873"/>
      <c r="CJ16" s="873"/>
      <c r="CK16" s="873"/>
      <c r="CL16" s="873"/>
      <c r="CM16" s="873"/>
      <c r="CN16" s="873"/>
      <c r="CO16" s="873"/>
      <c r="CP16" s="873"/>
      <c r="CQ16" s="873"/>
      <c r="CR16" s="873"/>
      <c r="CS16" s="873"/>
      <c r="CT16" s="873"/>
      <c r="CU16" s="873"/>
      <c r="CV16" s="873"/>
      <c r="CW16" s="873"/>
      <c r="CX16" s="873"/>
      <c r="CY16" s="873"/>
      <c r="CZ16" s="873">
        <f>'yrP&amp;L'!I24</f>
        <v>32.873382327831528</v>
      </c>
      <c r="DA16" s="873">
        <f>'yrP&amp;L'!J24</f>
        <v>41.952695790587121</v>
      </c>
      <c r="DB16" s="874">
        <f>'yrP&amp;L'!K24</f>
        <v>39.278178548064226</v>
      </c>
      <c r="DC16" s="873">
        <f>'yrP&amp;L'!L24</f>
        <v>34.454838709677418</v>
      </c>
      <c r="DD16" s="873">
        <f>'yrP&amp;L'!N24</f>
        <v>0</v>
      </c>
      <c r="DE16" s="874">
        <f>'yrP&amp;L'!P24</f>
        <v>0</v>
      </c>
      <c r="DF16" s="873">
        <f>'yrP&amp;L'!R24</f>
        <v>0</v>
      </c>
      <c r="DG16" s="873">
        <f>'yrP&amp;L'!S24</f>
        <v>31.17</v>
      </c>
      <c r="DH16" s="873">
        <f>'yrP&amp;L'!T24</f>
        <v>31.17</v>
      </c>
      <c r="DI16" s="874">
        <f>'yrP&amp;L'!U24</f>
        <v>31.17</v>
      </c>
      <c r="DJ16" s="874">
        <f>'yrP&amp;L'!V24</f>
        <v>31.17</v>
      </c>
      <c r="DK16" s="873">
        <f>'yrP&amp;L'!W24</f>
        <v>31.17</v>
      </c>
      <c r="DL16" s="873">
        <f>'yrP&amp;L'!X24</f>
        <v>31.17</v>
      </c>
      <c r="DM16" s="873">
        <f>'yrP&amp;L'!Y24</f>
        <v>31.17</v>
      </c>
      <c r="DN16" s="873">
        <f>'yrP&amp;L'!Z24</f>
        <v>31.17</v>
      </c>
      <c r="DO16" s="873">
        <f>'yrP&amp;L'!AA24</f>
        <v>31.17</v>
      </c>
      <c r="DP16" s="873">
        <f>'yrP&amp;L'!AB24</f>
        <v>31.17</v>
      </c>
      <c r="DQ16" s="873">
        <f>'yrP&amp;L'!AC24</f>
        <v>31.17</v>
      </c>
      <c r="DR16" s="873">
        <f>'yrP&amp;L'!AD24</f>
        <v>31.17</v>
      </c>
      <c r="DS16" s="875">
        <f>'yrP&amp;L'!AE24</f>
        <v>31.17</v>
      </c>
    </row>
    <row r="17" spans="1:130" hidden="1" outlineLevel="1">
      <c r="A17" s="876" t="s">
        <v>293</v>
      </c>
      <c r="B17" s="876"/>
      <c r="C17" s="876">
        <f>'qtrP&amp;L'!$X70</f>
        <v>7.157</v>
      </c>
      <c r="D17" s="876">
        <f>'qtrP&amp;L'!$X71</f>
        <v>6.9160000000000004</v>
      </c>
      <c r="E17" s="876">
        <f>'qtrP&amp;L'!$X72</f>
        <v>6.8460000000000001</v>
      </c>
      <c r="F17" s="876">
        <f>'qtrP&amp;L'!$X73</f>
        <v>6.8019999999999996</v>
      </c>
      <c r="G17" s="876"/>
      <c r="H17" s="876">
        <f>'qtrP&amp;L'!$AB70</f>
        <v>7.1529999999999996</v>
      </c>
      <c r="I17" s="876">
        <f>'qtrP&amp;L'!$AB71</f>
        <v>6.5110000000000001</v>
      </c>
      <c r="J17" s="876">
        <f>'qtrP&amp;L'!$AB72</f>
        <v>7.4479999999999986</v>
      </c>
      <c r="K17" s="876">
        <f>'qtrP&amp;L'!$AB73</f>
        <v>9.6190000000000033</v>
      </c>
      <c r="L17" s="876"/>
      <c r="M17" s="876">
        <f>'qtrP&amp;L'!$AJ70</f>
        <v>12.388999999999999</v>
      </c>
      <c r="N17" s="876">
        <f>'qtrP&amp;L'!$AJ71</f>
        <v>13.4</v>
      </c>
      <c r="O17" s="876">
        <f>'qtrP&amp;L'!$AJ72</f>
        <v>14.5</v>
      </c>
      <c r="P17" s="876">
        <f>'qtrP&amp;L'!$AJ73</f>
        <v>15.7</v>
      </c>
      <c r="Q17" s="876"/>
      <c r="R17" s="876">
        <f>'qtrP&amp;L'!$AN70</f>
        <v>21.178000000000001</v>
      </c>
      <c r="S17" s="876">
        <f>'qtrP&amp;L'!$AN71</f>
        <v>21.068000000000001</v>
      </c>
      <c r="T17" s="876">
        <f>'qtrP&amp;L'!$AN72</f>
        <v>22.234000000000002</v>
      </c>
      <c r="U17" s="876">
        <f>'qtrP&amp;L'!$AN73</f>
        <v>25.058999999999997</v>
      </c>
      <c r="V17" s="876"/>
      <c r="W17" s="876">
        <f>+'qtrP&amp;L'!$AR$70</f>
        <v>26.606000000000002</v>
      </c>
      <c r="X17" s="876">
        <f>+'qtrP&amp;L'!$AR$71</f>
        <v>24.927999999999997</v>
      </c>
      <c r="Y17" s="876">
        <f>+'qtrP&amp;L'!$AR$72</f>
        <v>25.455000000000005</v>
      </c>
      <c r="Z17" s="876">
        <f>+'qtrP&amp;L'!$AR$73</f>
        <v>28.824999999999989</v>
      </c>
      <c r="AA17" s="876"/>
      <c r="AB17" s="876">
        <f>+'qtrP&amp;L'!$AV$70</f>
        <v>30.044</v>
      </c>
      <c r="AC17" s="876">
        <f>+'qtrP&amp;L'!$AV$71</f>
        <v>30.483999999999998</v>
      </c>
      <c r="AD17" s="876">
        <f>+'qtrP&amp;L'!$AV$72</f>
        <v>30.338000000000005</v>
      </c>
      <c r="AE17" s="876">
        <f>+'qtrP&amp;L'!$AV$73</f>
        <v>33.340000000000003</v>
      </c>
      <c r="AF17" s="876"/>
      <c r="AG17" s="876">
        <f>+'qtrP&amp;L'!$AZ$70</f>
        <v>33.226999999999997</v>
      </c>
      <c r="AH17" s="876">
        <f>+'qtrP&amp;L'!$AZ$71</f>
        <v>33.595999999999997</v>
      </c>
      <c r="AI17" s="876">
        <f>+'qtrP&amp;L'!$AZ$72</f>
        <v>38.156000000000013</v>
      </c>
      <c r="AJ17" s="876">
        <f>+'qtrP&amp;L'!$AZ$73</f>
        <v>41.176999999999992</v>
      </c>
      <c r="AK17" s="876"/>
      <c r="AL17" s="876">
        <f>+'qtrP&amp;L'!$BD$70</f>
        <v>42.41</v>
      </c>
      <c r="AM17" s="876">
        <f>+'qtrP&amp;L'!$BD$71</f>
        <v>45.322000000000003</v>
      </c>
      <c r="AN17" s="876">
        <f>+'qtrP&amp;L'!$BD$72</f>
        <v>46.423000000000002</v>
      </c>
      <c r="AO17" s="876">
        <f>+'qtrP&amp;L'!$BD$73</f>
        <v>49.561000000000007</v>
      </c>
      <c r="AP17" s="876"/>
      <c r="AQ17" s="876"/>
      <c r="AR17" s="876"/>
      <c r="AS17" s="876"/>
      <c r="AT17" s="876"/>
      <c r="AU17" s="876"/>
      <c r="AV17" s="876">
        <f>+'qtrP&amp;L'!BL227</f>
        <v>59.676000000000002</v>
      </c>
      <c r="AW17" s="876">
        <f>+'qtrP&amp;L'!BL228</f>
        <v>58.715000000000003</v>
      </c>
      <c r="AX17" s="876">
        <f>+'qtrP&amp;L'!BL229</f>
        <v>60.302000000000007</v>
      </c>
      <c r="AY17" s="876">
        <f>+'qtrP&amp;L'!BL230</f>
        <v>60.059000000000012</v>
      </c>
      <c r="AZ17" s="876"/>
      <c r="BA17" s="876">
        <f>+'qtrP&amp;L'!BP227</f>
        <v>56.737000000000002</v>
      </c>
      <c r="BB17" s="876">
        <f>+'qtrP&amp;L'!BP228</f>
        <v>55.666000000000004</v>
      </c>
      <c r="BC17" s="876">
        <f>+'qtrP&amp;L'!BP229</f>
        <v>55.353000000000002</v>
      </c>
      <c r="BD17" s="876">
        <f>+'qtrP&amp;L'!BP230</f>
        <v>61.396999999999998</v>
      </c>
      <c r="BE17" s="876"/>
      <c r="BF17" s="876">
        <f>+'qtrP&amp;L'!BT227</f>
        <v>57.218000000000004</v>
      </c>
      <c r="BG17" s="876">
        <f>+'qtrP&amp;L'!BT228</f>
        <v>59.179000000000002</v>
      </c>
      <c r="BH17" s="876">
        <f>+'qtrP&amp;L'!BT229</f>
        <v>57.171999999999983</v>
      </c>
      <c r="BI17" s="877">
        <f>+'qtrP&amp;L'!BT230</f>
        <v>59.387000000000015</v>
      </c>
      <c r="BJ17" s="877"/>
      <c r="BK17" s="876">
        <f>+'qtrP&amp;L'!BX227</f>
        <v>54.546999999999997</v>
      </c>
      <c r="BL17" s="876">
        <f>+'qtrP&amp;L'!BX228</f>
        <v>54.8</v>
      </c>
      <c r="BM17" s="876">
        <f>+'qtrP&amp;L'!BX229</f>
        <v>56.168999999999997</v>
      </c>
      <c r="BN17" s="877">
        <f>+'qtrP&amp;L'!BX230</f>
        <v>58.729000000000028</v>
      </c>
      <c r="BO17" s="877"/>
      <c r="BP17" s="877">
        <f>'qtrP&amp;L'!CB227</f>
        <v>59.459000000000003</v>
      </c>
      <c r="BQ17" s="877">
        <f>'qtrP&amp;L'!CB228</f>
        <v>60.853999999999999</v>
      </c>
      <c r="BR17" s="877">
        <f>'qtrP&amp;L'!CB229</f>
        <v>60.296000000000006</v>
      </c>
      <c r="BS17" s="877">
        <f>'qtrP&amp;L'!CB230</f>
        <v>54.631000000000014</v>
      </c>
      <c r="BT17" s="877"/>
      <c r="BU17" s="877">
        <f>'qtrP&amp;L'!CF227</f>
        <v>58.896999999999998</v>
      </c>
      <c r="BV17" s="877">
        <f>'qtrP&amp;L'!CF228</f>
        <v>59.865000000000002</v>
      </c>
      <c r="BW17" s="877">
        <f>'qtrP&amp;L'!CF229</f>
        <v>56.204000000000001</v>
      </c>
      <c r="BX17" s="877">
        <f>'qtrP&amp;L'!CF230</f>
        <v>51.454999999999977</v>
      </c>
      <c r="BY17" s="877"/>
      <c r="BZ17" s="877">
        <f>'qtrP&amp;L'!CJ227</f>
        <v>53.290999999999997</v>
      </c>
      <c r="CA17" s="877">
        <f>'qtrP&amp;L'!CJ228</f>
        <v>55.067999999999998</v>
      </c>
      <c r="CB17" s="877">
        <f>'qtrP&amp;L'!CJ229</f>
        <v>52.00500000000001</v>
      </c>
      <c r="CC17" s="877">
        <f>'qtrP&amp;L'!CJ230</f>
        <v>53.316000000000017</v>
      </c>
      <c r="CD17" s="877"/>
      <c r="CE17" s="877">
        <f>'qtrP&amp;L'!CN227</f>
        <v>50.866</v>
      </c>
      <c r="CF17" s="877">
        <f>'qtrP&amp;L'!CN228</f>
        <v>49.067000000000007</v>
      </c>
      <c r="CG17" s="877">
        <f>'qtrP&amp;L'!CN229</f>
        <v>46.73299999999999</v>
      </c>
      <c r="CH17" s="877">
        <f>'qtrP&amp;L'!CN230</f>
        <v>48.747999999999976</v>
      </c>
      <c r="CI17" s="877"/>
      <c r="CJ17" s="877">
        <f t="array" ref="CJ17:CM17">TRANSPOSE('qtrP&amp;L'!CR227:CR230)</f>
        <v>48.789000000000001</v>
      </c>
      <c r="CK17" s="877">
        <v>46.712999999999994</v>
      </c>
      <c r="CL17" s="877">
        <v>50.644999999999996</v>
      </c>
      <c r="CM17" s="877">
        <v>46</v>
      </c>
      <c r="CN17" s="877"/>
      <c r="CO17" s="877">
        <f t="array" ref="CO17:CR17">TRANSPOSE('qtrP&amp;L'!CV227:CV230)</f>
        <v>45</v>
      </c>
      <c r="CP17" s="877">
        <v>45</v>
      </c>
      <c r="CQ17" s="877">
        <v>45</v>
      </c>
      <c r="CR17" s="877">
        <v>45</v>
      </c>
      <c r="CS17" s="877"/>
      <c r="CT17" s="877">
        <f>'yrP&amp;L'!C27</f>
        <v>0</v>
      </c>
      <c r="CU17" s="877">
        <f>'yrP&amp;L'!D27</f>
        <v>11.759</v>
      </c>
      <c r="CV17" s="877">
        <f>'yrP&amp;L'!E27</f>
        <v>16.341999999999999</v>
      </c>
      <c r="CW17" s="877">
        <f>'yrP&amp;L'!F27</f>
        <v>20.946000000000002</v>
      </c>
      <c r="CX17" s="877">
        <f>'yrP&amp;L'!G27</f>
        <v>27.721</v>
      </c>
      <c r="CY17" s="877">
        <f>'yrP&amp;L'!H27</f>
        <v>30.731000000000002</v>
      </c>
      <c r="CZ17" s="877">
        <f>'yrP&amp;L'!I27</f>
        <v>41.155000000000001</v>
      </c>
      <c r="DA17" s="877">
        <f>'yrP&amp;L'!J27</f>
        <v>55.989000000000004</v>
      </c>
      <c r="DB17" s="878">
        <f>+flow!T11</f>
        <v>89.539000000000001</v>
      </c>
      <c r="DC17" s="877">
        <f>+flow!V11</f>
        <v>105.81399999999999</v>
      </c>
      <c r="DD17" s="877">
        <f>+flow!X11</f>
        <v>124.206</v>
      </c>
      <c r="DE17" s="878">
        <f>+flow!Z11</f>
        <v>146.15600000000001</v>
      </c>
      <c r="DF17" s="877">
        <f>+flow!AB11</f>
        <v>183.71600000000001</v>
      </c>
      <c r="DG17" s="877">
        <f>+flow!AD11</f>
        <v>225.334</v>
      </c>
      <c r="DH17" s="877">
        <f>+flow!AF11</f>
        <v>238.75200000000001</v>
      </c>
      <c r="DI17" s="878">
        <f>flow!$AH$11</f>
        <v>229.15299999999999</v>
      </c>
      <c r="DJ17" s="878">
        <f>flow!$AJ$11</f>
        <v>232.95599999999999</v>
      </c>
      <c r="DK17" s="877">
        <f>flow!$AL$11</f>
        <v>224.245</v>
      </c>
      <c r="DL17" s="877">
        <f>'yrP&amp;L'!X27</f>
        <v>235.24</v>
      </c>
      <c r="DM17" s="877">
        <f>'yrP&amp;L'!Y27</f>
        <v>226.42099999999999</v>
      </c>
      <c r="DN17" s="877">
        <f>'yrP&amp;L'!Z27</f>
        <v>213.68</v>
      </c>
      <c r="DO17" s="877">
        <f>'yrP&amp;L'!AA27</f>
        <v>195.41399999999999</v>
      </c>
      <c r="DP17" s="877">
        <f>'yrP&amp;L'!AB27</f>
        <v>192.14699999999999</v>
      </c>
      <c r="DQ17" s="877">
        <f>'yrP&amp;L'!AC27</f>
        <v>180</v>
      </c>
      <c r="DR17" s="877">
        <f>'yrP&amp;L'!AD27</f>
        <v>175.05268924702526</v>
      </c>
      <c r="DS17" s="879">
        <f>'yrP&amp;L'!AE27</f>
        <v>167.15286890897809</v>
      </c>
      <c r="DY17" s="114"/>
    </row>
    <row r="18" spans="1:130" hidden="1" outlineLevel="1">
      <c r="A18" s="876"/>
      <c r="B18" s="876"/>
      <c r="C18" s="876"/>
      <c r="D18" s="876"/>
      <c r="E18" s="876"/>
      <c r="F18" s="876"/>
      <c r="G18" s="876"/>
      <c r="H18" s="876"/>
      <c r="I18" s="876"/>
      <c r="J18" s="876"/>
      <c r="K18" s="876"/>
      <c r="L18" s="876"/>
      <c r="M18" s="876"/>
      <c r="N18" s="876"/>
      <c r="O18" s="876"/>
      <c r="P18" s="876"/>
      <c r="Q18" s="876"/>
      <c r="R18" s="876"/>
      <c r="S18" s="876"/>
      <c r="T18" s="876"/>
      <c r="U18" s="876"/>
      <c r="V18" s="876"/>
      <c r="W18" s="876"/>
      <c r="X18" s="876"/>
      <c r="Y18" s="876"/>
      <c r="Z18" s="876"/>
      <c r="AA18" s="876"/>
      <c r="AB18" s="876"/>
      <c r="AC18" s="876"/>
      <c r="AD18" s="876"/>
      <c r="AE18" s="876"/>
      <c r="AF18" s="876"/>
      <c r="AG18" s="876"/>
      <c r="AH18" s="876"/>
      <c r="AI18" s="876"/>
      <c r="AJ18" s="876"/>
      <c r="AK18" s="876"/>
      <c r="AL18" s="876"/>
      <c r="AM18" s="876"/>
      <c r="AN18" s="876"/>
      <c r="AO18" s="876"/>
      <c r="AP18" s="876"/>
      <c r="AQ18" s="876"/>
      <c r="AR18" s="876"/>
      <c r="AS18" s="876"/>
      <c r="AT18" s="876"/>
      <c r="AU18" s="876"/>
      <c r="AV18" s="876"/>
      <c r="AW18" s="876"/>
      <c r="AX18" s="876"/>
      <c r="AY18" s="876"/>
      <c r="AZ18" s="876"/>
      <c r="BA18" s="876"/>
      <c r="BB18" s="876"/>
      <c r="BC18" s="876"/>
      <c r="BD18" s="876"/>
      <c r="BE18" s="876"/>
      <c r="BF18" s="876"/>
      <c r="BG18" s="876"/>
      <c r="BH18" s="876"/>
      <c r="BI18" s="877"/>
      <c r="BJ18" s="877"/>
      <c r="BK18" s="876"/>
      <c r="BL18" s="876"/>
      <c r="BM18" s="876"/>
      <c r="BN18" s="877"/>
      <c r="BO18" s="877"/>
      <c r="BP18" s="877"/>
      <c r="BQ18" s="877"/>
      <c r="BR18" s="877"/>
      <c r="BS18" s="877"/>
      <c r="BT18" s="877"/>
      <c r="BU18" s="877"/>
      <c r="BV18" s="877"/>
      <c r="BW18" s="877"/>
      <c r="BX18" s="877"/>
      <c r="BY18" s="877"/>
      <c r="BZ18" s="877"/>
      <c r="CA18" s="877"/>
      <c r="CB18" s="877"/>
      <c r="CC18" s="877"/>
      <c r="CD18" s="877"/>
      <c r="CE18" s="877"/>
      <c r="CF18" s="877"/>
      <c r="CG18" s="877"/>
      <c r="CH18" s="877"/>
      <c r="CI18" s="877"/>
      <c r="CJ18" s="877"/>
      <c r="CK18" s="877"/>
      <c r="CL18" s="877"/>
      <c r="CM18" s="877"/>
      <c r="CN18" s="877"/>
      <c r="CO18" s="877"/>
      <c r="CP18" s="877"/>
      <c r="CQ18" s="877"/>
      <c r="CR18" s="877"/>
      <c r="CS18" s="877"/>
      <c r="CT18" s="877"/>
      <c r="CU18" s="877"/>
      <c r="CV18" s="877"/>
      <c r="CW18" s="877"/>
      <c r="CX18" s="877"/>
      <c r="CY18" s="877"/>
      <c r="CZ18" s="877"/>
      <c r="DA18" s="877"/>
      <c r="DB18" s="878"/>
      <c r="DC18" s="877"/>
      <c r="DD18" s="877"/>
      <c r="DE18" s="878"/>
      <c r="DF18" s="877"/>
      <c r="DG18" s="877"/>
      <c r="DH18" s="877"/>
      <c r="DI18" s="878"/>
      <c r="DJ18" s="878"/>
      <c r="DK18" s="877"/>
      <c r="DL18" s="877"/>
      <c r="DM18" s="877"/>
      <c r="DN18" s="877"/>
      <c r="DO18" s="877"/>
      <c r="DP18" s="877"/>
      <c r="DQ18" s="877"/>
      <c r="DR18" s="877"/>
      <c r="DS18" s="879"/>
      <c r="DY18" s="114"/>
    </row>
    <row r="19" spans="1:130" ht="5.25" customHeight="1" collapsed="1">
      <c r="A19" s="876"/>
      <c r="B19" s="876"/>
      <c r="C19" s="876"/>
      <c r="D19" s="876"/>
      <c r="E19" s="876"/>
      <c r="F19" s="876"/>
      <c r="G19" s="876"/>
      <c r="H19" s="876"/>
      <c r="I19" s="876"/>
      <c r="J19" s="876"/>
      <c r="K19" s="876"/>
      <c r="L19" s="876"/>
      <c r="M19" s="876"/>
      <c r="N19" s="876"/>
      <c r="O19" s="876"/>
      <c r="P19" s="876"/>
      <c r="Q19" s="876"/>
      <c r="R19" s="876"/>
      <c r="S19" s="876"/>
      <c r="T19" s="876"/>
      <c r="U19" s="876"/>
      <c r="V19" s="876"/>
      <c r="W19" s="876"/>
      <c r="X19" s="876"/>
      <c r="Y19" s="876"/>
      <c r="Z19" s="876"/>
      <c r="AA19" s="876"/>
      <c r="AB19" s="876"/>
      <c r="AC19" s="876"/>
      <c r="AD19" s="876"/>
      <c r="AE19" s="876"/>
      <c r="AF19" s="876"/>
      <c r="AG19" s="876"/>
      <c r="AH19" s="876"/>
      <c r="AI19" s="876"/>
      <c r="AJ19" s="876"/>
      <c r="AK19" s="876"/>
      <c r="AL19" s="876"/>
      <c r="AM19" s="876"/>
      <c r="AN19" s="876"/>
      <c r="AO19" s="876"/>
      <c r="AP19" s="876"/>
      <c r="AQ19" s="876"/>
      <c r="AR19" s="876"/>
      <c r="AS19" s="876"/>
      <c r="AT19" s="876"/>
      <c r="AU19" s="876"/>
      <c r="AV19" s="876"/>
      <c r="AW19" s="876"/>
      <c r="AX19" s="876"/>
      <c r="AY19" s="876"/>
      <c r="AZ19" s="876"/>
      <c r="BA19" s="876"/>
      <c r="BB19" s="876"/>
      <c r="BC19" s="876"/>
      <c r="BD19" s="876"/>
      <c r="BE19" s="876"/>
      <c r="BF19" s="876"/>
      <c r="BG19" s="876"/>
      <c r="BH19" s="876"/>
      <c r="BI19" s="877"/>
      <c r="BJ19" s="877"/>
      <c r="BK19" s="876"/>
      <c r="BL19" s="876"/>
      <c r="BM19" s="876"/>
      <c r="BN19" s="877"/>
      <c r="BO19" s="877"/>
      <c r="BP19" s="877"/>
      <c r="BQ19" s="877"/>
      <c r="BR19" s="877"/>
      <c r="BS19" s="877"/>
      <c r="BT19" s="877"/>
      <c r="BU19" s="877"/>
      <c r="BV19" s="877"/>
      <c r="BW19" s="877"/>
      <c r="BX19" s="877"/>
      <c r="BY19" s="877"/>
      <c r="BZ19" s="877"/>
      <c r="CA19" s="877"/>
      <c r="CB19" s="877"/>
      <c r="CC19" s="877"/>
      <c r="CD19" s="877"/>
      <c r="CE19" s="877"/>
      <c r="CF19" s="877"/>
      <c r="CG19" s="877"/>
      <c r="CH19" s="877"/>
      <c r="CI19" s="877"/>
      <c r="CJ19" s="877"/>
      <c r="CK19" s="877"/>
      <c r="CL19" s="877"/>
      <c r="CM19" s="877"/>
      <c r="CN19" s="877"/>
      <c r="CO19" s="877"/>
      <c r="CP19" s="877"/>
      <c r="CQ19" s="877"/>
      <c r="CR19" s="877"/>
      <c r="CS19" s="877"/>
      <c r="CT19" s="877"/>
      <c r="CU19" s="877"/>
      <c r="CV19" s="877"/>
      <c r="CW19" s="877"/>
      <c r="CX19" s="877"/>
      <c r="CY19" s="877"/>
      <c r="CZ19" s="877"/>
      <c r="DA19" s="877"/>
      <c r="DB19" s="878"/>
      <c r="DC19" s="877"/>
      <c r="DD19" s="877"/>
      <c r="DE19" s="878"/>
      <c r="DF19" s="877"/>
      <c r="DG19" s="877"/>
      <c r="DH19" s="877"/>
      <c r="DI19" s="878"/>
      <c r="DJ19" s="878"/>
      <c r="DK19" s="877"/>
      <c r="DL19" s="877"/>
      <c r="DM19" s="877"/>
      <c r="DN19" s="877"/>
      <c r="DO19" s="877"/>
      <c r="DP19" s="877"/>
      <c r="DQ19" s="877"/>
      <c r="DR19" s="877"/>
      <c r="DS19" s="879"/>
      <c r="DY19" s="114"/>
    </row>
    <row r="20" spans="1:130">
      <c r="A20" s="853" t="s">
        <v>406</v>
      </c>
      <c r="B20" s="854"/>
      <c r="C20" s="854">
        <f>C12-C13</f>
        <v>23.043999999999997</v>
      </c>
      <c r="D20" s="854">
        <f>D12-D13</f>
        <v>30.270000000000003</v>
      </c>
      <c r="E20" s="854">
        <f>E12-E13</f>
        <v>63.41</v>
      </c>
      <c r="F20" s="854">
        <f>F12-F13</f>
        <v>125.34000000000002</v>
      </c>
      <c r="G20" s="854"/>
      <c r="H20" s="854">
        <f>H12-H13</f>
        <v>24.475999999999992</v>
      </c>
      <c r="I20" s="854">
        <f>I12-I13</f>
        <v>33.899000000000015</v>
      </c>
      <c r="J20" s="854">
        <f>J12-J13</f>
        <v>71.183000000000021</v>
      </c>
      <c r="K20" s="854">
        <f>K12-K13</f>
        <v>124.09400000000001</v>
      </c>
      <c r="L20" s="854"/>
      <c r="M20" s="854">
        <f>M12-M13</f>
        <v>36.532999999999959</v>
      </c>
      <c r="N20" s="854">
        <f>N12-N13</f>
        <v>48.950999999999965</v>
      </c>
      <c r="O20" s="854">
        <f>O12-O13</f>
        <v>75.551000000000016</v>
      </c>
      <c r="P20" s="854">
        <f>P12-P13</f>
        <v>150.72099999999995</v>
      </c>
      <c r="Q20" s="854"/>
      <c r="R20" s="854">
        <f>R12-R13</f>
        <v>40.493999999999971</v>
      </c>
      <c r="S20" s="854">
        <f>S12-S13</f>
        <v>54.987000000000023</v>
      </c>
      <c r="T20" s="854">
        <f>T12-T13</f>
        <v>80.390999999999934</v>
      </c>
      <c r="U20" s="854">
        <f>U12-U13</f>
        <v>154.32900000000004</v>
      </c>
      <c r="V20" s="854"/>
      <c r="W20" s="854">
        <f>W12-W13</f>
        <v>46.625</v>
      </c>
      <c r="X20" s="854">
        <f>X12-X13</f>
        <v>68.699000000000041</v>
      </c>
      <c r="Y20" s="854">
        <f>Y12-Y13</f>
        <v>94.863000000000085</v>
      </c>
      <c r="Z20" s="854">
        <f>Z12-Z13</f>
        <v>165.85800000000006</v>
      </c>
      <c r="AA20" s="854"/>
      <c r="AB20" s="854">
        <f>AB12-AB13</f>
        <v>67.882999999999925</v>
      </c>
      <c r="AC20" s="854">
        <f>AC12-AC13</f>
        <v>89.678999999999974</v>
      </c>
      <c r="AD20" s="854">
        <f>AD12-AD13</f>
        <v>127.995</v>
      </c>
      <c r="AE20" s="854">
        <f>AE12-AE13</f>
        <v>265.14700000000011</v>
      </c>
      <c r="AF20" s="854"/>
      <c r="AG20" s="854">
        <f>AG12-AG13</f>
        <v>81.863999999999976</v>
      </c>
      <c r="AH20" s="854">
        <f>AH12-AH13</f>
        <v>99.423999999999978</v>
      </c>
      <c r="AI20" s="854">
        <f>AI12-AI13</f>
        <v>162.57499999999993</v>
      </c>
      <c r="AJ20" s="854">
        <f>AJ12-AJ13</f>
        <v>304.24200000000002</v>
      </c>
      <c r="AK20" s="854"/>
      <c r="AL20" s="854">
        <f>AL12-AL13</f>
        <v>88.855999999999995</v>
      </c>
      <c r="AM20" s="854">
        <f>AM12-AM13</f>
        <v>120.58100000000002</v>
      </c>
      <c r="AN20" s="854">
        <f>AN12-AN13</f>
        <v>185.27699999999993</v>
      </c>
      <c r="AO20" s="854">
        <f>AO12-AO13</f>
        <v>334.04900000000009</v>
      </c>
      <c r="AP20" s="854"/>
      <c r="AQ20" s="854">
        <f>AQ12-AQ13</f>
        <v>95.994000000000028</v>
      </c>
      <c r="AR20" s="854">
        <f>AR12-AR13</f>
        <v>132.096</v>
      </c>
      <c r="AS20" s="854">
        <f>AS12-AS13</f>
        <v>110.02600000000007</v>
      </c>
      <c r="AT20" s="854">
        <f>AT12-AT13</f>
        <v>151.36799999999994</v>
      </c>
      <c r="AU20" s="854"/>
      <c r="AV20" s="854">
        <f>AV12-AV13</f>
        <v>-35.202999999999918</v>
      </c>
      <c r="AW20" s="854">
        <f>AW12-AW13</f>
        <v>5.5529999999999973</v>
      </c>
      <c r="AX20" s="854">
        <f>AX12-AX13</f>
        <v>45.857999999999947</v>
      </c>
      <c r="AY20" s="854">
        <f>AY12-AY13</f>
        <v>121.36899999999991</v>
      </c>
      <c r="AZ20" s="854"/>
      <c r="BA20" s="854">
        <f>BA12-BA13</f>
        <v>-19.626000000000033</v>
      </c>
      <c r="BB20" s="854">
        <f>BB12-BB13</f>
        <v>27.859999999999957</v>
      </c>
      <c r="BC20" s="854">
        <f>BC12-BC13</f>
        <v>76.685000000000059</v>
      </c>
      <c r="BD20" s="854">
        <f>BD12-BD13</f>
        <v>191.55699999999979</v>
      </c>
      <c r="BE20" s="854"/>
      <c r="BF20" s="854">
        <f>BF12-BF13</f>
        <v>18.784000000000049</v>
      </c>
      <c r="BG20" s="854">
        <f>BG12-BG13</f>
        <v>43.141000000000076</v>
      </c>
      <c r="BH20" s="854">
        <f>BH12-BH13</f>
        <v>86.726999999999975</v>
      </c>
      <c r="BI20" s="855">
        <f>BI12-BI13</f>
        <v>187.84400000000016</v>
      </c>
      <c r="BJ20" s="855"/>
      <c r="BK20" s="854">
        <f>BK12-BK13</f>
        <v>-31.528999999999996</v>
      </c>
      <c r="BL20" s="854">
        <f>BL12-BL13</f>
        <v>23.073000000000093</v>
      </c>
      <c r="BM20" s="854">
        <f>BM12-BM13</f>
        <v>132.19099999999992</v>
      </c>
      <c r="BN20" s="855">
        <f>BN12-BN13</f>
        <v>238.56499999999994</v>
      </c>
      <c r="BO20" s="855"/>
      <c r="BP20" s="855">
        <f>BP12-BP13</f>
        <v>-13.921000000000049</v>
      </c>
      <c r="BQ20" s="855">
        <f>BQ12-BQ13</f>
        <v>17.328999999999951</v>
      </c>
      <c r="BR20" s="855">
        <f>BR12-BR13</f>
        <v>50.648000000000025</v>
      </c>
      <c r="BS20" s="855">
        <f>BS12-BS13</f>
        <v>146.56599999999992</v>
      </c>
      <c r="BT20" s="855"/>
      <c r="BU20" s="854">
        <f>BU12-BU13</f>
        <v>-19.493000000000052</v>
      </c>
      <c r="BV20" s="854">
        <f>BV12-BV13</f>
        <v>17.586000000000013</v>
      </c>
      <c r="BW20" s="854">
        <f>BW12-BW13</f>
        <v>52.100000000000023</v>
      </c>
      <c r="BX20" s="855">
        <f>BX12-BX13</f>
        <v>126.29600000000016</v>
      </c>
      <c r="BY20" s="855"/>
      <c r="BZ20" s="854">
        <f>BZ12-BZ13</f>
        <v>-54.308599999999956</v>
      </c>
      <c r="CA20" s="854">
        <f>CA12-CA13</f>
        <v>15.34899999999999</v>
      </c>
      <c r="CB20" s="854">
        <f>CB12-CB13</f>
        <v>47.156999999999982</v>
      </c>
      <c r="CC20" s="855">
        <f>CC12-CC13</f>
        <v>119.6400000000001</v>
      </c>
      <c r="CD20" s="855"/>
      <c r="CE20" s="854">
        <f>CE12-CE13</f>
        <v>-57.844000000000051</v>
      </c>
      <c r="CF20" s="854">
        <f>CF12-CF13</f>
        <v>-17.528999999999996</v>
      </c>
      <c r="CG20" s="854">
        <f>CG12-CG13</f>
        <v>12.823000000000036</v>
      </c>
      <c r="CH20" s="855">
        <f>CH12-CH13</f>
        <v>51.881999999999948</v>
      </c>
      <c r="CI20" s="855"/>
      <c r="CJ20" s="854">
        <f>CJ12-CJ13</f>
        <v>-70.896999999999935</v>
      </c>
      <c r="CK20" s="854">
        <f>CK12-CK13</f>
        <v>-17.752999999999986</v>
      </c>
      <c r="CL20" s="854">
        <f>CL12-CL13</f>
        <v>37.219999999999914</v>
      </c>
      <c r="CM20" s="855">
        <f>CM12-CM13</f>
        <v>136.00299999999993</v>
      </c>
      <c r="CN20" s="855"/>
      <c r="CO20" s="854">
        <f>CO12-CO13</f>
        <v>-60.816439120005043</v>
      </c>
      <c r="CP20" s="854">
        <f>CP12-CP13</f>
        <v>1.3313724266240001</v>
      </c>
      <c r="CQ20" s="854">
        <f>CQ12-CQ13</f>
        <v>33.695696305439981</v>
      </c>
      <c r="CR20" s="855">
        <f>CR12-CR13</f>
        <v>82.341342936999922</v>
      </c>
      <c r="CS20" s="855"/>
      <c r="CT20" s="855">
        <f>CT12-CT13</f>
        <v>23.797999999999988</v>
      </c>
      <c r="CU20" s="855">
        <f>CU12-CU13</f>
        <v>45.993000000000023</v>
      </c>
      <c r="CV20" s="855">
        <f>CV12-CV13</f>
        <v>84.124999999999986</v>
      </c>
      <c r="CW20" s="855">
        <f t="shared" ref="CW20:DB20" si="4">CW12-CW13</f>
        <v>166.95800000000003</v>
      </c>
      <c r="CX20" s="855">
        <f t="shared" si="4"/>
        <v>242.06399999999991</v>
      </c>
      <c r="CY20" s="855">
        <f t="shared" si="4"/>
        <v>253.65199999999999</v>
      </c>
      <c r="CZ20" s="855">
        <f t="shared" si="4"/>
        <v>271.45799999999997</v>
      </c>
      <c r="DA20" s="855">
        <f t="shared" si="4"/>
        <v>311.75599999999974</v>
      </c>
      <c r="DB20" s="856">
        <f t="shared" si="4"/>
        <v>330.20100000000036</v>
      </c>
      <c r="DC20" s="855">
        <f t="shared" ref="DC20:DH20" si="5">DC12-DC13</f>
        <v>376.04499999999996</v>
      </c>
      <c r="DD20" s="855">
        <f t="shared" si="5"/>
        <v>572.29200000000014</v>
      </c>
      <c r="DE20" s="856">
        <f t="shared" si="5"/>
        <v>688.00599999999986</v>
      </c>
      <c r="DF20" s="855">
        <f t="shared" si="5"/>
        <v>767.20800000000008</v>
      </c>
      <c r="DG20" s="855">
        <f t="shared" si="5"/>
        <v>493.48299999999995</v>
      </c>
      <c r="DH20" s="855">
        <f t="shared" si="5"/>
        <v>137.577</v>
      </c>
      <c r="DI20" s="856">
        <f t="shared" ref="DI20:DN20" si="6">DI12-DI13</f>
        <v>241.72199999999975</v>
      </c>
      <c r="DJ20" s="856">
        <f t="shared" si="6"/>
        <v>336.49600000000009</v>
      </c>
      <c r="DK20" s="855">
        <f t="shared" si="6"/>
        <v>362.30000000000064</v>
      </c>
      <c r="DL20" s="855">
        <f t="shared" si="6"/>
        <v>200.62199999999984</v>
      </c>
      <c r="DM20" s="855">
        <f>DM12-DM13</f>
        <v>176.48900000000003</v>
      </c>
      <c r="DN20" s="855">
        <f t="shared" si="6"/>
        <v>127.83740000000034</v>
      </c>
      <c r="DO20" s="855">
        <f>DO12-DO13</f>
        <v>-10.66800000000012</v>
      </c>
      <c r="DP20" s="855">
        <f>DP12-DP13</f>
        <v>84.573000000000093</v>
      </c>
      <c r="DQ20" s="855">
        <f>DQ12-DQ13</f>
        <v>56.551972549058519</v>
      </c>
      <c r="DR20" s="855">
        <f>DR12-DR13</f>
        <v>51.81559601711956</v>
      </c>
      <c r="DS20" s="857">
        <f>DS12-DS13</f>
        <v>47.011744380650043</v>
      </c>
    </row>
    <row r="21" spans="1:130" ht="4.5" customHeight="1">
      <c r="A21" s="801"/>
      <c r="B21" s="854"/>
      <c r="C21" s="854"/>
      <c r="D21" s="854"/>
      <c r="E21" s="854"/>
      <c r="F21" s="854"/>
      <c r="G21" s="854"/>
      <c r="H21" s="854"/>
      <c r="I21" s="854"/>
      <c r="J21" s="854"/>
      <c r="K21" s="854"/>
      <c r="L21" s="854"/>
      <c r="M21" s="854"/>
      <c r="N21" s="854"/>
      <c r="O21" s="854"/>
      <c r="P21" s="854"/>
      <c r="Q21" s="854"/>
      <c r="R21" s="854"/>
      <c r="S21" s="854"/>
      <c r="T21" s="854"/>
      <c r="U21" s="854"/>
      <c r="V21" s="854"/>
      <c r="W21" s="854"/>
      <c r="X21" s="854"/>
      <c r="Y21" s="854"/>
      <c r="Z21" s="854"/>
      <c r="AA21" s="854"/>
      <c r="AB21" s="854"/>
      <c r="AC21" s="854"/>
      <c r="AD21" s="854"/>
      <c r="AE21" s="854"/>
      <c r="AF21" s="854"/>
      <c r="AG21" s="854"/>
      <c r="AH21" s="854"/>
      <c r="AI21" s="854"/>
      <c r="AJ21" s="854"/>
      <c r="AK21" s="854"/>
      <c r="AL21" s="854"/>
      <c r="AM21" s="854"/>
      <c r="AN21" s="854"/>
      <c r="AO21" s="854"/>
      <c r="AP21" s="854"/>
      <c r="AQ21" s="854"/>
      <c r="AR21" s="854"/>
      <c r="AS21" s="854"/>
      <c r="AT21" s="854"/>
      <c r="AU21" s="854"/>
      <c r="AV21" s="854"/>
      <c r="AW21" s="854"/>
      <c r="AX21" s="854"/>
      <c r="AY21" s="854"/>
      <c r="AZ21" s="854"/>
      <c r="BA21" s="854"/>
      <c r="BB21" s="854"/>
      <c r="BC21" s="854"/>
      <c r="BD21" s="854"/>
      <c r="BE21" s="854"/>
      <c r="BF21" s="854"/>
      <c r="BG21" s="854"/>
      <c r="BH21" s="854"/>
      <c r="BI21" s="855"/>
      <c r="BJ21" s="855"/>
      <c r="BK21" s="854"/>
      <c r="BL21" s="854"/>
      <c r="BM21" s="854"/>
      <c r="BN21" s="855"/>
      <c r="BO21" s="855"/>
      <c r="BP21" s="855"/>
      <c r="BQ21" s="855"/>
      <c r="BR21" s="855"/>
      <c r="BS21" s="855"/>
      <c r="BT21" s="855"/>
      <c r="BU21" s="855"/>
      <c r="BV21" s="855"/>
      <c r="BW21" s="855"/>
      <c r="BX21" s="855"/>
      <c r="BY21" s="855"/>
      <c r="BZ21" s="855"/>
      <c r="CA21" s="855"/>
      <c r="CB21" s="855"/>
      <c r="CC21" s="855"/>
      <c r="CD21" s="855"/>
      <c r="CE21" s="855"/>
      <c r="CF21" s="855"/>
      <c r="CG21" s="855"/>
      <c r="CH21" s="855"/>
      <c r="CI21" s="855"/>
      <c r="CJ21" s="855"/>
      <c r="CK21" s="855"/>
      <c r="CL21" s="855"/>
      <c r="CM21" s="855"/>
      <c r="CN21" s="855"/>
      <c r="CO21" s="855"/>
      <c r="CP21" s="855"/>
      <c r="CQ21" s="855"/>
      <c r="CR21" s="855"/>
      <c r="CS21" s="855"/>
      <c r="CT21" s="855"/>
      <c r="CU21" s="855"/>
      <c r="CV21" s="855"/>
      <c r="CW21" s="855"/>
      <c r="CX21" s="855"/>
      <c r="CY21" s="855"/>
      <c r="CZ21" s="855"/>
      <c r="DA21" s="855"/>
      <c r="DB21" s="856"/>
      <c r="DC21" s="855"/>
      <c r="DD21" s="855"/>
      <c r="DE21" s="856"/>
      <c r="DF21" s="855"/>
      <c r="DG21" s="855"/>
      <c r="DH21" s="855"/>
      <c r="DI21" s="856"/>
      <c r="DJ21" s="856"/>
      <c r="DK21" s="855"/>
      <c r="DL21" s="855"/>
      <c r="DM21" s="855"/>
      <c r="DN21" s="855"/>
      <c r="DO21" s="855"/>
      <c r="DP21" s="855"/>
      <c r="DQ21" s="855"/>
      <c r="DR21" s="855"/>
      <c r="DS21" s="857"/>
    </row>
    <row r="22" spans="1:130">
      <c r="A22" s="860" t="s">
        <v>314</v>
      </c>
      <c r="B22" s="860"/>
      <c r="C22" s="860">
        <f>'qtrP&amp;L'!$X90</f>
        <v>1.887</v>
      </c>
      <c r="D22" s="860">
        <f>'qtrP&amp;L'!$X91</f>
        <v>1.171</v>
      </c>
      <c r="E22" s="860">
        <f>'qtrP&amp;L'!$X92</f>
        <v>1.6839999999999999</v>
      </c>
      <c r="F22" s="860">
        <f>'qtrP&amp;L'!$X93</f>
        <v>2.5289999999999999</v>
      </c>
      <c r="G22" s="860"/>
      <c r="H22" s="860">
        <f>'qtrP&amp;L'!$AB90</f>
        <v>2.4670000000000001</v>
      </c>
      <c r="I22" s="860">
        <f>'qtrP&amp;L'!$AB91</f>
        <v>1.3640000000000001</v>
      </c>
      <c r="J22" s="860">
        <f>'qtrP&amp;L'!$AB92</f>
        <v>1.4690000000000001</v>
      </c>
      <c r="K22" s="860">
        <f>'qtrP&amp;L'!$AB93</f>
        <v>2.5009999999999999</v>
      </c>
      <c r="L22" s="860"/>
      <c r="M22" s="860">
        <f>'qtrP&amp;L'!$AJ90</f>
        <v>0.872</v>
      </c>
      <c r="N22" s="860">
        <f>'qtrP&amp;L'!$AJ91</f>
        <v>0.73099999999999998</v>
      </c>
      <c r="O22" s="860">
        <f>'qtrP&amp;L'!$AJ92</f>
        <v>0.86599999999999999</v>
      </c>
      <c r="P22" s="860">
        <f>'qtrP&amp;L'!$AJ93</f>
        <v>1.3</v>
      </c>
      <c r="Q22" s="860"/>
      <c r="R22" s="860">
        <f>'qtrP&amp;L'!$AN90</f>
        <v>0.99099999999999999</v>
      </c>
      <c r="S22" s="860">
        <f>'qtrP&amp;L'!$AN91</f>
        <v>0.86099999999999999</v>
      </c>
      <c r="T22" s="860">
        <f>'qtrP&amp;L'!$AN92</f>
        <v>0.75700000000000001</v>
      </c>
      <c r="U22" s="860">
        <f>'qtrP&amp;L'!$AN93</f>
        <v>1.099</v>
      </c>
      <c r="V22" s="860"/>
      <c r="W22" s="860">
        <f>+'qtrP&amp;L'!$AR$90</f>
        <v>0.98499999999999999</v>
      </c>
      <c r="X22" s="860">
        <f>+'qtrP&amp;L'!$AR$91</f>
        <v>1.3580000000000001</v>
      </c>
      <c r="Y22" s="860">
        <f>+'qtrP&amp;L'!$AR$92</f>
        <v>1.573</v>
      </c>
      <c r="Z22" s="860">
        <f>+'qtrP&amp;L'!$AR$93</f>
        <v>1.2989999999999999</v>
      </c>
      <c r="AA22" s="860"/>
      <c r="AB22" s="860">
        <f>+'qtrP&amp;L'!$AV$90</f>
        <v>1.22</v>
      </c>
      <c r="AC22" s="860">
        <f>+'qtrP&amp;L'!$AV$91</f>
        <v>1.56</v>
      </c>
      <c r="AD22" s="860">
        <f>+'qtrP&amp;L'!$AV$92</f>
        <v>1.516</v>
      </c>
      <c r="AE22" s="860">
        <f>+'qtrP&amp;L'!$AV$93</f>
        <v>2.3759999999999999</v>
      </c>
      <c r="AF22" s="860"/>
      <c r="AG22" s="860">
        <f>'qtrP&amp;L'!AZ90</f>
        <v>3.1659999999999999</v>
      </c>
      <c r="AH22" s="860">
        <f>'qtrP&amp;L'!AZ91</f>
        <v>2.7650000000000001</v>
      </c>
      <c r="AI22" s="860">
        <f>'qtrP&amp;L'!AZ92</f>
        <v>3.2519999999999998</v>
      </c>
      <c r="AJ22" s="860">
        <f>'qtrP&amp;L'!AZ93</f>
        <v>4.7140000000000004</v>
      </c>
      <c r="AK22" s="860"/>
      <c r="AL22" s="860">
        <f>'qtrP&amp;L'!BD90</f>
        <v>3.7109999999999999</v>
      </c>
      <c r="AM22" s="860">
        <f>'qtrP&amp;L'!BD91</f>
        <v>4.1429999999999998</v>
      </c>
      <c r="AN22" s="860">
        <f>'qtrP&amp;L'!BD92</f>
        <v>4.6180000000000003</v>
      </c>
      <c r="AO22" s="860">
        <f>'qtrP&amp;L'!BD93</f>
        <v>6.3559999999999999</v>
      </c>
      <c r="AP22" s="860"/>
      <c r="AQ22" s="860">
        <f>'qtrP&amp;L'!BH90</f>
        <v>7.6459999999999999</v>
      </c>
      <c r="AR22" s="860">
        <f>'qtrP&amp;L'!BH91</f>
        <v>1.7569999999999999</v>
      </c>
      <c r="AS22" s="860">
        <f>'qtrP&amp;L'!BH92</f>
        <v>0.56000000000000005</v>
      </c>
      <c r="AT22" s="860">
        <f>'qtrP&amp;L'!BH93</f>
        <v>1.419</v>
      </c>
      <c r="AU22" s="860"/>
      <c r="AV22" s="860">
        <f>'qtrP&amp;L'!$BL$90</f>
        <v>1.3740000000000001</v>
      </c>
      <c r="AW22" s="860">
        <f>'qtrP&amp;L'!$BL$91</f>
        <v>1.7789999999999999</v>
      </c>
      <c r="AX22" s="860">
        <f>'qtrP&amp;L'!$BL$92</f>
        <v>-0.46100000000000002</v>
      </c>
      <c r="AY22" s="860">
        <f>'qtrP&amp;L'!$BL$93</f>
        <v>-1.093</v>
      </c>
      <c r="AZ22" s="860"/>
      <c r="BA22" s="860">
        <f>'qtrP&amp;L'!$BP90</f>
        <v>-0.82499999999999996</v>
      </c>
      <c r="BB22" s="860">
        <f>'qtrP&amp;L'!$BP$91</f>
        <v>-0.80700000000000005</v>
      </c>
      <c r="BC22" s="860">
        <f>'qtrP&amp;L'!$BP$92</f>
        <v>-0.67100000000000004</v>
      </c>
      <c r="BD22" s="860">
        <f>'qtrP&amp;L'!$BP$93</f>
        <v>-1.0580000000000001</v>
      </c>
      <c r="BE22" s="860"/>
      <c r="BF22" s="860">
        <f>'qtrP&amp;L'!$BT90</f>
        <v>-0.95</v>
      </c>
      <c r="BG22" s="860">
        <f>'qtrP&amp;L'!$BT91</f>
        <v>-0.98499999999999999</v>
      </c>
      <c r="BH22" s="860">
        <f>'qtrP&amp;L'!$BT92</f>
        <v>-0.53300000000000003</v>
      </c>
      <c r="BI22" s="862">
        <f>'qtrP&amp;L'!$BT93</f>
        <v>-1.109</v>
      </c>
      <c r="BJ22" s="862"/>
      <c r="BK22" s="860">
        <f>'qtrP&amp;L'!$BX90</f>
        <v>-1.089</v>
      </c>
      <c r="BL22" s="860">
        <f>'qtrP&amp;L'!$BX91</f>
        <v>-1.546</v>
      </c>
      <c r="BM22" s="860">
        <f>'qtrP&amp;L'!$BX92</f>
        <v>-1.5840000000000001</v>
      </c>
      <c r="BN22" s="862">
        <f>'qtrP&amp;L'!$BX93</f>
        <v>-3.069</v>
      </c>
      <c r="BO22" s="862"/>
      <c r="BP22" s="862">
        <f>'qtrP&amp;L'!CB90</f>
        <v>-1.6279999999999999</v>
      </c>
      <c r="BQ22" s="862">
        <f>'qtrP&amp;L'!CB91</f>
        <v>-1.75</v>
      </c>
      <c r="BR22" s="862">
        <f>'qtrP&amp;L'!CB92</f>
        <v>-1.655</v>
      </c>
      <c r="BS22" s="862">
        <f>'qtrP&amp;L'!CB93</f>
        <v>-2.5129999999999999</v>
      </c>
      <c r="BT22" s="862"/>
      <c r="BU22" s="862">
        <f>'qtrP&amp;L'!CF90</f>
        <v>-1.9970000000000001</v>
      </c>
      <c r="BV22" s="862">
        <f>'qtrP&amp;L'!CF91</f>
        <v>-2.02</v>
      </c>
      <c r="BW22" s="862">
        <f>'qtrP&amp;L'!CF92</f>
        <v>-5.5720000000000001</v>
      </c>
      <c r="BX22" s="862">
        <f>'qtrP&amp;L'!CF93</f>
        <v>-4.7759999999999998</v>
      </c>
      <c r="BY22" s="862"/>
      <c r="BZ22" s="862">
        <f>'qtrP&amp;L'!CJ90</f>
        <v>-4.6390000000000002</v>
      </c>
      <c r="CA22" s="862">
        <f>'qtrP&amp;L'!CJ91</f>
        <v>-4.5670000000000002</v>
      </c>
      <c r="CB22" s="862">
        <f>'qtrP&amp;L'!CJ92</f>
        <v>-4.5860000000000003</v>
      </c>
      <c r="CC22" s="862">
        <f>'qtrP&amp;L'!CJ93</f>
        <v>-4.4560000000000004</v>
      </c>
      <c r="CD22" s="862"/>
      <c r="CE22" s="862">
        <f>'qtrP&amp;L'!CN90</f>
        <v>-4.5060000000000002</v>
      </c>
      <c r="CF22" s="862">
        <f>'qtrP&amp;L'!CN91</f>
        <v>-4.7409999999999997</v>
      </c>
      <c r="CG22" s="862">
        <f>'qtrP&amp;L'!CN92</f>
        <v>-4.609</v>
      </c>
      <c r="CH22" s="862">
        <f>'qtrP&amp;L'!CN93</f>
        <v>-4.8099999999999996</v>
      </c>
      <c r="CI22" s="862"/>
      <c r="CJ22" s="862">
        <f t="array" ref="CJ22:CM22">TRANSPOSE('qtrP&amp;L'!CR90:CR93)</f>
        <v>-4.12</v>
      </c>
      <c r="CK22" s="862">
        <v>-4.0890000000000004</v>
      </c>
      <c r="CL22" s="862">
        <v>-4.5709999999999997</v>
      </c>
      <c r="CM22" s="862">
        <v>-4.109</v>
      </c>
      <c r="CN22" s="862"/>
      <c r="CO22" s="862">
        <f t="array" ref="CO22:CR22">TRANSPOSE('qtrP&amp;L'!CV90:CV93)</f>
        <v>-4.109</v>
      </c>
      <c r="CP22" s="862">
        <v>-4.109</v>
      </c>
      <c r="CQ22" s="862">
        <v>-4.109</v>
      </c>
      <c r="CR22" s="862">
        <v>-4.109</v>
      </c>
      <c r="CS22" s="862"/>
      <c r="CT22" s="862">
        <f>'yrP&amp;L'!C33</f>
        <v>-5.7289999999999992</v>
      </c>
      <c r="CU22" s="862">
        <f>'yrP&amp;L'!D33</f>
        <v>-5.016</v>
      </c>
      <c r="CV22" s="862">
        <f>'yrP&amp;L'!E33</f>
        <v>-3.5830000000000002</v>
      </c>
      <c r="CW22" s="862">
        <f>'yrP&amp;L'!F33</f>
        <v>3.1440000000000001</v>
      </c>
      <c r="CX22" s="862">
        <f>'yrP&amp;L'!G33</f>
        <v>7.2709999999999999</v>
      </c>
      <c r="CY22" s="862">
        <f>'yrP&amp;L'!H33</f>
        <v>7.8010000000000002</v>
      </c>
      <c r="CZ22" s="862">
        <f>'yrP&amp;L'!I33</f>
        <v>5.0640000000000001</v>
      </c>
      <c r="DA22" s="862">
        <f>'yrP&amp;L'!J33</f>
        <v>3.7690000000000001</v>
      </c>
      <c r="DB22" s="863">
        <f>'yrP&amp;L'!K33</f>
        <v>3.7080000000000002</v>
      </c>
      <c r="DC22" s="862">
        <f>'yrP&amp;L'!L33</f>
        <v>5.2149999999999999</v>
      </c>
      <c r="DD22" s="862">
        <f>'yrP&amp;L'!N33</f>
        <v>6.6719999999999997</v>
      </c>
      <c r="DE22" s="863">
        <f>'yrP&amp;L'!P33</f>
        <v>13.896000000000001</v>
      </c>
      <c r="DF22" s="862">
        <f>'yrP&amp;L'!R33</f>
        <v>18.827000000000002</v>
      </c>
      <c r="DG22" s="862">
        <f>'yrP&amp;L'!S33</f>
        <v>11.382000000000001</v>
      </c>
      <c r="DH22" s="862">
        <f>'yrP&amp;L'!T33</f>
        <v>1.5990000000000002</v>
      </c>
      <c r="DI22" s="863">
        <f>'yrP&amp;L'!U33</f>
        <v>-3.3609999999999998</v>
      </c>
      <c r="DJ22" s="863">
        <f>'yrP&amp;L'!V33</f>
        <v>-3.577</v>
      </c>
      <c r="DK22" s="862">
        <f>'yrP&amp;L'!W33</f>
        <v>-7.2879999999999994</v>
      </c>
      <c r="DL22" s="862">
        <f>'yrP&amp;L'!X33</f>
        <v>-7.5460000000000003</v>
      </c>
      <c r="DM22" s="862">
        <f>'yrP&amp;L'!Y33</f>
        <v>-14.365</v>
      </c>
      <c r="DN22" s="862">
        <f>'yrP&amp;L'!Z33</f>
        <v>-18.248000000000001</v>
      </c>
      <c r="DO22" s="862">
        <f>'yrP&amp;L'!AA33</f>
        <v>-18.666</v>
      </c>
      <c r="DP22" s="862">
        <f>'yrP&amp;L'!AB33</f>
        <v>-16.888999999999999</v>
      </c>
      <c r="DQ22" s="862">
        <f>'yrP&amp;L'!AC33</f>
        <v>-16.436</v>
      </c>
      <c r="DR22" s="862">
        <f>'yrP&amp;L'!AD33</f>
        <v>-16.436</v>
      </c>
      <c r="DS22" s="864">
        <f>'yrP&amp;L'!AE33</f>
        <v>-16.436</v>
      </c>
    </row>
    <row r="23" spans="1:130" ht="15" customHeight="1">
      <c r="A23" s="860" t="s">
        <v>52</v>
      </c>
      <c r="B23" s="860"/>
      <c r="C23" s="860"/>
      <c r="D23" s="860"/>
      <c r="E23" s="860"/>
      <c r="F23" s="860"/>
      <c r="G23" s="860"/>
      <c r="H23" s="860"/>
      <c r="I23" s="860"/>
      <c r="J23" s="860"/>
      <c r="K23" s="860"/>
      <c r="L23" s="860"/>
      <c r="M23" s="860"/>
      <c r="N23" s="860"/>
      <c r="O23" s="860"/>
      <c r="P23" s="860"/>
      <c r="Q23" s="860"/>
      <c r="R23" s="860"/>
      <c r="S23" s="860"/>
      <c r="T23" s="860"/>
      <c r="U23" s="860"/>
      <c r="V23" s="860"/>
      <c r="W23" s="860"/>
      <c r="X23" s="860"/>
      <c r="Y23" s="860"/>
      <c r="Z23" s="860"/>
      <c r="AA23" s="860"/>
      <c r="AB23" s="860"/>
      <c r="AC23" s="860"/>
      <c r="AD23" s="860"/>
      <c r="AE23" s="860"/>
      <c r="AF23" s="860"/>
      <c r="AG23" s="860">
        <f>'qtrP&amp;L'!$AZ$100</f>
        <v>2.121</v>
      </c>
      <c r="AH23" s="860">
        <f>'qtrP&amp;L'!$AZ$101</f>
        <v>3.0049999999999999</v>
      </c>
      <c r="AI23" s="860">
        <f>'qtrP&amp;L'!$AZ$102</f>
        <v>0.26600000000000001</v>
      </c>
      <c r="AJ23" s="860">
        <f>'qtrP&amp;L'!$AZ$103</f>
        <v>4.5919999999999996</v>
      </c>
      <c r="AK23" s="860"/>
      <c r="AL23" s="860">
        <f>'qtrP&amp;L'!$BD$100</f>
        <v>3.8540000000000001</v>
      </c>
      <c r="AM23" s="860">
        <f>'qtrP&amp;L'!$BD$101</f>
        <v>3.5510000000000002</v>
      </c>
      <c r="AN23" s="860">
        <f>'qtrP&amp;L'!$BD$102</f>
        <v>1.31</v>
      </c>
      <c r="AO23" s="860">
        <f>'qtrP&amp;L'!$BD$103</f>
        <v>3.0190000000000001</v>
      </c>
      <c r="AP23" s="860"/>
      <c r="AQ23" s="860">
        <f>'qtrP&amp;L'!$BH$100</f>
        <v>2.91</v>
      </c>
      <c r="AR23" s="860">
        <f>'qtrP&amp;L'!$BH$101</f>
        <v>0.745</v>
      </c>
      <c r="AS23" s="860">
        <f>'qtrP&amp;L'!$BH$102</f>
        <v>-0.307</v>
      </c>
      <c r="AT23" s="860">
        <f>'qtrP&amp;L'!$BH$103</f>
        <v>5.431</v>
      </c>
      <c r="AU23" s="860"/>
      <c r="AV23" s="860">
        <f>'qtrP&amp;L'!$BL$100</f>
        <v>1.3240000000000001</v>
      </c>
      <c r="AW23" s="860">
        <f>'qtrP&amp;L'!$BL$101</f>
        <v>3.3330000000000002</v>
      </c>
      <c r="AX23" s="860">
        <f>'qtrP&amp;L'!$BL$102</f>
        <v>1.609</v>
      </c>
      <c r="AY23" s="860">
        <f>'qtrP&amp;L'!$BL$103</f>
        <v>7.2679999999999998</v>
      </c>
      <c r="AZ23" s="860"/>
      <c r="BA23" s="860">
        <f>'qtrP&amp;L'!$BP100</f>
        <v>0.91400000000000003</v>
      </c>
      <c r="BB23" s="860">
        <f>'qtrP&amp;L'!$BP$101</f>
        <v>1.9</v>
      </c>
      <c r="BC23" s="860">
        <f>'qtrP&amp;L'!$BP$102</f>
        <v>1.6919999999999999</v>
      </c>
      <c r="BD23" s="860">
        <f>'qtrP&amp;L'!$BP$103</f>
        <v>5.5490000000000004</v>
      </c>
      <c r="BE23" s="860"/>
      <c r="BF23" s="860">
        <f>'qtrP&amp;L'!$BT100</f>
        <v>2.4330000000000003</v>
      </c>
      <c r="BG23" s="860">
        <f>'qtrP&amp;L'!$BT101</f>
        <v>-0.7430000000000001</v>
      </c>
      <c r="BH23" s="860">
        <f>'qtrP&amp;L'!$BT102</f>
        <v>2.6560000000000001</v>
      </c>
      <c r="BI23" s="862">
        <f>'qtrP&amp;L'!$BT103</f>
        <v>5.6230000000000011</v>
      </c>
      <c r="BJ23" s="862"/>
      <c r="BK23" s="860">
        <f>'qtrP&amp;L'!$BX100</f>
        <v>2.5840000000000001</v>
      </c>
      <c r="BL23" s="860">
        <f>'qtrP&amp;L'!$BX101</f>
        <v>1.9330000000000001</v>
      </c>
      <c r="BM23" s="860">
        <f>'qtrP&amp;L'!$BX102</f>
        <v>1.1539999999999999</v>
      </c>
      <c r="BN23" s="862">
        <f>'qtrP&amp;L'!$BX103</f>
        <v>13.661999999999999</v>
      </c>
      <c r="BO23" s="862"/>
      <c r="BP23" s="862">
        <f>'qtrP&amp;L'!CB100</f>
        <v>0.81799999999999995</v>
      </c>
      <c r="BQ23" s="862">
        <f>'qtrP&amp;L'!CB101</f>
        <v>4.4109999999999996</v>
      </c>
      <c r="BR23" s="862">
        <f>'qtrP&amp;L'!CB102</f>
        <v>9.8510000000000009</v>
      </c>
      <c r="BS23" s="862">
        <f>'qtrP&amp;L'!CB103</f>
        <v>7.9939999999999998</v>
      </c>
      <c r="BT23" s="862"/>
      <c r="BU23" s="862">
        <f>'qtrP&amp;L'!CF100</f>
        <v>3.6</v>
      </c>
      <c r="BV23" s="862">
        <f>'qtrP&amp;L'!CF101</f>
        <v>4.29</v>
      </c>
      <c r="BW23" s="862">
        <f>'qtrP&amp;L'!CF102</f>
        <v>1.534</v>
      </c>
      <c r="BX23" s="862">
        <f>'qtrP&amp;L'!CF103</f>
        <v>5.8</v>
      </c>
      <c r="BY23" s="862"/>
      <c r="BZ23" s="862">
        <f>'qtrP&amp;L'!CJ100</f>
        <v>1.96</v>
      </c>
      <c r="CA23" s="862">
        <f>'qtrP&amp;L'!CJ101</f>
        <v>1.139</v>
      </c>
      <c r="CB23" s="862">
        <f>'qtrP&amp;L'!CJ102</f>
        <v>3.919</v>
      </c>
      <c r="CC23" s="862">
        <f>'qtrP&amp;L'!CJ103</f>
        <v>1.6339999999999999</v>
      </c>
      <c r="CD23" s="862"/>
      <c r="CE23" s="862">
        <f>'qtrP&amp;L'!CN100</f>
        <v>2.9329999999999998</v>
      </c>
      <c r="CF23" s="862">
        <f>'qtrP&amp;L'!CN101</f>
        <v>0.79800000000000004</v>
      </c>
      <c r="CG23" s="862">
        <f>'qtrP&amp;L'!CN102</f>
        <v>0.82199999999999995</v>
      </c>
      <c r="CH23" s="862">
        <f>'qtrP&amp;L'!CN103</f>
        <v>9.3770000000000007</v>
      </c>
      <c r="CI23" s="862"/>
      <c r="CJ23" s="862">
        <f t="array" ref="CJ23:CM23">TRANSPOSE('qtrP&amp;L'!CR100:CR103)</f>
        <v>0.95599999999999996</v>
      </c>
      <c r="CK23" s="862">
        <v>2.7989999999999999</v>
      </c>
      <c r="CL23" s="862">
        <v>7.0000000000000007E-2</v>
      </c>
      <c r="CM23" s="862">
        <v>12.382999999999999</v>
      </c>
      <c r="CN23" s="862"/>
      <c r="CO23" s="862">
        <f t="array" ref="CO23:CR23">TRANSPOSE('qtrP&amp;L'!CV100:CV103)</f>
        <v>1</v>
      </c>
      <c r="CP23" s="862">
        <v>1</v>
      </c>
      <c r="CQ23" s="862">
        <v>1</v>
      </c>
      <c r="CR23" s="862">
        <v>1</v>
      </c>
      <c r="CS23" s="862"/>
      <c r="CT23" s="862"/>
      <c r="CU23" s="862"/>
      <c r="CV23" s="862"/>
      <c r="CW23" s="862"/>
      <c r="CX23" s="862"/>
      <c r="CY23" s="862"/>
      <c r="CZ23" s="862"/>
      <c r="DA23" s="862">
        <f>'yrP&amp;L'!J36</f>
        <v>0.55900000000000005</v>
      </c>
      <c r="DB23" s="863">
        <f>'yrP&amp;L'!K36</f>
        <v>0.97900000000000009</v>
      </c>
      <c r="DC23" s="862">
        <f>'yrP&amp;L'!L36</f>
        <v>4.49</v>
      </c>
      <c r="DD23" s="862">
        <f>'yrP&amp;L'!N36</f>
        <v>5.5250000000000004</v>
      </c>
      <c r="DE23" s="863">
        <f>'yrP&amp;L'!P36</f>
        <v>9.9830000000000005</v>
      </c>
      <c r="DF23" s="862">
        <f>'yrP&amp;L'!R36</f>
        <v>11.702</v>
      </c>
      <c r="DG23" s="862">
        <f>'yrP&amp;L'!S36</f>
        <v>8.7789999999999999</v>
      </c>
      <c r="DH23" s="862">
        <f>'yrP&amp;L'!T36</f>
        <v>13.533999999999999</v>
      </c>
      <c r="DI23" s="863">
        <f>'yrP&amp;L'!U36</f>
        <v>10.055</v>
      </c>
      <c r="DJ23" s="863">
        <f>'yrP&amp;L'!V36</f>
        <v>9.9690000000000012</v>
      </c>
      <c r="DK23" s="862">
        <f>'yrP&amp;L'!W36</f>
        <v>19.332999999999998</v>
      </c>
      <c r="DL23" s="862">
        <f>'yrP&amp;L'!X36</f>
        <v>23.073999999999998</v>
      </c>
      <c r="DM23" s="862">
        <f>'yrP&amp;L'!Y36</f>
        <v>15.224</v>
      </c>
      <c r="DN23" s="862">
        <f>'yrP&amp;L'!Z36</f>
        <v>8.652000000000001</v>
      </c>
      <c r="DO23" s="862">
        <f>'yrP&amp;L'!AA36</f>
        <v>13.93</v>
      </c>
      <c r="DP23" s="862">
        <f>'yrP&amp;L'!AB36</f>
        <v>16.207999999999998</v>
      </c>
      <c r="DQ23" s="862">
        <f>'yrP&amp;L'!AC36</f>
        <v>4</v>
      </c>
      <c r="DR23" s="862">
        <f>'yrP&amp;L'!AD36</f>
        <v>4</v>
      </c>
      <c r="DS23" s="864">
        <f>'yrP&amp;L'!AE36</f>
        <v>4</v>
      </c>
    </row>
    <row r="24" spans="1:130">
      <c r="A24" s="860" t="s">
        <v>294</v>
      </c>
      <c r="B24" s="854"/>
      <c r="C24" s="854">
        <f>C20+C22</f>
        <v>24.930999999999997</v>
      </c>
      <c r="D24" s="854">
        <f>D20+D22</f>
        <v>31.441000000000003</v>
      </c>
      <c r="E24" s="854">
        <f>E20+E22</f>
        <v>65.093999999999994</v>
      </c>
      <c r="F24" s="854">
        <f>F20+F22</f>
        <v>127.86900000000001</v>
      </c>
      <c r="G24" s="854"/>
      <c r="H24" s="854">
        <f>H20+H22</f>
        <v>26.942999999999991</v>
      </c>
      <c r="I24" s="854">
        <f>I20+I22</f>
        <v>35.263000000000012</v>
      </c>
      <c r="J24" s="854">
        <f>J20+J22</f>
        <v>72.652000000000015</v>
      </c>
      <c r="K24" s="854">
        <f>K20+K22</f>
        <v>126.59500000000001</v>
      </c>
      <c r="L24" s="854"/>
      <c r="M24" s="854">
        <f>M20+M22</f>
        <v>37.404999999999959</v>
      </c>
      <c r="N24" s="854">
        <f>N20+N22</f>
        <v>49.681999999999967</v>
      </c>
      <c r="O24" s="854">
        <f>O20+O22</f>
        <v>76.417000000000016</v>
      </c>
      <c r="P24" s="854">
        <f>P20+P22</f>
        <v>152.02099999999996</v>
      </c>
      <c r="Q24" s="854"/>
      <c r="R24" s="854">
        <f>R20+R22</f>
        <v>41.484999999999971</v>
      </c>
      <c r="S24" s="854">
        <f>S20+S22</f>
        <v>55.84800000000002</v>
      </c>
      <c r="T24" s="854">
        <f>T20+T22</f>
        <v>81.147999999999939</v>
      </c>
      <c r="U24" s="854">
        <f>U20+U22</f>
        <v>155.42800000000003</v>
      </c>
      <c r="V24" s="854"/>
      <c r="W24" s="854">
        <f>W20+W22</f>
        <v>47.61</v>
      </c>
      <c r="X24" s="854">
        <f>X20+X22</f>
        <v>70.057000000000045</v>
      </c>
      <c r="Y24" s="854">
        <f>Y20+Y22</f>
        <v>96.436000000000078</v>
      </c>
      <c r="Z24" s="854">
        <f>Z20+Z22</f>
        <v>167.15700000000007</v>
      </c>
      <c r="AA24" s="854"/>
      <c r="AB24" s="854">
        <f>AB20+AB22</f>
        <v>69.102999999999923</v>
      </c>
      <c r="AC24" s="854">
        <f>AC20+AC22</f>
        <v>91.238999999999976</v>
      </c>
      <c r="AD24" s="854">
        <f>AD20+AD22</f>
        <v>129.511</v>
      </c>
      <c r="AE24" s="854">
        <f>AE20+AE22</f>
        <v>267.52300000000008</v>
      </c>
      <c r="AF24" s="854"/>
      <c r="AG24" s="854">
        <f>AG20+AG22+AG23</f>
        <v>87.150999999999968</v>
      </c>
      <c r="AH24" s="854">
        <f>AH20+AH22+AH23</f>
        <v>105.19399999999997</v>
      </c>
      <c r="AI24" s="854">
        <f>AI20+AI22+AI23</f>
        <v>166.09299999999993</v>
      </c>
      <c r="AJ24" s="854">
        <f>AJ20+AJ22+AJ23</f>
        <v>313.548</v>
      </c>
      <c r="AK24" s="854"/>
      <c r="AL24" s="854">
        <f>AL20+AL22+AL23</f>
        <v>96.420999999999992</v>
      </c>
      <c r="AM24" s="854">
        <f>AM20+AM22+AM23</f>
        <v>128.27500000000001</v>
      </c>
      <c r="AN24" s="854">
        <f>AN20+AN22+AN23</f>
        <v>191.20499999999993</v>
      </c>
      <c r="AO24" s="854">
        <f>AO20+AO22+AO23</f>
        <v>343.42400000000009</v>
      </c>
      <c r="AP24" s="854"/>
      <c r="AQ24" s="854">
        <f>AQ20+AQ22+AQ23</f>
        <v>106.55000000000003</v>
      </c>
      <c r="AR24" s="854">
        <f>AR20+AR22+AR23</f>
        <v>134.59800000000001</v>
      </c>
      <c r="AS24" s="854">
        <f>AS20+AS22+AS23</f>
        <v>110.27900000000007</v>
      </c>
      <c r="AT24" s="854">
        <f>AT20+AT22+AT23</f>
        <v>158.21799999999996</v>
      </c>
      <c r="AU24" s="854"/>
      <c r="AV24" s="854">
        <f>AV20+AV22+AV23</f>
        <v>-32.504999999999917</v>
      </c>
      <c r="AW24" s="854">
        <f>AW20+AW22+AW23</f>
        <v>10.664999999999997</v>
      </c>
      <c r="AX24" s="854">
        <f>AX20+AX22+AX23</f>
        <v>47.00599999999995</v>
      </c>
      <c r="AY24" s="854">
        <f>AY20+AY22+AY23</f>
        <v>127.54399999999991</v>
      </c>
      <c r="AZ24" s="854"/>
      <c r="BA24" s="854">
        <f>BA20+BA22+BA23</f>
        <v>-19.537000000000031</v>
      </c>
      <c r="BB24" s="854">
        <f>BB20+BB22+BB23</f>
        <v>28.952999999999957</v>
      </c>
      <c r="BC24" s="854">
        <f>BC20+BC22+BC23</f>
        <v>77.706000000000046</v>
      </c>
      <c r="BD24" s="854">
        <f>BD20+BD22+BD23</f>
        <v>196.0479999999998</v>
      </c>
      <c r="BE24" s="854"/>
      <c r="BF24" s="854">
        <f>BF20+BF22+BF23</f>
        <v>20.267000000000049</v>
      </c>
      <c r="BG24" s="854">
        <f>BG20+BG22+BG23</f>
        <v>41.413000000000075</v>
      </c>
      <c r="BH24" s="854">
        <f>BH20+BH22+BH23</f>
        <v>88.84999999999998</v>
      </c>
      <c r="BI24" s="855">
        <f>BI20+BI22+BI23</f>
        <v>192.35800000000015</v>
      </c>
      <c r="BJ24" s="855"/>
      <c r="BK24" s="854">
        <f>BK20+BK22+BK23</f>
        <v>-30.033999999999995</v>
      </c>
      <c r="BL24" s="854">
        <f>BL20+BL22+BL23</f>
        <v>23.460000000000093</v>
      </c>
      <c r="BM24" s="854">
        <f>BM20+BM22+BM23</f>
        <v>131.76099999999991</v>
      </c>
      <c r="BN24" s="855">
        <f>BN20+BN22+BN23</f>
        <v>249.15799999999996</v>
      </c>
      <c r="BO24" s="855"/>
      <c r="BP24" s="855">
        <f>BP20+BP22+BP23</f>
        <v>-14.73100000000005</v>
      </c>
      <c r="BQ24" s="855">
        <f>BQ20+BQ22+BQ23</f>
        <v>19.989999999999952</v>
      </c>
      <c r="BR24" s="855">
        <f>BR20+BR22+BR23</f>
        <v>58.844000000000023</v>
      </c>
      <c r="BS24" s="855">
        <f>BS20+BS22+BS23</f>
        <v>152.04699999999991</v>
      </c>
      <c r="BT24" s="855"/>
      <c r="BU24" s="854">
        <f>BU20+BU22+BU23</f>
        <v>-17.89000000000005</v>
      </c>
      <c r="BV24" s="854">
        <f>BV20+BV22+BV23</f>
        <v>19.856000000000012</v>
      </c>
      <c r="BW24" s="854">
        <f>BW20+BW22+BW23</f>
        <v>48.062000000000019</v>
      </c>
      <c r="BX24" s="855">
        <f>BX20+BX22+BX23</f>
        <v>127.32000000000016</v>
      </c>
      <c r="BY24" s="855"/>
      <c r="BZ24" s="854">
        <f>BZ20+BZ22+BZ23</f>
        <v>-56.987599999999958</v>
      </c>
      <c r="CA24" s="854">
        <f>CA20+CA22+CA23</f>
        <v>11.920999999999989</v>
      </c>
      <c r="CB24" s="854">
        <f>CB20+CB22+CB23</f>
        <v>46.489999999999981</v>
      </c>
      <c r="CC24" s="855">
        <f>CC20+CC22+CC23</f>
        <v>116.8180000000001</v>
      </c>
      <c r="CD24" s="855"/>
      <c r="CE24" s="854">
        <f>CE20+CE22+CE23</f>
        <v>-59.417000000000051</v>
      </c>
      <c r="CF24" s="854">
        <f>CF20+CF22+CF23</f>
        <v>-21.471999999999994</v>
      </c>
      <c r="CG24" s="854">
        <f>CG20+CG22+CG23</f>
        <v>9.0360000000000351</v>
      </c>
      <c r="CH24" s="855">
        <f>CH20+CH22+CH23</f>
        <v>56.448999999999948</v>
      </c>
      <c r="CI24" s="855"/>
      <c r="CJ24" s="854">
        <f>CJ20+CJ22+CJ23</f>
        <v>-74.060999999999936</v>
      </c>
      <c r="CK24" s="854">
        <f>CK20+CK22+CK23</f>
        <v>-19.042999999999985</v>
      </c>
      <c r="CL24" s="854">
        <f>CL20+CL22+CL23</f>
        <v>32.718999999999916</v>
      </c>
      <c r="CM24" s="855">
        <f>CM20+CM22+CM23</f>
        <v>144.27699999999993</v>
      </c>
      <c r="CN24" s="855"/>
      <c r="CO24" s="854">
        <f>CO20+CO22+CO23</f>
        <v>-63.925439120005038</v>
      </c>
      <c r="CP24" s="854">
        <f>CP20+CP22+CP23</f>
        <v>-1.7776275733759999</v>
      </c>
      <c r="CQ24" s="854">
        <f>CQ20+CQ22+CQ23</f>
        <v>30.586696305439979</v>
      </c>
      <c r="CR24" s="855">
        <f>CR20+CR22+CR23</f>
        <v>79.232342936999927</v>
      </c>
      <c r="CS24" s="855"/>
      <c r="CT24" s="855">
        <f t="shared" ref="CT24:CZ24" si="7">CT20+CT22</f>
        <v>18.068999999999988</v>
      </c>
      <c r="CU24" s="855">
        <f t="shared" si="7"/>
        <v>40.977000000000025</v>
      </c>
      <c r="CV24" s="855">
        <f t="shared" si="7"/>
        <v>80.541999999999987</v>
      </c>
      <c r="CW24" s="855">
        <f t="shared" si="7"/>
        <v>170.10200000000003</v>
      </c>
      <c r="CX24" s="855">
        <f t="shared" si="7"/>
        <v>249.33499999999989</v>
      </c>
      <c r="CY24" s="855">
        <f t="shared" si="7"/>
        <v>261.45299999999997</v>
      </c>
      <c r="CZ24" s="855">
        <f t="shared" si="7"/>
        <v>276.52199999999999</v>
      </c>
      <c r="DA24" s="880">
        <f t="shared" ref="DA24:DN24" si="8">DA20+DA22+DA23</f>
        <v>316.08399999999978</v>
      </c>
      <c r="DB24" s="881">
        <f t="shared" si="8"/>
        <v>334.88800000000037</v>
      </c>
      <c r="DC24" s="880">
        <f t="shared" si="8"/>
        <v>385.74999999999994</v>
      </c>
      <c r="DD24" s="880">
        <f t="shared" si="8"/>
        <v>584.48900000000015</v>
      </c>
      <c r="DE24" s="881">
        <f t="shared" si="8"/>
        <v>711.88499999999976</v>
      </c>
      <c r="DF24" s="880">
        <f t="shared" si="8"/>
        <v>797.73700000000008</v>
      </c>
      <c r="DG24" s="880">
        <f t="shared" si="8"/>
        <v>513.64400000000001</v>
      </c>
      <c r="DH24" s="880">
        <f t="shared" si="8"/>
        <v>152.70999999999998</v>
      </c>
      <c r="DI24" s="881">
        <f t="shared" si="8"/>
        <v>248.41599999999977</v>
      </c>
      <c r="DJ24" s="881">
        <f>DJ20+DJ22+DJ23</f>
        <v>342.88800000000009</v>
      </c>
      <c r="DK24" s="880">
        <f t="shared" si="8"/>
        <v>374.3450000000006</v>
      </c>
      <c r="DL24" s="880">
        <f t="shared" si="8"/>
        <v>216.14999999999986</v>
      </c>
      <c r="DM24" s="880">
        <f>DM20+DM22+DM23</f>
        <v>177.34800000000001</v>
      </c>
      <c r="DN24" s="880">
        <f t="shared" si="8"/>
        <v>118.24140000000034</v>
      </c>
      <c r="DO24" s="880">
        <f>DO20+DO22+DO23</f>
        <v>-15.404000000000121</v>
      </c>
      <c r="DP24" s="880">
        <f>DP20+DP22+DP23</f>
        <v>83.892000000000095</v>
      </c>
      <c r="DQ24" s="2281">
        <f>DQ20+DQ22+DQ23</f>
        <v>44.115972549058519</v>
      </c>
      <c r="DR24" s="2281">
        <f>DR20+DR22+DR23</f>
        <v>39.37959601711956</v>
      </c>
      <c r="DS24" s="882">
        <f>DS20+DS22+DS23</f>
        <v>34.575744380650043</v>
      </c>
    </row>
    <row r="25" spans="1:130" ht="5.25" customHeight="1">
      <c r="A25" s="860"/>
      <c r="B25" s="883"/>
      <c r="C25" s="883"/>
      <c r="D25" s="883"/>
      <c r="E25" s="883"/>
      <c r="F25" s="883"/>
      <c r="G25" s="883"/>
      <c r="H25" s="883"/>
      <c r="I25" s="883"/>
      <c r="J25" s="883"/>
      <c r="K25" s="883"/>
      <c r="L25" s="883"/>
      <c r="M25" s="883"/>
      <c r="N25" s="883"/>
      <c r="O25" s="883"/>
      <c r="P25" s="883"/>
      <c r="Q25" s="883"/>
      <c r="R25" s="883"/>
      <c r="S25" s="883"/>
      <c r="T25" s="883"/>
      <c r="U25" s="883"/>
      <c r="V25" s="883"/>
      <c r="W25" s="883"/>
      <c r="X25" s="883"/>
      <c r="Y25" s="883"/>
      <c r="Z25" s="883"/>
      <c r="AA25" s="883"/>
      <c r="AB25" s="883"/>
      <c r="AC25" s="883"/>
      <c r="AD25" s="883"/>
      <c r="AE25" s="883"/>
      <c r="AF25" s="883"/>
      <c r="AG25" s="883"/>
      <c r="AH25" s="883"/>
      <c r="AI25" s="883"/>
      <c r="AJ25" s="883"/>
      <c r="AK25" s="883"/>
      <c r="AL25" s="883"/>
      <c r="AM25" s="883"/>
      <c r="AN25" s="883"/>
      <c r="AO25" s="883"/>
      <c r="AP25" s="883"/>
      <c r="AQ25" s="883"/>
      <c r="AR25" s="883"/>
      <c r="AS25" s="883"/>
      <c r="AT25" s="883"/>
      <c r="AU25" s="883"/>
      <c r="AV25" s="883"/>
      <c r="AW25" s="883"/>
      <c r="AX25" s="883"/>
      <c r="AY25" s="883"/>
      <c r="AZ25" s="883"/>
      <c r="BA25" s="883"/>
      <c r="BB25" s="883"/>
      <c r="BC25" s="883"/>
      <c r="BD25" s="883"/>
      <c r="BE25" s="883"/>
      <c r="BF25" s="883"/>
      <c r="BG25" s="883"/>
      <c r="BH25" s="883"/>
      <c r="BI25" s="884"/>
      <c r="BJ25" s="884"/>
      <c r="BK25" s="883"/>
      <c r="BL25" s="883"/>
      <c r="BM25" s="883"/>
      <c r="BN25" s="884"/>
      <c r="BO25" s="884"/>
      <c r="BP25" s="884"/>
      <c r="BQ25" s="884"/>
      <c r="BR25" s="884"/>
      <c r="BS25" s="884"/>
      <c r="BT25" s="884"/>
      <c r="BU25" s="884"/>
      <c r="BV25" s="884"/>
      <c r="BW25" s="884"/>
      <c r="BX25" s="884"/>
      <c r="BY25" s="884"/>
      <c r="BZ25" s="884"/>
      <c r="CA25" s="884"/>
      <c r="CB25" s="884"/>
      <c r="CC25" s="884"/>
      <c r="CD25" s="884"/>
      <c r="CE25" s="884"/>
      <c r="CF25" s="884"/>
      <c r="CG25" s="884"/>
      <c r="CH25" s="884"/>
      <c r="CI25" s="884"/>
      <c r="CJ25" s="884"/>
      <c r="CK25" s="884"/>
      <c r="CL25" s="884"/>
      <c r="CM25" s="884"/>
      <c r="CN25" s="884"/>
      <c r="CO25" s="884"/>
      <c r="CP25" s="884"/>
      <c r="CQ25" s="884"/>
      <c r="CR25" s="884"/>
      <c r="CS25" s="884"/>
      <c r="CT25" s="884"/>
      <c r="CU25" s="884"/>
      <c r="CV25" s="884"/>
      <c r="CW25" s="884"/>
      <c r="CX25" s="884"/>
      <c r="CY25" s="884"/>
      <c r="CZ25" s="884"/>
      <c r="DA25" s="884"/>
      <c r="DB25" s="885"/>
      <c r="DC25" s="884"/>
      <c r="DD25" s="884"/>
      <c r="DE25" s="885"/>
      <c r="DF25" s="884"/>
      <c r="DG25" s="884"/>
      <c r="DH25" s="884"/>
      <c r="DI25" s="885"/>
      <c r="DJ25" s="885"/>
      <c r="DK25" s="884"/>
      <c r="DL25" s="884"/>
      <c r="DM25" s="884"/>
      <c r="DN25" s="884"/>
      <c r="DO25" s="884"/>
      <c r="DP25" s="884"/>
      <c r="DQ25" s="884"/>
      <c r="DR25" s="884"/>
      <c r="DS25" s="886"/>
    </row>
    <row r="26" spans="1:130" ht="13.5" customHeight="1">
      <c r="A26" s="860" t="s">
        <v>295</v>
      </c>
      <c r="B26" s="860"/>
      <c r="C26" s="860">
        <f>'qtrP&amp;L'!$X120</f>
        <v>9.968</v>
      </c>
      <c r="D26" s="860">
        <f>'qtrP&amp;L'!$X121</f>
        <v>12.583</v>
      </c>
      <c r="E26" s="860">
        <f>'qtrP&amp;L'!$X122</f>
        <v>26.035</v>
      </c>
      <c r="F26" s="860">
        <f>'qtrP&amp;L'!$X123</f>
        <v>51.147600000000011</v>
      </c>
      <c r="G26" s="860"/>
      <c r="H26" s="860">
        <f>'qtrP&amp;L'!$AB$120</f>
        <v>10.78</v>
      </c>
      <c r="I26" s="860">
        <f>'qtrP&amp;L'!$AB121</f>
        <v>14.1</v>
      </c>
      <c r="J26" s="860">
        <f>'qtrP&amp;L'!$AB122</f>
        <v>29.06</v>
      </c>
      <c r="K26" s="860">
        <f>'qtrP&amp;L'!$AB123</f>
        <v>49.38</v>
      </c>
      <c r="L26" s="860"/>
      <c r="M26" s="860">
        <f>'qtrP&amp;L'!$AJ$120</f>
        <v>14.446999999999999</v>
      </c>
      <c r="N26" s="860">
        <f>'qtrP&amp;L'!$AJ121</f>
        <v>18.952999999999999</v>
      </c>
      <c r="O26" s="860">
        <f>'qtrP&amp;L'!$AJ122</f>
        <v>29.335999999999999</v>
      </c>
      <c r="P26" s="860">
        <f>'qtrP&amp;L'!$AJ123</f>
        <v>58.594000000000001</v>
      </c>
      <c r="Q26" s="860"/>
      <c r="R26" s="860">
        <f>'qtrP&amp;L'!$AN$120</f>
        <v>15.885999999999999</v>
      </c>
      <c r="S26" s="860">
        <f>'qtrP&amp;L'!$AN121</f>
        <v>21.466999999999999</v>
      </c>
      <c r="T26" s="860">
        <f>'qtrP&amp;L'!$AN122</f>
        <v>31.401</v>
      </c>
      <c r="U26" s="860">
        <f>'qtrP&amp;L'!$AN123</f>
        <v>61.304000000000002</v>
      </c>
      <c r="V26" s="860"/>
      <c r="W26" s="860">
        <f>+'qtrP&amp;L'!$AR$120</f>
        <v>18.39</v>
      </c>
      <c r="X26" s="860">
        <f>+'qtrP&amp;L'!$AR$121</f>
        <v>27.231999999999999</v>
      </c>
      <c r="Y26" s="860">
        <f>+'qtrP&amp;L'!$AR$122</f>
        <v>35.840000000000003</v>
      </c>
      <c r="Z26" s="860">
        <f>+'qtrP&amp;L'!$AR$123</f>
        <v>67.213999999999999</v>
      </c>
      <c r="AA26" s="860"/>
      <c r="AB26" s="860">
        <f>+'qtrP&amp;L'!$AV$120</f>
        <v>29.15</v>
      </c>
      <c r="AC26" s="860">
        <f>+'qtrP&amp;L'!$AV$121</f>
        <v>35.246000000000002</v>
      </c>
      <c r="AD26" s="860">
        <f>+'qtrP&amp;L'!$AV$122</f>
        <v>51.055</v>
      </c>
      <c r="AE26" s="860">
        <f>+'qtrP&amp;L'!$AV$123</f>
        <v>105.24</v>
      </c>
      <c r="AF26" s="860"/>
      <c r="AG26" s="860">
        <f>'qtrP&amp;L'!AZ120</f>
        <v>30.911000000000001</v>
      </c>
      <c r="AH26" s="860">
        <f>'qtrP&amp;L'!AZ121</f>
        <v>39.472000000000001</v>
      </c>
      <c r="AI26" s="860">
        <f>'qtrP&amp;L'!AZ122</f>
        <v>64.061999999999998</v>
      </c>
      <c r="AJ26" s="860">
        <f>'qtrP&amp;L'!AZ123</f>
        <v>115.35599999999999</v>
      </c>
      <c r="AK26" s="860"/>
      <c r="AL26" s="860">
        <f>'qtrP&amp;L'!BD120</f>
        <v>36.340000000000003</v>
      </c>
      <c r="AM26" s="860">
        <f>'qtrP&amp;L'!BD121</f>
        <v>47</v>
      </c>
      <c r="AN26" s="860">
        <f>'qtrP&amp;L'!BD122</f>
        <v>73.62</v>
      </c>
      <c r="AO26" s="860">
        <f>'qtrP&amp;L'!BD123</f>
        <v>126.66800000000001</v>
      </c>
      <c r="AP26" s="860"/>
      <c r="AQ26" s="860">
        <f>'qtrP&amp;L'!BH120</f>
        <v>39.380000000000003</v>
      </c>
      <c r="AR26" s="860">
        <f>'qtrP&amp;L'!BH121</f>
        <v>51.360999999999997</v>
      </c>
      <c r="AS26" s="860">
        <f>'qtrP&amp;L'!BH122</f>
        <v>40.536000000000001</v>
      </c>
      <c r="AT26" s="860">
        <f>'qtrP&amp;L'!BH123</f>
        <v>70.197000000000003</v>
      </c>
      <c r="AU26" s="860"/>
      <c r="AV26" s="860">
        <f>'qtrP&amp;L'!$BL$120</f>
        <v>-9.4</v>
      </c>
      <c r="AW26" s="860">
        <f>'qtrP&amp;L'!$BL$121</f>
        <v>18.856000000000002</v>
      </c>
      <c r="AX26" s="860">
        <f>'qtrP&amp;L'!$BL$122</f>
        <v>-2.2170000000000001</v>
      </c>
      <c r="AY26" s="860">
        <f>'qtrP&amp;L'!$BL$123</f>
        <v>46.599000000000004</v>
      </c>
      <c r="AZ26" s="860"/>
      <c r="BA26" s="860">
        <f>'qtrP&amp;L'!$BP120</f>
        <v>-7.7089999999999996</v>
      </c>
      <c r="BB26" s="860">
        <f>'qtrP&amp;L'!$BP$121</f>
        <v>7.68628</v>
      </c>
      <c r="BC26" s="860">
        <f>'qtrP&amp;L'!$BP$122</f>
        <v>27.666</v>
      </c>
      <c r="BD26" s="860">
        <f>'qtrP&amp;L'!$BP$123</f>
        <v>72.002690799999996</v>
      </c>
      <c r="BE26" s="860"/>
      <c r="BF26" s="860">
        <f>'qtrP&amp;L'!$BT120</f>
        <v>7.468</v>
      </c>
      <c r="BG26" s="860">
        <f>'qtrP&amp;L'!$BT121</f>
        <v>13.493</v>
      </c>
      <c r="BH26" s="860">
        <f>'qtrP&amp;L'!$BT122</f>
        <v>32.057000000000002</v>
      </c>
      <c r="BI26" s="862">
        <f>'qtrP&amp;L'!$BT123</f>
        <v>67.793999999999997</v>
      </c>
      <c r="BJ26" s="862"/>
      <c r="BK26" s="860">
        <f>'qtrP&amp;L'!$BX120</f>
        <v>-8.7289999999999992</v>
      </c>
      <c r="BL26" s="860">
        <f>'qtrP&amp;L'!$BX121</f>
        <v>6.4089999999999998</v>
      </c>
      <c r="BM26" s="860">
        <f>'qtrP&amp;L'!$BX122</f>
        <v>47.725000000000001</v>
      </c>
      <c r="BN26" s="862">
        <f>'qtrP&amp;L'!$BX123</f>
        <v>87.343999999999994</v>
      </c>
      <c r="BO26" s="862"/>
      <c r="BP26" s="862">
        <f>'qtrP&amp;L'!CB120</f>
        <v>-8.3460000000000001</v>
      </c>
      <c r="BQ26" s="862">
        <f>'qtrP&amp;L'!CB121</f>
        <v>6.9749999999999996</v>
      </c>
      <c r="BR26" s="862">
        <f>'qtrP&amp;L'!CB122</f>
        <v>18.198999999999998</v>
      </c>
      <c r="BS26" s="862">
        <f>'qtrP&amp;L'!CB123</f>
        <v>47.783999999999999</v>
      </c>
      <c r="BT26" s="862"/>
      <c r="BU26" s="862">
        <f>'qtrP&amp;L'!CF120</f>
        <v>-4.9260000000000002</v>
      </c>
      <c r="BV26" s="862">
        <f>'qtrP&amp;L'!CF121</f>
        <v>5.7939999999999996</v>
      </c>
      <c r="BW26" s="862">
        <f>'qtrP&amp;L'!CF122</f>
        <v>17.655999999999999</v>
      </c>
      <c r="BX26" s="862">
        <f>'qtrP&amp;L'!CF123</f>
        <v>46.494999999999997</v>
      </c>
      <c r="BY26" s="862"/>
      <c r="BZ26" s="862">
        <f>'qtrP&amp;L'!CJ120</f>
        <v>-19.808</v>
      </c>
      <c r="CA26" s="862">
        <f>'qtrP&amp;L'!CJ121</f>
        <v>1.9019999999999999</v>
      </c>
      <c r="CB26" s="862">
        <f>'qtrP&amp;L'!CJ122</f>
        <v>13.178999999999998</v>
      </c>
      <c r="CC26" s="862">
        <f>'qtrP&amp;L'!CJ123</f>
        <v>41.944000000000003</v>
      </c>
      <c r="CD26" s="862"/>
      <c r="CE26" s="862">
        <f>'qtrP&amp;L'!CN120</f>
        <v>-20.786999999999999</v>
      </c>
      <c r="CF26" s="862">
        <f>'qtrP&amp;L'!CN121</f>
        <v>-5.7619999999999996</v>
      </c>
      <c r="CG26" s="862">
        <f>'qtrP&amp;L'!CN122</f>
        <v>7.2409999999999997</v>
      </c>
      <c r="CH26" s="862">
        <f>'qtrP&amp;L'!CN123</f>
        <v>4.2119999999999997</v>
      </c>
      <c r="CI26" s="862"/>
      <c r="CJ26" s="862">
        <f t="array" ref="CJ26:CM26">TRANSPOSE('qtrP&amp;L'!CR120:CR123)</f>
        <v>-13.052</v>
      </c>
      <c r="CK26" s="862">
        <v>-8.9529999999999994</v>
      </c>
      <c r="CL26" s="862">
        <v>11.67</v>
      </c>
      <c r="CM26" s="862">
        <v>45.790999999999997</v>
      </c>
      <c r="CN26" s="862"/>
      <c r="CO26" s="862">
        <f t="array" ref="CO26:CR26">TRANSPOSE('qtrP&amp;L'!CV120:CV123)</f>
        <v>-6.3925439120005043</v>
      </c>
      <c r="CP26" s="862">
        <v>-0.51551199627903987</v>
      </c>
      <c r="CQ26" s="862">
        <v>8.2584080024687943</v>
      </c>
      <c r="CR26" s="862">
        <v>21.392732592989983</v>
      </c>
      <c r="CS26" s="862"/>
      <c r="CT26" s="862">
        <f>'yrP&amp;L'!C42</f>
        <v>7.23</v>
      </c>
      <c r="CU26" s="862">
        <f>'yrP&amp;L'!D42</f>
        <v>16.399999999999999</v>
      </c>
      <c r="CV26" s="862">
        <f>'yrP&amp;L'!E42</f>
        <v>32.22</v>
      </c>
      <c r="CW26" s="862">
        <f>'yrP&amp;L'!F42</f>
        <v>68.039999999999992</v>
      </c>
      <c r="CX26" s="862">
        <f>'yrP&amp;L'!G42</f>
        <v>99.73360000000001</v>
      </c>
      <c r="CY26" s="862">
        <f>'yrP&amp;L'!H42</f>
        <v>103.32</v>
      </c>
      <c r="CZ26" s="862">
        <f>'yrP&amp;L'!I42</f>
        <v>107.85</v>
      </c>
      <c r="DA26" s="862">
        <f>'yrP&amp;L'!J42</f>
        <v>121.33</v>
      </c>
      <c r="DB26" s="863">
        <f>'yrP&amp;L'!K42</f>
        <v>130.05799999999999</v>
      </c>
      <c r="DC26" s="862">
        <f>'yrP&amp;L'!L42</f>
        <v>148.67599999999999</v>
      </c>
      <c r="DD26" s="862">
        <f>'yrP&amp;L'!N42</f>
        <v>229.107</v>
      </c>
      <c r="DE26" s="863">
        <f>'yrP&amp;L'!P42</f>
        <v>265.36099999999999</v>
      </c>
      <c r="DF26" s="862">
        <f>'yrP&amp;L'!R42</f>
        <v>298.61</v>
      </c>
      <c r="DG26" s="862">
        <f>'yrP&amp;L'!S42</f>
        <v>200.47399999999999</v>
      </c>
      <c r="DH26" s="862">
        <f>'yrP&amp;L'!T42</f>
        <v>53.838000000000008</v>
      </c>
      <c r="DI26" s="863">
        <f>'yrP&amp;L'!U42</f>
        <v>60.108999999999995</v>
      </c>
      <c r="DJ26" s="863">
        <f>'yrP&amp;L'!V42</f>
        <v>120.812</v>
      </c>
      <c r="DK26" s="862">
        <f>'yrP&amp;L'!W42</f>
        <v>132.749</v>
      </c>
      <c r="DL26" s="862">
        <f>'yrP&amp;L'!X42</f>
        <v>64.611999999999995</v>
      </c>
      <c r="DM26" s="862">
        <f>'yrP&amp;L'!Y42</f>
        <v>65.018999999999991</v>
      </c>
      <c r="DN26" s="862">
        <f>'yrP&amp;L'!Z42</f>
        <v>37.216999999999999</v>
      </c>
      <c r="DO26" s="862">
        <f>'yrP&amp;L'!AA42</f>
        <v>-15.096</v>
      </c>
      <c r="DP26" s="862">
        <f>'yrP&amp;L'!AB42</f>
        <v>35.455999999999996</v>
      </c>
      <c r="DQ26" s="862">
        <f>'yrP&amp;L'!AC42</f>
        <v>22.743084687179234</v>
      </c>
      <c r="DR26" s="862">
        <f>'yrP&amp;L'!AD42</f>
        <v>10.632490924622282</v>
      </c>
      <c r="DS26" s="864">
        <f>'yrP&amp;L'!AE42</f>
        <v>9.3354509827755123</v>
      </c>
    </row>
    <row r="27" spans="1:130" ht="4.5" customHeight="1">
      <c r="A27" s="801"/>
      <c r="B27" s="883"/>
      <c r="C27" s="883"/>
      <c r="D27" s="883"/>
      <c r="E27" s="883"/>
      <c r="F27" s="883"/>
      <c r="G27" s="883"/>
      <c r="H27" s="883"/>
      <c r="I27" s="883"/>
      <c r="J27" s="883"/>
      <c r="K27" s="883"/>
      <c r="L27" s="883"/>
      <c r="M27" s="883"/>
      <c r="N27" s="883"/>
      <c r="O27" s="883"/>
      <c r="P27" s="883"/>
      <c r="Q27" s="883"/>
      <c r="R27" s="883"/>
      <c r="S27" s="883"/>
      <c r="T27" s="883"/>
      <c r="U27" s="883"/>
      <c r="V27" s="883"/>
      <c r="W27" s="883"/>
      <c r="X27" s="883"/>
      <c r="Y27" s="883"/>
      <c r="Z27" s="883"/>
      <c r="AA27" s="883"/>
      <c r="AB27" s="883"/>
      <c r="AC27" s="883"/>
      <c r="AD27" s="883"/>
      <c r="AE27" s="883"/>
      <c r="AF27" s="883"/>
      <c r="AG27" s="883"/>
      <c r="AH27" s="883"/>
      <c r="AI27" s="883"/>
      <c r="AJ27" s="883"/>
      <c r="AK27" s="883"/>
      <c r="AL27" s="883"/>
      <c r="AM27" s="883"/>
      <c r="AN27" s="883"/>
      <c r="AO27" s="883"/>
      <c r="AP27" s="883"/>
      <c r="AQ27" s="883"/>
      <c r="AR27" s="883"/>
      <c r="AS27" s="883"/>
      <c r="AT27" s="883"/>
      <c r="AU27" s="883"/>
      <c r="AV27" s="883"/>
      <c r="AW27" s="883"/>
      <c r="AX27" s="883"/>
      <c r="AY27" s="883"/>
      <c r="AZ27" s="883"/>
      <c r="BA27" s="883"/>
      <c r="BB27" s="883"/>
      <c r="BC27" s="883"/>
      <c r="BD27" s="883"/>
      <c r="BE27" s="883"/>
      <c r="BF27" s="883"/>
      <c r="BG27" s="883"/>
      <c r="BH27" s="883"/>
      <c r="BI27" s="884"/>
      <c r="BJ27" s="884"/>
      <c r="BK27" s="883"/>
      <c r="BL27" s="883"/>
      <c r="BM27" s="883"/>
      <c r="BN27" s="884"/>
      <c r="BO27" s="884"/>
      <c r="BP27" s="884"/>
      <c r="BQ27" s="884"/>
      <c r="BR27" s="884"/>
      <c r="BS27" s="884"/>
      <c r="BT27" s="884"/>
      <c r="BU27" s="884"/>
      <c r="BV27" s="884"/>
      <c r="BW27" s="884"/>
      <c r="BX27" s="884"/>
      <c r="BY27" s="884"/>
      <c r="BZ27" s="884"/>
      <c r="CA27" s="884"/>
      <c r="CB27" s="884"/>
      <c r="CC27" s="884"/>
      <c r="CD27" s="884"/>
      <c r="CE27" s="884"/>
      <c r="CF27" s="884"/>
      <c r="CG27" s="884"/>
      <c r="CH27" s="884"/>
      <c r="CI27" s="884"/>
      <c r="CJ27" s="884"/>
      <c r="CK27" s="884"/>
      <c r="CL27" s="884"/>
      <c r="CM27" s="884"/>
      <c r="CN27" s="884"/>
      <c r="CO27" s="884"/>
      <c r="CP27" s="884"/>
      <c r="CQ27" s="884"/>
      <c r="CR27" s="884"/>
      <c r="CS27" s="884"/>
      <c r="CT27" s="884"/>
      <c r="CU27" s="884"/>
      <c r="CV27" s="884"/>
      <c r="CW27" s="884"/>
      <c r="CX27" s="884"/>
      <c r="CY27" s="884"/>
      <c r="CZ27" s="884"/>
      <c r="DA27" s="884"/>
      <c r="DB27" s="885"/>
      <c r="DC27" s="884"/>
      <c r="DD27" s="884"/>
      <c r="DE27" s="885"/>
      <c r="DF27" s="884"/>
      <c r="DG27" s="884"/>
      <c r="DH27" s="884"/>
      <c r="DI27" s="885"/>
      <c r="DJ27" s="885"/>
      <c r="DK27" s="884"/>
      <c r="DL27" s="884"/>
      <c r="DM27" s="884"/>
      <c r="DN27" s="884"/>
      <c r="DO27" s="884"/>
      <c r="DP27" s="884"/>
      <c r="DQ27" s="884"/>
      <c r="DR27" s="884"/>
      <c r="DS27" s="886"/>
    </row>
    <row r="28" spans="1:130">
      <c r="A28" s="853" t="s">
        <v>296</v>
      </c>
      <c r="B28" s="854"/>
      <c r="C28" s="854">
        <f>C24-C26</f>
        <v>14.962999999999997</v>
      </c>
      <c r="D28" s="854">
        <f>D24-D26</f>
        <v>18.858000000000004</v>
      </c>
      <c r="E28" s="854">
        <f>E24-E26</f>
        <v>39.058999999999997</v>
      </c>
      <c r="F28" s="854">
        <f>F24-F26</f>
        <v>76.721400000000003</v>
      </c>
      <c r="G28" s="854"/>
      <c r="H28" s="854">
        <f>H24-H26</f>
        <v>16.16299999999999</v>
      </c>
      <c r="I28" s="854">
        <f>I24-I26</f>
        <v>21.163000000000011</v>
      </c>
      <c r="J28" s="854">
        <f>J24-J26</f>
        <v>43.592000000000013</v>
      </c>
      <c r="K28" s="854">
        <f>K24-K26</f>
        <v>77.215000000000003</v>
      </c>
      <c r="L28" s="854"/>
      <c r="M28" s="854">
        <f>M24-M26</f>
        <v>22.957999999999959</v>
      </c>
      <c r="N28" s="854">
        <f>N24-N26</f>
        <v>30.728999999999967</v>
      </c>
      <c r="O28" s="854">
        <f>O24-O26</f>
        <v>47.081000000000017</v>
      </c>
      <c r="P28" s="854">
        <f>P24-P26</f>
        <v>93.426999999999964</v>
      </c>
      <c r="Q28" s="854"/>
      <c r="R28" s="854">
        <f>R24-R26</f>
        <v>25.598999999999972</v>
      </c>
      <c r="S28" s="854">
        <f>S24-S26</f>
        <v>34.381000000000022</v>
      </c>
      <c r="T28" s="854">
        <f>T24-T26</f>
        <v>49.746999999999943</v>
      </c>
      <c r="U28" s="854">
        <f>U24-U26</f>
        <v>94.124000000000024</v>
      </c>
      <c r="V28" s="854"/>
      <c r="W28" s="854">
        <f>W24-W26</f>
        <v>29.22</v>
      </c>
      <c r="X28" s="854">
        <f>X24-X26</f>
        <v>42.825000000000045</v>
      </c>
      <c r="Y28" s="854">
        <f>Y24-Y26</f>
        <v>60.596000000000075</v>
      </c>
      <c r="Z28" s="854">
        <f>Z24-Z26</f>
        <v>99.943000000000069</v>
      </c>
      <c r="AA28" s="854"/>
      <c r="AB28" s="854">
        <f>AB24-AB26</f>
        <v>39.952999999999925</v>
      </c>
      <c r="AC28" s="854">
        <f>AC24-AC26</f>
        <v>55.992999999999974</v>
      </c>
      <c r="AD28" s="854">
        <f>AD24-AD26</f>
        <v>78.455999999999989</v>
      </c>
      <c r="AE28" s="854">
        <f>AE24-AE26</f>
        <v>162.28300000000007</v>
      </c>
      <c r="AF28" s="854"/>
      <c r="AG28" s="854">
        <f>AG24-AG26</f>
        <v>56.239999999999966</v>
      </c>
      <c r="AH28" s="854">
        <f>AH24-AH26</f>
        <v>65.72199999999998</v>
      </c>
      <c r="AI28" s="854">
        <f>AI24-AI26</f>
        <v>102.03099999999993</v>
      </c>
      <c r="AJ28" s="854">
        <f>AJ24-AJ26</f>
        <v>198.19200000000001</v>
      </c>
      <c r="AK28" s="854"/>
      <c r="AL28" s="854">
        <f>AL24-AL26</f>
        <v>60.080999999999989</v>
      </c>
      <c r="AM28" s="854">
        <f>AM24-AM26</f>
        <v>81.275000000000006</v>
      </c>
      <c r="AN28" s="854">
        <f>AN24-AN26</f>
        <v>117.58499999999992</v>
      </c>
      <c r="AO28" s="854">
        <f>AO24-AO26</f>
        <v>216.75600000000009</v>
      </c>
      <c r="AP28" s="854"/>
      <c r="AQ28" s="854">
        <f>AQ24-AQ26</f>
        <v>67.170000000000016</v>
      </c>
      <c r="AR28" s="854">
        <f>AR24-AR26</f>
        <v>83.237000000000023</v>
      </c>
      <c r="AS28" s="854">
        <f>AS24-AS26</f>
        <v>69.743000000000066</v>
      </c>
      <c r="AT28" s="854">
        <f>AT24-AT26</f>
        <v>88.020999999999958</v>
      </c>
      <c r="AU28" s="854"/>
      <c r="AV28" s="854">
        <f>AV24-AV26</f>
        <v>-23.104999999999919</v>
      </c>
      <c r="AW28" s="854">
        <f>AW24-AW26</f>
        <v>-8.1910000000000043</v>
      </c>
      <c r="AX28" s="854">
        <f>AX24-AX26</f>
        <v>49.222999999999949</v>
      </c>
      <c r="AY28" s="854">
        <f>AY24-AY26</f>
        <v>80.944999999999908</v>
      </c>
      <c r="AZ28" s="854"/>
      <c r="BA28" s="854">
        <f>BA24-BA26</f>
        <v>-11.828000000000031</v>
      </c>
      <c r="BB28" s="854">
        <f>BB24-BB26</f>
        <v>21.266719999999957</v>
      </c>
      <c r="BC28" s="854">
        <f>BC24-BC26</f>
        <v>50.040000000000049</v>
      </c>
      <c r="BD28" s="854">
        <f>BD24-BD26</f>
        <v>124.04530919999981</v>
      </c>
      <c r="BE28" s="854"/>
      <c r="BF28" s="854">
        <f>BF24-BF26</f>
        <v>12.799000000000049</v>
      </c>
      <c r="BG28" s="854">
        <f>BG24-BG26</f>
        <v>27.920000000000073</v>
      </c>
      <c r="BH28" s="854">
        <f>BH24-BH26</f>
        <v>56.792999999999978</v>
      </c>
      <c r="BI28" s="855">
        <f>BI24-BI26</f>
        <v>124.56400000000015</v>
      </c>
      <c r="BJ28" s="855"/>
      <c r="BK28" s="854">
        <f>BK24-BK26</f>
        <v>-21.304999999999996</v>
      </c>
      <c r="BL28" s="854">
        <f>BL24-BL26</f>
        <v>17.051000000000094</v>
      </c>
      <c r="BM28" s="854">
        <f>BM24-BM26</f>
        <v>84.035999999999916</v>
      </c>
      <c r="BN28" s="855">
        <f>BN24-BN26</f>
        <v>161.81399999999996</v>
      </c>
      <c r="BO28" s="855"/>
      <c r="BP28" s="855">
        <f>BP24-BP26</f>
        <v>-6.3850000000000495</v>
      </c>
      <c r="BQ28" s="855">
        <f>BQ24-BQ26</f>
        <v>13.014999999999953</v>
      </c>
      <c r="BR28" s="855">
        <f>BR24-BR26</f>
        <v>40.645000000000024</v>
      </c>
      <c r="BS28" s="855">
        <f>BS24-BS26</f>
        <v>104.26299999999992</v>
      </c>
      <c r="BT28" s="855"/>
      <c r="BU28" s="854">
        <f>BU24-BU26</f>
        <v>-12.96400000000005</v>
      </c>
      <c r="BV28" s="854">
        <f>BV24-BV26</f>
        <v>14.062000000000012</v>
      </c>
      <c r="BW28" s="854">
        <f>BW24-BW26</f>
        <v>30.40600000000002</v>
      </c>
      <c r="BX28" s="855">
        <f>BX24-BX26</f>
        <v>80.825000000000159</v>
      </c>
      <c r="BY28" s="855"/>
      <c r="BZ28" s="854">
        <f>BZ24-BZ26</f>
        <v>-37.179599999999958</v>
      </c>
      <c r="CA28" s="854">
        <f>CA24-CA26</f>
        <v>10.018999999999989</v>
      </c>
      <c r="CB28" s="854">
        <f>CB24-CB26</f>
        <v>33.310999999999979</v>
      </c>
      <c r="CC28" s="855">
        <f>CC24-CC26</f>
        <v>74.874000000000095</v>
      </c>
      <c r="CD28" s="855"/>
      <c r="CE28" s="854">
        <f>CE24-CE26</f>
        <v>-38.630000000000052</v>
      </c>
      <c r="CF28" s="854">
        <f>CF24-CF26</f>
        <v>-15.709999999999994</v>
      </c>
      <c r="CG28" s="854">
        <f>CG24-CG26</f>
        <v>1.7950000000000355</v>
      </c>
      <c r="CH28" s="855">
        <f>CH24-CH26</f>
        <v>52.236999999999952</v>
      </c>
      <c r="CI28" s="855"/>
      <c r="CJ28" s="854">
        <f>CJ24-CJ26</f>
        <v>-61.008999999999936</v>
      </c>
      <c r="CK28" s="854">
        <f>CK24-CK26</f>
        <v>-10.089999999999986</v>
      </c>
      <c r="CL28" s="854">
        <f>CL24-CL26</f>
        <v>21.048999999999914</v>
      </c>
      <c r="CM28" s="855">
        <f>CM24-CM26</f>
        <v>98.485999999999933</v>
      </c>
      <c r="CN28" s="855"/>
      <c r="CO28" s="854">
        <f>CO24-CO26</f>
        <v>-57.532895208004533</v>
      </c>
      <c r="CP28" s="854">
        <f>CP24-CP26</f>
        <v>-1.2621155770969601</v>
      </c>
      <c r="CQ28" s="854">
        <f>CQ24-CQ26</f>
        <v>22.328288302971185</v>
      </c>
      <c r="CR28" s="855">
        <f>CR24-CR26</f>
        <v>57.839610344009941</v>
      </c>
      <c r="CS28" s="855"/>
      <c r="CT28" s="855">
        <f>CT24-CT26</f>
        <v>10.838999999999988</v>
      </c>
      <c r="CU28" s="855">
        <f>CU24-CU26</f>
        <v>24.577000000000027</v>
      </c>
      <c r="CV28" s="855">
        <f>CV24-CV26</f>
        <v>48.321999999999989</v>
      </c>
      <c r="CW28" s="855">
        <f t="shared" ref="CW28:DB28" si="9">CW24-CW26</f>
        <v>102.06200000000004</v>
      </c>
      <c r="CX28" s="855">
        <f t="shared" si="9"/>
        <v>149.6013999999999</v>
      </c>
      <c r="CY28" s="855">
        <f t="shared" si="9"/>
        <v>158.13299999999998</v>
      </c>
      <c r="CZ28" s="855">
        <f t="shared" si="9"/>
        <v>168.672</v>
      </c>
      <c r="DA28" s="855">
        <f t="shared" si="9"/>
        <v>194.75399999999979</v>
      </c>
      <c r="DB28" s="856">
        <f t="shared" si="9"/>
        <v>204.83000000000038</v>
      </c>
      <c r="DC28" s="855">
        <f t="shared" ref="DC28:DJ28" si="10">DC24-DC26</f>
        <v>237.07399999999996</v>
      </c>
      <c r="DD28" s="855">
        <f t="shared" si="10"/>
        <v>355.38200000000018</v>
      </c>
      <c r="DE28" s="856">
        <f t="shared" si="10"/>
        <v>446.52399999999977</v>
      </c>
      <c r="DF28" s="855">
        <f t="shared" si="10"/>
        <v>499.12700000000007</v>
      </c>
      <c r="DG28" s="855">
        <f t="shared" si="10"/>
        <v>313.17</v>
      </c>
      <c r="DH28" s="855">
        <f t="shared" si="10"/>
        <v>98.871999999999971</v>
      </c>
      <c r="DI28" s="856">
        <f t="shared" si="10"/>
        <v>188.30699999999979</v>
      </c>
      <c r="DJ28" s="856">
        <f t="shared" si="10"/>
        <v>222.07600000000008</v>
      </c>
      <c r="DK28" s="855">
        <f t="shared" ref="DK28:DP28" si="11">DK24-DK26</f>
        <v>241.5960000000006</v>
      </c>
      <c r="DL28" s="855">
        <f t="shared" si="11"/>
        <v>151.53799999999987</v>
      </c>
      <c r="DM28" s="855">
        <f t="shared" si="11"/>
        <v>112.32900000000002</v>
      </c>
      <c r="DN28" s="855">
        <f t="shared" si="11"/>
        <v>81.024400000000341</v>
      </c>
      <c r="DO28" s="855">
        <f t="shared" si="11"/>
        <v>-0.30800000000012062</v>
      </c>
      <c r="DP28" s="855">
        <f t="shared" si="11"/>
        <v>48.436000000000099</v>
      </c>
      <c r="DQ28" s="855">
        <f>DQ24-DQ26</f>
        <v>21.372887861879285</v>
      </c>
      <c r="DR28" s="855">
        <f>DR24-DR26</f>
        <v>28.747105092497279</v>
      </c>
      <c r="DS28" s="857">
        <f>DS24-DS26</f>
        <v>25.240293397874531</v>
      </c>
    </row>
    <row r="29" spans="1:130" ht="6.75" hidden="1" customHeight="1" outlineLevel="1">
      <c r="A29" s="853"/>
      <c r="B29" s="854"/>
      <c r="C29" s="854"/>
      <c r="D29" s="854"/>
      <c r="E29" s="854"/>
      <c r="F29" s="854"/>
      <c r="G29" s="854"/>
      <c r="H29" s="854"/>
      <c r="I29" s="854"/>
      <c r="J29" s="854"/>
      <c r="K29" s="854"/>
      <c r="L29" s="854"/>
      <c r="M29" s="854"/>
      <c r="N29" s="854"/>
      <c r="O29" s="854"/>
      <c r="P29" s="854"/>
      <c r="Q29" s="854"/>
      <c r="R29" s="854"/>
      <c r="S29" s="854"/>
      <c r="T29" s="854"/>
      <c r="U29" s="854"/>
      <c r="V29" s="854"/>
      <c r="W29" s="854"/>
      <c r="X29" s="854"/>
      <c r="Y29" s="854"/>
      <c r="Z29" s="854"/>
      <c r="AA29" s="854"/>
      <c r="AB29" s="854"/>
      <c r="AC29" s="854"/>
      <c r="AD29" s="854"/>
      <c r="AE29" s="854"/>
      <c r="AF29" s="854"/>
      <c r="AG29" s="854"/>
      <c r="AH29" s="854"/>
      <c r="AI29" s="854"/>
      <c r="AJ29" s="854"/>
      <c r="AK29" s="854"/>
      <c r="AL29" s="854"/>
      <c r="AM29" s="854"/>
      <c r="AN29" s="854"/>
      <c r="AO29" s="854"/>
      <c r="AP29" s="854"/>
      <c r="AQ29" s="854"/>
      <c r="AR29" s="854"/>
      <c r="AS29" s="854"/>
      <c r="AT29" s="854"/>
      <c r="AU29" s="854"/>
      <c r="AV29" s="854"/>
      <c r="AW29" s="854"/>
      <c r="AX29" s="854"/>
      <c r="AY29" s="854"/>
      <c r="AZ29" s="854"/>
      <c r="BA29" s="854"/>
      <c r="BB29" s="854"/>
      <c r="BC29" s="854"/>
      <c r="BD29" s="854"/>
      <c r="BE29" s="854"/>
      <c r="BF29" s="854"/>
      <c r="BG29" s="854"/>
      <c r="BH29" s="854"/>
      <c r="BI29" s="855"/>
      <c r="BJ29" s="855"/>
      <c r="BK29" s="854"/>
      <c r="BL29" s="854"/>
      <c r="BM29" s="854"/>
      <c r="BN29" s="855"/>
      <c r="BO29" s="855"/>
      <c r="BP29" s="855"/>
      <c r="BQ29" s="855"/>
      <c r="BR29" s="855"/>
      <c r="BS29" s="855"/>
      <c r="BT29" s="855"/>
      <c r="BU29" s="854"/>
      <c r="BV29" s="854"/>
      <c r="BW29" s="854"/>
      <c r="BX29" s="855"/>
      <c r="BY29" s="855"/>
      <c r="BZ29" s="854"/>
      <c r="CA29" s="854"/>
      <c r="CB29" s="854"/>
      <c r="CC29" s="855"/>
      <c r="CD29" s="855"/>
      <c r="CE29" s="854"/>
      <c r="CF29" s="854"/>
      <c r="CG29" s="854"/>
      <c r="CH29" s="855"/>
      <c r="CI29" s="855"/>
      <c r="CJ29" s="854"/>
      <c r="CK29" s="854"/>
      <c r="CL29" s="854"/>
      <c r="CM29" s="855"/>
      <c r="CN29" s="855"/>
      <c r="CO29" s="854"/>
      <c r="CP29" s="854"/>
      <c r="CQ29" s="854"/>
      <c r="CR29" s="855"/>
      <c r="CS29" s="855"/>
      <c r="CT29" s="855"/>
      <c r="CU29" s="855"/>
      <c r="CV29" s="855"/>
      <c r="CW29" s="855"/>
      <c r="CX29" s="855"/>
      <c r="CY29" s="855"/>
      <c r="CZ29" s="855"/>
      <c r="DA29" s="855"/>
      <c r="DB29" s="856"/>
      <c r="DC29" s="855"/>
      <c r="DD29" s="855"/>
      <c r="DE29" s="856"/>
      <c r="DF29" s="855"/>
      <c r="DG29" s="855"/>
      <c r="DH29" s="855"/>
      <c r="DI29" s="856"/>
      <c r="DJ29" s="856"/>
      <c r="DK29" s="855"/>
      <c r="DL29" s="855"/>
      <c r="DM29" s="855"/>
      <c r="DN29" s="855"/>
      <c r="DO29" s="855"/>
      <c r="DP29" s="855"/>
      <c r="DQ29" s="855"/>
      <c r="DR29" s="855"/>
      <c r="DS29" s="857"/>
    </row>
    <row r="30" spans="1:130" hidden="1" outlineLevel="1">
      <c r="A30" s="853" t="s">
        <v>802</v>
      </c>
      <c r="B30" s="854"/>
      <c r="C30" s="854"/>
      <c r="D30" s="854"/>
      <c r="E30" s="854"/>
      <c r="F30" s="854"/>
      <c r="G30" s="854"/>
      <c r="H30" s="854"/>
      <c r="I30" s="854"/>
      <c r="J30" s="854"/>
      <c r="K30" s="854"/>
      <c r="L30" s="854"/>
      <c r="M30" s="854"/>
      <c r="N30" s="854"/>
      <c r="O30" s="854"/>
      <c r="P30" s="854"/>
      <c r="Q30" s="854"/>
      <c r="R30" s="854"/>
      <c r="S30" s="854"/>
      <c r="T30" s="854"/>
      <c r="U30" s="854"/>
      <c r="V30" s="854"/>
      <c r="W30" s="854"/>
      <c r="X30" s="854"/>
      <c r="Y30" s="854"/>
      <c r="Z30" s="854"/>
      <c r="AA30" s="854"/>
      <c r="AB30" s="854"/>
      <c r="AC30" s="854"/>
      <c r="AD30" s="854"/>
      <c r="AE30" s="854"/>
      <c r="AF30" s="854"/>
      <c r="AG30" s="854"/>
      <c r="AH30" s="854"/>
      <c r="AI30" s="854"/>
      <c r="AJ30" s="854"/>
      <c r="AK30" s="854"/>
      <c r="AL30" s="854"/>
      <c r="AM30" s="854"/>
      <c r="AN30" s="854"/>
      <c r="AO30" s="854"/>
      <c r="AP30" s="854"/>
      <c r="AQ30" s="854"/>
      <c r="AR30" s="854"/>
      <c r="AS30" s="854"/>
      <c r="AT30" s="854"/>
      <c r="AU30" s="854"/>
      <c r="AV30" s="854"/>
      <c r="AW30" s="854"/>
      <c r="AX30" s="854"/>
      <c r="AY30" s="854"/>
      <c r="AZ30" s="854"/>
      <c r="BA30" s="854"/>
      <c r="BB30" s="854"/>
      <c r="BC30" s="854"/>
      <c r="BD30" s="854"/>
      <c r="BE30" s="854"/>
      <c r="BF30" s="854"/>
      <c r="BG30" s="854"/>
      <c r="BH30" s="854"/>
      <c r="BI30" s="855"/>
      <c r="BJ30" s="855"/>
      <c r="BK30" s="854"/>
      <c r="BL30" s="854"/>
      <c r="BM30" s="854"/>
      <c r="BN30" s="855"/>
      <c r="BO30" s="855"/>
      <c r="BP30" s="855"/>
      <c r="BQ30" s="855"/>
      <c r="BR30" s="855"/>
      <c r="BS30" s="855"/>
      <c r="BT30" s="855"/>
      <c r="BU30" s="854"/>
      <c r="BV30" s="854"/>
      <c r="BW30" s="854"/>
      <c r="BX30" s="855"/>
      <c r="BY30" s="855"/>
      <c r="BZ30" s="854">
        <f>'qtrP&amp;L'!CJ160</f>
        <v>0</v>
      </c>
      <c r="CA30" s="854">
        <f>'qtrP&amp;L'!CJ161</f>
        <v>1.4219999999999999</v>
      </c>
      <c r="CB30" s="854">
        <f>'qtrP&amp;L'!CJ162</f>
        <v>0.39400000000000002</v>
      </c>
      <c r="CC30" s="854">
        <f>'qtrP&amp;L'!CJ163</f>
        <v>1.167</v>
      </c>
      <c r="CD30" s="854">
        <f>'qtrP&amp;L'!CM161</f>
        <v>0</v>
      </c>
      <c r="CE30" s="854">
        <f>'qtrP&amp;L'!CN160</f>
        <v>0.95699999999999996</v>
      </c>
      <c r="CF30" s="854">
        <f>'qtrP&amp;L'!CN161</f>
        <v>1.0980000000000001</v>
      </c>
      <c r="CG30" s="854">
        <f>'qtrP&amp;L'!CN162</f>
        <v>0.39300000000000002</v>
      </c>
      <c r="CH30" s="855">
        <f>'qtrP&amp;L'!CN163</f>
        <v>1.3140000000000001</v>
      </c>
      <c r="CI30" s="855"/>
      <c r="CJ30" s="854">
        <f t="array" ref="CJ30:CM30">TRANSPOSE('qtrP&amp;L'!CR160:CR163)</f>
        <v>0.69099999999999995</v>
      </c>
      <c r="CK30" s="854">
        <v>0.876</v>
      </c>
      <c r="CL30" s="854">
        <v>0.54100000000000004</v>
      </c>
      <c r="CM30" s="855">
        <v>1.323</v>
      </c>
      <c r="CN30" s="855"/>
      <c r="CO30" s="854">
        <f t="array" ref="CO30:CR30">TRANSPOSE('qtrP&amp;L'!CW160:CW163)</f>
        <v>0</v>
      </c>
      <c r="CP30" s="854">
        <v>0</v>
      </c>
      <c r="CQ30" s="854">
        <v>0</v>
      </c>
      <c r="CR30" s="855">
        <v>0</v>
      </c>
      <c r="CS30" s="855"/>
      <c r="CT30" s="855"/>
      <c r="CU30" s="855"/>
      <c r="CV30" s="855"/>
      <c r="CW30" s="855"/>
      <c r="CX30" s="855"/>
      <c r="CY30" s="855"/>
      <c r="CZ30" s="855"/>
      <c r="DA30" s="855"/>
      <c r="DB30" s="856"/>
      <c r="DC30" s="855"/>
      <c r="DD30" s="855"/>
      <c r="DE30" s="856"/>
      <c r="DF30" s="855"/>
      <c r="DG30" s="855"/>
      <c r="DH30" s="855"/>
      <c r="DI30" s="856"/>
      <c r="DJ30" s="856"/>
      <c r="DK30" s="855"/>
      <c r="DL30" s="855"/>
      <c r="DM30" s="855"/>
      <c r="DN30" s="855">
        <f>'yrP&amp;L'!Z48</f>
        <v>2.9829999999999997</v>
      </c>
      <c r="DO30" s="855">
        <f>'yrP&amp;L'!AA48</f>
        <v>3.7620000000000005</v>
      </c>
      <c r="DP30" s="855">
        <f>'yrP&amp;L'!AB48</f>
        <v>3.431</v>
      </c>
      <c r="DQ30">
        <f>'yrP&amp;L'!AC48</f>
        <v>3.431</v>
      </c>
      <c r="DR30" s="94">
        <f>'yrP&amp;L'!AD48</f>
        <v>3.431</v>
      </c>
      <c r="DS30" s="855">
        <f>'yrP&amp;L'!AE48</f>
        <v>3.431</v>
      </c>
    </row>
    <row r="31" spans="1:130" ht="5.25" customHeight="1" collapsed="1">
      <c r="AZ31" s="96"/>
      <c r="BE31" s="96"/>
      <c r="BI31" s="97"/>
      <c r="BJ31" s="97"/>
      <c r="BN31" s="97"/>
      <c r="BO31" s="97"/>
      <c r="BP31" s="97"/>
      <c r="BQ31" s="97"/>
      <c r="BR31" s="97"/>
      <c r="BS31" s="96"/>
      <c r="BU31" s="97"/>
      <c r="BV31" s="97"/>
      <c r="BW31" s="97"/>
      <c r="BX31" s="96"/>
      <c r="BZ31" s="97"/>
      <c r="CA31" s="97"/>
      <c r="CB31" s="97"/>
      <c r="CC31" s="96"/>
      <c r="CE31" s="97"/>
      <c r="CF31" s="97"/>
      <c r="CG31" s="97"/>
      <c r="CH31" s="96"/>
      <c r="CI31" s="97"/>
      <c r="CJ31" s="97"/>
      <c r="CK31" s="97"/>
      <c r="CL31" s="97"/>
      <c r="CM31" s="96"/>
      <c r="CN31" s="97"/>
      <c r="CO31" s="97"/>
      <c r="CP31" s="97"/>
      <c r="CQ31" s="97"/>
      <c r="CR31" s="96"/>
      <c r="CS31" s="97"/>
      <c r="CZ31" s="96"/>
      <c r="DA31" s="96"/>
      <c r="DB31" s="206"/>
      <c r="DC31" s="97"/>
      <c r="DD31" s="97"/>
      <c r="DE31" s="206"/>
      <c r="DF31" s="855"/>
      <c r="DG31" s="855"/>
      <c r="DH31" s="855"/>
      <c r="DI31" s="856"/>
      <c r="DJ31" s="856"/>
      <c r="DK31" s="855"/>
      <c r="DL31" s="855"/>
      <c r="DM31" s="855"/>
      <c r="DN31" s="855"/>
      <c r="DO31" s="855"/>
      <c r="DP31" s="855"/>
      <c r="DQ31" s="1007"/>
      <c r="DR31" s="855"/>
      <c r="DS31" s="887"/>
    </row>
    <row r="32" spans="1:130">
      <c r="A32" s="888" t="s">
        <v>412</v>
      </c>
      <c r="B32" s="889"/>
      <c r="C32" s="889"/>
      <c r="D32" s="889"/>
      <c r="E32" s="889"/>
      <c r="F32" s="889"/>
      <c r="G32" s="889"/>
      <c r="H32" s="889"/>
      <c r="I32" s="889"/>
      <c r="J32" s="889"/>
      <c r="K32" s="889"/>
      <c r="L32" s="889"/>
      <c r="M32" s="889"/>
      <c r="N32" s="889"/>
      <c r="O32" s="889"/>
      <c r="P32" s="889"/>
      <c r="Q32" s="889"/>
      <c r="R32" s="890">
        <f>R28/R37</f>
        <v>0.25641308158461434</v>
      </c>
      <c r="S32" s="890">
        <f>S28/S37</f>
        <v>0.34337048577820412</v>
      </c>
      <c r="T32" s="890">
        <f>T28/T37</f>
        <v>0.50197776028738006</v>
      </c>
      <c r="U32" s="890">
        <f>U28/U37</f>
        <v>0.96202945655617933</v>
      </c>
      <c r="V32" s="890"/>
      <c r="W32" s="890">
        <f>W28/W37</f>
        <v>0.3016351474110166</v>
      </c>
      <c r="X32" s="890">
        <f>X28/X37</f>
        <v>0.43882569935444249</v>
      </c>
      <c r="Y32" s="890">
        <f>Y28/Y37</f>
        <v>0.63550460928569263</v>
      </c>
      <c r="Z32" s="890">
        <f>Z28/Z37</f>
        <v>1.1013002754820944</v>
      </c>
      <c r="AA32" s="890"/>
      <c r="AB32" s="890">
        <f>AB28/AB37</f>
        <v>0.444910913140311</v>
      </c>
      <c r="AC32" s="890">
        <f>AC28/AC37</f>
        <v>0.61193866733696867</v>
      </c>
      <c r="AD32" s="890">
        <f>AD28/AD37</f>
        <v>0.86731964005394757</v>
      </c>
      <c r="AE32" s="890">
        <f>AE28/AE37</f>
        <v>1.7779567241851555</v>
      </c>
      <c r="AF32" s="890"/>
      <c r="AG32" s="890">
        <f>AG28/AG37</f>
        <v>0.61580912545030464</v>
      </c>
      <c r="AH32" s="890">
        <f>AH28/AH37</f>
        <v>0.72080984448002783</v>
      </c>
      <c r="AI32" s="890">
        <f>AI28/AI37</f>
        <v>1.1072754107611826</v>
      </c>
      <c r="AJ32" s="890">
        <f>AJ28/AJ37</f>
        <v>2.1409497472237824</v>
      </c>
      <c r="AK32" s="890"/>
      <c r="AL32" s="890">
        <f>AL28/AL37</f>
        <v>0.65098816798855796</v>
      </c>
      <c r="AM32" s="890">
        <f>AM28/AM37</f>
        <v>0.88060979045225052</v>
      </c>
      <c r="AN32" s="890">
        <f>AN28/AN37</f>
        <v>1.290257096770653</v>
      </c>
      <c r="AO32" s="890">
        <f>AO28/AO37</f>
        <v>2.4021277774699406</v>
      </c>
      <c r="AP32" s="890"/>
      <c r="AQ32" s="890">
        <f>AQ28/AQ37</f>
        <v>0.74519070758170813</v>
      </c>
      <c r="AR32" s="891">
        <f>AR28/AR37</f>
        <v>0.92523593032691254</v>
      </c>
      <c r="AS32" s="890">
        <f>AS28/AS37</f>
        <v>0.78534108055762075</v>
      </c>
      <c r="AT32" s="890">
        <f>AT28/AT37</f>
        <v>0.99731469101951054</v>
      </c>
      <c r="AU32" s="890"/>
      <c r="AV32" s="890">
        <f>AV28/AV37</f>
        <v>-0.26346397254181919</v>
      </c>
      <c r="AW32" s="891">
        <f>AW28/AW37</f>
        <v>-9.3208766699287696E-2</v>
      </c>
      <c r="AX32" s="890">
        <f>AX28/AX37</f>
        <v>0.55475036627972441</v>
      </c>
      <c r="AY32" s="890">
        <f>AY28/AY37</f>
        <v>0.90833090199070743</v>
      </c>
      <c r="AZ32" s="890"/>
      <c r="BA32" s="890">
        <f>BA28/BA37</f>
        <v>-0.1342641466598562</v>
      </c>
      <c r="BB32" s="891">
        <f>BB28/BB37</f>
        <v>0.23792003221981023</v>
      </c>
      <c r="BC32" s="890">
        <f>BC28/BC37</f>
        <v>0.55557405988742015</v>
      </c>
      <c r="BD32" s="890">
        <f>BD28/BD37</f>
        <v>1.3750117409714657</v>
      </c>
      <c r="BE32" s="890"/>
      <c r="BF32" s="890">
        <f>BF28/BF37</f>
        <v>0.14151767450603209</v>
      </c>
      <c r="BG32" s="891">
        <f>BG28/BG37</f>
        <v>0.30901021548814178</v>
      </c>
      <c r="BH32" s="890">
        <f>BH28/BH37</f>
        <v>0.63309440734836731</v>
      </c>
      <c r="BI32" s="890">
        <f>BI28/BI37</f>
        <v>1.421184738955825</v>
      </c>
      <c r="BJ32" s="890"/>
      <c r="BK32" s="890">
        <f>BK28/BK37</f>
        <v>-0.24720365729137656</v>
      </c>
      <c r="BL32" s="891">
        <f>BL28/BL37</f>
        <v>0.20434798240673163</v>
      </c>
      <c r="BM32" s="890">
        <f>BM28/BM37</f>
        <v>1.018346622718789</v>
      </c>
      <c r="BN32" s="890">
        <f>BN28/BN37</f>
        <v>2.0087643071728278</v>
      </c>
      <c r="BO32" s="890"/>
      <c r="BP32" s="890">
        <f>BP28/BP37</f>
        <v>-8.1520351361013862E-2</v>
      </c>
      <c r="BQ32" s="891">
        <f>BQ28/BQ37</f>
        <v>0.16419190836035114</v>
      </c>
      <c r="BR32" s="890">
        <f>BR28/BR37</f>
        <v>0.52325656243160812</v>
      </c>
      <c r="BS32" s="890">
        <f>BS28/BS37</f>
        <v>1.344149649339933</v>
      </c>
      <c r="BT32" s="890"/>
      <c r="BU32" s="890">
        <f>BU28/BU37</f>
        <v>-0.17405313964260366</v>
      </c>
      <c r="BV32" s="890">
        <f>BV28/BV37</f>
        <v>0.19065567547047035</v>
      </c>
      <c r="BW32" s="890">
        <f>BW28/BW37</f>
        <v>0.42155612244897989</v>
      </c>
      <c r="BX32" s="890">
        <f>BX28/BX37</f>
        <v>1.1524039009923601</v>
      </c>
      <c r="BY32" s="890"/>
      <c r="BZ32" s="890">
        <f>(BZ28-BZ30)/BZ37</f>
        <v>-0.53488131204143219</v>
      </c>
      <c r="CA32" s="890">
        <f>(CA28-CA30)/CA37</f>
        <v>0.1226495848432104</v>
      </c>
      <c r="CB32" s="890">
        <f>(CB28-CB30)/CB37</f>
        <v>0.47523280155922876</v>
      </c>
      <c r="CC32" s="890">
        <f>(CC28-CC30)/CC37</f>
        <v>1.080066820040152</v>
      </c>
      <c r="CD32" s="890"/>
      <c r="CE32" s="890">
        <f>(CE28-CE30)/CE37</f>
        <v>-0.58539001848428918</v>
      </c>
      <c r="CF32" s="890">
        <f>(CF28-CF30)/CF37</f>
        <v>-0.24738019545508053</v>
      </c>
      <c r="CG32" s="890">
        <f>(CG28-CG30)/CG37</f>
        <v>2.0534001200990602E-2</v>
      </c>
      <c r="CH32" s="890">
        <f>(CH28-CH30)/CH37</f>
        <v>0.74558924728034004</v>
      </c>
      <c r="CI32" s="890"/>
      <c r="CJ32" s="890">
        <f>(CJ28-CJ30)/CJ37</f>
        <v>-0.90637991567875587</v>
      </c>
      <c r="CK32" s="890">
        <f>(CK28-CK30)/CK37</f>
        <v>-0.16019048732032232</v>
      </c>
      <c r="CL32" s="890">
        <f>(CL28-CL30)/CL37</f>
        <v>0.29933442316674325</v>
      </c>
      <c r="CM32" s="890">
        <f>(CM28-CM30)/CM37</f>
        <v>1.380999758375143</v>
      </c>
      <c r="CN32" s="890"/>
      <c r="CO32" s="890">
        <f>(CO28-CO30)/CO37</f>
        <v>-0.81483273907692622</v>
      </c>
      <c r="CP32" s="890">
        <f>(CP28-CP30)/CP37</f>
        <v>-1.7812150910946838E-2</v>
      </c>
      <c r="CQ32" s="890">
        <f>(CQ28-CQ30)/CQ37</f>
        <v>0.31378906225629505</v>
      </c>
      <c r="CR32" s="890">
        <f>(CR28-CR30)/CR37</f>
        <v>0.8094323907246308</v>
      </c>
      <c r="CS32" s="893"/>
      <c r="CT32" s="890">
        <f>CT28/CT37</f>
        <v>0.10616062683643476</v>
      </c>
      <c r="CU32" s="890">
        <f>CU28/CU37</f>
        <v>0.24071498530852134</v>
      </c>
      <c r="CV32" s="890">
        <f>CV28/CV37</f>
        <v>0.46934612844321832</v>
      </c>
      <c r="CW32" s="890">
        <f t="shared" ref="CW32:DF32" si="12">CW28/CW37</f>
        <v>0.96101768328280113</v>
      </c>
      <c r="CX32" s="890">
        <f t="shared" si="12"/>
        <v>1.389818006150072</v>
      </c>
      <c r="CY32" s="890">
        <f t="shared" si="12"/>
        <v>1.5479560671913541</v>
      </c>
      <c r="CZ32" s="892">
        <f t="shared" si="12"/>
        <v>1.6451952713510982</v>
      </c>
      <c r="DA32" s="892">
        <f t="shared" si="12"/>
        <v>1.9353280798163568</v>
      </c>
      <c r="DB32" s="892">
        <f t="shared" si="12"/>
        <v>2.056939144406511</v>
      </c>
      <c r="DC32" s="890">
        <f>DC28/DC37</f>
        <v>2.4926295867942376</v>
      </c>
      <c r="DD32" s="890">
        <f>DD28/DD37</f>
        <v>3.8958353887810939</v>
      </c>
      <c r="DE32" s="892">
        <f t="shared" si="12"/>
        <v>4.8529942397565451</v>
      </c>
      <c r="DF32" s="890">
        <f t="shared" si="12"/>
        <v>5.4535690482173891</v>
      </c>
      <c r="DG32" s="890">
        <f>DG28/DG37</f>
        <v>3.5072963680550115</v>
      </c>
      <c r="DH32" s="890">
        <f>DH28/DH37</f>
        <v>1.1158234490853072</v>
      </c>
      <c r="DI32" s="890">
        <f t="shared" ref="DI32:DS32" si="13">(DI28-DI30)/DI37</f>
        <v>2.0957696631089227</v>
      </c>
      <c r="DJ32" s="892">
        <f t="shared" si="13"/>
        <v>2.4802707260685533</v>
      </c>
      <c r="DK32" s="890">
        <f t="shared" si="13"/>
        <v>2.9046621440873408</v>
      </c>
      <c r="DL32" s="890">
        <f t="shared" si="13"/>
        <v>1.914180329939619</v>
      </c>
      <c r="DM32" s="890">
        <f t="shared" si="13"/>
        <v>1.5400825369839728</v>
      </c>
      <c r="DN32" s="890">
        <f>(DN28-DN30)/DN37</f>
        <v>1.1242404598297295</v>
      </c>
      <c r="DO32" s="890">
        <f>(DO28-DO30)/DO37</f>
        <v>-5.9604006795151439E-2</v>
      </c>
      <c r="DP32" s="890">
        <f t="shared" si="13"/>
        <v>0.64845900033139925</v>
      </c>
      <c r="DQ32" s="890">
        <f t="shared" si="13"/>
        <v>0.25263326075062886</v>
      </c>
      <c r="DR32" s="890">
        <f t="shared" si="13"/>
        <v>0.35182268705612074</v>
      </c>
      <c r="DS32" s="893">
        <f t="shared" si="13"/>
        <v>0.30099636195087476</v>
      </c>
      <c r="DZ32" s="113"/>
    </row>
    <row r="33" spans="1:131" ht="4.5" customHeight="1">
      <c r="A33" s="895"/>
      <c r="B33" s="855"/>
      <c r="C33" s="855"/>
      <c r="D33" s="855"/>
      <c r="E33" s="855"/>
      <c r="F33" s="855"/>
      <c r="G33" s="855"/>
      <c r="H33" s="855"/>
      <c r="I33" s="855"/>
      <c r="J33" s="855"/>
      <c r="K33" s="855"/>
      <c r="L33" s="855"/>
      <c r="M33" s="855"/>
      <c r="N33" s="855"/>
      <c r="O33" s="855"/>
      <c r="P33" s="855"/>
      <c r="Q33" s="855"/>
      <c r="R33" s="855"/>
      <c r="S33" s="855"/>
      <c r="T33" s="855"/>
      <c r="U33" s="855"/>
      <c r="V33" s="855"/>
      <c r="W33" s="855"/>
      <c r="X33" s="855"/>
      <c r="Y33" s="855"/>
      <c r="Z33" s="855"/>
      <c r="AA33" s="855"/>
      <c r="AB33" s="855"/>
      <c r="AC33" s="855"/>
      <c r="AD33" s="855"/>
      <c r="AE33" s="855"/>
      <c r="AF33" s="855"/>
      <c r="AG33" s="855"/>
      <c r="AH33" s="855"/>
      <c r="AI33" s="855"/>
      <c r="AJ33" s="855"/>
      <c r="AK33" s="855"/>
      <c r="AL33" s="855"/>
      <c r="AM33" s="855"/>
      <c r="AN33" s="855"/>
      <c r="AO33" s="855"/>
      <c r="AP33" s="855"/>
      <c r="AQ33" s="855"/>
      <c r="AR33" s="896"/>
      <c r="AS33" s="855"/>
      <c r="AT33" s="855"/>
      <c r="AU33" s="855"/>
      <c r="AV33" s="855"/>
      <c r="AW33" s="896"/>
      <c r="AX33" s="855"/>
      <c r="AY33" s="855"/>
      <c r="AZ33" s="854"/>
      <c r="BA33" s="855"/>
      <c r="BB33" s="896"/>
      <c r="BC33" s="855"/>
      <c r="BD33" s="855"/>
      <c r="BE33" s="854"/>
      <c r="BF33" s="855"/>
      <c r="BG33" s="896"/>
      <c r="BH33" s="855"/>
      <c r="BI33" s="855"/>
      <c r="BJ33" s="855"/>
      <c r="BK33" s="855"/>
      <c r="BL33" s="896"/>
      <c r="BM33" s="855"/>
      <c r="BN33" s="855"/>
      <c r="BO33" s="855"/>
      <c r="BP33" s="855"/>
      <c r="BQ33" s="855"/>
      <c r="BR33" s="855"/>
      <c r="BS33" s="897"/>
      <c r="BT33" s="855"/>
      <c r="BU33" s="855"/>
      <c r="BV33" s="855"/>
      <c r="BW33" s="855"/>
      <c r="BX33" s="897"/>
      <c r="BY33" s="855"/>
      <c r="BZ33" s="855"/>
      <c r="CA33" s="855"/>
      <c r="CB33" s="855"/>
      <c r="CC33" s="897"/>
      <c r="CD33" s="855"/>
      <c r="CE33" s="855"/>
      <c r="CF33" s="855"/>
      <c r="CG33" s="855"/>
      <c r="CH33" s="897"/>
      <c r="CI33" s="855"/>
      <c r="CJ33" s="855"/>
      <c r="CK33" s="855"/>
      <c r="CL33" s="855"/>
      <c r="CM33" s="897"/>
      <c r="CN33" s="855"/>
      <c r="CO33" s="855"/>
      <c r="CP33" s="855"/>
      <c r="CQ33" s="855"/>
      <c r="CR33" s="897"/>
      <c r="CS33" s="855"/>
      <c r="CT33" s="855"/>
      <c r="CU33" s="855"/>
      <c r="CV33" s="855"/>
      <c r="CW33" s="855"/>
      <c r="CX33" s="855"/>
      <c r="CY33" s="855"/>
      <c r="CZ33" s="897"/>
      <c r="DA33" s="897"/>
      <c r="DB33" s="856"/>
      <c r="DC33" s="855"/>
      <c r="DD33" s="855"/>
      <c r="DE33" s="856"/>
      <c r="DF33" s="855"/>
      <c r="DG33" s="855"/>
      <c r="DH33" s="855"/>
      <c r="DI33" s="856"/>
      <c r="DJ33" s="856"/>
      <c r="DK33" s="855"/>
      <c r="DL33" s="897"/>
      <c r="DM33" s="855"/>
      <c r="DN33" s="855"/>
      <c r="DO33" s="855"/>
      <c r="DP33" s="855"/>
      <c r="DQ33" s="855"/>
      <c r="DR33" s="855"/>
      <c r="DS33" s="857"/>
    </row>
    <row r="34" spans="1:131" ht="12.75" hidden="1" customHeight="1" outlineLevel="1">
      <c r="A34" s="853" t="s">
        <v>49</v>
      </c>
      <c r="B34" s="854"/>
      <c r="C34" s="854"/>
      <c r="D34" s="854"/>
      <c r="E34" s="854"/>
      <c r="F34" s="854"/>
      <c r="G34" s="854"/>
      <c r="H34" s="854"/>
      <c r="I34" s="854"/>
      <c r="J34" s="854"/>
      <c r="K34" s="854"/>
      <c r="L34" s="854"/>
      <c r="M34" s="854"/>
      <c r="N34" s="854"/>
      <c r="O34" s="854"/>
      <c r="P34" s="854"/>
      <c r="Q34" s="854"/>
      <c r="R34" s="854">
        <f>'qtrP&amp;L'!$AN160</f>
        <v>0</v>
      </c>
      <c r="S34" s="854">
        <f>'qtrP&amp;L'!$AN161</f>
        <v>0</v>
      </c>
      <c r="T34" s="854">
        <f>'qtrP&amp;L'!$AN162</f>
        <v>0</v>
      </c>
      <c r="U34" s="854">
        <f>'qtrP&amp;L'!$AN163</f>
        <v>0</v>
      </c>
      <c r="V34" s="854"/>
      <c r="W34" s="854">
        <f>'qtrP&amp;L'!$AR160</f>
        <v>0</v>
      </c>
      <c r="X34" s="854">
        <f>'qtrP&amp;L'!$AR161</f>
        <v>0</v>
      </c>
      <c r="Y34" s="854">
        <f>'qtrP&amp;L'!$AR162</f>
        <v>-20.7</v>
      </c>
      <c r="Z34" s="854">
        <f>'qtrP&amp;L'!$AR163</f>
        <v>0</v>
      </c>
      <c r="AA34" s="854"/>
      <c r="AB34" s="854">
        <f>'qtrP&amp;L'!$AV160</f>
        <v>0</v>
      </c>
      <c r="AC34" s="854">
        <f>'qtrP&amp;L'!$AV161</f>
        <v>0</v>
      </c>
      <c r="AD34" s="854">
        <f>'qtrP&amp;L'!$AV162</f>
        <v>0</v>
      </c>
      <c r="AE34" s="854">
        <f>'qtrP&amp;L'!$AV163</f>
        <v>0</v>
      </c>
      <c r="AF34" s="854"/>
      <c r="AG34" s="854">
        <f>'qtrP&amp;L'!$AZ160</f>
        <v>0</v>
      </c>
      <c r="AH34" s="854">
        <f>'qtrP&amp;L'!$AZ161</f>
        <v>0</v>
      </c>
      <c r="AI34" s="854">
        <f>'qtrP&amp;L'!$AZ162</f>
        <v>0</v>
      </c>
      <c r="AJ34" s="854">
        <f>'qtrP&amp;L'!$AZ163</f>
        <v>0</v>
      </c>
      <c r="AK34" s="854"/>
      <c r="AL34" s="854">
        <f>'qtrP&amp;L'!$BD160</f>
        <v>0</v>
      </c>
      <c r="AM34" s="854">
        <f>'qtrP&amp;L'!$BD161</f>
        <v>0</v>
      </c>
      <c r="AN34" s="854">
        <f>'qtrP&amp;L'!$BD162</f>
        <v>0</v>
      </c>
      <c r="AO34" s="854">
        <f>'qtrP&amp;L'!$BD163</f>
        <v>0</v>
      </c>
      <c r="AP34" s="854"/>
      <c r="AQ34" s="854">
        <v>-5.0510000000000002</v>
      </c>
      <c r="AR34" s="854">
        <v>-5.4039999999999999</v>
      </c>
      <c r="AS34" s="854">
        <v>-5.8440000000000003</v>
      </c>
      <c r="AT34" s="854">
        <v>-19.614000000000001</v>
      </c>
      <c r="AU34" s="854"/>
      <c r="AV34" s="854">
        <v>-36.134999999999998</v>
      </c>
      <c r="AW34" s="854">
        <v>-18.556999999999999</v>
      </c>
      <c r="AX34" s="854">
        <v>-10.439</v>
      </c>
      <c r="AY34" s="854">
        <v>-13.566000000000001</v>
      </c>
      <c r="AZ34" s="854"/>
      <c r="BA34" s="854">
        <f>'qtrP&amp;L'!BQ160</f>
        <v>0</v>
      </c>
      <c r="BB34" s="854">
        <f>'qtrP&amp;L'!BQ161</f>
        <v>0</v>
      </c>
      <c r="BC34" s="854">
        <f>'qtrP&amp;L'!BQ162</f>
        <v>0</v>
      </c>
      <c r="BD34" s="854">
        <f>'qtrP&amp;L'!BQ163</f>
        <v>0</v>
      </c>
      <c r="BE34" s="854"/>
      <c r="BF34" s="854"/>
      <c r="BG34" s="854"/>
      <c r="BH34" s="854"/>
      <c r="BI34" s="855"/>
      <c r="BJ34" s="855"/>
      <c r="BK34" s="854"/>
      <c r="BL34" s="854"/>
      <c r="BM34" s="854"/>
      <c r="BN34" s="855"/>
      <c r="BO34" s="855"/>
      <c r="BP34" s="855"/>
      <c r="BQ34" s="855"/>
      <c r="BR34" s="855"/>
      <c r="BS34" s="855"/>
      <c r="BT34" s="855"/>
      <c r="BU34" s="855"/>
      <c r="BV34" s="855"/>
      <c r="BW34" s="855"/>
      <c r="BX34" s="855"/>
      <c r="BY34" s="855"/>
      <c r="BZ34" s="855"/>
      <c r="CA34" s="855"/>
      <c r="CB34" s="855"/>
      <c r="CC34" s="855"/>
      <c r="CD34" s="855"/>
      <c r="CE34" s="855"/>
      <c r="CF34" s="855"/>
      <c r="CG34" s="855"/>
      <c r="CH34" s="855"/>
      <c r="CI34" s="855"/>
      <c r="CJ34" s="855"/>
      <c r="CK34" s="855"/>
      <c r="CL34" s="855"/>
      <c r="CM34" s="855"/>
      <c r="CN34" s="855"/>
      <c r="CO34" s="855"/>
      <c r="CP34" s="855"/>
      <c r="CQ34" s="855"/>
      <c r="CR34" s="855"/>
      <c r="CS34" s="855"/>
      <c r="CT34" s="854"/>
      <c r="CU34" s="854"/>
      <c r="CV34" s="854"/>
      <c r="CW34" s="854"/>
      <c r="CX34" s="854"/>
      <c r="CY34" s="854"/>
      <c r="CZ34" s="855">
        <f>'qtrP&amp;L'!AF164</f>
        <v>0</v>
      </c>
      <c r="DA34" s="855">
        <f>'qtrP&amp;L'!AJ164</f>
        <v>0</v>
      </c>
      <c r="DB34" s="856">
        <f>'qtrP&amp;L'!AN164</f>
        <v>0</v>
      </c>
      <c r="DC34" s="855">
        <f>'qtrP&amp;L'!AR164</f>
        <v>-20.7</v>
      </c>
      <c r="DD34" s="855">
        <f>'yrP&amp;L'!N53</f>
        <v>-21.398</v>
      </c>
      <c r="DE34" s="856">
        <f>'yrP&amp;L'!P53</f>
        <v>-24.338999999999999</v>
      </c>
      <c r="DF34" s="855">
        <f>'yrP&amp;L'!R53</f>
        <v>-23.434000000000001</v>
      </c>
      <c r="DG34" s="855">
        <f>'yrP&amp;L'!S53</f>
        <v>-35.914000000000001</v>
      </c>
      <c r="DH34" s="855">
        <f>'yrP&amp;L'!T53</f>
        <v>-78.698999999999998</v>
      </c>
      <c r="DI34" s="856">
        <f>'yrP&amp;L'!U53</f>
        <v>0</v>
      </c>
      <c r="DJ34" s="856">
        <f>'yrP&amp;L'!V53</f>
        <v>0</v>
      </c>
      <c r="DK34" s="855">
        <f>'yrP&amp;L'!W53</f>
        <v>0</v>
      </c>
      <c r="DL34" s="855">
        <f>'yrP&amp;L'!X53</f>
        <v>0</v>
      </c>
      <c r="DM34" s="855">
        <f>'yrP&amp;L'!Y53</f>
        <v>0</v>
      </c>
      <c r="DN34" s="855">
        <f>'yrP&amp;L'!Z53</f>
        <v>0</v>
      </c>
      <c r="DO34" s="855">
        <f>'yrP&amp;L'!AA53</f>
        <v>0</v>
      </c>
      <c r="DP34" s="855">
        <f>'yrP&amp;L'!AB53</f>
        <v>0</v>
      </c>
      <c r="DQ34" s="855">
        <f>'yrP&amp;L'!AC53</f>
        <v>0</v>
      </c>
      <c r="DR34" s="855">
        <f>'yrP&amp;L'!AD53</f>
        <v>0</v>
      </c>
      <c r="DS34" s="857">
        <f>'yrP&amp;L'!AE53</f>
        <v>0</v>
      </c>
      <c r="DY34" s="113"/>
    </row>
    <row r="35" spans="1:131" ht="3.75" hidden="1" customHeight="1" outlineLevel="1">
      <c r="A35" s="801"/>
      <c r="B35" s="899"/>
      <c r="C35" s="899"/>
      <c r="D35" s="899"/>
      <c r="E35" s="899"/>
      <c r="F35" s="899"/>
      <c r="G35" s="899"/>
      <c r="H35" s="899"/>
      <c r="I35" s="899"/>
      <c r="J35" s="899"/>
      <c r="K35" s="899"/>
      <c r="L35" s="899"/>
      <c r="M35" s="899"/>
      <c r="N35" s="899"/>
      <c r="O35" s="899"/>
      <c r="P35" s="899"/>
      <c r="Q35" s="899"/>
      <c r="R35" s="899"/>
      <c r="S35" s="899"/>
      <c r="T35" s="899"/>
      <c r="U35" s="899"/>
      <c r="V35" s="899"/>
      <c r="W35" s="899"/>
      <c r="X35" s="899"/>
      <c r="Y35" s="899"/>
      <c r="Z35" s="899"/>
      <c r="AA35" s="899"/>
      <c r="AB35" s="899"/>
      <c r="AC35" s="899"/>
      <c r="AD35" s="899"/>
      <c r="AE35" s="899"/>
      <c r="AF35" s="899"/>
      <c r="AG35" s="899"/>
      <c r="AH35" s="899"/>
      <c r="AI35" s="899"/>
      <c r="AJ35" s="899"/>
      <c r="AK35" s="899"/>
      <c r="AL35" s="899"/>
      <c r="AM35" s="899"/>
      <c r="AN35" s="899"/>
      <c r="AO35" s="899"/>
      <c r="AP35" s="899"/>
      <c r="AQ35" s="899"/>
      <c r="AR35" s="900"/>
      <c r="AS35" s="899"/>
      <c r="AT35" s="899"/>
      <c r="AU35" s="899"/>
      <c r="AV35" s="899"/>
      <c r="AW35" s="900"/>
      <c r="AX35" s="899"/>
      <c r="AY35" s="899"/>
      <c r="AZ35" s="901"/>
      <c r="BA35" s="899"/>
      <c r="BB35" s="900"/>
      <c r="BC35" s="899"/>
      <c r="BD35" s="899"/>
      <c r="BE35" s="901"/>
      <c r="BF35" s="899"/>
      <c r="BG35" s="900"/>
      <c r="BH35" s="899"/>
      <c r="BI35" s="901"/>
      <c r="BJ35" s="902"/>
      <c r="BK35" s="899"/>
      <c r="BL35" s="900"/>
      <c r="BM35" s="899"/>
      <c r="BN35" s="901"/>
      <c r="BO35" s="901"/>
      <c r="BP35" s="901"/>
      <c r="BQ35" s="901"/>
      <c r="BR35" s="901"/>
      <c r="BS35" s="902"/>
      <c r="BT35" s="901"/>
      <c r="BU35" s="901"/>
      <c r="BV35" s="901"/>
      <c r="BW35" s="901"/>
      <c r="BX35" s="902"/>
      <c r="BY35" s="901"/>
      <c r="BZ35" s="901"/>
      <c r="CA35" s="901"/>
      <c r="CB35" s="901"/>
      <c r="CC35" s="902"/>
      <c r="CD35" s="901"/>
      <c r="CE35" s="901"/>
      <c r="CF35" s="901"/>
      <c r="CG35" s="901"/>
      <c r="CH35" s="902"/>
      <c r="CI35" s="901"/>
      <c r="CJ35" s="901"/>
      <c r="CK35" s="901"/>
      <c r="CL35" s="901"/>
      <c r="CM35" s="902"/>
      <c r="CN35" s="901"/>
      <c r="CO35" s="901"/>
      <c r="CP35" s="901"/>
      <c r="CQ35" s="901"/>
      <c r="CR35" s="902"/>
      <c r="CS35" s="901"/>
      <c r="CT35" s="901"/>
      <c r="CU35" s="901"/>
      <c r="CV35" s="901"/>
      <c r="CW35" s="901"/>
      <c r="CX35" s="901"/>
      <c r="CY35" s="901"/>
      <c r="CZ35" s="902"/>
      <c r="DA35" s="902"/>
      <c r="DB35" s="903"/>
      <c r="DC35" s="901"/>
      <c r="DD35" s="901"/>
      <c r="DE35" s="903"/>
      <c r="DF35" s="901"/>
      <c r="DG35" s="901"/>
      <c r="DH35" s="901"/>
      <c r="DI35" s="903"/>
      <c r="DJ35" s="903"/>
      <c r="DK35" s="901"/>
      <c r="DL35" s="902"/>
      <c r="DM35" s="901"/>
      <c r="DN35" s="902"/>
      <c r="DO35" s="901"/>
      <c r="DP35" s="901"/>
      <c r="DQ35" s="902"/>
      <c r="DR35" s="901"/>
      <c r="DS35" s="904"/>
    </row>
    <row r="36" spans="1:131" hidden="1" outlineLevel="1">
      <c r="A36" s="888" t="s">
        <v>411</v>
      </c>
      <c r="B36" s="889"/>
      <c r="C36" s="890">
        <f>C28/C37</f>
        <v>0.13769082827985385</v>
      </c>
      <c r="D36" s="890">
        <f>D28/D37</f>
        <v>0.17362882212667227</v>
      </c>
      <c r="E36" s="890">
        <f>E28/E37</f>
        <v>0.36307609362509058</v>
      </c>
      <c r="F36" s="890">
        <f>F28/F37</f>
        <v>0.7258204592111861</v>
      </c>
      <c r="G36" s="890"/>
      <c r="H36" s="890">
        <f>H28/H37</f>
        <v>0.15560497535428208</v>
      </c>
      <c r="I36" s="890">
        <f>I28/I37</f>
        <v>0.20808424447416043</v>
      </c>
      <c r="J36" s="890">
        <f>J28/J37</f>
        <v>0.42927482569819209</v>
      </c>
      <c r="K36" s="890">
        <f>K28/K37</f>
        <v>0.76074641129469267</v>
      </c>
      <c r="L36" s="890"/>
      <c r="M36" s="890">
        <f>M28/M37</f>
        <v>0.22479193185156135</v>
      </c>
      <c r="N36" s="890">
        <f>N28/N37</f>
        <v>0.30285320061104781</v>
      </c>
      <c r="O36" s="890">
        <f>O28/O37</f>
        <v>0.4728527237666722</v>
      </c>
      <c r="P36" s="890">
        <f>P28/P37</f>
        <v>0.93992836878005559</v>
      </c>
      <c r="Q36" s="890"/>
      <c r="R36" s="890">
        <f>(R28+R34)/R37</f>
        <v>0.25641308158461434</v>
      </c>
      <c r="S36" s="890">
        <f>(S28+S34)/S37</f>
        <v>0.34337048577820412</v>
      </c>
      <c r="T36" s="890">
        <f>(T28+T34)/T37</f>
        <v>0.50197776028738006</v>
      </c>
      <c r="U36" s="890">
        <f>(U28+U34)/U37</f>
        <v>0.96202945655617933</v>
      </c>
      <c r="V36" s="890"/>
      <c r="W36" s="890">
        <f>(W28+W34)/W37</f>
        <v>0.3016351474110166</v>
      </c>
      <c r="X36" s="890">
        <f>(X28+X34)/X37</f>
        <v>0.43882569935444249</v>
      </c>
      <c r="Y36" s="890">
        <f>(Y28+Y34)/Y37</f>
        <v>0.41841197260647578</v>
      </c>
      <c r="Z36" s="890">
        <f>(Z28+Z34)/Z37</f>
        <v>1.1013002754820944</v>
      </c>
      <c r="AA36" s="890"/>
      <c r="AB36" s="890">
        <f>(AB28+AB34)/AB37</f>
        <v>0.444910913140311</v>
      </c>
      <c r="AC36" s="890">
        <f>(AC28+AC34)/AC37</f>
        <v>0.61193866733696867</v>
      </c>
      <c r="AD36" s="890">
        <f>(AD28+AD34)/AD37</f>
        <v>0.86731964005394757</v>
      </c>
      <c r="AE36" s="890">
        <f>(AE28+AE34)/AE37</f>
        <v>1.7779567241851555</v>
      </c>
      <c r="AF36" s="890"/>
      <c r="AG36" s="890">
        <f>(AG28+AG34)/AG37</f>
        <v>0.61580912545030464</v>
      </c>
      <c r="AH36" s="890">
        <f>(AH28+AH34)/AH37</f>
        <v>0.72080984448002783</v>
      </c>
      <c r="AI36" s="890">
        <f>(AI28+AI34)/AI37</f>
        <v>1.1072754107611826</v>
      </c>
      <c r="AJ36" s="890">
        <f>(AJ28+AJ34)/AJ37</f>
        <v>2.1409497472237824</v>
      </c>
      <c r="AK36" s="890"/>
      <c r="AL36" s="890">
        <f>(AL28+AL34)/AL37</f>
        <v>0.65098816798855796</v>
      </c>
      <c r="AM36" s="890">
        <f>(AM28+AM34)/AM37</f>
        <v>0.88060979045225052</v>
      </c>
      <c r="AN36" s="890">
        <f>(AN28+AN34)/AN37</f>
        <v>1.290257096770653</v>
      </c>
      <c r="AO36" s="890">
        <f>(AO28+AO34)/AO37</f>
        <v>2.4021277774699406</v>
      </c>
      <c r="AP36" s="890"/>
      <c r="AQ36" s="890">
        <f>(AQ28+AQ34)/AQ37</f>
        <v>0.68915440768599268</v>
      </c>
      <c r="AR36" s="905">
        <f>(AR28+AR34)/AR37</f>
        <v>0.86516679079177028</v>
      </c>
      <c r="AS36" s="890">
        <f>(AS28+AS34)/AS37</f>
        <v>0.7195347161227853</v>
      </c>
      <c r="AT36" s="890">
        <f>(AT28+AT34)/AT37</f>
        <v>0.77507987944435586</v>
      </c>
      <c r="AU36" s="890"/>
      <c r="AV36" s="890">
        <f>(AV28+AV34)/AV37</f>
        <v>-0.67550771406091337</v>
      </c>
      <c r="AW36" s="905">
        <f>(AW28+AW34)/AW37</f>
        <v>-0.30437652199640414</v>
      </c>
      <c r="AX36" s="890">
        <f>(AX28+AX34)/AX37</f>
        <v>0.43710131860700946</v>
      </c>
      <c r="AY36" s="890">
        <f>(AY28+AY34)/AY37</f>
        <v>0.75609892946113855</v>
      </c>
      <c r="AZ36" s="890"/>
      <c r="BA36" s="890">
        <f>(BA28+BA34)/BA37</f>
        <v>-0.1342641466598562</v>
      </c>
      <c r="BB36" s="905">
        <f>(BB28+BB34)/BB37</f>
        <v>0.23792003221981023</v>
      </c>
      <c r="BC36" s="890">
        <f>(BC28+BC34)/BC37</f>
        <v>0.55557405988742015</v>
      </c>
      <c r="BD36" s="890">
        <f>(BD28+BD34)/BD37</f>
        <v>1.3750117409714657</v>
      </c>
      <c r="BE36" s="890"/>
      <c r="BF36" s="890"/>
      <c r="BG36" s="905"/>
      <c r="BH36" s="890"/>
      <c r="BI36" s="890"/>
      <c r="BJ36" s="890"/>
      <c r="BK36" s="890"/>
      <c r="BL36" s="905"/>
      <c r="BM36" s="890"/>
      <c r="BN36" s="890"/>
      <c r="BO36" s="890"/>
      <c r="BP36" s="890"/>
      <c r="BQ36" s="890"/>
      <c r="BR36" s="890"/>
      <c r="BS36" s="890"/>
      <c r="BT36" s="894"/>
      <c r="BU36" s="890"/>
      <c r="BV36" s="890"/>
      <c r="BW36" s="890"/>
      <c r="BX36" s="890"/>
      <c r="BY36" s="894"/>
      <c r="BZ36" s="890"/>
      <c r="CA36" s="890"/>
      <c r="CB36" s="890"/>
      <c r="CC36" s="890"/>
      <c r="CD36" s="894"/>
      <c r="CE36" s="890"/>
      <c r="CF36" s="890"/>
      <c r="CG36" s="890"/>
      <c r="CH36" s="890"/>
      <c r="CI36" s="890"/>
      <c r="CJ36" s="890"/>
      <c r="CK36" s="890"/>
      <c r="CL36" s="890"/>
      <c r="CM36" s="890"/>
      <c r="CN36" s="890"/>
      <c r="CO36" s="890"/>
      <c r="CP36" s="890"/>
      <c r="CQ36" s="890"/>
      <c r="CR36" s="890"/>
      <c r="CS36" s="890"/>
      <c r="CT36" s="890"/>
      <c r="CU36" s="890"/>
      <c r="CV36" s="890"/>
      <c r="CW36" s="890"/>
      <c r="CX36" s="890"/>
      <c r="CY36" s="890"/>
      <c r="CZ36" s="890">
        <f t="shared" ref="CZ36:DG36" si="14">(CZ28+CZ34)/CZ37</f>
        <v>1.6451952713510982</v>
      </c>
      <c r="DA36" s="890">
        <f t="shared" si="14"/>
        <v>1.9353280798163568</v>
      </c>
      <c r="DB36" s="892">
        <f t="shared" si="14"/>
        <v>2.056939144406511</v>
      </c>
      <c r="DC36" s="890">
        <f t="shared" si="14"/>
        <v>2.2749868573230994</v>
      </c>
      <c r="DD36" s="890">
        <f t="shared" si="14"/>
        <v>3.6612622093596885</v>
      </c>
      <c r="DE36" s="892">
        <f t="shared" si="14"/>
        <v>4.5884686447125285</v>
      </c>
      <c r="DF36" s="890">
        <f t="shared" si="14"/>
        <v>5.1975241196202058</v>
      </c>
      <c r="DG36" s="890">
        <f t="shared" si="14"/>
        <v>3.1050833790639598</v>
      </c>
      <c r="DH36" s="890">
        <f t="shared" ref="DH36:DM36" si="15">DH28/DH37</f>
        <v>1.1158234490853072</v>
      </c>
      <c r="DI36" s="892">
        <f t="shared" si="15"/>
        <v>2.0957696631089227</v>
      </c>
      <c r="DJ36" s="892">
        <f t="shared" si="15"/>
        <v>2.4802707260685533</v>
      </c>
      <c r="DK36" s="890">
        <f t="shared" si="15"/>
        <v>2.9046621440873408</v>
      </c>
      <c r="DL36" s="890">
        <f t="shared" si="15"/>
        <v>1.914180329939619</v>
      </c>
      <c r="DM36" s="890">
        <f t="shared" si="15"/>
        <v>1.5400825369839728</v>
      </c>
      <c r="DN36" s="890">
        <f t="shared" ref="DN36:DS36" si="16">DN28/DN37</f>
        <v>1.1672126424362956</v>
      </c>
      <c r="DO36" s="890">
        <f t="shared" si="16"/>
        <v>-4.5105734872022815E-3</v>
      </c>
      <c r="DP36" s="890">
        <f t="shared" si="16"/>
        <v>0.6978949036785167</v>
      </c>
      <c r="DQ36" s="890">
        <f t="shared" si="16"/>
        <v>0.30094393598771163</v>
      </c>
      <c r="DR36" s="894">
        <f t="shared" si="16"/>
        <v>0.39950394113841992</v>
      </c>
      <c r="DS36" s="893">
        <f t="shared" si="16"/>
        <v>0.34834858464847474</v>
      </c>
    </row>
    <row r="37" spans="1:131" hidden="1" outlineLevel="1">
      <c r="A37" s="906" t="s">
        <v>297</v>
      </c>
      <c r="B37" s="907"/>
      <c r="C37" s="907">
        <f>'qtrP&amp;L'!$X193</f>
        <v>108.67100000000001</v>
      </c>
      <c r="D37" s="907">
        <f>'qtrP&amp;L'!$X194</f>
        <v>108.611</v>
      </c>
      <c r="E37" s="907">
        <f>'qtrP&amp;L'!$X195</f>
        <v>107.578</v>
      </c>
      <c r="F37" s="907">
        <f>'qtrP&amp;L'!$X196</f>
        <v>105.703</v>
      </c>
      <c r="G37" s="907"/>
      <c r="H37" s="907">
        <f>'qtrP&amp;L'!$AB193</f>
        <v>103.872</v>
      </c>
      <c r="I37" s="907">
        <f>'qtrP&amp;L'!$AB194</f>
        <v>101.70399999999999</v>
      </c>
      <c r="J37" s="907">
        <f>'qtrP&amp;L'!$AB195</f>
        <v>101.548</v>
      </c>
      <c r="K37" s="907">
        <f>'qtrP&amp;L'!$AB196</f>
        <v>101.499</v>
      </c>
      <c r="L37" s="907"/>
      <c r="M37" s="907">
        <f>'qtrP&amp;L'!$AJ193</f>
        <v>102.13</v>
      </c>
      <c r="N37" s="907">
        <f>'qtrP&amp;L'!$AJ194</f>
        <v>101.465</v>
      </c>
      <c r="O37" s="907">
        <f>'qtrP&amp;L'!$AJ195</f>
        <v>99.567999999999998</v>
      </c>
      <c r="P37" s="907">
        <f>'qtrP&amp;L'!$AJ196</f>
        <v>99.397999999999996</v>
      </c>
      <c r="Q37" s="907"/>
      <c r="R37" s="907">
        <f>'qtrP&amp;L'!$AN193</f>
        <v>99.834999999999994</v>
      </c>
      <c r="S37" s="907">
        <f>'qtrP&amp;L'!$AN194</f>
        <v>100.128</v>
      </c>
      <c r="T37" s="907">
        <f>'qtrP&amp;L'!$AN195</f>
        <v>99.102000000000004</v>
      </c>
      <c r="U37" s="907">
        <f>'qtrP&amp;L'!$AN196</f>
        <v>97.838999999999999</v>
      </c>
      <c r="V37" s="907"/>
      <c r="W37" s="907">
        <f>+'qtrP&amp;L'!$AR$193</f>
        <v>96.872</v>
      </c>
      <c r="X37" s="907">
        <f>+'qtrP&amp;L'!$AR$194</f>
        <v>97.59</v>
      </c>
      <c r="Y37" s="907">
        <f>+'qtrP&amp;L'!$AR$195</f>
        <v>95.350999999999999</v>
      </c>
      <c r="Z37" s="907">
        <f>+'qtrP&amp;L'!$AR$196</f>
        <v>90.75</v>
      </c>
      <c r="AA37" s="907"/>
      <c r="AB37" s="907">
        <f>+'qtrP&amp;L'!$AV$193</f>
        <v>89.8</v>
      </c>
      <c r="AC37" s="907">
        <f>+'qtrP&amp;L'!$AV$194</f>
        <v>91.501000000000005</v>
      </c>
      <c r="AD37" s="907">
        <f>+'qtrP&amp;L'!$AV$195</f>
        <v>90.457999999999998</v>
      </c>
      <c r="AE37" s="907">
        <f>+'qtrP&amp;L'!$AV$196</f>
        <v>91.275000000000006</v>
      </c>
      <c r="AF37" s="907"/>
      <c r="AG37" s="907">
        <f>'qtrP&amp;L'!AZ193</f>
        <v>91.326999999999998</v>
      </c>
      <c r="AH37" s="907">
        <f>'qtrP&amp;L'!AZ194</f>
        <v>91.177999999999997</v>
      </c>
      <c r="AI37" s="907">
        <f>'qtrP&amp;L'!AZ195</f>
        <v>92.146000000000001</v>
      </c>
      <c r="AJ37" s="907">
        <f>'qtrP&amp;L'!AZ196</f>
        <v>92.572000000000003</v>
      </c>
      <c r="AK37" s="907"/>
      <c r="AL37" s="907">
        <f>'qtrP&amp;L'!BD193</f>
        <v>92.292000000000002</v>
      </c>
      <c r="AM37" s="907">
        <f>'qtrP&amp;L'!BD194</f>
        <v>92.293999999999997</v>
      </c>
      <c r="AN37" s="907">
        <f>'qtrP&amp;L'!BD195</f>
        <v>91.132999999999996</v>
      </c>
      <c r="AO37" s="907">
        <f>'qtrP&amp;L'!BD196</f>
        <v>90.234999999999999</v>
      </c>
      <c r="AP37" s="907"/>
      <c r="AQ37" s="907">
        <f>'qtrP&amp;L'!BH193</f>
        <v>90.138000000000005</v>
      </c>
      <c r="AR37" s="907">
        <f>'qtrP&amp;L'!BH194</f>
        <v>89.962999999999994</v>
      </c>
      <c r="AS37" s="907">
        <f>'qtrP&amp;L'!BH195</f>
        <v>88.805999999999997</v>
      </c>
      <c r="AT37" s="907">
        <f>'qtrP&amp;L'!BH196</f>
        <v>88.257999999999996</v>
      </c>
      <c r="AU37" s="907"/>
      <c r="AV37" s="907">
        <f>'qtrP&amp;L'!$BL$193</f>
        <v>87.697000000000003</v>
      </c>
      <c r="AW37" s="907">
        <f>'qtrP&amp;L'!$BL$194</f>
        <v>87.878</v>
      </c>
      <c r="AX37" s="907">
        <f>'qtrP&amp;L'!$BL$195</f>
        <v>88.73</v>
      </c>
      <c r="AY37" s="907">
        <f>'qtrP&amp;L'!$BL$196</f>
        <v>89.114000000000004</v>
      </c>
      <c r="AZ37" s="908"/>
      <c r="BA37" s="907">
        <f>'qtrP&amp;L'!$BP193</f>
        <v>88.094999999999999</v>
      </c>
      <c r="BB37" s="907">
        <f>'qtrP&amp;L'!$BP$194</f>
        <v>89.385999999999996</v>
      </c>
      <c r="BC37" s="907">
        <f>'qtrP&amp;L'!$BP$195</f>
        <v>90.069000000000003</v>
      </c>
      <c r="BD37" s="907">
        <f>'qtrP&amp;L'!$BP$196</f>
        <v>90.213999999999999</v>
      </c>
      <c r="BE37" s="908"/>
      <c r="BF37" s="907">
        <f>'qtrP&amp;L'!$BT193</f>
        <v>90.441000000000003</v>
      </c>
      <c r="BG37" s="907">
        <f>'qtrP&amp;L'!$BT194</f>
        <v>90.352999999999994</v>
      </c>
      <c r="BH37" s="907">
        <f>'qtrP&amp;L'!$BT195</f>
        <v>89.706999999999994</v>
      </c>
      <c r="BI37" s="908">
        <f>'qtrP&amp;L'!$BT196</f>
        <v>87.647999999999996</v>
      </c>
      <c r="BJ37" s="908"/>
      <c r="BK37" s="907">
        <f>'qtrP&amp;L'!$BX193</f>
        <v>86.183999999999997</v>
      </c>
      <c r="BL37" s="907">
        <f>'qtrP&amp;L'!$BX194</f>
        <v>83.441000000000003</v>
      </c>
      <c r="BM37" s="907">
        <f>'qtrP&amp;L'!$BX195</f>
        <v>82.522000000000006</v>
      </c>
      <c r="BN37" s="908">
        <f>'qtrP&amp;L'!$BX196</f>
        <v>80.554000000000002</v>
      </c>
      <c r="BO37" s="908"/>
      <c r="BP37" s="908">
        <f>'qtrP&amp;L'!CB193</f>
        <v>78.323999999999998</v>
      </c>
      <c r="BQ37" s="908">
        <f>'qtrP&amp;L'!CB194</f>
        <v>79.266999999999996</v>
      </c>
      <c r="BR37" s="908">
        <f>'qtrP&amp;L'!CB195</f>
        <v>77.677000000000007</v>
      </c>
      <c r="BS37" s="909">
        <f>'qtrP&amp;L'!CB196</f>
        <v>77.567999999999998</v>
      </c>
      <c r="BT37" s="908"/>
      <c r="BU37" s="908">
        <f>'qtrP&amp;L'!CF193</f>
        <v>74.483000000000004</v>
      </c>
      <c r="BV37" s="908">
        <f>'qtrP&amp;L'!CF194</f>
        <v>73.756</v>
      </c>
      <c r="BW37" s="908">
        <f>'qtrP&amp;L'!CF195</f>
        <v>72.128</v>
      </c>
      <c r="BX37" s="909">
        <f>'qtrP&amp;L'!CF196</f>
        <v>70.135999999999996</v>
      </c>
      <c r="BY37" s="908"/>
      <c r="BZ37" s="908">
        <f>'qtrP&amp;L'!CJ193</f>
        <v>69.510000000000005</v>
      </c>
      <c r="CA37" s="908">
        <f>'qtrP&amp;L'!CJ194</f>
        <v>70.093999999999994</v>
      </c>
      <c r="CB37" s="908">
        <f>'qtrP&amp;L'!CJ195</f>
        <v>69.265000000000001</v>
      </c>
      <c r="CC37" s="909">
        <f>'qtrP&amp;L'!CJ196</f>
        <v>68.242999999999995</v>
      </c>
      <c r="CD37" s="908"/>
      <c r="CE37" s="908">
        <f>'qtrP&amp;L'!CN193</f>
        <v>67.625</v>
      </c>
      <c r="CF37" s="908">
        <f>'qtrP&amp;L'!CN194</f>
        <v>67.944000000000003</v>
      </c>
      <c r="CG37" s="908">
        <f>'qtrP&amp;L'!CN195</f>
        <v>68.277000000000001</v>
      </c>
      <c r="CH37" s="909">
        <f>'qtrP&amp;L'!CN196</f>
        <v>68.299000000000007</v>
      </c>
      <c r="CI37" s="908"/>
      <c r="CJ37" s="908">
        <f t="array" ref="CJ37:CM37">TRANSPOSE('qtrP&amp;L'!CR193:CR196)</f>
        <v>68.072999999999993</v>
      </c>
      <c r="CK37" s="908">
        <v>68.456000000000003</v>
      </c>
      <c r="CL37" s="908">
        <v>68.512</v>
      </c>
      <c r="CM37" s="909">
        <v>70.356999999999999</v>
      </c>
      <c r="CN37" s="908"/>
      <c r="CO37" s="908">
        <f t="array" ref="CO37:CR37">TRANSPOSE('qtrP&amp;L'!CV193:CV196)</f>
        <v>70.606999999999999</v>
      </c>
      <c r="CP37" s="908">
        <v>70.856999999999999</v>
      </c>
      <c r="CQ37" s="908">
        <v>71.156999999999996</v>
      </c>
      <c r="CR37" s="909">
        <v>71.456999999999994</v>
      </c>
      <c r="CS37" s="908"/>
      <c r="CT37" s="908">
        <f>'yrP&amp;L'!C61</f>
        <v>102.1</v>
      </c>
      <c r="CU37" s="908">
        <f>'yrP&amp;L'!D61</f>
        <v>102.1</v>
      </c>
      <c r="CV37" s="908">
        <f>'yrP&amp;L'!E61</f>
        <v>102.956</v>
      </c>
      <c r="CW37" s="908">
        <f>'yrP&amp;L'!F61</f>
        <v>106.202</v>
      </c>
      <c r="CX37" s="908">
        <f>'yrP&amp;L'!G61</f>
        <v>107.64100000000001</v>
      </c>
      <c r="CY37" s="908">
        <f>'yrP&amp;L'!H61</f>
        <v>102.15600000000001</v>
      </c>
      <c r="CZ37" s="909">
        <f>'yrP&amp;L'!I61</f>
        <v>102.524</v>
      </c>
      <c r="DA37" s="909">
        <f>'yrP&amp;L'!J61</f>
        <v>100.631</v>
      </c>
      <c r="DB37" s="910">
        <f>'yrP&amp;L'!K61</f>
        <v>99.58</v>
      </c>
      <c r="DC37" s="908">
        <f>'yrP&amp;L'!L61</f>
        <v>95.11</v>
      </c>
      <c r="DD37" s="908">
        <f>'yrP&amp;L'!N61</f>
        <v>91.221000000000004</v>
      </c>
      <c r="DE37" s="910">
        <f>'yrP&amp;L'!O61</f>
        <v>92.01</v>
      </c>
      <c r="DF37" s="908">
        <f>'yrP&amp;L'!Q61</f>
        <v>91.522999999999996</v>
      </c>
      <c r="DG37" s="908">
        <f>'yrP&amp;L'!S61</f>
        <v>89.290999999999997</v>
      </c>
      <c r="DH37" s="908">
        <f>'yrP&amp;L'!T61</f>
        <v>88.608999999999995</v>
      </c>
      <c r="DI37" s="910">
        <f>'yrP&amp;L'!U61</f>
        <v>89.850999999999999</v>
      </c>
      <c r="DJ37" s="910">
        <f>'yrP&amp;L'!V61</f>
        <v>89.537000000000006</v>
      </c>
      <c r="DK37" s="908">
        <f>'yrP&amp;L'!W61</f>
        <v>83.175250000000005</v>
      </c>
      <c r="DL37" s="908">
        <f>'yrP&amp;L'!X61</f>
        <v>79.165999999999997</v>
      </c>
      <c r="DM37" s="908">
        <f>'yrP&amp;L'!Y61</f>
        <v>72.936999999999998</v>
      </c>
      <c r="DN37" s="909">
        <f>'yrP&amp;L'!Z61</f>
        <v>69.417000000000002</v>
      </c>
      <c r="DO37" s="908">
        <f>'yrP&amp;L'!AA61</f>
        <v>68.284000000000006</v>
      </c>
      <c r="DP37" s="908">
        <f>'yrP&amp;L'!AB61</f>
        <v>69.403000000000006</v>
      </c>
      <c r="DQ37" s="909">
        <f>'yrP&amp;L'!AC61</f>
        <v>71.019499999999994</v>
      </c>
      <c r="DR37" s="908">
        <f>'yrP&amp;L'!AD61</f>
        <v>71.956999999999994</v>
      </c>
      <c r="DS37" s="912">
        <f>'yrP&amp;L'!AE61</f>
        <v>72.456999999999994</v>
      </c>
    </row>
    <row r="38" spans="1:131" ht="12.75" customHeight="1" collapsed="1">
      <c r="A38" s="906" t="s">
        <v>740</v>
      </c>
      <c r="B38" s="907"/>
      <c r="C38" s="907">
        <f>'qtrP&amp;L'!$X220</f>
        <v>103.194</v>
      </c>
      <c r="D38" s="907">
        <f>'qtrP&amp;L'!$X221</f>
        <v>103.182</v>
      </c>
      <c r="E38" s="907">
        <f>'qtrP&amp;L'!$X222</f>
        <v>102.917</v>
      </c>
      <c r="F38" s="907">
        <f>'qtrP&amp;L'!$X223</f>
        <v>102.191</v>
      </c>
      <c r="G38" s="907"/>
      <c r="H38" s="907">
        <f>'qtrP&amp;L'!$AB220</f>
        <v>102.05500000000001</v>
      </c>
      <c r="I38" s="907">
        <f>'qtrP&amp;L'!$AB221</f>
        <v>100.44799999999999</v>
      </c>
      <c r="J38" s="907">
        <f>'qtrP&amp;L'!$AB222</f>
        <v>98.968999999999994</v>
      </c>
      <c r="K38" s="907">
        <f>'qtrP&amp;L'!$AB223</f>
        <v>98.772000000000006</v>
      </c>
      <c r="L38" s="907"/>
      <c r="M38" s="907">
        <f>'qtrP&amp;L'!$AJ220</f>
        <v>99.052999999999997</v>
      </c>
      <c r="N38" s="907">
        <f>'qtrP&amp;L'!$AJ221</f>
        <v>98.763999999999996</v>
      </c>
      <c r="O38" s="907">
        <f>'qtrP&amp;L'!$AJ222</f>
        <v>97.647999999999996</v>
      </c>
      <c r="P38" s="907">
        <f>'qtrP&amp;L'!$AJ223</f>
        <v>97.703000000000003</v>
      </c>
      <c r="Q38" s="907"/>
      <c r="R38" s="907">
        <f>'qtrP&amp;L'!$AN220</f>
        <v>97.634</v>
      </c>
      <c r="S38" s="907">
        <f>'qtrP&amp;L'!$AN221</f>
        <v>97.186000000000007</v>
      </c>
      <c r="T38" s="907">
        <f>'qtrP&amp;L'!$AN222</f>
        <v>96.406999999999996</v>
      </c>
      <c r="U38" s="907">
        <f>'qtrP&amp;L'!$AN223</f>
        <v>96.200999999999993</v>
      </c>
      <c r="V38" s="907"/>
      <c r="W38" s="907">
        <f>'qtrP&amp;L'!$AR220</f>
        <v>94.709000000000003</v>
      </c>
      <c r="X38" s="907">
        <f>'qtrP&amp;L'!$AR221</f>
        <v>95.305999999999997</v>
      </c>
      <c r="Y38" s="907">
        <f>'qtrP&amp;L'!$AR222</f>
        <v>93.448999999999998</v>
      </c>
      <c r="Z38" s="907">
        <f>'qtrP&amp;L'!$AR223</f>
        <v>87.64</v>
      </c>
      <c r="AA38" s="907"/>
      <c r="AB38" s="907">
        <f>'qtrP&amp;L'!$AV220</f>
        <v>86.221000000000004</v>
      </c>
      <c r="AC38" s="907">
        <f>'qtrP&amp;L'!$AV221</f>
        <v>86.950999999999993</v>
      </c>
      <c r="AD38" s="907">
        <f>'qtrP&amp;L'!$AV222</f>
        <v>87.861999999999995</v>
      </c>
      <c r="AE38" s="907">
        <f>'qtrP&amp;L'!$AV223</f>
        <v>87.647000000000006</v>
      </c>
      <c r="AF38" s="907"/>
      <c r="AG38" s="907">
        <f>'qtrP&amp;L'!$AZ220</f>
        <v>87.858000000000004</v>
      </c>
      <c r="AH38" s="907">
        <f>'qtrP&amp;L'!$AZ221</f>
        <v>87.980999999999995</v>
      </c>
      <c r="AI38" s="907">
        <f>'qtrP&amp;L'!$AZ222</f>
        <v>88.105999999999995</v>
      </c>
      <c r="AJ38" s="907">
        <f>'qtrP&amp;L'!$AZ223</f>
        <v>88.159000000000006</v>
      </c>
      <c r="AK38" s="907"/>
      <c r="AL38" s="907">
        <f>'qtrP&amp;L'!$BD220</f>
        <v>87.745999999999995</v>
      </c>
      <c r="AM38" s="907">
        <f>'qtrP&amp;L'!$BD221</f>
        <v>88.09</v>
      </c>
      <c r="AN38" s="907">
        <f>'qtrP&amp;L'!$BD222</f>
        <v>91.132999999999996</v>
      </c>
      <c r="AO38" s="907">
        <f>'qtrP&amp;L'!$BD223</f>
        <v>86.122</v>
      </c>
      <c r="AP38" s="907"/>
      <c r="AQ38" s="907">
        <f>'qtrP&amp;L'!$BH220</f>
        <v>86.334999999999994</v>
      </c>
      <c r="AR38" s="907">
        <f>'qtrP&amp;L'!$BH221</f>
        <v>86.841999999999999</v>
      </c>
      <c r="AS38" s="907">
        <f>'qtrP&amp;L'!$BH222</f>
        <v>87.034000000000006</v>
      </c>
      <c r="AT38" s="907">
        <f>'qtrP&amp;L'!$BH223</f>
        <v>87.052000000000007</v>
      </c>
      <c r="AU38" s="907"/>
      <c r="AV38" s="907">
        <f>'qtrP&amp;L'!$BL220</f>
        <v>87.697000000000003</v>
      </c>
      <c r="AW38" s="907">
        <f>'qtrP&amp;L'!$BL221</f>
        <v>87.878</v>
      </c>
      <c r="AX38" s="907">
        <f>'qtrP&amp;L'!$BL222</f>
        <v>87.942999999999998</v>
      </c>
      <c r="AY38" s="907">
        <f>'qtrP&amp;L'!$BL223</f>
        <v>87.977000000000004</v>
      </c>
      <c r="AZ38" s="908"/>
      <c r="BA38" s="907">
        <f>'qtrP&amp;L'!$BP220</f>
        <v>88.094999999999999</v>
      </c>
      <c r="BB38" s="907">
        <f>'qtrP&amp;L'!$BP221</f>
        <v>88.22</v>
      </c>
      <c r="BC38" s="907">
        <f>'qtrP&amp;L'!$BP222</f>
        <v>88.236000000000004</v>
      </c>
      <c r="BD38" s="907">
        <f>'qtrP&amp;L'!$BP223</f>
        <v>87.691000000000003</v>
      </c>
      <c r="BE38" s="908"/>
      <c r="BF38" s="907">
        <f>'qtrP&amp;L'!$BT220</f>
        <v>87.281999999999996</v>
      </c>
      <c r="BG38" s="907">
        <f>'qtrP&amp;L'!$BT221</f>
        <v>87.266999999999996</v>
      </c>
      <c r="BH38" s="907">
        <f>'qtrP&amp;L'!$BT222</f>
        <v>86.962000000000003</v>
      </c>
      <c r="BI38" s="908">
        <f>'qtrP&amp;L'!$BT223</f>
        <v>85.638000000000005</v>
      </c>
      <c r="BJ38" s="908"/>
      <c r="BK38" s="907">
        <f>'qtrP&amp;L'!$BX220</f>
        <v>84.593000000000004</v>
      </c>
      <c r="BL38" s="907">
        <f>'qtrP&amp;L'!$BX221</f>
        <v>82.555000000000007</v>
      </c>
      <c r="BM38" s="907">
        <f>'qtrP&amp;L'!$BX222</f>
        <v>81.668999999999997</v>
      </c>
      <c r="BN38" s="908">
        <f>'qtrP&amp;L'!$BX223</f>
        <v>78.944000000000003</v>
      </c>
      <c r="BO38" s="908"/>
      <c r="BP38" s="908">
        <f>'qtrP&amp;L'!CB220</f>
        <v>78.313999999999993</v>
      </c>
      <c r="BQ38" s="908">
        <f>'qtrP&amp;L'!CB221</f>
        <v>77.382000000000005</v>
      </c>
      <c r="BR38" s="908">
        <f>'qtrP&amp;L'!CB222</f>
        <v>76.456000000000003</v>
      </c>
      <c r="BS38" s="908">
        <f>'qtrP&amp;L'!CB223</f>
        <v>76.466999999999999</v>
      </c>
      <c r="BT38" s="908"/>
      <c r="BU38" s="908">
        <f>'qtrP&amp;L'!CF220</f>
        <v>74.483000000000004</v>
      </c>
      <c r="BV38" s="908">
        <f>'qtrP&amp;L'!CF221</f>
        <v>72.436000000000007</v>
      </c>
      <c r="BW38" s="908">
        <f>'qtrP&amp;L'!CF222</f>
        <v>70.813999999999993</v>
      </c>
      <c r="BX38" s="908">
        <f>'qtrP&amp;L'!CF223</f>
        <v>69.409000000000006</v>
      </c>
      <c r="BY38" s="908"/>
      <c r="BZ38" s="908">
        <f>'qtrP&amp;L'!CJ220</f>
        <v>69.510000000000005</v>
      </c>
      <c r="CA38" s="908">
        <f>'qtrP&amp;L'!CJ221</f>
        <v>69.712999999999994</v>
      </c>
      <c r="CB38" s="908">
        <f>'qtrP&amp;L'!CJ222</f>
        <v>68.866</v>
      </c>
      <c r="CC38" s="908">
        <f>'qtrP&amp;L'!CJ223</f>
        <v>67.432000000000002</v>
      </c>
      <c r="CD38" s="908"/>
      <c r="CE38" s="908">
        <f>'qtrP&amp;L'!CN220</f>
        <v>67.625</v>
      </c>
      <c r="CF38" s="908">
        <f>'qtrP&amp;L'!CN221</f>
        <v>67.944000000000003</v>
      </c>
      <c r="CG38" s="908">
        <f>'qtrP&amp;L'!CN222</f>
        <v>67.974999999999994</v>
      </c>
      <c r="CH38" s="908">
        <f>'qtrP&amp;L'!CN223</f>
        <v>67.97</v>
      </c>
      <c r="CI38" s="908"/>
      <c r="CJ38" s="908">
        <f t="array" ref="CJ38:CM38">TRANSPOSE('qtrP&amp;L'!CR220:CR223)</f>
        <v>68.072999999999993</v>
      </c>
      <c r="CK38" s="908">
        <v>68.456000000000003</v>
      </c>
      <c r="CL38" s="908">
        <v>68.512</v>
      </c>
      <c r="CM38" s="908">
        <v>68.522999999999996</v>
      </c>
      <c r="CN38" s="908"/>
      <c r="CO38" s="908">
        <f t="array" ref="CO38:CR38">TRANSPOSE('qtrP&amp;L'!CV220:CV223)</f>
        <v>68.772999999999996</v>
      </c>
      <c r="CP38" s="908">
        <v>69.022999999999996</v>
      </c>
      <c r="CQ38" s="908">
        <v>69.322999999999993</v>
      </c>
      <c r="CR38" s="908">
        <v>69.62299999999999</v>
      </c>
      <c r="CS38" s="908"/>
      <c r="CT38" s="908">
        <f>'yrP&amp;L'!C71</f>
        <v>103.084</v>
      </c>
      <c r="CU38" s="908">
        <f>'yrP&amp;L'!D71</f>
        <v>103.084</v>
      </c>
      <c r="CV38" s="908">
        <f>'yrP&amp;L'!E71</f>
        <v>103.084</v>
      </c>
      <c r="CW38" s="908">
        <f>'yrP&amp;L'!F71</f>
        <v>103.084</v>
      </c>
      <c r="CX38" s="908">
        <f>'yrP&amp;L'!G71</f>
        <v>102.191</v>
      </c>
      <c r="CY38" s="908">
        <f>'yrP&amp;L'!H71</f>
        <v>98.772000000000006</v>
      </c>
      <c r="CZ38" s="908">
        <f>'yrP&amp;L'!I71</f>
        <v>99.123749999999987</v>
      </c>
      <c r="DA38" s="908">
        <f>'yrP&amp;L'!J71</f>
        <v>98.292000000000002</v>
      </c>
      <c r="DB38" s="910">
        <f>'yrP&amp;L'!K71</f>
        <v>96.856999999999999</v>
      </c>
      <c r="DC38" s="908">
        <f>'yrP&amp;L'!L71</f>
        <v>92.777000000000001</v>
      </c>
      <c r="DD38" s="908">
        <f>'yrP&amp;L'!M71</f>
        <v>87.161000000000001</v>
      </c>
      <c r="DE38" s="910">
        <f>'yrP&amp;L'!O71</f>
        <v>88.052000000000007</v>
      </c>
      <c r="DF38" s="908">
        <f>'yrP&amp;L'!Q71</f>
        <v>87.585949309857625</v>
      </c>
      <c r="DG38" s="908">
        <f>'yrP&amp;L'!S71</f>
        <v>85.44996339528312</v>
      </c>
      <c r="DH38" s="908">
        <f>'yrP&amp;L'!T71</f>
        <v>84.797301032496463</v>
      </c>
      <c r="DI38" s="910">
        <f>'yrP&amp;L'!U61</f>
        <v>89.850999999999999</v>
      </c>
      <c r="DJ38" s="910">
        <f>'yrP&amp;L'!V61</f>
        <v>89.537000000000006</v>
      </c>
      <c r="DK38" s="908">
        <f>'yrP&amp;L'!W61</f>
        <v>83.175250000000005</v>
      </c>
      <c r="DL38" s="908">
        <f>'yrP&amp;L'!X61</f>
        <v>79.165999999999997</v>
      </c>
      <c r="DM38" s="908">
        <f>'yrP&amp;L'!Y61</f>
        <v>72.936999999999998</v>
      </c>
      <c r="DN38" s="908">
        <f>'yrP&amp;L'!Z61</f>
        <v>69.417000000000002</v>
      </c>
      <c r="DO38" s="908">
        <f>'yrP&amp;L'!AA61</f>
        <v>68.284000000000006</v>
      </c>
      <c r="DP38" s="908">
        <f>'yrP&amp;L'!AB61</f>
        <v>69.403000000000006</v>
      </c>
      <c r="DQ38" s="908">
        <f>'yrP&amp;L'!AC61</f>
        <v>71.019499999999994</v>
      </c>
      <c r="DR38" s="908">
        <f>'yrP&amp;L'!AD71</f>
        <v>68.861621171611773</v>
      </c>
      <c r="DS38" s="911">
        <f>'yrP&amp;L'!AE71</f>
        <v>69.340112639930439</v>
      </c>
    </row>
    <row r="39" spans="1:131" hidden="1" outlineLevel="1">
      <c r="A39" s="906" t="s">
        <v>741</v>
      </c>
      <c r="B39" s="907"/>
      <c r="C39" s="907">
        <f>'qtrP&amp;L'!$X213</f>
        <v>102.917</v>
      </c>
      <c r="D39" s="907">
        <f>'qtrP&amp;L'!$X214</f>
        <v>103.182</v>
      </c>
      <c r="E39" s="907">
        <f>'qtrP&amp;L'!$X215</f>
        <v>103.194</v>
      </c>
      <c r="F39" s="907">
        <f>'qtrP&amp;L'!$X216</f>
        <v>102.004</v>
      </c>
      <c r="G39" s="907"/>
      <c r="H39" s="907">
        <f>'qtrP&amp;L'!$AB213</f>
        <v>100.76300000000001</v>
      </c>
      <c r="I39" s="907">
        <f>'qtrP&amp;L'!$AB214</f>
        <v>99.07</v>
      </c>
      <c r="J39" s="907">
        <f>'qtrP&amp;L'!$AB215</f>
        <v>98.78</v>
      </c>
      <c r="K39" s="907">
        <f>'qtrP&amp;L'!$AB216</f>
        <v>98.796000000000006</v>
      </c>
      <c r="L39" s="907"/>
      <c r="M39" s="907">
        <f>'qtrP&amp;L'!$AJ213</f>
        <v>97.037000000000006</v>
      </c>
      <c r="N39" s="907">
        <f>'qtrP&amp;L'!$AJ214</f>
        <v>97.626999999999995</v>
      </c>
      <c r="O39" s="907">
        <f>'qtrP&amp;L'!$AJ215</f>
        <v>97.248500000000007</v>
      </c>
      <c r="P39" s="907">
        <f>'qtrP&amp;L'!$AJ216</f>
        <v>97.269000000000005</v>
      </c>
      <c r="Q39" s="907"/>
      <c r="R39" s="907">
        <f>'qtrP&amp;L'!$AN213</f>
        <v>98.004000000000005</v>
      </c>
      <c r="S39" s="907">
        <f>'qtrP&amp;L'!$AN214</f>
        <v>96.438000000000002</v>
      </c>
      <c r="T39" s="907">
        <f>'qtrP&amp;L'!$AN215</f>
        <v>96.325999999999993</v>
      </c>
      <c r="U39" s="907">
        <f>'qtrP&amp;L'!$AN216</f>
        <v>94.608000000000004</v>
      </c>
      <c r="V39" s="907"/>
      <c r="W39" s="907">
        <f>'qtrP&amp;L'!$AR213</f>
        <v>94.709000000000003</v>
      </c>
      <c r="X39" s="907">
        <f>'qtrP&amp;L'!$AR214</f>
        <v>95.305999999999997</v>
      </c>
      <c r="Y39" s="907">
        <f>'qtrP&amp;L'!$AR215</f>
        <v>93.448999999999998</v>
      </c>
      <c r="Z39" s="907">
        <f>'qtrP&amp;L'!$AR216</f>
        <v>92.777000000000001</v>
      </c>
      <c r="AA39" s="907"/>
      <c r="AB39" s="907">
        <f>'qtrP&amp;L'!$AV213</f>
        <v>86.324129999999997</v>
      </c>
      <c r="AC39" s="907">
        <f>'qtrP&amp;L'!$AV214</f>
        <v>88.70755299999999</v>
      </c>
      <c r="AD39" s="907">
        <f>'qtrP&amp;L'!$AV215</f>
        <v>87.606498999999999</v>
      </c>
      <c r="AE39" s="907">
        <f>'qtrP&amp;L'!$AV216</f>
        <v>87.726210999999992</v>
      </c>
      <c r="AF39" s="907"/>
      <c r="AG39" s="907">
        <f>'qtrP&amp;L'!$AZ213</f>
        <v>87.957925000000003</v>
      </c>
      <c r="AH39" s="907">
        <f>'qtrP&amp;L'!$AZ214</f>
        <v>88.037999999999997</v>
      </c>
      <c r="AI39" s="907">
        <f>'qtrP&amp;L'!$AZ215</f>
        <v>88.191999999999993</v>
      </c>
      <c r="AJ39" s="907">
        <f>'qtrP&amp;L'!$AZ216</f>
        <v>88.300055</v>
      </c>
      <c r="AK39" s="907"/>
      <c r="AL39" s="907">
        <f>'qtrP&amp;L'!$BD213</f>
        <v>87.866</v>
      </c>
      <c r="AM39" s="907">
        <f>'qtrP&amp;L'!$BD214</f>
        <v>88.292000000000002</v>
      </c>
      <c r="AN39" s="907">
        <f>'qtrP&amp;L'!$BD215</f>
        <v>86.048000000000002</v>
      </c>
      <c r="AO39" s="907">
        <f>'qtrP&amp;L'!$BD216</f>
        <v>86.158884</v>
      </c>
      <c r="AP39" s="907"/>
      <c r="AQ39" s="907">
        <f>'qtrP&amp;L'!$BH213</f>
        <v>86.445999999999998</v>
      </c>
      <c r="AR39" s="907">
        <f>'qtrP&amp;L'!$BH214</f>
        <v>86.998999999999995</v>
      </c>
      <c r="AS39" s="907">
        <f>'qtrP&amp;L'!$BH215</f>
        <v>87.048000000000002</v>
      </c>
      <c r="AT39" s="907">
        <f>'qtrP&amp;L'!$BH216</f>
        <v>87.635615000000001</v>
      </c>
      <c r="AU39" s="907"/>
      <c r="AV39" s="907">
        <f>'qtrP&amp;L'!$BL213</f>
        <v>87.843999999999994</v>
      </c>
      <c r="AW39" s="907">
        <f>'qtrP&amp;L'!$BL214</f>
        <v>87.908000000000001</v>
      </c>
      <c r="AX39" s="907">
        <f>'qtrP&amp;L'!$BL215</f>
        <v>87.959000000000003</v>
      </c>
      <c r="AY39" s="907">
        <f>'qtrP&amp;L'!$BL216</f>
        <v>87.985518999999996</v>
      </c>
      <c r="AZ39" s="908"/>
      <c r="BA39" s="907">
        <f>'qtrP&amp;L'!$BP213</f>
        <v>88.197000000000003</v>
      </c>
      <c r="BB39" s="907">
        <f>'qtrP&amp;L'!$BP214</f>
        <v>88.245999999999995</v>
      </c>
      <c r="BC39" s="907">
        <f>'qtrP&amp;L'!$BP215</f>
        <v>88.929000000000002</v>
      </c>
      <c r="BD39" s="907">
        <f>'qtrP&amp;L'!$BP216</f>
        <v>89.073999999999998</v>
      </c>
      <c r="BE39" s="908"/>
      <c r="BF39" s="907">
        <f>'qtrP&amp;L'!$BT213</f>
        <v>88.846999999999994</v>
      </c>
      <c r="BG39" s="907">
        <f>'qtrP&amp;L'!$BT214</f>
        <v>88.758999999999986</v>
      </c>
      <c r="BH39" s="907">
        <f>'qtrP&amp;L'!$BT215</f>
        <v>88.112999999999985</v>
      </c>
      <c r="BI39" s="908">
        <f>'qtrP&amp;L'!$BT216</f>
        <v>86.053999999999988</v>
      </c>
      <c r="BJ39" s="908"/>
      <c r="BK39" s="907">
        <f>'qtrP&amp;L'!$BX213</f>
        <v>82.553044</v>
      </c>
      <c r="BL39" s="907">
        <f>'qtrP&amp;L'!$BX214</f>
        <v>82.555000000000007</v>
      </c>
      <c r="BM39" s="907">
        <f>'qtrP&amp;L'!$BX215</f>
        <v>81.63600000000001</v>
      </c>
      <c r="BN39" s="908">
        <f>'qtrP&amp;L'!$BX216</f>
        <v>79.668000000000006</v>
      </c>
      <c r="BO39" s="908"/>
      <c r="BP39" s="908">
        <f>'qtrP&amp;L'!CB213</f>
        <v>77.438000000000002</v>
      </c>
      <c r="BQ39" s="908">
        <f>'qtrP&amp;L'!CB214</f>
        <v>78.381</v>
      </c>
      <c r="BR39" s="908">
        <f>'qtrP&amp;L'!CB215</f>
        <v>76.791000000000011</v>
      </c>
      <c r="BS39" s="908">
        <f>'qtrP&amp;L'!CB216</f>
        <v>76.682000000000002</v>
      </c>
      <c r="BT39" s="908"/>
      <c r="BU39" s="908">
        <f>'qtrP&amp;L'!CF213</f>
        <v>73.597000000000008</v>
      </c>
      <c r="BV39" s="908">
        <f>'qtrP&amp;L'!CF214</f>
        <v>72.87</v>
      </c>
      <c r="BW39" s="908">
        <f>'qtrP&amp;L'!CF215</f>
        <v>71.242000000000004</v>
      </c>
      <c r="BX39" s="908">
        <f>'qtrP&amp;L'!CF216</f>
        <v>69.25</v>
      </c>
      <c r="BY39" s="908"/>
      <c r="BZ39" s="908">
        <f>'qtrP&amp;L'!CJ213</f>
        <v>68.624000000000009</v>
      </c>
      <c r="CA39" s="908">
        <f>'qtrP&amp;L'!CJ214</f>
        <v>69.207999999999998</v>
      </c>
      <c r="CB39" s="908">
        <f>'qtrP&amp;L'!CJ215</f>
        <v>68.379000000000005</v>
      </c>
      <c r="CC39" s="908">
        <f>'qtrP&amp;L'!CJ216</f>
        <v>67.356999999999999</v>
      </c>
      <c r="CD39" s="908"/>
      <c r="CE39" s="908">
        <f>'qtrP&amp;L'!CN213</f>
        <v>66.739000000000004</v>
      </c>
      <c r="CF39" s="908">
        <f>'qtrP&amp;L'!CN214</f>
        <v>67.058000000000007</v>
      </c>
      <c r="CG39" s="908">
        <f>'qtrP&amp;L'!CN215</f>
        <v>67.391000000000005</v>
      </c>
      <c r="CH39" s="908">
        <f>'qtrP&amp;L'!CN216</f>
        <v>67.413000000000011</v>
      </c>
      <c r="CI39" s="908"/>
      <c r="CJ39" s="908">
        <f>'qtrP&amp;L'!CR213</f>
        <v>67.186999999999998</v>
      </c>
      <c r="CK39" s="908">
        <f>'qtrP&amp;L'!CR214</f>
        <v>67.570000000000007</v>
      </c>
      <c r="CL39" s="908">
        <f>'qtrP&amp;L'!CR215</f>
        <v>67.626000000000005</v>
      </c>
      <c r="CM39" s="908">
        <f>'qtrP&amp;L'!CR216</f>
        <v>69.471000000000004</v>
      </c>
      <c r="CN39" s="908"/>
      <c r="CO39" s="908">
        <f>'qtrP&amp;L'!CV220</f>
        <v>68.772999999999996</v>
      </c>
      <c r="CP39" s="908">
        <f>'qtrP&amp;L'!CV221</f>
        <v>69.022999999999996</v>
      </c>
      <c r="CQ39" s="908">
        <f>'qtrP&amp;L'!CV222</f>
        <v>69.322999999999993</v>
      </c>
      <c r="CR39" s="908">
        <f>'qtrP&amp;L'!CV223</f>
        <v>69.62299999999999</v>
      </c>
      <c r="CS39" s="908"/>
      <c r="CT39" s="908">
        <f>'yrP&amp;L'!C70</f>
        <v>103.3</v>
      </c>
      <c r="CU39" s="908">
        <f>'yrP&amp;L'!D70</f>
        <v>103.3</v>
      </c>
      <c r="CV39" s="908">
        <f>'yrP&amp;L'!E70</f>
        <v>103.3</v>
      </c>
      <c r="CW39" s="908">
        <f>'yrP&amp;L'!F70</f>
        <v>103.3</v>
      </c>
      <c r="CX39" s="908">
        <f>'yrP&amp;L'!G70</f>
        <v>102.004</v>
      </c>
      <c r="CY39" s="908">
        <f>'yrP&amp;L'!H70</f>
        <v>98.796000000000006</v>
      </c>
      <c r="CZ39" s="908">
        <f>'yrP&amp;L'!I70</f>
        <v>98.871499999999997</v>
      </c>
      <c r="DA39" s="908">
        <f>'yrP&amp;L'!J70</f>
        <v>97.269000000000005</v>
      </c>
      <c r="DB39" s="910">
        <f>'yrP&amp;L'!K70</f>
        <v>94.608000000000004</v>
      </c>
      <c r="DC39" s="908">
        <f>'yrP&amp;L'!L70</f>
        <v>92.777000000000001</v>
      </c>
      <c r="DD39" s="908">
        <f>'yrP&amp;L'!M70</f>
        <v>87.726210999999992</v>
      </c>
      <c r="DE39" s="910">
        <f>'yrP&amp;L'!O70</f>
        <v>88.300055</v>
      </c>
      <c r="DF39" s="908">
        <f>'yrP&amp;L'!Q70</f>
        <v>87.832691378817515</v>
      </c>
      <c r="DG39" s="908">
        <f>'yrP&amp;L'!S70</f>
        <v>85.69068808830562</v>
      </c>
      <c r="DH39" s="908">
        <f>'yrP&amp;L'!T70</f>
        <v>85.036187082871422</v>
      </c>
      <c r="DI39" s="910">
        <f>'yrP&amp;L'!U70</f>
        <v>86.228108268720788</v>
      </c>
      <c r="DJ39" s="910">
        <f>'yrP&amp;L'!V70</f>
        <v>85.926769096130855</v>
      </c>
      <c r="DK39" s="908">
        <f>'yrP&amp;L'!W70</f>
        <v>79.821531894780463</v>
      </c>
      <c r="DL39" s="908">
        <f>'yrP&amp;L'!X70</f>
        <v>75.973939290620578</v>
      </c>
      <c r="DM39" s="908">
        <f>'yrP&amp;L'!Y70</f>
        <v>69.996099462395392</v>
      </c>
      <c r="DN39" s="908">
        <f>'yrP&amp;L'!Z70</f>
        <v>66.618029756928607</v>
      </c>
      <c r="DO39" s="908">
        <f>'yrP&amp;L'!AA70</f>
        <v>65.530713570481481</v>
      </c>
      <c r="DP39" s="908">
        <f>'yrP&amp;L'!AB70</f>
        <v>66.604594252418224</v>
      </c>
      <c r="DQ39" s="908">
        <f>'yrP&amp;L'!AC70</f>
        <v>68.155915183920214</v>
      </c>
      <c r="DR39" s="908">
        <f>'yrP&amp;L'!AD70</f>
        <v>69.05561414666883</v>
      </c>
      <c r="DS39" s="911">
        <f>'yrP&amp;L'!AE70</f>
        <v>69.535453593468091</v>
      </c>
    </row>
    <row r="40" spans="1:131" ht="15.75" customHeight="1" collapsed="1">
      <c r="A40" s="801"/>
      <c r="B40" s="801"/>
      <c r="C40" s="801"/>
      <c r="D40" s="801"/>
      <c r="E40" s="801"/>
      <c r="F40" s="913"/>
      <c r="G40" s="801"/>
      <c r="H40" s="801"/>
      <c r="I40" s="801"/>
      <c r="J40" s="801"/>
      <c r="K40" s="913"/>
      <c r="L40" s="801"/>
      <c r="M40" s="801"/>
      <c r="N40" s="801"/>
      <c r="O40" s="801"/>
      <c r="P40" s="913"/>
      <c r="Q40" s="801"/>
      <c r="R40" s="801"/>
      <c r="S40" s="801"/>
      <c r="T40" s="801"/>
      <c r="U40" s="913"/>
      <c r="V40" s="801"/>
      <c r="W40" s="801"/>
      <c r="X40" s="801"/>
      <c r="Y40" s="801"/>
      <c r="Z40" s="913"/>
      <c r="AA40" s="801"/>
      <c r="AB40" s="801"/>
      <c r="AC40" s="801"/>
      <c r="AD40" s="801"/>
      <c r="AE40" s="913"/>
      <c r="AF40" s="801"/>
      <c r="AG40" s="801"/>
      <c r="AH40" s="801"/>
      <c r="AI40" s="801"/>
      <c r="AJ40" s="913"/>
      <c r="AK40" s="801"/>
      <c r="AL40" s="801"/>
      <c r="AM40" s="801"/>
      <c r="AN40" s="801"/>
      <c r="AO40" s="913"/>
      <c r="AP40" s="913"/>
      <c r="AQ40" s="913"/>
      <c r="AR40" s="913"/>
      <c r="AS40" s="913"/>
      <c r="AT40" s="913"/>
      <c r="AU40" s="913"/>
      <c r="AV40" s="913"/>
      <c r="AW40" s="913"/>
      <c r="AX40" s="913"/>
      <c r="AY40" s="913"/>
      <c r="AZ40" s="801"/>
      <c r="BA40" s="913"/>
      <c r="BB40" s="913"/>
      <c r="BC40" s="913"/>
      <c r="BD40" s="913"/>
      <c r="BE40" s="801"/>
      <c r="BF40" s="913"/>
      <c r="BG40" s="913"/>
      <c r="BH40" s="913"/>
      <c r="BI40" s="914"/>
      <c r="BJ40" s="802"/>
      <c r="BK40" s="913"/>
      <c r="BL40" s="913"/>
      <c r="BM40" s="913"/>
      <c r="BN40" s="914"/>
      <c r="BO40" s="914"/>
      <c r="BP40" s="914"/>
      <c r="BQ40" s="914"/>
      <c r="BR40" s="914"/>
      <c r="BS40" s="914"/>
      <c r="BT40" s="914"/>
      <c r="BU40" s="914"/>
      <c r="BV40" s="914"/>
      <c r="BW40" s="914"/>
      <c r="BX40" s="914"/>
      <c r="BY40" s="914"/>
      <c r="BZ40" s="914"/>
      <c r="CA40" s="914"/>
      <c r="CB40" s="914"/>
      <c r="CC40" s="914"/>
      <c r="CD40" s="914"/>
      <c r="CE40" s="914"/>
      <c r="CF40" s="914"/>
      <c r="CG40" s="914"/>
      <c r="CH40" s="914"/>
      <c r="CI40" s="914"/>
      <c r="CJ40" s="914"/>
      <c r="CK40" s="914"/>
      <c r="CL40" s="914"/>
      <c r="CM40" s="914"/>
      <c r="CN40" s="914"/>
      <c r="CO40" s="914"/>
      <c r="CP40" s="914"/>
      <c r="CQ40" s="914"/>
      <c r="CR40" s="914"/>
      <c r="CS40" s="914"/>
      <c r="CT40" s="802"/>
      <c r="CU40" s="802"/>
      <c r="CV40" s="802"/>
      <c r="CW40" s="802"/>
      <c r="CX40" s="802"/>
      <c r="CY40" s="802"/>
      <c r="CZ40" s="802"/>
      <c r="DA40" s="802"/>
      <c r="DB40" s="851"/>
      <c r="DC40" s="802"/>
      <c r="DD40" s="802"/>
      <c r="DE40" s="851"/>
      <c r="DF40" s="802"/>
      <c r="DG40" s="802"/>
      <c r="DH40" s="802"/>
      <c r="DI40" s="851"/>
      <c r="DJ40" s="851"/>
      <c r="DK40" s="802"/>
      <c r="DL40" s="802"/>
      <c r="DM40" s="802"/>
      <c r="DN40" s="802"/>
      <c r="DO40" s="802"/>
      <c r="DP40" s="802"/>
      <c r="DQ40" s="802"/>
      <c r="DR40" s="802"/>
      <c r="DS40" s="852"/>
    </row>
    <row r="41" spans="1:131">
      <c r="A41" s="853" t="s">
        <v>298</v>
      </c>
      <c r="B41" s="855"/>
      <c r="C41" s="854">
        <f>C20+C17</f>
        <v>30.200999999999997</v>
      </c>
      <c r="D41" s="854">
        <f>D20+D17</f>
        <v>37.186000000000007</v>
      </c>
      <c r="E41" s="854">
        <f>E20+E17</f>
        <v>70.256</v>
      </c>
      <c r="F41" s="854">
        <f>F20+F17</f>
        <v>132.14200000000002</v>
      </c>
      <c r="G41" s="915"/>
      <c r="H41" s="854">
        <f>H20+H17</f>
        <v>31.628999999999991</v>
      </c>
      <c r="I41" s="854">
        <f>I20+I17</f>
        <v>40.410000000000018</v>
      </c>
      <c r="J41" s="854">
        <f>J20+J17</f>
        <v>78.631000000000014</v>
      </c>
      <c r="K41" s="854">
        <f>K20+K17</f>
        <v>133.71300000000002</v>
      </c>
      <c r="L41" s="854"/>
      <c r="M41" s="854">
        <f>M20+M17</f>
        <v>48.921999999999954</v>
      </c>
      <c r="N41" s="854">
        <f>N20+N17</f>
        <v>62.350999999999964</v>
      </c>
      <c r="O41" s="854">
        <f>O20+O17</f>
        <v>90.051000000000016</v>
      </c>
      <c r="P41" s="854">
        <f>P20+P17</f>
        <v>166.42099999999994</v>
      </c>
      <c r="Q41" s="854"/>
      <c r="R41" s="854">
        <f>R20+R17</f>
        <v>61.671999999999969</v>
      </c>
      <c r="S41" s="854">
        <f>S20+S17</f>
        <v>76.055000000000021</v>
      </c>
      <c r="T41" s="854">
        <f>T20+T17</f>
        <v>102.62499999999994</v>
      </c>
      <c r="U41" s="854">
        <f>U20+U17</f>
        <v>179.38800000000003</v>
      </c>
      <c r="V41" s="854"/>
      <c r="W41" s="854">
        <f>W20+W17</f>
        <v>73.230999999999995</v>
      </c>
      <c r="X41" s="854">
        <f>X20+X17</f>
        <v>93.627000000000038</v>
      </c>
      <c r="Y41" s="854">
        <f>Y20+Y17</f>
        <v>120.3180000000001</v>
      </c>
      <c r="Z41" s="854">
        <f>Z20+Z17</f>
        <v>194.68300000000005</v>
      </c>
      <c r="AA41" s="854"/>
      <c r="AB41" s="854">
        <f>AB20+AB17</f>
        <v>97.926999999999921</v>
      </c>
      <c r="AC41" s="854">
        <f>AC20+AC17</f>
        <v>120.16299999999997</v>
      </c>
      <c r="AD41" s="854">
        <f>AD20+AD17</f>
        <v>158.333</v>
      </c>
      <c r="AE41" s="854">
        <f>AE20+AE17</f>
        <v>298.48700000000008</v>
      </c>
      <c r="AF41" s="854"/>
      <c r="AG41" s="854">
        <f>AG20+AG17</f>
        <v>115.09099999999998</v>
      </c>
      <c r="AH41" s="854">
        <f>AH20+AH17</f>
        <v>133.01999999999998</v>
      </c>
      <c r="AI41" s="854">
        <f>AI20+AI17</f>
        <v>200.73099999999994</v>
      </c>
      <c r="AJ41" s="854">
        <f>AJ20+AJ17</f>
        <v>345.41899999999998</v>
      </c>
      <c r="AK41" s="854"/>
      <c r="AL41" s="854">
        <f>AL20+AL17</f>
        <v>131.26599999999999</v>
      </c>
      <c r="AM41" s="854">
        <f>AM20+AM17</f>
        <v>165.90300000000002</v>
      </c>
      <c r="AN41" s="854">
        <f>AN20+AN17</f>
        <v>231.69999999999993</v>
      </c>
      <c r="AO41" s="854">
        <f>AO20+AO17</f>
        <v>383.61000000000013</v>
      </c>
      <c r="AP41" s="854"/>
      <c r="AQ41" s="854">
        <f>AQ20+AQ17</f>
        <v>95.994000000000028</v>
      </c>
      <c r="AR41" s="854">
        <f>AR20+AR17</f>
        <v>132.096</v>
      </c>
      <c r="AS41" s="854">
        <f>AS20+AS17</f>
        <v>110.02600000000007</v>
      </c>
      <c r="AT41" s="854">
        <f>AT20+AT17</f>
        <v>151.36799999999994</v>
      </c>
      <c r="AU41" s="854"/>
      <c r="AV41" s="854">
        <f>AV20+AV17</f>
        <v>24.473000000000084</v>
      </c>
      <c r="AW41" s="854">
        <f>AW20+AW17</f>
        <v>64.268000000000001</v>
      </c>
      <c r="AX41" s="854">
        <f>AX20+AX17</f>
        <v>106.15999999999995</v>
      </c>
      <c r="AY41" s="854">
        <f>AY20+AY17</f>
        <v>181.42799999999994</v>
      </c>
      <c r="AZ41" s="854"/>
      <c r="BA41" s="854">
        <f>BA20+BA17</f>
        <v>37.110999999999969</v>
      </c>
      <c r="BB41" s="854">
        <f>BB20+BB17</f>
        <v>83.525999999999954</v>
      </c>
      <c r="BC41" s="854">
        <f>BC20+BC17</f>
        <v>132.03800000000007</v>
      </c>
      <c r="BD41" s="854">
        <f>BD20+BD17</f>
        <v>252.95399999999978</v>
      </c>
      <c r="BE41" s="854"/>
      <c r="BF41" s="854">
        <f>BF20+BF17</f>
        <v>76.002000000000052</v>
      </c>
      <c r="BG41" s="854">
        <f>BG20+BG17</f>
        <v>102.32000000000008</v>
      </c>
      <c r="BH41" s="854">
        <f>BH20+BH17</f>
        <v>143.89899999999994</v>
      </c>
      <c r="BI41" s="855">
        <f>BI20+BI17</f>
        <v>247.23100000000017</v>
      </c>
      <c r="BJ41" s="855"/>
      <c r="BK41" s="854">
        <f>BK20+BK17</f>
        <v>23.018000000000001</v>
      </c>
      <c r="BL41" s="854">
        <f>BL20+BL17</f>
        <v>77.87300000000009</v>
      </c>
      <c r="BM41" s="854">
        <f>BM20+BM17</f>
        <v>188.3599999999999</v>
      </c>
      <c r="BN41" s="855">
        <f>BN20+BN17</f>
        <v>297.29399999999998</v>
      </c>
      <c r="BO41" s="855"/>
      <c r="BP41" s="855">
        <f>BP20+BP17</f>
        <v>45.537999999999954</v>
      </c>
      <c r="BQ41" s="855">
        <f>BQ20+BQ17</f>
        <v>78.18299999999995</v>
      </c>
      <c r="BR41" s="855">
        <f>BR20+BR17</f>
        <v>110.94400000000003</v>
      </c>
      <c r="BS41" s="855">
        <f>BS20+BS17</f>
        <v>201.19699999999995</v>
      </c>
      <c r="BT41" s="855"/>
      <c r="BU41" s="854">
        <f>BU20+BU17</f>
        <v>39.403999999999947</v>
      </c>
      <c r="BV41" s="854">
        <f>BV20+BV17</f>
        <v>77.451000000000022</v>
      </c>
      <c r="BW41" s="854">
        <f>BW20+BW17</f>
        <v>108.30400000000003</v>
      </c>
      <c r="BX41" s="855">
        <f>BX20+BX17</f>
        <v>177.75100000000015</v>
      </c>
      <c r="BY41" s="855"/>
      <c r="BZ41" s="854">
        <f>BZ20+BZ17</f>
        <v>-1.017599999999959</v>
      </c>
      <c r="CA41" s="854">
        <f>CA20+CA17</f>
        <v>70.416999999999987</v>
      </c>
      <c r="CB41" s="854">
        <f>CB20+CB17</f>
        <v>99.161999999999992</v>
      </c>
      <c r="CC41" s="855">
        <f>CC20+CC17</f>
        <v>172.95600000000013</v>
      </c>
      <c r="CD41" s="855"/>
      <c r="CE41" s="854">
        <f>CE20+CE17</f>
        <v>-6.9780000000000513</v>
      </c>
      <c r="CF41" s="854">
        <f>CF20+CF17</f>
        <v>31.538000000000011</v>
      </c>
      <c r="CG41" s="854">
        <f>CG20+CG17</f>
        <v>59.556000000000026</v>
      </c>
      <c r="CH41" s="855">
        <f>CH20+CH17</f>
        <v>100.62999999999992</v>
      </c>
      <c r="CI41" s="855"/>
      <c r="CJ41" s="854">
        <f>CJ20+CJ17</f>
        <v>-22.107999999999933</v>
      </c>
      <c r="CK41" s="854">
        <f>CK20+CK17</f>
        <v>28.960000000000008</v>
      </c>
      <c r="CL41" s="854">
        <f>CL20+CL17</f>
        <v>87.86499999999991</v>
      </c>
      <c r="CM41" s="855">
        <f>CM20+CM17</f>
        <v>182.00299999999993</v>
      </c>
      <c r="CN41" s="855"/>
      <c r="CO41" s="854">
        <f>CO20+CO17</f>
        <v>-15.816439120005043</v>
      </c>
      <c r="CP41" s="854">
        <f>CP20+CP17</f>
        <v>46.331372426624</v>
      </c>
      <c r="CQ41" s="854">
        <f>CQ20+CQ17</f>
        <v>78.695696305439981</v>
      </c>
      <c r="CR41" s="855">
        <f>CR20+CR17</f>
        <v>127.34134293699992</v>
      </c>
      <c r="CS41" s="855"/>
      <c r="CT41" s="855">
        <f>CT20+CT17</f>
        <v>23.797999999999988</v>
      </c>
      <c r="CU41" s="855">
        <f>CU20+CU17</f>
        <v>57.752000000000024</v>
      </c>
      <c r="CV41" s="855">
        <f>CV20+CV17</f>
        <v>100.46699999999998</v>
      </c>
      <c r="CW41" s="855">
        <f t="shared" ref="CW41:DH41" si="17">CW20+CW17</f>
        <v>187.90400000000002</v>
      </c>
      <c r="CX41" s="855">
        <f t="shared" si="17"/>
        <v>269.78499999999991</v>
      </c>
      <c r="CY41" s="855">
        <f t="shared" si="17"/>
        <v>284.38299999999998</v>
      </c>
      <c r="CZ41" s="855">
        <f t="shared" si="17"/>
        <v>312.61299999999994</v>
      </c>
      <c r="DA41" s="855">
        <f t="shared" si="17"/>
        <v>367.74499999999978</v>
      </c>
      <c r="DB41" s="856">
        <f t="shared" si="17"/>
        <v>419.74000000000035</v>
      </c>
      <c r="DC41" s="855">
        <f t="shared" si="17"/>
        <v>481.85899999999992</v>
      </c>
      <c r="DD41" s="855">
        <f t="shared" si="17"/>
        <v>696.49800000000016</v>
      </c>
      <c r="DE41" s="856">
        <f t="shared" si="17"/>
        <v>834.16199999999981</v>
      </c>
      <c r="DF41" s="855">
        <f t="shared" si="17"/>
        <v>950.92400000000009</v>
      </c>
      <c r="DG41" s="855">
        <f t="shared" si="17"/>
        <v>718.81700000000001</v>
      </c>
      <c r="DH41" s="855">
        <f t="shared" si="17"/>
        <v>376.32900000000001</v>
      </c>
      <c r="DI41" s="856">
        <f t="shared" ref="DI41:DP41" si="18">DI20+DI17</f>
        <v>470.87499999999977</v>
      </c>
      <c r="DJ41" s="856">
        <f t="shared" si="18"/>
        <v>569.45200000000011</v>
      </c>
      <c r="DK41" s="855">
        <f t="shared" si="18"/>
        <v>586.54500000000064</v>
      </c>
      <c r="DL41" s="855">
        <f t="shared" si="18"/>
        <v>435.86199999999985</v>
      </c>
      <c r="DM41" s="855">
        <f>DM20+DM17</f>
        <v>402.91</v>
      </c>
      <c r="DN41" s="855">
        <f>DN20+DN17</f>
        <v>341.51740000000035</v>
      </c>
      <c r="DO41" s="855">
        <f>DO20+DO17</f>
        <v>184.74599999999987</v>
      </c>
      <c r="DP41" s="855">
        <f t="shared" si="18"/>
        <v>276.72000000000008</v>
      </c>
      <c r="DQ41" s="855">
        <f>DQ20+DQ17</f>
        <v>236.55197254905852</v>
      </c>
      <c r="DR41" s="855">
        <f>DR20+DR17</f>
        <v>226.86828526414482</v>
      </c>
      <c r="DS41" s="857">
        <f>DS20+DS17</f>
        <v>214.16461328962814</v>
      </c>
    </row>
    <row r="42" spans="1:131">
      <c r="A42" s="853" t="s">
        <v>260</v>
      </c>
      <c r="B42" s="855"/>
      <c r="C42" s="854"/>
      <c r="D42" s="854"/>
      <c r="E42" s="854"/>
      <c r="F42" s="854"/>
      <c r="G42" s="915"/>
      <c r="H42" s="854"/>
      <c r="I42" s="854"/>
      <c r="J42" s="854"/>
      <c r="K42" s="854"/>
      <c r="L42" s="854"/>
      <c r="M42" s="854"/>
      <c r="N42" s="854"/>
      <c r="O42" s="854"/>
      <c r="P42" s="854"/>
      <c r="Q42" s="854"/>
      <c r="R42" s="854"/>
      <c r="S42" s="854"/>
      <c r="T42" s="854"/>
      <c r="U42" s="854"/>
      <c r="V42" s="854"/>
      <c r="W42" s="854"/>
      <c r="X42" s="854"/>
      <c r="Y42" s="854"/>
      <c r="Z42" s="854"/>
      <c r="AA42" s="854"/>
      <c r="AB42" s="854"/>
      <c r="AC42" s="854"/>
      <c r="AD42" s="854"/>
      <c r="AE42" s="854"/>
      <c r="AF42" s="854"/>
      <c r="AG42" s="854"/>
      <c r="AH42" s="854"/>
      <c r="AI42" s="854"/>
      <c r="AJ42" s="854"/>
      <c r="AK42" s="854"/>
      <c r="AL42" s="854"/>
      <c r="AM42" s="854"/>
      <c r="AN42" s="854"/>
      <c r="AO42" s="854"/>
      <c r="AP42" s="854"/>
      <c r="AQ42" s="854"/>
      <c r="AR42" s="854"/>
      <c r="AS42" s="854"/>
      <c r="AT42" s="854"/>
      <c r="AU42" s="854"/>
      <c r="AV42" s="854"/>
      <c r="AW42" s="854"/>
      <c r="AX42" s="854"/>
      <c r="AY42" s="854"/>
      <c r="AZ42" s="854"/>
      <c r="BA42" s="854"/>
      <c r="BB42" s="854"/>
      <c r="BC42" s="854"/>
      <c r="BD42" s="854"/>
      <c r="BE42" s="854"/>
      <c r="BF42" s="854"/>
      <c r="BG42" s="854"/>
      <c r="BH42" s="854"/>
      <c r="BI42" s="855"/>
      <c r="BJ42" s="855"/>
      <c r="BK42" s="854"/>
      <c r="BL42" s="854"/>
      <c r="BM42" s="854"/>
      <c r="BN42" s="855"/>
      <c r="BO42" s="855"/>
      <c r="BP42" s="855"/>
      <c r="BQ42" s="855"/>
      <c r="BR42" s="855"/>
      <c r="BS42" s="855"/>
      <c r="BT42" s="855"/>
      <c r="BU42" s="854"/>
      <c r="BV42" s="854"/>
      <c r="BW42" s="854"/>
      <c r="BX42" s="855"/>
      <c r="BY42" s="855"/>
      <c r="BZ42" s="854"/>
      <c r="CA42" s="854"/>
      <c r="CB42" s="854"/>
      <c r="CC42" s="855"/>
      <c r="CD42" s="855"/>
      <c r="CE42" s="854"/>
      <c r="CF42" s="854"/>
      <c r="CG42" s="854"/>
      <c r="CH42" s="855"/>
      <c r="CI42" s="855"/>
      <c r="CJ42" s="854"/>
      <c r="CK42" s="854"/>
      <c r="CL42" s="854"/>
      <c r="CM42" s="855"/>
      <c r="CN42" s="855"/>
      <c r="CO42" s="854"/>
      <c r="CP42" s="854"/>
      <c r="CQ42" s="854"/>
      <c r="CR42" s="855"/>
      <c r="CS42" s="855"/>
      <c r="CT42" s="855">
        <f>flow!D21</f>
        <v>24.526</v>
      </c>
      <c r="CU42" s="855">
        <f>flow!F21</f>
        <v>24.323</v>
      </c>
      <c r="CV42" s="855">
        <f>flow!H21</f>
        <v>29.486000000000001</v>
      </c>
      <c r="CW42" s="855">
        <f>flow!J21</f>
        <v>37.482999999999997</v>
      </c>
      <c r="CX42" s="855">
        <f>flow!L21</f>
        <v>73.376999999999995</v>
      </c>
      <c r="CY42" s="855">
        <f>flow!N21</f>
        <v>153.48099999999999</v>
      </c>
      <c r="CZ42" s="855">
        <f>flow!P21</f>
        <v>126.515</v>
      </c>
      <c r="DA42" s="855">
        <f>flow!R21</f>
        <v>145.66200000000001</v>
      </c>
      <c r="DB42" s="856">
        <f>flow!T21</f>
        <v>159.77699999999999</v>
      </c>
      <c r="DC42" s="855">
        <f>flow!V21</f>
        <v>185.065</v>
      </c>
      <c r="DD42" s="855">
        <f>flow!X21</f>
        <v>256.42200000000003</v>
      </c>
      <c r="DE42" s="856">
        <f>flow!Z21</f>
        <v>403.476</v>
      </c>
      <c r="DF42" s="855">
        <f>flow!AB21</f>
        <v>403.34500000000003</v>
      </c>
      <c r="DG42" s="855">
        <f>flow!AD21</f>
        <v>367.60199999999998</v>
      </c>
      <c r="DH42" s="855">
        <f>flow!AF21</f>
        <v>175.47200000000001</v>
      </c>
      <c r="DI42" s="856">
        <f>flow!AH21</f>
        <v>160.935</v>
      </c>
      <c r="DJ42" s="856">
        <f>flow!AJ21</f>
        <v>318.59800000000001</v>
      </c>
      <c r="DK42" s="855">
        <f>flow!AL21</f>
        <v>339.86200000000002</v>
      </c>
      <c r="DL42" s="855">
        <f>flow!AN21</f>
        <v>163.92400000000001</v>
      </c>
      <c r="DM42" s="855">
        <f>flow!AP21</f>
        <v>174.624</v>
      </c>
      <c r="DN42" s="855">
        <f>flow!AR21</f>
        <v>143.19900000000001</v>
      </c>
      <c r="DO42" s="855">
        <f>flow!AT21</f>
        <v>140.84399999999999</v>
      </c>
      <c r="DP42" s="855">
        <f>flow!AV21</f>
        <v>107</v>
      </c>
      <c r="DQ42" s="855">
        <f>flow!AX21</f>
        <v>130</v>
      </c>
      <c r="DR42" s="855">
        <f>flow!AZ21</f>
        <v>100</v>
      </c>
      <c r="DS42" s="857">
        <f>flow!BB21</f>
        <v>100</v>
      </c>
      <c r="EA42" s="1835"/>
    </row>
    <row r="43" spans="1:131" ht="3" customHeight="1">
      <c r="A43" s="801"/>
      <c r="B43" s="801"/>
      <c r="C43" s="801"/>
      <c r="D43" s="801"/>
      <c r="E43" s="801"/>
      <c r="F43" s="801"/>
      <c r="G43" s="801"/>
      <c r="H43" s="801"/>
      <c r="I43" s="801"/>
      <c r="J43" s="801"/>
      <c r="K43" s="801"/>
      <c r="L43" s="801"/>
      <c r="M43" s="801"/>
      <c r="N43" s="801"/>
      <c r="O43" s="801"/>
      <c r="P43" s="801"/>
      <c r="Q43" s="801"/>
      <c r="R43" s="801"/>
      <c r="S43" s="801"/>
      <c r="T43" s="801"/>
      <c r="U43" s="801"/>
      <c r="V43" s="801"/>
      <c r="W43" s="801"/>
      <c r="X43" s="801"/>
      <c r="Y43" s="801"/>
      <c r="Z43" s="801"/>
      <c r="AA43" s="801"/>
      <c r="AB43" s="801"/>
      <c r="AC43" s="801"/>
      <c r="AD43" s="801"/>
      <c r="AE43" s="801"/>
      <c r="AF43" s="801"/>
      <c r="AG43" s="801"/>
      <c r="AH43" s="801"/>
      <c r="AI43" s="801"/>
      <c r="AJ43" s="801"/>
      <c r="AK43" s="801"/>
      <c r="AL43" s="801"/>
      <c r="AM43" s="801"/>
      <c r="AN43" s="801"/>
      <c r="AO43" s="801"/>
      <c r="AP43" s="801"/>
      <c r="AQ43" s="801"/>
      <c r="AR43" s="801"/>
      <c r="AS43" s="801"/>
      <c r="AT43" s="801"/>
      <c r="AU43" s="801"/>
      <c r="AV43" s="801"/>
      <c r="AW43" s="801"/>
      <c r="AX43" s="801"/>
      <c r="AY43" s="801"/>
      <c r="AZ43" s="801"/>
      <c r="BA43" s="801"/>
      <c r="BB43" s="801"/>
      <c r="BC43" s="801"/>
      <c r="BD43" s="801"/>
      <c r="BE43" s="801"/>
      <c r="BF43" s="801"/>
      <c r="BG43" s="801"/>
      <c r="BH43" s="801"/>
      <c r="BI43" s="802"/>
      <c r="BJ43" s="802"/>
      <c r="BK43" s="801"/>
      <c r="BL43" s="801"/>
      <c r="BM43" s="801"/>
      <c r="BN43" s="802"/>
      <c r="BO43" s="802"/>
      <c r="BP43" s="802"/>
      <c r="BQ43" s="802"/>
      <c r="BR43" s="802"/>
      <c r="BS43" s="802"/>
      <c r="BT43" s="802"/>
      <c r="BU43" s="802"/>
      <c r="BV43" s="802"/>
      <c r="BW43" s="802"/>
      <c r="BX43" s="802"/>
      <c r="BY43" s="802"/>
      <c r="BZ43" s="802"/>
      <c r="CA43" s="802"/>
      <c r="CB43" s="802"/>
      <c r="CC43" s="802"/>
      <c r="CD43" s="802"/>
      <c r="CE43" s="802"/>
      <c r="CF43" s="802"/>
      <c r="CG43" s="802"/>
      <c r="CH43" s="802"/>
      <c r="CI43" s="802"/>
      <c r="CJ43" s="802"/>
      <c r="CK43" s="802"/>
      <c r="CL43" s="802"/>
      <c r="CM43" s="802"/>
      <c r="CN43" s="802"/>
      <c r="CO43" s="802"/>
      <c r="CP43" s="802"/>
      <c r="CQ43" s="802"/>
      <c r="CR43" s="802"/>
      <c r="CS43" s="802"/>
      <c r="CT43" s="802"/>
      <c r="CU43" s="802"/>
      <c r="CV43" s="802"/>
      <c r="CW43" s="802"/>
      <c r="CX43" s="802"/>
      <c r="CY43" s="802"/>
      <c r="CZ43" s="802"/>
      <c r="DA43" s="802"/>
      <c r="DB43" s="851"/>
      <c r="DC43" s="802"/>
      <c r="DD43" s="802"/>
      <c r="DE43" s="851"/>
      <c r="DF43" s="802"/>
      <c r="DG43" s="802"/>
      <c r="DH43" s="802"/>
      <c r="DI43" s="851"/>
      <c r="DJ43" s="851"/>
      <c r="DK43" s="802"/>
      <c r="DL43" s="802"/>
      <c r="DM43" s="802"/>
      <c r="DN43" s="802"/>
      <c r="DO43" s="802"/>
      <c r="DP43" s="802"/>
      <c r="DQ43" s="802"/>
      <c r="DR43" s="802"/>
      <c r="DS43" s="852"/>
    </row>
    <row r="44" spans="1:131">
      <c r="A44" s="832" t="s">
        <v>299</v>
      </c>
      <c r="B44" s="801"/>
      <c r="C44" s="801"/>
      <c r="D44" s="801"/>
      <c r="E44" s="801"/>
      <c r="F44" s="801"/>
      <c r="G44" s="801"/>
      <c r="H44" s="801"/>
      <c r="I44" s="801"/>
      <c r="J44" s="801"/>
      <c r="K44" s="801"/>
      <c r="L44" s="801"/>
      <c r="M44" s="801"/>
      <c r="N44" s="801"/>
      <c r="O44" s="801"/>
      <c r="P44" s="801"/>
      <c r="Q44" s="801"/>
      <c r="R44" s="801"/>
      <c r="S44" s="801"/>
      <c r="T44" s="801"/>
      <c r="U44" s="801"/>
      <c r="V44" s="801"/>
      <c r="W44" s="801"/>
      <c r="X44" s="801"/>
      <c r="Y44" s="801"/>
      <c r="Z44" s="801"/>
      <c r="AA44" s="801"/>
      <c r="AB44" s="801"/>
      <c r="AC44" s="801"/>
      <c r="AD44" s="801"/>
      <c r="AE44" s="801"/>
      <c r="AF44" s="801"/>
      <c r="AG44" s="801"/>
      <c r="AH44" s="801"/>
      <c r="AI44" s="801"/>
      <c r="AJ44" s="801"/>
      <c r="AK44" s="801"/>
      <c r="AL44" s="801"/>
      <c r="AM44" s="801"/>
      <c r="AN44" s="801"/>
      <c r="AO44" s="801"/>
      <c r="AP44" s="801"/>
      <c r="AQ44" s="801"/>
      <c r="AR44" s="801"/>
      <c r="AS44" s="801"/>
      <c r="AT44" s="801"/>
      <c r="AU44" s="801"/>
      <c r="AV44" s="801"/>
      <c r="AW44" s="801"/>
      <c r="AX44" s="801"/>
      <c r="AY44" s="801"/>
      <c r="AZ44" s="801"/>
      <c r="BA44" s="801"/>
      <c r="BB44" s="801"/>
      <c r="BC44" s="801"/>
      <c r="BD44" s="801"/>
      <c r="BE44" s="801"/>
      <c r="BF44" s="801"/>
      <c r="BG44" s="801"/>
      <c r="BH44" s="801"/>
      <c r="BI44" s="802"/>
      <c r="BJ44" s="802"/>
      <c r="BK44" s="801"/>
      <c r="BL44" s="801"/>
      <c r="BM44" s="801"/>
      <c r="BN44" s="802"/>
      <c r="BO44" s="802"/>
      <c r="BP44" s="802"/>
      <c r="BQ44" s="802"/>
      <c r="BR44" s="802"/>
      <c r="BS44" s="802"/>
      <c r="BT44" s="802"/>
      <c r="BU44" s="802"/>
      <c r="BV44" s="802"/>
      <c r="BW44" s="802"/>
      <c r="BX44" s="802"/>
      <c r="BY44" s="802"/>
      <c r="BZ44" s="802"/>
      <c r="CA44" s="802"/>
      <c r="CB44" s="802"/>
      <c r="CC44" s="802"/>
      <c r="CD44" s="802"/>
      <c r="CE44" s="802"/>
      <c r="CF44" s="802"/>
      <c r="CG44" s="802"/>
      <c r="CH44" s="802"/>
      <c r="CI44" s="802"/>
      <c r="CJ44" s="802"/>
      <c r="CK44" s="802"/>
      <c r="CL44" s="802"/>
      <c r="CM44" s="802"/>
      <c r="CN44" s="802"/>
      <c r="CO44" s="802"/>
      <c r="CP44" s="802"/>
      <c r="CQ44" s="802"/>
      <c r="CR44" s="802"/>
      <c r="CS44" s="802"/>
      <c r="CT44" s="802"/>
      <c r="CU44" s="802"/>
      <c r="CV44" s="802"/>
      <c r="CW44" s="802"/>
      <c r="CX44" s="802"/>
      <c r="CY44" s="802"/>
      <c r="CZ44" s="802"/>
      <c r="DA44" s="802"/>
      <c r="DB44" s="851"/>
      <c r="DC44" s="802"/>
      <c r="DD44" s="802"/>
      <c r="DE44" s="851"/>
      <c r="DF44" s="802"/>
      <c r="DG44" s="802"/>
      <c r="DH44" s="802"/>
      <c r="DI44" s="851"/>
      <c r="DJ44" s="851"/>
      <c r="DK44" s="802"/>
      <c r="DL44" s="895"/>
      <c r="DM44" s="895"/>
      <c r="DN44" s="895"/>
      <c r="DO44" s="895"/>
      <c r="DP44" s="802"/>
      <c r="DQ44" s="802"/>
      <c r="DR44" s="802"/>
      <c r="DS44" s="852"/>
      <c r="DZ44" s="281"/>
    </row>
    <row r="45" spans="1:131">
      <c r="A45" s="906" t="s">
        <v>300</v>
      </c>
      <c r="B45" s="916"/>
      <c r="C45" s="916">
        <f>C12/C8</f>
        <v>0.37209202529676494</v>
      </c>
      <c r="D45" s="916">
        <f>D12/D8</f>
        <v>0.39416594046690823</v>
      </c>
      <c r="E45" s="916">
        <f>E12/E8</f>
        <v>0.4168570524761871</v>
      </c>
      <c r="F45" s="916">
        <f>F12/F8</f>
        <v>0.50885909583331046</v>
      </c>
      <c r="G45" s="916"/>
      <c r="H45" s="917">
        <f>H12/H8</f>
        <v>0.36780874706106159</v>
      </c>
      <c r="I45" s="917">
        <f>I12/I8</f>
        <v>0.3832014006837503</v>
      </c>
      <c r="J45" s="917">
        <f>J12/J8</f>
        <v>0.39350272710794737</v>
      </c>
      <c r="K45" s="917">
        <f>K12/K8</f>
        <v>0.46177337323214512</v>
      </c>
      <c r="L45" s="917"/>
      <c r="M45" s="917">
        <f>M12/M8</f>
        <v>0.60727895854113911</v>
      </c>
      <c r="N45" s="917">
        <f>N12/N8</f>
        <v>0.63838203394155923</v>
      </c>
      <c r="O45" s="917">
        <f>O12/O8</f>
        <v>0.59467864135320958</v>
      </c>
      <c r="P45" s="917">
        <f>P12/P8</f>
        <v>0.61950075025912932</v>
      </c>
      <c r="Q45" s="917"/>
      <c r="R45" s="917">
        <f>R12/R8</f>
        <v>0.62435899654478222</v>
      </c>
      <c r="S45" s="917">
        <f>S12/S8</f>
        <v>0.65684149567495698</v>
      </c>
      <c r="T45" s="917">
        <f>T12/T8</f>
        <v>0.62396427696587919</v>
      </c>
      <c r="U45" s="917">
        <f>U12/U8</f>
        <v>0.63418089933956601</v>
      </c>
      <c r="V45" s="917"/>
      <c r="W45" s="917">
        <f>W12/W8</f>
        <v>0.65041147767824625</v>
      </c>
      <c r="X45" s="917">
        <f>X12/X8</f>
        <v>0.6999372112840293</v>
      </c>
      <c r="Y45" s="917">
        <f>Y12/Y8</f>
        <v>0.64644034075633161</v>
      </c>
      <c r="Z45" s="917">
        <f>Z12/Z8</f>
        <v>0.66317111286365749</v>
      </c>
      <c r="AA45" s="917"/>
      <c r="AB45" s="917">
        <f>AB12/AB8</f>
        <v>0.65333845394195422</v>
      </c>
      <c r="AC45" s="917">
        <f>AC12/AC8</f>
        <v>0.68171122358469594</v>
      </c>
      <c r="AD45" s="917">
        <f>AD12/AD8</f>
        <v>0.65977319347782293</v>
      </c>
      <c r="AE45" s="917">
        <f>AE12/AE8</f>
        <v>0.66509602742689777</v>
      </c>
      <c r="AF45" s="917"/>
      <c r="AG45" s="917">
        <f>AG12/AG8</f>
        <v>0.65409093052941636</v>
      </c>
      <c r="AH45" s="917">
        <f>AH12/AH8</f>
        <v>0.69115039411200319</v>
      </c>
      <c r="AI45" s="917">
        <f>AI12/AI8</f>
        <v>0.65805699937923301</v>
      </c>
      <c r="AJ45" s="917">
        <f>AJ12/AJ8</f>
        <v>0.66356939186453834</v>
      </c>
      <c r="AK45" s="917"/>
      <c r="AL45" s="917">
        <f>AL12/AL8</f>
        <v>0.65633410110316404</v>
      </c>
      <c r="AM45" s="917">
        <f>AM12/AM8</f>
        <v>0.68789541326823589</v>
      </c>
      <c r="AN45" s="917">
        <f>AN12/AN8</f>
        <v>0.66230940622015944</v>
      </c>
      <c r="AO45" s="917">
        <f>AO12/AO8</f>
        <v>0.67179644075643896</v>
      </c>
      <c r="AP45" s="917"/>
      <c r="AQ45" s="917">
        <f>AQ12/AQ8</f>
        <v>0.66917660032090898</v>
      </c>
      <c r="AR45" s="917">
        <f>AR12/AR8</f>
        <v>0.70268619389462117</v>
      </c>
      <c r="AS45" s="917">
        <f>AS12/AS8</f>
        <v>0.66261521435505455</v>
      </c>
      <c r="AT45" s="917">
        <f>AT12/AT8</f>
        <v>0.64625120691184512</v>
      </c>
      <c r="AU45" s="917"/>
      <c r="AV45" s="917">
        <f>AV12/AV8</f>
        <v>0.63392656827242833</v>
      </c>
      <c r="AW45" s="917">
        <f>AW12/AW8</f>
        <v>0.66619744170389861</v>
      </c>
      <c r="AX45" s="917">
        <f>AX12/AX8</f>
        <v>0.64096756730937632</v>
      </c>
      <c r="AY45" s="917">
        <f>AY12/AY8</f>
        <v>0.63520055214206117</v>
      </c>
      <c r="AZ45" s="916"/>
      <c r="BA45" s="917">
        <f>BA12/BA8</f>
        <v>0.62723682909666123</v>
      </c>
      <c r="BB45" s="917">
        <f>BB12/BB8</f>
        <v>0.65077675188187689</v>
      </c>
      <c r="BC45" s="917">
        <f>BC12/BC8</f>
        <v>0.63721609703560034</v>
      </c>
      <c r="BD45" s="917">
        <f>BD12/BD8</f>
        <v>0.63597402461814723</v>
      </c>
      <c r="BE45" s="916"/>
      <c r="BF45" s="917">
        <f>BF12/BF8</f>
        <v>0.62812517181124317</v>
      </c>
      <c r="BG45" s="917">
        <f>BG12/BG8</f>
        <v>0.63098641633661046</v>
      </c>
      <c r="BH45" s="917">
        <f>BH12/BH8</f>
        <v>0.60998312041760239</v>
      </c>
      <c r="BI45" s="918">
        <f>BI12/BI8</f>
        <v>0.59451370257344227</v>
      </c>
      <c r="BJ45" s="919"/>
      <c r="BK45" s="917">
        <f>BK12/BK8</f>
        <v>0.58736585694157084</v>
      </c>
      <c r="BL45" s="917">
        <f>BL12/BL8</f>
        <v>0.62271036475451624</v>
      </c>
      <c r="BM45" s="917">
        <f>BM12/BM8</f>
        <v>0.6433673691851145</v>
      </c>
      <c r="BN45" s="918">
        <f>BN12/BN8</f>
        <v>0.63372989742811014</v>
      </c>
      <c r="BO45" s="918"/>
      <c r="BP45" s="918">
        <f>BP12/BP8</f>
        <v>0.6594974301625357</v>
      </c>
      <c r="BQ45" s="918">
        <f>BQ12/BQ8</f>
        <v>0.63881069855281492</v>
      </c>
      <c r="BR45" s="918">
        <f>BR12/BR8</f>
        <v>0.63006330247083842</v>
      </c>
      <c r="BS45" s="918">
        <f>BS12/BS8</f>
        <v>0.59047429177985078</v>
      </c>
      <c r="BT45" s="918"/>
      <c r="BU45" s="917">
        <f>BU12/BU8</f>
        <v>0.62213227176117547</v>
      </c>
      <c r="BV45" s="917">
        <f>BV12/BV8</f>
        <v>0.62087681968998598</v>
      </c>
      <c r="BW45" s="917">
        <f>BW12/BW8</f>
        <v>0.62216044052737762</v>
      </c>
      <c r="BX45" s="918">
        <f>BX12/BX8</f>
        <v>0.6090738729339803</v>
      </c>
      <c r="BY45" s="918"/>
      <c r="BZ45" s="917">
        <f>BZ12/BZ8</f>
        <v>0.61798196278096817</v>
      </c>
      <c r="CA45" s="917">
        <f>CA12/CA8</f>
        <v>0.62028404560773631</v>
      </c>
      <c r="CB45" s="917">
        <f>CB12/CB8</f>
        <v>0.6342269045678669</v>
      </c>
      <c r="CC45" s="918">
        <f>CC12/CC8</f>
        <v>0.60679916975910431</v>
      </c>
      <c r="CD45" s="918"/>
      <c r="CE45" s="917">
        <f>CE12/CE8</f>
        <v>0.621052600866834</v>
      </c>
      <c r="CF45" s="917">
        <f>CF12/CF8</f>
        <v>0.60920756933449105</v>
      </c>
      <c r="CG45" s="917">
        <f>CG12/CG8</f>
        <v>0.62153811330673914</v>
      </c>
      <c r="CH45" s="918">
        <f>CH12/CH8</f>
        <v>0.59342238192602392</v>
      </c>
      <c r="CI45" s="918"/>
      <c r="CJ45" s="917">
        <f>CJ12/CJ8</f>
        <v>0.60342702076390986</v>
      </c>
      <c r="CK45" s="917">
        <f>CK12/CK8</f>
        <v>0.59140585201733309</v>
      </c>
      <c r="CL45" s="917">
        <f>CL12/CL8</f>
        <v>0.61298992448016087</v>
      </c>
      <c r="CM45" s="918">
        <f>CM12/CM8</f>
        <v>0.5844950962068729</v>
      </c>
      <c r="CN45" s="918"/>
      <c r="CO45" s="917">
        <f>CO12/CO8</f>
        <v>0.59899999999999998</v>
      </c>
      <c r="CP45" s="917">
        <f>CP12/CP8</f>
        <v>0.58899999999999997</v>
      </c>
      <c r="CQ45" s="917">
        <f>CQ12/CQ8</f>
        <v>0.61199999999999999</v>
      </c>
      <c r="CR45" s="918">
        <f>CR12/CR8</f>
        <v>0.58399999999999996</v>
      </c>
      <c r="CS45" s="918"/>
      <c r="CT45" s="920">
        <f>CT12/CT8</f>
        <v>0.33859941695415829</v>
      </c>
      <c r="CU45" s="920">
        <f>CU12/CU8</f>
        <v>0.36904094557685202</v>
      </c>
      <c r="CV45" s="920">
        <f>CV12/CV8</f>
        <v>0.3854935709534007</v>
      </c>
      <c r="CW45" s="920">
        <f t="shared" ref="CW45:DB45" si="19">CW12/CW8</f>
        <v>0.41152785712511492</v>
      </c>
      <c r="CX45" s="920">
        <f t="shared" si="19"/>
        <v>0.43690110568089879</v>
      </c>
      <c r="CY45" s="920">
        <f t="shared" si="19"/>
        <v>0.41158157213454383</v>
      </c>
      <c r="CZ45" s="920">
        <f t="shared" si="19"/>
        <v>0.40886014830901202</v>
      </c>
      <c r="DA45" s="920">
        <f t="shared" si="19"/>
        <v>0.61447701623743456</v>
      </c>
      <c r="DB45" s="921">
        <f t="shared" si="19"/>
        <v>0.6342448130909254</v>
      </c>
      <c r="DC45" s="920">
        <f t="shared" ref="DC45:DH45" si="20">DC12/DC8</f>
        <v>0.66356083896432605</v>
      </c>
      <c r="DD45" s="920">
        <f t="shared" si="20"/>
        <v>0.66982483696775197</v>
      </c>
      <c r="DE45" s="921">
        <f t="shared" si="20"/>
        <v>0.67008193227159563</v>
      </c>
      <c r="DF45" s="920">
        <f t="shared" si="20"/>
        <v>0.67253982532430046</v>
      </c>
      <c r="DG45" s="920">
        <f t="shared" si="20"/>
        <v>0.6690745874708709</v>
      </c>
      <c r="DH45" s="920">
        <f t="shared" si="20"/>
        <v>0.6431673566946946</v>
      </c>
      <c r="DI45" s="921">
        <f t="shared" ref="DI45:DP45" si="21">DI12/DI8</f>
        <v>0.63925373099906135</v>
      </c>
      <c r="DJ45" s="921">
        <f t="shared" si="21"/>
        <v>0.61332093010727606</v>
      </c>
      <c r="DK45" s="920">
        <f t="shared" si="21"/>
        <v>0.62443599313204634</v>
      </c>
      <c r="DL45" s="920">
        <f t="shared" si="21"/>
        <v>0.62557673898569721</v>
      </c>
      <c r="DM45" s="920">
        <f t="shared" si="21"/>
        <v>0.61793575371992204</v>
      </c>
      <c r="DN45" s="920">
        <f t="shared" si="21"/>
        <v>0.61903611581615847</v>
      </c>
      <c r="DO45" s="920">
        <f t="shared" si="21"/>
        <v>0.60977653799214848</v>
      </c>
      <c r="DP45" s="920">
        <f t="shared" si="21"/>
        <v>0.5966295319653333</v>
      </c>
      <c r="DQ45" s="920">
        <f>DQ12/DQ8</f>
        <v>0.59507168181159409</v>
      </c>
      <c r="DR45" s="920">
        <f>DR12/DR8</f>
        <v>0.59599999999999997</v>
      </c>
      <c r="DS45" s="922">
        <f>DS12/DS8</f>
        <v>0.59499999999999997</v>
      </c>
    </row>
    <row r="46" spans="1:131">
      <c r="A46" s="906" t="s">
        <v>301</v>
      </c>
      <c r="B46" s="907"/>
      <c r="C46" s="923">
        <f>(C13/C8)</f>
        <v>0.24848332054906211</v>
      </c>
      <c r="D46" s="916">
        <f>(D13/D8)</f>
        <v>0.23990582335764191</v>
      </c>
      <c r="E46" s="916">
        <f>(E13/E8)</f>
        <v>0.19398263681417174</v>
      </c>
      <c r="F46" s="916">
        <f>(F13/F8)</f>
        <v>0.16422871974791994</v>
      </c>
      <c r="G46" s="916"/>
      <c r="H46" s="917">
        <f>(H13/H8)</f>
        <v>0.24841711949894149</v>
      </c>
      <c r="I46" s="917">
        <f>(I13/I8)</f>
        <v>0.23519086935829647</v>
      </c>
      <c r="J46" s="917">
        <f>(J13/J8)</f>
        <v>0.19801055690125835</v>
      </c>
      <c r="K46" s="917">
        <f>(K13/K8)</f>
        <v>0.17938536108045375</v>
      </c>
      <c r="L46" s="917"/>
      <c r="M46" s="917">
        <f>(M13/M8)</f>
        <v>0.49048249315839287</v>
      </c>
      <c r="N46" s="917">
        <f>(N13/N8)</f>
        <v>0.48966441240270514</v>
      </c>
      <c r="O46" s="917">
        <f>(O13/O8)</f>
        <v>0.41450746311368875</v>
      </c>
      <c r="P46" s="917">
        <f>(P13/P8)</f>
        <v>0.33750622097657179</v>
      </c>
      <c r="Q46" s="917"/>
      <c r="R46" s="917">
        <f>(R13/R8)</f>
        <v>0.50756802279636137</v>
      </c>
      <c r="S46" s="917">
        <f>(S13/S8)</f>
        <v>0.50226161661311308</v>
      </c>
      <c r="T46" s="917">
        <f>(T13/T8)</f>
        <v>0.44330181873751351</v>
      </c>
      <c r="U46" s="917">
        <f>(U13/U8)</f>
        <v>0.35878470134138962</v>
      </c>
      <c r="V46" s="917"/>
      <c r="W46" s="917">
        <f>(W13/W8)</f>
        <v>0.53722477119899004</v>
      </c>
      <c r="X46" s="917">
        <f>(X13/X8)</f>
        <v>0.52876570340803197</v>
      </c>
      <c r="Y46" s="917">
        <f>(Y13/Y8)</f>
        <v>0.46426513853788182</v>
      </c>
      <c r="Z46" s="917">
        <f>(Z13/Z8)</f>
        <v>0.42183675904396334</v>
      </c>
      <c r="AA46" s="917"/>
      <c r="AB46" s="917">
        <f>(AB13/AB8)</f>
        <v>0.52919478429436195</v>
      </c>
      <c r="AC46" s="917">
        <f>(AC13/AC8)</f>
        <v>0.52481757060555534</v>
      </c>
      <c r="AD46" s="917">
        <f>(AD13/AD8)</f>
        <v>0.47819888270692479</v>
      </c>
      <c r="AE46" s="917">
        <f>(AE13/AE8)</f>
        <v>0.38930113834939339</v>
      </c>
      <c r="AF46" s="917"/>
      <c r="AG46" s="917">
        <f>(AG13/AG8)</f>
        <v>0.52953956587161155</v>
      </c>
      <c r="AH46" s="917">
        <f>(AH13/AH8)</f>
        <v>0.54020974774402764</v>
      </c>
      <c r="AI46" s="917">
        <f>(AI13/AI8)</f>
        <v>0.46977119641252291</v>
      </c>
      <c r="AJ46" s="917">
        <f>(AJ13/AJ8)</f>
        <v>0.3963958505123632</v>
      </c>
      <c r="AK46" s="917"/>
      <c r="AL46" s="917">
        <f>(AL13/AL8)</f>
        <v>0.53664821325143797</v>
      </c>
      <c r="AM46" s="917">
        <f>(AM13/AM8)</f>
        <v>0.53801933532039503</v>
      </c>
      <c r="AN46" s="917">
        <f>(AN13/AN8)</f>
        <v>0.47207294158717772</v>
      </c>
      <c r="AO46" s="917">
        <f>(AO13/AO8)</f>
        <v>0.39998405167258083</v>
      </c>
      <c r="AP46" s="917"/>
      <c r="AQ46" s="917">
        <f>(AQ13/AQ8)</f>
        <v>0.54722355263809819</v>
      </c>
      <c r="AR46" s="917">
        <f>(AR13/AR8)</f>
        <v>0.54416427256515676</v>
      </c>
      <c r="AS46" s="917">
        <f>(AS13/AS8)</f>
        <v>0.53798378135297364</v>
      </c>
      <c r="AT46" s="917">
        <f>(AT13/AT8)</f>
        <v>0.49192146483158294</v>
      </c>
      <c r="AU46" s="917"/>
      <c r="AV46" s="917">
        <f>(AV13/AV8)</f>
        <v>0.69242964856272504</v>
      </c>
      <c r="AW46" s="917">
        <f>(AW13/AW8)</f>
        <v>0.65748303963617016</v>
      </c>
      <c r="AX46" s="917">
        <f>(AX13/AX8)</f>
        <v>0.58012243858168688</v>
      </c>
      <c r="AY46" s="917">
        <f>(AY13/AY8)</f>
        <v>0.50553157028219287</v>
      </c>
      <c r="AZ46" s="916"/>
      <c r="BA46" s="917">
        <f>(BA13/BA8)</f>
        <v>0.65577112084256572</v>
      </c>
      <c r="BB46" s="917">
        <f>(BB13/BB8)</f>
        <v>0.61342079222524071</v>
      </c>
      <c r="BC46" s="917">
        <f>(BC13/BC8)</f>
        <v>0.55064248604052024</v>
      </c>
      <c r="BD46" s="917">
        <f>(BD13/BD8)</f>
        <v>0.46931518815099416</v>
      </c>
      <c r="BE46" s="916"/>
      <c r="BF46" s="917">
        <f>(BF13/BF8)</f>
        <v>0.6056743725752205</v>
      </c>
      <c r="BG46" s="917">
        <f>(BG13/BG8)</f>
        <v>0.58392845260988924</v>
      </c>
      <c r="BH46" s="917">
        <f>(BH13/BH8)</f>
        <v>0.52937103106735484</v>
      </c>
      <c r="BI46" s="918">
        <f>(BI13/BI8)</f>
        <v>0.45314634265652681</v>
      </c>
      <c r="BJ46" s="919"/>
      <c r="BK46" s="917">
        <f>(BK13/BK8)</f>
        <v>0.62159119774038285</v>
      </c>
      <c r="BL46" s="917">
        <f>(BL13/BL8)</f>
        <v>0.59845891400841056</v>
      </c>
      <c r="BM46" s="917">
        <f>(BM13/BM8)</f>
        <v>0.53034970320155883</v>
      </c>
      <c r="BN46" s="918">
        <f>(BN13/BN8)</f>
        <v>0.47127844083645493</v>
      </c>
      <c r="BO46" s="918"/>
      <c r="BP46" s="918">
        <f>(BP13/BP8)</f>
        <v>0.67609437163271413</v>
      </c>
      <c r="BQ46" s="918">
        <f>(BQ13/BQ8)</f>
        <v>0.62048666699094213</v>
      </c>
      <c r="BR46" s="918">
        <f>(BR13/BR8)</f>
        <v>0.58104719571312302</v>
      </c>
      <c r="BS46" s="918">
        <f>(BS13/BS8)</f>
        <v>0.47765632108084066</v>
      </c>
      <c r="BT46" s="918"/>
      <c r="BU46" s="917">
        <f>(BU13/BU8)</f>
        <v>0.64583404261528066</v>
      </c>
      <c r="BV46" s="917">
        <f>(BV13/BV8)</f>
        <v>0.60113069205764624</v>
      </c>
      <c r="BW46" s="917">
        <f>(BW13/BW8)</f>
        <v>0.56499896319393317</v>
      </c>
      <c r="BX46" s="918">
        <f>(BX13/BX8)</f>
        <v>0.49626365734620514</v>
      </c>
      <c r="BY46" s="918"/>
      <c r="BZ46" s="917">
        <f>(BZ13/BZ8)</f>
        <v>0.69453526955747069</v>
      </c>
      <c r="CA46" s="917">
        <f>(CA13/CA8)</f>
        <v>0.60151438815490199</v>
      </c>
      <c r="CB46" s="917">
        <f>(CB13/CB8)</f>
        <v>0.58055230533183388</v>
      </c>
      <c r="CC46" s="918">
        <f>(CC13/CC8)</f>
        <v>0.4992991472958766</v>
      </c>
      <c r="CD46" s="918"/>
      <c r="CE46" s="917">
        <f>(CE13/CE8)</f>
        <v>0.70543689631982121</v>
      </c>
      <c r="CF46" s="917">
        <f>(CF13/CF8)</f>
        <v>0.63158996884416974</v>
      </c>
      <c r="CG46" s="917">
        <f>(CG13/CG8)</f>
        <v>0.60593330688519642</v>
      </c>
      <c r="CH46" s="918">
        <f>(CH13/CH8)</f>
        <v>0.54336077223907064</v>
      </c>
      <c r="CI46" s="918"/>
      <c r="CJ46" s="917">
        <f>(CJ13/CJ8)</f>
        <v>0.71066814501307662</v>
      </c>
      <c r="CK46" s="917">
        <f>(CK13/CK8)</f>
        <v>0.61418593878517325</v>
      </c>
      <c r="CL46" s="917">
        <f>(CL13/CL8)</f>
        <v>0.56966612036614561</v>
      </c>
      <c r="CM46" s="918">
        <f>(CM13/CM8)</f>
        <v>0.47050935416767947</v>
      </c>
      <c r="CN46" s="918"/>
      <c r="CO46" s="917">
        <f>(CO13/CO8)</f>
        <v>0.68600000000000005</v>
      </c>
      <c r="CP46" s="917">
        <f>(CP13/CP8)</f>
        <v>0.58740000000000003</v>
      </c>
      <c r="CQ46" s="917">
        <f>(CQ13/CQ8)</f>
        <v>0.57299999999999995</v>
      </c>
      <c r="CR46" s="918">
        <f>(CR13/CR8)</f>
        <v>0.51</v>
      </c>
      <c r="CS46" s="918"/>
      <c r="CT46" s="920">
        <f>(CT13/CT8)</f>
        <v>0.23761451928421998</v>
      </c>
      <c r="CU46" s="920">
        <f>(CU13/CU8)</f>
        <v>0.23190069534725616</v>
      </c>
      <c r="CV46" s="920">
        <f>(CV13/CV8)</f>
        <v>0.22421623528374268</v>
      </c>
      <c r="CW46" s="920">
        <f t="shared" ref="CW46:DB46" si="22">(CW13/CW8)</f>
        <v>0.20417297995479272</v>
      </c>
      <c r="CX46" s="920">
        <f t="shared" si="22"/>
        <v>0.20208311911048857</v>
      </c>
      <c r="CY46" s="920">
        <f t="shared" si="22"/>
        <v>0.20662748342765538</v>
      </c>
      <c r="CZ46" s="920">
        <f t="shared" si="22"/>
        <v>0.20996839952727511</v>
      </c>
      <c r="DA46" s="920">
        <f t="shared" si="22"/>
        <v>0.41911143112641847</v>
      </c>
      <c r="DB46" s="921">
        <f t="shared" si="22"/>
        <v>0.44089707924012572</v>
      </c>
      <c r="DC46" s="920">
        <f t="shared" ref="DC46:DH46" si="23">(DC13/DC8)</f>
        <v>0.47751544338316709</v>
      </c>
      <c r="DD46" s="920">
        <f t="shared" si="23"/>
        <v>0.46308419587856786</v>
      </c>
      <c r="DE46" s="921">
        <f t="shared" si="23"/>
        <v>0.46059072351786268</v>
      </c>
      <c r="DF46" s="920">
        <f t="shared" si="23"/>
        <v>0.46516703174565421</v>
      </c>
      <c r="DG46" s="920">
        <f t="shared" si="23"/>
        <v>0.5274342526543051</v>
      </c>
      <c r="DH46" s="920">
        <f t="shared" si="23"/>
        <v>0.59619070382858852</v>
      </c>
      <c r="DI46" s="921">
        <f t="shared" ref="DI46:DP46" si="24">(DI13/DI8)</f>
        <v>0.56956863170178762</v>
      </c>
      <c r="DJ46" s="921">
        <f t="shared" si="24"/>
        <v>0.53239469002115891</v>
      </c>
      <c r="DK46" s="920">
        <f t="shared" si="24"/>
        <v>0.54411773508276229</v>
      </c>
      <c r="DL46" s="920">
        <f t="shared" si="24"/>
        <v>0.57684537650565471</v>
      </c>
      <c r="DM46" s="920">
        <f t="shared" si="24"/>
        <v>0.57079697545158559</v>
      </c>
      <c r="DN46" s="920">
        <f t="shared" si="24"/>
        <v>0.58270504848409066</v>
      </c>
      <c r="DO46" s="920">
        <f t="shared" si="24"/>
        <v>0.61298328092967891</v>
      </c>
      <c r="DP46" s="920">
        <f t="shared" si="24"/>
        <v>0.57241524441046876</v>
      </c>
      <c r="DQ46" s="920">
        <f>(DQ13/DQ8)</f>
        <v>0.57895018131218645</v>
      </c>
      <c r="DR46" s="920">
        <f>(DR13/DR8)</f>
        <v>0.58119999999999994</v>
      </c>
      <c r="DS46" s="922">
        <f>(DS13/DS8)</f>
        <v>0.58150000000000002</v>
      </c>
    </row>
    <row r="47" spans="1:131">
      <c r="A47" s="924" t="s">
        <v>642</v>
      </c>
      <c r="B47" s="925"/>
      <c r="C47" s="926"/>
      <c r="D47" s="927"/>
      <c r="E47" s="927"/>
      <c r="F47" s="927"/>
      <c r="G47" s="927"/>
      <c r="H47" s="928"/>
      <c r="I47" s="928"/>
      <c r="J47" s="928"/>
      <c r="K47" s="928"/>
      <c r="L47" s="928"/>
      <c r="M47" s="928"/>
      <c r="N47" s="928"/>
      <c r="O47" s="928"/>
      <c r="P47" s="928"/>
      <c r="Q47" s="928"/>
      <c r="R47" s="928"/>
      <c r="S47" s="928"/>
      <c r="T47" s="928"/>
      <c r="U47" s="928"/>
      <c r="V47" s="928"/>
      <c r="W47" s="928"/>
      <c r="X47" s="928"/>
      <c r="Y47" s="928"/>
      <c r="Z47" s="928"/>
      <c r="AA47" s="928"/>
      <c r="AB47" s="928"/>
      <c r="AC47" s="928"/>
      <c r="AD47" s="928"/>
      <c r="AE47" s="928"/>
      <c r="AF47" s="928"/>
      <c r="AG47" s="928"/>
      <c r="AH47" s="928"/>
      <c r="AI47" s="928"/>
      <c r="AJ47" s="928"/>
      <c r="AK47" s="928"/>
      <c r="AL47" s="928"/>
      <c r="AM47" s="928"/>
      <c r="AN47" s="928"/>
      <c r="AO47" s="928"/>
      <c r="AP47" s="928"/>
      <c r="AQ47" s="928"/>
      <c r="AR47" s="928"/>
      <c r="AS47" s="928"/>
      <c r="AT47" s="928"/>
      <c r="AU47" s="928"/>
      <c r="AV47" s="928"/>
      <c r="AW47" s="928"/>
      <c r="AX47" s="928"/>
      <c r="AY47" s="928"/>
      <c r="AZ47" s="927"/>
      <c r="BA47" s="928"/>
      <c r="BB47" s="928"/>
      <c r="BC47" s="928"/>
      <c r="BD47" s="928"/>
      <c r="BE47" s="927"/>
      <c r="BF47" s="928">
        <f>BF14/BF8</f>
        <v>0.47700896645527413</v>
      </c>
      <c r="BG47" s="928">
        <f>BG14/BG8</f>
        <v>0.46394215298828595</v>
      </c>
      <c r="BH47" s="928">
        <f>BH14/BH8</f>
        <v>0.42913085022530895</v>
      </c>
      <c r="BI47" s="928">
        <f>BI14/BI8</f>
        <v>0.37666404518481439</v>
      </c>
      <c r="BJ47" s="928"/>
      <c r="BK47" s="928">
        <f>BK14/BK8</f>
        <v>0.49470592194247187</v>
      </c>
      <c r="BL47" s="928">
        <f t="shared" ref="BL47:BX47" si="25">BL14/BL8</f>
        <v>0.48148163719627873</v>
      </c>
      <c r="BM47" s="928">
        <f t="shared" si="25"/>
        <v>0.42486421140017222</v>
      </c>
      <c r="BN47" s="928">
        <f t="shared" si="25"/>
        <v>0.3879843190235685</v>
      </c>
      <c r="BO47" s="928"/>
      <c r="BP47" s="928">
        <f t="shared" si="25"/>
        <v>0.53545731899962923</v>
      </c>
      <c r="BQ47" s="928">
        <f t="shared" si="25"/>
        <v>0.49880828763516472</v>
      </c>
      <c r="BR47" s="928">
        <f t="shared" si="25"/>
        <v>0.46510815422150342</v>
      </c>
      <c r="BS47" s="928">
        <f t="shared" si="25"/>
        <v>0.38635879048937877</v>
      </c>
      <c r="BT47" s="929"/>
      <c r="BU47" s="928">
        <f t="shared" si="25"/>
        <v>0.50675682248172482</v>
      </c>
      <c r="BV47" s="928">
        <f t="shared" si="25"/>
        <v>0.47726657721436549</v>
      </c>
      <c r="BW47" s="928">
        <f t="shared" si="25"/>
        <v>0.45114119982050632</v>
      </c>
      <c r="BX47" s="929">
        <f t="shared" si="25"/>
        <v>0.39449901031134099</v>
      </c>
      <c r="BY47" s="929"/>
      <c r="BZ47" s="928">
        <f>BZ14/BZ8</f>
        <v>0.54544403754042015</v>
      </c>
      <c r="CA47" s="928">
        <f>CA14/CA8</f>
        <v>0.47422336246997882</v>
      </c>
      <c r="CB47" s="928">
        <f>CB14/CB8</f>
        <v>0.44658718921158425</v>
      </c>
      <c r="CC47" s="929">
        <f>CC14/CC8</f>
        <v>0.38676376771225501</v>
      </c>
      <c r="CD47" s="929"/>
      <c r="CE47" s="928">
        <f>CE14/CE8</f>
        <v>0.53847870771412276</v>
      </c>
      <c r="CF47" s="928">
        <f>CF14/CF8</f>
        <v>0.48893840339138872</v>
      </c>
      <c r="CG47" s="928">
        <f>CG14/CG8</f>
        <v>0.47047949823178786</v>
      </c>
      <c r="CH47" s="929">
        <f>CH14/CH8</f>
        <v>0.42590289309826768</v>
      </c>
      <c r="CI47" s="929"/>
      <c r="CJ47" s="928">
        <f>CJ14/CJ8</f>
        <v>0.54444039395007393</v>
      </c>
      <c r="CK47" s="928">
        <f>CK14/CK8</f>
        <v>0.4738676360575424</v>
      </c>
      <c r="CL47" s="928">
        <f>CL14/CL8</f>
        <v>0.43759602938848491</v>
      </c>
      <c r="CM47" s="929">
        <f>CM14/CM8</f>
        <v>0.36647032496953469</v>
      </c>
      <c r="CN47" s="929"/>
      <c r="CO47" s="928">
        <f>CO14/CO8</f>
        <v>0.52200000000000002</v>
      </c>
      <c r="CP47" s="928">
        <f>CP14/CP8</f>
        <v>0.45200000000000001</v>
      </c>
      <c r="CQ47" s="928">
        <f>CQ14/CQ8</f>
        <v>0.43899999999999995</v>
      </c>
      <c r="CR47" s="929">
        <f>CR14/CR8</f>
        <v>0.39500000000000002</v>
      </c>
      <c r="CS47" s="929"/>
      <c r="CT47" s="594"/>
      <c r="CU47" s="594"/>
      <c r="CV47" s="594"/>
      <c r="CW47" s="594"/>
      <c r="CX47" s="594"/>
      <c r="CY47" s="594"/>
      <c r="CZ47" s="594"/>
      <c r="DA47" s="594"/>
      <c r="DB47" s="930"/>
      <c r="DC47" s="594"/>
      <c r="DD47" s="594"/>
      <c r="DE47" s="930">
        <f>(DE14/DE8)</f>
        <v>0.35196712965443999</v>
      </c>
      <c r="DF47" s="594">
        <f t="shared" ref="DF47:DO47" si="26">(DF14/DF8)</f>
        <v>0.36332513076891476</v>
      </c>
      <c r="DG47" s="594">
        <f t="shared" si="26"/>
        <v>0.4122673653157799</v>
      </c>
      <c r="DH47" s="594">
        <f t="shared" si="26"/>
        <v>0.48690084937470657</v>
      </c>
      <c r="DI47" s="930">
        <f t="shared" si="26"/>
        <v>0.44249095358132096</v>
      </c>
      <c r="DJ47" s="930">
        <f t="shared" si="26"/>
        <v>0.42967341965888883</v>
      </c>
      <c r="DK47" s="594">
        <f t="shared" si="26"/>
        <v>0.43906265067986755</v>
      </c>
      <c r="DL47" s="594">
        <f t="shared" si="26"/>
        <v>0.46233194563769747</v>
      </c>
      <c r="DM47" s="594">
        <f t="shared" si="26"/>
        <v>0.45263526200377668</v>
      </c>
      <c r="DN47" s="594">
        <f t="shared" si="26"/>
        <v>0.45401940500414922</v>
      </c>
      <c r="DO47" s="594">
        <f t="shared" si="26"/>
        <v>0.47494965040850812</v>
      </c>
      <c r="DP47" s="594">
        <f>(DP14/DP8)</f>
        <v>0.44161520203625282</v>
      </c>
      <c r="DQ47" s="594">
        <f>(DQ14/DQ8)</f>
        <v>0.44466669208652504</v>
      </c>
      <c r="DR47" s="594">
        <f>(DR14/DR8)</f>
        <v>0.44479999999999997</v>
      </c>
      <c r="DS47" s="931">
        <f>(DS14/DS8)</f>
        <v>0.44550000000000001</v>
      </c>
    </row>
    <row r="48" spans="1:131">
      <c r="A48" s="924" t="s">
        <v>643</v>
      </c>
      <c r="B48" s="925"/>
      <c r="C48" s="926"/>
      <c r="D48" s="927"/>
      <c r="E48" s="927"/>
      <c r="F48" s="927"/>
      <c r="G48" s="927"/>
      <c r="H48" s="928"/>
      <c r="I48" s="928"/>
      <c r="J48" s="928"/>
      <c r="K48" s="928"/>
      <c r="L48" s="928"/>
      <c r="M48" s="928"/>
      <c r="N48" s="928"/>
      <c r="O48" s="928"/>
      <c r="P48" s="928"/>
      <c r="Q48" s="928"/>
      <c r="R48" s="928"/>
      <c r="S48" s="928"/>
      <c r="T48" s="928"/>
      <c r="U48" s="928"/>
      <c r="V48" s="928"/>
      <c r="W48" s="928"/>
      <c r="X48" s="928"/>
      <c r="Y48" s="928"/>
      <c r="Z48" s="928"/>
      <c r="AA48" s="928"/>
      <c r="AB48" s="928"/>
      <c r="AC48" s="928"/>
      <c r="AD48" s="928"/>
      <c r="AE48" s="928"/>
      <c r="AF48" s="928"/>
      <c r="AG48" s="928"/>
      <c r="AH48" s="928"/>
      <c r="AI48" s="928"/>
      <c r="AJ48" s="928"/>
      <c r="AK48" s="928"/>
      <c r="AL48" s="928"/>
      <c r="AM48" s="928"/>
      <c r="AN48" s="928"/>
      <c r="AO48" s="928"/>
      <c r="AP48" s="928"/>
      <c r="AQ48" s="928"/>
      <c r="AR48" s="928"/>
      <c r="AS48" s="928"/>
      <c r="AT48" s="928"/>
      <c r="AU48" s="928"/>
      <c r="AV48" s="928"/>
      <c r="AW48" s="928"/>
      <c r="AX48" s="928"/>
      <c r="AY48" s="928"/>
      <c r="AZ48" s="927"/>
      <c r="BA48" s="928"/>
      <c r="BB48" s="928"/>
      <c r="BC48" s="928"/>
      <c r="BD48" s="928"/>
      <c r="BE48" s="927"/>
      <c r="BF48" s="928">
        <f>BF15/BF8</f>
        <v>0.12866540611994637</v>
      </c>
      <c r="BG48" s="928">
        <f>BG15/BG8</f>
        <v>0.1199862996216034</v>
      </c>
      <c r="BH48" s="928">
        <f>BH15/BH8</f>
        <v>0.10024018084204576</v>
      </c>
      <c r="BI48" s="928">
        <f>BI15/BI8</f>
        <v>7.6482297471712452E-2</v>
      </c>
      <c r="BJ48" s="928"/>
      <c r="BK48" s="928">
        <f>BK15/BK8</f>
        <v>0.12688527579791103</v>
      </c>
      <c r="BL48" s="928">
        <f t="shared" ref="BL48:BX48" si="27">BL15/BL8</f>
        <v>0.11697727681213192</v>
      </c>
      <c r="BM48" s="928">
        <f t="shared" si="27"/>
        <v>0.10548549180138658</v>
      </c>
      <c r="BN48" s="928">
        <f t="shared" si="27"/>
        <v>8.3294121812886479E-2</v>
      </c>
      <c r="BO48" s="928"/>
      <c r="BP48" s="928">
        <f t="shared" si="27"/>
        <v>0.14063705263308493</v>
      </c>
      <c r="BQ48" s="928">
        <f t="shared" si="27"/>
        <v>0.12167837935577742</v>
      </c>
      <c r="BR48" s="928">
        <f t="shared" si="27"/>
        <v>0.11593904149161953</v>
      </c>
      <c r="BS48" s="928">
        <f t="shared" si="27"/>
        <v>9.1297530591461881E-2</v>
      </c>
      <c r="BT48" s="929"/>
      <c r="BU48" s="928">
        <f t="shared" si="27"/>
        <v>0.13907722013355575</v>
      </c>
      <c r="BV48" s="928">
        <f t="shared" si="27"/>
        <v>0.12386411484328069</v>
      </c>
      <c r="BW48" s="928">
        <f t="shared" si="27"/>
        <v>0.11385776337342682</v>
      </c>
      <c r="BX48" s="929">
        <f t="shared" si="27"/>
        <v>0.10176464703486418</v>
      </c>
      <c r="BY48" s="929"/>
      <c r="BZ48" s="928">
        <f>BZ15/BZ8</f>
        <v>0.14909123201705049</v>
      </c>
      <c r="CA48" s="928">
        <f>CA15/CA8</f>
        <v>0.12729102568492315</v>
      </c>
      <c r="CB48" s="928">
        <f>CB15/CB8</f>
        <v>0.13396511612024967</v>
      </c>
      <c r="CC48" s="929">
        <f>CC15/CC8</f>
        <v>0.1125353795836216</v>
      </c>
      <c r="CD48" s="929"/>
      <c r="CE48" s="928">
        <f>CE15/CE8</f>
        <v>0.16695818860569847</v>
      </c>
      <c r="CF48" s="928">
        <f>CF15/CF8</f>
        <v>0.14265156545278104</v>
      </c>
      <c r="CG48" s="928">
        <f>CG15/CG8</f>
        <v>0.13545380865340853</v>
      </c>
      <c r="CH48" s="929">
        <f>CH15/CH8</f>
        <v>0.11745787914080297</v>
      </c>
      <c r="CI48" s="929"/>
      <c r="CJ48" s="928">
        <f>CJ15/CJ8</f>
        <v>0.16622775106300267</v>
      </c>
      <c r="CK48" s="928">
        <f>CK15/CK8</f>
        <v>0.14031830272763082</v>
      </c>
      <c r="CL48" s="928">
        <f>CL15/CL8</f>
        <v>0.13207009097766065</v>
      </c>
      <c r="CM48" s="929">
        <f>CM15/CM8</f>
        <v>0.10403902919814476</v>
      </c>
      <c r="CN48" s="929"/>
      <c r="CO48" s="928">
        <f>CO15/CO8</f>
        <v>0.16399999999999998</v>
      </c>
      <c r="CP48" s="928">
        <f>CP15/CP8</f>
        <v>0.13539999999999999</v>
      </c>
      <c r="CQ48" s="928">
        <f>CQ15/CQ8</f>
        <v>0.13400000000000001</v>
      </c>
      <c r="CR48" s="929">
        <f>CR15/CR8</f>
        <v>0.115</v>
      </c>
      <c r="CS48" s="929"/>
      <c r="CT48" s="594"/>
      <c r="CU48" s="594"/>
      <c r="CV48" s="594"/>
      <c r="CW48" s="594"/>
      <c r="CX48" s="594"/>
      <c r="CY48" s="594"/>
      <c r="CZ48" s="594"/>
      <c r="DA48" s="594"/>
      <c r="DB48" s="930"/>
      <c r="DC48" s="594"/>
      <c r="DD48" s="594"/>
      <c r="DE48" s="930">
        <f>(DE15/DE8)</f>
        <v>0.10862359386342266</v>
      </c>
      <c r="DF48" s="594">
        <f t="shared" ref="DF48:DO48" si="28">(DF15/DF8)</f>
        <v>0.10184190097673945</v>
      </c>
      <c r="DG48" s="594">
        <f t="shared" si="28"/>
        <v>0.11631497418096202</v>
      </c>
      <c r="DH48" s="594">
        <f t="shared" si="28"/>
        <v>0.12062589098979896</v>
      </c>
      <c r="DI48" s="930">
        <f t="shared" si="28"/>
        <v>0.11554623302282997</v>
      </c>
      <c r="DJ48" s="930">
        <f t="shared" si="28"/>
        <v>0.10272127036227008</v>
      </c>
      <c r="DK48" s="594">
        <f t="shared" si="28"/>
        <v>0.10505508440289482</v>
      </c>
      <c r="DL48" s="594">
        <f t="shared" si="28"/>
        <v>0.11451343086795711</v>
      </c>
      <c r="DM48" s="594">
        <f t="shared" si="28"/>
        <v>0.11816171344780892</v>
      </c>
      <c r="DN48" s="594">
        <f t="shared" si="28"/>
        <v>0.12868564347994133</v>
      </c>
      <c r="DO48" s="594">
        <f t="shared" si="28"/>
        <v>0.13803363052117087</v>
      </c>
      <c r="DP48" s="594">
        <f>(DP15/DP8)</f>
        <v>0.13080004237421583</v>
      </c>
      <c r="DQ48" s="594">
        <f>(DQ15/DQ8)</f>
        <v>0.1342834892256615</v>
      </c>
      <c r="DR48" s="594">
        <f>(DR15/DR8)</f>
        <v>0.13639999999999999</v>
      </c>
      <c r="DS48" s="931">
        <f>(DS15/DS8)</f>
        <v>0.13600000000000001</v>
      </c>
    </row>
    <row r="49" spans="1:123">
      <c r="A49" s="906" t="s">
        <v>278</v>
      </c>
      <c r="B49" s="907"/>
      <c r="C49" s="923">
        <f>(C20/C8)</f>
        <v>0.12360870474770284</v>
      </c>
      <c r="D49" s="923">
        <f>(D20/D8)</f>
        <v>0.15426011710926632</v>
      </c>
      <c r="E49" s="923">
        <f>(E20/E8)</f>
        <v>0.22287441566201538</v>
      </c>
      <c r="F49" s="923">
        <f>(F20/F8)</f>
        <v>0.34463037608539049</v>
      </c>
      <c r="G49" s="916"/>
      <c r="H49" s="917">
        <f>(H20/H8)</f>
        <v>0.1193916275621201</v>
      </c>
      <c r="I49" s="917">
        <f>(I20/I8)</f>
        <v>0.14801053132545383</v>
      </c>
      <c r="J49" s="917">
        <f>(J20/J8)</f>
        <v>0.19549217020668902</v>
      </c>
      <c r="K49" s="917">
        <f>(K20/K8)</f>
        <v>0.28238801215169135</v>
      </c>
      <c r="L49" s="917"/>
      <c r="M49" s="917">
        <f>(M20/M8)</f>
        <v>0.11679646538274624</v>
      </c>
      <c r="N49" s="917">
        <f>(N20/N8)</f>
        <v>0.14871762153885404</v>
      </c>
      <c r="O49" s="917">
        <f>(O20/O8)</f>
        <v>0.18017117823952078</v>
      </c>
      <c r="P49" s="917">
        <f>(P20/P8)</f>
        <v>0.28199452928255758</v>
      </c>
      <c r="Q49" s="917"/>
      <c r="R49" s="917">
        <f>(R20/R8)</f>
        <v>0.11679097374842085</v>
      </c>
      <c r="S49" s="917">
        <f>(S20/S8)</f>
        <v>0.15457987906184384</v>
      </c>
      <c r="T49" s="917">
        <f>(T20/T8)</f>
        <v>0.18066245822836569</v>
      </c>
      <c r="U49" s="917">
        <f>(U20/U8)</f>
        <v>0.27539619799817633</v>
      </c>
      <c r="V49" s="917"/>
      <c r="W49" s="917">
        <f>(W20/W8)</f>
        <v>0.11318670647925619</v>
      </c>
      <c r="X49" s="917">
        <f>(X20/X8)</f>
        <v>0.17117150787599736</v>
      </c>
      <c r="Y49" s="917">
        <f>(Y20/Y8)</f>
        <v>0.18217520221844985</v>
      </c>
      <c r="Z49" s="917">
        <f>(Z20/Z8)</f>
        <v>0.24133435381969412</v>
      </c>
      <c r="AA49" s="917"/>
      <c r="AB49" s="917">
        <f>(AB20/AB8)</f>
        <v>0.12414366964759227</v>
      </c>
      <c r="AC49" s="917">
        <f>(AC20/AC8)</f>
        <v>0.15689365297914062</v>
      </c>
      <c r="AD49" s="917">
        <f>(AD20/AD8)</f>
        <v>0.18157431077089817</v>
      </c>
      <c r="AE49" s="917">
        <f>(AE20/AE8)</f>
        <v>0.27579488907750438</v>
      </c>
      <c r="AF49" s="917"/>
      <c r="AG49" s="917">
        <f>(AG20/AG8)</f>
        <v>0.12455136465780474</v>
      </c>
      <c r="AH49" s="917">
        <f>(AH20/AH8)</f>
        <v>0.15094064636797547</v>
      </c>
      <c r="AI49" s="917">
        <f>(AI20/AI8)</f>
        <v>0.18828580296671013</v>
      </c>
      <c r="AJ49" s="917">
        <f>(AJ20/AJ8)</f>
        <v>0.26717354135217519</v>
      </c>
      <c r="AK49" s="917"/>
      <c r="AL49" s="917">
        <f>(AL20/AL8)</f>
        <v>0.11968588785172614</v>
      </c>
      <c r="AM49" s="917">
        <f>(AM20/AM8)</f>
        <v>0.14987607794784089</v>
      </c>
      <c r="AN49" s="917">
        <f>(AN20/AN8)</f>
        <v>0.19023646463298177</v>
      </c>
      <c r="AO49" s="917">
        <f>(AO20/AO8)</f>
        <v>0.27181238908385819</v>
      </c>
      <c r="AP49" s="917"/>
      <c r="AQ49" s="917">
        <f>(AQ20/AQ8)</f>
        <v>0.12195304768281082</v>
      </c>
      <c r="AR49" s="917">
        <f>(AR20/AR8)</f>
        <v>0.15852192132946438</v>
      </c>
      <c r="AS49" s="917">
        <f>(AS20/AS8)</f>
        <v>0.12463143300208092</v>
      </c>
      <c r="AT49" s="917">
        <f>(AT20/AT8)</f>
        <v>0.15432974208026226</v>
      </c>
      <c r="AU49" s="917"/>
      <c r="AV49" s="917">
        <f>(AV20/AV8)</f>
        <v>-5.8503080290296654E-2</v>
      </c>
      <c r="AW49" s="917">
        <f>(AW20/AW8)</f>
        <v>8.7144020677284596E-3</v>
      </c>
      <c r="AX49" s="917">
        <f>(AX20/AX8)</f>
        <v>6.0845128727689518E-2</v>
      </c>
      <c r="AY49" s="917">
        <f>(AY20/AY8)</f>
        <v>0.12966898185986822</v>
      </c>
      <c r="AZ49" s="916"/>
      <c r="BA49" s="917">
        <f>(BA20/BA8)</f>
        <v>-2.8534291745904408E-2</v>
      </c>
      <c r="BB49" s="917">
        <f>(BB20/BB8)</f>
        <v>3.7355959656636191E-2</v>
      </c>
      <c r="BC49" s="917">
        <f>(BC20/BC8)</f>
        <v>8.6573610995080097E-2</v>
      </c>
      <c r="BD49" s="917">
        <f>(BD20/BD8)</f>
        <v>0.16665883646715302</v>
      </c>
      <c r="BE49" s="916"/>
      <c r="BF49" s="917">
        <f>(BF20/BF8)</f>
        <v>2.2450799236022691E-2</v>
      </c>
      <c r="BG49" s="917">
        <f>(BG20/BG8)</f>
        <v>4.7057963726721164E-2</v>
      </c>
      <c r="BH49" s="917">
        <f>(BH20/BH8)</f>
        <v>8.0612089350247593E-2</v>
      </c>
      <c r="BI49" s="918">
        <f>(BI20/BI8)</f>
        <v>0.14136735991691546</v>
      </c>
      <c r="BJ49" s="919"/>
      <c r="BK49" s="917">
        <f>(BK20/BK8)</f>
        <v>-3.4225340798812003E-2</v>
      </c>
      <c r="BL49" s="917">
        <f>(BL20/BL8)</f>
        <v>2.4251450746105602E-2</v>
      </c>
      <c r="BM49" s="917">
        <f>(BM20/BM8)</f>
        <v>0.11301766598355568</v>
      </c>
      <c r="BN49" s="918">
        <f>(BN20/BN8)</f>
        <v>0.16245145659165516</v>
      </c>
      <c r="BO49" s="918"/>
      <c r="BP49" s="918">
        <f>(BP20/BP8)</f>
        <v>-1.6596941470178379E-2</v>
      </c>
      <c r="BQ49" s="918">
        <f>(BQ20/BQ8)</f>
        <v>1.8324031561872765E-2</v>
      </c>
      <c r="BR49" s="918">
        <f>(BR20/BR8)</f>
        <v>4.9016106757715408E-2</v>
      </c>
      <c r="BS49" s="918">
        <f>(BS20/BS8)</f>
        <v>0.11281797069901013</v>
      </c>
      <c r="BT49" s="918"/>
      <c r="BU49" s="917">
        <f>(BU20/BU8)</f>
        <v>-2.3701770854105225E-2</v>
      </c>
      <c r="BV49" s="917">
        <f>(BV20/BV8)</f>
        <v>1.9746127632339829E-2</v>
      </c>
      <c r="BW49" s="917">
        <f>(BW20/BW8)</f>
        <v>5.7161477333444538E-2</v>
      </c>
      <c r="BX49" s="918">
        <f>(BX20/BX8)</f>
        <v>0.11281021558777515</v>
      </c>
      <c r="BY49" s="918"/>
      <c r="BZ49" s="917">
        <f>(BZ20/BZ8)</f>
        <v>-7.6553306776502503E-2</v>
      </c>
      <c r="CA49" s="917">
        <f>(CA20/CA8)</f>
        <v>1.8769657452834331E-2</v>
      </c>
      <c r="CB49" s="917">
        <f>(CB20/CB8)</f>
        <v>5.3674599236032995E-2</v>
      </c>
      <c r="CC49" s="918">
        <f>(CC20/CC8)</f>
        <v>0.10750002246322778</v>
      </c>
      <c r="CD49" s="918"/>
      <c r="CE49" s="917">
        <f>(CE20/CE8)</f>
        <v>-8.4384295452987243E-2</v>
      </c>
      <c r="CF49" s="917">
        <f>(CF20/CF8)</f>
        <v>-2.2382399509678734E-2</v>
      </c>
      <c r="CG49" s="917">
        <f>(CG20/CG8)</f>
        <v>1.560480642154278E-2</v>
      </c>
      <c r="CH49" s="918">
        <f>(CH20/CH8)</f>
        <v>5.0061609686953265E-2</v>
      </c>
      <c r="CI49" s="918"/>
      <c r="CJ49" s="917">
        <f>(CJ20/CJ8)</f>
        <v>-0.10724112424916681</v>
      </c>
      <c r="CK49" s="917">
        <f>(CK20/CK8)</f>
        <v>-2.2780086767840192E-2</v>
      </c>
      <c r="CL49" s="917">
        <f>(CL20/CL8)</f>
        <v>4.3323804114015305E-2</v>
      </c>
      <c r="CM49" s="918">
        <f>(CM20/CM8)</f>
        <v>0.11398574203919341</v>
      </c>
      <c r="CN49" s="918"/>
      <c r="CO49" s="917">
        <f>(CO20/CO8)</f>
        <v>-8.7000000000000063E-2</v>
      </c>
      <c r="CP49" s="917">
        <f>(CP20/CP8)</f>
        <v>1.6000000000000003E-3</v>
      </c>
      <c r="CQ49" s="917">
        <f>(CQ20/CQ8)</f>
        <v>3.8999999999999979E-2</v>
      </c>
      <c r="CR49" s="918">
        <f>(CR20/CR8)</f>
        <v>7.3999999999999927E-2</v>
      </c>
      <c r="CS49" s="918"/>
      <c r="CT49" s="920">
        <f>(CT20/CT8)</f>
        <v>0.10098489766993829</v>
      </c>
      <c r="CU49" s="920">
        <f>(CU20/CU8)</f>
        <v>0.13714025022959586</v>
      </c>
      <c r="CV49" s="920">
        <f>(CV20/CV8)</f>
        <v>0.16127733566965799</v>
      </c>
      <c r="CW49" s="920">
        <f t="shared" ref="CW49:DH49" si="29">(CW20/CW8)</f>
        <v>0.20735487717032219</v>
      </c>
      <c r="CX49" s="920">
        <f t="shared" si="29"/>
        <v>0.2348179865704102</v>
      </c>
      <c r="CY49" s="920">
        <f t="shared" si="29"/>
        <v>0.20495408870688844</v>
      </c>
      <c r="CZ49" s="920">
        <f t="shared" si="29"/>
        <v>0.1988917487817369</v>
      </c>
      <c r="DA49" s="920">
        <f t="shared" si="29"/>
        <v>0.19536558511101615</v>
      </c>
      <c r="DB49" s="921">
        <f t="shared" si="29"/>
        <v>0.19334773385079967</v>
      </c>
      <c r="DC49" s="920">
        <f t="shared" si="29"/>
        <v>0.18604539558115901</v>
      </c>
      <c r="DD49" s="920">
        <f t="shared" si="29"/>
        <v>0.20674064108918405</v>
      </c>
      <c r="DE49" s="921">
        <f t="shared" si="29"/>
        <v>0.209491208753733</v>
      </c>
      <c r="DF49" s="920">
        <f t="shared" si="29"/>
        <v>0.20737279357864627</v>
      </c>
      <c r="DG49" s="920">
        <f t="shared" si="29"/>
        <v>0.14164033481656585</v>
      </c>
      <c r="DH49" s="920">
        <f t="shared" si="29"/>
        <v>4.6976652866106104E-2</v>
      </c>
      <c r="DI49" s="921">
        <f t="shared" ref="DI49:DP49" si="30">(DI20/DI8)</f>
        <v>6.9685099297273664E-2</v>
      </c>
      <c r="DJ49" s="921">
        <f t="shared" si="30"/>
        <v>8.0926240086117152E-2</v>
      </c>
      <c r="DK49" s="920">
        <f t="shared" si="30"/>
        <v>8.0318258049284025E-2</v>
      </c>
      <c r="DL49" s="920">
        <f t="shared" si="30"/>
        <v>4.8731362480042575E-2</v>
      </c>
      <c r="DM49" s="920">
        <f t="shared" si="30"/>
        <v>4.713877826833654E-2</v>
      </c>
      <c r="DN49" s="920">
        <f t="shared" si="30"/>
        <v>3.6331067332067798E-2</v>
      </c>
      <c r="DO49" s="920">
        <f t="shared" si="30"/>
        <v>-3.2067429375304715E-3</v>
      </c>
      <c r="DP49" s="920">
        <f t="shared" si="30"/>
        <v>2.4214287554864614E-2</v>
      </c>
      <c r="DQ49" s="920">
        <f>(DQ20/DQ8)</f>
        <v>1.6121500499407679E-2</v>
      </c>
      <c r="DR49" s="920">
        <f>(DR20/DR8)</f>
        <v>1.4800000000000025E-2</v>
      </c>
      <c r="DS49" s="922">
        <f>(DS20/DS8)</f>
        <v>1.3499999999999986E-2</v>
      </c>
    </row>
    <row r="50" spans="1:123">
      <c r="A50" s="906" t="s">
        <v>302</v>
      </c>
      <c r="B50" s="907"/>
      <c r="C50" s="923">
        <f>(C24/C8)</f>
        <v>0.1337306291470656</v>
      </c>
      <c r="D50" s="923">
        <f>(D24/D8)</f>
        <v>0.16022769547513849</v>
      </c>
      <c r="E50" s="923">
        <f>(E24/E8)</f>
        <v>0.22879336402938383</v>
      </c>
      <c r="F50" s="923">
        <f>(F24/F8)</f>
        <v>0.35158402393220678</v>
      </c>
      <c r="G50" s="916"/>
      <c r="H50" s="917">
        <f>(H24/H8)</f>
        <v>0.13142542169497473</v>
      </c>
      <c r="I50" s="917">
        <f>(I24/I8)</f>
        <v>0.15396605699665117</v>
      </c>
      <c r="J50" s="917">
        <f>(J24/J8)</f>
        <v>0.19952653231609188</v>
      </c>
      <c r="K50" s="917">
        <f>(K24/K8)</f>
        <v>0.28807928182138837</v>
      </c>
      <c r="L50" s="917"/>
      <c r="M50" s="917">
        <f>(M24/M8)</f>
        <v>0.11958426046701949</v>
      </c>
      <c r="N50" s="917">
        <f>(N24/N8)</f>
        <v>0.15093846649288772</v>
      </c>
      <c r="O50" s="917">
        <f>(O24/O8)</f>
        <v>0.18223638241094706</v>
      </c>
      <c r="P50" s="917">
        <f>(P24/P8)</f>
        <v>0.28442679079931593</v>
      </c>
      <c r="Q50" s="917"/>
      <c r="R50" s="917">
        <f>(R24/R8)</f>
        <v>0.11964917138226007</v>
      </c>
      <c r="S50" s="917">
        <f>(S24/S8)</f>
        <v>0.15700032891130364</v>
      </c>
      <c r="T50" s="917">
        <f>(T24/T8)</f>
        <v>0.18236366210540259</v>
      </c>
      <c r="U50" s="917">
        <f>(U24/U8)</f>
        <v>0.27735733570787441</v>
      </c>
      <c r="V50" s="917"/>
      <c r="W50" s="917">
        <f>(W24/W8)</f>
        <v>0.11557788944723618</v>
      </c>
      <c r="X50" s="917">
        <f>(X24/X8)</f>
        <v>0.17455512201442158</v>
      </c>
      <c r="Y50" s="917">
        <f>(Y24/Y8)</f>
        <v>0.18519599634355258</v>
      </c>
      <c r="Z50" s="917">
        <f>(Z24/Z8)</f>
        <v>0.24322448468833949</v>
      </c>
      <c r="AA50" s="917"/>
      <c r="AB50" s="917">
        <f>(AB24/AB8)</f>
        <v>0.12637479197527465</v>
      </c>
      <c r="AC50" s="917">
        <f>(AC24/AC8)</f>
        <v>0.15962287719715668</v>
      </c>
      <c r="AD50" s="917">
        <f>(AD24/AD8)</f>
        <v>0.18372491552208908</v>
      </c>
      <c r="AE50" s="917">
        <f>(AE24/AE8)</f>
        <v>0.27826630552365744</v>
      </c>
      <c r="AF50" s="917"/>
      <c r="AG50" s="917">
        <f>(AG24/AG8)</f>
        <v>0.13259523088649883</v>
      </c>
      <c r="AH50" s="917">
        <f>(AH24/AH8)</f>
        <v>0.15970037771597212</v>
      </c>
      <c r="AI50" s="917">
        <f>(AI24/AI8)</f>
        <v>0.19236016529078756</v>
      </c>
      <c r="AJ50" s="917">
        <f>(AJ24/AJ8)</f>
        <v>0.27534571013828407</v>
      </c>
      <c r="AK50" s="917"/>
      <c r="AL50" s="917">
        <f>(AL24/AL8)</f>
        <v>0.12987567516601339</v>
      </c>
      <c r="AM50" s="917">
        <f>(AM24/AM8)</f>
        <v>0.15943933039831557</v>
      </c>
      <c r="AN50" s="917">
        <f>(AN24/AN8)</f>
        <v>0.19632314437382556</v>
      </c>
      <c r="AO50" s="917">
        <f>(AO24/AO8)</f>
        <v>0.27944073446929912</v>
      </c>
      <c r="AP50" s="917"/>
      <c r="AQ50" s="917">
        <f>(AQ24/AQ8)</f>
        <v>0.13536363971293511</v>
      </c>
      <c r="AR50" s="917">
        <f>(AR24/AR8)</f>
        <v>0.16152444863662221</v>
      </c>
      <c r="AS50" s="917">
        <f>(AS24/AS8)</f>
        <v>0.12491801755981752</v>
      </c>
      <c r="AT50" s="917">
        <f>(AT24/AT8)</f>
        <v>0.16131377261016158</v>
      </c>
      <c r="AU50" s="917"/>
      <c r="AV50" s="917">
        <f>(AV24/AV8)</f>
        <v>-5.401933428503515E-2</v>
      </c>
      <c r="AW50" s="917">
        <f>(AW24/AW8)</f>
        <v>1.6736736548230515E-2</v>
      </c>
      <c r="AX50" s="917">
        <f>(AX24/AX8)</f>
        <v>6.2368313510702038E-2</v>
      </c>
      <c r="AY50" s="917">
        <f>(AY24/AY8)</f>
        <v>0.13626626751752946</v>
      </c>
      <c r="AZ50" s="916"/>
      <c r="BA50" s="917">
        <f>(BA24/BA8)</f>
        <v>-2.8404894417595757E-2</v>
      </c>
      <c r="BB50" s="917">
        <f>(BB24/BB8)</f>
        <v>3.8821503946108671E-2</v>
      </c>
      <c r="BC50" s="917">
        <f>(BC24/BC8)</f>
        <v>8.7726270013479726E-2</v>
      </c>
      <c r="BD50" s="917">
        <f>(BD24/BD8)</f>
        <v>0.17056610602438133</v>
      </c>
      <c r="BE50" s="916"/>
      <c r="BF50" s="917">
        <f>(BF24/BF8)</f>
        <v>2.4223293660374352E-2</v>
      </c>
      <c r="BG50" s="917">
        <f>(BG24/BG8)</f>
        <v>4.5173070902730664E-2</v>
      </c>
      <c r="BH50" s="917">
        <f>(BH24/BH8)</f>
        <v>8.25854017638048E-2</v>
      </c>
      <c r="BI50" s="918">
        <f>(BI24/BI8)</f>
        <v>0.1447644993659527</v>
      </c>
      <c r="BJ50" s="919"/>
      <c r="BK50" s="917">
        <f>(BK24/BK8)</f>
        <v>-3.2602489313061617E-2</v>
      </c>
      <c r="BL50" s="917">
        <f>(BL24/BL8)</f>
        <v>2.4658216725334262E-2</v>
      </c>
      <c r="BM50" s="917">
        <f>(BM24/BM8)</f>
        <v>0.11265003432653721</v>
      </c>
      <c r="BN50" s="918">
        <f>(BN24/BN8)</f>
        <v>0.1696647874644798</v>
      </c>
      <c r="BO50" s="918"/>
      <c r="BP50" s="918">
        <f>(BP24/BP8)</f>
        <v>-1.7562642396178267E-2</v>
      </c>
      <c r="BQ50" s="918">
        <f>(BQ24/BQ8)</f>
        <v>2.1137826240512247E-2</v>
      </c>
      <c r="BR50" s="918">
        <f>(BR24/BR8)</f>
        <v>5.6948029261787346E-2</v>
      </c>
      <c r="BS50" s="918">
        <f>(BS24/BS8)</f>
        <v>0.1170369252819371</v>
      </c>
      <c r="BT50" s="918"/>
      <c r="BU50" s="917">
        <f>(BU24/BU8)</f>
        <v>-2.1752664062994025E-2</v>
      </c>
      <c r="BV50" s="917">
        <f>(BV24/BV8)</f>
        <v>2.2294956799029885E-2</v>
      </c>
      <c r="BW50" s="917">
        <f>(BW24/BW8)</f>
        <v>5.2731188552783324E-2</v>
      </c>
      <c r="BX50" s="918">
        <f>(BX24/BX8)</f>
        <v>0.11372487369857741</v>
      </c>
      <c r="BY50" s="918"/>
      <c r="BZ50" s="917">
        <f>(BZ24/BZ8)</f>
        <v>-8.0329620451578834E-2</v>
      </c>
      <c r="CA50" s="917">
        <f>(CA24/CA8)</f>
        <v>1.4577697993044366E-2</v>
      </c>
      <c r="CB50" s="917">
        <f>(CB24/CB8)</f>
        <v>5.291541273794291E-2</v>
      </c>
      <c r="CC50" s="918">
        <f>(CC24/CC8)</f>
        <v>0.10496437332087381</v>
      </c>
      <c r="CD50" s="918"/>
      <c r="CE50" s="917">
        <f>(CE24/CE8)</f>
        <v>-8.6679027780411852E-2</v>
      </c>
      <c r="CF50" s="917">
        <f>(CF24/CF8)</f>
        <v>-2.7417130599111286E-2</v>
      </c>
      <c r="CG50" s="917">
        <f>(CG24/CG8)</f>
        <v>1.0996259130083499E-2</v>
      </c>
      <c r="CH50" s="918">
        <f>(CH24/CH8)</f>
        <v>5.446836677882165E-2</v>
      </c>
      <c r="CI50" s="918"/>
      <c r="CJ50" s="917">
        <f>(CJ24/CJ8)</f>
        <v>-0.11202709427786145</v>
      </c>
      <c r="CK50" s="917">
        <f>(CK24/CK8)</f>
        <v>-2.4435373870330689E-2</v>
      </c>
      <c r="CL50" s="917">
        <f>(CL24/CL8)</f>
        <v>3.8084673476799204E-2</v>
      </c>
      <c r="CM50" s="918">
        <f>(CM24/CM8)</f>
        <v>0.12092028046578907</v>
      </c>
      <c r="CN50" s="918"/>
      <c r="CO50" s="917">
        <f>(CO24/CO8)</f>
        <v>-9.1447531028021514E-2</v>
      </c>
      <c r="CP50" s="917">
        <f>(CP24/CP8)</f>
        <v>-2.1362948942947029E-3</v>
      </c>
      <c r="CQ50" s="917">
        <f>(CQ24/CQ8)</f>
        <v>3.5401587938682089E-2</v>
      </c>
      <c r="CR50" s="918">
        <f>(CR24/CR8)</f>
        <v>7.1205947926110083E-2</v>
      </c>
      <c r="CS50" s="918"/>
      <c r="CT50" s="920">
        <f>(CT24/CT8)</f>
        <v>7.6674347255992717E-2</v>
      </c>
      <c r="CU50" s="920">
        <f>(CU24/CU8)</f>
        <v>0.12218372434192486</v>
      </c>
      <c r="CV50" s="920">
        <f>(CV24/CV8)</f>
        <v>0.15440831107881836</v>
      </c>
      <c r="CW50" s="920">
        <f t="shared" ref="CW50:DH50" si="31">(CW24/CW8)</f>
        <v>0.21125959412802109</v>
      </c>
      <c r="CX50" s="920">
        <f t="shared" si="31"/>
        <v>0.24187133436418973</v>
      </c>
      <c r="CY50" s="920">
        <f t="shared" si="31"/>
        <v>0.21125739735812099</v>
      </c>
      <c r="CZ50" s="920">
        <f t="shared" si="31"/>
        <v>0.20260203846128483</v>
      </c>
      <c r="DA50" s="920">
        <f t="shared" si="31"/>
        <v>0.19807777750622421</v>
      </c>
      <c r="DB50" s="921">
        <f t="shared" si="31"/>
        <v>0.196092185952879</v>
      </c>
      <c r="DC50" s="920">
        <f t="shared" si="31"/>
        <v>0.19084687030922387</v>
      </c>
      <c r="DD50" s="920">
        <f t="shared" si="31"/>
        <v>0.21114681066584209</v>
      </c>
      <c r="DE50" s="921">
        <f t="shared" si="31"/>
        <v>0.21676213455064522</v>
      </c>
      <c r="DF50" s="920">
        <f t="shared" si="31"/>
        <v>0.21562464185859445</v>
      </c>
      <c r="DG50" s="920">
        <f t="shared" si="31"/>
        <v>0.1474269795241582</v>
      </c>
      <c r="DH50" s="920">
        <f t="shared" si="31"/>
        <v>5.2143924196508595E-2</v>
      </c>
      <c r="DI50" s="921">
        <f t="shared" ref="DI50:DP50" si="32">(DI24/DI8)</f>
        <v>7.1614886634363176E-2</v>
      </c>
      <c r="DJ50" s="921">
        <f t="shared" si="32"/>
        <v>8.2463496180187987E-2</v>
      </c>
      <c r="DK50" s="920">
        <f t="shared" si="32"/>
        <v>8.2988513136790565E-2</v>
      </c>
      <c r="DL50" s="920">
        <f t="shared" si="32"/>
        <v>5.250313524967952E-2</v>
      </c>
      <c r="DM50" s="920">
        <f t="shared" si="32"/>
        <v>4.7368210190623476E-2</v>
      </c>
      <c r="DN50" s="920">
        <f t="shared" si="32"/>
        <v>3.3603908283788335E-2</v>
      </c>
      <c r="DO50" s="920">
        <f t="shared" si="32"/>
        <v>-4.6303588498049506E-3</v>
      </c>
      <c r="DP50" s="920">
        <f t="shared" si="32"/>
        <v>2.4019308899444296E-2</v>
      </c>
      <c r="DQ50" s="920">
        <f>(DQ24/DQ8)</f>
        <v>1.2576319470811151E-2</v>
      </c>
      <c r="DR50" s="920">
        <f>(DR24/DR8)</f>
        <v>1.1247926606128604E-2</v>
      </c>
      <c r="DS50" s="922">
        <f>(DS24/DS8)</f>
        <v>9.9288498073876602E-3</v>
      </c>
    </row>
    <row r="51" spans="1:123">
      <c r="A51" s="906" t="s">
        <v>303</v>
      </c>
      <c r="B51" s="907"/>
      <c r="C51" s="923">
        <f>(C26/C24)</f>
        <v>0.39982351289559187</v>
      </c>
      <c r="D51" s="923">
        <f>(D26/D24)</f>
        <v>0.40020991698737313</v>
      </c>
      <c r="E51" s="923">
        <f>(E26/E24)</f>
        <v>0.39996005776262022</v>
      </c>
      <c r="F51" s="923">
        <f>(F26/F24)</f>
        <v>0.4</v>
      </c>
      <c r="G51" s="916"/>
      <c r="H51" s="917">
        <f>(H26/H24)</f>
        <v>0.4001039230969084</v>
      </c>
      <c r="I51" s="917">
        <f>(I26/I24)</f>
        <v>0.39985253665314902</v>
      </c>
      <c r="J51" s="917">
        <f>(J26/J24)</f>
        <v>0.3999889886032042</v>
      </c>
      <c r="K51" s="917">
        <f>(K26/K24)</f>
        <v>0.39006279868873178</v>
      </c>
      <c r="L51" s="917"/>
      <c r="M51" s="917">
        <f>(M26/M24)</f>
        <v>0.3862317871942258</v>
      </c>
      <c r="N51" s="917">
        <f>(N26/N24)</f>
        <v>0.38148625256632207</v>
      </c>
      <c r="O51" s="917">
        <f>(O26/O24)</f>
        <v>0.38389363623277534</v>
      </c>
      <c r="P51" s="917">
        <f>(P26/P24)</f>
        <v>0.38543359141171296</v>
      </c>
      <c r="Q51" s="917"/>
      <c r="R51" s="917">
        <f>(R26/R24)</f>
        <v>0.38293359045438136</v>
      </c>
      <c r="S51" s="917">
        <f>(S26/S24)</f>
        <v>0.38438260994126899</v>
      </c>
      <c r="T51" s="917">
        <f>(T26/T24)</f>
        <v>0.38695962931926881</v>
      </c>
      <c r="U51" s="917">
        <f>(U26/U24)</f>
        <v>0.39442056772267542</v>
      </c>
      <c r="V51" s="917"/>
      <c r="W51" s="917">
        <f>(W26/W24)</f>
        <v>0.38626339004410842</v>
      </c>
      <c r="X51" s="917">
        <f>(X26/X24)</f>
        <v>0.38871204876029491</v>
      </c>
      <c r="Y51" s="917">
        <f>(Y26/Y24)</f>
        <v>0.37164544361026974</v>
      </c>
      <c r="Z51" s="917">
        <f>(Z26/Z24)</f>
        <v>0.40210101880268234</v>
      </c>
      <c r="AA51" s="917"/>
      <c r="AB51" s="917">
        <f>(AB26/AB24)</f>
        <v>0.42183407377393212</v>
      </c>
      <c r="AC51" s="917">
        <f>(AC26/AC24)</f>
        <v>0.38630410241234575</v>
      </c>
      <c r="AD51" s="917">
        <f>(AD26/AD24)</f>
        <v>0.39421361892040058</v>
      </c>
      <c r="AE51" s="917">
        <f>(AE26/AE24)</f>
        <v>0.3933867368413182</v>
      </c>
      <c r="AF51" s="917"/>
      <c r="AG51" s="917">
        <f>(AG26/AG24)</f>
        <v>0.35468325090934139</v>
      </c>
      <c r="AH51" s="917">
        <f>(AH26/AH24)</f>
        <v>0.37523052645588162</v>
      </c>
      <c r="AI51" s="917">
        <f>(AI26/AI24)</f>
        <v>0.3856995779472947</v>
      </c>
      <c r="AJ51" s="917">
        <f>(AJ26/AJ24)</f>
        <v>0.36790539247579318</v>
      </c>
      <c r="AK51" s="917"/>
      <c r="AL51" s="917">
        <f>(AL26/AL24)</f>
        <v>0.37688885201356559</v>
      </c>
      <c r="AM51" s="917">
        <f>(AM26/AM24)</f>
        <v>0.36640031183005262</v>
      </c>
      <c r="AN51" s="917">
        <f>(AN26/AN24)</f>
        <v>0.38503177218168999</v>
      </c>
      <c r="AO51" s="917">
        <f>(AO26/AO24)</f>
        <v>0.36883852031308229</v>
      </c>
      <c r="AP51" s="917"/>
      <c r="AQ51" s="917">
        <f>(AQ26/AQ24)</f>
        <v>0.36959174096668224</v>
      </c>
      <c r="AR51" s="917">
        <f>(AR26/AR24)</f>
        <v>0.38158813652505974</v>
      </c>
      <c r="AS51" s="917">
        <f>(AS26/AS24)</f>
        <v>0.36757678252432446</v>
      </c>
      <c r="AT51" s="917">
        <f>(AT26/AT24)</f>
        <v>0.44367265418599666</v>
      </c>
      <c r="AU51" s="917"/>
      <c r="AV51" s="917">
        <f>(AV26/AV24)</f>
        <v>0.28918627903399552</v>
      </c>
      <c r="AW51" s="917">
        <f>(AW26/AW24)</f>
        <v>1.768026254102204</v>
      </c>
      <c r="AX51" s="917">
        <f>(AX26/AX24)</f>
        <v>-4.71641918053015E-2</v>
      </c>
      <c r="AY51" s="917">
        <f>(AY26/AY24)</f>
        <v>0.36535626920905756</v>
      </c>
      <c r="AZ51" s="916"/>
      <c r="BA51" s="917">
        <f>(BA26/BA24)</f>
        <v>0.39458463428366625</v>
      </c>
      <c r="BB51" s="917">
        <f>(BB26/BB24)</f>
        <v>0.2654743895278559</v>
      </c>
      <c r="BC51" s="917">
        <f>(BC26/BC24)</f>
        <v>0.35603428306694446</v>
      </c>
      <c r="BD51" s="917">
        <f>(BD26/BD24)</f>
        <v>0.36727072349628698</v>
      </c>
      <c r="BE51" s="916"/>
      <c r="BF51" s="917">
        <f>(BF26/BF24)</f>
        <v>0.36848078156609176</v>
      </c>
      <c r="BG51" s="917">
        <f>(BG26/BG24)</f>
        <v>0.32581556516069776</v>
      </c>
      <c r="BH51" s="917">
        <f>(BH26/BH24)</f>
        <v>0.36079909960607776</v>
      </c>
      <c r="BI51" s="918">
        <f>(BI26/BI24)</f>
        <v>0.35243660258476356</v>
      </c>
      <c r="BJ51" s="919"/>
      <c r="BK51" s="917">
        <f>(BK26/BK24)</f>
        <v>0.2906372777518812</v>
      </c>
      <c r="BL51" s="917">
        <f>(BL26/BL24)</f>
        <v>0.27318840579710035</v>
      </c>
      <c r="BM51" s="917">
        <f>(BM26/BM24)</f>
        <v>0.3622088478381314</v>
      </c>
      <c r="BN51" s="918">
        <f>(BN26/BN24)</f>
        <v>0.35055667488099923</v>
      </c>
      <c r="BO51" s="918"/>
      <c r="BP51" s="918">
        <f>(BP26/BP24)</f>
        <v>0.56656031498200887</v>
      </c>
      <c r="BQ51" s="918">
        <f>(BQ26/BQ24)</f>
        <v>0.34892446223111639</v>
      </c>
      <c r="BR51" s="918">
        <f>(BR26/BR24)</f>
        <v>0.30927537217048451</v>
      </c>
      <c r="BS51" s="918">
        <f>(BS26/BS24)</f>
        <v>0.31427124507553605</v>
      </c>
      <c r="BT51" s="918"/>
      <c r="BU51" s="917">
        <f>(BU26/BU24)</f>
        <v>0.27534935718278292</v>
      </c>
      <c r="BV51" s="917">
        <f>(BV26/BV24)</f>
        <v>0.2918009669621271</v>
      </c>
      <c r="BW51" s="917">
        <f>(BW26/BW24)</f>
        <v>0.36735882818026699</v>
      </c>
      <c r="BX51" s="918">
        <f>(BX26/BX24)</f>
        <v>0.36518221803330142</v>
      </c>
      <c r="BY51" s="918"/>
      <c r="BZ51" s="917">
        <f>(BZ26/BZ24)</f>
        <v>0.34758438677887848</v>
      </c>
      <c r="CA51" s="917">
        <f>(CA26/CA24)</f>
        <v>0.15955037329083144</v>
      </c>
      <c r="CB51" s="917">
        <f>(CB26/CB24)</f>
        <v>0.28348031834803195</v>
      </c>
      <c r="CC51" s="918">
        <f>(CC26/CC24)</f>
        <v>0.35905425533736213</v>
      </c>
      <c r="CD51" s="918"/>
      <c r="CE51" s="917">
        <f>(CE26/CE24)</f>
        <v>0.34984936970900554</v>
      </c>
      <c r="CF51" s="917">
        <f>(CF26/CF24)</f>
        <v>0.26834947839046203</v>
      </c>
      <c r="CG51" s="917">
        <f>(CG26/CG24)</f>
        <v>0.80135015493580919</v>
      </c>
      <c r="CH51" s="918">
        <f>(CH26/CH24)</f>
        <v>7.4616025084589699E-2</v>
      </c>
      <c r="CI51" s="918"/>
      <c r="CJ51" s="917">
        <f>(CJ26/CJ24)</f>
        <v>0.1762331051430579</v>
      </c>
      <c r="CK51" s="917">
        <f>(CK26/CK24)</f>
        <v>0.47014651052880357</v>
      </c>
      <c r="CL51" s="917">
        <f>(CL26/CL24)</f>
        <v>0.3566734924661521</v>
      </c>
      <c r="CM51" s="918">
        <f>(CM26/CM24)</f>
        <v>0.31738253498478636</v>
      </c>
      <c r="CN51" s="918"/>
      <c r="CO51" s="917">
        <f>(CO26/CO24)</f>
        <v>0.1</v>
      </c>
      <c r="CP51" s="917">
        <f>(CP26/CP24)</f>
        <v>0.28999999999999998</v>
      </c>
      <c r="CQ51" s="917">
        <f>(CQ26/CQ24)</f>
        <v>0.27</v>
      </c>
      <c r="CR51" s="918">
        <f>(CR26/CR24)</f>
        <v>0.27</v>
      </c>
      <c r="CS51" s="918"/>
      <c r="CT51" s="920">
        <f>(CT26/CT24)</f>
        <v>0.40013282417399992</v>
      </c>
      <c r="CU51" s="920">
        <f>(CU26/CU24)</f>
        <v>0.40022451619200988</v>
      </c>
      <c r="CV51" s="920">
        <f>(CV26/CV24)</f>
        <v>0.40003973082366967</v>
      </c>
      <c r="CW51" s="920">
        <f t="shared" ref="CW51:DB51" si="33">(CW26/CW24)</f>
        <v>0.39999529693948327</v>
      </c>
      <c r="CX51" s="920">
        <f t="shared" si="33"/>
        <v>0.39999839573264906</v>
      </c>
      <c r="CY51" s="920">
        <f t="shared" si="33"/>
        <v>0.39517618845452146</v>
      </c>
      <c r="CZ51" s="920">
        <f t="shared" si="33"/>
        <v>0.39002321695922926</v>
      </c>
      <c r="DA51" s="920">
        <f t="shared" si="33"/>
        <v>0.38385365915389608</v>
      </c>
      <c r="DB51" s="921">
        <f t="shared" si="33"/>
        <v>0.38836267647691125</v>
      </c>
      <c r="DC51" s="920">
        <f t="shared" ref="DC51:DH51" si="34">(DC26/DC24)</f>
        <v>0.38542060920285159</v>
      </c>
      <c r="DD51" s="920">
        <f t="shared" si="34"/>
        <v>0.39197829214921059</v>
      </c>
      <c r="DE51" s="921">
        <f t="shared" si="34"/>
        <v>0.37275824044613959</v>
      </c>
      <c r="DF51" s="920">
        <f t="shared" si="34"/>
        <v>0.37432136155148876</v>
      </c>
      <c r="DG51" s="920">
        <f t="shared" si="34"/>
        <v>0.39029756017786638</v>
      </c>
      <c r="DH51" s="920">
        <f t="shared" si="34"/>
        <v>0.35255058607818751</v>
      </c>
      <c r="DI51" s="921">
        <f t="shared" ref="DI51:DP51" si="35">(DI26/DI24)</f>
        <v>0.24196911632101012</v>
      </c>
      <c r="DJ51" s="921">
        <f t="shared" si="35"/>
        <v>0.35233662303725988</v>
      </c>
      <c r="DK51" s="920">
        <f t="shared" si="35"/>
        <v>0.35461673055603732</v>
      </c>
      <c r="DL51" s="920">
        <f t="shared" si="35"/>
        <v>0.29892204487624352</v>
      </c>
      <c r="DM51" s="920">
        <f t="shared" si="35"/>
        <v>0.36661817443670064</v>
      </c>
      <c r="DN51" s="920">
        <f t="shared" si="35"/>
        <v>0.31475439228561142</v>
      </c>
      <c r="DO51" s="920">
        <f t="shared" si="35"/>
        <v>0.98000519345623749</v>
      </c>
      <c r="DP51" s="920">
        <f t="shared" si="35"/>
        <v>0.42263863062032081</v>
      </c>
      <c r="DQ51" s="920">
        <f>(DQ26/DQ24)</f>
        <v>0.51552948678368404</v>
      </c>
      <c r="DR51" s="920">
        <f>(DR26/DR24)</f>
        <v>0.27</v>
      </c>
      <c r="DS51" s="922">
        <f>(DS26/DS24)</f>
        <v>0.27</v>
      </c>
    </row>
    <row r="52" spans="1:123">
      <c r="A52" s="906" t="s">
        <v>279</v>
      </c>
      <c r="B52" s="907"/>
      <c r="C52" s="923">
        <f>(C28/C8)</f>
        <v>8.0261979219748203E-2</v>
      </c>
      <c r="D52" s="923">
        <f>(D28/D8)</f>
        <v>9.6102982769955228E-2</v>
      </c>
      <c r="E52" s="923">
        <f>(E28/E8)</f>
        <v>0.1372851569364873</v>
      </c>
      <c r="F52" s="923">
        <f>(F28/F8)</f>
        <v>0.21095041435932405</v>
      </c>
      <c r="G52" s="916"/>
      <c r="H52" s="917">
        <f>(H28/H8)</f>
        <v>7.8841594880149801E-2</v>
      </c>
      <c r="I52" s="917">
        <f>(I28/I8)</f>
        <v>9.2402338548056864E-2</v>
      </c>
      <c r="J52" s="917">
        <f>(J28/J8)</f>
        <v>0.11971811645547374</v>
      </c>
      <c r="K52" s="917">
        <f>(K28/K8)</f>
        <v>0.17571027090989771</v>
      </c>
      <c r="L52" s="917"/>
      <c r="M52" s="917">
        <f>(M28/M8)</f>
        <v>7.339701782654276E-2</v>
      </c>
      <c r="N52" s="917">
        <f>(N28/N8)</f>
        <v>9.335751654240862E-2</v>
      </c>
      <c r="O52" s="917">
        <f>(O28/O8)</f>
        <v>0.11227699491330201</v>
      </c>
      <c r="P52" s="917">
        <f>(P28/P8)</f>
        <v>0.17479915132782764</v>
      </c>
      <c r="Q52" s="917"/>
      <c r="R52" s="917">
        <f>(R28/R8)</f>
        <v>7.3831484589959598E-2</v>
      </c>
      <c r="S52" s="917">
        <f>(S28/S8)</f>
        <v>9.6652132722739079E-2</v>
      </c>
      <c r="T52" s="917">
        <f>(T28/T8)</f>
        <v>0.11179628701579163</v>
      </c>
      <c r="U52" s="917">
        <f>(U28/U8)</f>
        <v>0.16796189789592592</v>
      </c>
      <c r="V52" s="917"/>
      <c r="W52" s="917">
        <f>(W28/W8)</f>
        <v>7.0934382055203554E-2</v>
      </c>
      <c r="X52" s="917">
        <f>(X28/X8)</f>
        <v>0.10670344291459251</v>
      </c>
      <c r="Y52" s="917">
        <f>(Y28/Y8)</f>
        <v>0.11636874812760709</v>
      </c>
      <c r="Z52" s="917">
        <f>(Z28/Z8)</f>
        <v>0.14542367159740077</v>
      </c>
      <c r="AA52" s="917"/>
      <c r="AB52" s="917">
        <f>(AB28/AB8)</f>
        <v>7.3065598654011313E-2</v>
      </c>
      <c r="AC52" s="917">
        <f>(AC28/AC8)</f>
        <v>9.7959904897032976E-2</v>
      </c>
      <c r="AD52" s="917">
        <f>(AD28/AD8)</f>
        <v>0.11129805168828145</v>
      </c>
      <c r="AE52" s="917">
        <f>(AE28/AE8)</f>
        <v>0.16880003162081655</v>
      </c>
      <c r="AF52" s="917"/>
      <c r="AG52" s="917">
        <f>(AG28/AG8)</f>
        <v>8.5565923340600716E-2</v>
      </c>
      <c r="AH52" s="917">
        <f>(AH28/AH8)</f>
        <v>9.977592091040477E-2</v>
      </c>
      <c r="AI52" s="917">
        <f>(AI28/AI8)</f>
        <v>0.11816693072425895</v>
      </c>
      <c r="AJ52" s="917">
        <f>(AJ28/AJ8)</f>
        <v>0.17404453858333269</v>
      </c>
      <c r="AK52" s="917"/>
      <c r="AL52" s="917">
        <f>(AL28/AL8)</f>
        <v>8.0926981048207849E-2</v>
      </c>
      <c r="AM52" s="917">
        <f>(AM28/AM8)</f>
        <v>0.10102071002239796</v>
      </c>
      <c r="AN52" s="917">
        <f>(AN28/AN8)</f>
        <v>0.12073249617528974</v>
      </c>
      <c r="AO52" s="917">
        <f>(AO28/AO8)</f>
        <v>0.17637222745244191</v>
      </c>
      <c r="AP52" s="917"/>
      <c r="AQ52" s="917">
        <f>(AQ28/AQ8)</f>
        <v>8.5334356447844678E-2</v>
      </c>
      <c r="AR52" s="917">
        <f>(AR28/AR8)</f>
        <v>9.9888635278135823E-2</v>
      </c>
      <c r="AS52" s="917">
        <f>(AS28/AS8)</f>
        <v>7.9001054585862734E-2</v>
      </c>
      <c r="AT52" s="917">
        <f>(AT28/AT8)</f>
        <v>8.9743262959454853E-2</v>
      </c>
      <c r="AU52" s="917"/>
      <c r="AV52" s="917">
        <f>(AV28/AV8)</f>
        <v>-3.8397684007252297E-2</v>
      </c>
      <c r="AW52" s="917">
        <f>(AW28/AW8)</f>
        <v>-1.2854253077032935E-2</v>
      </c>
      <c r="AX52" s="917">
        <f>(AX28/AX8)</f>
        <v>6.5309864611693955E-2</v>
      </c>
      <c r="AY52" s="917">
        <f>(AY28/AY8)</f>
        <v>8.6480532398281504E-2</v>
      </c>
      <c r="AZ52" s="916"/>
      <c r="BA52" s="917">
        <f>(BA28/BA8)</f>
        <v>-1.7196759541962581E-2</v>
      </c>
      <c r="BB52" s="917">
        <f>(BB28/BB8)</f>
        <v>2.8515388885462227E-2</v>
      </c>
      <c r="BC52" s="917">
        <f>(BC28/BC8)</f>
        <v>5.6492710363093286E-2</v>
      </c>
      <c r="BD52" s="917">
        <f>(BD28/BD8)</f>
        <v>0.10792216886086241</v>
      </c>
      <c r="BE52" s="916"/>
      <c r="BF52" s="917">
        <f>(BF28/BF8)</f>
        <v>1.5297475480294654E-2</v>
      </c>
      <c r="BG52" s="917">
        <f>(BG28/BG8)</f>
        <v>3.04549812765132E-2</v>
      </c>
      <c r="BH52" s="917">
        <f>(BH28/BH8)</f>
        <v>5.2788663166817844E-2</v>
      </c>
      <c r="BI52" s="918">
        <f>(BI28/BI8)</f>
        <v>9.3744191034532173E-2</v>
      </c>
      <c r="BJ52" s="919"/>
      <c r="BK52" s="917">
        <f>(BK28/BK8)</f>
        <v>-2.3126990571178587E-2</v>
      </c>
      <c r="BL52" s="917">
        <f>(BL28/BL8)</f>
        <v>1.7921877808340796E-2</v>
      </c>
      <c r="BM52" s="917">
        <f>(BM28/BM8)</f>
        <v>7.1847195184196216E-2</v>
      </c>
      <c r="BN52" s="918">
        <f>(BN28/BN8)</f>
        <v>0.11018766372654031</v>
      </c>
      <c r="BO52" s="918"/>
      <c r="BP52" s="918">
        <f>(BP28/BP8)</f>
        <v>-7.6123461882831259E-3</v>
      </c>
      <c r="BQ52" s="918">
        <f>(BQ28/BQ8)</f>
        <v>1.3762321586806733E-2</v>
      </c>
      <c r="BR52" s="918">
        <f>(BR28/BR8)</f>
        <v>3.933540631747242E-2</v>
      </c>
      <c r="BS52" s="918">
        <f>(BS28/BS8)</f>
        <v>8.0255585053770256E-2</v>
      </c>
      <c r="BT52" s="918"/>
      <c r="BU52" s="917">
        <f>(BU28/BU8)</f>
        <v>-1.5763081996235599E-2</v>
      </c>
      <c r="BV52" s="917">
        <f>(BV28/BV8)</f>
        <v>1.5789266846694114E-2</v>
      </c>
      <c r="BW52" s="917">
        <f>(BW28/BW8)</f>
        <v>3.3359920917480135E-2</v>
      </c>
      <c r="BX52" s="918">
        <f>(BX28/BX8)</f>
        <v>7.2194572075773844E-2</v>
      </c>
      <c r="BY52" s="918"/>
      <c r="BZ52" s="917">
        <f>(BZ28/BZ8)</f>
        <v>-5.2408298586736748E-2</v>
      </c>
      <c r="CA52" s="917">
        <f>(CA28/CA8)</f>
        <v>1.2251820836533135E-2</v>
      </c>
      <c r="CB52" s="917">
        <f>(CB28/CB8)</f>
        <v>3.7914934689473351E-2</v>
      </c>
      <c r="CC52" s="918">
        <f>(CC28/CC8)</f>
        <v>6.7276468421194585E-2</v>
      </c>
      <c r="CD52" s="918"/>
      <c r="CE52" s="917">
        <f>(CE28/CE8)</f>
        <v>-5.6354424544445385E-2</v>
      </c>
      <c r="CF52" s="917">
        <f>(CF28/CF8)</f>
        <v>-2.0059757903876596E-2</v>
      </c>
      <c r="CG52" s="917">
        <f>(CG28/CG8)</f>
        <v>2.1844051724767811E-3</v>
      </c>
      <c r="CH52" s="918">
        <f>(CH28/CH8)</f>
        <v>5.0404153756936465E-2</v>
      </c>
      <c r="CI52" s="918"/>
      <c r="CJ52" s="917">
        <f>(CJ28/CJ8)</f>
        <v>-9.2284211593119836E-2</v>
      </c>
      <c r="CK52" s="917">
        <f>(CK28/CK8)</f>
        <v>-1.2947168111728011E-2</v>
      </c>
      <c r="CL52" s="917">
        <f>(CL28/CL8)</f>
        <v>2.4500879978396197E-2</v>
      </c>
      <c r="CM52" s="918">
        <f>(CM28/CM8)</f>
        <v>8.2542295320485584E-2</v>
      </c>
      <c r="CN52" s="918"/>
      <c r="CO52" s="917">
        <f>(CO28/CO8)</f>
        <v>-8.2302777925219367E-2</v>
      </c>
      <c r="CP52" s="917">
        <f>(CP28/CP8)</f>
        <v>-1.5167693749492393E-3</v>
      </c>
      <c r="CQ52" s="917">
        <f>(CQ28/CQ8)</f>
        <v>2.5843159195237924E-2</v>
      </c>
      <c r="CR52" s="918">
        <f>(CR28/CR8)</f>
        <v>5.1980341986060351E-2</v>
      </c>
      <c r="CS52" s="918"/>
      <c r="CT52" s="920">
        <f>(CT28/CT8)</f>
        <v>4.5994424146754372E-2</v>
      </c>
      <c r="CU52" s="920">
        <f>(CU28/CU8)</f>
        <v>7.3282802380640083E-2</v>
      </c>
      <c r="CV52" s="920">
        <f>(CV28/CV8)</f>
        <v>9.2638851877910405E-2</v>
      </c>
      <c r="CW52" s="920">
        <f t="shared" ref="CW52:DH52" si="36">(CW28/CW8)</f>
        <v>0.12675675004346859</v>
      </c>
      <c r="CX52" s="920">
        <f t="shared" si="36"/>
        <v>0.1451231886447987</v>
      </c>
      <c r="CY52" s="920">
        <f t="shared" si="36"/>
        <v>0.12777350428731643</v>
      </c>
      <c r="CZ52" s="920">
        <f t="shared" si="36"/>
        <v>0.12358253965811702</v>
      </c>
      <c r="DA52" s="920">
        <f t="shared" si="36"/>
        <v>0.12204489781338876</v>
      </c>
      <c r="DB52" s="921">
        <f t="shared" si="36"/>
        <v>0.11993729978001073</v>
      </c>
      <c r="DC52" s="920">
        <f t="shared" si="36"/>
        <v>0.11729055329018519</v>
      </c>
      <c r="DD52" s="920">
        <f t="shared" si="36"/>
        <v>0.12838184442829259</v>
      </c>
      <c r="DE52" s="921">
        <f t="shared" si="36"/>
        <v>0.13596226268019734</v>
      </c>
      <c r="DF52" s="920">
        <f t="shared" si="36"/>
        <v>0.13491173233403322</v>
      </c>
      <c r="DG52" s="920">
        <f t="shared" si="36"/>
        <v>8.9886589111486989E-2</v>
      </c>
      <c r="DH52" s="920">
        <f t="shared" si="36"/>
        <v>3.3760553160612904E-2</v>
      </c>
      <c r="DI52" s="921">
        <f t="shared" ref="DI52:DP52" si="37">(DI28/DI8)</f>
        <v>5.4286295800017009E-2</v>
      </c>
      <c r="DJ52" s="921">
        <f t="shared" si="37"/>
        <v>5.3408586412214569E-2</v>
      </c>
      <c r="DK52" s="920">
        <f t="shared" si="37"/>
        <v>5.3559397934515147E-2</v>
      </c>
      <c r="DL52" s="920">
        <f t="shared" si="37"/>
        <v>3.6808790698431335E-2</v>
      </c>
      <c r="DM52" s="920">
        <f t="shared" si="37"/>
        <v>3.000216344420318E-2</v>
      </c>
      <c r="DN52" s="920">
        <f t="shared" si="37"/>
        <v>2.3026930553503112E-2</v>
      </c>
      <c r="DO52" s="920">
        <f t="shared" si="37"/>
        <v>-9.2583129430048823E-5</v>
      </c>
      <c r="DP52" s="920">
        <f t="shared" si="37"/>
        <v>1.3867821077736672E-2</v>
      </c>
      <c r="DQ52" s="920">
        <f>(DQ28/DQ8)</f>
        <v>6.0928559483962247E-3</v>
      </c>
      <c r="DR52" s="920">
        <f>(DR28/DR8)</f>
        <v>8.2109864224738805E-3</v>
      </c>
      <c r="DS52" s="922">
        <f>(DS28/DS8)</f>
        <v>7.2480603593929925E-3</v>
      </c>
    </row>
    <row r="53" spans="1:123">
      <c r="A53" s="906" t="s">
        <v>277</v>
      </c>
      <c r="B53" s="907"/>
      <c r="C53" s="923">
        <f>(C41/C8)</f>
        <v>0.1619990666587994</v>
      </c>
      <c r="D53" s="923">
        <f>(D41/D8)</f>
        <v>0.18950501205236794</v>
      </c>
      <c r="E53" s="923">
        <f>(E41/E8)</f>
        <v>0.24693683877543848</v>
      </c>
      <c r="F53" s="923">
        <f>(F41/F8)</f>
        <v>0.3633329117334903</v>
      </c>
      <c r="G53" s="916"/>
      <c r="H53" s="917">
        <f>(H41/H8)</f>
        <v>0.15428328926958232</v>
      </c>
      <c r="I53" s="917">
        <f>(I41/I8)</f>
        <v>0.17643899734097138</v>
      </c>
      <c r="J53" s="917">
        <f>(J41/J8)</f>
        <v>0.2159468529778481</v>
      </c>
      <c r="K53" s="917">
        <f>(K41/K8)</f>
        <v>0.30427698574338091</v>
      </c>
      <c r="L53" s="917"/>
      <c r="M53" s="917">
        <f>(M41/M8)</f>
        <v>0.15640425586332118</v>
      </c>
      <c r="N53" s="917">
        <f>(N41/N8)</f>
        <v>0.18942804887681744</v>
      </c>
      <c r="O53" s="917">
        <f>(O41/O8)</f>
        <v>0.21475023191813591</v>
      </c>
      <c r="P53" s="917">
        <f>(P41/P8)</f>
        <v>0.31136876452340762</v>
      </c>
      <c r="Q53" s="917"/>
      <c r="R53" s="917">
        <f>(R41/R8)</f>
        <v>0.17787160895472445</v>
      </c>
      <c r="S53" s="917">
        <f>(S41/S8)</f>
        <v>0.2138064033689514</v>
      </c>
      <c r="T53" s="917">
        <f>(T41/T8)</f>
        <v>0.23062886113726702</v>
      </c>
      <c r="U53" s="917">
        <f>(U41/U8)</f>
        <v>0.32011334983377626</v>
      </c>
      <c r="V53" s="917"/>
      <c r="W53" s="917">
        <f>(W41/W8)</f>
        <v>0.17777535018085597</v>
      </c>
      <c r="X53" s="917">
        <f>(X41/X8)</f>
        <v>0.23328250437278567</v>
      </c>
      <c r="Y53" s="917">
        <f>(Y41/Y8)</f>
        <v>0.23105906391869799</v>
      </c>
      <c r="Z53" s="917">
        <f>(Z41/Z8)</f>
        <v>0.28327663425749439</v>
      </c>
      <c r="AA53" s="917"/>
      <c r="AB53" s="917">
        <f>(AB41/AB8)</f>
        <v>0.17908780014996056</v>
      </c>
      <c r="AC53" s="917">
        <f>(AC41/AC8)</f>
        <v>0.2102254934035</v>
      </c>
      <c r="AD53" s="917">
        <f>(AD41/AD8)</f>
        <v>0.22461194067962514</v>
      </c>
      <c r="AE53" s="917">
        <f>(AE41/AE8)</f>
        <v>0.31047377136485438</v>
      </c>
      <c r="AF53" s="917"/>
      <c r="AG53" s="917">
        <f>(AG41/AG8)</f>
        <v>0.17510433291595093</v>
      </c>
      <c r="AH53" s="917">
        <f>(AH41/AH8)</f>
        <v>0.20194444781811333</v>
      </c>
      <c r="AI53" s="917">
        <f>(AI41/AI8)</f>
        <v>0.23247607267606149</v>
      </c>
      <c r="AJ53" s="917">
        <f>(AJ41/AJ8)</f>
        <v>0.30333358800010185</v>
      </c>
      <c r="AK53" s="917"/>
      <c r="AL53" s="917">
        <f>(AL41/AL8)</f>
        <v>0.17681065718403577</v>
      </c>
      <c r="AM53" s="917">
        <f>(AM41/AM8)</f>
        <v>0.20620902928140128</v>
      </c>
      <c r="AN53" s="917">
        <f>(AN41/AN8)</f>
        <v>0.23790210795437039</v>
      </c>
      <c r="AO53" s="917">
        <f>(AO41/AO8)</f>
        <v>0.31213968781962775</v>
      </c>
      <c r="AP53" s="917"/>
      <c r="AQ53" s="917">
        <f>(AQ41/AQ8)</f>
        <v>0.12195304768281082</v>
      </c>
      <c r="AR53" s="917">
        <f>(AR41/AR8)</f>
        <v>0.15852192132946438</v>
      </c>
      <c r="AS53" s="917">
        <f>(AS41/AS8)</f>
        <v>0.12463143300208092</v>
      </c>
      <c r="AT53" s="917">
        <f>(AT41/AT8)</f>
        <v>0.15432974208026226</v>
      </c>
      <c r="AU53" s="917"/>
      <c r="AV53" s="917">
        <f>(AV41/AV8)</f>
        <v>4.0671132685976712E-2</v>
      </c>
      <c r="AW53" s="917">
        <f>(AW41/AW8)</f>
        <v>0.1008566886527594</v>
      </c>
      <c r="AX53" s="917">
        <f>(AX41/AX8)</f>
        <v>0.14085478794826473</v>
      </c>
      <c r="AY53" s="917">
        <f>(AY41/AY8)</f>
        <v>0.19383519713330571</v>
      </c>
      <c r="AZ53" s="916"/>
      <c r="BA53" s="917">
        <f>(BA41/BA8)</f>
        <v>5.3955778099574837E-2</v>
      </c>
      <c r="BB53" s="917">
        <f>(BB41/BB8)</f>
        <v>0.111995473305104</v>
      </c>
      <c r="BC53" s="917">
        <f>(BC41/BC8)</f>
        <v>0.14906443826782789</v>
      </c>
      <c r="BD53" s="917">
        <f>(BD41/BD8)</f>
        <v>0.22007558752596998</v>
      </c>
      <c r="BE53" s="916"/>
      <c r="BF53" s="917">
        <f>(BF41/BF8)</f>
        <v>9.0838247632889335E-2</v>
      </c>
      <c r="BG53" s="917">
        <f>(BG41/BG8)</f>
        <v>0.11161008897610404</v>
      </c>
      <c r="BH53" s="917">
        <f>(BH41/BH8)</f>
        <v>0.13375303014529821</v>
      </c>
      <c r="BI53" s="918">
        <f>(BI41/BI8)</f>
        <v>0.18606074061252376</v>
      </c>
      <c r="BJ53" s="919"/>
      <c r="BK53" s="917">
        <f>(BK41/BK8)</f>
        <v>2.4986485283613653E-2</v>
      </c>
      <c r="BL53" s="917">
        <f>(BL41/BL8)</f>
        <v>8.1850354264788983E-2</v>
      </c>
      <c r="BM53" s="917">
        <f>(BM41/BM8)</f>
        <v>0.1610397649209292</v>
      </c>
      <c r="BN53" s="918">
        <f>(BN41/BN8)</f>
        <v>0.20244312173185311</v>
      </c>
      <c r="BO53" s="918"/>
      <c r="BP53" s="918">
        <f>(BP41/BP8)</f>
        <v>5.4291467615040556E-2</v>
      </c>
      <c r="BQ53" s="918">
        <f>(BQ41/BQ8)</f>
        <v>8.2672269582890048E-2</v>
      </c>
      <c r="BR53" s="918">
        <f>(BR41/BR8)</f>
        <v>0.1073693521585843</v>
      </c>
      <c r="BS53" s="918">
        <f>(BS41/BS8)</f>
        <v>0.15486973275335855</v>
      </c>
      <c r="BT53" s="918"/>
      <c r="BU53" s="917">
        <f>(BU41/BU8)</f>
        <v>4.7911792886428897E-2</v>
      </c>
      <c r="BV53" s="917">
        <f>(BV41/BV8)</f>
        <v>8.6964479202340003E-2</v>
      </c>
      <c r="BW53" s="917">
        <f>(BW41/BW8)</f>
        <v>0.11882565529983448</v>
      </c>
      <c r="BX53" s="918">
        <f>(BX41/BX8)</f>
        <v>0.15877089243477713</v>
      </c>
      <c r="BY53" s="918"/>
      <c r="BZ53" s="917">
        <f>(BZ41/BZ8)</f>
        <v>-1.434407165269697E-3</v>
      </c>
      <c r="CA53" s="917">
        <f>(CA41/CA8)</f>
        <v>8.6110037712960816E-2</v>
      </c>
      <c r="CB53" s="917">
        <f>(CB41/CB8)</f>
        <v>0.11286724366358135</v>
      </c>
      <c r="CC53" s="918">
        <f>(CC41/CC8)</f>
        <v>0.15540600037738234</v>
      </c>
      <c r="CD53" s="918"/>
      <c r="CE53" s="917">
        <f>(CE41/CE8)</f>
        <v>-1.0179683522421492E-2</v>
      </c>
      <c r="CF53" s="917">
        <f>(CF41/CF8)</f>
        <v>4.0270187445732686E-2</v>
      </c>
      <c r="CG53" s="917">
        <f>(CG41/CG8)</f>
        <v>7.2476008051267221E-2</v>
      </c>
      <c r="CH53" s="918">
        <f>(CH41/CH8)</f>
        <v>9.7099182429322473E-2</v>
      </c>
      <c r="CI53" s="918"/>
      <c r="CJ53" s="917">
        <f>(CJ41/CJ8)</f>
        <v>-3.3441284890765123E-2</v>
      </c>
      <c r="CK53" s="917">
        <f>(CK41/CK8)</f>
        <v>3.7160553866763514E-2</v>
      </c>
      <c r="CL53" s="917">
        <f>(CL41/CL8)</f>
        <v>0.10227420871783878</v>
      </c>
      <c r="CM53" s="918">
        <f>(CM41/CM8)</f>
        <v>0.15253889258589387</v>
      </c>
      <c r="CN53" s="918"/>
      <c r="CO53" s="917">
        <f>(CO41/CO8)</f>
        <v>-2.262595810197323E-2</v>
      </c>
      <c r="CP53" s="917">
        <f>(CP41/CP8)</f>
        <v>5.5679533690338255E-2</v>
      </c>
      <c r="CQ53" s="917">
        <f>(CQ41/CQ8)</f>
        <v>9.1083802753073345E-2</v>
      </c>
      <c r="CR53" s="918">
        <f>(CR41/CR8)</f>
        <v>0.1144414098826127</v>
      </c>
      <c r="CS53" s="918"/>
      <c r="CT53" s="920">
        <f>(CT41/CT8)</f>
        <v>0.10098489766993829</v>
      </c>
      <c r="CU53" s="920">
        <f>(CU41/CU8)</f>
        <v>0.1722028076285439</v>
      </c>
      <c r="CV53" s="920">
        <f>(CV41/CV8)</f>
        <v>0.1926068360502054</v>
      </c>
      <c r="CW53" s="920">
        <f t="shared" ref="CW53:DH53" si="38">(CW41/CW8)</f>
        <v>0.23336893613850321</v>
      </c>
      <c r="CX53" s="920">
        <f t="shared" si="38"/>
        <v>0.26170917817972983</v>
      </c>
      <c r="CY53" s="920">
        <f t="shared" si="38"/>
        <v>0.22978513320900706</v>
      </c>
      <c r="CZ53" s="920">
        <f t="shared" si="38"/>
        <v>0.22904517922442924</v>
      </c>
      <c r="DA53" s="920">
        <f t="shared" si="38"/>
        <v>0.23045175424579045</v>
      </c>
      <c r="DB53" s="921">
        <f t="shared" si="38"/>
        <v>0.24577689893893304</v>
      </c>
      <c r="DC53" s="920">
        <f t="shared" si="38"/>
        <v>0.23839606501706365</v>
      </c>
      <c r="DD53" s="920">
        <f t="shared" si="38"/>
        <v>0.25161009246561983</v>
      </c>
      <c r="DE53" s="921">
        <f t="shared" si="38"/>
        <v>0.25399430481192231</v>
      </c>
      <c r="DF53" s="920">
        <f t="shared" si="38"/>
        <v>0.25703038336537237</v>
      </c>
      <c r="DG53" s="920">
        <f t="shared" si="38"/>
        <v>0.2063160849549821</v>
      </c>
      <c r="DH53" s="920">
        <f t="shared" si="38"/>
        <v>0.12850023475180333</v>
      </c>
      <c r="DI53" s="921">
        <f t="shared" ref="DI53:DN53" si="39">(DI41/DI8)</f>
        <v>0.13574673025874251</v>
      </c>
      <c r="DJ53" s="921">
        <f t="shared" si="39"/>
        <v>0.13695143261589909</v>
      </c>
      <c r="DK53" s="920">
        <f t="shared" si="39"/>
        <v>0.13003111418028504</v>
      </c>
      <c r="DL53" s="920">
        <f t="shared" si="39"/>
        <v>0.10587148524726266</v>
      </c>
      <c r="DM53" s="920">
        <f t="shared" si="39"/>
        <v>0.10761398813577884</v>
      </c>
      <c r="DN53" s="920">
        <f t="shared" si="39"/>
        <v>9.7058385530937832E-2</v>
      </c>
      <c r="DO53" s="920">
        <f>(DO41/DO8)</f>
        <v>5.5533645550899645E-2</v>
      </c>
      <c r="DP53" s="920">
        <f>(DP41/DP8)</f>
        <v>7.9228331171675728E-2</v>
      </c>
      <c r="DQ53" s="920">
        <f>(DQ41/DQ8)</f>
        <v>6.743483156625997E-2</v>
      </c>
      <c r="DR53" s="920">
        <f>(DR41/DR8)</f>
        <v>6.4800000000000024E-2</v>
      </c>
      <c r="DS53" s="922">
        <f>(DS41/DS8)</f>
        <v>6.1499999999999985E-2</v>
      </c>
    </row>
    <row r="54" spans="1:123" ht="6.75" customHeight="1">
      <c r="A54" s="906"/>
      <c r="B54" s="801"/>
      <c r="C54" s="803"/>
      <c r="D54" s="803"/>
      <c r="E54" s="803"/>
      <c r="F54" s="803"/>
      <c r="G54" s="803"/>
      <c r="H54" s="803"/>
      <c r="I54" s="803"/>
      <c r="J54" s="803"/>
      <c r="K54" s="803"/>
      <c r="L54" s="803"/>
      <c r="M54" s="803"/>
      <c r="N54" s="803"/>
      <c r="O54" s="803"/>
      <c r="P54" s="803"/>
      <c r="Q54" s="803"/>
      <c r="R54" s="803"/>
      <c r="S54" s="803"/>
      <c r="T54" s="803"/>
      <c r="U54" s="803"/>
      <c r="V54" s="803"/>
      <c r="W54" s="803"/>
      <c r="X54" s="803"/>
      <c r="Y54" s="803"/>
      <c r="Z54" s="803"/>
      <c r="AA54" s="803"/>
      <c r="AB54" s="803"/>
      <c r="AC54" s="803"/>
      <c r="AD54" s="803"/>
      <c r="AE54" s="803"/>
      <c r="AF54" s="803"/>
      <c r="AG54" s="803"/>
      <c r="AH54" s="803"/>
      <c r="AI54" s="803"/>
      <c r="AJ54" s="803"/>
      <c r="AK54" s="803"/>
      <c r="AL54" s="803"/>
      <c r="AM54" s="803"/>
      <c r="AN54" s="803"/>
      <c r="AO54" s="803"/>
      <c r="AP54" s="803"/>
      <c r="AQ54" s="803"/>
      <c r="AR54" s="803"/>
      <c r="AS54" s="803"/>
      <c r="AT54" s="803"/>
      <c r="AU54" s="803"/>
      <c r="AV54" s="803"/>
      <c r="AW54" s="803"/>
      <c r="AX54" s="803"/>
      <c r="AY54" s="803"/>
      <c r="AZ54" s="803"/>
      <c r="BA54" s="803"/>
      <c r="BB54" s="803"/>
      <c r="BC54" s="803"/>
      <c r="BD54" s="803"/>
      <c r="BE54" s="803"/>
      <c r="BF54" s="803"/>
      <c r="BG54" s="803"/>
      <c r="BH54" s="803"/>
      <c r="BI54" s="932"/>
      <c r="BJ54" s="932"/>
      <c r="BK54" s="803"/>
      <c r="BL54" s="803"/>
      <c r="BM54" s="803"/>
      <c r="BN54" s="932"/>
      <c r="BO54" s="932"/>
      <c r="BP54" s="932"/>
      <c r="BQ54" s="932"/>
      <c r="BR54" s="932"/>
      <c r="BS54" s="932"/>
      <c r="BT54" s="932"/>
      <c r="BU54" s="932"/>
      <c r="BV54" s="932"/>
      <c r="BW54" s="932"/>
      <c r="BX54" s="932"/>
      <c r="BY54" s="932"/>
      <c r="BZ54" s="932"/>
      <c r="CA54" s="932"/>
      <c r="CB54" s="932"/>
      <c r="CC54" s="932"/>
      <c r="CD54" s="932"/>
      <c r="CE54" s="932"/>
      <c r="CF54" s="932"/>
      <c r="CG54" s="932"/>
      <c r="CH54" s="932"/>
      <c r="CI54" s="932"/>
      <c r="CJ54" s="932"/>
      <c r="CK54" s="932"/>
      <c r="CL54" s="932"/>
      <c r="CM54" s="932"/>
      <c r="CN54" s="932"/>
      <c r="CO54" s="932"/>
      <c r="CP54" s="932"/>
      <c r="CQ54" s="932"/>
      <c r="CR54" s="932"/>
      <c r="CS54" s="932"/>
      <c r="CT54" s="932"/>
      <c r="CU54" s="932"/>
      <c r="CV54" s="932"/>
      <c r="CW54" s="932"/>
      <c r="CX54" s="932"/>
      <c r="CY54" s="932"/>
      <c r="CZ54" s="932"/>
      <c r="DA54" s="932"/>
      <c r="DB54" s="933"/>
      <c r="DC54" s="932"/>
      <c r="DD54" s="932"/>
      <c r="DE54" s="933"/>
      <c r="DF54" s="932"/>
      <c r="DG54" s="932"/>
      <c r="DH54" s="932"/>
      <c r="DI54" s="933"/>
      <c r="DJ54" s="933"/>
      <c r="DK54" s="932"/>
      <c r="DL54" s="932"/>
      <c r="DM54" s="932"/>
      <c r="DN54" s="932"/>
      <c r="DO54" s="932"/>
      <c r="DP54" s="932"/>
      <c r="DQ54" s="932"/>
      <c r="DR54" s="932"/>
      <c r="DS54" s="934"/>
    </row>
    <row r="55" spans="1:123" ht="11.25" customHeight="1">
      <c r="A55" s="832" t="s">
        <v>304</v>
      </c>
      <c r="B55" s="820"/>
      <c r="C55" s="803"/>
      <c r="D55" s="803"/>
      <c r="E55" s="803"/>
      <c r="F55" s="803"/>
      <c r="G55" s="803"/>
      <c r="H55" s="803"/>
      <c r="I55" s="803"/>
      <c r="J55" s="803"/>
      <c r="K55" s="803"/>
      <c r="L55" s="803"/>
      <c r="M55" s="803"/>
      <c r="N55" s="803"/>
      <c r="O55" s="803"/>
      <c r="P55" s="803"/>
      <c r="Q55" s="803"/>
      <c r="R55" s="803"/>
      <c r="S55" s="803"/>
      <c r="T55" s="803"/>
      <c r="U55" s="803"/>
      <c r="V55" s="803"/>
      <c r="W55" s="803"/>
      <c r="X55" s="803"/>
      <c r="Y55" s="803"/>
      <c r="Z55" s="803"/>
      <c r="AA55" s="803"/>
      <c r="AB55" s="803"/>
      <c r="AC55" s="803"/>
      <c r="AD55" s="803"/>
      <c r="AE55" s="803"/>
      <c r="AF55" s="803"/>
      <c r="AG55" s="803"/>
      <c r="AH55" s="803"/>
      <c r="AI55" s="803"/>
      <c r="AJ55" s="803"/>
      <c r="AK55" s="803"/>
      <c r="AL55" s="803"/>
      <c r="AM55" s="803"/>
      <c r="AN55" s="803"/>
      <c r="AO55" s="803"/>
      <c r="AP55" s="803"/>
      <c r="AQ55" s="803"/>
      <c r="AR55" s="803"/>
      <c r="AS55" s="803"/>
      <c r="AT55" s="803"/>
      <c r="AU55" s="803"/>
      <c r="AV55" s="803"/>
      <c r="AW55" s="803"/>
      <c r="AX55" s="803"/>
      <c r="AY55" s="803"/>
      <c r="AZ55" s="803"/>
      <c r="BA55" s="803"/>
      <c r="BB55" s="803"/>
      <c r="BC55" s="803"/>
      <c r="BD55" s="803"/>
      <c r="BE55" s="803"/>
      <c r="BF55" s="803"/>
      <c r="BG55" s="803"/>
      <c r="BH55" s="803"/>
      <c r="BI55" s="932"/>
      <c r="BJ55" s="932"/>
      <c r="BK55" s="803"/>
      <c r="BL55" s="803"/>
      <c r="BM55" s="803"/>
      <c r="BN55" s="932"/>
      <c r="BO55" s="932"/>
      <c r="BP55" s="932"/>
      <c r="BQ55" s="932"/>
      <c r="BR55" s="932"/>
      <c r="BS55" s="932"/>
      <c r="BT55" s="932"/>
      <c r="BU55" s="932"/>
      <c r="BV55" s="932"/>
      <c r="BW55" s="932"/>
      <c r="BX55" s="932"/>
      <c r="BY55" s="932"/>
      <c r="BZ55" s="932"/>
      <c r="CA55" s="932"/>
      <c r="CB55" s="932"/>
      <c r="CC55" s="932"/>
      <c r="CD55" s="932"/>
      <c r="CE55" s="932"/>
      <c r="CF55" s="932"/>
      <c r="CG55" s="932"/>
      <c r="CH55" s="932"/>
      <c r="CI55" s="932"/>
      <c r="CJ55" s="932"/>
      <c r="CK55" s="932"/>
      <c r="CL55" s="932"/>
      <c r="CM55" s="932"/>
      <c r="CN55" s="932"/>
      <c r="CO55" s="932"/>
      <c r="CP55" s="932"/>
      <c r="CQ55" s="932"/>
      <c r="CR55" s="932"/>
      <c r="CS55" s="932"/>
      <c r="CT55" s="932"/>
      <c r="CU55" s="932"/>
      <c r="CV55" s="932"/>
      <c r="CW55" s="932"/>
      <c r="CX55" s="932"/>
      <c r="CY55" s="932"/>
      <c r="CZ55" s="932"/>
      <c r="DA55" s="932"/>
      <c r="DB55" s="933"/>
      <c r="DC55" s="932"/>
      <c r="DD55" s="932"/>
      <c r="DE55" s="933"/>
      <c r="DF55" s="932"/>
      <c r="DG55" s="932"/>
      <c r="DH55" s="932"/>
      <c r="DI55" s="933"/>
      <c r="DJ55" s="933"/>
      <c r="DK55" s="932"/>
      <c r="DL55" s="932"/>
      <c r="DM55" s="932"/>
      <c r="DN55" s="932"/>
      <c r="DO55" s="932"/>
      <c r="DP55" s="932"/>
      <c r="DQ55" s="932"/>
      <c r="DR55" s="932"/>
      <c r="DS55" s="934"/>
    </row>
    <row r="56" spans="1:123">
      <c r="A56" s="906" t="s">
        <v>145</v>
      </c>
      <c r="B56" s="935"/>
      <c r="C56" s="936">
        <f>'qtrP&amp;L'!$Y10/100</f>
        <v>0.41078671752028084</v>
      </c>
      <c r="D56" s="936">
        <f>'qtrP&amp;L'!$Y11/100</f>
        <v>0.35300039301942343</v>
      </c>
      <c r="E56" s="936">
        <f>'qtrP&amp;L'!$Y12/100</f>
        <v>0.24828887328887325</v>
      </c>
      <c r="F56" s="936">
        <f>'qtrP&amp;L'!$Y13/100</f>
        <v>0.21196994184980933</v>
      </c>
      <c r="G56" s="936"/>
      <c r="H56" s="917">
        <f>((H8/C8)-1)</f>
        <v>9.9658311296110691E-2</v>
      </c>
      <c r="I56" s="917">
        <f>((I8/D8)-1)</f>
        <v>0.16717373246291278</v>
      </c>
      <c r="J56" s="917">
        <f>((J8/E8)-1)</f>
        <v>0.27982144740079451</v>
      </c>
      <c r="K56" s="917">
        <f>((K8/F8)-1)</f>
        <v>0.20828223726539341</v>
      </c>
      <c r="L56" s="917"/>
      <c r="M56" s="917">
        <f>+'qtrP&amp;L'!$AK10/100</f>
        <v>0.1862560679611649</v>
      </c>
      <c r="N56" s="917">
        <f>+'qtrP&amp;L'!$AK11/100</f>
        <v>0.17506318810778398</v>
      </c>
      <c r="O56" s="917">
        <f>+'qtrP&amp;L'!$AK12/100</f>
        <v>0.18296456993903631</v>
      </c>
      <c r="P56" s="917">
        <f>+'qtrP&amp;L'!$AK13/100</f>
        <v>0.14552149237864986</v>
      </c>
      <c r="Q56" s="917"/>
      <c r="R56" s="917">
        <f>((R8/M8)-1)</f>
        <v>0.10847464129517381</v>
      </c>
      <c r="S56" s="917">
        <f>((S8/N8)-1)</f>
        <v>8.0706903151716247E-2</v>
      </c>
      <c r="T56" s="917">
        <f>((T8/O8)-1)</f>
        <v>6.116915357630881E-2</v>
      </c>
      <c r="U56" s="917">
        <f>((U8/P8)-1)</f>
        <v>4.8471230088197537E-2</v>
      </c>
      <c r="V56" s="917"/>
      <c r="W56" s="917">
        <f>((W8/R8)-1)</f>
        <v>0.1880699811376263</v>
      </c>
      <c r="X56" s="917">
        <f>((X8/S8)-1)</f>
        <v>0.12826697477503313</v>
      </c>
      <c r="Y56" s="917">
        <f>((Y8/T8)-1)</f>
        <v>0.17022151607154501</v>
      </c>
      <c r="Z56" s="917">
        <f>((Z8/U8)-1)</f>
        <v>0.22638738447756834</v>
      </c>
      <c r="AA56" s="917"/>
      <c r="AB56" s="917">
        <f>((AB8/W8)-1)</f>
        <v>0.32743427281334192</v>
      </c>
      <c r="AC56" s="917">
        <f>((AC8/X8)-1)</f>
        <v>0.42418511708102247</v>
      </c>
      <c r="AD56" s="917">
        <f>((AD8/Y8)-1)</f>
        <v>0.35372673431606749</v>
      </c>
      <c r="AE56" s="917">
        <f>((AE8/Z8)-1)</f>
        <v>0.39888891152325057</v>
      </c>
      <c r="AF56" s="917"/>
      <c r="AG56" s="917">
        <f>((AG8/AB8)-1)</f>
        <v>0.20200983888370727</v>
      </c>
      <c r="AH56" s="917">
        <f>((AH8/AC8)-1)</f>
        <v>0.15239043301941435</v>
      </c>
      <c r="AI56" s="917">
        <f>((AI8/AD8)-1)</f>
        <v>0.22489140580890266</v>
      </c>
      <c r="AJ56" s="917">
        <f>((AJ8/AE8)-1)</f>
        <v>0.18447313894852457</v>
      </c>
      <c r="AK56" s="917"/>
      <c r="AL56" s="917">
        <f>((AL8/AG8)-1)</f>
        <v>0.12953408867879457</v>
      </c>
      <c r="AM56" s="917">
        <f>((AM8/AH8)-1)</f>
        <v>0.22141018011343627</v>
      </c>
      <c r="AN56" s="917">
        <f>((AN8/AI8)-1)</f>
        <v>0.12795443385125682</v>
      </c>
      <c r="AO56" s="917">
        <f>((AO8/AJ8)-1)</f>
        <v>7.923297881962843E-2</v>
      </c>
      <c r="AP56" s="917"/>
      <c r="AQ56" s="917">
        <f>((AQ8/AL8)-1)</f>
        <v>6.0248380275050195E-2</v>
      </c>
      <c r="AR56" s="917">
        <f>((AR8/AM8)-1)</f>
        <v>3.5747223872582667E-2</v>
      </c>
      <c r="AS56" s="917">
        <f>((AS8/AN8)-1)</f>
        <v>-9.3558058587372761E-2</v>
      </c>
      <c r="AT56" s="917">
        <f>((AT8/AO8)-1)</f>
        <v>-0.20192535369077669</v>
      </c>
      <c r="AU56" s="917"/>
      <c r="AV56" s="917">
        <f>((AV8/AQ8)-1)</f>
        <v>-0.23554924860793325</v>
      </c>
      <c r="AW56" s="917">
        <f>((AW8/AR8)-1)</f>
        <v>-0.23530237682077715</v>
      </c>
      <c r="AX56" s="917">
        <f>((AX8/AS8)-1)</f>
        <v>-0.14626800073854995</v>
      </c>
      <c r="AY56" s="917">
        <f>((AY8/AT8)-1)</f>
        <v>-4.5694931429055008E-2</v>
      </c>
      <c r="AZ56" s="916"/>
      <c r="BA56" s="917">
        <f>((BA8/AV8)-1)</f>
        <v>0.14304612209150624</v>
      </c>
      <c r="BB56" s="917">
        <f>((BB8/AW8)-1)</f>
        <v>0.17039143405506096</v>
      </c>
      <c r="BC56" s="917">
        <f>((BC8/AX8)-1)</f>
        <v>0.17526443443140627</v>
      </c>
      <c r="BD56" s="917">
        <f>((BD8/AY8)-1)</f>
        <v>0.22799898716974831</v>
      </c>
      <c r="BE56" s="916"/>
      <c r="BF56" s="917">
        <f>((BF8/BA8)-1)</f>
        <v>0.21644247489110269</v>
      </c>
      <c r="BG56" s="917">
        <f>((BG8/BB8)-1)</f>
        <v>0.22923767561725827</v>
      </c>
      <c r="BH56" s="917">
        <f>((BH8/BC8)-1)</f>
        <v>0.21458875700231883</v>
      </c>
      <c r="BI56" s="918">
        <f>((BI8/BD8)-1)</f>
        <v>0.15605500628156022</v>
      </c>
      <c r="BJ56" s="919"/>
      <c r="BK56" s="917">
        <f>((BK8/BF8)-1)</f>
        <v>0.10104771990046291</v>
      </c>
      <c r="BL56" s="917">
        <f>((BL8/BG8)-1)</f>
        <v>3.7789483214309527E-2</v>
      </c>
      <c r="BM56" s="917">
        <f>((BM8/BH8)-1)</f>
        <v>8.7179882809595322E-2</v>
      </c>
      <c r="BN56" s="918">
        <f>((BN8/BI8)-1)</f>
        <v>0.10518488972843199</v>
      </c>
      <c r="BO56" s="918"/>
      <c r="BP56" s="918">
        <f>((BP8/BK8)-1)</f>
        <v>-8.9499988059286717E-2</v>
      </c>
      <c r="BQ56" s="918">
        <f>((BQ8/BL8)-1)</f>
        <v>-6.0005864997840774E-3</v>
      </c>
      <c r="BR56" s="918">
        <f>((BR8/BM8)-1)</f>
        <v>-0.11657856331258354</v>
      </c>
      <c r="BS56" s="918">
        <f>((BS8/BN8)-1)</f>
        <v>-0.11534928442096215</v>
      </c>
      <c r="BT56" s="918"/>
      <c r="BU56" s="917">
        <f>((BU8/BP8)-1)</f>
        <v>-1.9482122014523706E-2</v>
      </c>
      <c r="BV56" s="917">
        <f>((BV8/BQ8)-1)</f>
        <v>-5.8256441274064152E-2</v>
      </c>
      <c r="BW56" s="917">
        <f>((BW8/BR8)-1)</f>
        <v>-0.11791427987995651</v>
      </c>
      <c r="BX56" s="918">
        <f>((BX8/BS8)-1)</f>
        <v>-0.13824023178463851</v>
      </c>
      <c r="BY56" s="918"/>
      <c r="BZ56" s="917">
        <f>((BZ8/BU8)-1)</f>
        <v>-0.13740534125783654</v>
      </c>
      <c r="CA56" s="917">
        <f>((CA8/BV8)-1)</f>
        <v>-8.1797205270574547E-2</v>
      </c>
      <c r="CB56" s="917">
        <f>((CB8/BW8)-1)</f>
        <v>-3.6075365378137936E-2</v>
      </c>
      <c r="CC56" s="918">
        <f>((CC8/BX8)-1)</f>
        <v>-5.9077624461387757E-3</v>
      </c>
      <c r="CD56" s="918"/>
      <c r="CE56" s="917">
        <f>((CE8/BZ8)-1)</f>
        <v>-3.3744372179041693E-2</v>
      </c>
      <c r="CF56" s="917">
        <f>((CF8/CA8)-1)</f>
        <v>-4.2306017931999285E-2</v>
      </c>
      <c r="CG56" s="917">
        <f>((CG8/CB8)-1)</f>
        <v>-6.4693616459436387E-2</v>
      </c>
      <c r="CH56" s="918">
        <f>((CH8/CC8)-1)</f>
        <v>-6.8797678200785306E-2</v>
      </c>
      <c r="CI56" s="918"/>
      <c r="CJ56" s="917">
        <f>((CJ8/CE8)-1)</f>
        <v>-3.5571998138538619E-2</v>
      </c>
      <c r="CK56" s="917">
        <f>((CK8/CF8)-1)</f>
        <v>-4.9019357474844316E-3</v>
      </c>
      <c r="CL56" s="917">
        <f>((CL8/CG8)-1)</f>
        <v>4.5486739017735589E-2</v>
      </c>
      <c r="CM56" s="918">
        <f>((CM8/CH8)-1)</f>
        <v>0.15129351395215762</v>
      </c>
      <c r="CN56" s="918"/>
      <c r="CO56" s="917">
        <f>((CO8/CJ8)-1)</f>
        <v>5.7390088496579006E-2</v>
      </c>
      <c r="CP56" s="917">
        <f>((CP8/CK8)-1)</f>
        <v>6.7734305427416874E-2</v>
      </c>
      <c r="CQ56" s="917">
        <f>((CQ8/CL8)-1)</f>
        <v>5.6805317118140408E-3</v>
      </c>
      <c r="CR56" s="918">
        <f>((CR8/CM8)-1)</f>
        <v>-6.7415337700455269E-2</v>
      </c>
      <c r="CS56" s="918"/>
      <c r="CT56" s="937">
        <f>'yrP&amp;L'!C8</f>
        <v>0.42423986027087601</v>
      </c>
      <c r="CU56" s="937">
        <f>'yrP&amp;L'!D8</f>
        <v>0.42312409031694109</v>
      </c>
      <c r="CV56" s="937">
        <f>'yrP&amp;L'!E8</f>
        <v>0.55533854943167571</v>
      </c>
      <c r="CW56" s="937">
        <f>'yrP&amp;L'!F8</f>
        <v>0.54362300308463896</v>
      </c>
      <c r="CX56" s="920">
        <f t="shared" ref="CX56:DD56" si="40">((CX8/CW8)-1)</f>
        <v>0.28028266971360427</v>
      </c>
      <c r="CY56" s="920">
        <f t="shared" si="40"/>
        <v>0.20055720574511726</v>
      </c>
      <c r="CZ56" s="920">
        <f t="shared" si="40"/>
        <v>0.10281883381113821</v>
      </c>
      <c r="DA56" s="920">
        <f t="shared" si="40"/>
        <v>0.16917865880061789</v>
      </c>
      <c r="DB56" s="921">
        <f t="shared" si="40"/>
        <v>7.0218711244882659E-2</v>
      </c>
      <c r="DC56" s="920">
        <f t="shared" si="40"/>
        <v>0.18353633222450494</v>
      </c>
      <c r="DD56" s="920">
        <f t="shared" si="40"/>
        <v>0.36952802567119236</v>
      </c>
      <c r="DE56" s="930">
        <f t="shared" ref="DE56:DN56" si="41">((DE8/DD8)-1)</f>
        <v>0.18640947573915412</v>
      </c>
      <c r="DF56" s="594">
        <f t="shared" si="41"/>
        <v>0.12650966330671687</v>
      </c>
      <c r="DG56" s="594">
        <f t="shared" si="41"/>
        <v>-5.8275418038866378E-2</v>
      </c>
      <c r="DH56" s="594">
        <f t="shared" si="41"/>
        <v>-0.1594210427670959</v>
      </c>
      <c r="DI56" s="930">
        <f t="shared" si="41"/>
        <v>0.18443843100431079</v>
      </c>
      <c r="DJ56" s="930">
        <f t="shared" si="41"/>
        <v>0.19871043849473136</v>
      </c>
      <c r="DK56" s="594">
        <f t="shared" si="41"/>
        <v>8.4834554977347709E-2</v>
      </c>
      <c r="DL56" s="920">
        <f t="shared" si="41"/>
        <v>-8.7325433043547784E-2</v>
      </c>
      <c r="DM56" s="920">
        <f t="shared" si="41"/>
        <v>-9.0569912242157158E-2</v>
      </c>
      <c r="DN56" s="920">
        <f t="shared" si="41"/>
        <v>-6.0189154467245043E-2</v>
      </c>
      <c r="DO56" s="920">
        <f>((DO8/DN8)-1)</f>
        <v>-5.454886491525246E-2</v>
      </c>
      <c r="DP56" s="920">
        <f>((DP8/DO8)-1)</f>
        <v>4.9883669899060346E-2</v>
      </c>
      <c r="DQ56" s="920">
        <f>((DQ8/DP8)-1)</f>
        <v>4.3434602598568794E-3</v>
      </c>
      <c r="DR56" s="920">
        <f>((DR8/DQ8)-1)</f>
        <v>-1.9403780582866181E-3</v>
      </c>
      <c r="DS56" s="922">
        <f>((DS8/DR8)-1)</f>
        <v>-5.3419200291184854E-3</v>
      </c>
    </row>
    <row r="57" spans="1:123">
      <c r="A57" s="906" t="s">
        <v>305</v>
      </c>
      <c r="B57" s="938"/>
      <c r="C57" s="923">
        <f>'qtrP&amp;L'!$Z10/100</f>
        <v>0.22</v>
      </c>
      <c r="D57" s="923">
        <f>'qtrP&amp;L'!$Z11/100</f>
        <v>0.17</v>
      </c>
      <c r="E57" s="923">
        <f>'qtrP&amp;L'!$Z12/100</f>
        <v>0.11</v>
      </c>
      <c r="F57" s="923">
        <f>'qtrP&amp;L'!$Z13/100</f>
        <v>0.03</v>
      </c>
      <c r="G57" s="939"/>
      <c r="H57" s="940">
        <f>'qtrP&amp;L'!$AD10/100</f>
        <v>-0.08</v>
      </c>
      <c r="I57" s="940">
        <f>'qtrP&amp;L'!$AD11/100</f>
        <v>-0.06</v>
      </c>
      <c r="J57" s="940">
        <f>'qtrP&amp;L'!$AD12/100</f>
        <v>-0.03</v>
      </c>
      <c r="K57" s="940">
        <f>'qtrP&amp;L'!$AD13/100</f>
        <v>-0.09</v>
      </c>
      <c r="L57" s="940"/>
      <c r="M57" s="940">
        <f>'qtrP&amp;L'!$AL10/100</f>
        <v>-0.06</v>
      </c>
      <c r="N57" s="940">
        <f>'qtrP&amp;L'!$AL11/100</f>
        <v>-0.05</v>
      </c>
      <c r="O57" s="940">
        <f>'qtrP&amp;L'!$AL12/100</f>
        <v>-0.05</v>
      </c>
      <c r="P57" s="940">
        <f>'qtrP&amp;L'!$AL13/100</f>
        <v>-0.04</v>
      </c>
      <c r="Q57" s="940"/>
      <c r="R57" s="940">
        <f>'qtrP&amp;L'!$AP10/100</f>
        <v>-0.06</v>
      </c>
      <c r="S57" s="940">
        <f>'qtrP&amp;L'!$AP11/100</f>
        <v>-0.08</v>
      </c>
      <c r="T57" s="940">
        <f>'qtrP&amp;L'!$AP12/100</f>
        <v>-0.09</v>
      </c>
      <c r="U57" s="940">
        <f>'qtrP&amp;L'!$AP13/100</f>
        <v>-0.11</v>
      </c>
      <c r="V57" s="940"/>
      <c r="W57" s="940">
        <f>+'qtrP&amp;L'!$AT$10/100</f>
        <v>0</v>
      </c>
      <c r="X57" s="940">
        <f>+'qtrP&amp;L'!$AT$11/100</f>
        <v>-0.05</v>
      </c>
      <c r="Y57" s="940">
        <f>+'qtrP&amp;L'!$AT$12/100</f>
        <v>0.01</v>
      </c>
      <c r="Z57" s="940">
        <f>+'qtrP&amp;L'!$AT$13/100</f>
        <v>0.09</v>
      </c>
      <c r="AA57" s="940"/>
      <c r="AB57" s="940">
        <f>+'qtrP&amp;L'!$AX$10/100</f>
        <v>0.19</v>
      </c>
      <c r="AC57" s="940">
        <f>+'qtrP&amp;L'!$AX$11/100</f>
        <v>0.3</v>
      </c>
      <c r="AD57" s="940">
        <f>+'qtrP&amp;L'!$AX$12/100</f>
        <v>0.25</v>
      </c>
      <c r="AE57" s="940">
        <f>+'qtrP&amp;L'!$AX$13/100</f>
        <v>0.28000000000000003</v>
      </c>
      <c r="AF57" s="940"/>
      <c r="AG57" s="940">
        <f>'qtrP&amp;L'!BB10/100</f>
        <v>0.06</v>
      </c>
      <c r="AH57" s="940">
        <f>'qtrP&amp;L'!BB11/100</f>
        <v>0</v>
      </c>
      <c r="AI57" s="940">
        <f>'qtrP&amp;L'!BB12/100</f>
        <v>0.05</v>
      </c>
      <c r="AJ57" s="940">
        <f>'qtrP&amp;L'!BB13/100</f>
        <v>-0.03</v>
      </c>
      <c r="AK57" s="940"/>
      <c r="AL57" s="940">
        <f>'qtrP&amp;L'!BF10/100</f>
        <v>-0.04</v>
      </c>
      <c r="AM57" s="940">
        <f>'qtrP&amp;L'!BF11/100</f>
        <v>-0.02</v>
      </c>
      <c r="AN57" s="940">
        <f>'qtrP&amp;L'!BF12/100</f>
        <v>0.01</v>
      </c>
      <c r="AO57" s="940">
        <f>'qtrP&amp;L'!BF13/100</f>
        <v>-0.01</v>
      </c>
      <c r="AP57" s="940"/>
      <c r="AQ57" s="940">
        <f>'qtrP&amp;L'!BJ10/100</f>
        <v>-0.03</v>
      </c>
      <c r="AR57" s="940">
        <f>'qtrP&amp;L'!BJ11/100</f>
        <v>-0.04</v>
      </c>
      <c r="AS57" s="940">
        <f>'qtrP&amp;L'!BJ12/100</f>
        <v>-0.14000000000000001</v>
      </c>
      <c r="AT57" s="940">
        <f>'qtrP&amp;L'!BJ13/100</f>
        <v>-0.25</v>
      </c>
      <c r="AU57" s="940"/>
      <c r="AV57" s="940">
        <f>0.01*'qtrP&amp;L'!$BN$10</f>
        <v>-0.3</v>
      </c>
      <c r="AW57" s="940">
        <f>0.01*'qtrP&amp;L'!$BN$11</f>
        <v>-0.3</v>
      </c>
      <c r="AX57" s="940">
        <f>0.01*'qtrP&amp;L'!$BN$12</f>
        <v>-0.22</v>
      </c>
      <c r="AY57" s="940">
        <f>0.01*'qtrP&amp;L'!$BN$13</f>
        <v>-0.13</v>
      </c>
      <c r="AZ57" s="941"/>
      <c r="BA57" s="940">
        <f>0.01*'qtrP&amp;L'!$BR$10</f>
        <v>0.01</v>
      </c>
      <c r="BB57" s="940">
        <f>0.01*'qtrP&amp;L'!$BR$11</f>
        <v>0.05</v>
      </c>
      <c r="BC57" s="940">
        <f>0.01*'qtrP&amp;L'!$BR$12</f>
        <v>7.0000000000000007E-2</v>
      </c>
      <c r="BD57" s="940">
        <f>0.01*'qtrP&amp;L'!$BR$13</f>
        <v>0.13</v>
      </c>
      <c r="BE57" s="941"/>
      <c r="BF57" s="940">
        <f>0.01*'qtrP&amp;L'!$BV10</f>
        <v>0.1</v>
      </c>
      <c r="BG57" s="940">
        <f>0.01*'qtrP&amp;L'!$BV11</f>
        <v>0.09</v>
      </c>
      <c r="BH57" s="928">
        <f>0.01*'qtrP&amp;L'!$BV12</f>
        <v>7.0000000000000007E-2</v>
      </c>
      <c r="BI57" s="929">
        <f>0.01*'qtrP&amp;L'!$BV13</f>
        <v>0</v>
      </c>
      <c r="BJ57" s="1956"/>
      <c r="BK57" s="928">
        <f>0.01*'qtrP&amp;L'!$BZ10</f>
        <v>0.01</v>
      </c>
      <c r="BL57" s="928">
        <f>0.01*'qtrP&amp;L'!$BZ11</f>
        <v>-0.06</v>
      </c>
      <c r="BM57" s="928">
        <f>0.01*'qtrP&amp;L'!$BZ12</f>
        <v>0</v>
      </c>
      <c r="BN57" s="929">
        <f>0.01*'qtrP&amp;L'!$BZ13</f>
        <v>-0.01</v>
      </c>
      <c r="BO57" s="929"/>
      <c r="BP57" s="929">
        <f>0.01*'qtrP&amp;L'!CD10</f>
        <v>-0.15</v>
      </c>
      <c r="BQ57" s="929">
        <f>0.01*'qtrP&amp;L'!CD11</f>
        <v>-0.1</v>
      </c>
      <c r="BR57" s="929">
        <f>0.01*'qtrP&amp;L'!CD12</f>
        <v>-0.14000000000000001</v>
      </c>
      <c r="BS57" s="929">
        <f>0.01*'qtrP&amp;L'!CD13</f>
        <v>-0.08</v>
      </c>
      <c r="BT57" s="929"/>
      <c r="BU57" s="224">
        <f>0.01*'qtrP&amp;L'!CH10</f>
        <v>-0.04</v>
      </c>
      <c r="BV57" s="224">
        <f>0.01*'qtrP&amp;L'!CH11</f>
        <v>-7.0000000000000007E-2</v>
      </c>
      <c r="BW57" s="224">
        <f>0.01*'qtrP&amp;L'!CH12</f>
        <v>-0.1</v>
      </c>
      <c r="BX57" s="224">
        <f>0.01*'qtrP&amp;L'!CH13</f>
        <v>-0.1</v>
      </c>
      <c r="BY57" s="943"/>
      <c r="BZ57" s="224">
        <f>0.01*'qtrP&amp;L'!CL10</f>
        <v>-0.08</v>
      </c>
      <c r="CA57" s="224">
        <f>0.01*'qtrP&amp;L'!CL11</f>
        <v>-0.04</v>
      </c>
      <c r="CB57" s="224">
        <f>0.01*'qtrP&amp;L'!CL12</f>
        <v>-0.01</v>
      </c>
      <c r="CC57" s="224">
        <f>0.01*'qtrP&amp;L'!CL13</f>
        <v>0.01</v>
      </c>
      <c r="CD57" s="594"/>
      <c r="CE57" s="224">
        <f>0.01*'qtrP&amp;L'!CP10</f>
        <v>-0.04</v>
      </c>
      <c r="CF57" s="224">
        <f>0.01*'qtrP&amp;L'!CP11</f>
        <v>-0.04</v>
      </c>
      <c r="CG57" s="224">
        <f>0.01*'qtrP&amp;L'!CP12</f>
        <v>-0.06</v>
      </c>
      <c r="CH57" s="224">
        <f>0.01*'qtrP&amp;L'!CP13</f>
        <v>-0.05</v>
      </c>
      <c r="CI57" s="942"/>
      <c r="CJ57" s="224">
        <f>0.01*'qtrP&amp;L'!CT10</f>
        <v>-0.03</v>
      </c>
      <c r="CK57" s="224">
        <f>0.01*'qtrP&amp;L'!CT11</f>
        <v>-0.01</v>
      </c>
      <c r="CL57" s="224">
        <f>0.01*'qtrP&amp;L'!CT12</f>
        <v>0.04</v>
      </c>
      <c r="CM57" s="224">
        <f>0.01*'qtrP&amp;L'!CT13</f>
        <v>0.09</v>
      </c>
      <c r="CN57" s="942"/>
      <c r="CO57" s="224">
        <f>0.01*'qtrP&amp;L'!CX10</f>
        <v>3.4900000000000028E-2</v>
      </c>
      <c r="CP57" s="224">
        <f>0.01*'qtrP&amp;L'!CX11</f>
        <v>2.8800000000000013E-2</v>
      </c>
      <c r="CQ57" s="224">
        <f>0.01*'qtrP&amp;L'!CX12</f>
        <v>-1.2800000000000011E-2</v>
      </c>
      <c r="CR57" s="224">
        <f>0.01*'qtrP&amp;L'!CX13</f>
        <v>-4.0000000000000029E-2</v>
      </c>
      <c r="CS57" s="942"/>
      <c r="CT57" s="943">
        <f>yrSales!C39</f>
        <v>0.05</v>
      </c>
      <c r="CU57" s="943">
        <f>yrSales!D39</f>
        <v>0.13</v>
      </c>
      <c r="CV57" s="943">
        <f>yrSales!E39</f>
        <v>0.21</v>
      </c>
      <c r="CW57" s="943">
        <f>yrSales!F39</f>
        <v>0.35</v>
      </c>
      <c r="CX57" s="943">
        <f>yrSales!G39</f>
        <v>0.1</v>
      </c>
      <c r="CY57" s="942">
        <f>yrSales!H240</f>
        <v>-7.0000000000000007E-2</v>
      </c>
      <c r="CZ57" s="942">
        <f>yrSales!I240</f>
        <v>-0.09</v>
      </c>
      <c r="DA57" s="942">
        <f>yrSales!J240</f>
        <v>-0.05</v>
      </c>
      <c r="DB57" s="944">
        <f>yrSales!K240</f>
        <v>-0.09</v>
      </c>
      <c r="DC57" s="942">
        <f>yrSales!L240</f>
        <v>0.02</v>
      </c>
      <c r="DD57" s="942">
        <f>yrSales!M240</f>
        <v>0.26</v>
      </c>
      <c r="DE57" s="945">
        <f>yrSales!N240</f>
        <v>0.02</v>
      </c>
      <c r="DF57" s="929">
        <f>yrSales!O240</f>
        <v>-0.01</v>
      </c>
      <c r="DG57" s="929">
        <f>yrSales!P240</f>
        <v>-0.13</v>
      </c>
      <c r="DH57" s="929">
        <f>yrSales!Q240</f>
        <v>-0.23</v>
      </c>
      <c r="DI57" s="2218">
        <f>yrSales!R241</f>
        <v>3.076657134320715E-2</v>
      </c>
      <c r="DJ57" s="2218">
        <f>yrSales!S241</f>
        <v>7.4777962024644984E-3</v>
      </c>
      <c r="DK57" s="2219">
        <f>yrSales!T241</f>
        <v>-4.9657853905901835E-2</v>
      </c>
      <c r="DL57" s="2219">
        <f>yrSales!U241</f>
        <v>-0.13192531498586824</v>
      </c>
      <c r="DM57" s="2219">
        <f>yrSales!V241</f>
        <v>-9.2685756003845765E-2</v>
      </c>
      <c r="DN57" s="2219">
        <f>yrSales!W241</f>
        <v>-2.5067834489144125E-2</v>
      </c>
      <c r="DO57" s="2219">
        <f>yrSales!X241</f>
        <v>-5.6791674718928667E-2</v>
      </c>
      <c r="DP57" s="2219">
        <f>yrSales!Y241</f>
        <v>-6.8169138556063782E-3</v>
      </c>
      <c r="DQ57" s="2219">
        <f>yrSales!Z241</f>
        <v>-6.7376938825878599E-3</v>
      </c>
      <c r="DR57" s="2219">
        <f>yrSales!AA241</f>
        <v>-2.0400000000000001E-2</v>
      </c>
      <c r="DS57" s="2220">
        <f>yrSales!AB241</f>
        <v>-2.0400000000000001E-2</v>
      </c>
    </row>
    <row r="58" spans="1:123">
      <c r="A58" s="906" t="s">
        <v>306</v>
      </c>
      <c r="B58" s="907"/>
      <c r="C58" s="923">
        <f>'qtrP&amp;L'!$Z50/100</f>
        <v>0.27162425540091673</v>
      </c>
      <c r="D58" s="923">
        <f>'qtrP&amp;L'!$Z51/100</f>
        <v>0.32269393947908176</v>
      </c>
      <c r="E58" s="923">
        <f>'qtrP&amp;L'!$Z52/100</f>
        <v>0.19409766546225568</v>
      </c>
      <c r="F58" s="923">
        <f>'qtrP&amp;L'!$Z53/100</f>
        <v>0.29403990727300311</v>
      </c>
      <c r="G58" s="916"/>
      <c r="H58" s="917">
        <f>((H13/C13)-1)</f>
        <v>9.9365339780675299E-2</v>
      </c>
      <c r="I58" s="917">
        <f>((I13/D13)-1)</f>
        <v>0.14423485427818838</v>
      </c>
      <c r="J58" s="917">
        <f>((J13/E13)-1)</f>
        <v>0.30639608624750858</v>
      </c>
      <c r="K58" s="917">
        <f>((K13/F13)-1)</f>
        <v>0.31979440472802145</v>
      </c>
      <c r="L58" s="917"/>
      <c r="M58" s="917">
        <f>+'qtrP&amp;L'!$AL50/100</f>
        <v>1.3324110251303649</v>
      </c>
      <c r="N58" s="917">
        <f>+'qtrP&amp;L'!$AL51/100</f>
        <v>1.3564630027632791</v>
      </c>
      <c r="O58" s="917">
        <f>+'qtrP&amp;L'!$AL52/100</f>
        <v>1.3970845802705796</v>
      </c>
      <c r="P58" s="917">
        <f>+'qtrP&amp;L'!$AL53/100</f>
        <v>1.2579639759171872</v>
      </c>
      <c r="Q58" s="917"/>
      <c r="R58" s="917">
        <f>((R13/M13)-1)</f>
        <v>0.14708738813315181</v>
      </c>
      <c r="S58" s="917">
        <f>((S13/N13)-1)</f>
        <v>0.10850938420970979</v>
      </c>
      <c r="T58" s="917">
        <f>((T13/O13)-1)</f>
        <v>0.13488479130109621</v>
      </c>
      <c r="U58" s="917">
        <f>((U13/P13)-1)</f>
        <v>0.11457334345948511</v>
      </c>
      <c r="V58" s="917"/>
      <c r="W58" s="917">
        <f>((W13/R13)-1)</f>
        <v>0.25748785407847241</v>
      </c>
      <c r="X58" s="917">
        <f>((X13/S13)-1)</f>
        <v>0.18780504186629643</v>
      </c>
      <c r="Y58" s="917">
        <f>((Y13/T13)-1)</f>
        <v>0.2255601743891309</v>
      </c>
      <c r="Z58" s="917">
        <f>((Z13/U13)-1)</f>
        <v>0.44191008609413163</v>
      </c>
      <c r="AA58" s="917"/>
      <c r="AB58" s="917">
        <f>((AB13/W13)-1)</f>
        <v>0.3075928946809523</v>
      </c>
      <c r="AC58" s="917">
        <f>((AC13/X13)-1)</f>
        <v>0.41355115965657951</v>
      </c>
      <c r="AD58" s="917">
        <f>((AD13/Y13)-1)</f>
        <v>0.39435541914508154</v>
      </c>
      <c r="AE58" s="917">
        <f>((AE13/Z13)-1)</f>
        <v>0.29099476042482308</v>
      </c>
      <c r="AF58" s="917"/>
      <c r="AG58" s="917">
        <f>((AG13/AB13)-1)</f>
        <v>0.20279297367720783</v>
      </c>
      <c r="AH58" s="917">
        <f>((AH13/AC13)-1)</f>
        <v>0.18618845860237832</v>
      </c>
      <c r="AI58" s="917">
        <f>((AI13/AD13)-1)</f>
        <v>0.20330415229122112</v>
      </c>
      <c r="AJ58" s="917">
        <f>((AJ13/AE13)-1)</f>
        <v>0.20605924584058055</v>
      </c>
      <c r="AK58" s="917"/>
      <c r="AL58" s="917">
        <f>((AL13/AG13)-1)</f>
        <v>0.1446971851826313</v>
      </c>
      <c r="AM58" s="917">
        <f>((AM13/AH13)-1)</f>
        <v>0.21645767408398275</v>
      </c>
      <c r="AN58" s="917">
        <f>((AN13/AI13)-1)</f>
        <v>0.13348108958318416</v>
      </c>
      <c r="AO58" s="917">
        <f>((AO13/AJ13)-1)</f>
        <v>8.9002266317820711E-2</v>
      </c>
      <c r="AP58" s="917"/>
      <c r="AQ58" s="917">
        <f>((AQ13/AL13)-1)</f>
        <v>8.114193060969388E-2</v>
      </c>
      <c r="AR58" s="917">
        <f>((AR13/AM13)-1)</f>
        <v>4.7576913391720765E-2</v>
      </c>
      <c r="AS58" s="917">
        <f>((AS13/AN13)-1)</f>
        <v>3.29993953445884E-2</v>
      </c>
      <c r="AT58" s="917">
        <f>((AT13/AO13)-1)</f>
        <v>-1.8485743579728542E-2</v>
      </c>
      <c r="AU58" s="917"/>
      <c r="AV58" s="917">
        <f>((AV13/AQ13)-1)</f>
        <v>-3.2701785992046317E-2</v>
      </c>
      <c r="AW58" s="917">
        <f>((AW13/AR13)-1)</f>
        <v>-7.6058934702977865E-2</v>
      </c>
      <c r="AX58" s="917">
        <f>((AX13/AS13)-1)</f>
        <v>-7.9397731914481406E-2</v>
      </c>
      <c r="AY58" s="917">
        <f>((AY13/AT13)-1)</f>
        <v>-1.9291951392904627E-2</v>
      </c>
      <c r="AZ58" s="916"/>
      <c r="BA58" s="917">
        <f>((BA13/AV13)-1)</f>
        <v>8.2531110871104429E-2</v>
      </c>
      <c r="BB58" s="917">
        <f>((BB13/AW13)-1)</f>
        <v>9.195583370329552E-2</v>
      </c>
      <c r="BC58" s="917">
        <f>((BC13/AX13)-1)</f>
        <v>0.11554128385811535</v>
      </c>
      <c r="BD58" s="917">
        <f>((BD13/AY13)-1)</f>
        <v>0.14002489575694321</v>
      </c>
      <c r="BE58" s="916"/>
      <c r="BF58" s="917">
        <f>((BF13/BA13)-1)</f>
        <v>0.12351399647926353</v>
      </c>
      <c r="BG58" s="917">
        <f>((BG13/BB13)-1)</f>
        <v>0.17013779596404688</v>
      </c>
      <c r="BH58" s="917">
        <f>((BH13/BC13)-1)</f>
        <v>0.16766889391426321</v>
      </c>
      <c r="BI58" s="918">
        <f>((BI13/BD13)-1)</f>
        <v>0.11622660257420314</v>
      </c>
      <c r="BJ58" s="919"/>
      <c r="BK58" s="917">
        <f>((BK13/BF13)-1)</f>
        <v>0.12998271343773671</v>
      </c>
      <c r="BL58" s="917">
        <f>((BL13/BG13)-1)</f>
        <v>6.3613811448767432E-2</v>
      </c>
      <c r="BM58" s="917">
        <f>((BM13/BH13)-1)</f>
        <v>8.918980136148047E-2</v>
      </c>
      <c r="BN58" s="918">
        <f>((BN13/BI13)-1)</f>
        <v>0.14940751505086181</v>
      </c>
      <c r="BO58" s="918"/>
      <c r="BP58" s="918">
        <f>((BP13/BK13)-1)</f>
        <v>-9.6643329532098976E-3</v>
      </c>
      <c r="BQ58" s="918">
        <f>((BQ13/BL13)-1)</f>
        <v>3.0586007889310984E-2</v>
      </c>
      <c r="BR58" s="918">
        <f>((BR13/BM13)-1)</f>
        <v>-3.2130035481515384E-2</v>
      </c>
      <c r="BS58" s="918">
        <f>((BS13/BN13)-1)</f>
        <v>-0.10337717656884171</v>
      </c>
      <c r="BT58" s="918"/>
      <c r="BU58" s="917">
        <f>((BU13/BP13)-1)</f>
        <v>-6.3367701957547817E-2</v>
      </c>
      <c r="BV58" s="917">
        <f>((BV13/BQ13)-1)</f>
        <v>-8.7633969730381955E-2</v>
      </c>
      <c r="BW58" s="917">
        <f>((BW13/BR13)-1)</f>
        <v>-0.14227704566349986</v>
      </c>
      <c r="BX58" s="918">
        <f>((BX13/BS13)-1)</f>
        <v>-0.1046699573436729</v>
      </c>
      <c r="BY58" s="918"/>
      <c r="BZ58" s="917">
        <f>((BZ13/BU13)-1)</f>
        <v>-7.2358571557671003E-2</v>
      </c>
      <c r="CA58" s="917">
        <f>((CA13/BV13)-1)</f>
        <v>-8.1211125016343866E-2</v>
      </c>
      <c r="CB58" s="917">
        <f>((CB13/BW13)-1)</f>
        <v>-9.5403615744605874E-3</v>
      </c>
      <c r="CC58" s="918">
        <f>((CC13/BX13)-1)</f>
        <v>1.7278959806610317E-4</v>
      </c>
      <c r="CD58" s="918"/>
      <c r="CE58" s="917">
        <f>((CE13/BZ13)-1)</f>
        <v>-1.8577743969884652E-2</v>
      </c>
      <c r="CF58" s="917">
        <f>((CF13/CA13)-1)</f>
        <v>5.5784603124262588E-3</v>
      </c>
      <c r="CG58" s="917">
        <f>((CG13/CB13)-1)</f>
        <v>-2.3803221992836021E-2</v>
      </c>
      <c r="CH58" s="918">
        <f>((CH13/CC13)-1)</f>
        <v>1.3378082906682964E-2</v>
      </c>
      <c r="CI58" s="918"/>
      <c r="CJ58" s="917">
        <f>((CJ13/CE13)-1)</f>
        <v>-2.8420171021475871E-2</v>
      </c>
      <c r="CK58" s="917">
        <f>((CK13/CF13)-1)</f>
        <v>-3.2322758553764652E-2</v>
      </c>
      <c r="CL58" s="917">
        <f>((CL13/CG13)-1)</f>
        <v>-1.7089227901895043E-2</v>
      </c>
      <c r="CM58" s="918">
        <f>((CM13/CH13)-1)</f>
        <v>-3.0668473271190377E-3</v>
      </c>
      <c r="CN58" s="918"/>
      <c r="CO58" s="917">
        <f>((CO13/CJ13)-1)</f>
        <v>2.0686808320789396E-2</v>
      </c>
      <c r="CP58" s="917">
        <f>((CP13/CK13)-1)</f>
        <v>2.1168169770553469E-2</v>
      </c>
      <c r="CQ58" s="917">
        <f>((CQ13/CL13)-1)</f>
        <v>1.156611578109823E-2</v>
      </c>
      <c r="CR58" s="918">
        <f>((CR13/CM13)-1)</f>
        <v>1.0858070216533289E-2</v>
      </c>
      <c r="CS58" s="918"/>
      <c r="CT58" s="946">
        <f>CT13/'yrP&amp;L'!B14-1</f>
        <v>0.3001462769045018</v>
      </c>
      <c r="CU58" s="946">
        <f>CU13/'yrP&amp;L'!C14-1</f>
        <v>0.38890277876991219</v>
      </c>
      <c r="CV58" s="946">
        <f>CV13/'yrP&amp;L'!D14-1</f>
        <v>0.50379951911331711</v>
      </c>
      <c r="CW58" s="946">
        <f>CW13/'yrP&amp;L'!E14-1</f>
        <v>0.40563464580394193</v>
      </c>
      <c r="CX58" s="920">
        <f t="shared" ref="CX58:DD58" si="42">((CX13/CW13)-1)</f>
        <v>0.26717803352879632</v>
      </c>
      <c r="CY58" s="920">
        <f t="shared" si="42"/>
        <v>0.22755485577407719</v>
      </c>
      <c r="CZ58" s="920">
        <f t="shared" si="42"/>
        <v>0.12065007840514941</v>
      </c>
      <c r="DA58" s="920">
        <f t="shared" si="42"/>
        <v>1.3337613756909161</v>
      </c>
      <c r="DB58" s="921">
        <f t="shared" si="42"/>
        <v>0.1258492822966506</v>
      </c>
      <c r="DC58" s="920">
        <f t="shared" si="42"/>
        <v>0.2818340221629605</v>
      </c>
      <c r="DD58" s="920">
        <f t="shared" si="42"/>
        <v>0.32813879276404401</v>
      </c>
      <c r="DE58" s="921">
        <f t="shared" ref="DE58:DS58" si="43">((DE13/DD13)-1)</f>
        <v>0.1800212654254294</v>
      </c>
      <c r="DF58" s="920">
        <f t="shared" si="43"/>
        <v>0.13770236688854931</v>
      </c>
      <c r="DG58" s="920">
        <f t="shared" si="43"/>
        <v>6.7783757651261656E-2</v>
      </c>
      <c r="DH58" s="920">
        <f t="shared" si="43"/>
        <v>-4.9842975471957929E-2</v>
      </c>
      <c r="DI58" s="921">
        <f t="shared" si="43"/>
        <v>0.13154896939838578</v>
      </c>
      <c r="DJ58" s="921">
        <f t="shared" si="43"/>
        <v>0.12047440256799336</v>
      </c>
      <c r="DK58" s="920">
        <f t="shared" si="43"/>
        <v>0.10872202908397033</v>
      </c>
      <c r="DL58" s="920">
        <f t="shared" si="43"/>
        <v>-3.2429802856817846E-2</v>
      </c>
      <c r="DM58" s="594">
        <f t="shared" si="43"/>
        <v>-0.10010556620668676</v>
      </c>
      <c r="DN58" s="594">
        <f t="shared" si="43"/>
        <v>-4.058264520624133E-2</v>
      </c>
      <c r="DO58" s="594">
        <f t="shared" si="43"/>
        <v>-5.4217991578621172E-3</v>
      </c>
      <c r="DP58" s="594">
        <f t="shared" si="43"/>
        <v>-1.959900668681791E-2</v>
      </c>
      <c r="DQ58" s="920">
        <f t="shared" si="43"/>
        <v>1.5809474144952818E-2</v>
      </c>
      <c r="DR58" s="920">
        <f t="shared" si="43"/>
        <v>1.9381131512803407E-3</v>
      </c>
      <c r="DS58" s="922">
        <f t="shared" si="43"/>
        <v>-4.8285039520513662E-3</v>
      </c>
    </row>
    <row r="59" spans="1:123">
      <c r="A59" s="924" t="s">
        <v>644</v>
      </c>
      <c r="B59" s="925"/>
      <c r="C59" s="926"/>
      <c r="D59" s="926"/>
      <c r="E59" s="926"/>
      <c r="F59" s="926"/>
      <c r="G59" s="927"/>
      <c r="H59" s="928"/>
      <c r="I59" s="928"/>
      <c r="J59" s="928"/>
      <c r="K59" s="928"/>
      <c r="L59" s="928"/>
      <c r="M59" s="928"/>
      <c r="N59" s="928"/>
      <c r="O59" s="928"/>
      <c r="P59" s="928"/>
      <c r="Q59" s="928"/>
      <c r="R59" s="928"/>
      <c r="S59" s="928"/>
      <c r="T59" s="928"/>
      <c r="U59" s="928"/>
      <c r="V59" s="928"/>
      <c r="W59" s="928"/>
      <c r="X59" s="928"/>
      <c r="Y59" s="928"/>
      <c r="Z59" s="928"/>
      <c r="AA59" s="928"/>
      <c r="AB59" s="928"/>
      <c r="AC59" s="928"/>
      <c r="AD59" s="928"/>
      <c r="AE59" s="928"/>
      <c r="AF59" s="928"/>
      <c r="AG59" s="928"/>
      <c r="AH59" s="928"/>
      <c r="AI59" s="928"/>
      <c r="AJ59" s="928"/>
      <c r="AK59" s="928"/>
      <c r="AL59" s="928"/>
      <c r="AM59" s="928"/>
      <c r="AN59" s="928"/>
      <c r="AO59" s="928"/>
      <c r="AP59" s="928"/>
      <c r="AQ59" s="928"/>
      <c r="AR59" s="928"/>
      <c r="AS59" s="928"/>
      <c r="AT59" s="928"/>
      <c r="AU59" s="928"/>
      <c r="AV59" s="928"/>
      <c r="AW59" s="928"/>
      <c r="AX59" s="928"/>
      <c r="AY59" s="928"/>
      <c r="AZ59" s="927"/>
      <c r="BA59" s="928"/>
      <c r="BB59" s="928"/>
      <c r="BC59" s="928"/>
      <c r="BD59" s="928"/>
      <c r="BE59" s="927"/>
      <c r="BF59" s="928"/>
      <c r="BG59" s="928"/>
      <c r="BH59" s="928"/>
      <c r="BI59" s="929"/>
      <c r="BJ59" s="947"/>
      <c r="BK59" s="929">
        <f t="shared" ref="BK59:BN60" si="44">(BK14/BF14)-1</f>
        <v>0.14189641218638904</v>
      </c>
      <c r="BL59" s="929">
        <f t="shared" si="44"/>
        <v>7.7023452653852909E-2</v>
      </c>
      <c r="BM59" s="929">
        <f t="shared" si="44"/>
        <v>7.6370583279003146E-2</v>
      </c>
      <c r="BN59" s="929">
        <f t="shared" si="44"/>
        <v>0.13840015344716683</v>
      </c>
      <c r="BO59" s="929"/>
      <c r="BP59" s="929">
        <f t="shared" ref="BP59:BS60" si="45">(BP14/BK14)-1</f>
        <v>-1.4497555580911703E-2</v>
      </c>
      <c r="BQ59" s="929">
        <f t="shared" si="45"/>
        <v>2.9769584247465009E-2</v>
      </c>
      <c r="BR59" s="929">
        <f t="shared" si="45"/>
        <v>-3.2899211578011345E-2</v>
      </c>
      <c r="BS59" s="929">
        <f t="shared" si="45"/>
        <v>-0.11905568416563261</v>
      </c>
      <c r="BT59" s="929"/>
      <c r="BU59" s="929">
        <f t="shared" ref="BU59:BX60" si="46">(BU14/BP14)-1</f>
        <v>-7.2037851377678819E-2</v>
      </c>
      <c r="BV59" s="929">
        <f t="shared" si="46"/>
        <v>-9.8926910341260332E-2</v>
      </c>
      <c r="BW59" s="929">
        <f t="shared" si="46"/>
        <v>-0.14440285230954253</v>
      </c>
      <c r="BX59" s="929">
        <f t="shared" si="46"/>
        <v>-0.12008375619853651</v>
      </c>
      <c r="BY59" s="929"/>
      <c r="BZ59" s="929">
        <f t="shared" ref="BZ59:CC60" si="47">(BZ14/BU14)-1</f>
        <v>-7.155248325819219E-2</v>
      </c>
      <c r="CA59" s="929">
        <f t="shared" si="47"/>
        <v>-8.7651979974403438E-2</v>
      </c>
      <c r="CB59" s="929">
        <f t="shared" si="47"/>
        <v>-4.5805629459573782E-2</v>
      </c>
      <c r="CC59" s="929">
        <f t="shared" si="47"/>
        <v>-2.5399686183231851E-2</v>
      </c>
      <c r="CD59" s="929"/>
      <c r="CE59" s="929">
        <f t="shared" ref="CE59:CH60" si="48">(CE14/BZ14)-1</f>
        <v>-4.608347331696605E-2</v>
      </c>
      <c r="CF59" s="929">
        <f t="shared" si="48"/>
        <v>-1.25889958457861E-2</v>
      </c>
      <c r="CG59" s="929">
        <f t="shared" si="48"/>
        <v>-1.4654946108028644E-2</v>
      </c>
      <c r="CH59" s="929">
        <f t="shared" si="48"/>
        <v>2.5436703288023166E-2</v>
      </c>
      <c r="CI59" s="929"/>
      <c r="CJ59" s="929">
        <f>(CJ14/CE14)-1</f>
        <v>-2.4894478188546842E-2</v>
      </c>
      <c r="CK59" s="929">
        <f t="shared" ref="CK59:CM60" si="49">(CK14/CF14)-1</f>
        <v>-3.5574288945123822E-2</v>
      </c>
      <c r="CL59" s="929">
        <f t="shared" si="49"/>
        <v>-2.7586010672281169E-2</v>
      </c>
      <c r="CM59" s="929">
        <f t="shared" si="49"/>
        <v>-9.3636013502798043E-3</v>
      </c>
      <c r="CN59" s="929"/>
      <c r="CO59" s="929">
        <f>(CO14/CJ14)-1</f>
        <v>1.3807263988258711E-2</v>
      </c>
      <c r="CP59" s="929">
        <f t="shared" ref="CP59:CP60" si="50">(CP14/CK14)-1</f>
        <v>1.8461421143746604E-2</v>
      </c>
      <c r="CQ59" s="929">
        <f t="shared" ref="CQ59:CQ60" si="51">(CQ14/CL14)-1</f>
        <v>8.9071284272124185E-3</v>
      </c>
      <c r="CR59" s="929">
        <f t="shared" ref="CR59:CR60" si="52">(CR14/CM14)-1</f>
        <v>5.1862770578861017E-3</v>
      </c>
      <c r="CS59" s="929"/>
      <c r="CT59" s="594"/>
      <c r="CU59" s="594"/>
      <c r="CV59" s="594"/>
      <c r="CW59" s="594"/>
      <c r="CX59" s="594"/>
      <c r="CY59" s="594"/>
      <c r="CZ59" s="594"/>
      <c r="DA59" s="594"/>
      <c r="DB59" s="930"/>
      <c r="DC59" s="594"/>
      <c r="DD59" s="594"/>
      <c r="DE59" s="930">
        <f>((DE14/DD14)-1)</f>
        <v>0.15722040129024761</v>
      </c>
      <c r="DF59" s="594">
        <f t="shared" ref="DF59:DO59" si="53">((DF14/DE14)-1)</f>
        <v>0.1628622000446398</v>
      </c>
      <c r="DG59" s="594">
        <f t="shared" si="53"/>
        <v>6.85809468686438E-2</v>
      </c>
      <c r="DH59" s="594">
        <f t="shared" si="53"/>
        <v>-7.2495601738558069E-3</v>
      </c>
      <c r="DI59" s="930">
        <f t="shared" si="53"/>
        <v>7.6406606122234377E-2</v>
      </c>
      <c r="DJ59" s="930">
        <f t="shared" si="53"/>
        <v>0.16398766826807187</v>
      </c>
      <c r="DK59" s="594">
        <f t="shared" si="53"/>
        <v>0.10854037849398335</v>
      </c>
      <c r="DL59" s="594">
        <f t="shared" si="53"/>
        <v>-3.8955812748734497E-2</v>
      </c>
      <c r="DM59" s="594">
        <f t="shared" si="53"/>
        <v>-0.10964377449927054</v>
      </c>
      <c r="DN59" s="594">
        <f t="shared" si="53"/>
        <v>-5.7315245356055367E-2</v>
      </c>
      <c r="DO59" s="594">
        <f t="shared" si="53"/>
        <v>-1.0963669971938206E-2</v>
      </c>
      <c r="DP59" s="594">
        <f t="shared" ref="DP59:DS60" si="54">((DP14/DO14)-1)</f>
        <v>-2.3802652347987507E-2</v>
      </c>
      <c r="DQ59" s="594">
        <f t="shared" si="54"/>
        <v>1.128331210804423E-2</v>
      </c>
      <c r="DR59" s="594">
        <f t="shared" si="54"/>
        <v>-1.6411668781096678E-3</v>
      </c>
      <c r="DS59" s="931">
        <f t="shared" si="54"/>
        <v>-3.7765858205310865E-3</v>
      </c>
    </row>
    <row r="60" spans="1:123">
      <c r="A60" s="924" t="s">
        <v>645</v>
      </c>
      <c r="B60" s="925"/>
      <c r="C60" s="926"/>
      <c r="D60" s="926"/>
      <c r="E60" s="926"/>
      <c r="F60" s="926"/>
      <c r="G60" s="927"/>
      <c r="H60" s="928"/>
      <c r="I60" s="928"/>
      <c r="J60" s="928"/>
      <c r="K60" s="928"/>
      <c r="L60" s="928"/>
      <c r="M60" s="928"/>
      <c r="N60" s="928"/>
      <c r="O60" s="928"/>
      <c r="P60" s="928"/>
      <c r="Q60" s="928"/>
      <c r="R60" s="928"/>
      <c r="S60" s="928"/>
      <c r="T60" s="928"/>
      <c r="U60" s="928"/>
      <c r="V60" s="928"/>
      <c r="W60" s="928"/>
      <c r="X60" s="928"/>
      <c r="Y60" s="928"/>
      <c r="Z60" s="928"/>
      <c r="AA60" s="928"/>
      <c r="AB60" s="928"/>
      <c r="AC60" s="928"/>
      <c r="AD60" s="928"/>
      <c r="AE60" s="928"/>
      <c r="AF60" s="928"/>
      <c r="AG60" s="928"/>
      <c r="AH60" s="928"/>
      <c r="AI60" s="928"/>
      <c r="AJ60" s="928"/>
      <c r="AK60" s="928"/>
      <c r="AL60" s="928"/>
      <c r="AM60" s="928"/>
      <c r="AN60" s="928"/>
      <c r="AO60" s="928"/>
      <c r="AP60" s="928"/>
      <c r="AQ60" s="928"/>
      <c r="AR60" s="928"/>
      <c r="AS60" s="928"/>
      <c r="AT60" s="928"/>
      <c r="AU60" s="928"/>
      <c r="AV60" s="928"/>
      <c r="AW60" s="928"/>
      <c r="AX60" s="928"/>
      <c r="AY60" s="928"/>
      <c r="AZ60" s="927"/>
      <c r="BA60" s="928"/>
      <c r="BB60" s="928"/>
      <c r="BC60" s="928"/>
      <c r="BD60" s="928"/>
      <c r="BE60" s="927"/>
      <c r="BF60" s="928"/>
      <c r="BG60" s="928"/>
      <c r="BH60" s="928"/>
      <c r="BI60" s="929"/>
      <c r="BJ60" s="947"/>
      <c r="BK60" s="929">
        <f t="shared" si="44"/>
        <v>8.5814344502141093E-2</v>
      </c>
      <c r="BL60" s="929">
        <f t="shared" si="44"/>
        <v>1.1763743306757446E-2</v>
      </c>
      <c r="BM60" s="929">
        <f t="shared" si="44"/>
        <v>0.14406921108267512</v>
      </c>
      <c r="BN60" s="929">
        <f t="shared" si="44"/>
        <v>0.2036171489859977</v>
      </c>
      <c r="BO60" s="929"/>
      <c r="BP60" s="929">
        <f t="shared" si="45"/>
        <v>9.1796490687747756E-3</v>
      </c>
      <c r="BQ60" s="929">
        <f t="shared" si="45"/>
        <v>3.3946429694589941E-2</v>
      </c>
      <c r="BR60" s="929">
        <f t="shared" si="45"/>
        <v>-2.9032022758771592E-2</v>
      </c>
      <c r="BS60" s="929">
        <f t="shared" si="45"/>
        <v>-3.0346631785480582E-2</v>
      </c>
      <c r="BT60" s="929"/>
      <c r="BU60" s="929">
        <f t="shared" si="46"/>
        <v>-3.035723368542409E-2</v>
      </c>
      <c r="BV60" s="929">
        <f t="shared" si="46"/>
        <v>-4.1339694623319434E-2</v>
      </c>
      <c r="BW60" s="929">
        <f t="shared" si="46"/>
        <v>-0.13374902962462132</v>
      </c>
      <c r="BX60" s="929">
        <f t="shared" si="46"/>
        <v>-3.9440847160393977E-2</v>
      </c>
      <c r="BY60" s="929"/>
      <c r="BZ60" s="929">
        <f t="shared" si="47"/>
        <v>-7.5295722191622727E-2</v>
      </c>
      <c r="CA60" s="929">
        <f t="shared" si="47"/>
        <v>-5.6393567452907134E-2</v>
      </c>
      <c r="CB60" s="929">
        <f t="shared" si="47"/>
        <v>0.13415433240826391</v>
      </c>
      <c r="CC60" s="929">
        <f t="shared" si="47"/>
        <v>9.9306591766874508E-2</v>
      </c>
      <c r="CD60" s="929"/>
      <c r="CE60" s="929">
        <f t="shared" si="48"/>
        <v>8.2050816593960629E-2</v>
      </c>
      <c r="CF60" s="929">
        <f t="shared" si="48"/>
        <v>7.3261410469483979E-2</v>
      </c>
      <c r="CG60" s="929">
        <f t="shared" si="48"/>
        <v>-5.4299988105150354E-2</v>
      </c>
      <c r="CH60" s="929">
        <f t="shared" si="48"/>
        <v>-2.8065216697007456E-2</v>
      </c>
      <c r="CI60" s="929"/>
      <c r="CJ60" s="929">
        <f>(CJ15/CE15)-1</f>
        <v>-3.9791344465123557E-2</v>
      </c>
      <c r="CK60" s="929">
        <f t="shared" si="49"/>
        <v>-2.1178134426552364E-2</v>
      </c>
      <c r="CL60" s="929">
        <f t="shared" si="49"/>
        <v>1.9369850952770218E-2</v>
      </c>
      <c r="CM60" s="929">
        <f t="shared" si="49"/>
        <v>1.9765216176917511E-2</v>
      </c>
      <c r="CN60" s="929"/>
      <c r="CO60" s="929">
        <f>(CO15/CJ15)-1</f>
        <v>4.3219158079768283E-2</v>
      </c>
      <c r="CP60" s="929">
        <f t="shared" si="50"/>
        <v>3.0309105402284153E-2</v>
      </c>
      <c r="CQ60" s="929">
        <f t="shared" si="51"/>
        <v>2.0376303611221447E-2</v>
      </c>
      <c r="CR60" s="929">
        <f t="shared" si="52"/>
        <v>3.0836571535022506E-2</v>
      </c>
      <c r="CS60" s="929"/>
      <c r="CT60" s="594"/>
      <c r="CU60" s="594"/>
      <c r="CV60" s="594"/>
      <c r="CW60" s="594"/>
      <c r="CX60" s="594"/>
      <c r="CY60" s="594"/>
      <c r="CZ60" s="594"/>
      <c r="DA60" s="594"/>
      <c r="DB60" s="930"/>
      <c r="DC60" s="594"/>
      <c r="DD60" s="594"/>
      <c r="DE60" s="930">
        <f>((DE15/DD15)-1)</f>
        <v>0.26049502676536584</v>
      </c>
      <c r="DF60" s="594">
        <f t="shared" ref="DF60:DO60" si="55">((DF15/DE15)-1)</f>
        <v>5.6178326451551408E-2</v>
      </c>
      <c r="DG60" s="594">
        <f t="shared" si="55"/>
        <v>7.55560273899889E-2</v>
      </c>
      <c r="DH60" s="594">
        <f t="shared" si="55"/>
        <v>-0.12826713518635502</v>
      </c>
      <c r="DI60" s="930">
        <f t="shared" si="55"/>
        <v>0.13456073009726355</v>
      </c>
      <c r="DJ60" s="930">
        <f t="shared" si="55"/>
        <v>6.5660522350076134E-2</v>
      </c>
      <c r="DK60" s="594">
        <f t="shared" si="55"/>
        <v>0.10948185642944264</v>
      </c>
      <c r="DL60" s="594">
        <f t="shared" si="55"/>
        <v>-5.1552809448744963E-3</v>
      </c>
      <c r="DM60" s="594">
        <f t="shared" si="55"/>
        <v>-6.1596385542168619E-2</v>
      </c>
      <c r="DN60" s="594">
        <f t="shared" si="55"/>
        <v>2.3513961315638765E-2</v>
      </c>
      <c r="DO60" s="594">
        <f t="shared" si="55"/>
        <v>1.4130629703474229E-2</v>
      </c>
      <c r="DP60" s="594">
        <f t="shared" si="54"/>
        <v>-5.1349950566418334E-3</v>
      </c>
      <c r="DQ60" s="594">
        <f t="shared" si="54"/>
        <v>3.10909826681669E-2</v>
      </c>
      <c r="DR60" s="594">
        <f t="shared" si="54"/>
        <v>1.3790550259505041E-2</v>
      </c>
      <c r="DS60" s="931">
        <f t="shared" si="54"/>
        <v>-8.2588058941356346E-3</v>
      </c>
    </row>
    <row r="61" spans="1:123">
      <c r="A61" s="906" t="s">
        <v>307</v>
      </c>
      <c r="B61" s="907"/>
      <c r="C61" s="923">
        <f>'qtrP&amp;L'!$Z80/100</f>
        <v>1.2288422477995939</v>
      </c>
      <c r="D61" s="926">
        <f>'qtrP&amp;L'!$Z81/100</f>
        <v>0.7703825008772951</v>
      </c>
      <c r="E61" s="923">
        <f>'qtrP&amp;L'!$Z82/100</f>
        <v>0.55481450604418581</v>
      </c>
      <c r="F61" s="923">
        <f>'qtrP&amp;L'!$Z83/100</f>
        <v>0.26942008142761686</v>
      </c>
      <c r="G61" s="916"/>
      <c r="H61" s="917">
        <f>((H20/C20)-1)</f>
        <v>6.2141989237979312E-2</v>
      </c>
      <c r="I61" s="917">
        <f>((I20/D20)-1)</f>
        <v>0.11988767756855001</v>
      </c>
      <c r="J61" s="917">
        <f>((J20/E20)-1)</f>
        <v>0.12258318877148744</v>
      </c>
      <c r="K61" s="917">
        <f>((K20/F20)-1)</f>
        <v>-9.9409605872028406E-3</v>
      </c>
      <c r="L61" s="917"/>
      <c r="M61" s="917">
        <f>+'qtrP&amp;L'!$AL80/100</f>
        <v>0.13941303059601262</v>
      </c>
      <c r="N61" s="917">
        <f>+'qtrP&amp;L'!$AL81/100</f>
        <v>0.22592036063110377</v>
      </c>
      <c r="O61" s="917">
        <f>+'qtrP&amp;L'!$AL82/100</f>
        <v>6.5719686283360446E-2</v>
      </c>
      <c r="P61" s="917">
        <f>+'qtrP&amp;L'!$AL83/100</f>
        <v>0.17226011682079423</v>
      </c>
      <c r="Q61" s="917"/>
      <c r="R61" s="917">
        <f>((R20/M20)-1)</f>
        <v>0.10842252210330439</v>
      </c>
      <c r="S61" s="917">
        <f>((S20/N20)-1)</f>
        <v>0.12330698044983879</v>
      </c>
      <c r="T61" s="917">
        <f>((T20/O20)-1)</f>
        <v>6.4062686132545066E-2</v>
      </c>
      <c r="U61" s="917">
        <f>((U20/P20)-1)</f>
        <v>2.393827004863347E-2</v>
      </c>
      <c r="V61" s="917"/>
      <c r="W61" s="917">
        <f>((W20/R20)-1)</f>
        <v>0.15140514644144898</v>
      </c>
      <c r="X61" s="917">
        <f>((X20/S20)-1)</f>
        <v>0.24936803244403238</v>
      </c>
      <c r="Y61" s="917">
        <f>((Y20/T20)-1)</f>
        <v>0.18002015150949946</v>
      </c>
      <c r="Z61" s="917">
        <f>((Z20/U20)-1)</f>
        <v>7.4704041366172369E-2</v>
      </c>
      <c r="AA61" s="917"/>
      <c r="AB61" s="917">
        <f>((AB20/W20)-1)</f>
        <v>0.45593565683645942</v>
      </c>
      <c r="AC61" s="917">
        <f>((AC20/X20)-1)</f>
        <v>0.30539018035196897</v>
      </c>
      <c r="AD61" s="917">
        <f>((AD20/Y20)-1)</f>
        <v>0.34926156668036956</v>
      </c>
      <c r="AE61" s="917">
        <f>((AE20/Z20)-1)</f>
        <v>0.59863859446032142</v>
      </c>
      <c r="AF61" s="917"/>
      <c r="AG61" s="917">
        <f>((AG20/AB20)-1)</f>
        <v>0.20595730889913622</v>
      </c>
      <c r="AH61" s="917">
        <f>((AH20/AC20)-1)</f>
        <v>0.10866535086252083</v>
      </c>
      <c r="AI61" s="917">
        <f>((AI20/AD20)-1)</f>
        <v>0.27016680339075694</v>
      </c>
      <c r="AJ61" s="917">
        <f>((AJ20/AE20)-1)</f>
        <v>0.14744651080344062</v>
      </c>
      <c r="AK61" s="917"/>
      <c r="AL61" s="917">
        <f>((AL20/AG20)-1)</f>
        <v>8.5409948206782271E-2</v>
      </c>
      <c r="AM61" s="917">
        <f>((AM20/AH20)-1)</f>
        <v>0.21279570325072461</v>
      </c>
      <c r="AN61" s="917">
        <f>((AN20/AI20)-1)</f>
        <v>0.13964016607719509</v>
      </c>
      <c r="AO61" s="917">
        <f>((AO20/AJ20)-1)</f>
        <v>9.7971351752881075E-2</v>
      </c>
      <c r="AP61" s="917"/>
      <c r="AQ61" s="917">
        <f>((AQ20/AL20)-1)</f>
        <v>8.0332222922481655E-2</v>
      </c>
      <c r="AR61" s="917">
        <f>((AR20/AM20)-1)</f>
        <v>9.5495973660858491E-2</v>
      </c>
      <c r="AS61" s="917">
        <f>((AS20/AN20)-1)</f>
        <v>-0.40615402883250429</v>
      </c>
      <c r="AT61" s="917">
        <f>((AT20/AO20)-1)</f>
        <v>-0.54686887253067695</v>
      </c>
      <c r="AU61" s="917"/>
      <c r="AV61" s="948" t="s">
        <v>444</v>
      </c>
      <c r="AW61" s="917">
        <f>((AW20/AR20)-1)</f>
        <v>-0.9579623909883721</v>
      </c>
      <c r="AX61" s="917">
        <f>((AX20/AS20)-1)</f>
        <v>-0.58320760547507033</v>
      </c>
      <c r="AY61" s="917">
        <f>((AY20/AT20)-1)</f>
        <v>-0.19818587812483512</v>
      </c>
      <c r="AZ61" s="916"/>
      <c r="BA61" s="917">
        <f>((BA20/AV20)-1)</f>
        <v>-0.44249069681561004</v>
      </c>
      <c r="BB61" s="917">
        <f>((BB20/AW20)-1)</f>
        <v>4.0171078696200198</v>
      </c>
      <c r="BC61" s="917">
        <f>((BC20/AX20)-1)</f>
        <v>0.67222731039295547</v>
      </c>
      <c r="BD61" s="917">
        <f>((BD20/AY20)-1)</f>
        <v>0.57830253194802572</v>
      </c>
      <c r="BE61" s="916"/>
      <c r="BF61" s="917" t="s">
        <v>444</v>
      </c>
      <c r="BG61" s="917">
        <f>((BG20/BB20)-1)</f>
        <v>0.54849246231156301</v>
      </c>
      <c r="BH61" s="917">
        <f>((BH20/BC20)-1)</f>
        <v>0.13095129425572027</v>
      </c>
      <c r="BI61" s="918">
        <f>((BI20/BD20)-1)</f>
        <v>-1.9383264511344533E-2</v>
      </c>
      <c r="BJ61" s="919"/>
      <c r="BK61" s="917">
        <f>((BK20/BF20)-1)</f>
        <v>-2.6785029812606429</v>
      </c>
      <c r="BL61" s="917">
        <f>((BL20/BG20)-1)</f>
        <v>-0.46517234185577405</v>
      </c>
      <c r="BM61" s="917">
        <f>((BM20/BH20)-1)</f>
        <v>0.52421967783965728</v>
      </c>
      <c r="BN61" s="918">
        <f>((BN20/BI20)-1)</f>
        <v>0.27001660952705286</v>
      </c>
      <c r="BO61" s="918"/>
      <c r="BP61" s="918">
        <f>((BP20/BK20)-1)</f>
        <v>-0.5584699800183941</v>
      </c>
      <c r="BQ61" s="918">
        <f>((BQ20/BL20)-1)</f>
        <v>-0.24894898799463094</v>
      </c>
      <c r="BR61" s="918">
        <f>((BR20/BM20)-1)</f>
        <v>-0.61685742599723081</v>
      </c>
      <c r="BS61" s="918">
        <f>((BS20/BN20)-1)</f>
        <v>-0.38563494225892336</v>
      </c>
      <c r="BT61" s="918"/>
      <c r="BU61" s="917">
        <f>((BU20/BP20)-1)</f>
        <v>0.40025860211191611</v>
      </c>
      <c r="BV61" s="917">
        <f>((BV20/BQ20)-1)</f>
        <v>1.4830630734610439E-2</v>
      </c>
      <c r="BW61" s="917">
        <f>((BW20/BR20)-1)</f>
        <v>2.8668456799873621E-2</v>
      </c>
      <c r="BX61" s="918">
        <f>((BX20/BS20)-1)</f>
        <v>-0.13829946918111813</v>
      </c>
      <c r="BY61" s="918"/>
      <c r="BZ61" s="917">
        <f>((BZ20/BU20)-1)</f>
        <v>1.7860565331144418</v>
      </c>
      <c r="CA61" s="917">
        <f>((CA20/BV20)-1)</f>
        <v>-0.12720345729557725</v>
      </c>
      <c r="CB61" s="917">
        <f>((CB20/BW20)-1)</f>
        <v>-9.487523992322533E-2</v>
      </c>
      <c r="CC61" s="918">
        <f>((CC20/BX20)-1)</f>
        <v>-5.270158991575391E-2</v>
      </c>
      <c r="CD61" s="918"/>
      <c r="CE61" s="917">
        <f>((CE20/BZ20)-1)</f>
        <v>6.5098345381764622E-2</v>
      </c>
      <c r="CF61" s="917">
        <f>((CF20/CA20)-1)</f>
        <v>-2.1420287966642784</v>
      </c>
      <c r="CG61" s="917">
        <f>((CG20/CB20)-1)</f>
        <v>-0.72807854613312895</v>
      </c>
      <c r="CH61" s="918">
        <f>((CH20/CC20)-1)</f>
        <v>-0.56634904714142509</v>
      </c>
      <c r="CI61" s="918"/>
      <c r="CJ61" s="917">
        <f>((CJ20/CE20)-1)</f>
        <v>0.22565866814189661</v>
      </c>
      <c r="CK61" s="917">
        <f>((CK20/CF20)-1)</f>
        <v>1.277882366364258E-2</v>
      </c>
      <c r="CL61" s="917">
        <f>((CL20/CG20)-1)</f>
        <v>1.9025968962021218</v>
      </c>
      <c r="CM61" s="918">
        <f>((CM20/CH20)-1)</f>
        <v>1.6213908484638231</v>
      </c>
      <c r="CN61" s="918"/>
      <c r="CO61" s="917">
        <f>((CO20/CJ20)-1)</f>
        <v>-0.1421860005359169</v>
      </c>
      <c r="CP61" s="917">
        <f>((CP20/CK20)-1)</f>
        <v>-1.0749942221947841</v>
      </c>
      <c r="CQ61" s="917">
        <f>((CQ20/CL20)-1)</f>
        <v>-9.468843886512468E-2</v>
      </c>
      <c r="CR61" s="918">
        <f>((CR20/CM20)-1)</f>
        <v>-0.39456230423593619</v>
      </c>
      <c r="CS61" s="918"/>
      <c r="CT61" s="946">
        <f>CT20/'yrP&amp;L'!B30-1</f>
        <v>0.73063777179841138</v>
      </c>
      <c r="CU61" s="946">
        <f>CU20/'yrP&amp;L'!C30-1</f>
        <v>0.93264139843684535</v>
      </c>
      <c r="CV61" s="946">
        <f>CV20/'yrP&amp;L'!D30-1</f>
        <v>0.82908268649576988</v>
      </c>
      <c r="CW61" s="946">
        <f>CW20/'yrP&amp;L'!E30-1</f>
        <v>0.98464190193164991</v>
      </c>
      <c r="CX61" s="920">
        <f t="shared" ref="CX61:DD61" si="56">((CX20/CW20)-1)</f>
        <v>0.44984966278944327</v>
      </c>
      <c r="CY61" s="920">
        <f t="shared" si="56"/>
        <v>4.7871637252958177E-2</v>
      </c>
      <c r="CZ61" s="920">
        <f t="shared" si="56"/>
        <v>7.0198539731600729E-2</v>
      </c>
      <c r="DA61" s="920">
        <f t="shared" si="56"/>
        <v>0.14845022066028557</v>
      </c>
      <c r="DB61" s="921">
        <f t="shared" si="56"/>
        <v>5.9164859697971028E-2</v>
      </c>
      <c r="DC61" s="920">
        <f t="shared" si="56"/>
        <v>0.13883664798107676</v>
      </c>
      <c r="DD61" s="920">
        <f t="shared" si="56"/>
        <v>0.52187105266656975</v>
      </c>
      <c r="DE61" s="921">
        <f t="shared" ref="DE61:DN61" si="57">((DE20/DD20)-1)</f>
        <v>0.20219398488883233</v>
      </c>
      <c r="DF61" s="920">
        <f t="shared" si="57"/>
        <v>0.11511818210887736</v>
      </c>
      <c r="DG61" s="920">
        <f t="shared" si="57"/>
        <v>-0.35678069050374883</v>
      </c>
      <c r="DH61" s="920">
        <f t="shared" si="57"/>
        <v>-0.72121228086884448</v>
      </c>
      <c r="DI61" s="921">
        <f t="shared" si="57"/>
        <v>0.75699426502976341</v>
      </c>
      <c r="DJ61" s="921">
        <f t="shared" si="57"/>
        <v>0.3920785034047396</v>
      </c>
      <c r="DK61" s="920">
        <f t="shared" si="57"/>
        <v>7.6684418239742813E-2</v>
      </c>
      <c r="DL61" s="920">
        <f t="shared" si="57"/>
        <v>-0.44625448523323352</v>
      </c>
      <c r="DM61" s="920">
        <f t="shared" si="57"/>
        <v>-0.12029089531556769</v>
      </c>
      <c r="DN61" s="920">
        <f t="shared" si="57"/>
        <v>-0.27566363909365277</v>
      </c>
      <c r="DO61" s="920">
        <f>((DO20/DN20)-1)</f>
        <v>-1.0834497572697825</v>
      </c>
      <c r="DP61" s="2221" t="s">
        <v>444</v>
      </c>
      <c r="DQ61" s="920">
        <f>((DQ20/DP20)-1)</f>
        <v>-0.33132356013079289</v>
      </c>
      <c r="DR61" s="920">
        <f>((DR20/DQ20)-1)</f>
        <v>-8.3752631755332319E-2</v>
      </c>
      <c r="DS61" s="922">
        <f>((DS20/DR20)-1)</f>
        <v>-9.2710535161698249E-2</v>
      </c>
    </row>
    <row r="62" spans="1:123">
      <c r="A62" s="906" t="s">
        <v>308</v>
      </c>
      <c r="B62" s="907"/>
      <c r="C62" s="923">
        <f>'qtrP&amp;L'!$Y150/100</f>
        <v>1.2908889996238466</v>
      </c>
      <c r="D62" s="926">
        <f>'qtrP&amp;L'!$Y151/100</f>
        <v>0.74041677978492548</v>
      </c>
      <c r="E62" s="923">
        <f>'qtrP&amp;L'!$Y152/100</f>
        <v>0.54429976044874873</v>
      </c>
      <c r="F62" s="923">
        <f>'qtrP&amp;L'!$Y153/100</f>
        <v>0.2966960363752964</v>
      </c>
      <c r="G62" s="916"/>
      <c r="H62" s="917">
        <f>((H36/C36)-1)</f>
        <v>0.13010414199860931</v>
      </c>
      <c r="I62" s="917">
        <f>((I36/D36)-1)</f>
        <v>0.19844298847083652</v>
      </c>
      <c r="J62" s="917">
        <f>((J36/E36)-1)</f>
        <v>0.18232743283136066</v>
      </c>
      <c r="K62" s="917">
        <f>((K36/F36)-1)</f>
        <v>4.8119271977347777E-2</v>
      </c>
      <c r="L62" s="917"/>
      <c r="M62" s="917">
        <f>+'qtrP&amp;L'!$AK150/100</f>
        <v>0.12968000869923557</v>
      </c>
      <c r="N62" s="917">
        <f>+'qtrP&amp;L'!$AK151/100</f>
        <v>0.26237552517964913</v>
      </c>
      <c r="O62" s="917">
        <f>+'qtrP&amp;L'!$AK152/100</f>
        <v>0.10077919028185001</v>
      </c>
      <c r="P62" s="917">
        <f>+'qtrP&amp;L'!$AK153/100</f>
        <v>0.20657593555565021</v>
      </c>
      <c r="Q62" s="917"/>
      <c r="R62" s="917">
        <f>((R32/M36)-1)</f>
        <v>0.14066852610143332</v>
      </c>
      <c r="S62" s="917">
        <f>((S32/N36)-1)</f>
        <v>0.13378523022179434</v>
      </c>
      <c r="T62" s="917">
        <f>((T32/O36)-1)</f>
        <v>6.1594308453385427E-2</v>
      </c>
      <c r="U62" s="917">
        <f>((U32/P36)-1)</f>
        <v>2.3513587322413709E-2</v>
      </c>
      <c r="V62" s="917"/>
      <c r="W62" s="917">
        <f>((W32/R32)-1)</f>
        <v>0.17636411351142134</v>
      </c>
      <c r="X62" s="917">
        <f>((X32/S32)-1)</f>
        <v>0.27799481181354779</v>
      </c>
      <c r="Y62" s="917">
        <f>((Y32/T32)-1)</f>
        <v>0.26600152349751327</v>
      </c>
      <c r="Z62" s="917">
        <f>((Z32/U32)-1)</f>
        <v>0.14476772824032769</v>
      </c>
      <c r="AA62" s="917"/>
      <c r="AB62" s="917">
        <f>((AB32/W32)-1)</f>
        <v>0.47499691915565401</v>
      </c>
      <c r="AC62" s="917">
        <f>((AC32/X32)-1)</f>
        <v>0.39449140794897164</v>
      </c>
      <c r="AD62" s="917">
        <f>((AD32/Y32)-1)</f>
        <v>0.36477316982612473</v>
      </c>
      <c r="AE62" s="917">
        <f>((AE32/Z32)-1)</f>
        <v>0.61441594428627067</v>
      </c>
      <c r="AF62" s="917"/>
      <c r="AG62" s="917">
        <f>((AG32/AB32)-1)</f>
        <v>0.38411782508040582</v>
      </c>
      <c r="AH62" s="917">
        <f>((AH32/AC32)-1)</f>
        <v>0.17791191005602602</v>
      </c>
      <c r="AI62" s="917">
        <f>((AI32/AD32)-1)</f>
        <v>0.27666359624037762</v>
      </c>
      <c r="AJ62" s="917">
        <f>((AJ32/AE32)-1)</f>
        <v>0.20416302494932093</v>
      </c>
      <c r="AK62" s="917"/>
      <c r="AL62" s="917">
        <f>((AL32/AG32)-1)</f>
        <v>5.7126536591235011E-2</v>
      </c>
      <c r="AM62" s="917">
        <f>((AM32/AH32)-1)</f>
        <v>0.22169501040527262</v>
      </c>
      <c r="AN62" s="917">
        <f>((AN32/AI32)-1)</f>
        <v>0.16525399573687083</v>
      </c>
      <c r="AO62" s="917">
        <f>((AO32/AJ32)-1)</f>
        <v>0.12199166775625336</v>
      </c>
      <c r="AP62" s="917"/>
      <c r="AQ62" s="917">
        <f>((AQ32/AL32)-1)</f>
        <v>0.14470699196303349</v>
      </c>
      <c r="AR62" s="917">
        <f>((AR32/AM32)-1)</f>
        <v>5.0676406688305864E-2</v>
      </c>
      <c r="AS62" s="917">
        <f>((AS32/AN32)-1)</f>
        <v>-0.39132977255213086</v>
      </c>
      <c r="AT62" s="917">
        <f>((AT32/AO32)-1)</f>
        <v>-0.58482029958042459</v>
      </c>
      <c r="AU62" s="917"/>
      <c r="AV62" s="948" t="s">
        <v>444</v>
      </c>
      <c r="AW62" s="917">
        <f>((AW32/AR32)-1)</f>
        <v>-1.1007405394063698</v>
      </c>
      <c r="AX62" s="917">
        <f>((AX32/AS32)-1)</f>
        <v>-0.29361855630189182</v>
      </c>
      <c r="AY62" s="917">
        <f>((AY32/AT32)-1)</f>
        <v>-8.9223381376081989E-2</v>
      </c>
      <c r="AZ62" s="916"/>
      <c r="BA62" s="917" t="s">
        <v>444</v>
      </c>
      <c r="BB62" s="917" t="s">
        <v>444</v>
      </c>
      <c r="BC62" s="917">
        <f>((BC32/AX32)-1)</f>
        <v>1.4848004756078392E-3</v>
      </c>
      <c r="BD62" s="917">
        <f>((BD32/AY32)-1)</f>
        <v>0.51377844567213971</v>
      </c>
      <c r="BE62" s="916"/>
      <c r="BF62" s="917" t="s">
        <v>444</v>
      </c>
      <c r="BG62" s="917">
        <f>((BG32/BB32)-1)</f>
        <v>0.298798645095393</v>
      </c>
      <c r="BH62" s="917">
        <f>((BH32/BC32)-1)</f>
        <v>0.13953197792685934</v>
      </c>
      <c r="BI62" s="918">
        <f>((BI32/BD32)-1)</f>
        <v>3.3580075433928602E-2</v>
      </c>
      <c r="BJ62" s="919"/>
      <c r="BK62" s="917">
        <f>((BK32/BF32)-1)</f>
        <v>-2.746804122907204</v>
      </c>
      <c r="BL62" s="917">
        <f>((BL32/BG32)-1)</f>
        <v>-0.33870153100303102</v>
      </c>
      <c r="BM62" s="917">
        <f>((BM32/BH32)-1)</f>
        <v>0.60852253771123954</v>
      </c>
      <c r="BN62" s="918">
        <f>((BN32/BI32)-1)</f>
        <v>0.41344348282877719</v>
      </c>
      <c r="BO62" s="918"/>
      <c r="BP62" s="918">
        <f>((BP32/BK32)-1)</f>
        <v>-0.67022999475721101</v>
      </c>
      <c r="BQ62" s="918">
        <f>((BQ32/BL32)-1)</f>
        <v>-0.19650829713823337</v>
      </c>
      <c r="BR62" s="918">
        <f>((BR32/BM32)-1)</f>
        <v>-0.4861704740232613</v>
      </c>
      <c r="BS62" s="918">
        <f>((BS32/BN32)-1)</f>
        <v>-0.33085746070841227</v>
      </c>
      <c r="BT62" s="918"/>
      <c r="BU62" s="917" t="s">
        <v>444</v>
      </c>
      <c r="BV62" s="917">
        <f>((BV32/BQ32)-1)</f>
        <v>0.16117583000521152</v>
      </c>
      <c r="BW62" s="917">
        <f>((BW32/BR32)-1)</f>
        <v>-0.19436056283751035</v>
      </c>
      <c r="BX62" s="918">
        <f>((BX32/BS32)-1)</f>
        <v>-0.14265208374806537</v>
      </c>
      <c r="BY62" s="918"/>
      <c r="BZ62" s="917" t="s">
        <v>444</v>
      </c>
      <c r="CA62" s="917">
        <f>((CA32/BV32)-1)</f>
        <v>-0.3566958626300798</v>
      </c>
      <c r="CB62" s="917">
        <f>((CB32/BW32)-1)</f>
        <v>0.12732985301795785</v>
      </c>
      <c r="CC62" s="918">
        <f>((CC32/BX32)-1)</f>
        <v>-6.2770597088327329E-2</v>
      </c>
      <c r="CD62" s="918"/>
      <c r="CE62" s="917" t="s">
        <v>444</v>
      </c>
      <c r="CF62" s="917">
        <f>((CF32/CA32)-1)</f>
        <v>-3.0169672467405415</v>
      </c>
      <c r="CG62" s="917">
        <f>((CG32/CB32)-1)</f>
        <v>-0.9567917005441986</v>
      </c>
      <c r="CH62" s="918">
        <f>((CH32/CC32)-1)</f>
        <v>-0.3096822960892156</v>
      </c>
      <c r="CI62" s="918"/>
      <c r="CJ62" s="917">
        <f>((CJ32/CE32)-1)</f>
        <v>0.54833510490251292</v>
      </c>
      <c r="CK62" s="917">
        <f>((CK32/CF32)-1)</f>
        <v>-0.35245225663422264</v>
      </c>
      <c r="CL62" s="917">
        <f>((CL32/CG32)-1)</f>
        <v>13.57750100610215</v>
      </c>
      <c r="CM62" s="918">
        <f>((CM32/CH32)-1)</f>
        <v>0.85222595874681373</v>
      </c>
      <c r="CN62" s="918"/>
      <c r="CO62" s="917">
        <f>((CO32/CJ32)-1)</f>
        <v>-0.10100309485926018</v>
      </c>
      <c r="CP62" s="917">
        <f>((CP32/CK32)-1)</f>
        <v>-0.8888064378296755</v>
      </c>
      <c r="CQ62" s="917">
        <f>((CQ32/CL32)-1)</f>
        <v>4.8289264350662053E-2</v>
      </c>
      <c r="CR62" s="918">
        <f>((CR32/CM32)-1)</f>
        <v>-0.41387941176977983</v>
      </c>
      <c r="CS62" s="918"/>
      <c r="CT62" s="946">
        <f>CT32/'yrP&amp;L'!B50-1</f>
        <v>1.1340815121086729</v>
      </c>
      <c r="CU62" s="946">
        <f>CU32/'yrP&amp;L'!C50-1</f>
        <v>1.2674600977950043</v>
      </c>
      <c r="CV62" s="946">
        <f>CV32/'yrP&amp;L'!D50-1</f>
        <v>0.94980020808286336</v>
      </c>
      <c r="CW62" s="946">
        <f>CW32/'yrP&amp;L'!E50-1</f>
        <v>1.0475670833174147</v>
      </c>
      <c r="CX62" s="920">
        <f t="shared" ref="CX62:DE62" si="58">((CX32/CW32)-1)</f>
        <v>0.44619399863955134</v>
      </c>
      <c r="CY62" s="920">
        <f t="shared" si="58"/>
        <v>0.11378328697822782</v>
      </c>
      <c r="CZ62" s="920">
        <f t="shared" si="58"/>
        <v>6.2817806151421962E-2</v>
      </c>
      <c r="DA62" s="920">
        <f t="shared" si="58"/>
        <v>0.17635159395212119</v>
      </c>
      <c r="DB62" s="921">
        <f t="shared" si="58"/>
        <v>6.2837441288866147E-2</v>
      </c>
      <c r="DC62" s="920">
        <f t="shared" si="58"/>
        <v>0.21181494045291083</v>
      </c>
      <c r="DD62" s="920">
        <f t="shared" si="58"/>
        <v>0.5629419667570883</v>
      </c>
      <c r="DE62" s="921">
        <f t="shared" si="58"/>
        <v>0.24568770378024651</v>
      </c>
      <c r="DF62" s="920">
        <f t="shared" ref="DF62:DN62" si="59">((DF36/DE32)-1)</f>
        <v>7.0993259592441627E-2</v>
      </c>
      <c r="DG62" s="920">
        <f t="shared" si="59"/>
        <v>-0.43063279265182863</v>
      </c>
      <c r="DH62" s="920">
        <f t="shared" si="59"/>
        <v>-0.68185652651187478</v>
      </c>
      <c r="DI62" s="921">
        <f t="shared" si="59"/>
        <v>0.87822694067499962</v>
      </c>
      <c r="DJ62" s="921">
        <f t="shared" si="59"/>
        <v>0.18346532528257486</v>
      </c>
      <c r="DK62" s="920">
        <f t="shared" si="59"/>
        <v>0.17110689311383576</v>
      </c>
      <c r="DL62" s="920">
        <f t="shared" si="59"/>
        <v>-0.34099725373015322</v>
      </c>
      <c r="DM62" s="920">
        <f t="shared" si="59"/>
        <v>-0.19543497919417374</v>
      </c>
      <c r="DN62" s="920">
        <f t="shared" si="59"/>
        <v>-0.24211033213706101</v>
      </c>
      <c r="DO62" s="920">
        <f>((DO36/DN32)-1)</f>
        <v>-1.0040121074168469</v>
      </c>
      <c r="DP62" s="2221" t="s">
        <v>444</v>
      </c>
      <c r="DQ62" s="920">
        <f>((DQ36/DP32)-1)</f>
        <v>-0.53590907700577484</v>
      </c>
      <c r="DR62" s="920">
        <f>((DR36/DQ32)-1)</f>
        <v>0.58135923967970826</v>
      </c>
      <c r="DS62" s="922">
        <f>((DS36/DR32)-1)</f>
        <v>-9.874583235991885E-3</v>
      </c>
    </row>
    <row r="63" spans="1:123">
      <c r="A63" s="895" t="s">
        <v>274</v>
      </c>
      <c r="B63" s="908"/>
      <c r="C63" s="949">
        <f>C41/('qtrP&amp;L'!$T70+'qtrP&amp;L'!$T80)-1</f>
        <v>0.95260877998318993</v>
      </c>
      <c r="D63" s="949">
        <f>D41/('qtrP&amp;L'!$T71+'qtrP&amp;L'!$T81)-1</f>
        <v>0.69628683514277889</v>
      </c>
      <c r="E63" s="949">
        <f>E41/('qtrP&amp;L'!$T72+'qtrP&amp;L'!$T82)-1</f>
        <v>0.54633094158559725</v>
      </c>
      <c r="F63" s="949">
        <f>F41/('qtrP&amp;L'!$T73+'qtrP&amp;L'!$T83)-1</f>
        <v>0.25752514726734654</v>
      </c>
      <c r="G63" s="919"/>
      <c r="H63" s="918">
        <f>((H41/C41)-1)</f>
        <v>4.7283202542961922E-2</v>
      </c>
      <c r="I63" s="918">
        <f>((I41/D41)-1)</f>
        <v>8.6699295433765755E-2</v>
      </c>
      <c r="J63" s="918">
        <f>((J41/E41)-1)</f>
        <v>0.11920690047825122</v>
      </c>
      <c r="K63" s="918">
        <f>((K41/F41)-1)</f>
        <v>1.1888725764707564E-2</v>
      </c>
      <c r="L63" s="918"/>
      <c r="M63" s="918">
        <f>(M41/('qtrP&amp;L'!$AF80+'qtrP&amp;L'!$AF70)-1)</f>
        <v>0.19789422135161483</v>
      </c>
      <c r="N63" s="918">
        <f>(N41/('qtrP&amp;L'!$AF81+'qtrP&amp;L'!$AF71)-1)</f>
        <v>0.25107347806894276</v>
      </c>
      <c r="O63" s="918">
        <f>(O41/('qtrP&amp;L'!$AF82+'qtrP&amp;L'!$AF72)-1)</f>
        <v>0.10623687087699474</v>
      </c>
      <c r="P63" s="918">
        <f>(P41/('qtrP&amp;L'!$AF83+'qtrP&amp;L'!$AF73)-1)</f>
        <v>0.1842213872996894</v>
      </c>
      <c r="Q63" s="918"/>
      <c r="R63" s="918">
        <f>((R41/M41)-1)</f>
        <v>0.26061894444217382</v>
      </c>
      <c r="S63" s="918">
        <f>((S41/N41)-1)</f>
        <v>0.21978797453128363</v>
      </c>
      <c r="T63" s="918">
        <f>((T41/O41)-1)</f>
        <v>0.13963198631886287</v>
      </c>
      <c r="U63" s="918">
        <f>((U41/P41)-1)</f>
        <v>7.7916849436069358E-2</v>
      </c>
      <c r="V63" s="918"/>
      <c r="W63" s="918">
        <f>((W41/R41)-1)</f>
        <v>0.18742703333765776</v>
      </c>
      <c r="X63" s="918">
        <f>((X41/S41)-1)</f>
        <v>0.23104332391032822</v>
      </c>
      <c r="Y63" s="918">
        <f>((Y41/T41)-1)</f>
        <v>0.17240438489646936</v>
      </c>
      <c r="Z63" s="918">
        <f>((Z41/U41)-1)</f>
        <v>8.526211340780887E-2</v>
      </c>
      <c r="AA63" s="918"/>
      <c r="AB63" s="918">
        <f>((AB41/W41)-1)</f>
        <v>0.33723423140473208</v>
      </c>
      <c r="AC63" s="918">
        <f>((AC41/X41)-1)</f>
        <v>0.28342251700898169</v>
      </c>
      <c r="AD63" s="918">
        <f>((AD41/Y41)-1)</f>
        <v>0.31595438753968552</v>
      </c>
      <c r="AE63" s="918">
        <f>((AE41/Z41)-1)</f>
        <v>0.53319498877662674</v>
      </c>
      <c r="AF63" s="918"/>
      <c r="AG63" s="918">
        <f>((AG41/AB41)-1)</f>
        <v>0.17527341795419105</v>
      </c>
      <c r="AH63" s="918">
        <f>((AH41/AC41)-1)</f>
        <v>0.10699632998510378</v>
      </c>
      <c r="AI63" s="918">
        <f>((AI41/AD41)-1)</f>
        <v>0.2677774058471698</v>
      </c>
      <c r="AJ63" s="918">
        <f>((AJ41/AE41)-1)</f>
        <v>0.15723297832066341</v>
      </c>
      <c r="AK63" s="918"/>
      <c r="AL63" s="918">
        <f>((AL41/AG41)-1)</f>
        <v>0.14054096323778587</v>
      </c>
      <c r="AM63" s="918">
        <f>((AM41/AH41)-1)</f>
        <v>0.24720342805593165</v>
      </c>
      <c r="AN63" s="918">
        <f>((AN41/AI41)-1)</f>
        <v>0.1542811025701063</v>
      </c>
      <c r="AO63" s="918">
        <f>((AO41/AJ41)-1)</f>
        <v>0.1105642712184336</v>
      </c>
      <c r="AP63" s="918"/>
      <c r="AQ63" s="918">
        <f>((AQ41/AL41)-1)</f>
        <v>-0.26870629104261545</v>
      </c>
      <c r="AR63" s="918">
        <f>((AR41/AM41)-1)</f>
        <v>-0.20377570025858494</v>
      </c>
      <c r="AS63" s="918">
        <f>((AS41/AN41)-1)</f>
        <v>-0.52513595166163096</v>
      </c>
      <c r="AT63" s="918">
        <f>((AT41/AO41)-1)</f>
        <v>-0.60541174630484118</v>
      </c>
      <c r="AU63" s="918"/>
      <c r="AV63" s="918" t="s">
        <v>444</v>
      </c>
      <c r="AW63" s="918">
        <f>((AW41/AR41)-1)</f>
        <v>-0.51347504844961245</v>
      </c>
      <c r="AX63" s="918">
        <f>((AX41/AS41)-1)</f>
        <v>-3.5137149401051615E-2</v>
      </c>
      <c r="AY63" s="918">
        <f>((AY41/AT41)-1)</f>
        <v>0.19858886951006838</v>
      </c>
      <c r="AZ63" s="919"/>
      <c r="BA63" s="918">
        <f>((BA41/AV41)-1)</f>
        <v>0.51640583500183235</v>
      </c>
      <c r="BB63" s="918">
        <f>((BB41/AW41)-1)</f>
        <v>0.29965145951328731</v>
      </c>
      <c r="BC63" s="918">
        <f>((BC41/AX41)-1)</f>
        <v>0.24376412961567562</v>
      </c>
      <c r="BD63" s="918">
        <f>((BD41/AY41)-1)</f>
        <v>0.39423903697334395</v>
      </c>
      <c r="BE63" s="919"/>
      <c r="BF63" s="918" t="s">
        <v>444</v>
      </c>
      <c r="BG63" s="918">
        <f>((BG41/BB41)-1)</f>
        <v>0.2250077820079992</v>
      </c>
      <c r="BH63" s="918">
        <f>((BH41/BC41)-1)</f>
        <v>8.983020039685452E-2</v>
      </c>
      <c r="BI63" s="918">
        <f>((BI41/BD41)-1)</f>
        <v>-2.2624666935488702E-2</v>
      </c>
      <c r="BJ63" s="919"/>
      <c r="BK63" s="950">
        <f>((BK41/BF41)-1)</f>
        <v>-0.69713954895923813</v>
      </c>
      <c r="BL63" s="950">
        <f>((BL41/BG41)-1)</f>
        <v>-0.23892689601250949</v>
      </c>
      <c r="BM63" s="950">
        <f>((BM41/BH41)-1)</f>
        <v>0.30897365513311392</v>
      </c>
      <c r="BN63" s="950">
        <f>((BN41/BI41)-1)</f>
        <v>0.2024948327677345</v>
      </c>
      <c r="BO63" s="918"/>
      <c r="BP63" s="950">
        <f>((BP41/BK41)-1)</f>
        <v>0.97836475801546419</v>
      </c>
      <c r="BQ63" s="950">
        <f>((BQ41/BL41)-1)</f>
        <v>3.9808405994357088E-3</v>
      </c>
      <c r="BR63" s="950">
        <f>((BR41/BM41)-1)</f>
        <v>-0.4110002123593115</v>
      </c>
      <c r="BS63" s="950">
        <f>((BS41/BN41)-1)</f>
        <v>-0.3232389486501579</v>
      </c>
      <c r="BT63" s="918"/>
      <c r="BU63" s="950">
        <f>((BU41/BP41)-1)</f>
        <v>-0.13470068953401582</v>
      </c>
      <c r="BV63" s="950">
        <f>((BV41/BQ41)-1)</f>
        <v>-9.3626491692557767E-3</v>
      </c>
      <c r="BW63" s="950">
        <f>((BW41/BR41)-1)</f>
        <v>-2.379578886645517E-2</v>
      </c>
      <c r="BX63" s="950">
        <f>((BX41/BS41)-1)</f>
        <v>-0.1165325526722556</v>
      </c>
      <c r="BY63" s="918"/>
      <c r="BZ63" s="950">
        <f>((BZ41/BU41)-1)</f>
        <v>-1.0258247893614851</v>
      </c>
      <c r="CA63" s="950">
        <f>((CA41/BV41)-1)</f>
        <v>-9.0818711185136847E-2</v>
      </c>
      <c r="CB63" s="950">
        <f>((CB41/BW41)-1)</f>
        <v>-8.4410548086866877E-2</v>
      </c>
      <c r="CC63" s="950">
        <f>((CC41/BX41)-1)</f>
        <v>-2.6975938250699105E-2</v>
      </c>
      <c r="CD63" s="950"/>
      <c r="CE63" s="950">
        <f>((CE41/BZ41)-1)</f>
        <v>5.857311320755044</v>
      </c>
      <c r="CF63" s="950">
        <f>((CF41/CA41)-1)</f>
        <v>-0.55212519704048713</v>
      </c>
      <c r="CG63" s="950">
        <f>((CG41/CB41)-1)</f>
        <v>-0.39940703091910179</v>
      </c>
      <c r="CH63" s="950">
        <f>((CH41/CC41)-1)</f>
        <v>-0.41817572099262323</v>
      </c>
      <c r="CI63" s="950"/>
      <c r="CJ63" s="950">
        <f>((CJ41/CE41)-1)</f>
        <v>2.1682430495843752</v>
      </c>
      <c r="CK63" s="950">
        <f>((CK41/CF41)-1)</f>
        <v>-8.1742659648677884E-2</v>
      </c>
      <c r="CL63" s="950">
        <f>((CL41/CG41)-1)</f>
        <v>0.47533413929746571</v>
      </c>
      <c r="CM63" s="950">
        <f>((CM41/CH41)-1)</f>
        <v>0.80863559574679589</v>
      </c>
      <c r="CN63" s="950"/>
      <c r="CO63" s="950">
        <f>((CO41/CJ41)-1)</f>
        <v>-0.28458299620024019</v>
      </c>
      <c r="CP63" s="950">
        <f>((CP41/CK41)-1)</f>
        <v>0.59984020810165695</v>
      </c>
      <c r="CQ63" s="950">
        <f>((CQ41/CL41)-1)</f>
        <v>-0.10435672559676712</v>
      </c>
      <c r="CR63" s="950">
        <f>((CR41/CM41)-1)</f>
        <v>-0.3003338245138818</v>
      </c>
      <c r="CS63" s="918"/>
      <c r="CT63" s="951" t="s">
        <v>444</v>
      </c>
      <c r="CU63" s="951">
        <f>CU41/('yrP&amp;L'!C30+flow!F11)-1</f>
        <v>0.62420901650870553</v>
      </c>
      <c r="CV63" s="951">
        <f>CV41/('yrP&amp;L'!D30+flow!G11)-1</f>
        <v>1.1843976257256523</v>
      </c>
      <c r="CW63" s="951">
        <f>CW41/('yrP&amp;L'!E30+flow!H11)-1</f>
        <v>0.87030567250938162</v>
      </c>
      <c r="CX63" s="952">
        <f t="shared" ref="CX63:DD63" si="60">((CX41/CW41)-1)</f>
        <v>0.4357597496593999</v>
      </c>
      <c r="CY63" s="952">
        <f t="shared" si="60"/>
        <v>5.4109754063421223E-2</v>
      </c>
      <c r="CZ63" s="952">
        <f t="shared" si="60"/>
        <v>9.9267537089066327E-2</v>
      </c>
      <c r="DA63" s="952">
        <f t="shared" si="60"/>
        <v>0.17635862871985442</v>
      </c>
      <c r="DB63" s="953">
        <f t="shared" si="60"/>
        <v>0.14138873404125296</v>
      </c>
      <c r="DC63" s="952">
        <f t="shared" si="60"/>
        <v>0.14799399628341248</v>
      </c>
      <c r="DD63" s="952">
        <f t="shared" si="60"/>
        <v>0.44543943352723581</v>
      </c>
      <c r="DE63" s="953">
        <f t="shared" ref="DE63:DN63" si="61">((DE41/DD41)-1)</f>
        <v>0.1976516802632593</v>
      </c>
      <c r="DF63" s="952">
        <f t="shared" si="61"/>
        <v>0.13997520865251634</v>
      </c>
      <c r="DG63" s="952">
        <f t="shared" si="61"/>
        <v>-0.2440857523839971</v>
      </c>
      <c r="DH63" s="952">
        <f t="shared" si="61"/>
        <v>-0.47646062906136055</v>
      </c>
      <c r="DI63" s="953">
        <f t="shared" si="61"/>
        <v>0.25123229939760083</v>
      </c>
      <c r="DJ63" s="953">
        <f t="shared" si="61"/>
        <v>0.20934855322537915</v>
      </c>
      <c r="DK63" s="952">
        <f t="shared" si="61"/>
        <v>3.0016577341023476E-2</v>
      </c>
      <c r="DL63" s="952">
        <f t="shared" si="61"/>
        <v>-0.25689930013895035</v>
      </c>
      <c r="DM63" s="952">
        <f t="shared" si="61"/>
        <v>-7.560191069650446E-2</v>
      </c>
      <c r="DN63" s="952">
        <f t="shared" si="61"/>
        <v>-0.15237298652304399</v>
      </c>
      <c r="DO63" s="952">
        <f>((DO41/DN41)-1)</f>
        <v>-0.45904366805322461</v>
      </c>
      <c r="DP63" s="952">
        <f>((DP41/DO41)-1)</f>
        <v>0.49784027800331421</v>
      </c>
      <c r="DQ63" s="952">
        <f>((DQ41/DP41)-1)</f>
        <v>-0.14515765918958357</v>
      </c>
      <c r="DR63" s="952">
        <f>((DR41/DQ41)-1)</f>
        <v>-4.0936827457253244E-2</v>
      </c>
      <c r="DS63" s="954">
        <f>((DS41/DR41)-1)</f>
        <v>-5.5995803731339833E-2</v>
      </c>
    </row>
    <row r="64" spans="1:123" ht="9.75" customHeight="1">
      <c r="A64" s="955"/>
      <c r="B64" s="956"/>
      <c r="C64" s="854"/>
      <c r="D64" s="955"/>
      <c r="E64" s="955"/>
      <c r="F64" s="955"/>
      <c r="G64" s="955"/>
      <c r="H64" s="917"/>
      <c r="I64" s="917"/>
      <c r="J64" s="917"/>
      <c r="K64" s="917"/>
      <c r="L64" s="917"/>
      <c r="M64" s="917"/>
      <c r="N64" s="917"/>
      <c r="O64" s="917"/>
      <c r="P64" s="917"/>
      <c r="Q64" s="917"/>
      <c r="R64" s="917"/>
      <c r="S64" s="917"/>
      <c r="T64" s="917"/>
      <c r="U64" s="917"/>
      <c r="V64" s="917"/>
      <c r="W64" s="917"/>
      <c r="X64" s="917"/>
      <c r="Y64" s="917"/>
      <c r="Z64" s="917"/>
      <c r="AA64" s="917"/>
      <c r="AB64" s="917"/>
      <c r="AC64" s="917"/>
      <c r="AD64" s="917"/>
      <c r="AE64" s="917"/>
      <c r="AF64" s="917"/>
      <c r="AG64" s="917"/>
      <c r="AH64" s="917"/>
      <c r="AI64" s="917"/>
      <c r="AJ64" s="917"/>
      <c r="AK64" s="917"/>
      <c r="AL64" s="917"/>
      <c r="AM64" s="917"/>
      <c r="AN64" s="917"/>
      <c r="AO64" s="917"/>
      <c r="AP64" s="917"/>
      <c r="AQ64" s="917"/>
      <c r="AR64" s="917"/>
      <c r="AS64" s="917"/>
      <c r="AT64" s="917"/>
      <c r="AU64" s="917"/>
      <c r="AV64" s="917"/>
      <c r="AW64" s="917"/>
      <c r="AX64" s="917"/>
      <c r="AY64" s="917"/>
      <c r="AZ64" s="955"/>
      <c r="BA64" s="955"/>
      <c r="BB64" s="955"/>
      <c r="BC64" s="955"/>
      <c r="BD64" s="955"/>
      <c r="BE64" s="955"/>
      <c r="BF64" s="955"/>
      <c r="BG64" s="955"/>
      <c r="BH64" s="955"/>
      <c r="BI64" s="955"/>
      <c r="BJ64" s="955"/>
      <c r="BK64" s="955"/>
      <c r="BL64" s="955"/>
      <c r="BM64" s="955"/>
      <c r="BN64" s="955"/>
      <c r="BO64" s="956"/>
      <c r="BP64" s="955"/>
      <c r="BQ64" s="955"/>
      <c r="BR64" s="955"/>
      <c r="BS64" s="955"/>
      <c r="BT64" s="956"/>
      <c r="BU64" s="955"/>
      <c r="BV64" s="955"/>
      <c r="BW64" s="955"/>
      <c r="BX64" s="955"/>
      <c r="BY64" s="956"/>
      <c r="BZ64" s="955"/>
      <c r="CA64" s="955"/>
      <c r="CB64" s="955"/>
      <c r="CC64" s="955"/>
      <c r="CD64" s="956"/>
      <c r="CE64" s="955"/>
      <c r="CF64" s="955"/>
      <c r="CG64" s="955"/>
      <c r="CH64" s="955"/>
      <c r="CI64" s="955"/>
      <c r="CJ64" s="955"/>
      <c r="CK64" s="955"/>
      <c r="CL64" s="955"/>
      <c r="CM64" s="955"/>
      <c r="CN64" s="955"/>
      <c r="CO64" s="955"/>
      <c r="CP64" s="955"/>
      <c r="CQ64" s="955"/>
      <c r="CR64" s="955"/>
      <c r="CS64" s="955"/>
      <c r="CT64" s="957"/>
      <c r="CU64" s="957"/>
      <c r="CV64" s="957"/>
      <c r="CW64" s="957"/>
      <c r="CX64" s="956"/>
      <c r="CY64" s="956"/>
      <c r="CZ64" s="956"/>
      <c r="DA64" s="956"/>
      <c r="DB64" s="956"/>
      <c r="DC64" s="956"/>
      <c r="DD64" s="956"/>
      <c r="DE64" s="956"/>
      <c r="DF64" s="956"/>
      <c r="DG64" s="956"/>
      <c r="DH64" s="956"/>
      <c r="DI64" s="956"/>
      <c r="DJ64" s="956"/>
      <c r="DK64" s="956"/>
      <c r="DL64" s="956"/>
      <c r="DM64" s="956"/>
      <c r="DN64" s="956"/>
      <c r="DO64" s="956"/>
      <c r="DP64" s="956"/>
      <c r="DQ64" s="956"/>
      <c r="DR64" s="956"/>
      <c r="DS64" s="956"/>
    </row>
    <row r="65" spans="1:129">
      <c r="A65" s="958" t="s">
        <v>641</v>
      </c>
      <c r="B65" s="959"/>
      <c r="C65" s="960">
        <f>CW5</f>
        <v>1998</v>
      </c>
      <c r="D65" s="960">
        <f>CX5</f>
        <v>1999</v>
      </c>
      <c r="E65" s="960">
        <f>CY5</f>
        <v>2000</v>
      </c>
      <c r="F65" s="960">
        <f>CZ5</f>
        <v>2001</v>
      </c>
      <c r="G65" s="203"/>
      <c r="H65" s="203"/>
      <c r="I65" s="203"/>
      <c r="J65" s="203"/>
      <c r="K65" s="203"/>
      <c r="L65" s="203"/>
      <c r="M65" s="203"/>
      <c r="N65" s="203"/>
      <c r="O65" s="203"/>
      <c r="P65" s="203"/>
      <c r="Q65" s="959"/>
      <c r="R65" s="203"/>
      <c r="S65" s="203"/>
      <c r="T65" s="203"/>
      <c r="U65" s="203"/>
      <c r="V65" s="203"/>
      <c r="W65" s="203"/>
      <c r="X65" s="203"/>
      <c r="Y65" s="203"/>
      <c r="Z65" s="203"/>
      <c r="AA65" s="959"/>
      <c r="AB65" s="961">
        <f>DA5</f>
        <v>2002</v>
      </c>
      <c r="AC65" s="961">
        <f>DB5</f>
        <v>2003</v>
      </c>
      <c r="AD65" s="961">
        <f>DC5</f>
        <v>2004</v>
      </c>
      <c r="AE65" s="961" t="str">
        <f>DD5</f>
        <v>2005PF</v>
      </c>
      <c r="AF65" s="203"/>
      <c r="AG65" s="203"/>
      <c r="AH65" s="203"/>
      <c r="AI65" s="203"/>
      <c r="AJ65" s="203"/>
      <c r="AK65" s="961"/>
      <c r="AL65" s="203"/>
      <c r="AM65" s="203"/>
      <c r="AN65" s="203"/>
      <c r="AO65" s="203"/>
      <c r="AP65" s="203"/>
      <c r="AQ65" s="961" t="str">
        <f>DF5</f>
        <v>2007PF</v>
      </c>
      <c r="AR65" s="961" t="s">
        <v>20</v>
      </c>
      <c r="AS65" s="203"/>
      <c r="AT65" s="203"/>
      <c r="AU65" s="203"/>
      <c r="AV65" s="961"/>
      <c r="AW65" s="961"/>
      <c r="AX65" s="961"/>
      <c r="AY65" s="961"/>
      <c r="AZ65" s="959"/>
      <c r="BA65" s="961" t="s">
        <v>19</v>
      </c>
      <c r="BB65" s="961" t="s">
        <v>10</v>
      </c>
      <c r="BC65" s="961" t="s">
        <v>68</v>
      </c>
      <c r="BD65" s="962" t="s">
        <v>570</v>
      </c>
      <c r="BE65" s="963"/>
      <c r="BF65" s="961" t="s">
        <v>10</v>
      </c>
      <c r="BJ65" s="963"/>
      <c r="BO65" s="813"/>
      <c r="BT65" s="963"/>
      <c r="BW65" s="961" t="s">
        <v>68</v>
      </c>
      <c r="BX65" s="961" t="s">
        <v>552</v>
      </c>
      <c r="BY65" s="963"/>
      <c r="BZ65" s="961" t="s">
        <v>679</v>
      </c>
      <c r="CD65" s="963"/>
      <c r="CE65" s="961" t="s">
        <v>790</v>
      </c>
      <c r="CF65" s="961" t="s">
        <v>1431</v>
      </c>
      <c r="CG65" s="2215" t="s">
        <v>1433</v>
      </c>
      <c r="CH65" s="2045" t="s">
        <v>389</v>
      </c>
      <c r="CI65" s="963"/>
      <c r="CJ65" s="97"/>
      <c r="CK65" s="963"/>
      <c r="CL65" s="963"/>
      <c r="CM65" s="963"/>
      <c r="CN65" s="963"/>
      <c r="CO65" s="97"/>
      <c r="CP65" s="965" t="s">
        <v>779</v>
      </c>
      <c r="CQ65" s="959"/>
      <c r="CR65" s="959"/>
      <c r="CS65" s="959"/>
      <c r="CT65" s="961">
        <f>CT5</f>
        <v>1995</v>
      </c>
      <c r="CU65" s="961">
        <f>CU5</f>
        <v>1996</v>
      </c>
      <c r="CV65" s="961">
        <f>CV5</f>
        <v>1997</v>
      </c>
      <c r="CW65" s="961">
        <f t="shared" ref="CW65:DF65" si="62">CW5</f>
        <v>1998</v>
      </c>
      <c r="CX65" s="961">
        <f t="shared" si="62"/>
        <v>1999</v>
      </c>
      <c r="CY65" s="961">
        <f t="shared" si="62"/>
        <v>2000</v>
      </c>
      <c r="CZ65" s="961">
        <f t="shared" si="62"/>
        <v>2001</v>
      </c>
      <c r="DA65" s="960">
        <f t="shared" si="62"/>
        <v>2002</v>
      </c>
      <c r="DB65" s="960">
        <f t="shared" si="62"/>
        <v>2003</v>
      </c>
      <c r="DC65" s="960">
        <f t="shared" si="62"/>
        <v>2004</v>
      </c>
      <c r="DD65" s="960" t="str">
        <f t="shared" si="62"/>
        <v>2005PF</v>
      </c>
      <c r="DE65" s="960" t="str">
        <f t="shared" si="62"/>
        <v>2006PF</v>
      </c>
      <c r="DF65" s="960" t="str">
        <f t="shared" si="62"/>
        <v>2007PF</v>
      </c>
      <c r="DG65" s="960">
        <f t="shared" ref="DG65:DM65" si="63">DG5</f>
        <v>2008</v>
      </c>
      <c r="DH65" s="960">
        <f t="shared" si="63"/>
        <v>2009</v>
      </c>
      <c r="DI65" s="960" t="str">
        <f t="shared" si="63"/>
        <v>2010A</v>
      </c>
      <c r="DJ65" s="960" t="str">
        <f t="shared" si="63"/>
        <v>2011A</v>
      </c>
      <c r="DK65" s="960" t="str">
        <f t="shared" si="63"/>
        <v>2012A</v>
      </c>
      <c r="DL65" s="960" t="str">
        <f t="shared" si="63"/>
        <v>2013A</v>
      </c>
      <c r="DM65" s="960" t="str">
        <f t="shared" si="63"/>
        <v>2014A</v>
      </c>
      <c r="DN65" s="960" t="str">
        <f t="shared" ref="DN65:DS65" si="64">DN5</f>
        <v>2015A</v>
      </c>
      <c r="DO65" s="960" t="str">
        <f t="shared" si="64"/>
        <v>2016A</v>
      </c>
      <c r="DP65" s="960" t="str">
        <f t="shared" si="64"/>
        <v>2017A</v>
      </c>
      <c r="DQ65" s="960" t="str">
        <f t="shared" si="64"/>
        <v>2018E</v>
      </c>
      <c r="DR65" s="960" t="str">
        <f t="shared" si="64"/>
        <v>2019E</v>
      </c>
      <c r="DS65" s="966" t="str">
        <f t="shared" si="64"/>
        <v>2020E</v>
      </c>
    </row>
    <row r="66" spans="1:129">
      <c r="A66" s="206" t="s">
        <v>309</v>
      </c>
      <c r="B66" s="967"/>
      <c r="C66" s="968">
        <f>yrSales!F218</f>
        <v>196</v>
      </c>
      <c r="D66" s="968">
        <f>yrSales!G218</f>
        <v>250</v>
      </c>
      <c r="E66" s="968">
        <f>yrSales!H218</f>
        <v>354</v>
      </c>
      <c r="F66" s="968">
        <f>yrSales!I218</f>
        <v>491</v>
      </c>
      <c r="G66" s="97"/>
      <c r="H66" s="97"/>
      <c r="I66" s="97"/>
      <c r="J66" s="97"/>
      <c r="K66" s="97"/>
      <c r="L66" s="97"/>
      <c r="M66" s="97"/>
      <c r="N66" s="97"/>
      <c r="O66" s="97"/>
      <c r="P66" s="97"/>
      <c r="Q66" s="967"/>
      <c r="R66" s="97"/>
      <c r="S66" s="97"/>
      <c r="T66" s="97"/>
      <c r="U66" s="97"/>
      <c r="V66" s="97"/>
      <c r="W66" s="97"/>
      <c r="X66" s="97"/>
      <c r="Y66" s="97"/>
      <c r="Z66" s="97"/>
      <c r="AA66" s="967"/>
      <c r="AB66" s="969">
        <f>+turn!R71</f>
        <v>4.0205996578705303</v>
      </c>
      <c r="AC66" s="969">
        <f>+turn!R78</f>
        <v>3.4964675820096827</v>
      </c>
      <c r="AD66" s="969">
        <f>+turn!R85</f>
        <v>3.7196870399733064</v>
      </c>
      <c r="AE66" s="969">
        <f>+turn!R92</f>
        <v>2.8857103545086185</v>
      </c>
      <c r="AF66" s="967"/>
      <c r="AG66" s="97"/>
      <c r="AH66" s="97"/>
      <c r="AI66" s="97"/>
      <c r="AJ66" s="97"/>
      <c r="AK66" s="969"/>
      <c r="AL66" s="97"/>
      <c r="AM66" s="97"/>
      <c r="AN66" s="97"/>
      <c r="AO66" s="97"/>
      <c r="AP66" s="97"/>
      <c r="AQ66" s="969">
        <f>+turn!$R106</f>
        <v>3.0568978464997834</v>
      </c>
      <c r="AR66" s="970">
        <f>turn!$R$113</f>
        <v>2.7517066722434516</v>
      </c>
      <c r="AS66" s="97"/>
      <c r="AT66" s="97"/>
      <c r="AU66" s="97"/>
      <c r="AV66" s="970"/>
      <c r="AW66" s="970"/>
      <c r="AX66" s="970"/>
      <c r="AY66" s="970"/>
      <c r="AZ66" s="971"/>
      <c r="BA66" s="970">
        <f>turn!$R$120</f>
        <v>3.2429101129828006</v>
      </c>
      <c r="BB66" s="970">
        <f>turn!$R$127</f>
        <v>3.0341573720102111</v>
      </c>
      <c r="BC66" s="970">
        <f>turn!R134</f>
        <v>3.0820074987923727</v>
      </c>
      <c r="BD66" s="972">
        <f>turn!R141</f>
        <v>2.8291876629190544</v>
      </c>
      <c r="BE66" s="971"/>
      <c r="BF66" s="970">
        <f>turn!R127</f>
        <v>3.0341573720102111</v>
      </c>
      <c r="BJ66" s="971"/>
      <c r="BO66" s="813"/>
      <c r="BT66" s="971"/>
      <c r="BW66" s="970">
        <f>turn!R134</f>
        <v>3.0820074987923727</v>
      </c>
      <c r="BX66" s="970">
        <f>turn!R141</f>
        <v>2.8291876629190544</v>
      </c>
      <c r="BY66" s="971"/>
      <c r="BZ66" s="970">
        <f>turn!R148</f>
        <v>2.6353877269797525</v>
      </c>
      <c r="CD66" s="971"/>
      <c r="CE66" s="1955">
        <f>turn!R155</f>
        <v>2.6622025526592994</v>
      </c>
      <c r="CF66" s="1955">
        <f>turn!R162</f>
        <v>2.7219293861678557</v>
      </c>
      <c r="CG66" s="2214">
        <f>turn!R176</f>
        <v>2.8032747325716043</v>
      </c>
      <c r="CH66" s="2046">
        <f>turn!R183</f>
        <v>2.9247966872025821</v>
      </c>
      <c r="CI66" s="971"/>
      <c r="CJ66" s="97"/>
      <c r="CK66" s="2043"/>
      <c r="CL66" s="971"/>
      <c r="CM66" s="971"/>
      <c r="CN66" s="971"/>
      <c r="CO66" s="97"/>
      <c r="CP66" s="973" t="s">
        <v>701</v>
      </c>
      <c r="CQ66" s="971"/>
      <c r="CR66" s="971"/>
      <c r="CS66" s="971"/>
      <c r="CT66" s="968">
        <f>yrSales!C218</f>
        <v>100</v>
      </c>
      <c r="CU66" s="968">
        <f>yrSales!D218</f>
        <v>127</v>
      </c>
      <c r="CV66" s="968">
        <f>yrSales!E218</f>
        <v>156</v>
      </c>
      <c r="CW66" s="968">
        <f>yrSales!F218</f>
        <v>196</v>
      </c>
      <c r="CX66" s="968">
        <f>yrSales!G218</f>
        <v>250</v>
      </c>
      <c r="CY66" s="968">
        <f>yrSales!H218</f>
        <v>354</v>
      </c>
      <c r="CZ66" s="968">
        <f>yrSales!I218</f>
        <v>491</v>
      </c>
      <c r="DA66" s="968">
        <f>yrSales!J218</f>
        <v>597</v>
      </c>
      <c r="DB66" s="97">
        <f>yrSales!K218</f>
        <v>700</v>
      </c>
      <c r="DC66" s="97">
        <f>yrSales!L218</f>
        <v>788</v>
      </c>
      <c r="DD66" s="97">
        <f>yrSales!M218</f>
        <v>851</v>
      </c>
      <c r="DE66" s="97">
        <f>yrSales!N218</f>
        <v>944</v>
      </c>
      <c r="DF66" s="97">
        <f>yrSales!O218</f>
        <v>1035</v>
      </c>
      <c r="DG66" s="97">
        <f>yrSales!P218</f>
        <v>1125</v>
      </c>
      <c r="DH66" s="97">
        <f>yrSales!Q218</f>
        <v>1097</v>
      </c>
      <c r="DI66" s="97">
        <f>yrSales!R218</f>
        <v>1069</v>
      </c>
      <c r="DJ66" s="97">
        <f>yrSales!S218</f>
        <v>1041</v>
      </c>
      <c r="DK66" s="97">
        <f>yrSales!T218</f>
        <v>1041</v>
      </c>
      <c r="DL66" s="97">
        <f>yrSales!U218</f>
        <v>1006</v>
      </c>
      <c r="DM66" s="97">
        <f>yrSales!V218</f>
        <v>961</v>
      </c>
      <c r="DN66" s="97">
        <f>yrSales!W218</f>
        <v>932</v>
      </c>
      <c r="DO66" s="97">
        <f>yrSales!X218</f>
        <v>898</v>
      </c>
      <c r="DP66" s="97">
        <f>yrSales!Y218</f>
        <v>868</v>
      </c>
      <c r="DQ66" s="97">
        <f>yrSales!Z218</f>
        <v>834</v>
      </c>
      <c r="DR66" s="97">
        <f>yrSales!AA218</f>
        <v>788</v>
      </c>
      <c r="DS66" s="207">
        <f>yrSales!AB218</f>
        <v>752</v>
      </c>
    </row>
    <row r="67" spans="1:129">
      <c r="A67" s="206" t="s">
        <v>311</v>
      </c>
      <c r="B67" s="97"/>
      <c r="C67" s="97"/>
      <c r="D67" s="97"/>
      <c r="E67" s="97"/>
      <c r="F67" s="968">
        <f>+yrSales!I20</f>
        <v>309</v>
      </c>
      <c r="G67" s="97"/>
      <c r="H67" s="97"/>
      <c r="I67" s="97"/>
      <c r="J67" s="97"/>
      <c r="K67" s="97"/>
      <c r="L67" s="97"/>
      <c r="M67" s="97"/>
      <c r="N67" s="97"/>
      <c r="O67" s="97"/>
      <c r="P67" s="97"/>
      <c r="Q67" s="974"/>
      <c r="R67" s="97"/>
      <c r="S67" s="97"/>
      <c r="T67" s="97"/>
      <c r="U67" s="97"/>
      <c r="V67" s="97"/>
      <c r="W67" s="97"/>
      <c r="X67" s="97"/>
      <c r="Y67" s="97"/>
      <c r="Z67" s="97"/>
      <c r="AA67" s="974"/>
      <c r="AB67" s="975">
        <f>bal!U33/bal!U12</f>
        <v>0.55329853599988832</v>
      </c>
      <c r="AC67" s="975">
        <f>bal!W33/bal!W12</f>
        <v>0.53522199375523571</v>
      </c>
      <c r="AD67" s="975">
        <f>bal!Y33/bal!Y12</f>
        <v>0.65027604428072228</v>
      </c>
      <c r="AE67" s="975">
        <f>bal!AA33/bal!AA12</f>
        <v>0.40082364234172602</v>
      </c>
      <c r="AF67" s="974"/>
      <c r="AG67" s="97"/>
      <c r="AH67" s="97"/>
      <c r="AI67" s="97"/>
      <c r="AJ67" s="97"/>
      <c r="AK67" s="975"/>
      <c r="AL67" s="97"/>
      <c r="AM67" s="97"/>
      <c r="AN67" s="97"/>
      <c r="AO67" s="97"/>
      <c r="AP67" s="97"/>
      <c r="AQ67" s="975">
        <f>bal!AE33/bal!AE12</f>
        <v>0.45564050151131757</v>
      </c>
      <c r="AR67" s="975">
        <f>bal!AG33/bal!AG12</f>
        <v>0.40210567581936613</v>
      </c>
      <c r="AS67" s="97"/>
      <c r="AT67" s="97"/>
      <c r="AU67" s="97"/>
      <c r="AV67" s="975"/>
      <c r="AW67" s="975"/>
      <c r="AX67" s="975"/>
      <c r="AY67" s="975"/>
      <c r="AZ67" s="908"/>
      <c r="BA67" s="975">
        <f>bal!AI33/bal!AI12</f>
        <v>0.48329765487936399</v>
      </c>
      <c r="BB67" s="975">
        <f>bal!AK33/bal!AK12</f>
        <v>0.35566284919024405</v>
      </c>
      <c r="BC67" s="975">
        <f>bal!AM33/bal!AM12</f>
        <v>0.31086500915528692</v>
      </c>
      <c r="BD67" s="976">
        <f>bal!AO33/bal!AO12</f>
        <v>0.32882551608808275</v>
      </c>
      <c r="BE67" s="908"/>
      <c r="BF67" s="975">
        <f>bal!AK76</f>
        <v>0.35566284919024405</v>
      </c>
      <c r="BJ67" s="908"/>
      <c r="BO67" s="813"/>
      <c r="BT67" s="908"/>
      <c r="BW67" s="975">
        <f>bal!AM76</f>
        <v>0.31086500915528692</v>
      </c>
      <c r="BX67" s="975">
        <f>bal!AO76</f>
        <v>0.32882551608808275</v>
      </c>
      <c r="BY67" s="908"/>
      <c r="BZ67" s="975">
        <f>bal!AQ76</f>
        <v>0.24654276186739899</v>
      </c>
      <c r="CD67" s="908"/>
      <c r="CE67" s="975">
        <f>bal!AS76</f>
        <v>0.30748013211977587</v>
      </c>
      <c r="CF67" s="975">
        <f>bal!AU76</f>
        <v>0.42174164932070229</v>
      </c>
      <c r="CG67" s="975">
        <f>bal!AW76</f>
        <v>0.46778223839717853</v>
      </c>
      <c r="CH67" s="976">
        <f>bal!AY76</f>
        <v>0.46778223839717853</v>
      </c>
      <c r="CI67" s="908"/>
      <c r="CJ67" s="97"/>
      <c r="CK67" s="197"/>
      <c r="CL67" s="908"/>
      <c r="CM67" s="908"/>
      <c r="CN67" s="908"/>
      <c r="CO67" s="97"/>
      <c r="CP67" s="977" t="s">
        <v>357</v>
      </c>
      <c r="CQ67" s="908"/>
      <c r="CR67" s="908"/>
      <c r="CS67" s="908"/>
      <c r="CT67" s="968">
        <f>+yrSales!C20</f>
        <v>100</v>
      </c>
      <c r="CU67" s="968">
        <f>+yrSales!D20</f>
        <v>127</v>
      </c>
      <c r="CV67" s="968">
        <f>+yrSales!E20</f>
        <v>156</v>
      </c>
      <c r="CW67" s="968">
        <f>+yrSales!F20</f>
        <v>183</v>
      </c>
      <c r="CX67" s="968">
        <f>+yrSales!G20</f>
        <v>215</v>
      </c>
      <c r="CY67" s="968">
        <f>+yrSales!H20</f>
        <v>265</v>
      </c>
      <c r="CZ67" s="968">
        <f>+yrSales!I20</f>
        <v>309</v>
      </c>
      <c r="DA67" s="968">
        <f>+yrSales!J20</f>
        <v>340</v>
      </c>
      <c r="DB67" s="97">
        <f>+yrSales!K20</f>
        <v>357</v>
      </c>
      <c r="DC67" s="97">
        <f>+yrSales!L20</f>
        <v>357</v>
      </c>
      <c r="DD67" s="97">
        <f>+yrSales!M20</f>
        <v>361</v>
      </c>
      <c r="DE67" s="97">
        <f>+yrSales!N20</f>
        <v>360</v>
      </c>
      <c r="DF67" s="97">
        <f>+yrSales!O20</f>
        <v>359</v>
      </c>
      <c r="DG67" s="97">
        <f>+yrSales!P20</f>
        <v>356</v>
      </c>
      <c r="DH67" s="97">
        <f>+yrSales!Q20</f>
        <v>346</v>
      </c>
      <c r="DI67" s="97">
        <f>+yrSales!R20</f>
        <v>325</v>
      </c>
      <c r="DJ67" s="97">
        <f>+yrSales!S20</f>
        <v>294</v>
      </c>
      <c r="DK67" s="97">
        <f>+yrSales!T20</f>
        <v>285</v>
      </c>
      <c r="DL67" s="97">
        <f>+yrSales!U20</f>
        <v>275</v>
      </c>
      <c r="DM67" s="97">
        <f>+yrSales!V20</f>
        <v>279</v>
      </c>
      <c r="DN67" s="97">
        <f>+yrSales!W20</f>
        <v>379</v>
      </c>
      <c r="DO67" s="97">
        <f>+yrSales!X20</f>
        <v>355</v>
      </c>
      <c r="DP67" s="97">
        <f>+yrSales!Y20</f>
        <v>330</v>
      </c>
      <c r="DQ67" s="97">
        <f>+yrSales!Z20</f>
        <v>308</v>
      </c>
      <c r="DR67" s="97">
        <f>+yrSales!AA20</f>
        <v>281</v>
      </c>
      <c r="DS67" s="207">
        <f>+yrSales!AB20</f>
        <v>264</v>
      </c>
    </row>
    <row r="68" spans="1:129">
      <c r="A68" s="206" t="s">
        <v>313</v>
      </c>
      <c r="B68" s="97"/>
      <c r="C68" s="97"/>
      <c r="D68" s="97"/>
      <c r="E68" s="97"/>
      <c r="F68" s="968">
        <f>+yrSales!I70</f>
        <v>148</v>
      </c>
      <c r="G68" s="97"/>
      <c r="H68" s="97"/>
      <c r="I68" s="97"/>
      <c r="J68" s="97"/>
      <c r="K68" s="97"/>
      <c r="L68" s="97"/>
      <c r="M68" s="97"/>
      <c r="N68" s="97"/>
      <c r="O68" s="97"/>
      <c r="P68" s="97"/>
      <c r="Q68" s="978"/>
      <c r="R68" s="97"/>
      <c r="S68" s="97"/>
      <c r="T68" s="97"/>
      <c r="U68" s="97"/>
      <c r="V68" s="97"/>
      <c r="W68" s="97"/>
      <c r="X68" s="97"/>
      <c r="Y68" s="97"/>
      <c r="Z68" s="97"/>
      <c r="AA68" s="978"/>
      <c r="AB68" s="979">
        <f>+dtc!T53</f>
        <v>0</v>
      </c>
      <c r="AC68" s="979">
        <f>+(bal!W36+bal!W42)/(bal!W36+bal!W42+bal!W56)</f>
        <v>0</v>
      </c>
      <c r="AD68" s="979">
        <f>+(bal!Y36+bal!Y42)/(bal!Y36+bal!Y42+bal!Y56)</f>
        <v>0</v>
      </c>
      <c r="AE68" s="979">
        <f>+(bal!AA36+bal!AA42)/(bal!AA36+bal!AA42+bal!AA56)</f>
        <v>0</v>
      </c>
      <c r="AF68" s="978"/>
      <c r="AG68" s="97"/>
      <c r="AH68" s="97"/>
      <c r="AI68" s="97"/>
      <c r="AJ68" s="97"/>
      <c r="AK68" s="979"/>
      <c r="AL68" s="97"/>
      <c r="AM68" s="97"/>
      <c r="AN68" s="97"/>
      <c r="AO68" s="97"/>
      <c r="AP68" s="97"/>
      <c r="AQ68" s="979">
        <f>+(bal!AE36+bal!AE42)/(bal!AE36+bal!AE42+bal!AE56)</f>
        <v>0</v>
      </c>
      <c r="AR68" s="979">
        <f>+(bal!AG36+bal!AG42)/(bal!AG36+bal!AG42+bal!AG56)</f>
        <v>5.1398607508925359E-2</v>
      </c>
      <c r="AS68" s="97"/>
      <c r="AT68" s="97"/>
      <c r="AU68" s="97"/>
      <c r="AV68" s="979"/>
      <c r="AW68" s="979"/>
      <c r="AX68" s="979"/>
      <c r="AY68" s="979"/>
      <c r="AZ68" s="802"/>
      <c r="BA68" s="979">
        <f>+(bal!AI36+bal!AI42)/(bal!AI36+bal!AI42+bal!AI56)</f>
        <v>3.7497696313575163E-2</v>
      </c>
      <c r="BB68" s="979">
        <f>+(bal!AK36+bal!AK42)/(bal!AK36+bal!AK42+bal!AK56)</f>
        <v>3.4994258299946408E-2</v>
      </c>
      <c r="BC68" s="979">
        <f>+(bal!AM36+bal!AM42)/(bal!AM36+bal!AM42+bal!AM56)</f>
        <v>2.9082443405839608E-2</v>
      </c>
      <c r="BD68" s="980">
        <f>+(bal!AO36+bal!AO42)/(bal!AO36+bal!AO42+bal!AO56)</f>
        <v>3.3971767231074111E-2</v>
      </c>
      <c r="BE68" s="802"/>
      <c r="BF68" s="979">
        <f>(bal!AK42/(bal!AK42+bal!AK53))</f>
        <v>2.9290656559939138E-2</v>
      </c>
      <c r="BJ68" s="802"/>
      <c r="BO68" s="813"/>
      <c r="BT68" s="802"/>
      <c r="BW68" s="979">
        <f>(bal!AM42/(bal!AM42+bal!AM53))</f>
        <v>2.4323269798210746E-2</v>
      </c>
      <c r="BX68" s="979">
        <f>(bal!AO42/(bal!AO42+bal!AO53))</f>
        <v>2.4424780789292243E-2</v>
      </c>
      <c r="BY68" s="802"/>
      <c r="BZ68" s="979">
        <f>(bal!AQ42/(bal!AQ42+bal!AQ53))</f>
        <v>6.603078703805193E-2</v>
      </c>
      <c r="CD68" s="802"/>
      <c r="CE68" s="979">
        <f>(bal!AS42/(bal!AS42+bal!AS53))</f>
        <v>0.11817822896701267</v>
      </c>
      <c r="CF68" s="979">
        <f>(bal!AU42/(bal!AU42+bal!AU53))</f>
        <v>0.11651188199468482</v>
      </c>
      <c r="CG68" s="979">
        <f>(bal!AW42/(bal!AW42+bal!AW53))</f>
        <v>0.11112743400720954</v>
      </c>
      <c r="CH68" s="980">
        <f>(bal!AY42/(bal!AY42+bal!AY53))</f>
        <v>0.10796327669793941</v>
      </c>
      <c r="CI68" s="802"/>
      <c r="CJ68" s="97"/>
      <c r="CK68" s="197"/>
      <c r="CL68" s="802"/>
      <c r="CM68" s="802"/>
      <c r="CN68" s="802"/>
      <c r="CO68" s="97"/>
      <c r="CP68" s="977" t="s">
        <v>577</v>
      </c>
      <c r="CQ68" s="802"/>
      <c r="CR68" s="802"/>
      <c r="CS68" s="802"/>
      <c r="CT68" s="968">
        <f>+yrSales!C70</f>
        <v>0</v>
      </c>
      <c r="CU68" s="968">
        <f>+yrSales!D70</f>
        <v>0</v>
      </c>
      <c r="CV68" s="968">
        <f>+yrSales!E70</f>
        <v>0</v>
      </c>
      <c r="CW68" s="968">
        <f>+yrSales!F70</f>
        <v>13</v>
      </c>
      <c r="CX68" s="968">
        <f>+yrSales!G70</f>
        <v>35</v>
      </c>
      <c r="CY68" s="968">
        <f>+yrSales!H70</f>
        <v>84</v>
      </c>
      <c r="CZ68" s="968">
        <f>+yrSales!I70</f>
        <v>148</v>
      </c>
      <c r="DA68" s="968">
        <f>+yrSales!J70</f>
        <v>164</v>
      </c>
      <c r="DB68" s="97">
        <f>+yrSales!K70</f>
        <v>171</v>
      </c>
      <c r="DC68" s="97">
        <f>+yrSales!L70</f>
        <v>171</v>
      </c>
      <c r="DD68" s="97">
        <f>+yrSales!M70</f>
        <v>164</v>
      </c>
      <c r="DE68" s="97">
        <f>+yrSales!N70</f>
        <v>177</v>
      </c>
      <c r="DF68" s="97">
        <f>+yrSales!O70</f>
        <v>202</v>
      </c>
      <c r="DG68" s="97">
        <f>+yrSales!P70</f>
        <v>212</v>
      </c>
      <c r="DH68" s="97">
        <f>+yrSales!Q70</f>
        <v>209</v>
      </c>
      <c r="DI68" s="97">
        <f>+yrSales!R70</f>
        <v>185</v>
      </c>
      <c r="DJ68" s="97">
        <f>+yrSales!S70</f>
        <v>156</v>
      </c>
      <c r="DK68" s="97">
        <f>+yrSales!T70</f>
        <v>147</v>
      </c>
      <c r="DL68" s="97">
        <f>+yrSales!U70</f>
        <v>136</v>
      </c>
      <c r="DM68" s="97">
        <f>+yrSales!V70</f>
        <v>114</v>
      </c>
      <c r="DN68" s="97">
        <f>+yrSales!W70</f>
        <v>114</v>
      </c>
      <c r="DO68" s="97">
        <f>+yrSales!X70</f>
        <v>104</v>
      </c>
      <c r="DP68" s="97">
        <f>+yrSales!Y70</f>
        <v>104</v>
      </c>
      <c r="DQ68" s="97">
        <f>+yrSales!Z70</f>
        <v>104</v>
      </c>
      <c r="DR68" s="97">
        <f>+yrSales!AA70</f>
        <v>104</v>
      </c>
      <c r="DS68" s="207">
        <f>+yrSales!AB70</f>
        <v>104</v>
      </c>
    </row>
    <row r="69" spans="1:129">
      <c r="A69" s="206" t="s">
        <v>598</v>
      </c>
      <c r="B69" s="97"/>
      <c r="C69" s="97"/>
      <c r="D69" s="97"/>
      <c r="E69" s="97"/>
      <c r="F69" s="968">
        <f>+yrSales!I119</f>
        <v>34</v>
      </c>
      <c r="G69" s="97"/>
      <c r="H69" s="97"/>
      <c r="I69" s="97"/>
      <c r="J69" s="97"/>
      <c r="K69" s="97"/>
      <c r="L69" s="97"/>
      <c r="M69" s="97"/>
      <c r="N69" s="97"/>
      <c r="O69" s="97"/>
      <c r="P69" s="97"/>
      <c r="Q69" s="981"/>
      <c r="R69" s="97"/>
      <c r="S69" s="97"/>
      <c r="T69" s="97"/>
      <c r="U69" s="97"/>
      <c r="V69" s="97"/>
      <c r="W69" s="97"/>
      <c r="X69" s="97"/>
      <c r="Y69" s="97"/>
      <c r="Z69" s="97"/>
      <c r="AA69" s="981"/>
      <c r="AB69" s="982">
        <f>flow!R10/((bal!S56+bal!U56)/2)</f>
        <v>0.29248029459181613</v>
      </c>
      <c r="AC69" s="982">
        <f>flow!T10/((bal!U56+bal!W56)/2)</f>
        <v>0.25698964664080409</v>
      </c>
      <c r="AD69" s="982">
        <f>flow!V10/((bal!W56+bal!Y56)/2)</f>
        <v>0.2833832430418361</v>
      </c>
      <c r="AE69" s="982">
        <f>flow!X10/((bal!Y56+bal!AA56)/2)</f>
        <v>0.40131863932859219</v>
      </c>
      <c r="AF69" s="981"/>
      <c r="AG69" s="97"/>
      <c r="AH69" s="97"/>
      <c r="AI69" s="97"/>
      <c r="AJ69" s="97"/>
      <c r="AK69" s="982"/>
      <c r="AL69" s="97"/>
      <c r="AM69" s="97"/>
      <c r="AN69" s="97"/>
      <c r="AO69" s="97"/>
      <c r="AP69" s="97"/>
      <c r="AQ69" s="982">
        <f>flow!AB10/((bal!AC56+bal!AE56)/2)</f>
        <v>0.31465499849517609</v>
      </c>
      <c r="AR69" s="982">
        <f>flow!AD10/((bal!AE56+bal!AG56)/2)</f>
        <v>0.15719605495669461</v>
      </c>
      <c r="AS69" s="97"/>
      <c r="AT69" s="97"/>
      <c r="AU69" s="97"/>
      <c r="AV69" s="982"/>
      <c r="AW69" s="982"/>
      <c r="AX69" s="982"/>
      <c r="AY69" s="982"/>
      <c r="AZ69" s="919"/>
      <c r="BA69" s="982">
        <f>flow!AF10/((bal!AG56+bal!AI56)/2)</f>
        <v>1.3828792471474712E-4</v>
      </c>
      <c r="BB69" s="982">
        <f>flow!AH10/((bal!AI56+bal!AK56)/2)</f>
        <v>8.0825535583527702E-2</v>
      </c>
      <c r="BC69" s="982">
        <f>flow!AJ10/((bal!AK56+bal!AM56)/2)</f>
        <v>7.4898355371598238E-2</v>
      </c>
      <c r="BD69" s="982">
        <f>flow!AL10/((bal!AM56+bal!AO56)/2)</f>
        <v>0.11842094033961803</v>
      </c>
      <c r="BE69" s="919"/>
      <c r="BF69" s="982">
        <f>(flow!AH10/((bal!AK56+bal!AI56)/2))</f>
        <v>8.0825535583527702E-2</v>
      </c>
      <c r="BG69" s="97"/>
      <c r="BH69" s="97"/>
      <c r="BI69" s="97"/>
      <c r="BJ69" s="919"/>
      <c r="BO69" s="813"/>
      <c r="BT69" s="919"/>
      <c r="BW69" s="982">
        <f>(flow!AJ10/((bal!AM56+bal!AK56)/2))</f>
        <v>7.4898355371598238E-2</v>
      </c>
      <c r="BX69" s="982">
        <f>(flow!AL10/((bal!AO56+bal!AM56)/2))</f>
        <v>0.11842094033961803</v>
      </c>
      <c r="BY69" s="919"/>
      <c r="BZ69" s="982">
        <f>(flow!AN10/((bal!AQ56+bal!AO56)/2))</f>
        <v>8.5388891127163385E-2</v>
      </c>
      <c r="CD69" s="919"/>
      <c r="CE69" s="982">
        <f>(flow!AP10/((bal!AS56+bal!AQ56)/2))</f>
        <v>3.32101381891916E-2</v>
      </c>
      <c r="CF69" s="982">
        <f>(flow!AR10/((bal!AU56+bal!AS56)/2))</f>
        <v>2.8717263537252787E-2</v>
      </c>
      <c r="CG69" s="982">
        <f>(flow!AT10/((bal!AW56+bal!AU56)/2))</f>
        <v>6.0586530683215565E-3</v>
      </c>
      <c r="CH69" s="983">
        <f>(flow!AV10/((bal!AY56+bal!AW56)/2))</f>
        <v>3.8593444635786067E-2</v>
      </c>
      <c r="CI69" s="919"/>
      <c r="CJ69" s="1829"/>
      <c r="CK69" s="197"/>
      <c r="CL69" s="919"/>
      <c r="CM69" s="919"/>
      <c r="CN69" s="919"/>
      <c r="CO69" s="1829"/>
      <c r="CP69" s="977" t="s">
        <v>569</v>
      </c>
      <c r="CQ69" s="919"/>
      <c r="CR69" s="919"/>
      <c r="CS69" s="919"/>
      <c r="CT69" s="968">
        <f>+yrSales!C119</f>
        <v>0</v>
      </c>
      <c r="CU69" s="968">
        <f>+yrSales!D119</f>
        <v>0</v>
      </c>
      <c r="CV69" s="968">
        <f>+yrSales!E119</f>
        <v>0</v>
      </c>
      <c r="CW69" s="968">
        <f>+yrSales!F119</f>
        <v>0</v>
      </c>
      <c r="CX69" s="968">
        <f>+yrSales!G119</f>
        <v>0</v>
      </c>
      <c r="CY69" s="968">
        <f>+yrSales!H119</f>
        <v>5</v>
      </c>
      <c r="CZ69" s="968">
        <f>+yrSales!I119</f>
        <v>34</v>
      </c>
      <c r="DA69" s="968">
        <f>+yrSales!J119</f>
        <v>93</v>
      </c>
      <c r="DB69" s="97">
        <f>+yrSales!K119</f>
        <v>172</v>
      </c>
      <c r="DC69" s="97">
        <f>+yrSales!L119</f>
        <v>256</v>
      </c>
      <c r="DD69" s="97">
        <f>+yrSales!M119</f>
        <v>318</v>
      </c>
      <c r="DE69" s="97">
        <f>+yrSales!N119</f>
        <v>393</v>
      </c>
      <c r="DF69" s="97">
        <f>+yrSales!O119</f>
        <v>450</v>
      </c>
      <c r="DG69" s="97">
        <f>+yrSales!P119</f>
        <v>515</v>
      </c>
      <c r="DH69" s="97">
        <f>+yrSales!Q119</f>
        <v>525</v>
      </c>
      <c r="DI69" s="97">
        <f>+yrSales!R119</f>
        <v>540</v>
      </c>
      <c r="DJ69" s="97">
        <f>+yrSales!S119</f>
        <v>570</v>
      </c>
      <c r="DK69" s="97">
        <f>+yrSales!T119</f>
        <v>585</v>
      </c>
      <c r="DL69" s="97">
        <f>+yrSales!U119</f>
        <v>587</v>
      </c>
      <c r="DM69" s="97">
        <f>+yrSales!V119</f>
        <v>568</v>
      </c>
      <c r="DN69" s="97">
        <f>+yrSales!W119</f>
        <v>553</v>
      </c>
      <c r="DO69" s="97">
        <f>+yrSales!X119</f>
        <v>543</v>
      </c>
      <c r="DP69" s="97">
        <f>+yrSales!Y119</f>
        <v>538</v>
      </c>
      <c r="DQ69" s="97">
        <f>+yrSales!Z119</f>
        <v>526</v>
      </c>
      <c r="DR69" s="97">
        <f>+yrSales!AA119</f>
        <v>507</v>
      </c>
      <c r="DS69" s="207">
        <f>+yrSales!AB119</f>
        <v>488</v>
      </c>
    </row>
    <row r="70" spans="1:129">
      <c r="A70" s="208" t="s">
        <v>629</v>
      </c>
      <c r="B70" s="984"/>
      <c r="C70" s="985">
        <f>yrSales!F228</f>
        <v>1.7906640000000003</v>
      </c>
      <c r="D70" s="985">
        <f>yrSales!G228</f>
        <v>2.1739999999999999</v>
      </c>
      <c r="E70" s="985">
        <f>yrSales!H228</f>
        <v>2.8490000000000002</v>
      </c>
      <c r="F70" s="985">
        <f>yrSales!I228</f>
        <v>3.673</v>
      </c>
      <c r="G70" s="96"/>
      <c r="H70" s="96"/>
      <c r="I70" s="96"/>
      <c r="J70" s="96"/>
      <c r="K70" s="96"/>
      <c r="L70" s="96"/>
      <c r="M70" s="96"/>
      <c r="N70" s="96"/>
      <c r="O70" s="96"/>
      <c r="P70" s="96"/>
      <c r="Q70" s="806"/>
      <c r="R70" s="96"/>
      <c r="S70" s="96"/>
      <c r="T70" s="96"/>
      <c r="U70" s="96"/>
      <c r="V70" s="806"/>
      <c r="W70" s="806"/>
      <c r="X70" s="986"/>
      <c r="Y70" s="806"/>
      <c r="Z70" s="806"/>
      <c r="AA70" s="806"/>
      <c r="AB70" s="806"/>
      <c r="AC70" s="986"/>
      <c r="AD70" s="806"/>
      <c r="AE70" s="806"/>
      <c r="AF70" s="806"/>
      <c r="AG70" s="806"/>
      <c r="AH70" s="987"/>
      <c r="AI70" s="96"/>
      <c r="AJ70" s="96"/>
      <c r="AK70" s="806"/>
      <c r="AL70" s="806"/>
      <c r="AM70" s="96"/>
      <c r="AN70" s="96"/>
      <c r="AO70" s="96"/>
      <c r="AP70" s="96"/>
      <c r="AQ70" s="987"/>
      <c r="AR70" s="96"/>
      <c r="AS70" s="96"/>
      <c r="AT70" s="96"/>
      <c r="AU70" s="96"/>
      <c r="AV70" s="96"/>
      <c r="AW70" s="96"/>
      <c r="AX70" s="96"/>
      <c r="AY70" s="96"/>
      <c r="AZ70" s="988"/>
      <c r="BA70" s="96"/>
      <c r="BB70" s="96"/>
      <c r="BC70" s="96"/>
      <c r="BD70" s="96"/>
      <c r="BE70" s="988"/>
      <c r="BF70" s="806"/>
      <c r="BG70" s="96"/>
      <c r="BH70" s="96"/>
      <c r="BI70" s="96"/>
      <c r="BJ70" s="988"/>
      <c r="BO70" s="813"/>
      <c r="BT70" s="919"/>
      <c r="BW70" s="989">
        <f>flow!AJ21</f>
        <v>318.59800000000001</v>
      </c>
      <c r="BX70" s="989">
        <f>flow!AL21</f>
        <v>339.86200000000002</v>
      </c>
      <c r="BY70" s="919"/>
      <c r="BZ70" s="989">
        <f>flow!AN21</f>
        <v>163.92400000000001</v>
      </c>
      <c r="CD70" s="919"/>
      <c r="CE70" s="989">
        <f>flow!AP21</f>
        <v>174.624</v>
      </c>
      <c r="CF70" s="989">
        <f>flow!AR21</f>
        <v>143.19900000000001</v>
      </c>
      <c r="CG70" s="989">
        <f>flow!AT21</f>
        <v>140.84399999999999</v>
      </c>
      <c r="CH70" s="990">
        <f>flow!AV21</f>
        <v>107</v>
      </c>
      <c r="CI70" s="919"/>
      <c r="CJ70" s="97"/>
      <c r="CK70" s="197"/>
      <c r="CL70" s="919"/>
      <c r="CM70" s="919"/>
      <c r="CN70" s="919"/>
      <c r="CO70" s="97"/>
      <c r="CP70" s="977" t="s">
        <v>432</v>
      </c>
      <c r="CQ70" s="919"/>
      <c r="CR70" s="919"/>
      <c r="CS70" s="919"/>
      <c r="CT70" s="97">
        <f>yrSales!C270</f>
        <v>0</v>
      </c>
      <c r="CU70" s="97">
        <f>yrSales!D270</f>
        <v>0</v>
      </c>
      <c r="CV70" s="97">
        <f>yrSales!E270</f>
        <v>0</v>
      </c>
      <c r="CW70" s="97">
        <f>yrSales!F270</f>
        <v>0</v>
      </c>
      <c r="CX70" s="97">
        <f>yrSales!G270</f>
        <v>0</v>
      </c>
      <c r="CY70" s="97">
        <f>yrSales!H270</f>
        <v>0</v>
      </c>
      <c r="CZ70" s="97">
        <f>yrSales!I270</f>
        <v>0</v>
      </c>
      <c r="DA70" s="97">
        <f>yrSales!J270</f>
        <v>0</v>
      </c>
      <c r="DB70" s="97">
        <f>yrSales!K270</f>
        <v>0</v>
      </c>
      <c r="DC70" s="97">
        <f>yrSales!L270</f>
        <v>0</v>
      </c>
      <c r="DD70" s="97">
        <f>yrSales!M270</f>
        <v>0</v>
      </c>
      <c r="DE70" s="97">
        <f>yrSales!N270</f>
        <v>0</v>
      </c>
      <c r="DF70" s="310">
        <f>yrSales!O270</f>
        <v>3</v>
      </c>
      <c r="DG70" s="310">
        <f>yrSales!P270</f>
        <v>14</v>
      </c>
      <c r="DH70" s="310">
        <f>yrSales!Q270</f>
        <v>16</v>
      </c>
      <c r="DI70" s="310">
        <f>yrSales!R270</f>
        <v>19</v>
      </c>
      <c r="DJ70" s="310">
        <f>yrSales!S270</f>
        <v>21</v>
      </c>
      <c r="DK70" s="310">
        <f>yrSales!T270</f>
        <v>24</v>
      </c>
      <c r="DL70" s="310">
        <f>yrSales!U270</f>
        <v>8</v>
      </c>
      <c r="DM70" s="310">
        <f>yrSales!V270</f>
        <v>0</v>
      </c>
      <c r="DN70" s="310">
        <f>yrSales!W270</f>
        <v>0</v>
      </c>
      <c r="DO70" s="97">
        <f>yrSales!X270</f>
        <v>0</v>
      </c>
      <c r="DP70" s="97">
        <f>yrSales!Y270</f>
        <v>0</v>
      </c>
      <c r="DQ70" s="97">
        <f>yrSales!Z270</f>
        <v>0</v>
      </c>
      <c r="DR70" s="97">
        <f>yrSales!AA270</f>
        <v>0</v>
      </c>
      <c r="DS70" s="207">
        <f>+yrSales!AB167</f>
        <v>0</v>
      </c>
    </row>
    <row r="71" spans="1:129" ht="12" customHeight="1">
      <c r="A71" s="97"/>
      <c r="B71" s="974"/>
      <c r="C71" s="970"/>
      <c r="D71" s="970"/>
      <c r="E71" s="970"/>
      <c r="F71" s="970"/>
      <c r="G71" s="97"/>
      <c r="H71" s="97"/>
      <c r="I71" s="97"/>
      <c r="J71" s="97"/>
      <c r="K71" s="97"/>
      <c r="L71" s="97"/>
      <c r="M71" s="97"/>
      <c r="N71" s="97"/>
      <c r="O71" s="97"/>
      <c r="P71" s="97"/>
      <c r="Q71" s="802"/>
      <c r="R71" s="97"/>
      <c r="S71" s="97"/>
      <c r="V71" s="801"/>
      <c r="W71" s="801"/>
      <c r="X71" s="991"/>
      <c r="Y71" s="802"/>
      <c r="Z71" s="802"/>
      <c r="AA71" s="801"/>
      <c r="AB71" s="801"/>
      <c r="AC71" s="991"/>
      <c r="AD71" s="802"/>
      <c r="AE71" s="802"/>
      <c r="AF71" s="801"/>
      <c r="AG71" s="801"/>
      <c r="AH71" s="197"/>
      <c r="AI71" s="97"/>
      <c r="AJ71" s="97"/>
      <c r="AK71" s="801"/>
      <c r="AL71" s="801"/>
      <c r="AN71" s="97"/>
      <c r="AO71" s="97"/>
      <c r="AP71" s="97"/>
      <c r="AQ71" s="197"/>
      <c r="AR71" s="97"/>
      <c r="AS71" s="97"/>
      <c r="AT71" s="97"/>
      <c r="AU71" s="97"/>
      <c r="AX71" s="97"/>
      <c r="AY71" s="97"/>
      <c r="AZ71" s="919"/>
      <c r="BE71" s="919"/>
      <c r="BF71" s="802"/>
      <c r="BG71" s="97"/>
      <c r="BH71" s="97"/>
      <c r="BI71" s="97"/>
      <c r="BJ71" s="919"/>
      <c r="BO71" s="813"/>
      <c r="BT71" s="919"/>
      <c r="BU71" s="820"/>
      <c r="BV71" s="820"/>
      <c r="BW71" s="820"/>
      <c r="BX71" s="820"/>
      <c r="BY71" s="919"/>
      <c r="CA71" s="197"/>
      <c r="CB71" s="919"/>
      <c r="CC71" s="919"/>
      <c r="CD71" s="919"/>
      <c r="CF71" s="991"/>
      <c r="CG71" s="802"/>
      <c r="CH71" s="802"/>
      <c r="CI71" s="802"/>
      <c r="CJ71" s="97"/>
      <c r="CK71" s="991"/>
      <c r="CL71" s="802"/>
      <c r="CM71" s="802"/>
      <c r="CN71" s="802"/>
      <c r="CO71" s="97"/>
      <c r="CP71" s="995" t="s">
        <v>310</v>
      </c>
      <c r="CQ71" s="802"/>
      <c r="CR71" s="802"/>
      <c r="CS71" s="802"/>
      <c r="CT71" s="802">
        <f>yrSales!C228</f>
        <v>0.96156400000000009</v>
      </c>
      <c r="CU71" s="802">
        <f>yrSales!D228</f>
        <v>1.2287640000000002</v>
      </c>
      <c r="CV71" s="802">
        <f>yrSales!E228</f>
        <v>1.5217640000000001</v>
      </c>
      <c r="CW71" s="802">
        <f>yrSales!F228</f>
        <v>1.7906640000000003</v>
      </c>
      <c r="CX71" s="970">
        <f>yrSales!G228</f>
        <v>2.1739999999999999</v>
      </c>
      <c r="CY71" s="970">
        <f>yrSales!H228</f>
        <v>2.8490000000000002</v>
      </c>
      <c r="CZ71" s="970">
        <f>yrSales!I228</f>
        <v>3.673</v>
      </c>
      <c r="DA71" s="970">
        <f>yrSales!J228</f>
        <v>4.3575140000000001</v>
      </c>
      <c r="DB71" s="970">
        <f>yrSales!K228</f>
        <v>5.0158140000000007</v>
      </c>
      <c r="DC71" s="970">
        <f>yrSales!L228</f>
        <v>5.5903639999999992</v>
      </c>
      <c r="DD71" s="970">
        <f>yrSales!M228</f>
        <v>6.0253639999999997</v>
      </c>
      <c r="DE71" s="970">
        <f>yrSales!N228</f>
        <v>6.6933639999999999</v>
      </c>
      <c r="DF71" s="970">
        <f>yrSales!O228</f>
        <v>7.337364</v>
      </c>
      <c r="DG71" s="970">
        <f>yrSales!P228</f>
        <v>8.0223639999999996</v>
      </c>
      <c r="DH71" s="970">
        <f>yrSales!Q228</f>
        <v>7.8471839999999995</v>
      </c>
      <c r="DI71" s="970">
        <f>yrSales!R228</f>
        <v>7.7568339999999996</v>
      </c>
      <c r="DJ71" s="970">
        <f>yrSales!S228</f>
        <v>7.742534</v>
      </c>
      <c r="DK71" s="970">
        <f>yrSales!T228</f>
        <v>7.9580000000000002</v>
      </c>
      <c r="DL71" s="970">
        <f>yrSales!U228</f>
        <v>7.7359999999999998</v>
      </c>
      <c r="DM71" s="970">
        <f>yrSales!V228</f>
        <v>7.5170000000000003</v>
      </c>
      <c r="DN71" s="970">
        <f>yrSales!W228</f>
        <v>7.2919999999999998</v>
      </c>
      <c r="DO71" s="970">
        <f>yrSales!X228</f>
        <v>7.0069999999999997</v>
      </c>
      <c r="DP71" s="970">
        <f>yrSales!Y228</f>
        <v>6.8868139999999984</v>
      </c>
      <c r="DQ71" s="970">
        <f>yrSales!Z228</f>
        <v>6.5972139999999984</v>
      </c>
      <c r="DR71" s="970">
        <f>yrSales!AA228</f>
        <v>6.4518839999999997</v>
      </c>
      <c r="DS71" s="972">
        <f>yrSales!AB228</f>
        <v>6.1902839999999992</v>
      </c>
    </row>
    <row r="72" spans="1:129">
      <c r="A72" s="958" t="s">
        <v>1442</v>
      </c>
      <c r="B72" s="203"/>
      <c r="C72" s="203"/>
      <c r="D72" s="203"/>
      <c r="E72" s="203"/>
      <c r="F72" s="992">
        <f>+F70/E70-1</f>
        <v>0.28922428922428911</v>
      </c>
      <c r="G72" s="203"/>
      <c r="H72" s="203"/>
      <c r="I72" s="203"/>
      <c r="J72" s="203"/>
      <c r="K72" s="203"/>
      <c r="L72" s="203"/>
      <c r="M72" s="203"/>
      <c r="N72" s="203"/>
      <c r="O72" s="203"/>
      <c r="P72" s="203"/>
      <c r="Q72" s="993"/>
      <c r="R72" s="203"/>
      <c r="S72" s="203"/>
      <c r="T72" s="203"/>
      <c r="U72" s="203"/>
      <c r="V72" s="993"/>
      <c r="W72" s="964"/>
      <c r="X72" s="203"/>
      <c r="Y72" s="964"/>
      <c r="Z72" s="964"/>
      <c r="AA72" s="993"/>
      <c r="AB72" s="964"/>
      <c r="AC72" s="203"/>
      <c r="AD72" s="964"/>
      <c r="AE72" s="964"/>
      <c r="AF72" s="993"/>
      <c r="AG72" s="964"/>
      <c r="AH72" s="994"/>
      <c r="AI72" s="993"/>
      <c r="AJ72" s="993"/>
      <c r="AK72" s="993"/>
      <c r="AL72" s="964"/>
      <c r="AM72" s="203"/>
      <c r="AN72" s="993"/>
      <c r="AO72" s="993"/>
      <c r="AP72" s="993"/>
      <c r="AQ72" s="994"/>
      <c r="AR72" s="993"/>
      <c r="AS72" s="993"/>
      <c r="AT72" s="993"/>
      <c r="AU72" s="993"/>
      <c r="AV72" s="203"/>
      <c r="AW72" s="203"/>
      <c r="AX72" s="993"/>
      <c r="AY72" s="993"/>
      <c r="AZ72" s="993"/>
      <c r="BA72" s="203"/>
      <c r="BB72" s="203"/>
      <c r="BC72" s="203"/>
      <c r="BD72" s="203"/>
      <c r="BE72" s="993"/>
      <c r="BF72" s="993"/>
      <c r="BG72" s="203"/>
      <c r="BH72" s="203"/>
      <c r="BI72" s="203"/>
      <c r="BJ72" s="993"/>
      <c r="BO72" s="813"/>
      <c r="BT72" s="802"/>
      <c r="BY72" s="802"/>
      <c r="CD72" s="802"/>
      <c r="CE72" s="961" t="s">
        <v>1485</v>
      </c>
      <c r="CF72" s="961" t="s">
        <v>1486</v>
      </c>
      <c r="CG72" s="961" t="s">
        <v>1487</v>
      </c>
      <c r="CH72" s="962" t="s">
        <v>1488</v>
      </c>
      <c r="CI72" s="576"/>
      <c r="CJ72" s="97"/>
      <c r="CK72" s="97"/>
      <c r="CL72" s="576"/>
      <c r="CM72" s="576"/>
      <c r="CN72" s="576"/>
      <c r="CO72" s="97"/>
      <c r="CP72" s="206" t="s">
        <v>702</v>
      </c>
      <c r="CQ72" s="576"/>
      <c r="CR72" s="576"/>
      <c r="CS72" s="576"/>
      <c r="CT72" s="576">
        <f>yrSales!C229</f>
        <v>0</v>
      </c>
      <c r="CU72" s="576">
        <f>yrSales!D229</f>
        <v>0.27788061949074638</v>
      </c>
      <c r="CV72" s="576">
        <f>yrSales!E229</f>
        <v>0.23845099628569844</v>
      </c>
      <c r="CW72" s="576">
        <f>yrSales!F229</f>
        <v>0.1767028264566648</v>
      </c>
      <c r="CX72" s="576">
        <f t="shared" ref="CX72:DN72" si="65">+CX71/CW71-1</f>
        <v>0.21407477896467442</v>
      </c>
      <c r="CY72" s="576">
        <f t="shared" si="65"/>
        <v>0.31048758049678016</v>
      </c>
      <c r="CZ72" s="576">
        <f t="shared" si="65"/>
        <v>0.28922428922428911</v>
      </c>
      <c r="DA72" s="576">
        <f t="shared" si="65"/>
        <v>0.18636373536618578</v>
      </c>
      <c r="DB72" s="576">
        <f t="shared" si="65"/>
        <v>0.15107237750699154</v>
      </c>
      <c r="DC72" s="576">
        <f t="shared" si="65"/>
        <v>0.11454770850753215</v>
      </c>
      <c r="DD72" s="576">
        <f t="shared" si="65"/>
        <v>7.781246444775336E-2</v>
      </c>
      <c r="DE72" s="576">
        <f t="shared" si="65"/>
        <v>0.11086467141238265</v>
      </c>
      <c r="DF72" s="576">
        <f t="shared" si="65"/>
        <v>9.6214698617914651E-2</v>
      </c>
      <c r="DG72" s="576">
        <f t="shared" si="65"/>
        <v>9.3357778079430132E-2</v>
      </c>
      <c r="DH72" s="576">
        <f t="shared" si="65"/>
        <v>-2.1836456186730024E-2</v>
      </c>
      <c r="DI72" s="576">
        <f t="shared" si="65"/>
        <v>-1.1513684399397262E-2</v>
      </c>
      <c r="DJ72" s="576">
        <f t="shared" si="65"/>
        <v>-1.8435356486937726E-3</v>
      </c>
      <c r="DK72" s="576">
        <f t="shared" si="65"/>
        <v>2.7828873596163817E-2</v>
      </c>
      <c r="DL72" s="576">
        <f t="shared" si="65"/>
        <v>-2.7896456396079516E-2</v>
      </c>
      <c r="DM72" s="576">
        <f t="shared" si="65"/>
        <v>-2.8309203722854059E-2</v>
      </c>
      <c r="DN72" s="576">
        <f t="shared" si="65"/>
        <v>-2.9932153784754667E-2</v>
      </c>
      <c r="DO72" s="576">
        <f>+DO71/DN71-1</f>
        <v>-3.9083927591881507E-2</v>
      </c>
      <c r="DP72" s="576">
        <f>+DP71/DO71-1</f>
        <v>-1.7152276295133606E-2</v>
      </c>
      <c r="DQ72" s="576">
        <f>+DQ71/DP71-1</f>
        <v>-4.205137528035463E-2</v>
      </c>
      <c r="DR72" s="576">
        <f>+DR71/DQ71-1</f>
        <v>-2.2028995876137825E-2</v>
      </c>
      <c r="DS72" s="733">
        <f>+DS71/DR71-1</f>
        <v>-4.0546296244631908E-2</v>
      </c>
    </row>
    <row r="73" spans="1:129">
      <c r="A73" s="995" t="s">
        <v>300</v>
      </c>
      <c r="B73" s="978"/>
      <c r="C73" s="968">
        <f>yrSales!F231</f>
        <v>9136.0408163265311</v>
      </c>
      <c r="D73" s="968">
        <f>yrSales!G231</f>
        <v>8696</v>
      </c>
      <c r="E73" s="968">
        <f>yrSales!H231</f>
        <v>8048.0225988700568</v>
      </c>
      <c r="F73" s="968">
        <f>yrSales!I231</f>
        <v>7480.6517311608959</v>
      </c>
      <c r="G73" s="97"/>
      <c r="H73" s="97"/>
      <c r="I73" s="97"/>
      <c r="J73" s="97"/>
      <c r="K73" s="97"/>
      <c r="L73" s="97"/>
      <c r="M73" s="97"/>
      <c r="N73" s="97"/>
      <c r="O73" s="97"/>
      <c r="P73" s="97"/>
      <c r="Q73" s="97"/>
      <c r="R73" s="97"/>
      <c r="S73" s="97"/>
      <c r="T73" s="97"/>
      <c r="U73" s="97"/>
      <c r="V73" s="97"/>
      <c r="W73" s="97"/>
      <c r="X73" s="802"/>
      <c r="Y73" s="97"/>
      <c r="Z73" s="97"/>
      <c r="AA73" s="97"/>
      <c r="AB73" s="97"/>
      <c r="AC73" s="802"/>
      <c r="AD73" s="97"/>
      <c r="AE73" s="97"/>
      <c r="AF73" s="97"/>
      <c r="AG73" s="97"/>
      <c r="AH73" s="97"/>
      <c r="AI73" s="813"/>
      <c r="AJ73" s="813"/>
      <c r="AK73" s="97"/>
      <c r="AL73" s="97"/>
      <c r="AM73" s="97"/>
      <c r="AN73" s="813"/>
      <c r="AO73" s="813"/>
      <c r="AP73" s="813"/>
      <c r="AQ73" s="97"/>
      <c r="AR73" s="813"/>
      <c r="AS73" s="813"/>
      <c r="AT73" s="813"/>
      <c r="AU73" s="813"/>
      <c r="AV73" s="97"/>
      <c r="AW73" s="97"/>
      <c r="AX73" s="813"/>
      <c r="AY73" s="813"/>
      <c r="AZ73" s="576"/>
      <c r="BA73" s="97"/>
      <c r="BB73" s="97"/>
      <c r="BC73" s="97"/>
      <c r="BD73" s="97"/>
      <c r="BE73" s="576"/>
      <c r="BF73" s="802"/>
      <c r="BG73" s="97"/>
      <c r="BH73" s="97"/>
      <c r="BI73" s="97"/>
      <c r="BJ73" s="576"/>
      <c r="BO73" s="813"/>
      <c r="BT73" s="576"/>
      <c r="BY73" s="576"/>
      <c r="CD73" s="576"/>
      <c r="CE73" s="996">
        <f t="shared" ref="CE73:CH74" si="66">(CE45-BZ45)*10000</f>
        <v>30.706380858658289</v>
      </c>
      <c r="CF73" s="996">
        <f t="shared" si="66"/>
        <v>-110.76476273245261</v>
      </c>
      <c r="CG73" s="996">
        <f t="shared" si="66"/>
        <v>-126.88791261127763</v>
      </c>
      <c r="CH73" s="997">
        <f t="shared" si="66"/>
        <v>-133.76787833080382</v>
      </c>
      <c r="CI73" s="97"/>
      <c r="CJ73" s="97"/>
      <c r="CK73" s="802"/>
      <c r="CL73" s="97"/>
      <c r="CM73" s="97"/>
      <c r="CN73" s="97"/>
      <c r="CO73" s="97"/>
      <c r="CP73" s="851" t="s">
        <v>312</v>
      </c>
      <c r="CQ73" s="97"/>
      <c r="CR73" s="97"/>
      <c r="CS73" s="97"/>
      <c r="CT73" s="968">
        <f>yrSales!C231</f>
        <v>9615.6400000000012</v>
      </c>
      <c r="CU73" s="968">
        <f>yrSales!D231</f>
        <v>9675.3070866141752</v>
      </c>
      <c r="CV73" s="968">
        <f>yrSales!E231</f>
        <v>9754.8974358974374</v>
      </c>
      <c r="CW73" s="968">
        <f>yrSales!F231</f>
        <v>9136.0408163265311</v>
      </c>
      <c r="CX73" s="968">
        <f>yrSales!G231</f>
        <v>8696</v>
      </c>
      <c r="CY73" s="968">
        <f>yrSales!H231</f>
        <v>8048.0225988700568</v>
      </c>
      <c r="CZ73" s="968">
        <f>yrSales!I231</f>
        <v>7480.6517311608959</v>
      </c>
      <c r="DA73" s="968">
        <f>yrSales!J231</f>
        <v>7299.0184254606365</v>
      </c>
      <c r="DB73" s="968">
        <f>yrSales!K231</f>
        <v>7165.4485714285729</v>
      </c>
      <c r="DC73" s="968">
        <f>yrSales!L231</f>
        <v>7094.3705583756337</v>
      </c>
      <c r="DD73" s="968">
        <f>yrSales!M231</f>
        <v>7080.3337250293771</v>
      </c>
      <c r="DE73" s="968">
        <f>yrSales!N231</f>
        <v>7090.4279661016953</v>
      </c>
      <c r="DF73" s="968">
        <f>yrSales!O231</f>
        <v>7089.2405797101446</v>
      </c>
      <c r="DG73" s="968">
        <f>yrSales!P231</f>
        <v>7130.9902222222227</v>
      </c>
      <c r="DH73" s="968">
        <f>yrSales!Q231</f>
        <v>7153.3126709206917</v>
      </c>
      <c r="DI73" s="968">
        <f>yrSales!R231</f>
        <v>7256.1590271281575</v>
      </c>
      <c r="DJ73" s="968">
        <f>yrSales!S231</f>
        <v>7437.5926993275698</v>
      </c>
      <c r="DK73" s="968">
        <f>yrSales!T231</f>
        <v>7644.5725264169068</v>
      </c>
      <c r="DL73" s="968">
        <f>yrSales!U231</f>
        <v>7689.8608349900596</v>
      </c>
      <c r="DM73" s="968">
        <f>yrSales!V231</f>
        <v>7822.0603537981269</v>
      </c>
      <c r="DN73" s="968">
        <f>yrSales!W231</f>
        <v>7824.0343347639482</v>
      </c>
      <c r="DO73" s="968">
        <f>yrSales!X231</f>
        <v>7802.8953229398667</v>
      </c>
      <c r="DP73" s="968">
        <f>yrSales!Y231</f>
        <v>7934.1175115207352</v>
      </c>
      <c r="DQ73" s="968">
        <f>yrSales!Z231</f>
        <v>7910.3285371702614</v>
      </c>
      <c r="DR73" s="968">
        <f>yrSales!AA231</f>
        <v>8187.6700507614214</v>
      </c>
      <c r="DS73" s="1001">
        <f>yrSales!AB231</f>
        <v>8231.760638297872</v>
      </c>
    </row>
    <row r="74" spans="1:129">
      <c r="A74" s="995" t="s">
        <v>301</v>
      </c>
      <c r="B74" s="991"/>
      <c r="C74" s="998">
        <f>yrSales!F237</f>
        <v>486.15698212912093</v>
      </c>
      <c r="D74" s="998">
        <f>yrSales!G237</f>
        <v>520.02288214083205</v>
      </c>
      <c r="E74" s="998">
        <f>yrSales!H237</f>
        <v>492.77483575552463</v>
      </c>
      <c r="F74" s="998">
        <f>yrSales!I237</f>
        <v>418.53817847286109</v>
      </c>
      <c r="G74" s="97"/>
      <c r="H74" s="97"/>
      <c r="I74" s="97"/>
      <c r="J74" s="97"/>
      <c r="K74" s="97"/>
      <c r="L74" s="97"/>
      <c r="M74" s="97"/>
      <c r="N74" s="97"/>
      <c r="O74" s="97"/>
      <c r="P74" s="97"/>
      <c r="Q74" s="97"/>
      <c r="R74" s="97"/>
      <c r="S74" s="97"/>
      <c r="T74" s="97"/>
      <c r="U74" s="97"/>
      <c r="V74" s="97"/>
      <c r="W74" s="97"/>
      <c r="X74" s="991"/>
      <c r="Y74" s="97"/>
      <c r="Z74" s="97"/>
      <c r="AA74" s="97"/>
      <c r="AB74" s="97"/>
      <c r="AC74" s="991"/>
      <c r="AD74" s="97"/>
      <c r="AE74" s="97"/>
      <c r="AF74" s="97"/>
      <c r="AG74" s="97"/>
      <c r="AH74" s="802"/>
      <c r="AI74" s="97"/>
      <c r="AJ74" s="97"/>
      <c r="AK74" s="97"/>
      <c r="AL74" s="97"/>
      <c r="AM74" s="97"/>
      <c r="AN74" s="97"/>
      <c r="AO74" s="97"/>
      <c r="AP74" s="97"/>
      <c r="AQ74" s="802"/>
      <c r="AR74" s="97"/>
      <c r="AS74" s="97"/>
      <c r="AT74" s="97"/>
      <c r="AU74" s="97"/>
      <c r="AV74" s="97"/>
      <c r="AW74" s="97"/>
      <c r="AX74" s="97"/>
      <c r="AY74" s="97"/>
      <c r="AZ74" s="97"/>
      <c r="BA74" s="97"/>
      <c r="BB74" s="97"/>
      <c r="BC74" s="97"/>
      <c r="BD74" s="97"/>
      <c r="BE74" s="97"/>
      <c r="BF74" s="802"/>
      <c r="BG74" s="97"/>
      <c r="BH74" s="97"/>
      <c r="BI74" s="97"/>
      <c r="BJ74" s="97"/>
      <c r="BO74" s="813"/>
      <c r="CE74" s="999">
        <f t="shared" si="66"/>
        <v>109.01626762350514</v>
      </c>
      <c r="CF74" s="999">
        <f t="shared" si="66"/>
        <v>300.75580689267747</v>
      </c>
      <c r="CG74" s="999">
        <f t="shared" si="66"/>
        <v>253.81001553362537</v>
      </c>
      <c r="CH74" s="1000">
        <f t="shared" si="66"/>
        <v>440.61624943194045</v>
      </c>
      <c r="CI74" s="97"/>
      <c r="CJ74" s="97"/>
      <c r="CK74" s="991"/>
      <c r="CL74" s="97"/>
      <c r="CM74" s="97"/>
      <c r="CN74" s="97"/>
      <c r="CO74" s="97"/>
      <c r="CP74" s="995" t="s">
        <v>1434</v>
      </c>
      <c r="CQ74" s="97"/>
      <c r="CR74" s="97"/>
      <c r="CS74" s="97"/>
      <c r="CT74" s="968"/>
      <c r="CU74" s="968"/>
      <c r="CV74" s="968"/>
      <c r="CW74" s="968"/>
      <c r="CX74" s="968"/>
      <c r="CY74" s="968"/>
      <c r="CZ74" s="855">
        <f>yrSales!I237</f>
        <v>418.53817847286109</v>
      </c>
      <c r="DA74" s="855">
        <f>yrSales!J237</f>
        <v>397.42337788091766</v>
      </c>
      <c r="DB74" s="855">
        <f>yrSales!K237</f>
        <v>364.39757575964484</v>
      </c>
      <c r="DC74" s="855">
        <f>yrSales!L237</f>
        <v>381.1465355380609</v>
      </c>
      <c r="DD74" s="855">
        <f>yrSales!M237</f>
        <v>479.47248764778249</v>
      </c>
      <c r="DE74" s="855">
        <f>yrSales!N237</f>
        <v>521.77513348819161</v>
      </c>
      <c r="DF74" s="855">
        <f>yrSales!O237</f>
        <v>534.51923521003323</v>
      </c>
      <c r="DG74" s="855">
        <f>yrSales!P237</f>
        <v>458.65200217087181</v>
      </c>
      <c r="DH74" s="855">
        <f>yrSales!Q237</f>
        <v>371.4698915294764</v>
      </c>
      <c r="DI74" s="855">
        <f>yrSales!R237</f>
        <v>439.45091578335791</v>
      </c>
      <c r="DJ74" s="855">
        <f>yrSales!S237</f>
        <v>527.12355755408862</v>
      </c>
      <c r="DK74" s="855">
        <f>yrSales!T237</f>
        <v>574.6052968644251</v>
      </c>
      <c r="DL74" s="855">
        <f>yrSales!U237</f>
        <v>524.64597935516758</v>
      </c>
      <c r="DM74" s="855">
        <f>yrSales!V237</f>
        <v>490.923752704386</v>
      </c>
      <c r="DN74" s="855">
        <f>yrSales!W237</f>
        <v>475.20831926531162</v>
      </c>
      <c r="DO74" s="855">
        <f>yrSales!X237</f>
        <v>465.3108608993636</v>
      </c>
      <c r="DP74" s="855">
        <f>yrSales!Y237</f>
        <v>502.76907406418428</v>
      </c>
      <c r="DQ74" s="855">
        <f>yrSales!Z237</f>
        <v>520.2985873679587</v>
      </c>
      <c r="DR74" s="855">
        <f>yrSales!AA237</f>
        <v>536.59705597130255</v>
      </c>
      <c r="DS74" s="857">
        <f>yrSales!AB237</f>
        <v>550.91048237987513</v>
      </c>
    </row>
    <row r="75" spans="1:129">
      <c r="A75" s="1002" t="s">
        <v>278</v>
      </c>
      <c r="B75" s="986"/>
      <c r="C75" s="1003"/>
      <c r="D75" s="1003"/>
      <c r="E75" s="1003"/>
      <c r="F75" s="1003"/>
      <c r="G75" s="96"/>
      <c r="H75" s="96"/>
      <c r="I75" s="96"/>
      <c r="J75" s="96"/>
      <c r="K75" s="96"/>
      <c r="L75" s="96"/>
      <c r="M75" s="96"/>
      <c r="N75" s="96"/>
      <c r="O75" s="96"/>
      <c r="P75" s="96"/>
      <c r="Q75" s="96"/>
      <c r="R75" s="96"/>
      <c r="S75" s="96"/>
      <c r="T75" s="96"/>
      <c r="U75" s="96"/>
      <c r="V75" s="96"/>
      <c r="W75" s="96"/>
      <c r="X75" s="986"/>
      <c r="Y75" s="96"/>
      <c r="Z75" s="96"/>
      <c r="AA75" s="96"/>
      <c r="AB75" s="96"/>
      <c r="AC75" s="986"/>
      <c r="AD75" s="96"/>
      <c r="AE75" s="96"/>
      <c r="AF75" s="96"/>
      <c r="AG75" s="96"/>
      <c r="AH75" s="806"/>
      <c r="AI75" s="96"/>
      <c r="AJ75" s="96"/>
      <c r="AK75" s="96"/>
      <c r="AL75" s="96"/>
      <c r="AM75" s="96"/>
      <c r="AN75" s="96"/>
      <c r="AO75" s="96"/>
      <c r="AP75" s="96"/>
      <c r="AQ75" s="806"/>
      <c r="AR75" s="96"/>
      <c r="AS75" s="96"/>
      <c r="AT75" s="96"/>
      <c r="AU75" s="96"/>
      <c r="AV75" s="96"/>
      <c r="AW75" s="96"/>
      <c r="AX75" s="96"/>
      <c r="AY75" s="96"/>
      <c r="AZ75" s="96"/>
      <c r="BA75" s="806"/>
      <c r="BB75" s="96"/>
      <c r="BC75" s="96"/>
      <c r="BD75" s="96"/>
      <c r="BE75" s="96"/>
      <c r="BF75" s="806"/>
      <c r="BG75" s="96"/>
      <c r="BH75" s="96"/>
      <c r="BI75" s="96"/>
      <c r="BJ75" s="96"/>
      <c r="BN75" s="97"/>
      <c r="BO75" s="813"/>
      <c r="CE75" s="1004">
        <f>(CE49-BZ49)*10000</f>
        <v>-78.309886764847406</v>
      </c>
      <c r="CF75" s="1004">
        <f>(CF49-CA49)*10000</f>
        <v>-411.52056962513063</v>
      </c>
      <c r="CG75" s="1004">
        <f>(CG49-CB49)*10000</f>
        <v>-380.69792814490216</v>
      </c>
      <c r="CH75" s="1005">
        <f>(CH49-CC49)*10000</f>
        <v>-574.38412776274515</v>
      </c>
      <c r="CI75" s="97"/>
      <c r="CJ75" s="97"/>
      <c r="CK75" s="991"/>
      <c r="CL75" s="97"/>
      <c r="CM75" s="97"/>
      <c r="CN75" s="97"/>
      <c r="CO75" s="97"/>
      <c r="CP75" s="1002" t="s">
        <v>1435</v>
      </c>
      <c r="CQ75" s="96"/>
      <c r="CR75" s="96"/>
      <c r="CS75" s="96"/>
      <c r="CT75" s="1006"/>
      <c r="CU75" s="1006"/>
      <c r="CV75" s="1006"/>
      <c r="CW75" s="1006"/>
      <c r="CX75" s="1006"/>
      <c r="CY75" s="1006"/>
      <c r="CZ75" s="1007">
        <f>yrSales!I238</f>
        <v>-0.15065026031380757</v>
      </c>
      <c r="DA75" s="1007">
        <f>yrSales!J238</f>
        <v>-5.0448923605932339E-2</v>
      </c>
      <c r="DB75" s="1007">
        <f>yrSales!K238</f>
        <v>-8.3099797242346729E-2</v>
      </c>
      <c r="DC75" s="1007">
        <f>yrSales!L238</f>
        <v>4.5963422625686201E-2</v>
      </c>
      <c r="DD75" s="1007">
        <f>yrSales!M202/yrSales!M225</f>
        <v>455.35002197021151</v>
      </c>
      <c r="DE75" s="1007">
        <f>yrSales!N202/yrSales!N225</f>
        <v>490.49842091127351</v>
      </c>
      <c r="DF75" s="1007">
        <f>yrSales!O202/yrSales!O225</f>
        <v>492.02678578046698</v>
      </c>
      <c r="DG75" s="1007">
        <f>yrSales!P202/yrSales!P225</f>
        <v>417.63565083965028</v>
      </c>
      <c r="DH75" s="1007">
        <f>yrSales!Q202/yrSales!Q225</f>
        <v>334.90930391853749</v>
      </c>
      <c r="DI75" s="1007">
        <f>yrSales!R202/yrSales!R225</f>
        <v>387.54120893733915</v>
      </c>
      <c r="DJ75" s="1007">
        <f>yrSales!S202/yrSales!S225</f>
        <v>455.83032804950494</v>
      </c>
      <c r="DK75" s="1007">
        <f>yrSales!T202/yrSales!T225</f>
        <v>485.35623055878227</v>
      </c>
      <c r="DL75" s="1007">
        <f>yrSales!U202/yrSales!U225</f>
        <v>425.63795080922642</v>
      </c>
      <c r="DM75" s="1007">
        <f>yrSales!V202/yrSales!V225</f>
        <v>381.75939159509602</v>
      </c>
      <c r="DN75" s="1007">
        <f>yrSales!W202/yrSales!W225</f>
        <v>362.97706259706933</v>
      </c>
      <c r="DO75" s="1007">
        <f>yrSales!X202/yrSales!X225</f>
        <v>345.73409748933494</v>
      </c>
      <c r="DP75" s="1007">
        <f>yrSales!Y202/yrSales!Y225</f>
        <v>362.07417632048339</v>
      </c>
      <c r="DQ75" s="1007">
        <f>yrSales!Z202/yrSales!Z225</f>
        <v>373.89123005603381</v>
      </c>
      <c r="DR75" s="1007">
        <f>yrSales!AA202/yrSales!AA225</f>
        <v>380.77128682143478</v>
      </c>
      <c r="DS75" s="887">
        <f>yrSales!AB202/yrSales!AB225</f>
        <v>385.24369923485921</v>
      </c>
    </row>
    <row r="76" spans="1:129">
      <c r="A76" s="995"/>
      <c r="B76" s="991"/>
      <c r="C76" s="998"/>
      <c r="D76" s="998"/>
      <c r="E76" s="998"/>
      <c r="F76" s="998"/>
      <c r="G76" s="97"/>
      <c r="H76" s="97"/>
      <c r="I76" s="97"/>
      <c r="J76" s="97"/>
      <c r="K76" s="97"/>
      <c r="L76" s="97"/>
      <c r="M76" s="97"/>
      <c r="N76" s="97"/>
      <c r="O76" s="97"/>
      <c r="P76" s="97"/>
      <c r="Q76" s="97"/>
      <c r="R76" s="97"/>
      <c r="S76" s="97"/>
      <c r="T76" s="97"/>
      <c r="U76" s="97"/>
      <c r="V76" s="97"/>
      <c r="W76" s="97"/>
      <c r="X76" s="991"/>
      <c r="Y76" s="97"/>
      <c r="Z76" s="97"/>
      <c r="AA76" s="97"/>
      <c r="AB76" s="97"/>
      <c r="AC76" s="991"/>
      <c r="AD76" s="97"/>
      <c r="AE76" s="97"/>
      <c r="AF76" s="97"/>
      <c r="AG76" s="97"/>
      <c r="AH76" s="802"/>
      <c r="AI76" s="97"/>
      <c r="AJ76" s="97"/>
      <c r="AK76" s="97"/>
      <c r="AL76" s="97"/>
      <c r="AM76" s="97"/>
      <c r="AN76" s="97"/>
      <c r="AO76" s="97"/>
      <c r="AP76" s="97"/>
      <c r="AQ76" s="802"/>
      <c r="AR76" s="97"/>
      <c r="AS76" s="97"/>
      <c r="AT76" s="97"/>
      <c r="AU76" s="97"/>
      <c r="AV76" s="97"/>
      <c r="AW76" s="97"/>
      <c r="AX76" s="97"/>
      <c r="AY76" s="97"/>
      <c r="AZ76" s="97"/>
      <c r="BA76" s="802"/>
      <c r="BB76" s="97"/>
      <c r="BC76" s="97"/>
      <c r="BD76" s="97"/>
      <c r="BE76" s="97"/>
      <c r="BF76" s="802"/>
      <c r="BG76" s="97"/>
      <c r="BH76" s="97"/>
      <c r="BI76" s="97"/>
      <c r="BJ76" s="97"/>
      <c r="BK76" s="999"/>
      <c r="BL76" s="999"/>
      <c r="BM76" s="999"/>
      <c r="BN76" s="999"/>
      <c r="BO76" s="813"/>
      <c r="BP76" s="97"/>
      <c r="BQ76" s="97"/>
      <c r="BR76" s="97"/>
      <c r="BS76" s="97"/>
      <c r="BU76" s="97"/>
      <c r="BV76" s="97"/>
      <c r="BW76" s="97"/>
      <c r="BX76" s="97"/>
      <c r="BZ76" s="97"/>
      <c r="CA76" s="97"/>
      <c r="CB76" s="97"/>
      <c r="CC76" s="97"/>
      <c r="CE76" s="97"/>
      <c r="CF76" s="97"/>
      <c r="CG76" s="97"/>
      <c r="CH76" s="97"/>
      <c r="CI76" s="97"/>
      <c r="CJ76" s="97"/>
      <c r="CK76" s="97"/>
      <c r="CL76" s="97"/>
      <c r="CM76" s="97"/>
      <c r="CN76" s="97"/>
      <c r="CO76" s="97"/>
      <c r="CP76" s="97"/>
      <c r="CQ76" s="97"/>
      <c r="CR76" s="97"/>
      <c r="CS76" s="97"/>
      <c r="CT76" s="968"/>
      <c r="CU76" s="968"/>
      <c r="CV76" s="968"/>
      <c r="CW76" s="968"/>
      <c r="CX76" s="968"/>
      <c r="CY76" s="968"/>
      <c r="CZ76" s="968"/>
      <c r="DA76" s="968"/>
      <c r="DB76" s="968"/>
      <c r="DC76" s="968"/>
      <c r="DD76" s="968"/>
      <c r="DE76" s="968"/>
      <c r="DF76" s="968"/>
      <c r="DG76" s="968"/>
      <c r="DH76" s="968"/>
      <c r="DI76" s="968"/>
      <c r="DJ76" s="968"/>
      <c r="DK76" s="968"/>
      <c r="DL76" s="968"/>
      <c r="DM76" s="968"/>
      <c r="DN76" s="968"/>
      <c r="DO76" s="968"/>
      <c r="DP76" s="968"/>
      <c r="DQ76" s="968"/>
      <c r="DR76" s="968"/>
      <c r="DS76" s="968"/>
    </row>
    <row r="77" spans="1:129">
      <c r="BO77" s="820"/>
      <c r="BP77" s="97"/>
      <c r="BQ77" s="97"/>
      <c r="BR77" s="97"/>
      <c r="BS77" s="97"/>
      <c r="BU77" s="97"/>
      <c r="BV77" s="97"/>
      <c r="BW77" s="97"/>
      <c r="BX77" s="97"/>
      <c r="BZ77" s="97"/>
      <c r="CA77" s="97"/>
      <c r="CB77" s="97"/>
      <c r="CC77" s="97"/>
      <c r="CE77" s="97"/>
      <c r="CF77" s="1008"/>
      <c r="CG77" s="1008"/>
      <c r="CH77" s="1008"/>
      <c r="CI77" s="1008"/>
      <c r="CJ77" s="97"/>
      <c r="CK77" s="1009"/>
      <c r="CL77" s="1009"/>
      <c r="CM77" s="1009"/>
      <c r="CN77" s="1009"/>
      <c r="CO77" s="97"/>
      <c r="CP77" s="1008"/>
      <c r="CQ77" s="1008"/>
      <c r="CR77" s="1008"/>
      <c r="CS77" s="1008"/>
      <c r="CT77" s="1008">
        <f t="shared" ref="CT77:DH77" si="67">CT28+CT34</f>
        <v>10.838999999999988</v>
      </c>
      <c r="CU77" s="1008">
        <f t="shared" si="67"/>
        <v>24.577000000000027</v>
      </c>
      <c r="CV77" s="1008">
        <f t="shared" si="67"/>
        <v>48.321999999999989</v>
      </c>
      <c r="CW77" s="1008">
        <f t="shared" si="67"/>
        <v>102.06200000000004</v>
      </c>
      <c r="CX77" s="1008">
        <f t="shared" si="67"/>
        <v>149.6013999999999</v>
      </c>
      <c r="CY77" s="1008">
        <f t="shared" si="67"/>
        <v>158.13299999999998</v>
      </c>
      <c r="CZ77" s="1008">
        <f t="shared" si="67"/>
        <v>168.672</v>
      </c>
      <c r="DA77" s="1008">
        <f t="shared" si="67"/>
        <v>194.75399999999979</v>
      </c>
      <c r="DB77" s="1008">
        <f t="shared" si="67"/>
        <v>204.83000000000038</v>
      </c>
      <c r="DC77" s="1008">
        <f t="shared" si="67"/>
        <v>216.37399999999997</v>
      </c>
      <c r="DD77" s="1008">
        <f t="shared" si="67"/>
        <v>333.98400000000015</v>
      </c>
      <c r="DE77" s="1008">
        <f t="shared" si="67"/>
        <v>422.18499999999977</v>
      </c>
      <c r="DF77" s="1008">
        <f t="shared" si="67"/>
        <v>475.69300000000004</v>
      </c>
      <c r="DG77" s="1008">
        <f t="shared" si="67"/>
        <v>277.25600000000003</v>
      </c>
      <c r="DH77" s="1008">
        <f t="shared" si="67"/>
        <v>20.172999999999973</v>
      </c>
      <c r="DR77" s="968"/>
      <c r="DS77" s="968"/>
    </row>
    <row r="78" spans="1:129" outlineLevel="1">
      <c r="A78" s="906" t="s">
        <v>394</v>
      </c>
      <c r="C78" s="1008">
        <f>C28+C34</f>
        <v>14.962999999999997</v>
      </c>
      <c r="D78" s="1008">
        <f>D28+D34</f>
        <v>18.858000000000004</v>
      </c>
      <c r="E78" s="1008">
        <f>E28+E34</f>
        <v>39.058999999999997</v>
      </c>
      <c r="F78" s="1008">
        <f>F28+F34</f>
        <v>76.721400000000003</v>
      </c>
      <c r="G78" s="1008"/>
      <c r="H78" s="1008">
        <f>H28+H34</f>
        <v>16.16299999999999</v>
      </c>
      <c r="I78" s="1008">
        <f>I28+I34</f>
        <v>21.163000000000011</v>
      </c>
      <c r="J78" s="1008">
        <f>J28+J34</f>
        <v>43.592000000000013</v>
      </c>
      <c r="K78" s="1008">
        <f>K28+K34</f>
        <v>77.215000000000003</v>
      </c>
      <c r="L78" s="1008"/>
      <c r="M78" s="1008">
        <f>M28+M34</f>
        <v>22.957999999999959</v>
      </c>
      <c r="N78" s="1008">
        <f>N28+N34</f>
        <v>30.728999999999967</v>
      </c>
      <c r="O78" s="1008">
        <f>O28+O34</f>
        <v>47.081000000000017</v>
      </c>
      <c r="P78" s="1008">
        <f>P28+P34</f>
        <v>93.426999999999964</v>
      </c>
      <c r="Q78" s="1008"/>
      <c r="R78" s="1008">
        <f>R28+R34</f>
        <v>25.598999999999972</v>
      </c>
      <c r="S78" s="1008">
        <f>S28+S34</f>
        <v>34.381000000000022</v>
      </c>
      <c r="T78" s="1008">
        <f>T28+T34</f>
        <v>49.746999999999943</v>
      </c>
      <c r="U78" s="1008">
        <f>U28+U34</f>
        <v>94.124000000000024</v>
      </c>
      <c r="V78" s="1008"/>
      <c r="W78" s="1008">
        <f>W28+W34</f>
        <v>29.22</v>
      </c>
      <c r="X78" s="1008">
        <f>X28+X34</f>
        <v>42.825000000000045</v>
      </c>
      <c r="Y78" s="1008">
        <f>Y28+Y34</f>
        <v>39.896000000000072</v>
      </c>
      <c r="Z78" s="1008">
        <f>Z28+Z34</f>
        <v>99.943000000000069</v>
      </c>
      <c r="AA78" s="1008"/>
      <c r="AB78" s="1008">
        <f>AB28+AB34</f>
        <v>39.952999999999925</v>
      </c>
      <c r="AC78" s="1008">
        <f>AC28+AC34</f>
        <v>55.992999999999974</v>
      </c>
      <c r="AD78" s="1008">
        <f>AD28+AD34</f>
        <v>78.455999999999989</v>
      </c>
      <c r="AE78" s="1008">
        <f>AE28+AE34</f>
        <v>162.28300000000007</v>
      </c>
      <c r="AF78" s="1008"/>
      <c r="AG78" s="1008">
        <f>AG28+AG34</f>
        <v>56.239999999999966</v>
      </c>
      <c r="AH78" s="1008">
        <f>AH28+AH34</f>
        <v>65.72199999999998</v>
      </c>
      <c r="AI78" s="1008">
        <f>AI28+AI34</f>
        <v>102.03099999999993</v>
      </c>
      <c r="AJ78" s="1008">
        <f>AJ28+AJ34</f>
        <v>198.19200000000001</v>
      </c>
      <c r="AK78" s="1008"/>
      <c r="AL78" s="1008">
        <f>AL28+AL34</f>
        <v>60.080999999999989</v>
      </c>
      <c r="AM78" s="1008">
        <f>AM28+AM34</f>
        <v>81.275000000000006</v>
      </c>
      <c r="AN78" s="1008">
        <f>AN28+AN34</f>
        <v>117.58499999999992</v>
      </c>
      <c r="AO78" s="1008">
        <f>AO28+AO34</f>
        <v>216.75600000000009</v>
      </c>
      <c r="AP78" s="1008"/>
      <c r="AQ78" s="1008">
        <f>AQ28+AQ34</f>
        <v>62.119000000000014</v>
      </c>
      <c r="AR78" s="1008">
        <f>AR28+AR34</f>
        <v>77.833000000000027</v>
      </c>
      <c r="AS78" s="1008">
        <f>AS28+AS34</f>
        <v>63.899000000000065</v>
      </c>
      <c r="AT78" s="1008">
        <f>AT28+AT34</f>
        <v>68.406999999999954</v>
      </c>
      <c r="AU78" s="1008"/>
      <c r="AV78" s="1008">
        <f>AV28+AV34</f>
        <v>-59.239999999999917</v>
      </c>
      <c r="AW78" s="1008">
        <f>AW28+AW34</f>
        <v>-26.748000000000005</v>
      </c>
      <c r="AX78" s="1008">
        <f>AX28+AX34</f>
        <v>38.783999999999949</v>
      </c>
      <c r="AY78" s="1008">
        <f>AY28+AY34</f>
        <v>67.378999999999905</v>
      </c>
      <c r="AZ78" s="1008"/>
      <c r="BA78" s="1008">
        <f>BA28+BA34</f>
        <v>-11.828000000000031</v>
      </c>
      <c r="BB78" s="1008">
        <f>BB28+BB34</f>
        <v>21.266719999999957</v>
      </c>
      <c r="BC78" s="1008">
        <f>BC28+BC34</f>
        <v>50.040000000000049</v>
      </c>
      <c r="BD78" s="1008">
        <f>BD28+BD34</f>
        <v>124.04530919999981</v>
      </c>
      <c r="BE78" s="1008"/>
      <c r="BF78" s="802"/>
      <c r="BG78" s="97"/>
      <c r="BH78" s="97"/>
      <c r="BI78" s="97"/>
      <c r="BJ78" s="1008"/>
      <c r="BK78" s="820"/>
      <c r="BL78" s="820"/>
      <c r="BM78" s="820"/>
      <c r="BN78" s="820"/>
      <c r="BO78" s="820"/>
      <c r="BP78" s="1008"/>
      <c r="BQ78" s="1008"/>
      <c r="BR78" s="1008"/>
      <c r="BS78" s="1008"/>
      <c r="BT78" s="1009"/>
      <c r="BU78" s="1008"/>
      <c r="BV78" s="1008"/>
      <c r="BW78" s="1008"/>
      <c r="BX78" s="1008"/>
      <c r="BY78" s="1009"/>
      <c r="BZ78" s="1008"/>
      <c r="CA78" s="1008"/>
      <c r="CB78" s="1008"/>
      <c r="CC78" s="1008"/>
      <c r="CD78" s="1009"/>
      <c r="CE78" s="1008"/>
      <c r="CF78" s="1010"/>
      <c r="CG78" s="1010"/>
      <c r="CH78" s="1010"/>
      <c r="CI78" s="1010"/>
      <c r="CJ78" s="1008"/>
      <c r="CK78" s="1010"/>
      <c r="CL78" s="1010"/>
      <c r="CM78" s="1010"/>
      <c r="CN78" s="1010"/>
      <c r="CO78" s="1008"/>
      <c r="CP78" s="1010"/>
      <c r="CQ78" s="1010"/>
      <c r="CR78" s="1010"/>
      <c r="CS78" s="1010"/>
      <c r="CT78" s="975">
        <f>CT79+CT80</f>
        <v>0.39699999999999996</v>
      </c>
      <c r="CU78" s="975">
        <f>CU79+CU80</f>
        <v>0.39699999999999996</v>
      </c>
      <c r="CV78" s="975">
        <f>CV79+CV80</f>
        <v>0.39699999999999996</v>
      </c>
      <c r="CW78" s="975">
        <f t="shared" ref="CW78:DG78" si="68">CW79+CW80</f>
        <v>0.39699999999999996</v>
      </c>
      <c r="CX78" s="975">
        <f t="shared" si="68"/>
        <v>0.39599999999999996</v>
      </c>
      <c r="CY78" s="975">
        <f t="shared" si="68"/>
        <v>0.39099999999999996</v>
      </c>
      <c r="CZ78" s="975">
        <f t="shared" si="68"/>
        <v>0.38899999999999996</v>
      </c>
      <c r="DA78" s="975">
        <f t="shared" si="68"/>
        <v>0.38500000000000001</v>
      </c>
      <c r="DB78" s="975">
        <f t="shared" si="68"/>
        <v>0.38799999999999996</v>
      </c>
      <c r="DC78" s="975">
        <f t="shared" si="68"/>
        <v>0.38899999999999996</v>
      </c>
      <c r="DD78" s="975">
        <f t="shared" si="68"/>
        <v>0.39299999999999996</v>
      </c>
      <c r="DE78" s="975">
        <f t="shared" si="68"/>
        <v>0.373</v>
      </c>
      <c r="DF78" s="975">
        <f t="shared" si="68"/>
        <v>0.38100000000000001</v>
      </c>
      <c r="DG78" s="975">
        <f t="shared" si="68"/>
        <v>0.375</v>
      </c>
      <c r="DH78" s="975">
        <f>DH79+DH80</f>
        <v>0.371</v>
      </c>
      <c r="DI78" s="1008">
        <f t="shared" ref="DI78:DS78" si="69">DI28+DI34</f>
        <v>188.30699999999979</v>
      </c>
      <c r="DJ78" s="1008">
        <f t="shared" si="69"/>
        <v>222.07600000000008</v>
      </c>
      <c r="DK78" s="1008">
        <f t="shared" si="69"/>
        <v>241.5960000000006</v>
      </c>
      <c r="DL78" s="1008">
        <f t="shared" si="69"/>
        <v>151.53799999999987</v>
      </c>
      <c r="DM78" s="1008">
        <f t="shared" si="69"/>
        <v>112.32900000000002</v>
      </c>
      <c r="DN78" s="1008">
        <f t="shared" si="69"/>
        <v>81.024400000000341</v>
      </c>
      <c r="DO78" s="1008">
        <f t="shared" si="69"/>
        <v>-0.30800000000012062</v>
      </c>
      <c r="DP78" s="1008">
        <f t="shared" si="69"/>
        <v>48.436000000000099</v>
      </c>
      <c r="DQ78" s="1008">
        <f t="shared" si="69"/>
        <v>21.372887861879285</v>
      </c>
      <c r="DR78" s="1008">
        <f t="shared" si="69"/>
        <v>28.747105092497279</v>
      </c>
      <c r="DS78" s="1008">
        <f t="shared" si="69"/>
        <v>25.240293397874531</v>
      </c>
      <c r="DY78" s="114"/>
    </row>
    <row r="79" spans="1:129" outlineLevel="1">
      <c r="A79" s="22" t="s">
        <v>676</v>
      </c>
      <c r="B79" s="991"/>
      <c r="C79" s="1010">
        <f t="shared" ref="C79:BD79" si="70">C80+C81</f>
        <v>0.39599999999999996</v>
      </c>
      <c r="D79" s="1010">
        <f t="shared" si="70"/>
        <v>0.39599999999999996</v>
      </c>
      <c r="E79" s="1010">
        <f t="shared" si="70"/>
        <v>0.39599999999999996</v>
      </c>
      <c r="F79" s="1010">
        <f t="shared" si="70"/>
        <v>0.39599999999999996</v>
      </c>
      <c r="G79" s="97"/>
      <c r="H79" s="1010">
        <f t="shared" si="70"/>
        <v>0.39099999999999996</v>
      </c>
      <c r="I79" s="1010">
        <f t="shared" si="70"/>
        <v>0.39099999999999996</v>
      </c>
      <c r="J79" s="1010">
        <f t="shared" si="70"/>
        <v>0.39099999999999996</v>
      </c>
      <c r="K79" s="1010">
        <f t="shared" si="70"/>
        <v>0.39099999999999996</v>
      </c>
      <c r="L79" s="97"/>
      <c r="M79" s="1010">
        <f t="shared" si="70"/>
        <v>0.38500000000000001</v>
      </c>
      <c r="N79" s="1010">
        <f t="shared" si="70"/>
        <v>0.38500000000000001</v>
      </c>
      <c r="O79" s="1010">
        <f t="shared" si="70"/>
        <v>0.38500000000000001</v>
      </c>
      <c r="P79" s="1010">
        <f t="shared" si="70"/>
        <v>0.38500000000000001</v>
      </c>
      <c r="Q79" s="97"/>
      <c r="R79" s="1010">
        <f t="shared" si="70"/>
        <v>0.38799999999999996</v>
      </c>
      <c r="S79" s="1010">
        <f t="shared" si="70"/>
        <v>0.38799999999999996</v>
      </c>
      <c r="T79" s="1010">
        <f t="shared" si="70"/>
        <v>0.38799999999999996</v>
      </c>
      <c r="U79" s="1010">
        <f t="shared" si="70"/>
        <v>0.38799999999999996</v>
      </c>
      <c r="W79" s="1010">
        <f t="shared" si="70"/>
        <v>0.38899999999999996</v>
      </c>
      <c r="X79" s="1010">
        <f t="shared" si="70"/>
        <v>0.38899999999999996</v>
      </c>
      <c r="Y79" s="1010">
        <f t="shared" si="70"/>
        <v>0.38899999999999996</v>
      </c>
      <c r="Z79" s="1010">
        <f t="shared" si="70"/>
        <v>0.38899999999999996</v>
      </c>
      <c r="AB79" s="1010">
        <f t="shared" si="70"/>
        <v>0.39299999999999996</v>
      </c>
      <c r="AC79" s="1010">
        <f t="shared" si="70"/>
        <v>0.39299999999999996</v>
      </c>
      <c r="AD79" s="1010">
        <f t="shared" si="70"/>
        <v>0.39299999999999996</v>
      </c>
      <c r="AE79" s="1010">
        <f t="shared" si="70"/>
        <v>0.39299999999999996</v>
      </c>
      <c r="AG79" s="1010">
        <f t="shared" si="70"/>
        <v>0.373</v>
      </c>
      <c r="AH79" s="1010">
        <f t="shared" si="70"/>
        <v>0.373</v>
      </c>
      <c r="AI79" s="1010">
        <f t="shared" si="70"/>
        <v>0.373</v>
      </c>
      <c r="AJ79" s="1010">
        <f t="shared" si="70"/>
        <v>0.373</v>
      </c>
      <c r="AL79" s="1010">
        <f t="shared" si="70"/>
        <v>0.38100000000000001</v>
      </c>
      <c r="AM79" s="1010">
        <f t="shared" si="70"/>
        <v>0.38100000000000001</v>
      </c>
      <c r="AN79" s="1010">
        <f t="shared" si="70"/>
        <v>0.38100000000000001</v>
      </c>
      <c r="AO79" s="1010">
        <f t="shared" si="70"/>
        <v>0.38100000000000001</v>
      </c>
      <c r="AP79" s="97"/>
      <c r="AQ79" s="1010">
        <f t="shared" si="70"/>
        <v>0.375</v>
      </c>
      <c r="AR79" s="1010">
        <f t="shared" si="70"/>
        <v>0.375</v>
      </c>
      <c r="AS79" s="1010">
        <f t="shared" si="70"/>
        <v>0.375</v>
      </c>
      <c r="AT79" s="1010">
        <f t="shared" si="70"/>
        <v>0.375</v>
      </c>
      <c r="AU79" s="97"/>
      <c r="AV79" s="1010">
        <f t="shared" si="70"/>
        <v>0.371</v>
      </c>
      <c r="AW79" s="1010">
        <f t="shared" si="70"/>
        <v>0.371</v>
      </c>
      <c r="AX79" s="1010">
        <f t="shared" si="70"/>
        <v>0.371</v>
      </c>
      <c r="AY79" s="1010">
        <f t="shared" si="70"/>
        <v>0.371</v>
      </c>
      <c r="AZ79" s="97"/>
      <c r="BA79" s="1010">
        <f t="shared" si="70"/>
        <v>0.371</v>
      </c>
      <c r="BB79" s="1010">
        <f t="shared" si="70"/>
        <v>0.371</v>
      </c>
      <c r="BC79" s="1010">
        <f t="shared" si="70"/>
        <v>0.371</v>
      </c>
      <c r="BD79" s="1010">
        <f t="shared" si="70"/>
        <v>0.371</v>
      </c>
      <c r="BE79" s="97"/>
      <c r="BF79" s="802"/>
      <c r="BG79" s="97"/>
      <c r="BH79" s="97"/>
      <c r="BI79" s="97"/>
      <c r="BJ79" s="97"/>
      <c r="BK79" s="820"/>
      <c r="BL79" s="820"/>
      <c r="BM79" s="820"/>
      <c r="BN79" s="820"/>
      <c r="BO79" s="820"/>
      <c r="BP79" s="1010"/>
      <c r="BQ79" s="1010"/>
      <c r="BR79" s="1010"/>
      <c r="BS79" s="1010"/>
      <c r="BT79" s="1010"/>
      <c r="BU79" s="1010"/>
      <c r="BV79" s="1010"/>
      <c r="BW79" s="1010"/>
      <c r="BX79" s="1010"/>
      <c r="BY79" s="1010"/>
      <c r="BZ79" s="1010"/>
      <c r="CA79" s="1010"/>
      <c r="CB79" s="1010"/>
      <c r="CC79" s="1010"/>
      <c r="CD79" s="1010"/>
      <c r="CE79" s="1010"/>
      <c r="CF79" s="382"/>
      <c r="CG79" s="382"/>
      <c r="CH79" s="382"/>
      <c r="CI79" s="382"/>
      <c r="CJ79" s="1010"/>
      <c r="CK79" s="382"/>
      <c r="CL79" s="382"/>
      <c r="CM79" s="382"/>
      <c r="CN79" s="382"/>
      <c r="CO79" s="1010"/>
      <c r="CP79" s="382"/>
      <c r="CQ79" s="382"/>
      <c r="CR79" s="382"/>
      <c r="CS79" s="382"/>
      <c r="CT79" s="1012">
        <v>0.35</v>
      </c>
      <c r="CU79" s="1012">
        <v>0.35</v>
      </c>
      <c r="CV79" s="1012">
        <v>0.35</v>
      </c>
      <c r="CW79" s="1012">
        <v>0.35</v>
      </c>
      <c r="CX79" s="1012">
        <v>0.35</v>
      </c>
      <c r="CY79" s="1012">
        <v>0.35</v>
      </c>
      <c r="CZ79" s="1012">
        <v>0.35</v>
      </c>
      <c r="DA79" s="1012">
        <v>0.35</v>
      </c>
      <c r="DB79" s="1012">
        <v>0.35</v>
      </c>
      <c r="DC79" s="1012">
        <v>0.35</v>
      </c>
      <c r="DD79" s="1012">
        <v>0.35</v>
      </c>
      <c r="DE79" s="1012">
        <v>0.35</v>
      </c>
      <c r="DF79" s="1012">
        <v>0.35</v>
      </c>
      <c r="DG79" s="1012">
        <v>0.35</v>
      </c>
      <c r="DH79" s="1012">
        <v>0.35</v>
      </c>
      <c r="DI79" s="975">
        <f t="shared" ref="DI79:DS79" si="71">DI80+DI81</f>
        <v>0.371</v>
      </c>
      <c r="DJ79" s="975">
        <f t="shared" si="71"/>
        <v>0.371</v>
      </c>
      <c r="DK79" s="975">
        <f t="shared" si="71"/>
        <v>0.371</v>
      </c>
      <c r="DL79" s="975">
        <f t="shared" si="71"/>
        <v>0.371</v>
      </c>
      <c r="DM79" s="975">
        <f t="shared" si="71"/>
        <v>0.371</v>
      </c>
      <c r="DN79" s="975">
        <f t="shared" si="71"/>
        <v>0.371</v>
      </c>
      <c r="DO79" s="975">
        <f t="shared" si="71"/>
        <v>0.371</v>
      </c>
      <c r="DP79" s="975">
        <f t="shared" si="71"/>
        <v>0.371</v>
      </c>
      <c r="DQ79" s="975">
        <f t="shared" si="71"/>
        <v>0.371</v>
      </c>
      <c r="DR79" s="975">
        <f t="shared" si="71"/>
        <v>0.371</v>
      </c>
      <c r="DS79" s="975">
        <f t="shared" si="71"/>
        <v>0.371</v>
      </c>
    </row>
    <row r="80" spans="1:129" ht="14.25" customHeight="1" outlineLevel="2">
      <c r="A80" s="315" t="s">
        <v>677</v>
      </c>
      <c r="B80" s="991"/>
      <c r="C80" s="1010">
        <f>$CX$79</f>
        <v>0.35</v>
      </c>
      <c r="D80" s="1010">
        <f>$CX$79</f>
        <v>0.35</v>
      </c>
      <c r="E80" s="1010">
        <f>$CX$79</f>
        <v>0.35</v>
      </c>
      <c r="F80" s="1010">
        <f>$CX$79</f>
        <v>0.35</v>
      </c>
      <c r="G80" s="97"/>
      <c r="H80" s="1010">
        <f>$CY$79</f>
        <v>0.35</v>
      </c>
      <c r="I80" s="1010">
        <f>$CY$79</f>
        <v>0.35</v>
      </c>
      <c r="J80" s="1010">
        <f>$CY$79</f>
        <v>0.35</v>
      </c>
      <c r="K80" s="1010">
        <f>$CY$79</f>
        <v>0.35</v>
      </c>
      <c r="L80" s="97"/>
      <c r="M80" s="1010">
        <f>$DA$79</f>
        <v>0.35</v>
      </c>
      <c r="N80" s="1010">
        <f>$DA$79</f>
        <v>0.35</v>
      </c>
      <c r="O80" s="1010">
        <f>$DA$79</f>
        <v>0.35</v>
      </c>
      <c r="P80" s="1010">
        <f>$DA$79</f>
        <v>0.35</v>
      </c>
      <c r="Q80" s="97"/>
      <c r="R80" s="1010">
        <f>$DB$79</f>
        <v>0.35</v>
      </c>
      <c r="S80" s="1010">
        <f>$DB$79</f>
        <v>0.35</v>
      </c>
      <c r="T80" s="1010">
        <f>$DB$79</f>
        <v>0.35</v>
      </c>
      <c r="U80" s="1010">
        <f>$DB$79</f>
        <v>0.35</v>
      </c>
      <c r="W80" s="1010">
        <f>$DC$79</f>
        <v>0.35</v>
      </c>
      <c r="X80" s="1010">
        <f>$DC$79</f>
        <v>0.35</v>
      </c>
      <c r="Y80" s="1010">
        <f>$DC$79</f>
        <v>0.35</v>
      </c>
      <c r="Z80" s="1010">
        <f>$DC$79</f>
        <v>0.35</v>
      </c>
      <c r="AB80" s="1010">
        <f>$DD$79</f>
        <v>0.35</v>
      </c>
      <c r="AC80" s="1010">
        <f>$DD$79</f>
        <v>0.35</v>
      </c>
      <c r="AD80" s="1010">
        <f>$DD$79</f>
        <v>0.35</v>
      </c>
      <c r="AE80" s="1010">
        <f>$DD$79</f>
        <v>0.35</v>
      </c>
      <c r="AG80" s="1010">
        <f>$DE$79</f>
        <v>0.35</v>
      </c>
      <c r="AH80" s="1010">
        <f>$DE$79</f>
        <v>0.35</v>
      </c>
      <c r="AI80" s="1010">
        <f>$DE$79</f>
        <v>0.35</v>
      </c>
      <c r="AJ80" s="1010">
        <f>$DE$79</f>
        <v>0.35</v>
      </c>
      <c r="AL80" s="1010">
        <f>$DF$79</f>
        <v>0.35</v>
      </c>
      <c r="AM80" s="1010">
        <f>$DF$79</f>
        <v>0.35</v>
      </c>
      <c r="AN80" s="1010">
        <f>$DF$79</f>
        <v>0.35</v>
      </c>
      <c r="AO80" s="1010">
        <f>$DF$79</f>
        <v>0.35</v>
      </c>
      <c r="AP80" s="97"/>
      <c r="AQ80" s="1010">
        <f>$DG$79</f>
        <v>0.35</v>
      </c>
      <c r="AR80" s="1010">
        <f>$DG$79</f>
        <v>0.35</v>
      </c>
      <c r="AS80" s="1010">
        <f>$DG$79</f>
        <v>0.35</v>
      </c>
      <c r="AT80" s="1010">
        <f>$DG$79</f>
        <v>0.35</v>
      </c>
      <c r="AU80" s="97"/>
      <c r="AV80" s="1010">
        <f>$DH$79</f>
        <v>0.35</v>
      </c>
      <c r="AW80" s="1010">
        <f>$DH$79</f>
        <v>0.35</v>
      </c>
      <c r="AX80" s="1010">
        <f>$DH$79</f>
        <v>0.35</v>
      </c>
      <c r="AY80" s="1010">
        <f>$DH$79</f>
        <v>0.35</v>
      </c>
      <c r="AZ80" s="97"/>
      <c r="BA80" s="1011">
        <f>AY80</f>
        <v>0.35</v>
      </c>
      <c r="BB80" s="382">
        <f>BA80</f>
        <v>0.35</v>
      </c>
      <c r="BC80" s="382">
        <f>BA80</f>
        <v>0.35</v>
      </c>
      <c r="BD80" s="382">
        <f>BB80</f>
        <v>0.35</v>
      </c>
      <c r="BE80" s="97"/>
      <c r="BF80" s="802"/>
      <c r="BG80" s="97"/>
      <c r="BH80" s="97"/>
      <c r="BI80" s="97"/>
      <c r="BJ80" s="97"/>
      <c r="BK80" s="820"/>
      <c r="BL80" s="820"/>
      <c r="BM80" s="820"/>
      <c r="BN80" s="820"/>
      <c r="BO80" s="820"/>
      <c r="BP80" s="382"/>
      <c r="BQ80" s="382"/>
      <c r="BR80" s="382"/>
      <c r="BS80" s="382"/>
      <c r="BT80" s="382"/>
      <c r="BU80" s="382"/>
      <c r="BV80" s="382"/>
      <c r="BW80" s="382"/>
      <c r="BX80" s="382"/>
      <c r="BY80" s="382"/>
      <c r="BZ80" s="382"/>
      <c r="CA80" s="382"/>
      <c r="CB80" s="382"/>
      <c r="CC80" s="382"/>
      <c r="CD80" s="382"/>
      <c r="CE80" s="382"/>
      <c r="CF80" s="382"/>
      <c r="CG80" s="382"/>
      <c r="CH80" s="382"/>
      <c r="CI80" s="382"/>
      <c r="CJ80" s="382"/>
      <c r="CK80" s="382"/>
      <c r="CL80" s="382"/>
      <c r="CM80" s="382"/>
      <c r="CN80" s="382"/>
      <c r="CO80" s="382"/>
      <c r="CP80" s="382"/>
      <c r="CQ80" s="382"/>
      <c r="CR80" s="382"/>
      <c r="CS80" s="382"/>
      <c r="CT80" s="1012">
        <v>4.7E-2</v>
      </c>
      <c r="CU80" s="1012">
        <v>4.7E-2</v>
      </c>
      <c r="CV80" s="1012">
        <v>4.7E-2</v>
      </c>
      <c r="CW80" s="1012">
        <v>4.7E-2</v>
      </c>
      <c r="CX80" s="1012">
        <v>4.5999999999999999E-2</v>
      </c>
      <c r="CY80" s="1012">
        <v>4.1000000000000002E-2</v>
      </c>
      <c r="CZ80" s="1012">
        <v>3.9E-2</v>
      </c>
      <c r="DA80" s="1012">
        <v>3.5000000000000003E-2</v>
      </c>
      <c r="DB80" s="1012">
        <v>3.7999999999999999E-2</v>
      </c>
      <c r="DC80" s="1012">
        <v>3.9E-2</v>
      </c>
      <c r="DD80" s="1012">
        <v>4.2999999999999997E-2</v>
      </c>
      <c r="DE80" s="1012">
        <v>2.3E-2</v>
      </c>
      <c r="DF80" s="1012">
        <v>3.1E-2</v>
      </c>
      <c r="DG80" s="1012">
        <v>2.5000000000000001E-2</v>
      </c>
      <c r="DH80" s="1012">
        <v>2.1000000000000001E-2</v>
      </c>
      <c r="DI80" s="975">
        <f>DH79</f>
        <v>0.35</v>
      </c>
      <c r="DJ80" s="975">
        <f>DI80</f>
        <v>0.35</v>
      </c>
      <c r="DK80" s="975">
        <f>DJ80</f>
        <v>0.35</v>
      </c>
      <c r="DL80" s="975">
        <f t="shared" ref="DL80:DN81" si="72">DK80</f>
        <v>0.35</v>
      </c>
      <c r="DM80" s="975">
        <f t="shared" si="72"/>
        <v>0.35</v>
      </c>
      <c r="DN80" s="975">
        <f t="shared" si="72"/>
        <v>0.35</v>
      </c>
      <c r="DO80" s="975">
        <f t="shared" ref="DO80:DS81" si="73">DN80</f>
        <v>0.35</v>
      </c>
      <c r="DP80" s="975">
        <f t="shared" si="73"/>
        <v>0.35</v>
      </c>
      <c r="DQ80" s="975">
        <f t="shared" si="73"/>
        <v>0.35</v>
      </c>
      <c r="DR80" s="975">
        <f t="shared" si="73"/>
        <v>0.35</v>
      </c>
      <c r="DS80" s="975">
        <f t="shared" si="73"/>
        <v>0.35</v>
      </c>
    </row>
    <row r="81" spans="1:129" ht="14.25" customHeight="1" outlineLevel="2">
      <c r="A81" s="315" t="s">
        <v>678</v>
      </c>
      <c r="B81" s="991"/>
      <c r="C81" s="1010">
        <f>$CX$80</f>
        <v>4.5999999999999999E-2</v>
      </c>
      <c r="D81" s="1010">
        <f>$CX$80</f>
        <v>4.5999999999999999E-2</v>
      </c>
      <c r="E81" s="1010">
        <f>$CX$80</f>
        <v>4.5999999999999999E-2</v>
      </c>
      <c r="F81" s="1010">
        <f>$CX$80</f>
        <v>4.5999999999999999E-2</v>
      </c>
      <c r="G81" s="97"/>
      <c r="H81" s="1010">
        <f>$CY$80</f>
        <v>4.1000000000000002E-2</v>
      </c>
      <c r="I81" s="1010">
        <f>$CY$80</f>
        <v>4.1000000000000002E-2</v>
      </c>
      <c r="J81" s="1010">
        <f>$CY$80</f>
        <v>4.1000000000000002E-2</v>
      </c>
      <c r="K81" s="1010">
        <f>$CY$80</f>
        <v>4.1000000000000002E-2</v>
      </c>
      <c r="L81" s="97"/>
      <c r="M81" s="1010">
        <f>$DA$80</f>
        <v>3.5000000000000003E-2</v>
      </c>
      <c r="N81" s="1010">
        <f>$DA$80</f>
        <v>3.5000000000000003E-2</v>
      </c>
      <c r="O81" s="1010">
        <f>$DA$80</f>
        <v>3.5000000000000003E-2</v>
      </c>
      <c r="P81" s="1010">
        <f>$DA$80</f>
        <v>3.5000000000000003E-2</v>
      </c>
      <c r="Q81" s="97"/>
      <c r="R81" s="1010">
        <f>$DB$80</f>
        <v>3.7999999999999999E-2</v>
      </c>
      <c r="S81" s="1010">
        <f>$DB$80</f>
        <v>3.7999999999999999E-2</v>
      </c>
      <c r="T81" s="1010">
        <f>$DB$80</f>
        <v>3.7999999999999999E-2</v>
      </c>
      <c r="U81" s="1010">
        <f>$DB$80</f>
        <v>3.7999999999999999E-2</v>
      </c>
      <c r="W81" s="1010">
        <f>$DC$80</f>
        <v>3.9E-2</v>
      </c>
      <c r="X81" s="1010">
        <f>$DC$80</f>
        <v>3.9E-2</v>
      </c>
      <c r="Y81" s="1010">
        <f>$DC$80</f>
        <v>3.9E-2</v>
      </c>
      <c r="Z81" s="1010">
        <f>$DC$80</f>
        <v>3.9E-2</v>
      </c>
      <c r="AB81" s="1010">
        <f>$DD$80</f>
        <v>4.2999999999999997E-2</v>
      </c>
      <c r="AC81" s="1010">
        <f>$DD$80</f>
        <v>4.2999999999999997E-2</v>
      </c>
      <c r="AD81" s="1010">
        <f>$DD$80</f>
        <v>4.2999999999999997E-2</v>
      </c>
      <c r="AE81" s="1010">
        <f>$DD$80</f>
        <v>4.2999999999999997E-2</v>
      </c>
      <c r="AG81" s="1010">
        <f>$DE$80</f>
        <v>2.3E-2</v>
      </c>
      <c r="AH81" s="1010">
        <f>$DE$80</f>
        <v>2.3E-2</v>
      </c>
      <c r="AI81" s="1010">
        <f>$DE$80</f>
        <v>2.3E-2</v>
      </c>
      <c r="AJ81" s="1010">
        <f>$DE$80</f>
        <v>2.3E-2</v>
      </c>
      <c r="AL81" s="1010">
        <f>$DF$80</f>
        <v>3.1E-2</v>
      </c>
      <c r="AM81" s="1010">
        <f>$DF$80</f>
        <v>3.1E-2</v>
      </c>
      <c r="AN81" s="1010">
        <f>$DF$80</f>
        <v>3.1E-2</v>
      </c>
      <c r="AO81" s="1010">
        <f>$DF$80</f>
        <v>3.1E-2</v>
      </c>
      <c r="AP81" s="97"/>
      <c r="AQ81" s="1010">
        <f>$DG$80</f>
        <v>2.5000000000000001E-2</v>
      </c>
      <c r="AR81" s="1010">
        <f>$DG$80</f>
        <v>2.5000000000000001E-2</v>
      </c>
      <c r="AS81" s="1010">
        <f>$DG$80</f>
        <v>2.5000000000000001E-2</v>
      </c>
      <c r="AT81" s="1010">
        <f>$DG$80</f>
        <v>2.5000000000000001E-2</v>
      </c>
      <c r="AU81" s="97"/>
      <c r="AV81" s="1010">
        <f>$DH$80</f>
        <v>2.1000000000000001E-2</v>
      </c>
      <c r="AW81" s="1010">
        <f>$DH$80</f>
        <v>2.1000000000000001E-2</v>
      </c>
      <c r="AX81" s="1010">
        <f>$DH$80</f>
        <v>2.1000000000000001E-2</v>
      </c>
      <c r="AY81" s="1010">
        <f>$DH$80</f>
        <v>2.1000000000000001E-2</v>
      </c>
      <c r="AZ81" s="97"/>
      <c r="BA81" s="1011">
        <f>AY81</f>
        <v>2.1000000000000001E-2</v>
      </c>
      <c r="BB81" s="382">
        <f>BA81</f>
        <v>2.1000000000000001E-2</v>
      </c>
      <c r="BC81" s="382">
        <f>BA81</f>
        <v>2.1000000000000001E-2</v>
      </c>
      <c r="BD81" s="382">
        <f>BB81</f>
        <v>2.1000000000000001E-2</v>
      </c>
      <c r="BE81" s="97"/>
      <c r="BF81" s="802"/>
      <c r="BG81" s="97"/>
      <c r="BH81" s="97"/>
      <c r="BI81" s="97"/>
      <c r="BJ81" s="97"/>
      <c r="BK81" s="820"/>
      <c r="BL81" s="820"/>
      <c r="BM81" s="820"/>
      <c r="BN81" s="820"/>
      <c r="BO81" s="820"/>
      <c r="BP81" s="382"/>
      <c r="BQ81" s="382"/>
      <c r="BR81" s="382"/>
      <c r="BS81" s="382"/>
      <c r="BT81" s="382"/>
      <c r="BU81" s="382"/>
      <c r="BV81" s="382"/>
      <c r="BW81" s="382"/>
      <c r="BX81" s="382"/>
      <c r="BY81" s="382"/>
      <c r="BZ81" s="382"/>
      <c r="CA81" s="382"/>
      <c r="CB81" s="382"/>
      <c r="CC81" s="382"/>
      <c r="CD81" s="382"/>
      <c r="CE81" s="382"/>
      <c r="CF81" s="1013"/>
      <c r="CG81" s="1013"/>
      <c r="CH81" s="1013"/>
      <c r="CI81" s="1013"/>
      <c r="CJ81" s="382"/>
      <c r="CK81" s="1013"/>
      <c r="CL81" s="1013"/>
      <c r="CM81" s="1013"/>
      <c r="CN81" s="1013"/>
      <c r="CO81" s="382"/>
      <c r="CP81" s="1013"/>
      <c r="CQ81" s="1013"/>
      <c r="CR81" s="1013"/>
      <c r="CS81" s="1013"/>
      <c r="CT81" s="970">
        <f>CT71</f>
        <v>0.96156400000000009</v>
      </c>
      <c r="CU81" s="970">
        <f>CU71</f>
        <v>1.2287640000000002</v>
      </c>
      <c r="CV81" s="970">
        <f>CV71</f>
        <v>1.5217640000000001</v>
      </c>
      <c r="CW81" s="970">
        <f>CW71</f>
        <v>1.7906640000000003</v>
      </c>
      <c r="CX81" s="970">
        <f t="shared" ref="CX81:DH81" si="74">CX71</f>
        <v>2.1739999999999999</v>
      </c>
      <c r="CY81" s="970">
        <f t="shared" si="74"/>
        <v>2.8490000000000002</v>
      </c>
      <c r="CZ81" s="970">
        <f t="shared" si="74"/>
        <v>3.673</v>
      </c>
      <c r="DA81" s="970">
        <f t="shared" si="74"/>
        <v>4.3575140000000001</v>
      </c>
      <c r="DB81" s="970">
        <f t="shared" si="74"/>
        <v>5.0158140000000007</v>
      </c>
      <c r="DC81" s="970">
        <f t="shared" si="74"/>
        <v>5.5903639999999992</v>
      </c>
      <c r="DD81" s="970">
        <f t="shared" si="74"/>
        <v>6.0253639999999997</v>
      </c>
      <c r="DE81" s="970">
        <f t="shared" si="74"/>
        <v>6.6933639999999999</v>
      </c>
      <c r="DF81" s="970">
        <f t="shared" si="74"/>
        <v>7.337364</v>
      </c>
      <c r="DG81" s="970">
        <f t="shared" si="74"/>
        <v>8.0223639999999996</v>
      </c>
      <c r="DH81" s="970">
        <f t="shared" si="74"/>
        <v>7.8471839999999995</v>
      </c>
      <c r="DI81" s="975">
        <f>DH80</f>
        <v>2.1000000000000001E-2</v>
      </c>
      <c r="DJ81" s="975">
        <f>DI81</f>
        <v>2.1000000000000001E-2</v>
      </c>
      <c r="DK81" s="975">
        <f>DJ81</f>
        <v>2.1000000000000001E-2</v>
      </c>
      <c r="DL81" s="975">
        <f t="shared" si="72"/>
        <v>2.1000000000000001E-2</v>
      </c>
      <c r="DM81" s="975">
        <f t="shared" si="72"/>
        <v>2.1000000000000001E-2</v>
      </c>
      <c r="DN81" s="975">
        <f t="shared" si="72"/>
        <v>2.1000000000000001E-2</v>
      </c>
      <c r="DO81" s="975">
        <f t="shared" si="73"/>
        <v>2.1000000000000001E-2</v>
      </c>
      <c r="DP81" s="975">
        <f t="shared" si="73"/>
        <v>2.1000000000000001E-2</v>
      </c>
      <c r="DQ81" s="975">
        <f t="shared" si="73"/>
        <v>2.1000000000000001E-2</v>
      </c>
      <c r="DR81" s="975">
        <f t="shared" si="73"/>
        <v>2.1000000000000001E-2</v>
      </c>
      <c r="DS81" s="975">
        <f t="shared" si="73"/>
        <v>2.1000000000000001E-2</v>
      </c>
    </row>
    <row r="82" spans="1:129" outlineLevel="1">
      <c r="A82" s="315" t="s">
        <v>685</v>
      </c>
      <c r="B82" s="991"/>
      <c r="C82" s="1013">
        <f>qtrSales!$Z$48</f>
        <v>1.831</v>
      </c>
      <c r="D82" s="1013">
        <f>qtrSales!$Z$49</f>
        <v>1.877</v>
      </c>
      <c r="E82" s="1013">
        <f>qtrSales!$Z$50</f>
        <v>1.952</v>
      </c>
      <c r="F82" s="1013">
        <f>qtrSales!$Z$51</f>
        <v>2.1739999999999999</v>
      </c>
      <c r="G82" s="97"/>
      <c r="H82" s="1013">
        <f>qtrSales!$Z$55</f>
        <v>2.2280000000000002</v>
      </c>
      <c r="I82" s="1013">
        <f>qtrSales!$Z$56</f>
        <v>2.472</v>
      </c>
      <c r="J82" s="1013">
        <f>qtrSales!$Z$57</f>
        <v>2.6579999999999999</v>
      </c>
      <c r="K82" s="1013">
        <f>qtrSales!$Z$58</f>
        <v>2.8490000000000002</v>
      </c>
      <c r="L82" s="97"/>
      <c r="M82" s="1013">
        <f>qtrSales!$Z$69</f>
        <v>3.7719999999999998</v>
      </c>
      <c r="N82" s="1013">
        <f>qtrSales!$Z$70</f>
        <v>3.9359999999999999</v>
      </c>
      <c r="O82" s="1013">
        <f>qtrSales!$Z$71</f>
        <v>4.1100000000000003</v>
      </c>
      <c r="P82" s="1013">
        <f>qtrSales!$Z$72</f>
        <v>4.3575140000000001</v>
      </c>
      <c r="Q82" s="97"/>
      <c r="R82" s="1013">
        <f>qtrSales!$Z$76</f>
        <v>4.3920000000000003</v>
      </c>
      <c r="S82" s="1013">
        <f>qtrSales!$Z$77</f>
        <v>4.5380000000000003</v>
      </c>
      <c r="T82" s="1013">
        <f>qtrSales!$Z$78</f>
        <v>4.7089999999999996</v>
      </c>
      <c r="U82" s="1013">
        <f>qtrSales!$Z$79</f>
        <v>5.0209999999999999</v>
      </c>
      <c r="W82" s="1013">
        <f>qtrSales!$Z$83</f>
        <v>5.0650000000000004</v>
      </c>
      <c r="X82" s="1013">
        <f>qtrSales!$Z$84</f>
        <v>5.1920000000000002</v>
      </c>
      <c r="Y82" s="1013">
        <f>qtrSales!$Z$85</f>
        <v>5.4390000000000001</v>
      </c>
      <c r="Z82" s="1013">
        <f>qtrSales!$Z$86</f>
        <v>5.5903639999999992</v>
      </c>
      <c r="AB82" s="1013">
        <f>qtrSales!$Z$90</f>
        <v>5.5720000000000001</v>
      </c>
      <c r="AC82" s="1013">
        <f>qtrSales!$Z$91</f>
        <v>5.673</v>
      </c>
      <c r="AD82" s="1013">
        <f>qtrSales!$Z$92</f>
        <v>5.79</v>
      </c>
      <c r="AE82" s="1013">
        <f>qtrSales!$Z$93</f>
        <v>6.0253639999999997</v>
      </c>
      <c r="AF82" s="1014"/>
      <c r="AG82" s="1013">
        <f>qtrSales!$Z$97</f>
        <v>5.9630000000000001</v>
      </c>
      <c r="AH82" s="1013">
        <f>qtrSales!$Z$98</f>
        <v>6.22</v>
      </c>
      <c r="AI82" s="1013">
        <f>qtrSales!$Z$99</f>
        <v>6.4409999999999998</v>
      </c>
      <c r="AJ82" s="1013">
        <f>qtrSales!$Z$100</f>
        <v>6.6933639999999999</v>
      </c>
      <c r="AL82" s="1013">
        <f>qtrSales!$Z$104</f>
        <v>6.774</v>
      </c>
      <c r="AM82" s="1013">
        <f>qtrSales!$Z$105</f>
        <v>6.9939999999999998</v>
      </c>
      <c r="AN82" s="1013">
        <f>qtrSales!$Z$106</f>
        <v>7.1879999999999997</v>
      </c>
      <c r="AO82" s="1013">
        <f>qtrSales!$Z$107</f>
        <v>7.337364</v>
      </c>
      <c r="AP82" s="97"/>
      <c r="AQ82" s="1013">
        <f>qtrSales!$Z$111</f>
        <v>7.4370000000000003</v>
      </c>
      <c r="AR82" s="1013">
        <f>qtrSales!$Z$112</f>
        <v>7.6740000000000004</v>
      </c>
      <c r="AS82" s="1013">
        <f>qtrSales!$Z$113</f>
        <v>7.8579999999999997</v>
      </c>
      <c r="AT82" s="1013">
        <f>qtrSales!$Z$114</f>
        <v>8.0223639999999996</v>
      </c>
      <c r="AU82" s="97"/>
      <c r="AV82" s="1013">
        <f>qtrSales!$Z$118</f>
        <v>7.7610000000000001</v>
      </c>
      <c r="AW82" s="1013">
        <f>qtrSales!$Z$119</f>
        <v>7.843</v>
      </c>
      <c r="AX82" s="1013">
        <f>qtrSales!$Z$120</f>
        <v>7.8639999999999999</v>
      </c>
      <c r="AY82" s="1013">
        <f>qtrSales!$Z$121</f>
        <v>7.8471839999999995</v>
      </c>
      <c r="AZ82" s="97"/>
      <c r="BA82" s="1013">
        <f>qtrSales!$Z$125</f>
        <v>7.875</v>
      </c>
      <c r="BB82" s="1013">
        <f>qtrSales!$Z$126</f>
        <v>7.8680000000000003</v>
      </c>
      <c r="BC82" s="1013">
        <f>qtrSales!$Z$127</f>
        <v>7.94</v>
      </c>
      <c r="BD82" s="1013">
        <f>qtrSales!$Z$128</f>
        <v>7.7565140000000001</v>
      </c>
      <c r="BE82" s="97"/>
      <c r="BF82" s="802"/>
      <c r="BG82" s="97"/>
      <c r="BH82" s="97"/>
      <c r="BI82" s="97"/>
      <c r="BJ82" s="97"/>
      <c r="BK82" s="820"/>
      <c r="BL82" s="820"/>
      <c r="BM82" s="820"/>
      <c r="BN82" s="820"/>
      <c r="BO82" s="820"/>
      <c r="BP82" s="1013"/>
      <c r="BQ82" s="1013"/>
      <c r="BR82" s="1013"/>
      <c r="BS82" s="1013"/>
      <c r="BT82" s="1013"/>
      <c r="BU82" s="1013"/>
      <c r="BV82" s="1013"/>
      <c r="BW82" s="1013"/>
      <c r="BX82" s="1013"/>
      <c r="BY82" s="1013"/>
      <c r="BZ82" s="1013"/>
      <c r="CA82" s="1013"/>
      <c r="CB82" s="1013"/>
      <c r="CC82" s="1013"/>
      <c r="CD82" s="1013"/>
      <c r="CE82" s="1013"/>
      <c r="CF82" s="1015"/>
      <c r="CG82" s="1015"/>
      <c r="CH82" s="1015"/>
      <c r="CI82" s="1015"/>
      <c r="CJ82" s="1013"/>
      <c r="CK82" s="1015"/>
      <c r="CL82" s="1015"/>
      <c r="CM82" s="1015"/>
      <c r="CN82" s="1015"/>
      <c r="CO82" s="1013"/>
      <c r="CP82" s="1015"/>
      <c r="CQ82" s="1015"/>
      <c r="CR82" s="1015"/>
      <c r="CS82" s="1015"/>
      <c r="CT82" s="968">
        <f>CT66</f>
        <v>100</v>
      </c>
      <c r="CU82" s="968">
        <f>CU66</f>
        <v>127</v>
      </c>
      <c r="CV82" s="968">
        <f>CV66</f>
        <v>156</v>
      </c>
      <c r="CW82" s="968">
        <f>CW66</f>
        <v>196</v>
      </c>
      <c r="CX82" s="968">
        <f t="shared" ref="CX82:DH82" si="75">CX66</f>
        <v>250</v>
      </c>
      <c r="CY82" s="968">
        <f t="shared" si="75"/>
        <v>354</v>
      </c>
      <c r="CZ82" s="968">
        <f t="shared" si="75"/>
        <v>491</v>
      </c>
      <c r="DA82" s="968">
        <f t="shared" si="75"/>
        <v>597</v>
      </c>
      <c r="DB82" s="968">
        <f t="shared" si="75"/>
        <v>700</v>
      </c>
      <c r="DC82" s="968">
        <f t="shared" si="75"/>
        <v>788</v>
      </c>
      <c r="DD82" s="968">
        <f t="shared" si="75"/>
        <v>851</v>
      </c>
      <c r="DE82" s="968">
        <f t="shared" si="75"/>
        <v>944</v>
      </c>
      <c r="DF82" s="968">
        <f t="shared" si="75"/>
        <v>1035</v>
      </c>
      <c r="DG82" s="968">
        <f t="shared" si="75"/>
        <v>1125</v>
      </c>
      <c r="DH82" s="968">
        <f t="shared" si="75"/>
        <v>1097</v>
      </c>
      <c r="DI82" s="970">
        <f t="shared" ref="DI82:DS82" si="76">DI71</f>
        <v>7.7568339999999996</v>
      </c>
      <c r="DJ82" s="970">
        <f t="shared" si="76"/>
        <v>7.742534</v>
      </c>
      <c r="DK82" s="970">
        <f t="shared" si="76"/>
        <v>7.9580000000000002</v>
      </c>
      <c r="DL82" s="970">
        <f t="shared" si="76"/>
        <v>7.7359999999999998</v>
      </c>
      <c r="DM82" s="970">
        <f t="shared" si="76"/>
        <v>7.5170000000000003</v>
      </c>
      <c r="DN82" s="970">
        <f t="shared" si="76"/>
        <v>7.2919999999999998</v>
      </c>
      <c r="DO82" s="970">
        <f t="shared" si="76"/>
        <v>7.0069999999999997</v>
      </c>
      <c r="DP82" s="970">
        <f t="shared" si="76"/>
        <v>6.8868139999999984</v>
      </c>
      <c r="DQ82" s="970">
        <f t="shared" si="76"/>
        <v>6.5972139999999984</v>
      </c>
      <c r="DR82" s="970">
        <f t="shared" si="76"/>
        <v>6.4518839999999997</v>
      </c>
      <c r="DS82" s="970">
        <f t="shared" si="76"/>
        <v>6.1902839999999992</v>
      </c>
    </row>
    <row r="83" spans="1:129" outlineLevel="1">
      <c r="A83" s="315" t="s">
        <v>159</v>
      </c>
      <c r="B83" s="991"/>
      <c r="C83" s="1015">
        <f>qtrSales!$J$48</f>
        <v>200</v>
      </c>
      <c r="D83" s="1015">
        <f>qtrSales!$J$49</f>
        <v>208</v>
      </c>
      <c r="E83" s="1015">
        <f>qtrSales!$J$50</f>
        <v>220</v>
      </c>
      <c r="F83" s="1015">
        <f>qtrSales!$J$51</f>
        <v>250</v>
      </c>
      <c r="G83" s="97"/>
      <c r="H83" s="1015">
        <f>qtrSales!$J$55</f>
        <v>258</v>
      </c>
      <c r="I83" s="1015">
        <f>qtrSales!$J$56</f>
        <v>294</v>
      </c>
      <c r="J83" s="1015">
        <f>qtrSales!$J$57</f>
        <v>325</v>
      </c>
      <c r="K83" s="1015">
        <f>qtrSales!$J$58</f>
        <v>354</v>
      </c>
      <c r="L83" s="97"/>
      <c r="M83" s="1015">
        <f>qtrSales!$J$69</f>
        <v>507</v>
      </c>
      <c r="N83" s="1015">
        <f>qtrSales!$J$70</f>
        <v>533</v>
      </c>
      <c r="O83" s="1015">
        <f>qtrSales!$J$71</f>
        <v>560</v>
      </c>
      <c r="P83" s="1015">
        <f>qtrSales!$J$72</f>
        <v>597</v>
      </c>
      <c r="Q83" s="97"/>
      <c r="R83" s="1015">
        <f>qtrSales!$J$76</f>
        <v>602</v>
      </c>
      <c r="S83" s="1015">
        <f>qtrSales!$J$77</f>
        <v>625</v>
      </c>
      <c r="T83" s="1015">
        <f>qtrSales!$J$78</f>
        <v>651</v>
      </c>
      <c r="U83" s="1015">
        <f>qtrSales!$J$79</f>
        <v>700</v>
      </c>
      <c r="W83" s="1015">
        <f>qtrSales!$J$83</f>
        <v>706</v>
      </c>
      <c r="X83" s="1015">
        <f>qtrSales!$J$84</f>
        <v>727</v>
      </c>
      <c r="Y83" s="1015">
        <f>qtrSales!$J$85</f>
        <v>764</v>
      </c>
      <c r="Z83" s="1015">
        <f>qtrSales!$J$86</f>
        <v>788</v>
      </c>
      <c r="AB83" s="1015">
        <f>qtrSales!$J$90</f>
        <v>783</v>
      </c>
      <c r="AC83" s="1015">
        <f>qtrSales!$J$91</f>
        <v>804</v>
      </c>
      <c r="AD83" s="1015">
        <f>qtrSales!$J$92</f>
        <v>820</v>
      </c>
      <c r="AE83" s="1015">
        <f>qtrSales!$J$93</f>
        <v>851</v>
      </c>
      <c r="AG83" s="1015">
        <f>qtrSales!$J$97</f>
        <v>846</v>
      </c>
      <c r="AH83" s="1015">
        <f>qtrSales!$J$98</f>
        <v>880</v>
      </c>
      <c r="AI83" s="1015">
        <f>qtrSales!$J$99</f>
        <v>912</v>
      </c>
      <c r="AJ83" s="1015">
        <f>qtrSales!$J$100</f>
        <v>944</v>
      </c>
      <c r="AL83" s="1015">
        <f>qtrSales!$J$104</f>
        <v>954</v>
      </c>
      <c r="AM83" s="1015">
        <f>qtrSales!$J$105</f>
        <v>984</v>
      </c>
      <c r="AN83" s="1015">
        <f>qtrSales!$J$106</f>
        <v>1014</v>
      </c>
      <c r="AO83" s="1015">
        <f>qtrSales!$J$107</f>
        <v>1035</v>
      </c>
      <c r="AP83" s="97"/>
      <c r="AQ83" s="1015">
        <f>qtrSales!$J$111</f>
        <v>1047</v>
      </c>
      <c r="AR83" s="1015">
        <f>qtrSales!$J$112</f>
        <v>1081</v>
      </c>
      <c r="AS83" s="1015">
        <f>qtrSales!$J$113</f>
        <v>1107</v>
      </c>
      <c r="AT83" s="1015">
        <f>qtrSales!$J$114</f>
        <v>1125</v>
      </c>
      <c r="AU83" s="97"/>
      <c r="AV83" s="1015">
        <f>qtrSales!$J$118</f>
        <v>1126</v>
      </c>
      <c r="AW83" s="1015">
        <f>qtrSales!$J$119</f>
        <v>1132</v>
      </c>
      <c r="AX83" s="1015">
        <f>qtrSales!$J$120</f>
        <v>1130</v>
      </c>
      <c r="AY83" s="1015">
        <f>qtrSales!$J$121</f>
        <v>1096</v>
      </c>
      <c r="AZ83" s="97"/>
      <c r="BA83" s="1015">
        <f>qtrSales!$J$125</f>
        <v>1100</v>
      </c>
      <c r="BB83" s="1015">
        <f>qtrSales!$J$126</f>
        <v>1098</v>
      </c>
      <c r="BC83" s="1015">
        <f>qtrSales!$J$127</f>
        <v>1106</v>
      </c>
      <c r="BD83" s="1015">
        <f>qtrSales!$J$128</f>
        <v>1069</v>
      </c>
      <c r="BE83" s="97"/>
      <c r="BF83" s="802"/>
      <c r="BG83" s="97"/>
      <c r="BH83" s="97"/>
      <c r="BI83" s="97"/>
      <c r="BJ83" s="97"/>
      <c r="BK83" s="820"/>
      <c r="BL83" s="820"/>
      <c r="BM83" s="820"/>
      <c r="BN83" s="820"/>
      <c r="BO83" s="820"/>
      <c r="BP83" s="1015"/>
      <c r="BQ83" s="1015"/>
      <c r="BR83" s="1015"/>
      <c r="BS83" s="1015"/>
      <c r="BT83" s="1015"/>
      <c r="BU83" s="1015"/>
      <c r="BV83" s="1015"/>
      <c r="BW83" s="1015"/>
      <c r="BX83" s="1015"/>
      <c r="BY83" s="1015"/>
      <c r="BZ83" s="1015"/>
      <c r="CA83" s="1015"/>
      <c r="CB83" s="1015"/>
      <c r="CC83" s="1015"/>
      <c r="CD83" s="1015"/>
      <c r="CE83" s="1015"/>
      <c r="CF83" s="97"/>
      <c r="CG83" s="97"/>
      <c r="CH83" s="97"/>
      <c r="CI83" s="97"/>
      <c r="CJ83" s="1015"/>
      <c r="CK83" s="97"/>
      <c r="CL83" s="97"/>
      <c r="CM83" s="97"/>
      <c r="CN83" s="97"/>
      <c r="CO83" s="1015"/>
      <c r="CP83" s="97"/>
      <c r="CQ83" s="97"/>
      <c r="CR83" s="97"/>
      <c r="CS83" s="97"/>
      <c r="CT83" s="968"/>
      <c r="CU83" s="968"/>
      <c r="CV83" s="968"/>
      <c r="CW83" s="968"/>
      <c r="CX83" s="968"/>
      <c r="CY83" s="968"/>
      <c r="CZ83" s="968"/>
      <c r="DA83" s="968"/>
      <c r="DB83" s="968"/>
      <c r="DC83" s="968"/>
      <c r="DD83" s="968"/>
      <c r="DE83" s="968"/>
      <c r="DF83" s="968"/>
      <c r="DG83" s="968"/>
      <c r="DH83" s="968"/>
      <c r="DI83" s="968">
        <f t="shared" ref="DI83:DS83" si="77">DI66</f>
        <v>1069</v>
      </c>
      <c r="DJ83" s="968">
        <f t="shared" si="77"/>
        <v>1041</v>
      </c>
      <c r="DK83" s="968">
        <f t="shared" si="77"/>
        <v>1041</v>
      </c>
      <c r="DL83" s="968">
        <f t="shared" si="77"/>
        <v>1006</v>
      </c>
      <c r="DM83" s="968">
        <f t="shared" si="77"/>
        <v>961</v>
      </c>
      <c r="DN83" s="968">
        <f t="shared" si="77"/>
        <v>932</v>
      </c>
      <c r="DO83" s="968">
        <f t="shared" si="77"/>
        <v>898</v>
      </c>
      <c r="DP83" s="968">
        <f t="shared" si="77"/>
        <v>868</v>
      </c>
      <c r="DQ83" s="968">
        <f t="shared" si="77"/>
        <v>834</v>
      </c>
      <c r="DR83" s="968">
        <f t="shared" si="77"/>
        <v>788</v>
      </c>
      <c r="DS83" s="968">
        <f t="shared" si="77"/>
        <v>752</v>
      </c>
    </row>
    <row r="84" spans="1:129">
      <c r="B84" s="991"/>
      <c r="C84" s="998"/>
      <c r="D84" s="998"/>
      <c r="E84" s="998"/>
      <c r="F84" s="998"/>
      <c r="G84" s="97"/>
      <c r="H84" s="97"/>
      <c r="I84" s="97"/>
      <c r="J84" s="97"/>
      <c r="K84" s="97"/>
      <c r="L84" s="97"/>
      <c r="M84" s="1014"/>
      <c r="N84" s="97"/>
      <c r="O84" s="97"/>
      <c r="P84" s="97"/>
      <c r="Q84" s="97"/>
      <c r="R84" s="97"/>
      <c r="S84" s="97"/>
      <c r="X84" s="991"/>
      <c r="Y84" s="97"/>
      <c r="Z84" s="97"/>
      <c r="AC84" s="991"/>
      <c r="AD84" s="97"/>
      <c r="AE84" s="97"/>
      <c r="AH84" s="802"/>
      <c r="AI84" s="97"/>
      <c r="AJ84" s="97"/>
      <c r="AN84" s="97"/>
      <c r="AO84" s="97"/>
      <c r="AP84" s="97"/>
      <c r="AQ84" s="802"/>
      <c r="AR84" s="97"/>
      <c r="AS84" s="97"/>
      <c r="AT84" s="97"/>
      <c r="AU84" s="97"/>
      <c r="AX84" s="97"/>
      <c r="AY84" s="97"/>
      <c r="AZ84" s="97"/>
      <c r="BA84" s="802"/>
      <c r="BB84" s="97"/>
      <c r="BC84" s="97"/>
      <c r="BD84" s="97"/>
      <c r="BE84" s="97"/>
      <c r="BF84" s="802"/>
      <c r="BG84" s="97"/>
      <c r="BH84" s="97"/>
      <c r="BI84" s="97"/>
      <c r="BJ84" s="97"/>
      <c r="BK84" s="820"/>
      <c r="BL84" s="820"/>
      <c r="BM84" s="820"/>
      <c r="BN84" s="820"/>
      <c r="BO84" s="820"/>
      <c r="BP84" s="97"/>
      <c r="BQ84" s="97"/>
      <c r="BR84" s="97"/>
      <c r="BS84" s="97"/>
      <c r="BU84" s="97"/>
      <c r="BV84" s="97"/>
      <c r="BW84" s="97"/>
      <c r="BX84" s="97"/>
      <c r="BZ84" s="97"/>
      <c r="CA84" s="97"/>
      <c r="CB84" s="97"/>
      <c r="CC84" s="97"/>
      <c r="CE84" s="97"/>
      <c r="CF84" s="97"/>
      <c r="CG84" s="97"/>
      <c r="CH84" s="97"/>
      <c r="CI84" s="97"/>
      <c r="CJ84" s="97"/>
      <c r="CK84" s="97"/>
      <c r="CL84" s="97"/>
      <c r="CM84" s="97"/>
      <c r="CN84" s="97"/>
      <c r="CO84" s="97"/>
      <c r="CP84" s="97"/>
      <c r="CQ84" s="97"/>
      <c r="CR84" s="97"/>
      <c r="CS84" s="97"/>
      <c r="CT84" s="998">
        <f>yrSales!C237</f>
        <v>313.75642566992718</v>
      </c>
      <c r="CU84" s="998">
        <f>yrSales!D237</f>
        <v>306.22993451209135</v>
      </c>
      <c r="CV84" s="998">
        <f>yrSales!E237</f>
        <v>379.28499546268932</v>
      </c>
      <c r="CW84" s="998">
        <f>yrSales!F237</f>
        <v>486.15698212912093</v>
      </c>
      <c r="CX84" s="998">
        <f>yrSales!G237</f>
        <v>520.02288214083205</v>
      </c>
      <c r="CY84" s="998">
        <f>yrSales!H237</f>
        <v>492.77483575552463</v>
      </c>
      <c r="CZ84" s="998">
        <f>yrSales!I237</f>
        <v>418.53817847286109</v>
      </c>
      <c r="DA84" s="998">
        <f>yrSales!J237</f>
        <v>397.42337788091766</v>
      </c>
      <c r="DB84" s="998"/>
      <c r="DC84" s="998"/>
      <c r="DD84" s="998"/>
      <c r="DE84" s="998"/>
      <c r="DF84" s="998"/>
      <c r="DG84" s="998"/>
      <c r="DH84" s="998"/>
      <c r="DI84" s="998"/>
      <c r="DJ84" s="998"/>
      <c r="DK84" s="998"/>
      <c r="DL84" s="998"/>
      <c r="DM84" s="998"/>
      <c r="DN84" s="998"/>
      <c r="DO84" s="998"/>
      <c r="DP84" s="998"/>
      <c r="DQ84" s="998"/>
      <c r="DR84" s="968"/>
      <c r="DS84" s="968"/>
    </row>
    <row r="85" spans="1:129">
      <c r="A85" s="801"/>
      <c r="B85" s="802"/>
      <c r="C85" s="801"/>
      <c r="D85" s="801"/>
      <c r="E85" s="801"/>
      <c r="F85" s="801"/>
      <c r="G85" s="802"/>
      <c r="H85" s="801"/>
      <c r="I85" s="801"/>
      <c r="J85" s="801"/>
      <c r="K85" s="801"/>
      <c r="L85" s="801"/>
      <c r="M85" s="1014"/>
      <c r="N85" s="802"/>
      <c r="O85" s="802"/>
      <c r="P85" s="802"/>
      <c r="X85" s="97"/>
      <c r="Y85" s="97"/>
      <c r="Z85" s="97"/>
      <c r="AH85" s="991"/>
      <c r="AI85" s="97"/>
      <c r="AJ85" s="97"/>
      <c r="AN85" s="97"/>
      <c r="AO85" s="97"/>
      <c r="AP85" s="97"/>
      <c r="AQ85" s="991"/>
      <c r="AR85" s="97"/>
      <c r="AS85" s="97"/>
      <c r="AT85" s="97"/>
      <c r="AU85" s="97"/>
      <c r="AX85" s="97"/>
      <c r="AY85" s="97"/>
      <c r="AZ85" s="97"/>
      <c r="BA85" s="991"/>
      <c r="BB85" s="97"/>
      <c r="BC85" s="97"/>
      <c r="BD85" s="97"/>
      <c r="BE85" s="97"/>
      <c r="BF85" s="991"/>
      <c r="BG85" s="97"/>
      <c r="BH85" s="97"/>
      <c r="BI85" s="97"/>
      <c r="BJ85" s="97"/>
      <c r="BK85" s="991"/>
      <c r="BL85" s="97"/>
      <c r="BM85" s="97"/>
      <c r="BN85" s="97"/>
      <c r="BO85" s="97"/>
      <c r="BP85" s="97"/>
      <c r="BQ85" s="97"/>
      <c r="BR85" s="97"/>
      <c r="BS85" s="97"/>
      <c r="BU85" s="97"/>
      <c r="BV85" s="97"/>
      <c r="BW85" s="97"/>
      <c r="BX85" s="97"/>
      <c r="BZ85" s="97"/>
      <c r="CA85" s="97"/>
      <c r="CB85" s="97"/>
      <c r="CC85" s="97"/>
      <c r="CE85" s="97"/>
      <c r="CJ85" s="97"/>
      <c r="CO85" s="97"/>
      <c r="DR85" s="998"/>
      <c r="DS85" s="998"/>
    </row>
    <row r="86" spans="1:129">
      <c r="A86" s="1016" t="s">
        <v>6</v>
      </c>
      <c r="B86" s="813"/>
      <c r="C86" s="820"/>
      <c r="D86" s="820"/>
      <c r="E86" s="820"/>
      <c r="F86" s="820"/>
      <c r="G86" s="820"/>
      <c r="H86" s="820"/>
      <c r="I86" s="820"/>
      <c r="J86" s="820"/>
      <c r="K86" s="820"/>
      <c r="L86" s="801"/>
      <c r="M86" s="1014"/>
      <c r="N86" s="820"/>
      <c r="O86" s="820"/>
      <c r="P86" s="820"/>
    </row>
    <row r="87" spans="1:129">
      <c r="A87" s="22" t="s">
        <v>409</v>
      </c>
      <c r="DY87" s="114"/>
    </row>
    <row r="88" spans="1:129">
      <c r="A88" s="22" t="s">
        <v>410</v>
      </c>
      <c r="DY88" s="114"/>
    </row>
    <row r="89" spans="1:129">
      <c r="DY89" s="114"/>
    </row>
    <row r="90" spans="1:129">
      <c r="DY90" s="114"/>
    </row>
    <row r="91" spans="1:129">
      <c r="DY91" s="114"/>
    </row>
    <row r="93" spans="1:129" customFormat="1"/>
  </sheetData>
  <dataConsolidate/>
  <mergeCells count="12">
    <mergeCell ref="AQ5:AT5"/>
    <mergeCell ref="AV5:AY5"/>
    <mergeCell ref="BA5:BD5"/>
    <mergeCell ref="BF5:BI5"/>
    <mergeCell ref="BU5:BX5"/>
    <mergeCell ref="BL4:BO4"/>
    <mergeCell ref="BP5:BS5"/>
    <mergeCell ref="BK5:BN5"/>
    <mergeCell ref="BZ5:CC5"/>
    <mergeCell ref="CO5:CR5"/>
    <mergeCell ref="CJ5:CM5"/>
    <mergeCell ref="CE5:CH5"/>
  </mergeCells>
  <phoneticPr fontId="0" type="noConversion"/>
  <dataValidations count="1">
    <dataValidation type="custom" allowBlank="1" showInputMessage="1" showErrorMessage="1" sqref="BT65:BT71 BJ82:BJ83 BE65:BE71 BF65:BF69 BJ65:BJ71 AM91:AM92 AN90:AY92 AH91:AH92 DA90:DD91 M90:AG92 CT65:DS66 AZ65:AZ71 M94:AY65536 Q78:Q89 Q70:Q76 AB65:AE69 C65:F66 CT78:DG78 C70:F71 L70:L71 AQ65:AR69 AV65:AX69 BA82:BE83 V70:W76 R78:AY78 R85:U89 AV86:AW89 AQ86:AQ89 Y70:AB76 AD70:AG76 AI72:AJ76 AL70:AL76 AK65:AK76 AN72:AP76 AR72:AU76 AX72:AY76 C78:F84 C73:F76 H78:K83 BB75:BB76 AX84:AY89 CT79:DA79 CY80:DA80 DB79:DG80 AR84:AT89 M87:M89 Y84:Z89 AD84:AE89 AP79:AP89 AI84:AJ92 AU79:AU89 W84:W89 AB84:AB89 AG84:AG89 AL84:AL92 AN84:AO89 N85:P89 V79:V89 BB79 AA79:AA89 AF83:AF89 AB79:AJ81 AK79:AK92 BB84:BB85 BP28:BR30 M78:P83 R79:U83 W79:Z83 AB82:AE83 AG82:AJ83 AL79:AO83 AQ79:AT83 AV79:AY83 DB5:DS13 BK59:BO60 BK61:BM63 BK58:BM58 BJ58:BJ63 BJ40:BK56 BI45:BI53 BG16:BH16 BG7:BH13 BA7:BF16 BQ61:BR63 BP58:BP63 BQ58:BR58 BU58:BX58 BL49:BM56 BL40:BM46 BG14:BI15 BL47:CH48 CF6:CI6 BL16:BM16 BL7:BM13 BJ7:BK16 DA1:DD3 DH35:DS37 BZ32:CC32 BA65:BB69 BQ59:CH59 BU56:BX56 BU5:BU6 BU41:BW42 CY73:DQ76 BN49:CH53 BU12:BW12 BU20:BW20 BU24:BW24 BU28:BW30 BQ6:BT6 BL14:BN15 BI10 BP32:BR32 DA37:DG37 BA40:BH56 DB22:DE30 A38:A39 DA35:DG35 DB17:DG21 DA32:DE33 DA27:DA30 DF22:DG33 CT20:CZ20 DA6:DA7 DA11:DA12 DA9 W58:AY64 DA20:DA25 BB6:BJ6 AU5:AU16 AV7:AY16 AV5:AV6 AW6:AY6 R58:U64 R32:U35 V32:V64 M5:P7 Q5:Q30 L32:L66 L5:L30 V5:V30 R27:U30 Q32:Q64 R20:U21 M20:P20 R24:U25 C20:F20 H20:K20 R40:U56 M64:P64 R5:U16 W40:AY56 W32:AY35 W20:AY21 W27:AY30 W24:AY25 W5:AL16 AM6:AO16 AP5:AP16 AQ7:AT16 AQ5:AQ6 AR6:AT6 BA5:BA6 BA24:BH25 BQ60:BS60 BA32:BH35 BA20:BH21 BA27:BH30 BA58:BH63 BF5 BJ24:BM25 BK5:BK6 L1:AY3 BJ32:BM35 BJ20:BM21 BJ27:BM30 BP5:BP6 BL6:BO6 BZ28:CB30 BP41:BR42 BP56:BR56 BP12:BR12 BP20:BR20 BP24:BR24 L73:L76 CI65:CI70 BZ60:CC63 BV6:BY6 BZ58:CC58 BU60:BX63 BZ56:CC56 CE28:CG30 BZ5:BZ6 BZ41:CB42 BU32:BW32 BZ12:CB12 BZ20:CB20 BZ24:CB24 CE68:CH69 BY65:BY71 CO20:CQ20 CA6:CD6 BN45:CH46 CE32:CH32 CE60:CH63 CE58:CH58 CE56:CH56 CE5:CE6 CE41:CG42 CE12:CG12 CE20:CG20 CE24:CG24 DA94:DD65536 DA40:DS64 DR84:DS85 CX71:DS71 DR73:DS77 DH17:DS33 DH78:DH80 CY83:DH84 DI84:DQ84 DI79:DS81 CP6:CS6 CQ65:CS70 CJ24:CL24 CJ28:CL30 CO32:CS32 CO56:CS56 CJ5:CJ6 CJ41:CL42 CJ12:CL12 CJ20:CL20 CD65:CD71 CB71:CC71 BW65:BX69 BZ65:BZ69 CC30:CD30 BN10:CS10 CJ56:CM56 CJ32:CM32 CL65:CN70 CK6:CN6 CI45:CS53 CJ58:CM63 CO58:CS63 CO24:CQ24 CO28:CQ30 CO5:CO6 CO41:CQ42 CO12:CQ12 L78:L92 L94:L65536">
      <formula1>-1</formula1>
    </dataValidation>
  </dataValidations>
  <printOptions horizontalCentered="1"/>
  <pageMargins left="0" right="0" top="0" bottom="0" header="0" footer="0"/>
  <pageSetup scale="80" orientation="landscape"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N467"/>
  <sheetViews>
    <sheetView zoomScale="85" zoomScaleNormal="85" workbookViewId="0">
      <pane xSplit="3" ySplit="9" topLeftCell="D10" activePane="bottomRight" state="frozen"/>
      <selection activeCell="BA20" sqref="BA20"/>
      <selection pane="topRight" activeCell="BA20" sqref="BA20"/>
      <selection pane="bottomLeft" activeCell="BA20" sqref="BA20"/>
      <selection pane="bottomRight" activeCell="J344" sqref="J344"/>
    </sheetView>
  </sheetViews>
  <sheetFormatPr defaultRowHeight="12.75" outlineLevelRow="1" outlineLevelCol="1"/>
  <cols>
    <col min="1" max="1" width="3.42578125" style="22" customWidth="1"/>
    <col min="2" max="2" width="6.85546875" style="22" bestFit="1" customWidth="1"/>
    <col min="3" max="3" width="1.28515625" style="22" customWidth="1"/>
    <col min="4" max="4" width="6.5703125" style="22" customWidth="1"/>
    <col min="5" max="5" width="1.7109375" style="22" customWidth="1"/>
    <col min="6" max="6" width="8.28515625" style="22" customWidth="1"/>
    <col min="7" max="7" width="1.5703125" style="22" customWidth="1"/>
    <col min="8" max="8" width="6.85546875" style="22" customWidth="1"/>
    <col min="9" max="9" width="1.7109375" style="22" customWidth="1"/>
    <col min="10" max="10" width="6" style="22" customWidth="1"/>
    <col min="11" max="11" width="5.140625" style="22" customWidth="1"/>
    <col min="12" max="12" width="6.85546875" style="22" customWidth="1"/>
    <col min="13" max="13" width="1.28515625" style="22" customWidth="1"/>
    <col min="14" max="14" width="8.42578125" style="22" customWidth="1"/>
    <col min="15" max="15" width="1.85546875" style="22" customWidth="1"/>
    <col min="16" max="16" width="9.28515625" style="22" bestFit="1" customWidth="1"/>
    <col min="17" max="17" width="2.42578125" style="22" bestFit="1" customWidth="1"/>
    <col min="18" max="18" width="1.28515625" style="22" customWidth="1"/>
    <col min="19" max="19" width="8.42578125" style="22" customWidth="1"/>
    <col min="20" max="20" width="1.5703125" style="22" customWidth="1"/>
    <col min="21" max="21" width="6.42578125" style="22" customWidth="1"/>
    <col min="22" max="22" width="1.28515625" style="22" customWidth="1"/>
    <col min="23" max="23" width="6.42578125" style="22" customWidth="1"/>
    <col min="24" max="24" width="1.7109375" style="22" customWidth="1"/>
    <col min="25" max="25" width="4.7109375" style="22" customWidth="1"/>
    <col min="26" max="26" width="6.42578125" style="22" customWidth="1"/>
    <col min="27" max="27" width="1.7109375" style="22" customWidth="1"/>
    <col min="28" max="28" width="6.28515625" style="22" customWidth="1"/>
    <col min="29" max="29" width="1.28515625" style="22" customWidth="1"/>
    <col min="30" max="30" width="6.7109375" style="22" customWidth="1"/>
    <col min="31" max="31" width="1.7109375" style="22" customWidth="1"/>
    <col min="32" max="32" width="9.28515625" style="22" bestFit="1" customWidth="1"/>
    <col min="33" max="33" width="2.42578125" style="22" bestFit="1" customWidth="1"/>
    <col min="34" max="34" width="1.140625" style="22" customWidth="1"/>
    <col min="35" max="35" width="8.140625" style="22" customWidth="1"/>
    <col min="36" max="36" width="1.28515625" style="22" customWidth="1"/>
    <col min="37" max="37" width="8" style="22" customWidth="1"/>
    <col min="38" max="38" width="1.28515625" style="22" customWidth="1"/>
    <col min="39" max="39" width="6.140625" style="22" customWidth="1"/>
    <col min="40" max="40" width="1.7109375" style="22" customWidth="1"/>
    <col min="41" max="41" width="2.5703125" style="22" customWidth="1"/>
    <col min="42" max="44" width="2.5703125" style="22" hidden="1" customWidth="1" outlineLevel="1"/>
    <col min="45" max="45" width="6.7109375" style="22" bestFit="1" customWidth="1" collapsed="1"/>
    <col min="46" max="46" width="2.140625" style="22" customWidth="1"/>
    <col min="47" max="47" width="7" style="22" customWidth="1"/>
    <col min="48" max="48" width="8.7109375" style="22" customWidth="1"/>
    <col min="49" max="50" width="1.42578125" style="22" customWidth="1"/>
    <col min="51" max="51" width="8.42578125" style="22" bestFit="1" customWidth="1"/>
    <col min="52" max="52" width="7.85546875" style="22" customWidth="1"/>
    <col min="53" max="53" width="3.28515625" style="22" customWidth="1"/>
    <col min="54" max="54" width="9.28515625" style="114" bestFit="1" customWidth="1"/>
    <col min="55" max="55" width="9.28515625" style="22" bestFit="1" customWidth="1"/>
    <col min="56" max="56" width="11.85546875" style="22" customWidth="1"/>
    <col min="57" max="57" width="9.28515625" style="22" bestFit="1" customWidth="1"/>
    <col min="58" max="58" width="10.7109375" style="22" bestFit="1" customWidth="1"/>
    <col min="59" max="59" width="9.28515625" style="22" bestFit="1" customWidth="1"/>
    <col min="60" max="60" width="9.42578125" style="22" bestFit="1" customWidth="1"/>
    <col min="61" max="61" width="9.28515625" style="22" bestFit="1" customWidth="1"/>
    <col min="62" max="62" width="3.5703125" style="22" customWidth="1"/>
    <col min="63" max="92" width="9.28515625" style="22" bestFit="1" customWidth="1"/>
    <col min="93" max="16384" width="9.140625" style="22"/>
  </cols>
  <sheetData>
    <row r="1" spans="1:85">
      <c r="A1" s="24" t="str">
        <f>sumry!A1</f>
        <v>Abercrombie &amp; Fitch</v>
      </c>
      <c r="B1" s="64"/>
      <c r="C1" s="24"/>
      <c r="D1" s="24"/>
      <c r="E1" s="36"/>
      <c r="F1" s="24"/>
      <c r="G1" s="24"/>
      <c r="H1" s="24"/>
      <c r="I1" s="36"/>
      <c r="J1" s="40"/>
      <c r="K1" s="40"/>
      <c r="L1" s="40"/>
      <c r="M1" s="41"/>
      <c r="N1" s="41"/>
      <c r="O1" s="36"/>
      <c r="P1" s="40"/>
      <c r="Q1" s="40"/>
      <c r="R1" s="41"/>
      <c r="S1" s="112"/>
      <c r="T1" s="40"/>
      <c r="V1" s="41"/>
      <c r="W1" s="40"/>
      <c r="X1" s="112"/>
      <c r="Y1" s="40"/>
      <c r="Z1" s="40"/>
      <c r="AA1" s="40"/>
      <c r="AB1" s="40"/>
      <c r="AC1" s="41"/>
      <c r="AD1" s="40"/>
      <c r="AE1" s="41"/>
      <c r="AF1" s="40"/>
      <c r="AG1" s="40"/>
      <c r="AH1" s="41"/>
      <c r="AI1" s="40"/>
      <c r="AJ1" s="40"/>
      <c r="AK1" s="263"/>
      <c r="AL1" s="41"/>
      <c r="AM1" s="112"/>
      <c r="AN1" s="112"/>
      <c r="AO1" s="112"/>
      <c r="AP1" s="112"/>
      <c r="AQ1" s="112"/>
      <c r="AR1" s="112"/>
      <c r="AS1" s="24"/>
      <c r="AT1" s="24"/>
      <c r="AU1" s="24"/>
      <c r="AV1" s="24"/>
      <c r="AW1" s="24"/>
      <c r="AX1" s="40"/>
      <c r="AY1" s="24"/>
      <c r="AZ1" s="38"/>
      <c r="BA1" s="24"/>
      <c r="BB1" s="236"/>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4"/>
      <c r="CC1" s="24"/>
      <c r="CD1" s="24"/>
      <c r="CE1" s="24"/>
      <c r="CF1" s="24"/>
      <c r="CG1" s="24"/>
    </row>
    <row r="2" spans="1:85">
      <c r="A2" s="25" t="s">
        <v>1444</v>
      </c>
      <c r="B2" s="65"/>
      <c r="C2" s="25"/>
      <c r="D2" s="25"/>
      <c r="E2" s="37"/>
      <c r="F2" s="25"/>
      <c r="G2" s="25"/>
      <c r="H2" s="25"/>
      <c r="I2" s="37"/>
      <c r="J2" s="25"/>
      <c r="K2" s="25"/>
      <c r="L2" s="25"/>
      <c r="M2" s="37"/>
      <c r="N2" s="37"/>
      <c r="O2" s="37"/>
      <c r="P2" s="705"/>
      <c r="Q2" s="25"/>
      <c r="R2" s="37"/>
      <c r="S2" s="703"/>
      <c r="T2" s="25"/>
      <c r="U2" s="704"/>
      <c r="V2" s="25"/>
      <c r="W2" s="25"/>
      <c r="X2" s="77"/>
      <c r="Y2" s="25"/>
      <c r="Z2" s="25"/>
      <c r="AA2" s="25"/>
      <c r="AB2" s="25"/>
      <c r="AC2" s="37"/>
      <c r="AD2" s="25"/>
      <c r="AE2" s="37"/>
      <c r="AF2" s="25"/>
      <c r="AG2" s="25"/>
      <c r="AH2" s="37"/>
      <c r="AI2" s="25"/>
      <c r="AJ2" s="25"/>
      <c r="AK2" s="257"/>
      <c r="AL2" s="37"/>
      <c r="AM2" s="77"/>
      <c r="AN2" s="112"/>
      <c r="AO2" s="112"/>
      <c r="AP2" s="112"/>
      <c r="AQ2" s="112"/>
      <c r="AR2" s="112"/>
      <c r="AS2" s="24"/>
      <c r="AT2" s="24"/>
      <c r="AU2" s="24"/>
      <c r="AV2" s="24"/>
      <c r="AW2" s="24"/>
      <c r="AX2" s="40"/>
      <c r="AY2" s="24"/>
      <c r="AZ2" s="38"/>
      <c r="BA2" s="24"/>
      <c r="BB2" s="236"/>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row>
    <row r="3" spans="1:85">
      <c r="B3" s="200"/>
      <c r="N3" s="1019"/>
      <c r="P3" s="1019"/>
      <c r="S3" s="1019"/>
      <c r="X3" s="86"/>
      <c r="AK3" s="86"/>
      <c r="AM3" s="86"/>
      <c r="AN3" s="86"/>
      <c r="AO3" s="86"/>
      <c r="AP3" s="86"/>
      <c r="AQ3" s="86"/>
      <c r="AR3" s="86"/>
      <c r="AX3" s="97"/>
      <c r="AZ3" s="86"/>
      <c r="BI3" s="1020" t="s">
        <v>576</v>
      </c>
    </row>
    <row r="4" spans="1:85">
      <c r="B4" s="1995">
        <f>F104-D104</f>
        <v>6.8129817428525712</v>
      </c>
      <c r="S4" s="86"/>
      <c r="X4" s="86"/>
      <c r="AK4" s="86"/>
      <c r="AM4" s="86"/>
      <c r="AN4" s="86"/>
      <c r="AO4" s="86"/>
      <c r="AP4" s="86"/>
      <c r="AQ4" s="86"/>
      <c r="AR4" s="86"/>
      <c r="AX4" s="97"/>
      <c r="AZ4" s="86"/>
      <c r="BI4" s="1021">
        <v>0.2047430052985581</v>
      </c>
    </row>
    <row r="5" spans="1:85">
      <c r="B5" s="1995">
        <f>F105-D105</f>
        <v>5.9231640753277315</v>
      </c>
      <c r="J5" s="1022" t="s">
        <v>351</v>
      </c>
      <c r="K5" s="1023"/>
      <c r="L5" s="1023"/>
      <c r="M5" s="1023"/>
      <c r="N5" s="1023"/>
      <c r="O5" s="1023"/>
      <c r="P5" s="1023"/>
      <c r="Q5" s="1023"/>
      <c r="R5" s="1023"/>
      <c r="S5" s="1023"/>
      <c r="T5" s="1023"/>
      <c r="U5" s="1023"/>
      <c r="V5" s="1023"/>
      <c r="W5" s="1023"/>
      <c r="X5" s="1024"/>
      <c r="Z5" s="2293" t="s">
        <v>352</v>
      </c>
      <c r="AA5" s="2294"/>
      <c r="AB5" s="2294"/>
      <c r="AC5" s="2294"/>
      <c r="AD5" s="2294"/>
      <c r="AE5" s="2294"/>
      <c r="AF5" s="2294"/>
      <c r="AG5" s="2294"/>
      <c r="AH5" s="2294"/>
      <c r="AI5" s="2294"/>
      <c r="AJ5" s="2294"/>
      <c r="AK5" s="2294"/>
      <c r="AL5" s="2294"/>
      <c r="AM5" s="2294"/>
      <c r="AN5" s="1024"/>
      <c r="AO5" s="1026"/>
      <c r="AP5" s="1026"/>
      <c r="AQ5" s="1026"/>
      <c r="AR5" s="1026"/>
      <c r="AS5" s="1022" t="s">
        <v>402</v>
      </c>
      <c r="AT5" s="1023"/>
      <c r="AU5" s="1027"/>
      <c r="AV5" s="1027"/>
      <c r="AW5" s="1028"/>
      <c r="AX5" s="97"/>
      <c r="AZ5" s="86"/>
      <c r="BB5" s="1029" t="s">
        <v>374</v>
      </c>
      <c r="BC5" s="1023"/>
      <c r="BD5" s="1024"/>
      <c r="BI5" s="1021">
        <v>0.21689207050867401</v>
      </c>
    </row>
    <row r="6" spans="1:85">
      <c r="B6" s="1995">
        <f>F106-D106</f>
        <v>3.5234167478549061</v>
      </c>
      <c r="D6" s="25"/>
      <c r="E6" s="77" t="s">
        <v>145</v>
      </c>
      <c r="F6" s="25"/>
      <c r="H6" s="38" t="s">
        <v>182</v>
      </c>
      <c r="P6" s="1026" t="s">
        <v>193</v>
      </c>
      <c r="Q6" s="1026"/>
      <c r="S6" s="199"/>
      <c r="T6" s="96"/>
      <c r="U6" s="25" t="s">
        <v>349</v>
      </c>
      <c r="V6" s="96"/>
      <c r="W6" s="96"/>
      <c r="X6" s="86"/>
      <c r="AF6" s="1026" t="s">
        <v>193</v>
      </c>
      <c r="AG6" s="1026"/>
      <c r="AI6" s="96"/>
      <c r="AJ6" s="96"/>
      <c r="AK6" s="77" t="s">
        <v>350</v>
      </c>
      <c r="AL6" s="96"/>
      <c r="AM6" s="373"/>
      <c r="AN6" s="86"/>
      <c r="AO6" s="86"/>
      <c r="AP6" s="86"/>
      <c r="AQ6" s="86"/>
      <c r="AR6" s="86"/>
      <c r="AX6" s="97"/>
      <c r="AZ6" s="86"/>
      <c r="BF6" s="1030"/>
      <c r="BI6" s="1021">
        <v>0.25603913273528467</v>
      </c>
    </row>
    <row r="7" spans="1:85">
      <c r="B7" s="1995">
        <f>F107-D107</f>
        <v>5.2476308422479878</v>
      </c>
      <c r="D7" s="38"/>
      <c r="E7" s="38"/>
      <c r="F7" s="38" t="s">
        <v>181</v>
      </c>
      <c r="G7" s="38"/>
      <c r="H7" s="77" t="s">
        <v>183</v>
      </c>
      <c r="J7" s="77"/>
      <c r="K7" s="77" t="s">
        <v>188</v>
      </c>
      <c r="L7" s="77"/>
      <c r="M7" s="38"/>
      <c r="N7" s="38" t="s">
        <v>191</v>
      </c>
      <c r="P7" s="1026" t="s">
        <v>194</v>
      </c>
      <c r="Q7" s="1026"/>
      <c r="S7" s="799" t="s">
        <v>180</v>
      </c>
      <c r="U7" s="38" t="s">
        <v>198</v>
      </c>
      <c r="W7" s="38" t="s">
        <v>200</v>
      </c>
      <c r="X7" s="86"/>
      <c r="Z7" s="77"/>
      <c r="AA7" s="77" t="s">
        <v>270</v>
      </c>
      <c r="AB7" s="77"/>
      <c r="AC7" s="38"/>
      <c r="AD7" s="38" t="s">
        <v>191</v>
      </c>
      <c r="AF7" s="1026" t="s">
        <v>194</v>
      </c>
      <c r="AG7" s="1026"/>
      <c r="AI7" s="799" t="s">
        <v>180</v>
      </c>
      <c r="AK7" s="38" t="s">
        <v>198</v>
      </c>
      <c r="AM7" s="38" t="s">
        <v>200</v>
      </c>
      <c r="AN7" s="86"/>
      <c r="AO7" s="86"/>
      <c r="AP7" s="86"/>
      <c r="AQ7" s="86"/>
      <c r="AR7" s="86"/>
      <c r="AS7" s="38" t="s">
        <v>180</v>
      </c>
      <c r="AT7" s="38"/>
      <c r="AU7" s="38" t="s">
        <v>200</v>
      </c>
      <c r="AX7" s="97"/>
      <c r="AY7" s="38" t="s">
        <v>404</v>
      </c>
      <c r="AZ7" s="38" t="s">
        <v>200</v>
      </c>
      <c r="BB7" s="248" t="s">
        <v>180</v>
      </c>
      <c r="BF7" s="1030"/>
      <c r="BI7" s="1031">
        <v>0.32232579145748319</v>
      </c>
      <c r="BK7" s="317"/>
    </row>
    <row r="8" spans="1:85">
      <c r="B8" s="200"/>
      <c r="D8" s="77" t="s">
        <v>180</v>
      </c>
      <c r="E8" s="38"/>
      <c r="F8" s="1032" t="s">
        <v>159</v>
      </c>
      <c r="G8" s="38"/>
      <c r="H8" s="38" t="s">
        <v>184</v>
      </c>
      <c r="J8" s="77" t="s">
        <v>180</v>
      </c>
      <c r="K8" s="38"/>
      <c r="L8" s="77" t="s">
        <v>173</v>
      </c>
      <c r="M8" s="38"/>
      <c r="N8" s="77" t="s">
        <v>76</v>
      </c>
      <c r="P8" s="1033" t="s">
        <v>195</v>
      </c>
      <c r="Q8" s="1033"/>
      <c r="S8" s="77" t="s">
        <v>403</v>
      </c>
      <c r="U8" s="77" t="s">
        <v>175</v>
      </c>
      <c r="W8" s="77" t="s">
        <v>176</v>
      </c>
      <c r="X8" s="86"/>
      <c r="Z8" s="77" t="s">
        <v>180</v>
      </c>
      <c r="AA8" s="38"/>
      <c r="AB8" s="77" t="s">
        <v>173</v>
      </c>
      <c r="AC8" s="38"/>
      <c r="AD8" s="77" t="s">
        <v>76</v>
      </c>
      <c r="AF8" s="1033" t="s">
        <v>348</v>
      </c>
      <c r="AG8" s="1033"/>
      <c r="AI8" s="77" t="s">
        <v>403</v>
      </c>
      <c r="AK8" s="77" t="s">
        <v>343</v>
      </c>
      <c r="AM8" s="77" t="s">
        <v>176</v>
      </c>
      <c r="AN8" s="86"/>
      <c r="AO8" s="86"/>
      <c r="AP8" s="86"/>
      <c r="AQ8" s="86"/>
      <c r="AR8" s="86"/>
      <c r="AS8" s="77" t="s">
        <v>250</v>
      </c>
      <c r="AT8" s="77"/>
      <c r="AU8" s="77" t="s">
        <v>176</v>
      </c>
      <c r="AV8" s="77" t="s">
        <v>401</v>
      </c>
      <c r="AX8" s="97"/>
      <c r="AY8" s="77" t="s">
        <v>405</v>
      </c>
      <c r="AZ8" s="77" t="s">
        <v>176</v>
      </c>
      <c r="BB8" s="1034" t="s">
        <v>250</v>
      </c>
      <c r="BF8" s="1030"/>
      <c r="BI8" s="382">
        <f>SUM(BI4:BI7)</f>
        <v>1</v>
      </c>
    </row>
    <row r="9" spans="1:85">
      <c r="B9" s="200"/>
      <c r="D9" s="1035" t="s">
        <v>186</v>
      </c>
      <c r="E9" s="38"/>
      <c r="F9" s="1035" t="s">
        <v>187</v>
      </c>
      <c r="G9" s="38"/>
      <c r="H9" s="1035" t="s">
        <v>185</v>
      </c>
      <c r="J9" s="1035" t="s">
        <v>189</v>
      </c>
      <c r="K9" s="38"/>
      <c r="L9" s="1035" t="s">
        <v>190</v>
      </c>
      <c r="M9" s="38"/>
      <c r="N9" s="1035" t="s">
        <v>192</v>
      </c>
      <c r="P9" s="1036" t="s">
        <v>196</v>
      </c>
      <c r="Q9" s="1036"/>
      <c r="S9" s="1035" t="s">
        <v>197</v>
      </c>
      <c r="U9" s="1035" t="s">
        <v>199</v>
      </c>
      <c r="W9" s="1035" t="s">
        <v>201</v>
      </c>
      <c r="X9" s="86"/>
      <c r="Z9" s="1035" t="s">
        <v>340</v>
      </c>
      <c r="AA9" s="38"/>
      <c r="AB9" s="1035" t="s">
        <v>341</v>
      </c>
      <c r="AC9" s="38"/>
      <c r="AD9" s="1035" t="s">
        <v>342</v>
      </c>
      <c r="AF9" s="1036" t="s">
        <v>344</v>
      </c>
      <c r="AG9" s="1036"/>
      <c r="AI9" s="1035" t="s">
        <v>345</v>
      </c>
      <c r="AK9" s="1035" t="s">
        <v>346</v>
      </c>
      <c r="AM9" s="1035" t="s">
        <v>347</v>
      </c>
      <c r="AN9" s="86"/>
      <c r="AO9" s="86"/>
      <c r="AP9" s="86"/>
      <c r="AQ9" s="86"/>
      <c r="AR9" s="86"/>
      <c r="AX9" s="97"/>
      <c r="AZ9" s="86"/>
      <c r="BF9" s="1030"/>
      <c r="BG9" s="1030"/>
      <c r="BH9" s="1030"/>
    </row>
    <row r="10" spans="1:85">
      <c r="A10" s="332"/>
      <c r="B10" s="1018"/>
      <c r="C10" s="332"/>
      <c r="D10" s="332"/>
      <c r="E10" s="332"/>
      <c r="F10" s="332"/>
      <c r="G10" s="332"/>
      <c r="H10" s="332"/>
      <c r="I10" s="332"/>
      <c r="J10" s="332"/>
      <c r="K10" s="332"/>
      <c r="L10" s="332"/>
      <c r="M10" s="332"/>
      <c r="N10" s="332"/>
      <c r="O10" s="332"/>
      <c r="P10" s="332"/>
      <c r="Q10" s="332"/>
      <c r="R10" s="332"/>
      <c r="S10" s="1037"/>
      <c r="T10" s="332"/>
      <c r="U10" s="332"/>
      <c r="V10" s="332"/>
      <c r="W10" s="332"/>
      <c r="X10" s="1037"/>
      <c r="Y10" s="332"/>
      <c r="Z10" s="332"/>
      <c r="AA10" s="332"/>
      <c r="AB10" s="332"/>
      <c r="AC10" s="332"/>
      <c r="AD10" s="332"/>
      <c r="AE10" s="332"/>
      <c r="AF10" s="332"/>
      <c r="AG10" s="332"/>
      <c r="AH10" s="332"/>
      <c r="AI10" s="332"/>
      <c r="AJ10" s="332"/>
      <c r="AK10" s="1037"/>
      <c r="AL10" s="332"/>
      <c r="AM10" s="1037"/>
      <c r="AN10" s="1037"/>
      <c r="AO10" s="1037"/>
      <c r="AP10" s="1037"/>
      <c r="AQ10" s="1037"/>
      <c r="AR10" s="1037"/>
      <c r="AS10" s="332"/>
      <c r="AT10" s="332"/>
      <c r="AU10" s="332"/>
      <c r="AV10" s="332"/>
      <c r="AW10" s="332"/>
      <c r="AX10" s="332"/>
      <c r="AY10" s="332"/>
      <c r="AZ10" s="1037"/>
      <c r="BA10" s="332"/>
      <c r="BB10" s="332"/>
      <c r="BC10" s="332"/>
      <c r="BD10" s="332"/>
      <c r="BE10" s="332"/>
      <c r="BF10" s="332"/>
      <c r="BG10" s="332"/>
      <c r="BH10" s="332"/>
      <c r="BI10" s="332"/>
      <c r="BJ10" s="332"/>
      <c r="BK10" s="332"/>
      <c r="BL10" s="332"/>
      <c r="BM10" s="332"/>
      <c r="BN10" s="332"/>
      <c r="BO10" s="332"/>
      <c r="BP10" s="332"/>
      <c r="BQ10" s="332"/>
      <c r="BR10" s="332"/>
      <c r="BS10" s="332"/>
      <c r="BT10" s="332"/>
      <c r="BU10" s="332"/>
      <c r="BV10" s="332"/>
      <c r="BW10" s="332"/>
      <c r="BX10" s="332"/>
      <c r="BY10" s="332"/>
      <c r="BZ10" s="332"/>
      <c r="CA10" s="332"/>
      <c r="CB10" s="332"/>
      <c r="CC10" s="332"/>
      <c r="CD10" s="332"/>
      <c r="CE10" s="332"/>
      <c r="CF10" s="332"/>
      <c r="CG10" s="332"/>
    </row>
    <row r="11" spans="1:85" ht="10.5" customHeight="1">
      <c r="A11" s="1038" t="s">
        <v>395</v>
      </c>
      <c r="B11" s="1039"/>
      <c r="C11" s="1040"/>
      <c r="D11" s="1040"/>
      <c r="E11" s="1040"/>
      <c r="F11" s="1040"/>
      <c r="G11" s="1040"/>
      <c r="H11" s="1040"/>
      <c r="I11" s="1040"/>
      <c r="J11" s="1040"/>
      <c r="K11" s="1040"/>
      <c r="L11" s="1040"/>
      <c r="M11" s="1040"/>
      <c r="N11" s="1040"/>
      <c r="O11" s="1041"/>
      <c r="P11" s="1040"/>
      <c r="Q11" s="1040"/>
      <c r="R11" s="1040"/>
      <c r="S11" s="1041"/>
      <c r="T11" s="1040"/>
      <c r="U11" s="1040"/>
      <c r="V11" s="1040"/>
      <c r="W11" s="1040"/>
      <c r="X11" s="1040"/>
      <c r="Y11" s="1040"/>
      <c r="Z11" s="1040"/>
      <c r="AA11" s="1040"/>
      <c r="AB11" s="1040"/>
      <c r="AC11" s="1040"/>
      <c r="AD11" s="1040"/>
      <c r="AE11" s="1041"/>
      <c r="AF11" s="1040"/>
      <c r="AG11" s="1040"/>
      <c r="AH11" s="1040"/>
      <c r="AI11" s="1040"/>
      <c r="AJ11" s="1040"/>
      <c r="AK11" s="1041"/>
      <c r="AL11" s="1040"/>
      <c r="AM11" s="1041"/>
      <c r="AN11" s="1040"/>
      <c r="AO11" s="1040"/>
      <c r="AP11" s="1040"/>
      <c r="AQ11" s="1040"/>
      <c r="AR11" s="1040"/>
      <c r="AS11" s="1040"/>
      <c r="AT11" s="1040"/>
      <c r="AU11" s="1040"/>
      <c r="AV11" s="1040"/>
      <c r="AW11" s="1040"/>
      <c r="AX11" s="1040"/>
      <c r="AY11" s="1040"/>
      <c r="AZ11" s="1041"/>
      <c r="BA11" s="1040"/>
      <c r="BB11" s="1040"/>
      <c r="BC11" s="1040"/>
      <c r="BD11" s="1040"/>
      <c r="BE11" s="1040"/>
      <c r="BF11" s="1040"/>
      <c r="BG11" s="1040"/>
      <c r="BH11" s="1040"/>
      <c r="BI11" s="1040"/>
      <c r="BJ11" s="1040"/>
      <c r="BK11" s="1040"/>
      <c r="BL11" s="1040"/>
      <c r="BM11" s="1040"/>
      <c r="BN11" s="1040"/>
      <c r="BO11" s="1040"/>
      <c r="BP11" s="1040"/>
      <c r="BQ11" s="1040"/>
      <c r="BR11" s="1040"/>
      <c r="BS11" s="1040"/>
      <c r="BT11" s="1040"/>
      <c r="BU11" s="1040"/>
      <c r="BV11" s="1040"/>
      <c r="BW11" s="1040"/>
      <c r="BX11" s="1040"/>
      <c r="BY11" s="1040"/>
      <c r="BZ11" s="1040"/>
      <c r="CA11" s="1040"/>
      <c r="CB11" s="1040"/>
      <c r="CC11" s="1040"/>
      <c r="CD11" s="1040"/>
      <c r="CE11" s="1040"/>
      <c r="CF11" s="1040"/>
      <c r="CG11" s="1040"/>
    </row>
    <row r="12" spans="1:85" hidden="1" outlineLevel="1">
      <c r="A12" s="1043"/>
      <c r="B12" s="1044" t="s">
        <v>694</v>
      </c>
      <c r="E12" s="86"/>
      <c r="G12" s="86"/>
      <c r="I12" s="86"/>
      <c r="O12" s="86"/>
      <c r="P12" s="97"/>
      <c r="Q12" s="97"/>
      <c r="S12" s="86"/>
      <c r="X12" s="86"/>
      <c r="AE12" s="86"/>
      <c r="AF12" s="97"/>
      <c r="AG12" s="97"/>
      <c r="AK12" s="86"/>
      <c r="AM12" s="86"/>
      <c r="AN12" s="86"/>
      <c r="AO12" s="86"/>
      <c r="AP12" s="86"/>
      <c r="AQ12" s="86"/>
      <c r="AR12" s="86"/>
      <c r="AX12" s="97"/>
      <c r="AZ12" s="86"/>
    </row>
    <row r="13" spans="1:85" hidden="1" outlineLevel="1">
      <c r="A13" s="22" t="s">
        <v>115</v>
      </c>
      <c r="B13" s="200" t="s">
        <v>96</v>
      </c>
      <c r="D13" s="1045"/>
      <c r="E13" s="86" t="s">
        <v>76</v>
      </c>
      <c r="F13" s="1046"/>
      <c r="G13" s="86" t="s">
        <v>76</v>
      </c>
      <c r="H13" s="1045"/>
      <c r="I13" s="86" t="s">
        <v>76</v>
      </c>
      <c r="J13" s="1047">
        <v>311</v>
      </c>
      <c r="L13" s="1048">
        <f>J13</f>
        <v>311</v>
      </c>
      <c r="N13" s="1045"/>
      <c r="O13" s="86" t="s">
        <v>76</v>
      </c>
      <c r="P13" s="1049"/>
      <c r="Q13" s="97" t="s">
        <v>76</v>
      </c>
      <c r="S13" s="1050"/>
      <c r="U13" s="1051"/>
      <c r="W13" s="1052"/>
      <c r="X13" s="86" t="s">
        <v>76</v>
      </c>
      <c r="Z13" s="227">
        <v>2815</v>
      </c>
      <c r="AB13" s="1014">
        <f>AVERAGE(Z13,Z9)</f>
        <v>2815</v>
      </c>
      <c r="AD13" s="1053"/>
      <c r="AE13" s="86" t="s">
        <v>76</v>
      </c>
      <c r="AF13" s="1054"/>
      <c r="AG13" s="97" t="s">
        <v>76</v>
      </c>
      <c r="AI13" s="1030">
        <f>+S13</f>
        <v>0</v>
      </c>
      <c r="AK13" s="1055"/>
      <c r="AM13" s="1052"/>
      <c r="AN13" s="86" t="s">
        <v>76</v>
      </c>
      <c r="AO13" s="86"/>
      <c r="AP13" s="86"/>
      <c r="AQ13" s="86"/>
      <c r="AR13" s="86"/>
      <c r="AX13" s="97"/>
      <c r="AZ13" s="86"/>
    </row>
    <row r="14" spans="1:85" hidden="1" outlineLevel="1">
      <c r="A14" s="22" t="s">
        <v>116</v>
      </c>
      <c r="B14" s="200" t="s">
        <v>97</v>
      </c>
      <c r="D14" s="1045"/>
      <c r="F14" s="1056"/>
      <c r="H14" s="1045"/>
      <c r="J14" s="1047">
        <v>316</v>
      </c>
      <c r="K14" s="1057"/>
      <c r="L14" s="1048">
        <f>AVERAGE(J14,J13)</f>
        <v>313.5</v>
      </c>
      <c r="N14" s="1045"/>
      <c r="O14" s="86"/>
      <c r="P14" s="1049"/>
      <c r="Q14" s="97"/>
      <c r="S14" s="1058"/>
      <c r="U14" s="1051"/>
      <c r="W14" s="1052"/>
      <c r="X14" s="86"/>
      <c r="Z14" s="227">
        <v>2852</v>
      </c>
      <c r="AA14" s="1057"/>
      <c r="AB14" s="1014">
        <f>AVERAGE(Z14,Z13)</f>
        <v>2833.5</v>
      </c>
      <c r="AD14" s="1053"/>
      <c r="AE14" s="86"/>
      <c r="AF14" s="1054"/>
      <c r="AG14" s="97"/>
      <c r="AI14" s="1059">
        <f>+S14</f>
        <v>0</v>
      </c>
      <c r="AK14" s="1060"/>
      <c r="AM14" s="1052"/>
      <c r="AN14" s="86"/>
      <c r="AO14" s="86"/>
      <c r="AP14" s="86"/>
      <c r="AQ14" s="86"/>
      <c r="AR14" s="86"/>
      <c r="AX14" s="97"/>
      <c r="AZ14" s="86"/>
    </row>
    <row r="15" spans="1:85" hidden="1" outlineLevel="1">
      <c r="A15" s="22" t="s">
        <v>117</v>
      </c>
      <c r="B15" s="200" t="s">
        <v>99</v>
      </c>
      <c r="D15" s="1045"/>
      <c r="F15" s="1056"/>
      <c r="H15" s="1045"/>
      <c r="J15" s="1047">
        <v>326</v>
      </c>
      <c r="K15" s="1057"/>
      <c r="L15" s="1048">
        <f>AVERAGE(J15,J14)</f>
        <v>321</v>
      </c>
      <c r="N15" s="1045"/>
      <c r="O15" s="86"/>
      <c r="P15" s="1049"/>
      <c r="Q15" s="97"/>
      <c r="S15" s="1058"/>
      <c r="U15" s="1051"/>
      <c r="W15" s="1052"/>
      <c r="X15" s="86"/>
      <c r="Z15" s="227">
        <v>2920</v>
      </c>
      <c r="AA15" s="1057"/>
      <c r="AB15" s="1014">
        <f>AVERAGE(Z15,Z14)</f>
        <v>2886</v>
      </c>
      <c r="AD15" s="1053"/>
      <c r="AE15" s="86"/>
      <c r="AF15" s="1054"/>
      <c r="AG15" s="97"/>
      <c r="AI15" s="1059">
        <f>+S15</f>
        <v>0</v>
      </c>
      <c r="AK15" s="1060"/>
      <c r="AM15" s="1052"/>
      <c r="AN15" s="86"/>
      <c r="AO15" s="86"/>
      <c r="AP15" s="86"/>
      <c r="AQ15" s="86"/>
      <c r="AR15" s="86"/>
      <c r="AX15" s="97"/>
      <c r="AZ15" s="86"/>
    </row>
    <row r="16" spans="1:85" hidden="1" outlineLevel="1">
      <c r="A16" s="22" t="s">
        <v>118</v>
      </c>
      <c r="B16" s="200" t="s">
        <v>100</v>
      </c>
      <c r="D16" s="1061"/>
      <c r="F16" s="1062"/>
      <c r="H16" s="1061"/>
      <c r="J16" s="1063">
        <f>squft!AY14</f>
        <v>340</v>
      </c>
      <c r="K16" s="39"/>
      <c r="L16" s="1064">
        <f>AVERAGE(J16,J15)</f>
        <v>333</v>
      </c>
      <c r="N16" s="1061"/>
      <c r="O16" s="86"/>
      <c r="P16" s="1064"/>
      <c r="Q16" s="97"/>
      <c r="S16" s="1065"/>
      <c r="U16" s="1066"/>
      <c r="W16" s="1067"/>
      <c r="X16" s="86"/>
      <c r="Z16" s="865">
        <f>squft!BA14</f>
        <v>3034.5140000000001</v>
      </c>
      <c r="AA16" s="39"/>
      <c r="AB16" s="1068">
        <f>AVERAGE(Z16,Z15)</f>
        <v>2977.2570000000001</v>
      </c>
      <c r="AD16" s="1069"/>
      <c r="AE16" s="86"/>
      <c r="AF16" s="1070"/>
      <c r="AG16" s="97"/>
      <c r="AI16" s="1071">
        <f>+S16</f>
        <v>0</v>
      </c>
      <c r="AK16" s="1072"/>
      <c r="AM16" s="1067"/>
      <c r="AN16" s="86"/>
      <c r="AO16" s="86"/>
      <c r="AP16" s="86"/>
      <c r="AQ16" s="86"/>
      <c r="AR16" s="86"/>
      <c r="AS16" s="1073"/>
      <c r="AT16" s="1042"/>
      <c r="AU16" s="373"/>
      <c r="AV16" s="1074"/>
      <c r="AW16" s="1042"/>
      <c r="AX16" s="1075"/>
      <c r="AZ16" s="86"/>
    </row>
    <row r="17" spans="1:52" hidden="1" outlineLevel="1">
      <c r="B17" s="200" t="s">
        <v>119</v>
      </c>
      <c r="D17" s="1045"/>
      <c r="F17" s="1056">
        <v>-6</v>
      </c>
      <c r="H17" s="1045"/>
      <c r="J17" s="865"/>
      <c r="L17" s="1048">
        <f>AVERAGE(L13:L16)</f>
        <v>319.625</v>
      </c>
      <c r="N17" s="1045"/>
      <c r="O17" s="86"/>
      <c r="P17" s="1049"/>
      <c r="Q17" s="97"/>
      <c r="S17" s="1050">
        <f>AY17-AS17</f>
        <v>1171.5297128</v>
      </c>
      <c r="T17" s="1076" t="s">
        <v>718</v>
      </c>
      <c r="U17" s="1051">
        <f>S17/L17</f>
        <v>3.6653256560031284</v>
      </c>
      <c r="W17" s="1052"/>
      <c r="X17" s="86"/>
      <c r="AB17" s="1014">
        <f>AVERAGE(AB13:AB16)</f>
        <v>2877.9392499999999</v>
      </c>
      <c r="AD17" s="1019"/>
      <c r="AE17" s="86"/>
      <c r="AF17" s="1054"/>
      <c r="AG17" s="97"/>
      <c r="AI17" s="1077">
        <f>+S17</f>
        <v>1171.5297128</v>
      </c>
      <c r="AK17" s="1055">
        <f>AI17/AB17*1000</f>
        <v>407.07242614659083</v>
      </c>
      <c r="AM17" s="1052"/>
      <c r="AN17" s="86"/>
      <c r="AO17" s="86"/>
      <c r="AP17" s="86"/>
      <c r="AQ17" s="86"/>
      <c r="AR17" s="86"/>
      <c r="AS17" s="1078">
        <f>qtrSales!AS73*(SegqtrSales!AV17/100)</f>
        <v>66.968287200000006</v>
      </c>
      <c r="AT17" s="114" t="s">
        <v>718</v>
      </c>
      <c r="AU17" s="1079"/>
      <c r="AV17" s="793">
        <v>90</v>
      </c>
      <c r="AW17" s="114" t="s">
        <v>718</v>
      </c>
      <c r="AX17" s="1075"/>
      <c r="AY17" s="1080">
        <v>1238.498</v>
      </c>
      <c r="AZ17" s="86"/>
    </row>
    <row r="18" spans="1:52" hidden="1" outlineLevel="1">
      <c r="B18" s="200"/>
      <c r="D18" s="1045"/>
      <c r="F18" s="1056"/>
      <c r="H18" s="1045"/>
      <c r="L18" s="1048"/>
      <c r="N18" s="1045"/>
      <c r="O18" s="86"/>
      <c r="P18" s="1049"/>
      <c r="Q18" s="97"/>
      <c r="S18" s="1081"/>
      <c r="U18" s="1051"/>
      <c r="W18" s="1082"/>
      <c r="X18" s="86"/>
      <c r="AB18" s="1083"/>
      <c r="AD18" s="1053"/>
      <c r="AE18" s="86"/>
      <c r="AF18" s="1054"/>
      <c r="AG18" s="97"/>
      <c r="AI18" s="1084"/>
      <c r="AK18" s="1085"/>
      <c r="AM18" s="1052"/>
      <c r="AN18" s="86"/>
      <c r="AO18" s="86"/>
      <c r="AP18" s="86"/>
      <c r="AQ18" s="86"/>
      <c r="AR18" s="86"/>
      <c r="AX18" s="97"/>
      <c r="AZ18" s="86"/>
    </row>
    <row r="19" spans="1:52" hidden="1" outlineLevel="1">
      <c r="A19" s="1043"/>
      <c r="B19" s="1044" t="s">
        <v>714</v>
      </c>
      <c r="D19" s="86"/>
      <c r="E19" s="86"/>
      <c r="F19" s="86"/>
      <c r="G19" s="86"/>
      <c r="H19" s="86"/>
      <c r="I19" s="86"/>
      <c r="L19" s="86"/>
      <c r="N19" s="86"/>
      <c r="O19" s="86"/>
      <c r="P19" s="199"/>
      <c r="Q19" s="97"/>
      <c r="S19" s="86"/>
      <c r="X19" s="86"/>
      <c r="AE19" s="86"/>
      <c r="AF19" s="97"/>
      <c r="AG19" s="97"/>
      <c r="AK19" s="86"/>
      <c r="AM19" s="86"/>
      <c r="AN19" s="86"/>
      <c r="AO19" s="86"/>
      <c r="AP19" s="86"/>
      <c r="AQ19" s="86"/>
      <c r="AR19" s="86"/>
      <c r="AX19" s="97"/>
      <c r="AZ19" s="86"/>
    </row>
    <row r="20" spans="1:52" hidden="1" outlineLevel="1">
      <c r="A20" s="22" t="s">
        <v>115</v>
      </c>
      <c r="B20" s="200" t="s">
        <v>96</v>
      </c>
      <c r="D20" s="1045" t="s">
        <v>251</v>
      </c>
      <c r="E20" s="86" t="s">
        <v>76</v>
      </c>
      <c r="F20" s="1086" t="s">
        <v>251</v>
      </c>
      <c r="G20" s="86" t="s">
        <v>76</v>
      </c>
      <c r="H20" s="1045" t="s">
        <v>251</v>
      </c>
      <c r="I20" s="86" t="s">
        <v>76</v>
      </c>
      <c r="J20" s="1047">
        <v>342</v>
      </c>
      <c r="L20" s="1048">
        <f>AVERAGE(J20,J16)</f>
        <v>341</v>
      </c>
      <c r="N20" s="1045">
        <f>(L20/L13-1)*100</f>
        <v>9.646302250803851</v>
      </c>
      <c r="O20" s="86" t="s">
        <v>76</v>
      </c>
      <c r="P20" s="1045" t="s">
        <v>251</v>
      </c>
      <c r="Q20" s="97" t="s">
        <v>76</v>
      </c>
      <c r="S20" s="1050">
        <f>AY20-AS20</f>
        <v>240.63733411999999</v>
      </c>
      <c r="T20" s="22" t="s">
        <v>718</v>
      </c>
      <c r="U20" s="1087">
        <f>S20/L20</f>
        <v>0.70568133173020531</v>
      </c>
      <c r="W20" s="1086" t="s">
        <v>251</v>
      </c>
      <c r="X20" s="86" t="s">
        <v>76</v>
      </c>
      <c r="Z20" s="227">
        <v>3053</v>
      </c>
      <c r="AB20" s="1014">
        <f>AVERAGE(Z20,Z16)</f>
        <v>3043.7570000000001</v>
      </c>
      <c r="AD20" s="1088">
        <f>(Z20/Z13-1)*100</f>
        <v>8.4547069271758488</v>
      </c>
      <c r="AE20" s="86" t="s">
        <v>76</v>
      </c>
      <c r="AF20" s="1045" t="s">
        <v>251</v>
      </c>
      <c r="AG20" s="97" t="s">
        <v>76</v>
      </c>
      <c r="AI20" s="1030">
        <f>+S20</f>
        <v>240.63733411999999</v>
      </c>
      <c r="AK20" s="1055">
        <f>AI20/AB20*1000</f>
        <v>79.059311935873978</v>
      </c>
      <c r="AM20" s="1086" t="s">
        <v>251</v>
      </c>
      <c r="AN20" s="86" t="s">
        <v>76</v>
      </c>
      <c r="AO20" s="86"/>
      <c r="AP20" s="86"/>
      <c r="AQ20" s="86"/>
      <c r="AR20" s="86"/>
      <c r="AS20" s="1078">
        <f>qtrSales!AS$76*(AV20/100)</f>
        <v>13.362665879999998</v>
      </c>
      <c r="AT20" s="114" t="s">
        <v>718</v>
      </c>
      <c r="AU20" s="86" t="s">
        <v>251</v>
      </c>
      <c r="AV20" s="793">
        <v>82</v>
      </c>
      <c r="AW20" s="114" t="s">
        <v>718</v>
      </c>
      <c r="AX20" s="1075"/>
      <c r="AY20" s="1081">
        <v>254</v>
      </c>
      <c r="AZ20" s="1019"/>
    </row>
    <row r="21" spans="1:52" hidden="1" outlineLevel="1">
      <c r="A21" s="22" t="s">
        <v>116</v>
      </c>
      <c r="B21" s="200" t="s">
        <v>97</v>
      </c>
      <c r="D21" s="1045" t="s">
        <v>251</v>
      </c>
      <c r="F21" s="1086" t="s">
        <v>251</v>
      </c>
      <c r="H21" s="1045" t="s">
        <v>251</v>
      </c>
      <c r="J21" s="1047">
        <v>346</v>
      </c>
      <c r="K21" s="1057"/>
      <c r="L21" s="1048">
        <f>AVERAGE(J21,J20)</f>
        <v>344</v>
      </c>
      <c r="N21" s="1045">
        <f>(L21/L14-1)*100</f>
        <v>9.7288676236044758</v>
      </c>
      <c r="O21" s="86"/>
      <c r="P21" s="1045" t="s">
        <v>251</v>
      </c>
      <c r="Q21" s="97"/>
      <c r="S21" s="1089">
        <f>AY21-AS21</f>
        <v>230.57396889999998</v>
      </c>
      <c r="T21" s="22" t="s">
        <v>718</v>
      </c>
      <c r="U21" s="1090">
        <f>S21/L21</f>
        <v>0.67027316540697668</v>
      </c>
      <c r="W21" s="1086" t="s">
        <v>251</v>
      </c>
      <c r="X21" s="86"/>
      <c r="Z21" s="227">
        <v>3082</v>
      </c>
      <c r="AA21" s="1057"/>
      <c r="AB21" s="1014">
        <f>AVERAGE(Z21,Z20)</f>
        <v>3067.5</v>
      </c>
      <c r="AD21" s="1088">
        <f>(Z21/Z14-1)*100</f>
        <v>8.0645161290322509</v>
      </c>
      <c r="AE21" s="86"/>
      <c r="AF21" s="1045" t="s">
        <v>251</v>
      </c>
      <c r="AG21" s="97"/>
      <c r="AI21" s="1059">
        <f>+S21</f>
        <v>230.57396889999998</v>
      </c>
      <c r="AK21" s="1060">
        <f>AI21/AB21*1000</f>
        <v>75.166738027709854</v>
      </c>
      <c r="AM21" s="1086" t="s">
        <v>251</v>
      </c>
      <c r="AN21" s="86"/>
      <c r="AO21" s="86"/>
      <c r="AP21" s="86"/>
      <c r="AQ21" s="86"/>
      <c r="AR21" s="86"/>
      <c r="AS21" s="1078">
        <f>qtrSales!AS$77*(AV21/100)</f>
        <v>13.126031099999999</v>
      </c>
      <c r="AT21" s="114" t="s">
        <v>718</v>
      </c>
      <c r="AU21" s="86" t="s">
        <v>251</v>
      </c>
      <c r="AV21" s="793">
        <v>82</v>
      </c>
      <c r="AW21" s="114" t="s">
        <v>718</v>
      </c>
      <c r="AX21" s="1075"/>
      <c r="AY21" s="1091">
        <v>243.7</v>
      </c>
      <c r="AZ21" s="1019"/>
    </row>
    <row r="22" spans="1:52" hidden="1" outlineLevel="1">
      <c r="A22" s="22" t="s">
        <v>117</v>
      </c>
      <c r="B22" s="200" t="s">
        <v>99</v>
      </c>
      <c r="D22" s="1045" t="s">
        <v>251</v>
      </c>
      <c r="F22" s="1086" t="s">
        <v>251</v>
      </c>
      <c r="H22" s="1045" t="s">
        <v>251</v>
      </c>
      <c r="J22" s="1047">
        <v>352</v>
      </c>
      <c r="K22" s="1057"/>
      <c r="L22" s="1048">
        <f>AVERAGE(J22,J21)</f>
        <v>349</v>
      </c>
      <c r="N22" s="1045">
        <f>(L22/L15-1)*100</f>
        <v>8.7227414330218078</v>
      </c>
      <c r="O22" s="86"/>
      <c r="P22" s="1045" t="s">
        <v>251</v>
      </c>
      <c r="Q22" s="97"/>
      <c r="S22" s="1089">
        <f>AY22-AS22</f>
        <v>276.36</v>
      </c>
      <c r="T22" s="22" t="s">
        <v>718</v>
      </c>
      <c r="U22" s="1090">
        <f>S22/L22</f>
        <v>0.79186246418338113</v>
      </c>
      <c r="W22" s="1086" t="s">
        <v>251</v>
      </c>
      <c r="X22" s="86"/>
      <c r="Z22" s="227">
        <v>3128</v>
      </c>
      <c r="AA22" s="1057"/>
      <c r="AB22" s="1014">
        <f>AVERAGE(Z22,Z21)</f>
        <v>3105</v>
      </c>
      <c r="AD22" s="1088">
        <f>(Z22/Z15-1)*100</f>
        <v>7.1232876712328697</v>
      </c>
      <c r="AE22" s="86"/>
      <c r="AF22" s="1045" t="s">
        <v>251</v>
      </c>
      <c r="AG22" s="97"/>
      <c r="AI22" s="1059">
        <f>+S22</f>
        <v>276.36</v>
      </c>
      <c r="AK22" s="1060">
        <f>AI22/AB22*1000</f>
        <v>89.004830917874401</v>
      </c>
      <c r="AM22" s="1086" t="s">
        <v>251</v>
      </c>
      <c r="AN22" s="86"/>
      <c r="AO22" s="86"/>
      <c r="AP22" s="86"/>
      <c r="AQ22" s="86"/>
      <c r="AR22" s="86"/>
      <c r="AS22" s="1078">
        <f>qtrSales!AS$78*(AV22/100)</f>
        <v>19.440000000000001</v>
      </c>
      <c r="AT22" s="114" t="s">
        <v>718</v>
      </c>
      <c r="AU22" s="86" t="s">
        <v>251</v>
      </c>
      <c r="AV22" s="793">
        <v>80</v>
      </c>
      <c r="AW22" s="114" t="s">
        <v>718</v>
      </c>
      <c r="AX22" s="1075"/>
      <c r="AY22" s="1091">
        <v>295.8</v>
      </c>
      <c r="AZ22" s="1019"/>
    </row>
    <row r="23" spans="1:52" hidden="1" outlineLevel="1">
      <c r="A23" s="22" t="s">
        <v>118</v>
      </c>
      <c r="B23" s="200" t="s">
        <v>100</v>
      </c>
      <c r="D23" s="1061" t="s">
        <v>251</v>
      </c>
      <c r="F23" s="1062" t="s">
        <v>251</v>
      </c>
      <c r="H23" s="1061" t="s">
        <v>251</v>
      </c>
      <c r="J23" s="1063">
        <f>squft!BC14</f>
        <v>357</v>
      </c>
      <c r="K23" s="39"/>
      <c r="L23" s="1064">
        <f>AVERAGE(J23,J22)</f>
        <v>354.5</v>
      </c>
      <c r="N23" s="1061">
        <f>(L23/L16-1)*100</f>
        <v>6.4564564564564497</v>
      </c>
      <c r="O23" s="86"/>
      <c r="P23" s="1061" t="s">
        <v>251</v>
      </c>
      <c r="Q23" s="97"/>
      <c r="S23" s="1092">
        <f>AY23-AS23</f>
        <v>359.54599999999994</v>
      </c>
      <c r="T23" s="22" t="s">
        <v>718</v>
      </c>
      <c r="U23" s="1093">
        <f>S23/L23</f>
        <v>1.0142341325811</v>
      </c>
      <c r="W23" s="1062" t="s">
        <v>251</v>
      </c>
      <c r="X23" s="86"/>
      <c r="Z23" s="865">
        <f>squft!BE14</f>
        <v>3151.4140000000002</v>
      </c>
      <c r="AA23" s="39"/>
      <c r="AB23" s="1068">
        <f>AVERAGE(Z23,Z22)</f>
        <v>3139.7070000000003</v>
      </c>
      <c r="AD23" s="1061">
        <f>(Z23/Z16-1)*100</f>
        <v>3.852346701976006</v>
      </c>
      <c r="AE23" s="86"/>
      <c r="AF23" s="1061" t="s">
        <v>251</v>
      </c>
      <c r="AG23" s="97"/>
      <c r="AI23" s="1071">
        <f>+S23</f>
        <v>359.54599999999994</v>
      </c>
      <c r="AK23" s="1072">
        <f>AI23/AB23*1000</f>
        <v>114.5157812496516</v>
      </c>
      <c r="AM23" s="1062" t="s">
        <v>251</v>
      </c>
      <c r="AN23" s="86"/>
      <c r="AO23" s="86"/>
      <c r="AP23" s="86"/>
      <c r="AQ23" s="86"/>
      <c r="AR23" s="86"/>
      <c r="AS23" s="1073">
        <f>qtrSales!AS$79*(AV23/100)</f>
        <v>27.6</v>
      </c>
      <c r="AT23" s="1042" t="s">
        <v>718</v>
      </c>
      <c r="AU23" s="373" t="s">
        <v>251</v>
      </c>
      <c r="AV23" s="1074">
        <v>80</v>
      </c>
      <c r="AW23" s="1042" t="s">
        <v>718</v>
      </c>
      <c r="AX23" s="1075"/>
      <c r="AY23" s="1065">
        <f>AY24-SUM(AY20:AY22)</f>
        <v>387.14599999999996</v>
      </c>
      <c r="AZ23" s="309"/>
    </row>
    <row r="24" spans="1:52" hidden="1" outlineLevel="1">
      <c r="B24" s="200" t="s">
        <v>119</v>
      </c>
      <c r="D24" s="1045">
        <f>(S24/S17-1)*100</f>
        <v>-5.4981456361061332</v>
      </c>
      <c r="F24" s="1094">
        <v>-11</v>
      </c>
      <c r="H24" s="1045">
        <f>D24-F24</f>
        <v>5.5018543638938668</v>
      </c>
      <c r="J24" s="865"/>
      <c r="L24" s="1048">
        <f>AVERAGE(L20:L23)</f>
        <v>347.125</v>
      </c>
      <c r="N24" s="1045">
        <f>(L24/L17-1)*100</f>
        <v>8.6038326163472725</v>
      </c>
      <c r="O24" s="86"/>
      <c r="P24" s="1049">
        <f>H24/N24*100</f>
        <v>63.946552765802878</v>
      </c>
      <c r="Q24" s="97"/>
      <c r="S24" s="1095">
        <f>AY24-AS24</f>
        <v>1107.11730302</v>
      </c>
      <c r="T24" s="22" t="s">
        <v>718</v>
      </c>
      <c r="U24" s="1087">
        <f>SUM(U20:U23)</f>
        <v>3.1820510939016629</v>
      </c>
      <c r="W24" s="1094">
        <f>(U24/U17-1)*100</f>
        <v>-13.185037496189478</v>
      </c>
      <c r="X24" s="86"/>
      <c r="AB24" s="1014">
        <f>AVERAGE(AB20:AB23)</f>
        <v>3088.991</v>
      </c>
      <c r="AD24" s="1088">
        <f>(Z23/Z16-1)*100</f>
        <v>3.852346701976006</v>
      </c>
      <c r="AE24" s="86"/>
      <c r="AF24" s="1096">
        <f>+H24/AD24*100</f>
        <v>142.81825571597096</v>
      </c>
      <c r="AG24" s="97"/>
      <c r="AI24" s="1030">
        <f>SUM(AI20:AI23)</f>
        <v>1107.1173030199998</v>
      </c>
      <c r="AK24" s="1097">
        <f>SUM(AK20:AK23)</f>
        <v>357.74666213110982</v>
      </c>
      <c r="AM24" s="1094">
        <f>(AK24/AK17-1)*100</f>
        <v>-12.117196068131209</v>
      </c>
      <c r="AN24" s="86"/>
      <c r="AO24" s="86"/>
      <c r="AP24" s="86"/>
      <c r="AQ24" s="86"/>
      <c r="AR24" s="86"/>
      <c r="AS24" s="1078">
        <f>SUM(AS20:AS23)</f>
        <v>73.528696980000007</v>
      </c>
      <c r="AT24" s="114" t="s">
        <v>718</v>
      </c>
      <c r="AU24" s="1079">
        <f>(AS24/AS17-1)*100</f>
        <v>9.796293222204433</v>
      </c>
      <c r="AV24" s="1049">
        <f>(AS24/qtrSales!AS$80)*100</f>
        <v>80.709157470703403</v>
      </c>
      <c r="AW24" s="114" t="s">
        <v>718</v>
      </c>
      <c r="AX24" s="1075"/>
      <c r="AY24" s="1080">
        <v>1180.646</v>
      </c>
      <c r="AZ24" s="1019">
        <f>AY24/AY17-1</f>
        <v>-4.6711419800435805E-2</v>
      </c>
    </row>
    <row r="25" spans="1:52" hidden="1" outlineLevel="1">
      <c r="B25" s="200"/>
      <c r="D25" s="1045"/>
      <c r="F25" s="1094"/>
      <c r="H25" s="1045"/>
      <c r="L25" s="1048"/>
      <c r="N25" s="1045"/>
      <c r="O25" s="86"/>
      <c r="P25" s="1049"/>
      <c r="Q25" s="97"/>
      <c r="S25" s="1081"/>
      <c r="U25" s="1087"/>
      <c r="W25" s="1094"/>
      <c r="X25" s="86"/>
      <c r="AB25" s="1083"/>
      <c r="AD25" s="1098"/>
      <c r="AE25" s="86"/>
      <c r="AF25" s="1049"/>
      <c r="AG25" s="97"/>
      <c r="AI25" s="1030"/>
      <c r="AK25" s="1055"/>
      <c r="AM25" s="1094"/>
      <c r="AN25" s="86"/>
      <c r="AO25" s="86"/>
      <c r="AP25" s="86"/>
      <c r="AQ25" s="86"/>
      <c r="AR25" s="86"/>
      <c r="AW25" s="244"/>
      <c r="AX25" s="1054"/>
      <c r="AZ25" s="86"/>
    </row>
    <row r="26" spans="1:52" hidden="1" outlineLevel="1">
      <c r="A26" s="1043"/>
      <c r="B26" s="1044" t="s">
        <v>62</v>
      </c>
      <c r="D26" s="86"/>
      <c r="E26" s="86"/>
      <c r="F26" s="1086"/>
      <c r="G26" s="86"/>
      <c r="H26" s="86"/>
      <c r="I26" s="86"/>
      <c r="L26" s="86"/>
      <c r="N26" s="86"/>
      <c r="O26" s="86"/>
      <c r="P26" s="199"/>
      <c r="Q26" s="97"/>
      <c r="S26" s="1099"/>
      <c r="U26" s="86"/>
      <c r="W26" s="1086"/>
      <c r="X26" s="86"/>
      <c r="AE26" s="86"/>
      <c r="AF26" s="199"/>
      <c r="AG26" s="97"/>
      <c r="AK26" s="86"/>
      <c r="AM26" s="1086"/>
      <c r="AN26" s="86"/>
      <c r="AO26" s="86"/>
      <c r="AP26" s="86"/>
      <c r="AQ26" s="86"/>
      <c r="AR26" s="86"/>
      <c r="AW26" s="244"/>
      <c r="AX26" s="1054"/>
      <c r="AZ26" s="86"/>
    </row>
    <row r="27" spans="1:52" hidden="1" outlineLevel="1">
      <c r="A27" s="22" t="s">
        <v>115</v>
      </c>
      <c r="B27" s="200" t="s">
        <v>96</v>
      </c>
      <c r="D27" s="1088">
        <f>(S27/S20-1)*100</f>
        <v>0.18902216967440211</v>
      </c>
      <c r="E27" s="86" t="s">
        <v>76</v>
      </c>
      <c r="F27" s="1094">
        <v>-1</v>
      </c>
      <c r="G27" s="86" t="s">
        <v>76</v>
      </c>
      <c r="H27" s="1088">
        <f>D27-F27</f>
        <v>1.1890221696744021</v>
      </c>
      <c r="I27" s="86" t="s">
        <v>76</v>
      </c>
      <c r="J27" s="1047">
        <v>359</v>
      </c>
      <c r="L27" s="1048">
        <f>AVERAGE(J27,J23)</f>
        <v>358</v>
      </c>
      <c r="N27" s="1045">
        <f>(L27/L20-1)*100</f>
        <v>4.9853372434017551</v>
      </c>
      <c r="O27" s="86" t="s">
        <v>76</v>
      </c>
      <c r="P27" s="1049">
        <f>H27/N27*100</f>
        <v>23.850385874057146</v>
      </c>
      <c r="Q27" s="97" t="s">
        <v>76</v>
      </c>
      <c r="S27" s="1050">
        <f>AY27-AS27</f>
        <v>241.09219203000026</v>
      </c>
      <c r="U27" s="1087">
        <f>S27/L27</f>
        <v>0.67344187717877169</v>
      </c>
      <c r="W27" s="1094">
        <f>(U27/U20-1)*100</f>
        <v>-4.5685570953660104</v>
      </c>
      <c r="X27" s="86" t="s">
        <v>76</v>
      </c>
      <c r="Z27" s="227">
        <v>3169</v>
      </c>
      <c r="AB27" s="1014">
        <f>AVERAGE(Z27,Z23)</f>
        <v>3160.2070000000003</v>
      </c>
      <c r="AD27" s="1088">
        <f>(Z27/Z20-1)*100</f>
        <v>3.7995414346544409</v>
      </c>
      <c r="AE27" s="86" t="s">
        <v>76</v>
      </c>
      <c r="AF27" s="1096">
        <f>+H27/AD27*100</f>
        <v>31.293833482896094</v>
      </c>
      <c r="AG27" s="97" t="s">
        <v>76</v>
      </c>
      <c r="AI27" s="1030">
        <f>+S27</f>
        <v>241.09219203000026</v>
      </c>
      <c r="AK27" s="1097">
        <f>AI27/AB27*1000</f>
        <v>76.290000000000077</v>
      </c>
      <c r="AM27" s="1094">
        <f>(AK27/AK20-1)*100</f>
        <v>-3.5028282792545995</v>
      </c>
      <c r="AN27" s="86" t="s">
        <v>76</v>
      </c>
      <c r="AO27" s="86"/>
      <c r="AP27" s="86"/>
      <c r="AQ27" s="86"/>
      <c r="AR27" s="86"/>
      <c r="AS27" s="1078">
        <f>qtrSales!AS$83*(AV27/100)</f>
        <v>19.298807969999761</v>
      </c>
      <c r="AT27" s="114" t="s">
        <v>718</v>
      </c>
      <c r="AU27" s="1078">
        <f>(AS27/AS20-1)*100</f>
        <v>44.423336954674816</v>
      </c>
      <c r="AV27" s="793">
        <v>73.379497984789978</v>
      </c>
      <c r="AW27" s="114" t="s">
        <v>718</v>
      </c>
      <c r="AX27" s="1075"/>
      <c r="AY27" s="1081">
        <v>260.39100000000002</v>
      </c>
      <c r="AZ27" s="1019">
        <f>AY27/AY20-1</f>
        <v>2.5161417322834723E-2</v>
      </c>
    </row>
    <row r="28" spans="1:52" hidden="1" outlineLevel="1">
      <c r="A28" s="22" t="s">
        <v>116</v>
      </c>
      <c r="B28" s="200" t="s">
        <v>97</v>
      </c>
      <c r="D28" s="1088">
        <f>(S28/S21-1)*100</f>
        <v>0.52643891493515671</v>
      </c>
      <c r="F28" s="1094">
        <v>-6</v>
      </c>
      <c r="H28" s="1088">
        <f>D28-F28</f>
        <v>6.5264389149351567</v>
      </c>
      <c r="J28" s="1047">
        <v>359</v>
      </c>
      <c r="K28" s="1057"/>
      <c r="L28" s="1048">
        <f>AVERAGE(J28,J27)</f>
        <v>359</v>
      </c>
      <c r="N28" s="1045">
        <f>(L28/L21-1)*100</f>
        <v>4.3604651162790775</v>
      </c>
      <c r="O28" s="86"/>
      <c r="P28" s="1049">
        <f>H28/N28*100</f>
        <v>149.67299911584598</v>
      </c>
      <c r="Q28" s="97"/>
      <c r="S28" s="1058">
        <f>AY28-AS28</f>
        <v>231.78780000000009</v>
      </c>
      <c r="U28" s="1090">
        <f>S28/L28</f>
        <v>0.64564846796657405</v>
      </c>
      <c r="W28" s="1094">
        <f>(U28/U21-1)*100</f>
        <v>-3.6738301205078039</v>
      </c>
      <c r="X28" s="86"/>
      <c r="Z28" s="227">
        <v>3164</v>
      </c>
      <c r="AA28" s="1057"/>
      <c r="AB28" s="1014">
        <f>AVERAGE(Z28,Z27)</f>
        <v>3166.5</v>
      </c>
      <c r="AD28" s="1088">
        <f>(Z28/Z21-1)*100</f>
        <v>2.6606099935106986</v>
      </c>
      <c r="AE28" s="86"/>
      <c r="AF28" s="1096">
        <f>+H28/AD28*100</f>
        <v>245.29859433939291</v>
      </c>
      <c r="AG28" s="97"/>
      <c r="AI28" s="1059">
        <f>+S28</f>
        <v>231.78780000000009</v>
      </c>
      <c r="AK28" s="1060">
        <f>AI28/AB28*1000</f>
        <v>73.200000000000031</v>
      </c>
      <c r="AM28" s="1094">
        <f>(AK28/AK21-1)*100</f>
        <v>-2.6165004353186028</v>
      </c>
      <c r="AN28" s="86"/>
      <c r="AO28" s="86"/>
      <c r="AP28" s="86"/>
      <c r="AQ28" s="86"/>
      <c r="AR28" s="86"/>
      <c r="AS28" s="1100">
        <f>qtrSales!AS$84*(AV28/100)</f>
        <v>17.99919999999992</v>
      </c>
      <c r="AT28" s="114" t="s">
        <v>718</v>
      </c>
      <c r="AU28" s="1100">
        <f>(AS28/AS21-1)*100</f>
        <v>37.125989287042913</v>
      </c>
      <c r="AV28" s="1101">
        <v>79.291629955946789</v>
      </c>
      <c r="AW28" s="114" t="s">
        <v>718</v>
      </c>
      <c r="AX28" s="1075"/>
      <c r="AY28" s="1102">
        <v>249.78700000000001</v>
      </c>
      <c r="AZ28" s="1103">
        <f>AY28/AY21-1</f>
        <v>2.4977431267952488E-2</v>
      </c>
    </row>
    <row r="29" spans="1:52" hidden="1" outlineLevel="1">
      <c r="A29" s="22" t="s">
        <v>117</v>
      </c>
      <c r="B29" s="200" t="s">
        <v>99</v>
      </c>
      <c r="D29" s="1088">
        <f>(S29/S22-1)*100</f>
        <v>1.1615284411636839</v>
      </c>
      <c r="F29" s="1094">
        <v>-2</v>
      </c>
      <c r="H29" s="1088">
        <f>D29-F29</f>
        <v>3.1615284411636839</v>
      </c>
      <c r="J29" s="1047">
        <v>363</v>
      </c>
      <c r="K29" s="1057"/>
      <c r="L29" s="1048">
        <f>AVERAGE(J29,J28)</f>
        <v>361</v>
      </c>
      <c r="N29" s="1045">
        <f>(L29/L22-1)*100</f>
        <v>3.4383954154727725</v>
      </c>
      <c r="O29" s="86"/>
      <c r="P29" s="1049">
        <f>H29/N29*100</f>
        <v>91.947785497177321</v>
      </c>
      <c r="Q29" s="97"/>
      <c r="S29" s="1089">
        <f>AY29-AS29</f>
        <v>279.57</v>
      </c>
      <c r="U29" s="1090">
        <f>S29/L29</f>
        <v>0.77443213296398894</v>
      </c>
      <c r="W29" s="1094">
        <f>(U29/U22-1)*100</f>
        <v>-2.201181645523187</v>
      </c>
      <c r="X29" s="86"/>
      <c r="Z29" s="227">
        <v>3191</v>
      </c>
      <c r="AA29" s="1057"/>
      <c r="AB29" s="1014">
        <f>AVERAGE(Z29,Z28)</f>
        <v>3177.5</v>
      </c>
      <c r="AD29" s="1088">
        <f>(Z29/Z22-1)*100</f>
        <v>2.0140664961636912</v>
      </c>
      <c r="AE29" s="86"/>
      <c r="AF29" s="1096">
        <f>+H29/AD29*100</f>
        <v>156.97239625333276</v>
      </c>
      <c r="AG29" s="97"/>
      <c r="AI29" s="1059">
        <f>+S29</f>
        <v>279.57</v>
      </c>
      <c r="AK29" s="1060">
        <f>AI29/AB29*1000</f>
        <v>87.98426435877262</v>
      </c>
      <c r="AM29" s="1094">
        <f>(AK29/AK22-1)*100</f>
        <v>-1.1466417593034572</v>
      </c>
      <c r="AN29" s="86"/>
      <c r="AO29" s="86"/>
      <c r="AP29" s="86"/>
      <c r="AQ29" s="86"/>
      <c r="AR29" s="86"/>
      <c r="AS29" s="1078">
        <f>qtrSales!AS$85*(AV29/100)</f>
        <v>23.700000000000003</v>
      </c>
      <c r="AT29" s="114" t="s">
        <v>718</v>
      </c>
      <c r="AU29" s="1078">
        <f>(AS29/AS22-1)*100</f>
        <v>21.91358024691359</v>
      </c>
      <c r="AV29" s="793">
        <v>75</v>
      </c>
      <c r="AW29" s="114" t="s">
        <v>718</v>
      </c>
      <c r="AX29" s="1075"/>
      <c r="AY29" s="1091">
        <v>303.27</v>
      </c>
      <c r="AZ29" s="1019">
        <f>AY29/AY22-1</f>
        <v>2.5253549695740229E-2</v>
      </c>
    </row>
    <row r="30" spans="1:52" hidden="1" outlineLevel="1">
      <c r="A30" s="22" t="s">
        <v>118</v>
      </c>
      <c r="B30" s="200" t="s">
        <v>100</v>
      </c>
      <c r="D30" s="1061">
        <f>(S30/S23-1)*100</f>
        <v>1.2026277583397027</v>
      </c>
      <c r="F30" s="1104">
        <v>4</v>
      </c>
      <c r="H30" s="1061">
        <f>D30-F30</f>
        <v>-2.7973722416602973</v>
      </c>
      <c r="J30" s="1063">
        <f>squft!BG14</f>
        <v>357</v>
      </c>
      <c r="K30" s="39"/>
      <c r="L30" s="1064">
        <f>AVERAGE(J30,J29)</f>
        <v>360</v>
      </c>
      <c r="N30" s="1061">
        <f>(L30/L23-1)*100</f>
        <v>1.5514809590973178</v>
      </c>
      <c r="O30" s="86"/>
      <c r="P30" s="1064">
        <f>H30/N30*100</f>
        <v>-180.30335630337763</v>
      </c>
      <c r="Q30" s="97"/>
      <c r="S30" s="1065">
        <f>AY30-AS30</f>
        <v>363.87</v>
      </c>
      <c r="U30" s="1093">
        <f>S30/L30</f>
        <v>1.01075</v>
      </c>
      <c r="W30" s="1104">
        <f>(U30/U23-1)*100</f>
        <v>-0.34352349907936786</v>
      </c>
      <c r="X30" s="86"/>
      <c r="Z30" s="865">
        <f>squft!BI14</f>
        <v>3138</v>
      </c>
      <c r="AA30" s="39"/>
      <c r="AB30" s="1068">
        <f>AVERAGE(Z30,Z29)</f>
        <v>3164.5</v>
      </c>
      <c r="AD30" s="1061">
        <f>(Z30/Z23-1)*100</f>
        <v>-0.42565020019585953</v>
      </c>
      <c r="AE30" s="86"/>
      <c r="AF30" s="1105">
        <f>+H30/AD30*100</f>
        <v>657.1997946607587</v>
      </c>
      <c r="AG30" s="97"/>
      <c r="AI30" s="1071">
        <f>+S30</f>
        <v>363.87</v>
      </c>
      <c r="AK30" s="1072">
        <f>AI30/AB30*1000</f>
        <v>114.98498972981514</v>
      </c>
      <c r="AM30" s="1104">
        <f>(AK30/AK23-1)*100</f>
        <v>0.4097325932227891</v>
      </c>
      <c r="AN30" s="86"/>
      <c r="AO30" s="86"/>
      <c r="AP30" s="86"/>
      <c r="AQ30" s="86"/>
      <c r="AR30" s="86"/>
      <c r="AS30" s="1073">
        <f>qtrSales!AS$86*(AV30/100)</f>
        <v>32.903999999999989</v>
      </c>
      <c r="AT30" s="1042" t="s">
        <v>718</v>
      </c>
      <c r="AU30" s="1073">
        <f>(AS30/AS23-1)*100</f>
        <v>19.217391304347785</v>
      </c>
      <c r="AV30" s="1074">
        <v>72</v>
      </c>
      <c r="AW30" s="1042" t="s">
        <v>718</v>
      </c>
      <c r="AX30" s="1075"/>
      <c r="AY30" s="1065">
        <f>AY31-SUM(AY27:AY29)</f>
        <v>396.774</v>
      </c>
      <c r="AZ30" s="309">
        <f>AY30/AY23-1</f>
        <v>2.4869170803779594E-2</v>
      </c>
    </row>
    <row r="31" spans="1:52" hidden="1" outlineLevel="1">
      <c r="B31" s="200" t="s">
        <v>119</v>
      </c>
      <c r="D31" s="1045">
        <f>(S31/S24-1)*100</f>
        <v>0.83122980599230623</v>
      </c>
      <c r="F31" s="1094">
        <v>-1</v>
      </c>
      <c r="H31" s="1045">
        <f>D31-F31</f>
        <v>1.8312298059923062</v>
      </c>
      <c r="L31" s="1048">
        <f>AVERAGE(L27:L30)</f>
        <v>359.5</v>
      </c>
      <c r="N31" s="1045">
        <f>(L31/L24-1)*100</f>
        <v>3.5649981994958502</v>
      </c>
      <c r="O31" s="86"/>
      <c r="P31" s="1049">
        <f>H31/N31*100</f>
        <v>51.366920921622693</v>
      </c>
      <c r="Q31" s="97"/>
      <c r="S31" s="1095">
        <f>SUM(S27:S30)</f>
        <v>1116.3199920300003</v>
      </c>
      <c r="U31" s="1087">
        <f>S31/L31</f>
        <v>3.1052016468150216</v>
      </c>
      <c r="W31" s="1094">
        <f>(U31/U24-1)*100</f>
        <v>-2.4150915500358083</v>
      </c>
      <c r="X31" s="86"/>
      <c r="AB31" s="1014">
        <f>AVERAGE(AB27:AB30)</f>
        <v>3167.1767500000001</v>
      </c>
      <c r="AD31" s="1088">
        <f>(Z30/Z23-1)*100</f>
        <v>-0.42565020019585953</v>
      </c>
      <c r="AE31" s="86"/>
      <c r="AF31" s="1096">
        <f>+H31/AD31*100</f>
        <v>-430.2194161190763</v>
      </c>
      <c r="AG31" s="97"/>
      <c r="AI31" s="1030">
        <f>SUM(AI27:AI30)</f>
        <v>1116.3199920300003</v>
      </c>
      <c r="AK31" s="1097">
        <f>SUM(AK27:AK30)</f>
        <v>352.4592540885879</v>
      </c>
      <c r="AM31" s="1094">
        <f>(AK31/AK24-1)*100</f>
        <v>-1.4779755067523603</v>
      </c>
      <c r="AN31" s="86"/>
      <c r="AO31" s="86"/>
      <c r="AP31" s="86"/>
      <c r="AQ31" s="86"/>
      <c r="AR31" s="86"/>
      <c r="AS31" s="1078">
        <f>SUM(AS27:AS30)</f>
        <v>93.902007969999673</v>
      </c>
      <c r="AT31" s="114" t="s">
        <v>718</v>
      </c>
      <c r="AU31" s="1078">
        <f>(AS31/AS24-1)*100</f>
        <v>27.70797229759323</v>
      </c>
      <c r="AV31" s="1049">
        <f>(AS31/qtrSales!AS$87)*100</f>
        <v>74.348383190815269</v>
      </c>
      <c r="AW31" s="114" t="s">
        <v>718</v>
      </c>
      <c r="AX31" s="1075"/>
      <c r="AY31" s="1080">
        <v>1210.222</v>
      </c>
      <c r="AZ31" s="1019">
        <f>AY31/AY24-1</f>
        <v>2.5050692586939816E-2</v>
      </c>
    </row>
    <row r="32" spans="1:52" hidden="1" outlineLevel="1">
      <c r="B32" s="200"/>
      <c r="D32" s="246"/>
      <c r="E32" s="114"/>
      <c r="F32" s="1086"/>
      <c r="G32" s="114"/>
      <c r="H32" s="86"/>
      <c r="L32" s="86"/>
      <c r="N32" s="86"/>
      <c r="O32" s="86"/>
      <c r="P32" s="86"/>
      <c r="S32" s="1087"/>
      <c r="U32" s="86"/>
      <c r="W32" s="1086"/>
      <c r="AE32" s="86"/>
      <c r="AF32" s="86"/>
      <c r="AK32" s="86"/>
      <c r="AM32" s="1086"/>
      <c r="AW32" s="244"/>
      <c r="AX32" s="1054"/>
      <c r="AZ32" s="86"/>
    </row>
    <row r="33" spans="1:85" hidden="1" outlineLevel="1">
      <c r="A33" s="1043"/>
      <c r="B33" s="1044" t="s">
        <v>28</v>
      </c>
      <c r="D33" s="86"/>
      <c r="E33" s="86"/>
      <c r="F33" s="1086"/>
      <c r="G33" s="86"/>
      <c r="H33" s="86"/>
      <c r="I33" s="86"/>
      <c r="L33" s="86"/>
      <c r="N33" s="86"/>
      <c r="O33" s="86"/>
      <c r="P33" s="199"/>
      <c r="Q33" s="97"/>
      <c r="S33" s="86"/>
      <c r="U33" s="86"/>
      <c r="W33" s="1086"/>
      <c r="X33" s="86"/>
      <c r="AE33" s="86"/>
      <c r="AF33" s="199"/>
      <c r="AG33" s="97"/>
      <c r="AK33" s="86"/>
      <c r="AM33" s="1086"/>
      <c r="AN33" s="86"/>
      <c r="AO33" s="86"/>
      <c r="AP33" s="86"/>
      <c r="AQ33" s="86"/>
      <c r="AR33" s="86"/>
      <c r="AW33" s="244"/>
      <c r="AX33" s="1054"/>
      <c r="AZ33" s="86"/>
    </row>
    <row r="34" spans="1:85" hidden="1" outlineLevel="1">
      <c r="A34" s="22" t="s">
        <v>115</v>
      </c>
      <c r="B34" s="200" t="s">
        <v>96</v>
      </c>
      <c r="D34" s="1088">
        <f>(S34/S27-1)*100</f>
        <v>15.983046835961057</v>
      </c>
      <c r="E34" s="86" t="s">
        <v>76</v>
      </c>
      <c r="F34" s="1094">
        <v>16</v>
      </c>
      <c r="G34" s="86" t="s">
        <v>76</v>
      </c>
      <c r="H34" s="1045">
        <f>D34-F34</f>
        <v>-1.6953164038943314E-2</v>
      </c>
      <c r="I34" s="86" t="s">
        <v>76</v>
      </c>
      <c r="J34" s="1047">
        <v>351</v>
      </c>
      <c r="L34" s="1048">
        <f>AVERAGE(J34,J30)</f>
        <v>354</v>
      </c>
      <c r="N34" s="1045">
        <f>(L34/L27-1)*100</f>
        <v>-1.1173184357541888</v>
      </c>
      <c r="O34" s="86" t="s">
        <v>76</v>
      </c>
      <c r="P34" s="1049">
        <f>H34/N34*100</f>
        <v>1.5173081814854281</v>
      </c>
      <c r="Q34" s="97" t="s">
        <v>76</v>
      </c>
      <c r="S34" s="1050">
        <f>AY34-AS34</f>
        <v>279.62607000000037</v>
      </c>
      <c r="U34" s="1087">
        <f>S34/L34</f>
        <v>0.78990415254237389</v>
      </c>
      <c r="W34" s="1094">
        <f>(U34/U27-1)*100</f>
        <v>17.293589738062298</v>
      </c>
      <c r="X34" s="86" t="s">
        <v>76</v>
      </c>
      <c r="Z34" s="227">
        <v>3096</v>
      </c>
      <c r="AB34" s="1014">
        <f>AVERAGE(Z34,Z30)</f>
        <v>3117</v>
      </c>
      <c r="AD34" s="1088">
        <f>(Z34/Z27-1)*100</f>
        <v>-2.3035657936257503</v>
      </c>
      <c r="AE34" s="86" t="s">
        <v>76</v>
      </c>
      <c r="AF34" s="1096">
        <f>+H34/AD34*100</f>
        <v>0.7359531073891965</v>
      </c>
      <c r="AG34" s="97" t="s">
        <v>76</v>
      </c>
      <c r="AI34" s="1030">
        <f>+S34</f>
        <v>279.62607000000037</v>
      </c>
      <c r="AK34" s="1097">
        <f>AI34/AB34*1000</f>
        <v>89.710000000000122</v>
      </c>
      <c r="AM34" s="1094">
        <f>(AK34/AK27-1)*100</f>
        <v>17.5907720540045</v>
      </c>
      <c r="AN34" s="86" t="s">
        <v>76</v>
      </c>
      <c r="AO34" s="86"/>
      <c r="AP34" s="86"/>
      <c r="AQ34" s="86"/>
      <c r="AR34" s="86"/>
      <c r="AS34" s="1078">
        <f>qtrSales!AS$90*(AV34/100)</f>
        <v>22.503929999999599</v>
      </c>
      <c r="AT34" s="114" t="s">
        <v>718</v>
      </c>
      <c r="AU34" s="1078">
        <f>(AS34/AS27-1)*100</f>
        <v>16.607875652124427</v>
      </c>
      <c r="AV34" s="793">
        <v>71.214968354429104</v>
      </c>
      <c r="AW34" s="114" t="s">
        <v>718</v>
      </c>
      <c r="AX34" s="1075"/>
      <c r="AY34" s="1081">
        <v>302.13</v>
      </c>
      <c r="AZ34" s="1019">
        <f>AY34/AY27-1</f>
        <v>0.16029355853312888</v>
      </c>
    </row>
    <row r="35" spans="1:85" hidden="1" outlineLevel="1">
      <c r="A35" s="22" t="s">
        <v>116</v>
      </c>
      <c r="B35" s="200" t="s">
        <v>97</v>
      </c>
      <c r="D35" s="1088">
        <f>(S35/S28-1)*100</f>
        <v>26.027426810211708</v>
      </c>
      <c r="F35" s="1094">
        <v>26</v>
      </c>
      <c r="H35" s="1045">
        <f>D35-F35</f>
        <v>2.7426810211707675E-2</v>
      </c>
      <c r="J35" s="1047">
        <v>355</v>
      </c>
      <c r="K35" s="1057"/>
      <c r="L35" s="1048">
        <f>AVERAGE(J35,J34)</f>
        <v>353</v>
      </c>
      <c r="M35" s="1048">
        <f>AVERAGE(J35,J34)</f>
        <v>353</v>
      </c>
      <c r="N35" s="1045">
        <f>(M35/L28-1)*100</f>
        <v>-1.6713091922005541</v>
      </c>
      <c r="O35" s="86"/>
      <c r="P35" s="1049">
        <f>H35/N35*100</f>
        <v>-1.6410374776671788</v>
      </c>
      <c r="Q35" s="97"/>
      <c r="S35" s="1058">
        <f>AY35-AS35</f>
        <v>292.11619999999999</v>
      </c>
      <c r="U35" s="1090">
        <f>S35/L35</f>
        <v>0.82752464589235131</v>
      </c>
      <c r="W35" s="1094">
        <f>(U35/U28-1)*100</f>
        <v>28.169536047779054</v>
      </c>
      <c r="X35" s="86"/>
      <c r="Z35" s="227">
        <v>3086</v>
      </c>
      <c r="AA35" s="1057"/>
      <c r="AB35" s="1014">
        <f>AVERAGE(Z35,Z34)</f>
        <v>3091</v>
      </c>
      <c r="AD35" s="1088">
        <f>(Z35/Z28-1)*100</f>
        <v>-2.4652338811630869</v>
      </c>
      <c r="AE35" s="86"/>
      <c r="AF35" s="1096">
        <f>+H35/AD35*100</f>
        <v>-1.1125439424338845</v>
      </c>
      <c r="AG35" s="97"/>
      <c r="AI35" s="1059">
        <f>+S35</f>
        <v>292.11619999999999</v>
      </c>
      <c r="AK35" s="1106">
        <f>AI35/AB35*1000</f>
        <v>94.505402782271105</v>
      </c>
      <c r="AM35" s="1094">
        <f>(AK35/AK28-1)*100</f>
        <v>29.105741505834782</v>
      </c>
      <c r="AN35" s="86"/>
      <c r="AO35" s="86"/>
      <c r="AP35" s="86"/>
      <c r="AQ35" s="86"/>
      <c r="AR35" s="86"/>
      <c r="AS35" s="1078">
        <f>qtrSales!AS$91*(AV35/100)</f>
        <v>13.470800000000002</v>
      </c>
      <c r="AT35" s="114" t="s">
        <v>718</v>
      </c>
      <c r="AU35" s="1078">
        <f>(AS35/AS28-1)*100</f>
        <v>-25.158895950930805</v>
      </c>
      <c r="AV35" s="793">
        <v>56.6</v>
      </c>
      <c r="AW35" s="114" t="s">
        <v>718</v>
      </c>
      <c r="AX35" s="1075"/>
      <c r="AY35" s="1091">
        <v>305.58699999999999</v>
      </c>
      <c r="AZ35" s="1019">
        <f>AY35/AY28-1</f>
        <v>0.22339032855993302</v>
      </c>
    </row>
    <row r="36" spans="1:85" hidden="1" outlineLevel="1">
      <c r="A36" s="22" t="s">
        <v>117</v>
      </c>
      <c r="B36" s="200" t="s">
        <v>99</v>
      </c>
      <c r="D36" s="1088">
        <f>(S36/S29-1)*100</f>
        <v>15.992416925993492</v>
      </c>
      <c r="F36" s="1094">
        <v>16</v>
      </c>
      <c r="H36" s="1045">
        <f>D36-F36</f>
        <v>-7.5830740065079283E-3</v>
      </c>
      <c r="J36" s="1047">
        <v>354</v>
      </c>
      <c r="K36" s="1057"/>
      <c r="L36" s="1048">
        <f>AVERAGE(J36,J35)</f>
        <v>354.5</v>
      </c>
      <c r="N36" s="1045">
        <f>(L36/L29-1)*100</f>
        <v>-1.8005540166205036</v>
      </c>
      <c r="O36" s="86"/>
      <c r="P36" s="1049">
        <f>H36/N36*100</f>
        <v>0.42115226405374684</v>
      </c>
      <c r="Q36" s="97"/>
      <c r="S36" s="1058">
        <f>AY36-AS36</f>
        <v>324.27999999999997</v>
      </c>
      <c r="U36" s="1090">
        <f>S36/L36</f>
        <v>0.91475317348377994</v>
      </c>
      <c r="W36" s="1094">
        <f>(U36/U29-1)*100</f>
        <v>18.119217236343154</v>
      </c>
      <c r="X36" s="86"/>
      <c r="Z36" s="1047">
        <f>Z35-9</f>
        <v>3077</v>
      </c>
      <c r="AA36" s="1057"/>
      <c r="AB36" s="1014">
        <f>AVERAGE(Z36,Z35)</f>
        <v>3081.5</v>
      </c>
      <c r="AD36" s="1088">
        <f>(Z36/Z29-1)*100</f>
        <v>-3.5725477906612402</v>
      </c>
      <c r="AE36" s="86"/>
      <c r="AF36" s="1096">
        <f>+H36/AD36*100</f>
        <v>0.21225955398918211</v>
      </c>
      <c r="AG36" s="97"/>
      <c r="AI36" s="1059">
        <f>+S36</f>
        <v>324.27999999999997</v>
      </c>
      <c r="AK36" s="1060">
        <f>AI36/AB36*1000</f>
        <v>105.2344637351939</v>
      </c>
      <c r="AM36" s="1094">
        <f>(AK36/AK29-1)*100</f>
        <v>19.606005121643456</v>
      </c>
      <c r="AN36" s="86"/>
      <c r="AO36" s="86"/>
      <c r="AP36" s="86"/>
      <c r="AQ36" s="86"/>
      <c r="AR36" s="86"/>
      <c r="AS36" s="1078">
        <f>qtrSales!AS$92*(AV36/100)</f>
        <v>18.419999999999998</v>
      </c>
      <c r="AT36" s="114" t="s">
        <v>718</v>
      </c>
      <c r="AU36" s="1078">
        <f>(AS36/AS29-1)*100</f>
        <v>-22.278481012658247</v>
      </c>
      <c r="AV36" s="793">
        <v>60</v>
      </c>
      <c r="AW36" s="114" t="s">
        <v>718</v>
      </c>
      <c r="AX36" s="1075"/>
      <c r="AY36" s="1091">
        <v>342.7</v>
      </c>
      <c r="AZ36" s="1019">
        <f>AY36/AY29-1</f>
        <v>0.13001615721963922</v>
      </c>
    </row>
    <row r="37" spans="1:85" hidden="1" outlineLevel="1">
      <c r="A37" s="114" t="s">
        <v>118</v>
      </c>
      <c r="B37" s="245" t="s">
        <v>100</v>
      </c>
      <c r="C37" s="114"/>
      <c r="D37" s="1107">
        <f>(S37/S30-1)*100</f>
        <v>21.250996234919061</v>
      </c>
      <c r="E37" s="114"/>
      <c r="F37" s="1104">
        <v>18</v>
      </c>
      <c r="G37" s="114"/>
      <c r="H37" s="1107">
        <f>D37-F37</f>
        <v>3.2509962349190609</v>
      </c>
      <c r="I37" s="114"/>
      <c r="J37" s="1063">
        <f>squft!BK14</f>
        <v>361</v>
      </c>
      <c r="K37" s="1057"/>
      <c r="L37" s="1108">
        <f>AVERAGE(J37,J36)</f>
        <v>357.5</v>
      </c>
      <c r="M37" s="114"/>
      <c r="N37" s="1107">
        <f>(L37/L30-1)*100</f>
        <v>-0.69444444444444198</v>
      </c>
      <c r="O37" s="246"/>
      <c r="P37" s="1108">
        <f>H37/N37*100</f>
        <v>-468.14345782834641</v>
      </c>
      <c r="Q37" s="310"/>
      <c r="R37" s="114"/>
      <c r="S37" s="1092">
        <f>AY37-AS37</f>
        <v>441.19600000000003</v>
      </c>
      <c r="T37" s="1109"/>
      <c r="U37" s="1093">
        <f>S37/L37</f>
        <v>1.2341146853146854</v>
      </c>
      <c r="V37" s="114"/>
      <c r="W37" s="1104">
        <f>(U37/U30-1)*100</f>
        <v>22.098905299498917</v>
      </c>
      <c r="X37" s="246"/>
      <c r="Y37" s="114"/>
      <c r="Z37" s="1063">
        <f>squft!BM14</f>
        <v>3157</v>
      </c>
      <c r="AA37" s="1057"/>
      <c r="AB37" s="1110">
        <f>AVERAGE(Z37,Z36)</f>
        <v>3117</v>
      </c>
      <c r="AC37" s="114"/>
      <c r="AD37" s="1107">
        <f>(Z37/Z30-1)*100</f>
        <v>0.60548119821541846</v>
      </c>
      <c r="AE37" s="246"/>
      <c r="AF37" s="1105">
        <f>+H37/AD37*100</f>
        <v>536.92769395663709</v>
      </c>
      <c r="AG37" s="310"/>
      <c r="AH37" s="114"/>
      <c r="AI37" s="1111">
        <f>+S37</f>
        <v>441.19600000000003</v>
      </c>
      <c r="AJ37" s="114"/>
      <c r="AK37" s="1072">
        <f>AI37/AB37*1000</f>
        <v>141.5450753930061</v>
      </c>
      <c r="AL37" s="114"/>
      <c r="AM37" s="1104">
        <f>(AK37/AK30-1)*100</f>
        <v>23.0987416058394</v>
      </c>
      <c r="AN37" s="246"/>
      <c r="AO37" s="246"/>
      <c r="AP37" s="246"/>
      <c r="AQ37" s="246"/>
      <c r="AR37" s="246"/>
      <c r="AS37" s="1073">
        <f>qtrSales!AS$93*(AV37/100)</f>
        <v>32.399999999999991</v>
      </c>
      <c r="AT37" s="1042" t="s">
        <v>718</v>
      </c>
      <c r="AU37" s="1073">
        <f>(AS37/AS30-1)*100</f>
        <v>-1.5317286652078765</v>
      </c>
      <c r="AV37" s="1074">
        <v>60</v>
      </c>
      <c r="AW37" s="1042" t="s">
        <v>718</v>
      </c>
      <c r="AX37" s="1075"/>
      <c r="AY37" s="1065">
        <f>AY38-SUM(AY34:AY36)</f>
        <v>473.596</v>
      </c>
      <c r="AZ37" s="309">
        <f>AY37/AY30-1</f>
        <v>0.19361651721130912</v>
      </c>
      <c r="BA37" s="114"/>
      <c r="BC37" s="114"/>
      <c r="BD37" s="114"/>
      <c r="BE37" s="114"/>
      <c r="BF37" s="114"/>
      <c r="BG37" s="114"/>
      <c r="BH37" s="114"/>
      <c r="BI37" s="114"/>
      <c r="BJ37" s="114"/>
      <c r="BK37" s="114"/>
      <c r="BL37" s="114"/>
      <c r="BM37" s="114"/>
      <c r="BN37" s="114"/>
      <c r="BO37" s="114"/>
      <c r="BP37" s="114"/>
      <c r="BQ37" s="114"/>
      <c r="BR37" s="114"/>
      <c r="BS37" s="114"/>
      <c r="BT37" s="114"/>
      <c r="BU37" s="114"/>
      <c r="BV37" s="114"/>
      <c r="BW37" s="114"/>
      <c r="BX37" s="114"/>
      <c r="BY37" s="114"/>
      <c r="BZ37" s="114"/>
      <c r="CA37" s="114"/>
      <c r="CB37" s="114"/>
      <c r="CC37" s="114"/>
      <c r="CD37" s="114"/>
      <c r="CE37" s="114"/>
      <c r="CF37" s="114"/>
      <c r="CG37" s="114"/>
    </row>
    <row r="38" spans="1:85" hidden="1" outlineLevel="1">
      <c r="B38" s="200" t="s">
        <v>119</v>
      </c>
      <c r="D38" s="1045">
        <f>(S38/S31-1)*100</f>
        <v>19.788078646544882</v>
      </c>
      <c r="F38" s="1094">
        <v>18</v>
      </c>
      <c r="H38" s="1045">
        <f>D38-F38</f>
        <v>1.7880786465448821</v>
      </c>
      <c r="L38" s="1048">
        <f>AVERAGE(L34:L37)</f>
        <v>354.75</v>
      </c>
      <c r="N38" s="1045">
        <f>(L38/L31-1)*100</f>
        <v>-1.3212795549374157</v>
      </c>
      <c r="O38" s="86"/>
      <c r="P38" s="1049">
        <f>H38/N38*100</f>
        <v>-135.3293207227124</v>
      </c>
      <c r="Q38" s="97"/>
      <c r="S38" s="1095">
        <f>SUM(S34:S37)</f>
        <v>1337.2182700000003</v>
      </c>
      <c r="U38" s="1087">
        <f>SUM(U34:U37)</f>
        <v>3.7662966572331906</v>
      </c>
      <c r="W38" s="1094">
        <f>(U38/U31-1)*100</f>
        <v>21.289922060174369</v>
      </c>
      <c r="X38" s="86"/>
      <c r="AB38" s="1014">
        <f>AVERAGE(AB34:AB37)</f>
        <v>3101.625</v>
      </c>
      <c r="AD38" s="1088">
        <f>(Z37/Z30-1)*100</f>
        <v>0.60548119821541846</v>
      </c>
      <c r="AE38" s="86"/>
      <c r="AF38" s="1096">
        <f>+H38/AD38*100</f>
        <v>295.31530488725735</v>
      </c>
      <c r="AG38" s="97"/>
      <c r="AI38" s="1030">
        <f>SUM(AI34:AI37)</f>
        <v>1337.2182700000003</v>
      </c>
      <c r="AK38" s="1055">
        <f>SUM(AK34:AK37)</f>
        <v>430.9949419104712</v>
      </c>
      <c r="AM38" s="1094">
        <f>(AK38/AK31-1)*100</f>
        <v>22.282203378363839</v>
      </c>
      <c r="AN38" s="86"/>
      <c r="AO38" s="86"/>
      <c r="AP38" s="86"/>
      <c r="AQ38" s="86"/>
      <c r="AR38" s="86"/>
      <c r="AS38" s="1078">
        <f>SUM(AS34:AS37)</f>
        <v>86.794729999999589</v>
      </c>
      <c r="AT38" s="114" t="s">
        <v>718</v>
      </c>
      <c r="AU38" s="1078">
        <f>(AS38/AS31-1)*100</f>
        <v>-7.5688242707980802</v>
      </c>
      <c r="AV38" s="1049">
        <f>(AS38/qtrSales!AS$94)*100</f>
        <v>61.951984296930476</v>
      </c>
      <c r="AW38" s="114" t="s">
        <v>718</v>
      </c>
      <c r="AX38" s="1075"/>
      <c r="AY38" s="1080">
        <v>1424.0129999999999</v>
      </c>
      <c r="AZ38" s="1019">
        <f>AY38/AY31-1</f>
        <v>0.17665436589319961</v>
      </c>
    </row>
    <row r="39" spans="1:85" hidden="1" outlineLevel="1">
      <c r="B39" s="200"/>
      <c r="D39" s="1053"/>
      <c r="F39" s="1112"/>
      <c r="H39" s="1053"/>
      <c r="L39" s="244"/>
      <c r="N39" s="1053"/>
      <c r="O39" s="86"/>
      <c r="P39" s="1049"/>
      <c r="Q39" s="97"/>
      <c r="S39" s="1050"/>
      <c r="U39" s="1087"/>
      <c r="W39" s="1082"/>
      <c r="X39" s="86"/>
      <c r="Z39" s="865"/>
      <c r="AB39" s="1083"/>
      <c r="AD39" s="1053"/>
      <c r="AE39" s="86"/>
      <c r="AF39" s="1049"/>
      <c r="AG39" s="97"/>
      <c r="AI39" s="1030"/>
      <c r="AK39" s="1055"/>
      <c r="AM39" s="1052"/>
      <c r="AN39" s="86"/>
      <c r="AO39" s="86"/>
      <c r="AP39" s="86"/>
      <c r="AQ39" s="86"/>
      <c r="AR39" s="86"/>
      <c r="AX39" s="97"/>
      <c r="AZ39" s="86"/>
      <c r="BC39" s="366"/>
      <c r="BE39" s="366"/>
    </row>
    <row r="40" spans="1:85" hidden="1" outlineLevel="1">
      <c r="A40" s="1043"/>
      <c r="B40" s="1113">
        <v>2006</v>
      </c>
      <c r="D40" s="86"/>
      <c r="E40" s="86"/>
      <c r="F40" s="86"/>
      <c r="G40" s="86"/>
      <c r="H40" s="86"/>
      <c r="I40" s="86"/>
      <c r="L40" s="86"/>
      <c r="N40" s="86"/>
      <c r="O40" s="86"/>
      <c r="P40" s="199"/>
      <c r="Q40" s="97"/>
      <c r="S40" s="1050"/>
      <c r="U40" s="86"/>
      <c r="X40" s="86"/>
      <c r="AE40" s="86"/>
      <c r="AF40" s="199"/>
      <c r="AG40" s="97"/>
      <c r="AK40" s="86"/>
      <c r="AM40" s="86"/>
      <c r="AN40" s="86"/>
      <c r="AO40" s="86"/>
      <c r="AP40" s="86"/>
      <c r="AQ40" s="86"/>
      <c r="AR40" s="86"/>
      <c r="AX40" s="97"/>
      <c r="AZ40" s="86"/>
      <c r="BC40" s="1030"/>
      <c r="BD40" s="1114"/>
      <c r="BE40" s="1030"/>
    </row>
    <row r="41" spans="1:85" hidden="1" outlineLevel="1">
      <c r="A41" s="22" t="s">
        <v>115</v>
      </c>
      <c r="B41" s="200" t="s">
        <v>96</v>
      </c>
      <c r="D41" s="1088">
        <f>(S41/S34-1)*100</f>
        <v>3.0161458121553686</v>
      </c>
      <c r="E41" s="86" t="s">
        <v>76</v>
      </c>
      <c r="F41" s="1046">
        <v>-4</v>
      </c>
      <c r="G41" s="86" t="s">
        <v>76</v>
      </c>
      <c r="H41" s="1045">
        <f>D41-F41</f>
        <v>7.0161458121553686</v>
      </c>
      <c r="I41" s="86" t="s">
        <v>76</v>
      </c>
      <c r="J41" s="1047">
        <v>348</v>
      </c>
      <c r="L41" s="1048">
        <f>AVERAGE(J41,J37)</f>
        <v>354.5</v>
      </c>
      <c r="N41" s="1045">
        <f>(L41/L34-1)*100</f>
        <v>0.14124293785311437</v>
      </c>
      <c r="O41" s="86" t="s">
        <v>76</v>
      </c>
      <c r="P41" s="1049">
        <f>H41/N41*100</f>
        <v>4967.4312350057544</v>
      </c>
      <c r="Q41" s="97" t="s">
        <v>76</v>
      </c>
      <c r="S41" s="1050">
        <f>AY41-AS41</f>
        <v>288.06</v>
      </c>
      <c r="U41" s="1087">
        <f>S41/L41</f>
        <v>0.81258110014104368</v>
      </c>
      <c r="W41" s="1052">
        <f>(U41/U34-1)*100</f>
        <v>2.8708480042397566</v>
      </c>
      <c r="X41" s="86" t="s">
        <v>76</v>
      </c>
      <c r="Z41" s="227">
        <v>3030</v>
      </c>
      <c r="AB41" s="1014">
        <f>AVERAGE(Z41,Z37)</f>
        <v>3093.5</v>
      </c>
      <c r="AD41" s="1088">
        <f>(Z41/Z34-1)*100</f>
        <v>-2.1317829457364379</v>
      </c>
      <c r="AE41" s="86" t="s">
        <v>76</v>
      </c>
      <c r="AF41" s="1049">
        <f>+H41/AD41*100</f>
        <v>-329.12102173383306</v>
      </c>
      <c r="AG41" s="97" t="s">
        <v>76</v>
      </c>
      <c r="AI41" s="1030">
        <f>+S41</f>
        <v>288.06</v>
      </c>
      <c r="AK41" s="1055">
        <f>AI41/AB41*1000</f>
        <v>93.11782770324875</v>
      </c>
      <c r="AM41" s="1052">
        <f>(AK41/AK34-1)*100</f>
        <v>3.7987155314330945</v>
      </c>
      <c r="AN41" s="86" t="s">
        <v>76</v>
      </c>
      <c r="AO41" s="86"/>
      <c r="AP41" s="86"/>
      <c r="AQ41" s="86"/>
      <c r="AR41" s="86"/>
      <c r="AS41" s="1078">
        <f>qtrSales!AS$97*(AV41/100)</f>
        <v>24.639999999999997</v>
      </c>
      <c r="AT41" s="114" t="s">
        <v>718</v>
      </c>
      <c r="AU41" s="1078">
        <f>(AS41/AS34-1)*100</f>
        <v>9.4919865108024979</v>
      </c>
      <c r="AV41" s="793">
        <v>70</v>
      </c>
      <c r="AW41" s="114" t="s">
        <v>718</v>
      </c>
      <c r="AX41" s="1075"/>
      <c r="AY41" s="1081">
        <v>312.7</v>
      </c>
      <c r="AZ41" s="1019">
        <f>AY41/AY34-1</f>
        <v>3.4984940257505093E-2</v>
      </c>
      <c r="BC41" s="1030"/>
      <c r="BD41" s="1115"/>
      <c r="BE41" s="1030"/>
    </row>
    <row r="42" spans="1:85" hidden="1" outlineLevel="1">
      <c r="A42" s="22" t="s">
        <v>116</v>
      </c>
      <c r="B42" s="200" t="s">
        <v>97</v>
      </c>
      <c r="D42" s="1088">
        <f>(S42/S35-1)*100</f>
        <v>2.2579370812026101</v>
      </c>
      <c r="F42" s="1046">
        <v>-4</v>
      </c>
      <c r="H42" s="1045">
        <f>D42-F42</f>
        <v>6.2579370812026101</v>
      </c>
      <c r="J42" s="1047">
        <v>351</v>
      </c>
      <c r="K42" s="1057"/>
      <c r="L42" s="1048">
        <f>AVERAGE(J42,J41)</f>
        <v>349.5</v>
      </c>
      <c r="M42" s="1048">
        <f>AVERAGE(J42,J41)</f>
        <v>349.5</v>
      </c>
      <c r="N42" s="1045">
        <f>(M42/L35-1)*100</f>
        <v>-0.99150141643059575</v>
      </c>
      <c r="O42" s="86"/>
      <c r="P42" s="1049" t="s">
        <v>444</v>
      </c>
      <c r="Q42" s="97"/>
      <c r="S42" s="1058">
        <f>AY42-AS42</f>
        <v>298.71199999999999</v>
      </c>
      <c r="U42" s="1090">
        <f>S42/L42</f>
        <v>0.8546838340486409</v>
      </c>
      <c r="W42" s="1052">
        <f>(U42/U35-1)*100</f>
        <v>3.2819793695694433</v>
      </c>
      <c r="X42" s="86"/>
      <c r="Z42" s="227">
        <v>3085</v>
      </c>
      <c r="AA42" s="1057"/>
      <c r="AB42" s="1014">
        <f>AVERAGE(Z42,Z41)</f>
        <v>3057.5</v>
      </c>
      <c r="AD42" s="1088">
        <f>(Z42/Z35-1)*100</f>
        <v>-3.240440699935343E-2</v>
      </c>
      <c r="AE42" s="86"/>
      <c r="AF42" s="1049">
        <f>+H42/AD42*100</f>
        <v>-19311.993832590349</v>
      </c>
      <c r="AG42" s="97"/>
      <c r="AI42" s="1059">
        <f>+S42</f>
        <v>298.71199999999999</v>
      </c>
      <c r="AK42" s="1060">
        <f>AI42/AB42*1000</f>
        <v>97.69811937857726</v>
      </c>
      <c r="AM42" s="1052">
        <f>(AK42/AK35-1)*100</f>
        <v>3.3783429331144088</v>
      </c>
      <c r="AN42" s="86"/>
      <c r="AO42" s="86"/>
      <c r="AP42" s="86"/>
      <c r="AQ42" s="86"/>
      <c r="AR42" s="86"/>
      <c r="AS42" s="1078">
        <f>qtrSales!AS$98*(AV42/100)</f>
        <v>17.545000000000002</v>
      </c>
      <c r="AT42" s="114" t="s">
        <v>718</v>
      </c>
      <c r="AU42" s="1078">
        <f>(AS42/AS35-1)*100</f>
        <v>30.244677376250849</v>
      </c>
      <c r="AV42" s="793">
        <v>55</v>
      </c>
      <c r="AW42" s="114" t="s">
        <v>718</v>
      </c>
      <c r="AX42" s="1075"/>
      <c r="AY42" s="1091">
        <v>316.25700000000001</v>
      </c>
      <c r="AZ42" s="1019">
        <f>AY42/AY35-1</f>
        <v>3.4916406784320175E-2</v>
      </c>
      <c r="BC42" s="1030"/>
      <c r="BD42" s="1115"/>
      <c r="BE42" s="1030"/>
    </row>
    <row r="43" spans="1:85" hidden="1" outlineLevel="1">
      <c r="A43" s="22" t="s">
        <v>117</v>
      </c>
      <c r="B43" s="200" t="s">
        <v>99</v>
      </c>
      <c r="D43" s="1088">
        <f>(S43/S36-1)*100</f>
        <v>9.1081781176761023</v>
      </c>
      <c r="F43" s="1046">
        <v>1</v>
      </c>
      <c r="H43" s="1045">
        <f>D43-F43</f>
        <v>8.1081781176761023</v>
      </c>
      <c r="J43" s="1047">
        <v>358</v>
      </c>
      <c r="K43" s="1057"/>
      <c r="L43" s="1048">
        <f>AVERAGE(J43,J42)</f>
        <v>354.5</v>
      </c>
      <c r="N43" s="1045">
        <f>(L43/L36-1)*100</f>
        <v>0</v>
      </c>
      <c r="O43" s="86"/>
      <c r="P43" s="1101" t="s">
        <v>251</v>
      </c>
      <c r="Q43" s="97"/>
      <c r="S43" s="1058">
        <f>AY43-AS43</f>
        <v>353.81600000000003</v>
      </c>
      <c r="U43" s="1090">
        <f>S43/L43</f>
        <v>0.99807052186177725</v>
      </c>
      <c r="W43" s="1052">
        <f>(U43/U36-1)*100</f>
        <v>9.1081781176761023</v>
      </c>
      <c r="X43" s="86"/>
      <c r="Z43" s="227">
        <v>3138</v>
      </c>
      <c r="AA43" s="1057"/>
      <c r="AB43" s="1014">
        <f>AVERAGE(Z43,Z42)</f>
        <v>3111.5</v>
      </c>
      <c r="AD43" s="1088">
        <f>(Z43/Z36-1)*100</f>
        <v>1.9824504387390363</v>
      </c>
      <c r="AE43" s="86"/>
      <c r="AF43" s="1049">
        <f>+H43/AD43*100</f>
        <v>408.99777160802142</v>
      </c>
      <c r="AG43" s="97"/>
      <c r="AI43" s="1059">
        <f>+S43</f>
        <v>353.81600000000003</v>
      </c>
      <c r="AK43" s="1060">
        <f>AI43/AB43*1000</f>
        <v>113.71235738389845</v>
      </c>
      <c r="AM43" s="1052">
        <f>(AK43/AK36-1)*100</f>
        <v>8.0561950408545293</v>
      </c>
      <c r="AN43" s="86"/>
      <c r="AO43" s="86"/>
      <c r="AP43" s="86"/>
      <c r="AQ43" s="86"/>
      <c r="AR43" s="86"/>
      <c r="AS43" s="1078">
        <f>qtrSales!AS$99*(AV43/100)</f>
        <v>28.319999999999997</v>
      </c>
      <c r="AT43" s="114" t="s">
        <v>718</v>
      </c>
      <c r="AU43" s="1078">
        <f>(AS43/AS36-1)*100</f>
        <v>53.745928338762219</v>
      </c>
      <c r="AV43" s="793">
        <v>60</v>
      </c>
      <c r="AW43" s="114" t="s">
        <v>718</v>
      </c>
      <c r="AX43" s="1075"/>
      <c r="AY43" s="1091">
        <v>382.13600000000002</v>
      </c>
      <c r="AZ43" s="1019">
        <f>AY43/AY36-1</f>
        <v>0.11507440910417288</v>
      </c>
      <c r="BC43" s="1030"/>
      <c r="BD43" s="1115"/>
      <c r="BE43" s="1030"/>
    </row>
    <row r="44" spans="1:85" hidden="1" outlineLevel="1">
      <c r="A44" s="22" t="s">
        <v>118</v>
      </c>
      <c r="B44" s="200" t="s">
        <v>100</v>
      </c>
      <c r="D44" s="1088">
        <f>(S44/S37-1)*100</f>
        <v>2.7366521908630093</v>
      </c>
      <c r="F44" s="1104">
        <v>-6</v>
      </c>
      <c r="H44" s="1061">
        <f>D44-F44</f>
        <v>8.7366521908630084</v>
      </c>
      <c r="J44" s="1063">
        <f>squft!BO14</f>
        <v>360</v>
      </c>
      <c r="K44" s="39"/>
      <c r="L44" s="1064">
        <f>AVERAGE(J44,J43)</f>
        <v>359</v>
      </c>
      <c r="N44" s="1061">
        <f>(L44/L37-1)*100</f>
        <v>0.41958041958041203</v>
      </c>
      <c r="O44" s="86"/>
      <c r="P44" s="1064">
        <f>H44/N44*100</f>
        <v>2082.235438822388</v>
      </c>
      <c r="Q44" s="97"/>
      <c r="S44" s="1092">
        <f>AY44-AS44</f>
        <v>453.27</v>
      </c>
      <c r="U44" s="1093">
        <f>S44/L44</f>
        <v>1.2625905292479107</v>
      </c>
      <c r="W44" s="1067">
        <f>(U44/U37-1)*100</f>
        <v>2.3073904129067513</v>
      </c>
      <c r="X44" s="86"/>
      <c r="Z44" s="865">
        <f>squft!BQ14</f>
        <v>3171</v>
      </c>
      <c r="AA44" s="39"/>
      <c r="AB44" s="1068">
        <f>AVERAGE(Z44,Z43)</f>
        <v>3154.5</v>
      </c>
      <c r="AD44" s="1061">
        <f>(Z44/Z37-1)*100</f>
        <v>0.44345898004434225</v>
      </c>
      <c r="AE44" s="86"/>
      <c r="AF44" s="1108">
        <f>+H44/AD44*100</f>
        <v>1970.1150690396248</v>
      </c>
      <c r="AG44" s="97"/>
      <c r="AI44" s="1071">
        <f>+S44</f>
        <v>453.27</v>
      </c>
      <c r="AK44" s="1072">
        <f>AI44/AB44*1000</f>
        <v>143.68996671421777</v>
      </c>
      <c r="AM44" s="1067">
        <f>(AK44/AK37-1)*100</f>
        <v>1.5153415371437662</v>
      </c>
      <c r="AN44" s="86"/>
      <c r="AO44" s="86"/>
      <c r="AP44" s="86"/>
      <c r="AQ44" s="86"/>
      <c r="AR44" s="86"/>
      <c r="AS44" s="1073">
        <f>qtrSales!AS$100*(AV44/100)</f>
        <v>50.76</v>
      </c>
      <c r="AT44" s="1042" t="s">
        <v>718</v>
      </c>
      <c r="AU44" s="1073">
        <f>(AS44/AS37-1)*100</f>
        <v>56.666666666666707</v>
      </c>
      <c r="AV44" s="1074">
        <v>60</v>
      </c>
      <c r="AW44" s="1042" t="s">
        <v>718</v>
      </c>
      <c r="AX44" s="1075"/>
      <c r="AY44" s="1065">
        <f>AY45-SUM(AY41:AY43)</f>
        <v>504.03</v>
      </c>
      <c r="AZ44" s="309">
        <f>AY44/AY37-1</f>
        <v>6.4261522479075017E-2</v>
      </c>
      <c r="BC44" s="1116"/>
      <c r="BD44" s="1117"/>
      <c r="BE44" s="1116"/>
    </row>
    <row r="45" spans="1:85" hidden="1" outlineLevel="1">
      <c r="B45" s="200" t="s">
        <v>119</v>
      </c>
      <c r="D45" s="1045">
        <f>(S45/S38-1)*100</f>
        <v>4.2356383599215786</v>
      </c>
      <c r="F45" s="1046">
        <v>-4</v>
      </c>
      <c r="H45" s="1045">
        <f>D45-F45</f>
        <v>8.2356383599215786</v>
      </c>
      <c r="L45" s="1048">
        <f>AVERAGE(L41:L44)</f>
        <v>354.375</v>
      </c>
      <c r="N45" s="1045">
        <f>(L45/L38-1)*100</f>
        <v>-0.10570824524313016</v>
      </c>
      <c r="O45" s="86"/>
      <c r="P45" s="1049">
        <f>H45/N45*100</f>
        <v>-7790.9138884857257</v>
      </c>
      <c r="Q45" s="97"/>
      <c r="S45" s="1095">
        <f>SUM(S41:S44)</f>
        <v>1393.8579999999999</v>
      </c>
      <c r="U45" s="1087">
        <f>SUM(U41:U44)</f>
        <v>3.9279259852993724</v>
      </c>
      <c r="W45" s="1052">
        <f>(U45/U38-1)*100</f>
        <v>4.2914656697520703</v>
      </c>
      <c r="X45" s="86"/>
      <c r="AB45" s="1014">
        <f>AVERAGE(AB41:AB44)</f>
        <v>3104.25</v>
      </c>
      <c r="AD45" s="1088">
        <f>(Z44/Z37-1)*100</f>
        <v>0.44345898004434225</v>
      </c>
      <c r="AE45" s="86"/>
      <c r="AF45" s="1049">
        <f>+H45/AD45*100</f>
        <v>1857.1364501623311</v>
      </c>
      <c r="AG45" s="97"/>
      <c r="AI45" s="1030">
        <f>SUM(AI41:AI44)</f>
        <v>1393.8579999999999</v>
      </c>
      <c r="AK45" s="1055">
        <f>SUM(AK41:AK44)</f>
        <v>448.21827117994223</v>
      </c>
      <c r="AM45" s="1052">
        <f>(AK45/AK38-1)*100</f>
        <v>3.9961789790676328</v>
      </c>
      <c r="AN45" s="86"/>
      <c r="AO45" s="86"/>
      <c r="AP45" s="86"/>
      <c r="AQ45" s="86"/>
      <c r="AR45" s="86"/>
      <c r="AS45" s="1078">
        <f>SUM(AS41:AS44)</f>
        <v>121.26499999999999</v>
      </c>
      <c r="AT45" s="114" t="s">
        <v>718</v>
      </c>
      <c r="AU45" s="1078">
        <f>(AS45/AS38-1)*100</f>
        <v>39.714703876606983</v>
      </c>
      <c r="AV45" s="1049">
        <f>(AS45/qtrSales!AS101)*100</f>
        <v>60.967823026646563</v>
      </c>
      <c r="AW45" s="114" t="s">
        <v>718</v>
      </c>
      <c r="AX45" s="1075"/>
      <c r="AY45" s="1080">
        <v>1515.123</v>
      </c>
      <c r="AZ45" s="1019">
        <f>AY45/AY38-1</f>
        <v>6.3981157475388351E-2</v>
      </c>
      <c r="BC45" s="1118"/>
      <c r="BD45" s="1115"/>
    </row>
    <row r="46" spans="1:85" hidden="1" outlineLevel="1">
      <c r="B46" s="200"/>
      <c r="D46" s="1053"/>
      <c r="F46" s="1112"/>
      <c r="H46" s="1053"/>
      <c r="L46" s="244"/>
      <c r="N46" s="1053"/>
      <c r="O46" s="86"/>
      <c r="P46" s="1049"/>
      <c r="Q46" s="97"/>
      <c r="S46" s="1050"/>
      <c r="U46" s="1087"/>
      <c r="W46" s="1082"/>
      <c r="X46" s="86"/>
      <c r="Z46" s="1119"/>
      <c r="AB46" s="1083"/>
      <c r="AD46" s="1053"/>
      <c r="AE46" s="86"/>
      <c r="AF46" s="1049"/>
      <c r="AG46" s="97"/>
      <c r="AI46" s="1030"/>
      <c r="AK46" s="1055"/>
      <c r="AM46" s="1052"/>
      <c r="AN46" s="86"/>
      <c r="AO46" s="86"/>
      <c r="AP46" s="86"/>
      <c r="AQ46" s="86"/>
      <c r="AR46" s="86"/>
      <c r="AX46" s="97"/>
      <c r="AZ46" s="86"/>
      <c r="BC46" s="1030"/>
      <c r="BE46" s="1030"/>
    </row>
    <row r="47" spans="1:85" hidden="1" outlineLevel="1">
      <c r="A47" s="1120"/>
      <c r="B47" s="1113">
        <v>2007</v>
      </c>
      <c r="C47" s="114"/>
      <c r="D47" s="246"/>
      <c r="E47" s="246"/>
      <c r="F47" s="246"/>
      <c r="G47" s="246"/>
      <c r="H47" s="246"/>
      <c r="I47" s="246"/>
      <c r="J47" s="1063"/>
      <c r="K47" s="114"/>
      <c r="L47" s="246"/>
      <c r="M47" s="114"/>
      <c r="N47" s="246"/>
      <c r="O47" s="246"/>
      <c r="P47" s="249"/>
      <c r="Q47" s="310"/>
      <c r="R47" s="114"/>
      <c r="S47" s="1103"/>
      <c r="T47" s="114"/>
      <c r="U47" s="246"/>
      <c r="V47" s="114"/>
      <c r="W47" s="114"/>
      <c r="X47" s="246"/>
      <c r="Y47" s="114"/>
      <c r="Z47" s="114"/>
      <c r="AA47" s="114"/>
      <c r="AB47" s="114"/>
      <c r="AC47" s="114"/>
      <c r="AD47" s="114"/>
      <c r="AE47" s="246"/>
      <c r="AF47" s="249"/>
      <c r="AG47" s="310"/>
      <c r="AH47" s="114"/>
      <c r="AI47" s="114"/>
      <c r="AJ47" s="114"/>
      <c r="AK47" s="246"/>
      <c r="AL47" s="114"/>
      <c r="AM47" s="246"/>
      <c r="AN47" s="246"/>
      <c r="AO47" s="246"/>
      <c r="AP47" s="246"/>
      <c r="AQ47" s="246"/>
      <c r="AR47" s="246"/>
      <c r="AS47" s="114"/>
      <c r="AT47" s="114"/>
      <c r="AU47" s="114"/>
      <c r="AV47" s="1121" t="s">
        <v>76</v>
      </c>
      <c r="AW47" s="114"/>
      <c r="AX47" s="310"/>
      <c r="AY47" s="114"/>
      <c r="AZ47" s="246"/>
      <c r="BA47" s="114"/>
      <c r="BC47" s="114"/>
      <c r="BD47" s="114"/>
      <c r="BE47" s="114"/>
      <c r="BF47" s="114"/>
      <c r="BG47" s="114"/>
      <c r="BH47" s="114"/>
      <c r="BI47" s="114"/>
      <c r="BJ47" s="114"/>
      <c r="BK47" s="114"/>
      <c r="BL47" s="114"/>
      <c r="BM47" s="114"/>
      <c r="BN47" s="114"/>
      <c r="BO47" s="114"/>
      <c r="BP47" s="114"/>
      <c r="BQ47" s="114"/>
      <c r="BR47" s="114"/>
      <c r="BS47" s="114"/>
      <c r="BT47" s="114"/>
      <c r="BU47" s="114"/>
      <c r="BV47" s="114"/>
      <c r="BW47" s="114"/>
      <c r="BX47" s="114"/>
      <c r="BY47" s="114"/>
      <c r="BZ47" s="114"/>
      <c r="CA47" s="114"/>
      <c r="CB47" s="114"/>
      <c r="CC47" s="114"/>
      <c r="CD47" s="114"/>
      <c r="CE47" s="114"/>
      <c r="CF47" s="114"/>
      <c r="CG47" s="114"/>
    </row>
    <row r="48" spans="1:85" hidden="1" outlineLevel="1">
      <c r="A48" s="114" t="s">
        <v>115</v>
      </c>
      <c r="B48" s="245" t="s">
        <v>96</v>
      </c>
      <c r="C48" s="114"/>
      <c r="D48" s="1088">
        <f>(S48/S41-1)*100</f>
        <v>4.4150524196348018</v>
      </c>
      <c r="E48" s="246" t="s">
        <v>76</v>
      </c>
      <c r="F48" s="1046">
        <v>-4</v>
      </c>
      <c r="G48" s="246" t="s">
        <v>76</v>
      </c>
      <c r="H48" s="1045">
        <f>D48-F48</f>
        <v>8.4150524196348009</v>
      </c>
      <c r="I48" s="246" t="s">
        <v>76</v>
      </c>
      <c r="J48" s="1047">
        <f>355+3+1</f>
        <v>359</v>
      </c>
      <c r="K48" s="114"/>
      <c r="L48" s="1122">
        <f>AVERAGE(J48,J44)</f>
        <v>359.5</v>
      </c>
      <c r="M48" s="114"/>
      <c r="N48" s="1123">
        <f>(L48/L41-1)*100</f>
        <v>1.4104372355430161</v>
      </c>
      <c r="O48" s="246" t="s">
        <v>76</v>
      </c>
      <c r="P48" s="1124">
        <f>H48/N48*100</f>
        <v>596.62721655210828</v>
      </c>
      <c r="Q48" s="310" t="s">
        <v>76</v>
      </c>
      <c r="R48" s="114"/>
      <c r="S48" s="1050">
        <f>AY48-AS48</f>
        <v>300.77800000000002</v>
      </c>
      <c r="T48" s="114"/>
      <c r="U48" s="1125">
        <f>S48/L48</f>
        <v>0.8366564673157163</v>
      </c>
      <c r="V48" s="114"/>
      <c r="W48" s="1126">
        <f>(U48/U41-1)*100</f>
        <v>2.9628263776370956</v>
      </c>
      <c r="X48" s="246" t="s">
        <v>76</v>
      </c>
      <c r="Y48" s="114"/>
      <c r="Z48" s="1047">
        <v>3170</v>
      </c>
      <c r="AA48" s="114"/>
      <c r="AB48" s="1127">
        <f>AVERAGE(Z48,Z44)</f>
        <v>3170.5</v>
      </c>
      <c r="AC48" s="114"/>
      <c r="AD48" s="1128">
        <f>(Z48/Z41-1)*100</f>
        <v>4.6204620462046098</v>
      </c>
      <c r="AE48" s="246" t="s">
        <v>76</v>
      </c>
      <c r="AF48" s="1124">
        <f>+H48/AD48*100</f>
        <v>182.12577736781074</v>
      </c>
      <c r="AG48" s="310" t="s">
        <v>76</v>
      </c>
      <c r="AH48" s="114"/>
      <c r="AI48" s="1129">
        <f>+S48</f>
        <v>300.77800000000002</v>
      </c>
      <c r="AJ48" s="114"/>
      <c r="AK48" s="1097">
        <f>AI48/AB48*1000</f>
        <v>94.867686484781586</v>
      </c>
      <c r="AL48" s="114"/>
      <c r="AM48" s="1126">
        <f>(AK48/AK41-1)*100</f>
        <v>1.8791877180697858</v>
      </c>
      <c r="AN48" s="246" t="s">
        <v>76</v>
      </c>
      <c r="AO48" s="246"/>
      <c r="AP48" s="246"/>
      <c r="AQ48" s="246"/>
      <c r="AR48" s="246"/>
      <c r="AS48" s="1078">
        <f>qtrSales!AS$104*(AV48/100)</f>
        <v>32.565000000000005</v>
      </c>
      <c r="AT48" s="114" t="s">
        <v>328</v>
      </c>
      <c r="AU48" s="1100">
        <f>(AS48/AS41-1)*100</f>
        <v>32.163149350649391</v>
      </c>
      <c r="AV48" s="1101">
        <v>65</v>
      </c>
      <c r="AW48" s="114" t="s">
        <v>718</v>
      </c>
      <c r="AX48" s="1075"/>
      <c r="AY48" s="1130">
        <v>333.34300000000002</v>
      </c>
      <c r="AZ48" s="1103">
        <f>AY48/AY41-1</f>
        <v>6.6015350175887555E-2</v>
      </c>
      <c r="BA48" s="114"/>
      <c r="BC48" s="114"/>
      <c r="BD48" s="114"/>
      <c r="BE48" s="114"/>
      <c r="BF48" s="114"/>
      <c r="BG48" s="114"/>
      <c r="BH48" s="114"/>
      <c r="BI48" s="114"/>
      <c r="BJ48" s="114"/>
      <c r="BK48" s="114"/>
      <c r="BL48" s="114"/>
      <c r="BM48" s="114"/>
      <c r="BN48" s="114"/>
      <c r="BO48" s="114"/>
      <c r="BP48" s="114"/>
      <c r="BQ48" s="114"/>
      <c r="BR48" s="114"/>
      <c r="BS48" s="114"/>
      <c r="BT48" s="114"/>
      <c r="BU48" s="114"/>
      <c r="BV48" s="114"/>
      <c r="BW48" s="114"/>
      <c r="BX48" s="114"/>
      <c r="BY48" s="114"/>
      <c r="BZ48" s="114"/>
      <c r="CA48" s="114"/>
      <c r="CB48" s="114"/>
      <c r="CC48" s="114"/>
      <c r="CD48" s="114"/>
      <c r="CE48" s="114"/>
      <c r="CF48" s="114"/>
      <c r="CG48" s="114"/>
    </row>
    <row r="49" spans="1:85" hidden="1" outlineLevel="1">
      <c r="A49" s="114" t="s">
        <v>116</v>
      </c>
      <c r="B49" s="245" t="s">
        <v>97</v>
      </c>
      <c r="C49" s="114"/>
      <c r="D49" s="1088">
        <f>(S49/S42-1)*100</f>
        <v>12.896368408366587</v>
      </c>
      <c r="E49" s="114"/>
      <c r="F49" s="1046">
        <v>-2</v>
      </c>
      <c r="G49" s="114"/>
      <c r="H49" s="1045">
        <f>D49-F49</f>
        <v>14.896368408366587</v>
      </c>
      <c r="I49" s="114"/>
      <c r="J49" s="1047">
        <f>J48+3+1-1</f>
        <v>362</v>
      </c>
      <c r="K49" s="1057"/>
      <c r="L49" s="1122">
        <f>AVERAGE(J49,J48)</f>
        <v>360.5</v>
      </c>
      <c r="M49" s="1122">
        <f>AVERAGE(J49,J48)</f>
        <v>360.5</v>
      </c>
      <c r="N49" s="1123">
        <f>(M49/L42-1)*100</f>
        <v>3.1473533619456262</v>
      </c>
      <c r="O49" s="246"/>
      <c r="P49" s="1124">
        <f>H49/N49*100</f>
        <v>473.29825079310359</v>
      </c>
      <c r="Q49" s="310"/>
      <c r="R49" s="114"/>
      <c r="S49" s="1089">
        <f>AY49-AS49</f>
        <v>337.23500000000001</v>
      </c>
      <c r="T49" s="114"/>
      <c r="U49" s="1131">
        <f>S49/L49</f>
        <v>0.93546463245492373</v>
      </c>
      <c r="V49" s="114"/>
      <c r="W49" s="1126">
        <f>(U49/U42-1)*100</f>
        <v>9.4515416330766211</v>
      </c>
      <c r="X49" s="246"/>
      <c r="Y49" s="114"/>
      <c r="Z49" s="1047">
        <v>3197</v>
      </c>
      <c r="AA49" s="1057"/>
      <c r="AB49" s="1127">
        <f>AVERAGE(Z49,Z48)</f>
        <v>3183.5</v>
      </c>
      <c r="AC49" s="114"/>
      <c r="AD49" s="1128">
        <f>(Z49/Z42-1)*100</f>
        <v>3.6304700162074655</v>
      </c>
      <c r="AE49" s="246"/>
      <c r="AF49" s="1124">
        <f>+H49/AD49*100</f>
        <v>410.31514767688213</v>
      </c>
      <c r="AG49" s="310"/>
      <c r="AH49" s="114"/>
      <c r="AI49" s="1132">
        <f>+S49</f>
        <v>337.23500000000001</v>
      </c>
      <c r="AJ49" s="114"/>
      <c r="AK49" s="1106">
        <f>AI49/AB49*1000</f>
        <v>105.93215014920686</v>
      </c>
      <c r="AL49" s="114"/>
      <c r="AM49" s="1126">
        <f>(AK49/AK42-1)*100</f>
        <v>8.428034053268707</v>
      </c>
      <c r="AN49" s="246"/>
      <c r="AO49" s="246"/>
      <c r="AP49" s="246"/>
      <c r="AQ49" s="246"/>
      <c r="AR49" s="246"/>
      <c r="AS49" s="1100">
        <f>qtrSales!AS$105*(AV49/100)</f>
        <v>26.650000000000002</v>
      </c>
      <c r="AT49" s="114" t="s">
        <v>718</v>
      </c>
      <c r="AU49" s="1100">
        <f>+AU48</f>
        <v>32.163149350649391</v>
      </c>
      <c r="AV49" s="1101">
        <v>50</v>
      </c>
      <c r="AW49" s="114" t="s">
        <v>718</v>
      </c>
      <c r="AX49" s="1075"/>
      <c r="AY49" s="1102">
        <v>363.88499999999999</v>
      </c>
      <c r="AZ49" s="1103">
        <f>AY49/AY42-1</f>
        <v>0.15059903812405739</v>
      </c>
      <c r="BA49" s="114"/>
      <c r="BC49" s="114"/>
      <c r="BD49" s="114"/>
      <c r="BE49" s="114"/>
      <c r="BF49" s="114"/>
      <c r="BG49" s="114"/>
      <c r="BH49" s="114"/>
      <c r="BI49" s="114"/>
      <c r="BJ49" s="114"/>
      <c r="BK49" s="114"/>
      <c r="BL49" s="114"/>
      <c r="BM49" s="114"/>
      <c r="BN49" s="114"/>
      <c r="BO49" s="114"/>
      <c r="BP49" s="114"/>
      <c r="BQ49" s="114"/>
      <c r="BR49" s="114"/>
      <c r="BS49" s="114"/>
      <c r="BT49" s="114"/>
      <c r="BU49" s="114"/>
      <c r="BV49" s="114"/>
      <c r="BW49" s="114"/>
      <c r="BX49" s="114"/>
      <c r="BY49" s="114"/>
      <c r="BZ49" s="114"/>
      <c r="CA49" s="114"/>
      <c r="CB49" s="114"/>
      <c r="CC49" s="114"/>
      <c r="CD49" s="114"/>
      <c r="CE49" s="114"/>
      <c r="CF49" s="114"/>
      <c r="CG49" s="114"/>
    </row>
    <row r="50" spans="1:85" hidden="1" outlineLevel="1">
      <c r="A50" s="114" t="s">
        <v>117</v>
      </c>
      <c r="B50" s="245" t="s">
        <v>99</v>
      </c>
      <c r="C50" s="114"/>
      <c r="D50" s="1123">
        <f>(S50/S43-1)*100</f>
        <v>7.539512062767062</v>
      </c>
      <c r="E50" s="114"/>
      <c r="F50" s="1046">
        <v>3</v>
      </c>
      <c r="G50" s="114"/>
      <c r="H50" s="1128">
        <f>D50-F50</f>
        <v>4.539512062767062</v>
      </c>
      <c r="I50" s="114"/>
      <c r="J50" s="1047">
        <f>J49+1-1</f>
        <v>362</v>
      </c>
      <c r="K50" s="1057"/>
      <c r="L50" s="1122">
        <f>AVERAGE(J50,J49)</f>
        <v>362</v>
      </c>
      <c r="M50" s="114"/>
      <c r="N50" s="1123">
        <f>(L50/L43-1)*100</f>
        <v>2.1156558533145242</v>
      </c>
      <c r="O50" s="246"/>
      <c r="P50" s="1124">
        <f>H50/N50*100</f>
        <v>214.56760350012348</v>
      </c>
      <c r="Q50" s="310"/>
      <c r="R50" s="114"/>
      <c r="S50" s="1089">
        <f>AY50-AS50</f>
        <v>380.49199999999996</v>
      </c>
      <c r="T50" s="114"/>
      <c r="U50" s="1131">
        <f>S50/L50</f>
        <v>1.0510828729281767</v>
      </c>
      <c r="V50" s="114"/>
      <c r="W50" s="1126">
        <f>(U50/U43-1)*100</f>
        <v>5.3114834979307357</v>
      </c>
      <c r="X50" s="246"/>
      <c r="Y50" s="114"/>
      <c r="Z50" s="1047">
        <v>3197</v>
      </c>
      <c r="AA50" s="1057"/>
      <c r="AB50" s="1127">
        <f>AVERAGE(Z50,Z49)</f>
        <v>3197</v>
      </c>
      <c r="AC50" s="114"/>
      <c r="AD50" s="1128">
        <f>(Z50/Z43-1)*100</f>
        <v>1.8801784576163216</v>
      </c>
      <c r="AE50" s="246"/>
      <c r="AF50" s="1124">
        <f>+H50/AD50*100</f>
        <v>241.44048903327118</v>
      </c>
      <c r="AG50" s="310"/>
      <c r="AH50" s="114"/>
      <c r="AI50" s="1132">
        <f>+S50</f>
        <v>380.49199999999996</v>
      </c>
      <c r="AJ50" s="114"/>
      <c r="AK50" s="1106">
        <f>AI50/AB50*1000</f>
        <v>119.01532686893962</v>
      </c>
      <c r="AL50" s="114"/>
      <c r="AM50" s="1126">
        <f>(AK50/AK43-1)*100</f>
        <v>4.6634944583358706</v>
      </c>
      <c r="AN50" s="246"/>
      <c r="AO50" s="246"/>
      <c r="AP50" s="246"/>
      <c r="AQ50" s="246"/>
      <c r="AR50" s="246"/>
      <c r="AS50" s="1100">
        <f>qtrSales!AS$106*(AV50/100)</f>
        <v>38.775000000000006</v>
      </c>
      <c r="AT50" s="114" t="s">
        <v>718</v>
      </c>
      <c r="AU50" s="1100">
        <f>(AS50/AS43-1)*100</f>
        <v>36.917372881355973</v>
      </c>
      <c r="AV50" s="1101">
        <v>55</v>
      </c>
      <c r="AW50" s="114" t="s">
        <v>718</v>
      </c>
      <c r="AX50" s="1075"/>
      <c r="AY50" s="1102">
        <v>419.267</v>
      </c>
      <c r="AZ50" s="1103">
        <f>AY50/AY43-1</f>
        <v>9.716697720183376E-2</v>
      </c>
      <c r="BA50" s="114"/>
      <c r="BC50" s="114"/>
      <c r="BD50" s="114"/>
      <c r="BE50" s="114"/>
      <c r="BF50" s="114"/>
      <c r="BG50" s="114"/>
      <c r="BH50" s="114"/>
      <c r="BI50" s="114"/>
      <c r="BJ50" s="114"/>
      <c r="BK50" s="114"/>
      <c r="BL50" s="114"/>
      <c r="BM50" s="114"/>
      <c r="BN50" s="114"/>
      <c r="BO50" s="114"/>
      <c r="BP50" s="114"/>
      <c r="BQ50" s="114"/>
      <c r="BR50" s="114"/>
      <c r="BS50" s="114"/>
      <c r="BT50" s="114"/>
      <c r="BU50" s="114"/>
      <c r="BV50" s="114"/>
      <c r="BW50" s="114"/>
      <c r="BX50" s="114"/>
      <c r="BY50" s="114"/>
      <c r="BZ50" s="114"/>
      <c r="CA50" s="114"/>
      <c r="CB50" s="114"/>
      <c r="CC50" s="114"/>
      <c r="CD50" s="114"/>
      <c r="CE50" s="114"/>
      <c r="CF50" s="114"/>
      <c r="CG50" s="114"/>
    </row>
    <row r="51" spans="1:85" hidden="1" outlineLevel="1">
      <c r="A51" s="114" t="s">
        <v>118</v>
      </c>
      <c r="B51" s="245" t="s">
        <v>100</v>
      </c>
      <c r="C51" s="114"/>
      <c r="D51" s="1107">
        <f>(S51/S44-1)*100</f>
        <v>-1.1816356696891517</v>
      </c>
      <c r="E51" s="114"/>
      <c r="F51" s="1104">
        <v>1</v>
      </c>
      <c r="G51" s="114"/>
      <c r="H51" s="1107">
        <f>D51-F51</f>
        <v>-2.1816356696891517</v>
      </c>
      <c r="I51" s="114"/>
      <c r="J51" s="1063">
        <f>squft!BS14</f>
        <v>359</v>
      </c>
      <c r="K51" s="1057"/>
      <c r="L51" s="1108">
        <f>AVERAGE(J51,J50)</f>
        <v>360.5</v>
      </c>
      <c r="M51" s="114"/>
      <c r="N51" s="1107">
        <f>(L51/L44-1)*100</f>
        <v>0.41782729805013297</v>
      </c>
      <c r="O51" s="246"/>
      <c r="P51" s="1108">
        <f>H51/N51*100</f>
        <v>-522.13813694561156</v>
      </c>
      <c r="Q51" s="310"/>
      <c r="R51" s="114"/>
      <c r="S51" s="1092">
        <f>AY51-AS51</f>
        <v>447.91399999999999</v>
      </c>
      <c r="T51" s="114"/>
      <c r="U51" s="1133">
        <f>S51/L51</f>
        <v>1.2424798890429958</v>
      </c>
      <c r="V51" s="114"/>
      <c r="W51" s="1134">
        <f>(U51/U44-1)*100</f>
        <v>-1.5928077820205333</v>
      </c>
      <c r="X51" s="246"/>
      <c r="Y51" s="114"/>
      <c r="Z51" s="1063">
        <f>squft!BU14</f>
        <v>3167</v>
      </c>
      <c r="AA51" s="1057"/>
      <c r="AB51" s="1110">
        <f>AVERAGE(Z51,Z50)</f>
        <v>3182</v>
      </c>
      <c r="AC51" s="114"/>
      <c r="AD51" s="1107">
        <f>(Z51/Z44-1)*100</f>
        <v>-0.12614317250079221</v>
      </c>
      <c r="AE51" s="246"/>
      <c r="AF51" s="1108">
        <f>+H51/AD51*100</f>
        <v>1729.4916771460225</v>
      </c>
      <c r="AG51" s="310"/>
      <c r="AH51" s="114"/>
      <c r="AI51" s="1111">
        <f>+S51</f>
        <v>447.91399999999999</v>
      </c>
      <c r="AJ51" s="114"/>
      <c r="AK51" s="1135">
        <f>AI51/AB51*1000</f>
        <v>140.76492771841609</v>
      </c>
      <c r="AL51" s="114"/>
      <c r="AM51" s="1134">
        <f>(AK51/AK44-1)*100</f>
        <v>-2.035659874303708</v>
      </c>
      <c r="AN51" s="246"/>
      <c r="AO51" s="246"/>
      <c r="AP51" s="246"/>
      <c r="AQ51" s="246"/>
      <c r="AR51" s="246"/>
      <c r="AS51" s="1136">
        <f>qtrSales!AS$107*(AV51/100)</f>
        <v>74.52</v>
      </c>
      <c r="AT51" s="1042" t="s">
        <v>718</v>
      </c>
      <c r="AU51" s="1136">
        <f>(AS51/AS44-1)*100</f>
        <v>46.808510638297875</v>
      </c>
      <c r="AV51" s="1137">
        <v>60</v>
      </c>
      <c r="AW51" s="1042" t="s">
        <v>718</v>
      </c>
      <c r="AX51" s="1075"/>
      <c r="AY51" s="1065">
        <f>AY52-SUM(AY48:AY50)</f>
        <v>522.43399999999997</v>
      </c>
      <c r="AZ51" s="1138">
        <f>AY51/AY44-1</f>
        <v>3.6513699581374182E-2</v>
      </c>
      <c r="BA51" s="114"/>
      <c r="BC51" s="114"/>
      <c r="BD51" s="114"/>
      <c r="BE51" s="114"/>
      <c r="BF51" s="114"/>
      <c r="BG51" s="114"/>
      <c r="BH51" s="114"/>
      <c r="BI51" s="114"/>
      <c r="BJ51" s="114"/>
      <c r="BK51" s="114"/>
      <c r="BL51" s="114"/>
      <c r="BM51" s="114"/>
      <c r="BN51" s="114"/>
      <c r="BO51" s="114"/>
      <c r="BP51" s="114"/>
      <c r="BQ51" s="114"/>
      <c r="BR51" s="114"/>
      <c r="BS51" s="114"/>
      <c r="BT51" s="114"/>
      <c r="BU51" s="114"/>
      <c r="BV51" s="114"/>
      <c r="BW51" s="114"/>
      <c r="BX51" s="114"/>
      <c r="BY51" s="114"/>
      <c r="BZ51" s="114"/>
      <c r="CA51" s="114"/>
      <c r="CB51" s="114"/>
      <c r="CC51" s="114"/>
      <c r="CD51" s="114"/>
      <c r="CE51" s="114"/>
      <c r="CF51" s="114"/>
      <c r="CG51" s="114"/>
    </row>
    <row r="52" spans="1:85" hidden="1" outlineLevel="1">
      <c r="A52" s="114"/>
      <c r="B52" s="245" t="s">
        <v>119</v>
      </c>
      <c r="C52" s="114"/>
      <c r="D52" s="1123">
        <f>(S52/S45-1)*100</f>
        <v>5.2057670150043922</v>
      </c>
      <c r="E52" s="114"/>
      <c r="F52" s="1139">
        <v>0</v>
      </c>
      <c r="G52" s="114"/>
      <c r="H52" s="1123">
        <f>D52-F52</f>
        <v>5.2057670150043922</v>
      </c>
      <c r="I52" s="114"/>
      <c r="J52" s="114"/>
      <c r="K52" s="114"/>
      <c r="L52" s="1122">
        <f>AVERAGE(L48:L51)</f>
        <v>360.625</v>
      </c>
      <c r="M52" s="114"/>
      <c r="N52" s="1123">
        <f>(L52/L45-1)*100</f>
        <v>1.763668430335108</v>
      </c>
      <c r="O52" s="246"/>
      <c r="P52" s="1124">
        <f>H52/N52*100</f>
        <v>295.16698975074718</v>
      </c>
      <c r="Q52" s="310"/>
      <c r="R52" s="114"/>
      <c r="S52" s="1095">
        <f>SUM(S48:S51)</f>
        <v>1466.4189999999999</v>
      </c>
      <c r="T52" s="114"/>
      <c r="U52" s="1125">
        <f>SUM(U48:U51)</f>
        <v>4.065683861741813</v>
      </c>
      <c r="V52" s="114"/>
      <c r="W52" s="1126">
        <f>(U52/U45-1)*100</f>
        <v>3.5071403320228622</v>
      </c>
      <c r="X52" s="246"/>
      <c r="Y52" s="114"/>
      <c r="Z52" s="114"/>
      <c r="AA52" s="114"/>
      <c r="AB52" s="1127">
        <f>AVERAGE(AB48:AB51)</f>
        <v>3183.25</v>
      </c>
      <c r="AC52" s="114"/>
      <c r="AD52" s="1128">
        <f>(Z51/Z44-1)*100</f>
        <v>-0.12614317250079221</v>
      </c>
      <c r="AE52" s="246"/>
      <c r="AF52" s="1124">
        <f>+H52/AD52*100</f>
        <v>-4126.8718011446072</v>
      </c>
      <c r="AG52" s="310"/>
      <c r="AH52" s="114"/>
      <c r="AI52" s="1129">
        <f>SUM(AI48:AI51)</f>
        <v>1466.4189999999999</v>
      </c>
      <c r="AJ52" s="114"/>
      <c r="AK52" s="1097">
        <f>SUM(AK48:AK51)</f>
        <v>460.58009122134411</v>
      </c>
      <c r="AL52" s="114"/>
      <c r="AM52" s="1126">
        <f>(AK52/AK45-1)*100</f>
        <v>2.7579911030532367</v>
      </c>
      <c r="AN52" s="246"/>
      <c r="AO52" s="246"/>
      <c r="AP52" s="246"/>
      <c r="AQ52" s="246"/>
      <c r="AR52" s="246"/>
      <c r="AS52" s="1100">
        <f>SUM(AS48:AS51)</f>
        <v>172.51</v>
      </c>
      <c r="AT52" s="114" t="s">
        <v>718</v>
      </c>
      <c r="AU52" s="1100">
        <f>(AS52/AS45-1)*100</f>
        <v>42.258689646641656</v>
      </c>
      <c r="AV52" s="1124">
        <f>(AS52/qtrSales!AS108)*100</f>
        <v>57.869842334786981</v>
      </c>
      <c r="AW52" s="114" t="s">
        <v>718</v>
      </c>
      <c r="AX52" s="1075"/>
      <c r="AY52" s="1140">
        <v>1638.9290000000001</v>
      </c>
      <c r="AZ52" s="1103">
        <f>AY52/AY45-1</f>
        <v>8.1713497848029615E-2</v>
      </c>
      <c r="BA52" s="114"/>
      <c r="BC52" s="114"/>
      <c r="BD52" s="114"/>
      <c r="BE52" s="114"/>
      <c r="BF52" s="114"/>
      <c r="BG52" s="114"/>
      <c r="BH52" s="114"/>
      <c r="BI52" s="114"/>
      <c r="BJ52" s="114"/>
      <c r="BK52" s="114"/>
      <c r="BL52" s="114"/>
      <c r="BM52" s="114"/>
      <c r="BN52" s="114"/>
      <c r="BO52" s="114"/>
      <c r="BP52" s="114"/>
      <c r="BQ52" s="114"/>
      <c r="BR52" s="114"/>
      <c r="BS52" s="114"/>
      <c r="BT52" s="114"/>
      <c r="BU52" s="114"/>
      <c r="BV52" s="114"/>
      <c r="BW52" s="114"/>
      <c r="BX52" s="114"/>
      <c r="BY52" s="114"/>
      <c r="BZ52" s="114"/>
      <c r="CA52" s="114"/>
      <c r="CB52" s="114"/>
      <c r="CC52" s="114"/>
      <c r="CD52" s="114"/>
      <c r="CE52" s="114"/>
      <c r="CF52" s="114"/>
      <c r="CG52" s="114"/>
    </row>
    <row r="53" spans="1:85" hidden="1" outlineLevel="1">
      <c r="A53" s="114"/>
      <c r="B53" s="245"/>
      <c r="C53" s="114"/>
      <c r="D53" s="1123"/>
      <c r="E53" s="114"/>
      <c r="F53" s="1139"/>
      <c r="G53" s="114"/>
      <c r="H53" s="1123"/>
      <c r="I53" s="114"/>
      <c r="J53" s="114"/>
      <c r="K53" s="114"/>
      <c r="L53" s="1122"/>
      <c r="M53" s="114"/>
      <c r="N53" s="1123"/>
      <c r="O53" s="246"/>
      <c r="P53" s="1124"/>
      <c r="Q53" s="310"/>
      <c r="R53" s="114"/>
      <c r="S53" s="1141"/>
      <c r="T53" s="114"/>
      <c r="U53" s="1125"/>
      <c r="V53" s="114"/>
      <c r="W53" s="1126"/>
      <c r="X53" s="246"/>
      <c r="Y53" s="114"/>
      <c r="Z53" s="114"/>
      <c r="AA53" s="114"/>
      <c r="AB53" s="1127"/>
      <c r="AC53" s="114"/>
      <c r="AD53" s="1128"/>
      <c r="AE53" s="246"/>
      <c r="AF53" s="1124"/>
      <c r="AG53" s="310"/>
      <c r="AH53" s="114"/>
      <c r="AI53" s="1129"/>
      <c r="AJ53" s="114"/>
      <c r="AK53" s="1097"/>
      <c r="AL53" s="114"/>
      <c r="AM53" s="1126"/>
      <c r="AN53" s="246"/>
      <c r="AO53" s="246"/>
      <c r="AP53" s="246"/>
      <c r="AQ53" s="246"/>
      <c r="AR53" s="246"/>
      <c r="AS53" s="1100"/>
      <c r="AT53" s="114"/>
      <c r="AU53" s="1100"/>
      <c r="AV53" s="1124"/>
      <c r="AW53" s="114"/>
      <c r="AX53" s="1075"/>
      <c r="AY53" s="1142"/>
      <c r="AZ53" s="1103"/>
      <c r="BA53" s="114"/>
      <c r="BB53" s="310"/>
      <c r="BC53" s="310"/>
      <c r="BD53" s="310"/>
      <c r="BE53" s="114"/>
      <c r="BF53" s="114"/>
      <c r="BG53" s="114"/>
      <c r="BH53" s="114"/>
      <c r="BI53" s="114"/>
      <c r="BJ53" s="114"/>
      <c r="BK53" s="114"/>
      <c r="BL53" s="114"/>
      <c r="BM53" s="114"/>
      <c r="BN53" s="114"/>
      <c r="BO53" s="114"/>
      <c r="BP53" s="114"/>
      <c r="BQ53" s="114"/>
      <c r="BR53" s="114"/>
      <c r="BS53" s="114"/>
      <c r="BT53" s="114"/>
      <c r="BU53" s="114"/>
      <c r="BV53" s="114"/>
      <c r="BW53" s="114"/>
      <c r="BX53" s="114"/>
      <c r="BY53" s="114"/>
      <c r="BZ53" s="114"/>
      <c r="CA53" s="114"/>
      <c r="CB53" s="114"/>
      <c r="CC53" s="114"/>
      <c r="CD53" s="114"/>
      <c r="CE53" s="114"/>
      <c r="CF53" s="114"/>
      <c r="CG53" s="114"/>
    </row>
    <row r="54" spans="1:85" hidden="1" outlineLevel="1">
      <c r="A54" s="1120"/>
      <c r="B54" s="1113">
        <v>2008</v>
      </c>
      <c r="C54" s="114"/>
      <c r="D54" s="246"/>
      <c r="E54" s="246"/>
      <c r="F54" s="246"/>
      <c r="G54" s="246"/>
      <c r="H54" s="246"/>
      <c r="I54" s="246"/>
      <c r="J54" s="1063"/>
      <c r="K54" s="114"/>
      <c r="L54" s="246"/>
      <c r="M54" s="114"/>
      <c r="N54" s="246"/>
      <c r="O54" s="246"/>
      <c r="P54" s="249"/>
      <c r="Q54" s="310"/>
      <c r="R54" s="114"/>
      <c r="S54" s="1103"/>
      <c r="T54" s="114"/>
      <c r="U54" s="246"/>
      <c r="V54" s="114"/>
      <c r="W54" s="114"/>
      <c r="X54" s="246"/>
      <c r="Y54" s="114"/>
      <c r="Z54" s="114"/>
      <c r="AA54" s="114"/>
      <c r="AB54" s="114"/>
      <c r="AC54" s="114"/>
      <c r="AD54" s="114"/>
      <c r="AE54" s="246"/>
      <c r="AF54" s="249"/>
      <c r="AG54" s="310"/>
      <c r="AH54" s="114"/>
      <c r="AI54" s="114"/>
      <c r="AJ54" s="114"/>
      <c r="AK54" s="246"/>
      <c r="AL54" s="114"/>
      <c r="AM54" s="246"/>
      <c r="AN54" s="246"/>
      <c r="AO54" s="246"/>
      <c r="AP54" s="246"/>
      <c r="AQ54" s="246"/>
      <c r="AR54" s="246"/>
      <c r="AS54" s="114"/>
      <c r="AT54" s="114"/>
      <c r="AU54" s="114"/>
      <c r="AV54" s="1121" t="s">
        <v>76</v>
      </c>
      <c r="AW54" s="114"/>
      <c r="AX54" s="310"/>
      <c r="AY54" s="114"/>
      <c r="AZ54" s="246"/>
      <c r="BA54" s="114"/>
      <c r="BB54" s="310"/>
      <c r="BC54" s="310"/>
      <c r="BD54" s="310"/>
      <c r="BE54" s="114"/>
      <c r="BF54" s="114"/>
      <c r="BG54" s="114"/>
      <c r="BH54" s="114"/>
      <c r="BI54" s="114"/>
      <c r="BJ54" s="114"/>
      <c r="BK54" s="114"/>
      <c r="BL54" s="114"/>
      <c r="BM54" s="114"/>
      <c r="BN54" s="114"/>
      <c r="BO54" s="114"/>
      <c r="BP54" s="114"/>
      <c r="BQ54" s="114"/>
      <c r="BR54" s="114"/>
      <c r="BS54" s="114"/>
      <c r="BT54" s="114"/>
      <c r="BU54" s="114"/>
      <c r="BV54" s="114"/>
      <c r="BW54" s="114"/>
      <c r="BX54" s="114"/>
      <c r="BY54" s="114"/>
      <c r="BZ54" s="114"/>
      <c r="CA54" s="114"/>
      <c r="CB54" s="114"/>
      <c r="CC54" s="114"/>
      <c r="CD54" s="114"/>
      <c r="CE54" s="114"/>
      <c r="CF54" s="114"/>
      <c r="CG54" s="114"/>
    </row>
    <row r="55" spans="1:85" hidden="1" outlineLevel="1">
      <c r="A55" s="114" t="s">
        <v>115</v>
      </c>
      <c r="B55" s="245" t="s">
        <v>96</v>
      </c>
      <c r="C55" s="114"/>
      <c r="D55" s="1088">
        <f>(S55/S48-1)*100</f>
        <v>3.1571458018871068</v>
      </c>
      <c r="E55" s="246" t="s">
        <v>76</v>
      </c>
      <c r="F55" s="1046">
        <v>3</v>
      </c>
      <c r="G55" s="246" t="s">
        <v>76</v>
      </c>
      <c r="H55" s="1045">
        <f>D55-F55</f>
        <v>0.15714580188710681</v>
      </c>
      <c r="I55" s="246" t="s">
        <v>76</v>
      </c>
      <c r="J55" s="1047">
        <f>353+3+1</f>
        <v>357</v>
      </c>
      <c r="K55" s="1063">
        <f>J55-J51</f>
        <v>-2</v>
      </c>
      <c r="L55" s="1122">
        <f>AVERAGE(J55,J51)</f>
        <v>358</v>
      </c>
      <c r="M55" s="114"/>
      <c r="N55" s="1123">
        <f>(L55/L48-1)*100</f>
        <v>-0.41724617524339092</v>
      </c>
      <c r="O55" s="246" t="s">
        <v>76</v>
      </c>
      <c r="P55" s="1101" t="s">
        <v>251</v>
      </c>
      <c r="Q55" s="310" t="s">
        <v>76</v>
      </c>
      <c r="R55" s="114"/>
      <c r="S55" s="1050">
        <f>AY55-AS55</f>
        <v>310.274</v>
      </c>
      <c r="T55" s="114"/>
      <c r="U55" s="1125">
        <f>S55/L55</f>
        <v>0.86668715083798886</v>
      </c>
      <c r="V55" s="114"/>
      <c r="W55" s="1126">
        <f>(U55/U48-1)*100</f>
        <v>3.5893684798279812</v>
      </c>
      <c r="X55" s="246" t="s">
        <v>76</v>
      </c>
      <c r="Y55" s="114"/>
      <c r="Z55" s="1047">
        <v>3162</v>
      </c>
      <c r="AA55" s="114"/>
      <c r="AB55" s="1127">
        <f>AVERAGE(Z55,Z51)</f>
        <v>3164.5</v>
      </c>
      <c r="AC55" s="114"/>
      <c r="AD55" s="1128">
        <f>(Z55/Z48-1)*100</f>
        <v>-0.25236593059937418</v>
      </c>
      <c r="AE55" s="246" t="s">
        <v>76</v>
      </c>
      <c r="AF55" s="1124">
        <f>+H55/AD55*100</f>
        <v>-62.269023997764819</v>
      </c>
      <c r="AG55" s="310" t="s">
        <v>76</v>
      </c>
      <c r="AH55" s="114"/>
      <c r="AI55" s="1129">
        <f>+S55</f>
        <v>310.274</v>
      </c>
      <c r="AJ55" s="114"/>
      <c r="AK55" s="1097">
        <f>AI55/AB55*1000</f>
        <v>98.048348870279668</v>
      </c>
      <c r="AL55" s="114"/>
      <c r="AM55" s="1126">
        <f>(AK55/AK48-1)*100</f>
        <v>3.3527352709379121</v>
      </c>
      <c r="AN55" s="246" t="s">
        <v>76</v>
      </c>
      <c r="AO55" s="246"/>
      <c r="AP55" s="246"/>
      <c r="AQ55" s="246"/>
      <c r="AR55" s="246"/>
      <c r="AS55" s="1100">
        <f>qtrSales!$AS$111*(AV55/100)</f>
        <v>47.45</v>
      </c>
      <c r="AT55" s="114" t="s">
        <v>328</v>
      </c>
      <c r="AU55" s="1100">
        <f>(AS55/AS48-1)*100</f>
        <v>45.708582834331324</v>
      </c>
      <c r="AV55" s="1101">
        <v>65</v>
      </c>
      <c r="AW55" s="114" t="s">
        <v>718</v>
      </c>
      <c r="AX55" s="1075"/>
      <c r="AY55" s="1130">
        <v>357.72399999999999</v>
      </c>
      <c r="AZ55" s="1103">
        <f>AY55/AY48-1</f>
        <v>7.3140878914511376E-2</v>
      </c>
      <c r="BA55" s="114"/>
      <c r="BB55" s="1143"/>
      <c r="BC55" s="1143"/>
      <c r="BD55" s="1143"/>
      <c r="BE55" s="114"/>
      <c r="BF55" s="114"/>
      <c r="BG55" s="114"/>
      <c r="BH55" s="114"/>
      <c r="BI55" s="114"/>
      <c r="BJ55" s="114"/>
      <c r="BK55" s="114"/>
      <c r="BL55" s="114"/>
      <c r="BM55" s="114"/>
      <c r="BN55" s="114"/>
      <c r="BO55" s="114"/>
      <c r="BP55" s="114"/>
      <c r="BQ55" s="114"/>
      <c r="BR55" s="114"/>
      <c r="BS55" s="114"/>
      <c r="BT55" s="114"/>
      <c r="BU55" s="114"/>
      <c r="BV55" s="114"/>
      <c r="BW55" s="114"/>
      <c r="BX55" s="114"/>
      <c r="BY55" s="114"/>
      <c r="BZ55" s="114"/>
      <c r="CA55" s="114"/>
      <c r="CB55" s="114"/>
      <c r="CC55" s="114"/>
      <c r="CD55" s="114"/>
      <c r="CE55" s="114"/>
      <c r="CF55" s="114"/>
      <c r="CG55" s="114"/>
    </row>
    <row r="56" spans="1:85" hidden="1" outlineLevel="1">
      <c r="A56" s="114" t="s">
        <v>116</v>
      </c>
      <c r="B56" s="245" t="s">
        <v>97</v>
      </c>
      <c r="C56" s="114"/>
      <c r="D56" s="1088">
        <f>(S56/S49-1)*100</f>
        <v>3.0133289842394717</v>
      </c>
      <c r="E56" s="114"/>
      <c r="F56" s="1046">
        <v>3</v>
      </c>
      <c r="G56" s="114"/>
      <c r="H56" s="1144">
        <f>D56-F56</f>
        <v>1.3328984239471708E-2</v>
      </c>
      <c r="I56" s="114"/>
      <c r="J56" s="1047">
        <f>353+3+1</f>
        <v>357</v>
      </c>
      <c r="K56" s="1063">
        <f>J56-J55</f>
        <v>0</v>
      </c>
      <c r="L56" s="1122">
        <f>AVERAGE(J56,J55)</f>
        <v>357</v>
      </c>
      <c r="M56" s="1122">
        <f>AVERAGE(J56,J55)</f>
        <v>357</v>
      </c>
      <c r="N56" s="1123">
        <f>(M56/L49-1)*100</f>
        <v>-0.97087378640776656</v>
      </c>
      <c r="O56" s="246"/>
      <c r="P56" s="1101" t="s">
        <v>251</v>
      </c>
      <c r="Q56" s="310"/>
      <c r="R56" s="114"/>
      <c r="S56" s="1089">
        <f>AY56-AS56</f>
        <v>347.39699999999999</v>
      </c>
      <c r="T56" s="114"/>
      <c r="U56" s="1131">
        <f>S56/L56</f>
        <v>0.97310084033613442</v>
      </c>
      <c r="V56" s="114"/>
      <c r="W56" s="1126">
        <f>(U56/U49-1)*100</f>
        <v>4.0232635821241702</v>
      </c>
      <c r="X56" s="246"/>
      <c r="Y56" s="114"/>
      <c r="Z56" s="1047">
        <v>3167</v>
      </c>
      <c r="AA56" s="1057"/>
      <c r="AB56" s="1127">
        <f>AVERAGE(Z56,Z55)</f>
        <v>3164.5</v>
      </c>
      <c r="AC56" s="114"/>
      <c r="AD56" s="1128">
        <f>(Z56/Z49-1)*100</f>
        <v>-0.93837973099780703</v>
      </c>
      <c r="AE56" s="246"/>
      <c r="AF56" s="1124">
        <f>+H56/AD56*100</f>
        <v>-1.4204254204530402</v>
      </c>
      <c r="AG56" s="310"/>
      <c r="AH56" s="114"/>
      <c r="AI56" s="1132">
        <f>+S56</f>
        <v>347.39699999999999</v>
      </c>
      <c r="AJ56" s="114"/>
      <c r="AK56" s="1106">
        <f>AI56/AB56*1000</f>
        <v>109.77942802970453</v>
      </c>
      <c r="AL56" s="114"/>
      <c r="AM56" s="1126">
        <f>(AK56/AK49-1)*100</f>
        <v>3.6318321445177215</v>
      </c>
      <c r="AN56" s="246"/>
      <c r="AO56" s="246"/>
      <c r="AP56" s="246"/>
      <c r="AQ56" s="246"/>
      <c r="AR56" s="246"/>
      <c r="AS56" s="1100">
        <f>qtrSales!$AS$112*(AV56/100)</f>
        <v>36.190000000000005</v>
      </c>
      <c r="AT56" s="114" t="s">
        <v>718</v>
      </c>
      <c r="AU56" s="1100">
        <f>+AU55</f>
        <v>45.708582834331324</v>
      </c>
      <c r="AV56" s="1101">
        <v>55</v>
      </c>
      <c r="AW56" s="114" t="s">
        <v>718</v>
      </c>
      <c r="AX56" s="1075"/>
      <c r="AY56" s="1102">
        <v>383.58699999999999</v>
      </c>
      <c r="AZ56" s="1103">
        <f>AY56/AY49-1</f>
        <v>5.4143479395962979E-2</v>
      </c>
      <c r="BA56" s="114"/>
      <c r="BB56" s="1143"/>
      <c r="BC56" s="1143"/>
      <c r="BD56" s="1143"/>
      <c r="BE56" s="114"/>
      <c r="BF56" s="114"/>
      <c r="BG56" s="114"/>
      <c r="BH56" s="114"/>
      <c r="BI56" s="114"/>
      <c r="BJ56" s="114"/>
      <c r="BK56" s="114"/>
      <c r="BL56" s="114"/>
      <c r="BM56" s="114"/>
      <c r="BN56" s="114"/>
      <c r="BO56" s="114"/>
      <c r="BP56" s="114"/>
      <c r="BQ56" s="114"/>
      <c r="BR56" s="114"/>
      <c r="BS56" s="114"/>
      <c r="BT56" s="114"/>
      <c r="BU56" s="114"/>
      <c r="BV56" s="114"/>
      <c r="BW56" s="114"/>
      <c r="BX56" s="114"/>
      <c r="BY56" s="114"/>
      <c r="BZ56" s="114"/>
      <c r="CA56" s="114"/>
      <c r="CB56" s="114"/>
      <c r="CC56" s="114"/>
      <c r="CD56" s="114"/>
      <c r="CE56" s="114"/>
      <c r="CF56" s="114"/>
      <c r="CG56" s="114"/>
    </row>
    <row r="57" spans="1:85" hidden="1" outlineLevel="1">
      <c r="A57" s="114" t="s">
        <v>117</v>
      </c>
      <c r="B57" s="245" t="s">
        <v>99</v>
      </c>
      <c r="C57" s="114"/>
      <c r="D57" s="1088">
        <f>(S57/S50-1)*100</f>
        <v>-8.2642999064369231</v>
      </c>
      <c r="E57" s="114"/>
      <c r="F57" s="1046">
        <v>-8</v>
      </c>
      <c r="G57" s="114"/>
      <c r="H57" s="1144">
        <f>D57-F57</f>
        <v>-0.26429990643692314</v>
      </c>
      <c r="I57" s="114"/>
      <c r="J57" s="1047">
        <f>353+3+1</f>
        <v>357</v>
      </c>
      <c r="K57" s="1063">
        <f>J57-J56</f>
        <v>0</v>
      </c>
      <c r="L57" s="1122">
        <f>AVERAGE(J57,J56)</f>
        <v>357</v>
      </c>
      <c r="M57" s="114"/>
      <c r="N57" s="1123">
        <f>(L57/L50-1)*100</f>
        <v>-1.3812154696132617</v>
      </c>
      <c r="O57" s="246"/>
      <c r="P57" s="1101" t="s">
        <v>251</v>
      </c>
      <c r="Q57" s="310"/>
      <c r="R57" s="114"/>
      <c r="S57" s="1089">
        <f>AY57-AS57</f>
        <v>349.04699999999997</v>
      </c>
      <c r="T57" s="114"/>
      <c r="U57" s="1131">
        <f>S57/L57</f>
        <v>0.9777226890756302</v>
      </c>
      <c r="V57" s="114"/>
      <c r="W57" s="1126">
        <f>(U57/U50-1)*100</f>
        <v>-6.9794861796363179</v>
      </c>
      <c r="X57" s="246"/>
      <c r="Y57" s="114"/>
      <c r="Z57" s="1047">
        <v>3164</v>
      </c>
      <c r="AA57" s="1057"/>
      <c r="AB57" s="1127">
        <f>AVERAGE(Z57,Z56)</f>
        <v>3165.5</v>
      </c>
      <c r="AC57" s="114"/>
      <c r="AD57" s="1128">
        <f>(Z57/Z50-1)*100</f>
        <v>-1.0322177040975933</v>
      </c>
      <c r="AE57" s="246"/>
      <c r="AF57" s="1124">
        <f>+H57/AD57*100</f>
        <v>25.605054572086118</v>
      </c>
      <c r="AG57" s="310"/>
      <c r="AH57" s="114"/>
      <c r="AI57" s="1132">
        <f>+S57</f>
        <v>349.04699999999997</v>
      </c>
      <c r="AJ57" s="114"/>
      <c r="AK57" s="1106">
        <f>AI57/AB57*1000</f>
        <v>110.26599273416521</v>
      </c>
      <c r="AL57" s="114"/>
      <c r="AM57" s="1126">
        <f>(AK57/AK50-1)*100</f>
        <v>-7.3514347815128334</v>
      </c>
      <c r="AN57" s="246"/>
      <c r="AO57" s="246"/>
      <c r="AP57" s="246"/>
      <c r="AQ57" s="246"/>
      <c r="AR57" s="246"/>
      <c r="AS57" s="1100">
        <f>qtrSales!$AS$113*(AV57/100)</f>
        <v>36.74</v>
      </c>
      <c r="AT57" s="114" t="s">
        <v>718</v>
      </c>
      <c r="AU57" s="1100">
        <f>(AS57/AS50-1)*100</f>
        <v>-5.2482269503546171</v>
      </c>
      <c r="AV57" s="1101">
        <v>55</v>
      </c>
      <c r="AW57" s="114" t="s">
        <v>718</v>
      </c>
      <c r="AX57" s="1075"/>
      <c r="AY57" s="1102">
        <v>385.78699999999998</v>
      </c>
      <c r="AZ57" s="1103">
        <f>AY57/AY50-1</f>
        <v>-7.98536493451667E-2</v>
      </c>
      <c r="BA57" s="114"/>
      <c r="BB57" s="1143"/>
      <c r="BC57" s="1143"/>
      <c r="BD57" s="1143"/>
      <c r="BE57" s="114"/>
      <c r="BF57" s="114"/>
      <c r="BG57" s="114"/>
      <c r="BH57" s="114"/>
      <c r="BI57" s="114"/>
      <c r="BJ57" s="114"/>
      <c r="BK57" s="114"/>
      <c r="BL57" s="114"/>
      <c r="BM57" s="114"/>
      <c r="BN57" s="114"/>
      <c r="BO57" s="114"/>
      <c r="BP57" s="114"/>
      <c r="BQ57" s="114"/>
      <c r="BR57" s="114"/>
      <c r="BS57" s="114"/>
      <c r="BT57" s="114"/>
      <c r="BU57" s="114"/>
      <c r="BV57" s="114"/>
      <c r="BW57" s="114"/>
      <c r="BX57" s="114"/>
      <c r="BY57" s="114"/>
      <c r="BZ57" s="114"/>
      <c r="CA57" s="114"/>
      <c r="CB57" s="114"/>
      <c r="CC57" s="114"/>
      <c r="CD57" s="114"/>
      <c r="CE57" s="114"/>
      <c r="CF57" s="114"/>
      <c r="CG57" s="114"/>
    </row>
    <row r="58" spans="1:85" hidden="1" outlineLevel="1">
      <c r="A58" s="114" t="s">
        <v>118</v>
      </c>
      <c r="B58" s="245" t="s">
        <v>100</v>
      </c>
      <c r="C58" s="114"/>
      <c r="D58" s="1061">
        <f>(S58/S51-1)*100</f>
        <v>-24.369410199279329</v>
      </c>
      <c r="E58" s="114"/>
      <c r="F58" s="1104">
        <v>-23</v>
      </c>
      <c r="G58" s="114"/>
      <c r="H58" s="1104">
        <f>D58-F58</f>
        <v>-1.3694101992793293</v>
      </c>
      <c r="I58" s="114"/>
      <c r="J58" s="1063">
        <f>squft!BW14</f>
        <v>356</v>
      </c>
      <c r="K58" s="1063">
        <f>J58-J57</f>
        <v>-1</v>
      </c>
      <c r="L58" s="1108">
        <f>AVERAGE(J58,J57)</f>
        <v>356.5</v>
      </c>
      <c r="M58" s="114"/>
      <c r="N58" s="1107">
        <f>(L58/L51-1)*100</f>
        <v>-1.1095700416088761</v>
      </c>
      <c r="O58" s="246"/>
      <c r="P58" s="1137" t="s">
        <v>251</v>
      </c>
      <c r="Q58" s="310"/>
      <c r="R58" s="114"/>
      <c r="S58" s="1092">
        <f>AY58-AS58</f>
        <v>338.76</v>
      </c>
      <c r="T58" s="114"/>
      <c r="U58" s="1133">
        <f>S58/L58</f>
        <v>0.95023842917251045</v>
      </c>
      <c r="V58" s="114"/>
      <c r="W58" s="1134">
        <f>(U58/U51-1)*100</f>
        <v>-23.520820131389051</v>
      </c>
      <c r="X58" s="246"/>
      <c r="Y58" s="114"/>
      <c r="Z58" s="1063">
        <f>squft!BY14</f>
        <v>3164</v>
      </c>
      <c r="AA58" s="1057"/>
      <c r="AB58" s="1110">
        <f>AVERAGE(Z58,Z57)</f>
        <v>3164</v>
      </c>
      <c r="AC58" s="114"/>
      <c r="AD58" s="1107">
        <f>(Z58/Z51-1)*100</f>
        <v>-9.4726870855699197E-2</v>
      </c>
      <c r="AE58" s="246"/>
      <c r="AF58" s="1108">
        <f>+H58/AD58*100</f>
        <v>1445.6407003725485</v>
      </c>
      <c r="AG58" s="310"/>
      <c r="AH58" s="114"/>
      <c r="AI58" s="1111">
        <f>+S58</f>
        <v>338.76</v>
      </c>
      <c r="AJ58" s="114"/>
      <c r="AK58" s="1135">
        <f>AI58/AB58*1000</f>
        <v>107.06700379266751</v>
      </c>
      <c r="AL58" s="114"/>
      <c r="AM58" s="1134">
        <f>(AK58/AK51-1)*100</f>
        <v>-23.939147678289132</v>
      </c>
      <c r="AN58" s="246"/>
      <c r="AO58" s="246"/>
      <c r="AP58" s="246"/>
      <c r="AQ58" s="246"/>
      <c r="AR58" s="246"/>
      <c r="AS58" s="1136">
        <f>qtrSales!$AS$114*(AV58/100)</f>
        <v>65.639999999999986</v>
      </c>
      <c r="AT58" s="1042" t="s">
        <v>718</v>
      </c>
      <c r="AU58" s="1136">
        <f>(AS58/AS51-1)*100</f>
        <v>-11.916264090177142</v>
      </c>
      <c r="AV58" s="1137">
        <v>60</v>
      </c>
      <c r="AW58" s="1042" t="s">
        <v>718</v>
      </c>
      <c r="AX58" s="1075"/>
      <c r="AY58" s="1145">
        <v>404.4</v>
      </c>
      <c r="AZ58" s="1138">
        <f>AY58/AY51-1</f>
        <v>-0.22593093098841188</v>
      </c>
      <c r="BA58" s="114"/>
      <c r="BB58" s="1143"/>
      <c r="BC58" s="1143"/>
      <c r="BD58" s="1143"/>
      <c r="BE58" s="114"/>
      <c r="BF58" s="114"/>
      <c r="BG58" s="114"/>
      <c r="BH58" s="114"/>
      <c r="BI58" s="114"/>
      <c r="BJ58" s="114"/>
      <c r="BK58" s="114"/>
      <c r="BL58" s="114"/>
      <c r="BM58" s="114"/>
      <c r="BN58" s="114"/>
      <c r="BO58" s="114"/>
      <c r="BP58" s="114"/>
      <c r="BQ58" s="114"/>
      <c r="BR58" s="114"/>
      <c r="BS58" s="114"/>
      <c r="BT58" s="114"/>
      <c r="BU58" s="114"/>
      <c r="BV58" s="114"/>
      <c r="BW58" s="114"/>
      <c r="BX58" s="114"/>
      <c r="BY58" s="114"/>
      <c r="BZ58" s="114"/>
      <c r="CA58" s="114"/>
      <c r="CB58" s="114"/>
      <c r="CC58" s="114"/>
      <c r="CD58" s="114"/>
      <c r="CE58" s="114"/>
      <c r="CF58" s="114"/>
      <c r="CG58" s="114"/>
    </row>
    <row r="59" spans="1:85" hidden="1" outlineLevel="1">
      <c r="A59" s="114"/>
      <c r="B59" s="245" t="s">
        <v>119</v>
      </c>
      <c r="C59" s="114"/>
      <c r="D59" s="1123">
        <f>(S59/S52-1)*100</f>
        <v>-8.2473699536080645</v>
      </c>
      <c r="E59" s="114"/>
      <c r="F59" s="1139">
        <v>-8</v>
      </c>
      <c r="G59" s="114"/>
      <c r="H59" s="1123">
        <f>D59-F59</f>
        <v>-0.24736995360806446</v>
      </c>
      <c r="I59" s="114"/>
      <c r="J59" s="114"/>
      <c r="K59" s="114"/>
      <c r="L59" s="1122">
        <f>AVERAGE(L55:L58)</f>
        <v>357.125</v>
      </c>
      <c r="M59" s="114"/>
      <c r="N59" s="1123">
        <f>(L59/L52-1)*100</f>
        <v>-0.97053726169844534</v>
      </c>
      <c r="O59" s="246"/>
      <c r="P59" s="1049" t="s">
        <v>251</v>
      </c>
      <c r="Q59" s="310"/>
      <c r="R59" s="114"/>
      <c r="S59" s="1095">
        <f>SUM(S55:S58)</f>
        <v>1345.4780000000001</v>
      </c>
      <c r="T59" s="114"/>
      <c r="U59" s="1125">
        <f>SUM(U55:U58)</f>
        <v>3.7677491094222639</v>
      </c>
      <c r="V59" s="114"/>
      <c r="W59" s="1126">
        <f>(U59/U52-1)*100</f>
        <v>-7.3280353921051926</v>
      </c>
      <c r="X59" s="246"/>
      <c r="Y59" s="114"/>
      <c r="Z59" s="114"/>
      <c r="AA59" s="114"/>
      <c r="AB59" s="1127">
        <f>AVERAGE(AB55:AB58)</f>
        <v>3164.625</v>
      </c>
      <c r="AC59" s="114"/>
      <c r="AD59" s="1128">
        <f>(Z58/Z51-1)*100</f>
        <v>-9.4726870855699197E-2</v>
      </c>
      <c r="AE59" s="246"/>
      <c r="AF59" s="1124">
        <f>+H59/AD59*100</f>
        <v>261.14021435891391</v>
      </c>
      <c r="AG59" s="310"/>
      <c r="AH59" s="114"/>
      <c r="AI59" s="1129">
        <f>SUM(AI55:AI58)</f>
        <v>1345.4780000000001</v>
      </c>
      <c r="AJ59" s="114"/>
      <c r="AK59" s="1097">
        <f>SUM(AK55:AK58)</f>
        <v>425.16077342681689</v>
      </c>
      <c r="AL59" s="114"/>
      <c r="AM59" s="1126">
        <f>(AK59/AK52-1)*100</f>
        <v>-7.6901538884592169</v>
      </c>
      <c r="AN59" s="246"/>
      <c r="AO59" s="246"/>
      <c r="AP59" s="246"/>
      <c r="AQ59" s="246"/>
      <c r="AR59" s="246"/>
      <c r="AS59" s="1100">
        <f>SUM(AS55:AS58)</f>
        <v>186.02</v>
      </c>
      <c r="AT59" s="114" t="s">
        <v>718</v>
      </c>
      <c r="AU59" s="1100">
        <f>(AS59/AS52-1)*100</f>
        <v>7.8314300620254018</v>
      </c>
      <c r="AV59" s="1124">
        <f>(AS59/qtrSales!AS115)*100</f>
        <v>59.053968253968257</v>
      </c>
      <c r="AW59" s="114" t="s">
        <v>718</v>
      </c>
      <c r="AX59" s="1075"/>
      <c r="AY59" s="1140">
        <v>1531.48</v>
      </c>
      <c r="AZ59" s="1103">
        <f>AY59/AY52-1</f>
        <v>-6.5560497129527939E-2</v>
      </c>
      <c r="BA59" s="114"/>
      <c r="BB59" s="1143"/>
      <c r="BC59" s="310"/>
      <c r="BD59" s="1143"/>
      <c r="BE59" s="114"/>
      <c r="BF59" s="114"/>
      <c r="BG59" s="114"/>
      <c r="BH59" s="114"/>
      <c r="BI59" s="114"/>
      <c r="BJ59" s="114"/>
      <c r="BK59" s="114"/>
      <c r="BL59" s="114"/>
      <c r="BM59" s="114"/>
      <c r="BN59" s="114"/>
      <c r="BO59" s="114"/>
      <c r="BP59" s="114"/>
      <c r="BQ59" s="114"/>
      <c r="BR59" s="114"/>
      <c r="BS59" s="114"/>
      <c r="BT59" s="114"/>
      <c r="BU59" s="114"/>
      <c r="BV59" s="114"/>
      <c r="BW59" s="114"/>
      <c r="BX59" s="114"/>
      <c r="BY59" s="114"/>
      <c r="BZ59" s="114"/>
      <c r="CA59" s="114"/>
      <c r="CB59" s="114"/>
      <c r="CC59" s="114"/>
      <c r="CD59" s="114"/>
      <c r="CE59" s="114"/>
      <c r="CF59" s="114"/>
      <c r="CG59" s="114"/>
    </row>
    <row r="60" spans="1:85" hidden="1" outlineLevel="1">
      <c r="A60" s="114"/>
      <c r="B60" s="245"/>
      <c r="C60" s="114"/>
      <c r="D60" s="1123"/>
      <c r="E60" s="114"/>
      <c r="F60" s="1139"/>
      <c r="G60" s="114"/>
      <c r="H60" s="1123"/>
      <c r="I60" s="114"/>
      <c r="J60" s="114"/>
      <c r="K60" s="114"/>
      <c r="L60" s="1122"/>
      <c r="M60" s="114"/>
      <c r="N60" s="1123"/>
      <c r="O60" s="246"/>
      <c r="P60" s="1049"/>
      <c r="Q60" s="310"/>
      <c r="R60" s="114"/>
      <c r="S60" s="1103"/>
      <c r="T60" s="114"/>
      <c r="U60" s="1125"/>
      <c r="V60" s="114"/>
      <c r="W60" s="1126"/>
      <c r="X60" s="246"/>
      <c r="Y60" s="114"/>
      <c r="Z60" s="114"/>
      <c r="AA60" s="114"/>
      <c r="AB60" s="1127"/>
      <c r="AC60" s="114"/>
      <c r="AD60" s="1128"/>
      <c r="AE60" s="246"/>
      <c r="AF60" s="1124"/>
      <c r="AG60" s="310"/>
      <c r="AH60" s="114"/>
      <c r="AI60" s="1129"/>
      <c r="AJ60" s="114"/>
      <c r="AK60" s="1097"/>
      <c r="AL60" s="114"/>
      <c r="AM60" s="1126"/>
      <c r="AN60" s="246"/>
      <c r="AO60" s="246"/>
      <c r="AP60" s="246"/>
      <c r="AQ60" s="246"/>
      <c r="AR60" s="246"/>
      <c r="AS60" s="1100"/>
      <c r="AT60" s="114"/>
      <c r="AU60" s="1100"/>
      <c r="AV60" s="1124"/>
      <c r="AW60" s="114"/>
      <c r="AX60" s="1075"/>
      <c r="AY60" s="1142"/>
      <c r="AZ60" s="1103"/>
      <c r="BA60" s="114"/>
      <c r="BB60" s="1143"/>
      <c r="BC60" s="310"/>
      <c r="BD60" s="1143"/>
      <c r="BE60" s="114"/>
      <c r="BF60" s="114"/>
      <c r="BG60" s="114"/>
      <c r="BH60" s="114"/>
      <c r="BI60" s="114"/>
      <c r="BJ60" s="114"/>
      <c r="BK60" s="114"/>
      <c r="BL60" s="114"/>
      <c r="BM60" s="114"/>
      <c r="BN60" s="114"/>
      <c r="BO60" s="114"/>
      <c r="BP60" s="114"/>
      <c r="BQ60" s="114"/>
      <c r="BR60" s="114"/>
      <c r="BS60" s="114"/>
      <c r="BT60" s="114"/>
      <c r="BU60" s="114"/>
      <c r="BV60" s="114"/>
      <c r="BW60" s="114"/>
      <c r="BX60" s="114"/>
      <c r="BY60" s="114"/>
      <c r="BZ60" s="114"/>
      <c r="CA60" s="114"/>
      <c r="CB60" s="114"/>
      <c r="CC60" s="114"/>
      <c r="CD60" s="114"/>
      <c r="CE60" s="114"/>
      <c r="CF60" s="114"/>
      <c r="CG60" s="114"/>
    </row>
    <row r="61" spans="1:85" hidden="1" outlineLevel="1">
      <c r="A61" s="1120"/>
      <c r="B61" s="1113">
        <v>2009</v>
      </c>
      <c r="C61" s="114"/>
      <c r="D61" s="246"/>
      <c r="E61" s="246"/>
      <c r="F61" s="246"/>
      <c r="G61" s="246"/>
      <c r="H61" s="246"/>
      <c r="I61" s="246"/>
      <c r="J61" s="1063"/>
      <c r="K61" s="114"/>
      <c r="L61" s="246"/>
      <c r="M61" s="114"/>
      <c r="N61" s="246"/>
      <c r="O61" s="246"/>
      <c r="P61" s="249"/>
      <c r="Q61" s="310"/>
      <c r="R61" s="114"/>
      <c r="S61" s="1103"/>
      <c r="T61" s="114"/>
      <c r="U61" s="246"/>
      <c r="V61" s="114"/>
      <c r="W61" s="114"/>
      <c r="X61" s="246"/>
      <c r="Y61" s="114"/>
      <c r="Z61" s="114"/>
      <c r="AA61" s="114"/>
      <c r="AB61" s="114"/>
      <c r="AC61" s="114"/>
      <c r="AD61" s="114"/>
      <c r="AE61" s="246"/>
      <c r="AF61" s="249"/>
      <c r="AG61" s="310"/>
      <c r="AH61" s="114"/>
      <c r="AI61" s="114"/>
      <c r="AJ61" s="114"/>
      <c r="AK61" s="246"/>
      <c r="AL61" s="114"/>
      <c r="AM61" s="246"/>
      <c r="AN61" s="246"/>
      <c r="AO61" s="246"/>
      <c r="AP61" s="246"/>
      <c r="AQ61" s="246"/>
      <c r="AR61" s="246"/>
      <c r="AS61" s="114"/>
      <c r="AT61" s="114"/>
      <c r="AU61" s="114"/>
      <c r="AV61" s="1121" t="s">
        <v>76</v>
      </c>
      <c r="AW61" s="114"/>
      <c r="AX61" s="310"/>
      <c r="AY61" s="114"/>
      <c r="AZ61" s="246"/>
      <c r="BA61" s="114"/>
      <c r="BB61" s="1146" t="s">
        <v>575</v>
      </c>
      <c r="BC61" s="310"/>
      <c r="BD61" s="310"/>
      <c r="BE61" s="114"/>
      <c r="BF61" s="114"/>
      <c r="BG61" s="114"/>
      <c r="BH61" s="114"/>
      <c r="BI61" s="114"/>
      <c r="BJ61" s="114"/>
      <c r="BK61" s="114"/>
      <c r="BL61" s="114"/>
      <c r="BM61" s="114"/>
      <c r="BN61" s="114"/>
      <c r="BO61" s="114"/>
      <c r="BP61" s="114"/>
      <c r="BQ61" s="114"/>
      <c r="BR61" s="114"/>
      <c r="BS61" s="114"/>
      <c r="BT61" s="114"/>
      <c r="BU61" s="114"/>
      <c r="BV61" s="114"/>
      <c r="BW61" s="114"/>
      <c r="BX61" s="114"/>
      <c r="BY61" s="114"/>
      <c r="BZ61" s="114"/>
      <c r="CA61" s="114"/>
      <c r="CB61" s="114"/>
      <c r="CC61" s="114"/>
      <c r="CD61" s="114"/>
      <c r="CE61" s="114"/>
      <c r="CF61" s="114"/>
      <c r="CG61" s="114"/>
    </row>
    <row r="62" spans="1:85" hidden="1" outlineLevel="1">
      <c r="A62" s="114" t="s">
        <v>115</v>
      </c>
      <c r="B62" s="245" t="s">
        <v>96</v>
      </c>
      <c r="C62" s="114"/>
      <c r="D62" s="1088">
        <f>(S62/S55-1)*100</f>
        <v>-26.495935850248497</v>
      </c>
      <c r="E62" s="246" t="s">
        <v>76</v>
      </c>
      <c r="F62" s="1046">
        <v>-26</v>
      </c>
      <c r="G62" s="246" t="s">
        <v>76</v>
      </c>
      <c r="H62" s="1045">
        <f>D62-F62</f>
        <v>-0.49593585024849673</v>
      </c>
      <c r="I62" s="246" t="s">
        <v>76</v>
      </c>
      <c r="J62" s="1047">
        <f>350+3+1</f>
        <v>354</v>
      </c>
      <c r="K62" s="1063">
        <f>J62-J58</f>
        <v>-2</v>
      </c>
      <c r="L62" s="1122">
        <f>AVERAGE(J62,J58)</f>
        <v>355</v>
      </c>
      <c r="M62" s="114"/>
      <c r="N62" s="1123">
        <f>(L62/L55-1)*100</f>
        <v>-0.8379888268156388</v>
      </c>
      <c r="O62" s="246" t="s">
        <v>76</v>
      </c>
      <c r="P62" s="1124">
        <f>H62/N62*100</f>
        <v>59.181678129654202</v>
      </c>
      <c r="Q62" s="310" t="s">
        <v>76</v>
      </c>
      <c r="R62" s="114"/>
      <c r="S62" s="1050">
        <f>AY62-AS62</f>
        <v>228.06399999999999</v>
      </c>
      <c r="T62" s="114"/>
      <c r="U62" s="1125">
        <f>S62/L62</f>
        <v>0.64243380281690143</v>
      </c>
      <c r="V62" s="114"/>
      <c r="W62" s="1126">
        <f>(U62/U55-1)*100</f>
        <v>-25.874774744757634</v>
      </c>
      <c r="X62" s="246" t="s">
        <v>76</v>
      </c>
      <c r="Y62" s="114"/>
      <c r="Z62" s="1047">
        <v>3144</v>
      </c>
      <c r="AA62" s="114"/>
      <c r="AB62" s="1127">
        <f>AVERAGE(Z62,Z58)</f>
        <v>3154</v>
      </c>
      <c r="AC62" s="114"/>
      <c r="AD62" s="1128">
        <f>(Z62/Z55-1)*100</f>
        <v>-0.56925996204933993</v>
      </c>
      <c r="AE62" s="246" t="s">
        <v>76</v>
      </c>
      <c r="AF62" s="1124">
        <f>+H62/AD62*100</f>
        <v>87.119397693651962</v>
      </c>
      <c r="AG62" s="310" t="s">
        <v>76</v>
      </c>
      <c r="AH62" s="114"/>
      <c r="AI62" s="1129">
        <f>+S62</f>
        <v>228.06399999999999</v>
      </c>
      <c r="AJ62" s="114"/>
      <c r="AK62" s="1097">
        <f>AI62/AB62*1000</f>
        <v>72.309448319594168</v>
      </c>
      <c r="AL62" s="114"/>
      <c r="AM62" s="1126">
        <f>(AK62/AK55-1)*100</f>
        <v>-26.251233036813993</v>
      </c>
      <c r="AN62" s="246" t="s">
        <v>76</v>
      </c>
      <c r="AO62" s="246"/>
      <c r="AP62" s="246"/>
      <c r="AQ62" s="246"/>
      <c r="AR62" s="246"/>
      <c r="AS62" s="1100">
        <f>qtrSales!$AS$118*(AV62/100)</f>
        <v>36.635999999999996</v>
      </c>
      <c r="AT62" s="114" t="s">
        <v>328</v>
      </c>
      <c r="AU62" s="1100">
        <f>(AS62/AS55-1)*100</f>
        <v>-22.790305584826143</v>
      </c>
      <c r="AV62" s="1101">
        <f>+AV55-0.5</f>
        <v>64.5</v>
      </c>
      <c r="AW62" s="114" t="s">
        <v>718</v>
      </c>
      <c r="AX62" s="1075"/>
      <c r="AY62" s="1130">
        <v>264.7</v>
      </c>
      <c r="AZ62" s="1103">
        <f>AY62/AY55-1</f>
        <v>-0.26004405631156979</v>
      </c>
      <c r="BA62" s="114"/>
      <c r="BB62" s="1143"/>
      <c r="BC62" s="1143"/>
      <c r="BD62" s="1143">
        <f>+BB62+BB183+BB285</f>
        <v>0</v>
      </c>
      <c r="BE62" s="114"/>
      <c r="BF62" s="114"/>
      <c r="BG62" s="114"/>
      <c r="BH62" s="114"/>
      <c r="BI62" s="114"/>
      <c r="BJ62" s="114"/>
      <c r="BK62" s="114"/>
      <c r="BL62" s="114"/>
      <c r="BM62" s="114"/>
      <c r="BN62" s="114"/>
      <c r="BO62" s="114"/>
      <c r="BP62" s="114"/>
      <c r="BQ62" s="114"/>
      <c r="BR62" s="114"/>
      <c r="BS62" s="114"/>
      <c r="BT62" s="114"/>
      <c r="BU62" s="114"/>
      <c r="BV62" s="114"/>
      <c r="BW62" s="114"/>
      <c r="BX62" s="114"/>
      <c r="BY62" s="114"/>
      <c r="BZ62" s="114"/>
      <c r="CA62" s="114"/>
      <c r="CB62" s="114"/>
      <c r="CC62" s="114"/>
      <c r="CD62" s="114"/>
      <c r="CE62" s="114"/>
      <c r="CF62" s="114"/>
      <c r="CG62" s="114"/>
    </row>
    <row r="63" spans="1:85" hidden="1" outlineLevel="1">
      <c r="A63" s="114" t="s">
        <v>116</v>
      </c>
      <c r="B63" s="245" t="s">
        <v>97</v>
      </c>
      <c r="C63" s="114"/>
      <c r="D63" s="1088">
        <f>(S63/S56-1)*100</f>
        <v>-26.393578528311991</v>
      </c>
      <c r="E63" s="114"/>
      <c r="F63" s="1046">
        <v>-27</v>
      </c>
      <c r="G63" s="114"/>
      <c r="H63" s="1045">
        <f>D63-F63</f>
        <v>0.60642147168800875</v>
      </c>
      <c r="I63" s="114"/>
      <c r="J63" s="1047">
        <f>350+3+1</f>
        <v>354</v>
      </c>
      <c r="K63" s="1063">
        <f>J63-J62</f>
        <v>0</v>
      </c>
      <c r="L63" s="1122">
        <f>AVERAGE(J63,J62)</f>
        <v>354</v>
      </c>
      <c r="M63" s="1122">
        <f>AVERAGE(J63,J62)</f>
        <v>354</v>
      </c>
      <c r="N63" s="1123">
        <f>(M63/L56-1)*100</f>
        <v>-0.84033613445377853</v>
      </c>
      <c r="O63" s="246"/>
      <c r="P63" s="1124">
        <f>H63/N63*100</f>
        <v>-72.164155130873297</v>
      </c>
      <c r="Q63" s="310"/>
      <c r="R63" s="114"/>
      <c r="S63" s="1089">
        <f>AY63-AS63</f>
        <v>255.70650000000001</v>
      </c>
      <c r="T63" s="114"/>
      <c r="U63" s="1131">
        <f>S63/L63</f>
        <v>0.72233474576271184</v>
      </c>
      <c r="V63" s="114"/>
      <c r="W63" s="1126">
        <f>(U63/U56-1)*100</f>
        <v>-25.769795295501076</v>
      </c>
      <c r="X63" s="246"/>
      <c r="Y63" s="114"/>
      <c r="Z63" s="1047">
        <v>3144</v>
      </c>
      <c r="AA63" s="1057"/>
      <c r="AB63" s="1127">
        <f>AVERAGE(Z63,Z62)</f>
        <v>3144</v>
      </c>
      <c r="AC63" s="114"/>
      <c r="AD63" s="1128">
        <f>(Z63/Z56-1)*100</f>
        <v>-0.72623934322703088</v>
      </c>
      <c r="AE63" s="246"/>
      <c r="AF63" s="1124">
        <f>+H63/AD63*100</f>
        <v>-83.501600036344257</v>
      </c>
      <c r="AG63" s="310"/>
      <c r="AH63" s="114"/>
      <c r="AI63" s="1132">
        <f>+S63</f>
        <v>255.70650000000001</v>
      </c>
      <c r="AJ63" s="114"/>
      <c r="AK63" s="1106">
        <f>AI63/AB63*1000</f>
        <v>81.33158396946564</v>
      </c>
      <c r="AL63" s="114"/>
      <c r="AM63" s="1126">
        <f>(AK63/AK56-1)*100</f>
        <v>-25.913638439199527</v>
      </c>
      <c r="AN63" s="246"/>
      <c r="AO63" s="246"/>
      <c r="AP63" s="246"/>
      <c r="AQ63" s="246"/>
      <c r="AR63" s="246"/>
      <c r="AS63" s="1100">
        <f>qtrSales!$AS$119*(AV63/100)</f>
        <v>29.593500000000002</v>
      </c>
      <c r="AT63" s="114" t="s">
        <v>718</v>
      </c>
      <c r="AU63" s="1100">
        <f>+AU62</f>
        <v>-22.790305584826143</v>
      </c>
      <c r="AV63" s="1101">
        <f>+AV56-0.5</f>
        <v>54.5</v>
      </c>
      <c r="AW63" s="114" t="s">
        <v>718</v>
      </c>
      <c r="AX63" s="1075"/>
      <c r="AY63" s="1102">
        <v>285.3</v>
      </c>
      <c r="AZ63" s="1103">
        <f>AY63/AY56-1</f>
        <v>-0.25623131128010068</v>
      </c>
      <c r="BA63" s="114"/>
      <c r="BB63" s="1143"/>
      <c r="BC63" s="1143"/>
      <c r="BD63" s="1143">
        <f>+BB63+BB184+BB286</f>
        <v>2.5</v>
      </c>
      <c r="BE63" s="114"/>
      <c r="BF63" s="114"/>
      <c r="BG63" s="114"/>
      <c r="BH63" s="114"/>
      <c r="BI63" s="114"/>
      <c r="BJ63" s="114"/>
      <c r="BK63" s="114"/>
      <c r="BL63" s="114"/>
      <c r="BM63" s="114"/>
      <c r="BN63" s="114"/>
      <c r="BO63" s="114"/>
      <c r="BP63" s="114"/>
      <c r="BQ63" s="114"/>
      <c r="BR63" s="114"/>
      <c r="BS63" s="114"/>
      <c r="BT63" s="114"/>
      <c r="BU63" s="114"/>
      <c r="BV63" s="114"/>
      <c r="BW63" s="114"/>
      <c r="BX63" s="114"/>
      <c r="BY63" s="114"/>
      <c r="BZ63" s="114"/>
      <c r="CA63" s="114"/>
      <c r="CB63" s="114"/>
      <c r="CC63" s="114"/>
      <c r="CD63" s="114"/>
      <c r="CE63" s="114"/>
      <c r="CF63" s="114"/>
      <c r="CG63" s="114"/>
    </row>
    <row r="64" spans="1:85" hidden="1" outlineLevel="1">
      <c r="A64" s="114" t="s">
        <v>117</v>
      </c>
      <c r="B64" s="245" t="s">
        <v>99</v>
      </c>
      <c r="C64" s="114"/>
      <c r="D64" s="1088">
        <f>(S64/S57-1)*100</f>
        <v>-18.264254766072561</v>
      </c>
      <c r="E64" s="114"/>
      <c r="F64" s="1046">
        <v>-18</v>
      </c>
      <c r="G64" s="114"/>
      <c r="H64" s="1045">
        <f>D64-F64</f>
        <v>-0.26425476607256115</v>
      </c>
      <c r="I64" s="114"/>
      <c r="J64" s="1047">
        <f>347+3+1+1</f>
        <v>352</v>
      </c>
      <c r="K64" s="1063">
        <f>J64-J63</f>
        <v>-2</v>
      </c>
      <c r="L64" s="1122">
        <f>AVERAGE(J64,J63)</f>
        <v>353</v>
      </c>
      <c r="M64" s="114"/>
      <c r="N64" s="1123">
        <f>(L64/L57-1)*100</f>
        <v>-1.1204481792717047</v>
      </c>
      <c r="O64" s="246"/>
      <c r="P64" s="1124">
        <f>H64/N64*100</f>
        <v>23.584737871976166</v>
      </c>
      <c r="Q64" s="310"/>
      <c r="R64" s="114"/>
      <c r="S64" s="1089">
        <f>AY64-AS64</f>
        <v>285.29616666666669</v>
      </c>
      <c r="T64" s="114"/>
      <c r="U64" s="1131">
        <f>S64/L64</f>
        <v>0.8082044381491974</v>
      </c>
      <c r="V64" s="114"/>
      <c r="W64" s="1126">
        <f>(U64/U57-1)*100</f>
        <v>-17.338070684101716</v>
      </c>
      <c r="X64" s="246"/>
      <c r="Y64" s="114"/>
      <c r="Z64" s="1047">
        <v>3137</v>
      </c>
      <c r="AA64" s="1057"/>
      <c r="AB64" s="1127">
        <f>AVERAGE(Z64,Z63)</f>
        <v>3140.5</v>
      </c>
      <c r="AC64" s="114"/>
      <c r="AD64" s="1128">
        <f>(Z64/Z57-1)*100</f>
        <v>-0.85335018963337284</v>
      </c>
      <c r="AE64" s="246"/>
      <c r="AF64" s="1124">
        <f>+H64/AD64*100</f>
        <v>30.966743698280968</v>
      </c>
      <c r="AG64" s="310"/>
      <c r="AH64" s="114"/>
      <c r="AI64" s="1132">
        <f>+S64</f>
        <v>285.29616666666669</v>
      </c>
      <c r="AJ64" s="114"/>
      <c r="AK64" s="1106">
        <f>AI64/AB64*1000</f>
        <v>90.844186169930481</v>
      </c>
      <c r="AL64" s="114"/>
      <c r="AM64" s="1126">
        <f>(AK64/AK57-1)*100</f>
        <v>-17.613596071327088</v>
      </c>
      <c r="AN64" s="246"/>
      <c r="AO64" s="246"/>
      <c r="AP64" s="246"/>
      <c r="AQ64" s="246"/>
      <c r="AR64" s="246"/>
      <c r="AS64" s="1100">
        <f>qtrSales!$AS$120*(AV64/100)</f>
        <v>39.00383333333334</v>
      </c>
      <c r="AT64" s="114" t="s">
        <v>718</v>
      </c>
      <c r="AU64" s="1100">
        <f>(AS64/AS57-1)*100</f>
        <v>6.1617673743422419</v>
      </c>
      <c r="AV64" s="1101">
        <f>+AV57-0.5</f>
        <v>54.5</v>
      </c>
      <c r="AW64" s="114" t="s">
        <v>718</v>
      </c>
      <c r="AX64" s="1075"/>
      <c r="AY64" s="1102">
        <v>324.3</v>
      </c>
      <c r="AZ64" s="1103">
        <f>AY64/AY57-1</f>
        <v>-0.1593806945283277</v>
      </c>
      <c r="BA64" s="114"/>
      <c r="BB64" s="1143"/>
      <c r="BC64" s="1143"/>
      <c r="BD64" s="1143">
        <f>+BB64+BB185+BB287</f>
        <v>14.978289265014153</v>
      </c>
      <c r="BE64" s="114"/>
      <c r="BF64" s="114"/>
      <c r="BG64" s="246" t="s">
        <v>317</v>
      </c>
      <c r="BH64" s="246" t="s">
        <v>319</v>
      </c>
      <c r="BI64" s="114"/>
      <c r="BJ64" s="114"/>
      <c r="BK64" s="114"/>
      <c r="BL64" s="114"/>
      <c r="BM64" s="114"/>
      <c r="BN64" s="114"/>
      <c r="BO64" s="114"/>
      <c r="BP64" s="114"/>
      <c r="BQ64" s="114"/>
      <c r="BR64" s="114"/>
      <c r="BS64" s="114"/>
      <c r="BT64" s="114"/>
      <c r="BU64" s="114"/>
      <c r="BV64" s="114"/>
      <c r="BW64" s="114"/>
      <c r="BX64" s="114"/>
      <c r="BY64" s="114"/>
      <c r="BZ64" s="114"/>
      <c r="CA64" s="114"/>
      <c r="CB64" s="114"/>
      <c r="CC64" s="114"/>
      <c r="CD64" s="114"/>
      <c r="CE64" s="114"/>
      <c r="CF64" s="114"/>
      <c r="CG64" s="114"/>
    </row>
    <row r="65" spans="1:85" hidden="1" outlineLevel="1">
      <c r="A65" s="114" t="s">
        <v>118</v>
      </c>
      <c r="B65" s="245" t="s">
        <v>100</v>
      </c>
      <c r="C65" s="114"/>
      <c r="D65" s="1088">
        <f>(S65/S58-1)*100</f>
        <v>-1.3823454166174587</v>
      </c>
      <c r="E65" s="114"/>
      <c r="F65" s="1104">
        <v>-8</v>
      </c>
      <c r="G65" s="114"/>
      <c r="H65" s="1061">
        <f>D65-F65</f>
        <v>6.6176545833825413</v>
      </c>
      <c r="I65" s="114"/>
      <c r="J65" s="1127">
        <f>squft!$CA$14</f>
        <v>346</v>
      </c>
      <c r="K65" s="1063">
        <f>J65-J64</f>
        <v>-6</v>
      </c>
      <c r="L65" s="1108">
        <f>AVERAGE(J65,J64)</f>
        <v>349</v>
      </c>
      <c r="M65" s="114"/>
      <c r="N65" s="1107">
        <f>(L65/L58-1)*100</f>
        <v>-2.1037868162692819</v>
      </c>
      <c r="O65" s="246"/>
      <c r="P65" s="1108">
        <f>H65/N65*100</f>
        <v>-314.55918119678387</v>
      </c>
      <c r="Q65" s="310"/>
      <c r="R65" s="114"/>
      <c r="S65" s="1092">
        <f>AY65-AS65</f>
        <v>334.0771666666667</v>
      </c>
      <c r="T65" s="114"/>
      <c r="U65" s="1133">
        <f>S65/L65</f>
        <v>0.95724116523400204</v>
      </c>
      <c r="V65" s="114"/>
      <c r="W65" s="1134">
        <f>(U65/U58-1)*100</f>
        <v>0.73694515465867472</v>
      </c>
      <c r="X65" s="246"/>
      <c r="Y65" s="114"/>
      <c r="Z65" s="1063">
        <f>squft!$CC$14</f>
        <v>3109.8</v>
      </c>
      <c r="AA65" s="1057"/>
      <c r="AB65" s="1110">
        <f>AVERAGE(Z65,Z64)</f>
        <v>3123.4</v>
      </c>
      <c r="AC65" s="114"/>
      <c r="AD65" s="1107">
        <f>(Z65/Z58-1)*100</f>
        <v>-1.7130214917825515</v>
      </c>
      <c r="AE65" s="246"/>
      <c r="AF65" s="1108">
        <f>+H65/AD65*100</f>
        <v>-386.31474357605885</v>
      </c>
      <c r="AG65" s="310"/>
      <c r="AH65" s="114"/>
      <c r="AI65" s="1111">
        <f>+S65</f>
        <v>334.0771666666667</v>
      </c>
      <c r="AJ65" s="114"/>
      <c r="AK65" s="1135">
        <f>AI65/AB65*1000</f>
        <v>106.95945657509979</v>
      </c>
      <c r="AL65" s="114"/>
      <c r="AM65" s="1134">
        <f>(AK65/AK58-1)*100</f>
        <v>-0.10044851705757196</v>
      </c>
      <c r="AN65" s="246"/>
      <c r="AO65" s="246"/>
      <c r="AP65" s="246"/>
      <c r="AQ65" s="246"/>
      <c r="AR65" s="246"/>
      <c r="AS65" s="1136">
        <f>qtrSales!$AS$121*(AV65/100)</f>
        <v>63.92283333333333</v>
      </c>
      <c r="AT65" s="1042" t="s">
        <v>718</v>
      </c>
      <c r="AU65" s="1136">
        <f>(AS65/AS58-1)*100</f>
        <v>-2.6160369693276286</v>
      </c>
      <c r="AV65" s="1137">
        <f>+AV58-0.5</f>
        <v>59.5</v>
      </c>
      <c r="AW65" s="1042" t="s">
        <v>718</v>
      </c>
      <c r="AX65" s="1075"/>
      <c r="AY65" s="1145">
        <v>398</v>
      </c>
      <c r="AZ65" s="1138">
        <f>AY65/AY58-1</f>
        <v>-1.5825914935707175E-2</v>
      </c>
      <c r="BA65" s="114"/>
      <c r="BB65" s="1147">
        <f>BI65</f>
        <v>26.116289572874159</v>
      </c>
      <c r="BC65" s="1143" t="s">
        <v>572</v>
      </c>
      <c r="BD65" s="1143">
        <f>+BB65+BB186+BB288</f>
        <v>48.195606287711755</v>
      </c>
      <c r="BE65" s="114"/>
      <c r="BF65" s="114"/>
      <c r="BG65" s="1148">
        <v>10</v>
      </c>
      <c r="BH65" s="1149">
        <f>BH73*BI7</f>
        <v>16.116289572874159</v>
      </c>
      <c r="BI65" s="1150">
        <f>SUM(BG65:BH65)</f>
        <v>26.116289572874159</v>
      </c>
      <c r="BJ65" s="114"/>
      <c r="BK65" s="114"/>
      <c r="BL65" s="114"/>
      <c r="BM65" s="114"/>
      <c r="BN65" s="114"/>
      <c r="BO65" s="114"/>
      <c r="BP65" s="114"/>
      <c r="BQ65" s="114"/>
      <c r="BR65" s="114"/>
      <c r="BS65" s="114"/>
      <c r="BT65" s="114"/>
      <c r="BU65" s="114"/>
      <c r="BV65" s="114"/>
      <c r="BW65" s="114"/>
      <c r="BX65" s="114"/>
      <c r="BY65" s="114"/>
      <c r="BZ65" s="114"/>
      <c r="CA65" s="114"/>
      <c r="CB65" s="114"/>
      <c r="CC65" s="114"/>
      <c r="CD65" s="114"/>
      <c r="CE65" s="114"/>
      <c r="CF65" s="114"/>
      <c r="CG65" s="114"/>
    </row>
    <row r="66" spans="1:85" hidden="1" outlineLevel="1">
      <c r="A66" s="114"/>
      <c r="B66" s="245" t="s">
        <v>119</v>
      </c>
      <c r="C66" s="114"/>
      <c r="D66" s="1123">
        <f>(S66/S59-1)*100</f>
        <v>-18.011009222496899</v>
      </c>
      <c r="E66" s="114"/>
      <c r="F66" s="1139">
        <v>-19</v>
      </c>
      <c r="G66" s="114"/>
      <c r="H66" s="1123">
        <f>D66-F66</f>
        <v>0.98899077750310127</v>
      </c>
      <c r="I66" s="114"/>
      <c r="J66" s="114"/>
      <c r="K66" s="114"/>
      <c r="L66" s="1122">
        <f>AVERAGE(L62:L65)</f>
        <v>352.75</v>
      </c>
      <c r="M66" s="114"/>
      <c r="N66" s="1123">
        <f>(L66/L59-1)*100</f>
        <v>-1.2250612530626537</v>
      </c>
      <c r="O66" s="246"/>
      <c r="P66" s="1049" t="s">
        <v>251</v>
      </c>
      <c r="Q66" s="310"/>
      <c r="R66" s="114"/>
      <c r="S66" s="1095">
        <f>SUM(S62:S65)</f>
        <v>1103.1438333333333</v>
      </c>
      <c r="T66" s="114"/>
      <c r="U66" s="1125">
        <f>SUM(U62:U65)</f>
        <v>3.1302141519628126</v>
      </c>
      <c r="V66" s="114"/>
      <c r="W66" s="1126">
        <f>(U66/U59-1)*100</f>
        <v>-16.920844221424524</v>
      </c>
      <c r="X66" s="246"/>
      <c r="Y66" s="114"/>
      <c r="Z66" s="114"/>
      <c r="AA66" s="114"/>
      <c r="AB66" s="1127">
        <f>AVERAGE(AB62:AB65)</f>
        <v>3140.4749999999999</v>
      </c>
      <c r="AC66" s="114"/>
      <c r="AD66" s="1128">
        <f>(Z65/Z58-1)*100</f>
        <v>-1.7130214917825515</v>
      </c>
      <c r="AE66" s="246"/>
      <c r="AF66" s="1124">
        <f>+H66/AD66*100</f>
        <v>-57.73370516641728</v>
      </c>
      <c r="AG66" s="310"/>
      <c r="AH66" s="114"/>
      <c r="AI66" s="1129">
        <f>SUM(AI62:AI65)</f>
        <v>1103.1438333333333</v>
      </c>
      <c r="AJ66" s="114"/>
      <c r="AK66" s="1097">
        <f>SUM(AK62:AK65)</f>
        <v>351.4446750340901</v>
      </c>
      <c r="AL66" s="114"/>
      <c r="AM66" s="1126">
        <f>(AK66/AK59-1)*100</f>
        <v>-17.338405375117606</v>
      </c>
      <c r="AN66" s="246"/>
      <c r="AO66" s="246"/>
      <c r="AP66" s="246"/>
      <c r="AQ66" s="246"/>
      <c r="AR66" s="246"/>
      <c r="AS66" s="1100">
        <f>SUM(AS62:AS65)</f>
        <v>169.15616666666668</v>
      </c>
      <c r="AT66" s="114" t="s">
        <v>718</v>
      </c>
      <c r="AU66" s="1100">
        <f>(AS66/AS59-1)*100</f>
        <v>-9.0656022649894261</v>
      </c>
      <c r="AV66" s="1124">
        <f>(AS66/qtrSales!AS122)*100</f>
        <v>58.309605883028837</v>
      </c>
      <c r="AW66" s="114" t="s">
        <v>718</v>
      </c>
      <c r="AX66" s="1075"/>
      <c r="AY66" s="1142">
        <f>SUM(AY62:AY65)</f>
        <v>1272.3</v>
      </c>
      <c r="AZ66" s="1103">
        <f>AY66/AY59-1</f>
        <v>-0.16923498837725603</v>
      </c>
      <c r="BA66" s="114"/>
      <c r="BB66" s="1143">
        <f>SUM(BB62:BB65)</f>
        <v>26.116289572874159</v>
      </c>
      <c r="BC66" s="310"/>
      <c r="BD66" s="1143"/>
      <c r="BE66" s="114"/>
      <c r="BF66" s="114"/>
      <c r="BG66" s="114"/>
      <c r="BH66" s="114"/>
      <c r="BI66" s="246"/>
      <c r="BJ66" s="114"/>
      <c r="BK66" s="114"/>
      <c r="BL66" s="114"/>
      <c r="BM66" s="114"/>
      <c r="BN66" s="114"/>
      <c r="BO66" s="114"/>
      <c r="BP66" s="114"/>
      <c r="BQ66" s="114"/>
      <c r="BR66" s="114"/>
      <c r="BS66" s="114"/>
      <c r="BT66" s="114"/>
      <c r="BU66" s="114"/>
      <c r="BV66" s="114"/>
      <c r="BW66" s="114"/>
      <c r="BX66" s="114"/>
      <c r="BY66" s="114"/>
      <c r="BZ66" s="114"/>
      <c r="CA66" s="114"/>
      <c r="CB66" s="114"/>
      <c r="CC66" s="114"/>
      <c r="CD66" s="114"/>
      <c r="CE66" s="114"/>
      <c r="CF66" s="114"/>
      <c r="CG66" s="114"/>
    </row>
    <row r="67" spans="1:85" hidden="1" outlineLevel="1">
      <c r="A67" s="114"/>
      <c r="B67" s="245"/>
      <c r="C67" s="114"/>
      <c r="D67" s="1123"/>
      <c r="E67" s="114"/>
      <c r="F67" s="1139"/>
      <c r="G67" s="114"/>
      <c r="H67" s="1123"/>
      <c r="I67" s="114"/>
      <c r="J67" s="1151"/>
      <c r="K67" s="114"/>
      <c r="L67" s="1122"/>
      <c r="M67" s="114"/>
      <c r="N67" s="1123"/>
      <c r="O67" s="246"/>
      <c r="P67" s="1049"/>
      <c r="Q67" s="310"/>
      <c r="R67" s="114"/>
      <c r="S67" s="1095"/>
      <c r="T67" s="114"/>
      <c r="U67" s="1152"/>
      <c r="V67" s="114"/>
      <c r="W67" s="1126"/>
      <c r="X67" s="246"/>
      <c r="Y67" s="114"/>
      <c r="Z67" s="114"/>
      <c r="AA67" s="114"/>
      <c r="AB67" s="1127"/>
      <c r="AC67" s="114"/>
      <c r="AD67" s="1128"/>
      <c r="AE67" s="246"/>
      <c r="AF67" s="1124"/>
      <c r="AG67" s="310"/>
      <c r="AH67" s="114"/>
      <c r="AI67" s="1129"/>
      <c r="AJ67" s="114"/>
      <c r="AK67" s="1097"/>
      <c r="AL67" s="114"/>
      <c r="AM67" s="1126"/>
      <c r="AN67" s="246"/>
      <c r="AO67" s="246"/>
      <c r="AP67" s="246"/>
      <c r="AQ67" s="246"/>
      <c r="AR67" s="246"/>
      <c r="AS67" s="1100"/>
      <c r="AT67" s="114"/>
      <c r="AU67" s="1100"/>
      <c r="AV67" s="1124"/>
      <c r="AW67" s="114"/>
      <c r="AX67" s="1075"/>
      <c r="AY67" s="1142"/>
      <c r="AZ67" s="1103"/>
      <c r="BA67" s="114"/>
      <c r="BB67" s="1147"/>
      <c r="BC67" s="1147"/>
      <c r="BD67" s="1147"/>
      <c r="BE67" s="114"/>
      <c r="BF67" s="114"/>
      <c r="BG67" s="114"/>
      <c r="BH67" s="114"/>
      <c r="BI67" s="246"/>
      <c r="BJ67" s="114"/>
      <c r="BK67" s="114"/>
      <c r="BL67" s="114"/>
      <c r="BM67" s="114"/>
      <c r="BN67" s="114"/>
      <c r="BO67" s="114"/>
      <c r="BP67" s="114"/>
      <c r="BQ67" s="114"/>
      <c r="BR67" s="114"/>
      <c r="BS67" s="114"/>
      <c r="BT67" s="114"/>
      <c r="BU67" s="114"/>
      <c r="BV67" s="114"/>
      <c r="BW67" s="114"/>
      <c r="BX67" s="114"/>
      <c r="BY67" s="114"/>
      <c r="BZ67" s="114"/>
      <c r="CA67" s="114"/>
      <c r="CB67" s="114"/>
      <c r="CC67" s="114"/>
      <c r="CD67" s="114"/>
      <c r="CE67" s="114"/>
      <c r="CF67" s="114"/>
      <c r="CG67" s="114"/>
    </row>
    <row r="68" spans="1:85" hidden="1" outlineLevel="1">
      <c r="A68" s="1120"/>
      <c r="B68" s="1113">
        <v>2010</v>
      </c>
      <c r="C68" s="114"/>
      <c r="D68" s="246"/>
      <c r="E68" s="246"/>
      <c r="F68" s="246"/>
      <c r="G68" s="246"/>
      <c r="H68" s="246"/>
      <c r="I68" s="246"/>
      <c r="J68" s="1063"/>
      <c r="K68" s="114"/>
      <c r="L68" s="246"/>
      <c r="M68" s="114"/>
      <c r="N68" s="246"/>
      <c r="O68" s="246"/>
      <c r="P68" s="249"/>
      <c r="Q68" s="310"/>
      <c r="R68" s="114"/>
      <c r="S68" s="1103"/>
      <c r="T68" s="114"/>
      <c r="U68" s="246"/>
      <c r="V68" s="114"/>
      <c r="W68" s="114"/>
      <c r="X68" s="246"/>
      <c r="Y68" s="114"/>
      <c r="Z68" s="114"/>
      <c r="AA68" s="114"/>
      <c r="AB68" s="114"/>
      <c r="AC68" s="114"/>
      <c r="AD68" s="114"/>
      <c r="AE68" s="246"/>
      <c r="AF68" s="249"/>
      <c r="AG68" s="310"/>
      <c r="AH68" s="114"/>
      <c r="AI68" s="114"/>
      <c r="AJ68" s="114"/>
      <c r="AK68" s="246"/>
      <c r="AL68" s="114"/>
      <c r="AM68" s="246"/>
      <c r="AN68" s="246"/>
      <c r="AO68" s="246"/>
      <c r="AP68" s="246"/>
      <c r="AQ68" s="246"/>
      <c r="AR68" s="246"/>
      <c r="AS68" s="114"/>
      <c r="AT68" s="114"/>
      <c r="AU68" s="114"/>
      <c r="AV68" s="1121" t="s">
        <v>76</v>
      </c>
      <c r="AW68" s="114"/>
      <c r="AX68" s="310"/>
      <c r="AY68" s="114"/>
      <c r="AZ68" s="246"/>
      <c r="BA68" s="114"/>
      <c r="BB68" s="1146" t="s">
        <v>575</v>
      </c>
      <c r="BC68" s="310"/>
      <c r="BD68" s="310"/>
      <c r="BE68" s="114"/>
      <c r="BF68" s="246" t="s">
        <v>571</v>
      </c>
      <c r="BG68" s="246" t="s">
        <v>317</v>
      </c>
      <c r="BH68" s="246" t="s">
        <v>319</v>
      </c>
      <c r="BI68" s="246"/>
      <c r="BJ68" s="249"/>
      <c r="BK68" s="246" t="s">
        <v>652</v>
      </c>
      <c r="BL68" s="114"/>
      <c r="BM68" s="114"/>
      <c r="BN68" s="114"/>
      <c r="BO68" s="114"/>
      <c r="BP68" s="114"/>
      <c r="BQ68" s="114"/>
      <c r="BR68" s="114"/>
      <c r="BS68" s="114"/>
      <c r="BT68" s="114"/>
      <c r="BU68" s="114"/>
      <c r="BV68" s="114"/>
      <c r="BW68" s="114"/>
      <c r="BX68" s="114"/>
      <c r="BY68" s="114"/>
      <c r="BZ68" s="114"/>
      <c r="CA68" s="114"/>
      <c r="CB68" s="114"/>
      <c r="CC68" s="114"/>
      <c r="CD68" s="114"/>
      <c r="CE68" s="114"/>
      <c r="CF68" s="114"/>
      <c r="CG68" s="114"/>
    </row>
    <row r="69" spans="1:85" hidden="1" outlineLevel="1">
      <c r="A69" s="114" t="s">
        <v>115</v>
      </c>
      <c r="B69" s="245" t="s">
        <v>96</v>
      </c>
      <c r="C69" s="114"/>
      <c r="D69" s="1088">
        <f>(S69/S62-1)*100</f>
        <v>10.686473972218312</v>
      </c>
      <c r="E69" s="246" t="s">
        <v>76</v>
      </c>
      <c r="F69" s="1046">
        <v>3</v>
      </c>
      <c r="G69" s="246" t="s">
        <v>76</v>
      </c>
      <c r="H69" s="1045">
        <f>D69-F69</f>
        <v>7.6864739722183124</v>
      </c>
      <c r="I69" s="246" t="s">
        <v>76</v>
      </c>
      <c r="J69" s="1047">
        <f>341+6</f>
        <v>347</v>
      </c>
      <c r="K69" s="1063">
        <f>J69-J65</f>
        <v>1</v>
      </c>
      <c r="L69" s="1122">
        <f>AVERAGE(J69,J65)</f>
        <v>346.5</v>
      </c>
      <c r="M69" s="114"/>
      <c r="N69" s="1123">
        <f>(L69/L62-1)*100</f>
        <v>-2.3943661971830954</v>
      </c>
      <c r="O69" s="246" t="s">
        <v>76</v>
      </c>
      <c r="P69" s="1124">
        <f>H69/N69*100</f>
        <v>-321.02332472205933</v>
      </c>
      <c r="Q69" s="310" t="s">
        <v>76</v>
      </c>
      <c r="R69" s="114"/>
      <c r="S69" s="1050">
        <f>AY69-AS69</f>
        <v>252.43599999999998</v>
      </c>
      <c r="T69" s="114"/>
      <c r="U69" s="1125">
        <f>S69/L69</f>
        <v>0.72853102453102447</v>
      </c>
      <c r="V69" s="114"/>
      <c r="W69" s="1126">
        <f>(U69/U62-1)*100</f>
        <v>13.401726580483398</v>
      </c>
      <c r="X69" s="246" t="s">
        <v>76</v>
      </c>
      <c r="Y69" s="114"/>
      <c r="Z69" s="1047">
        <v>3111</v>
      </c>
      <c r="AA69" s="114"/>
      <c r="AB69" s="1127">
        <f>AVERAGE(Z69,Z65)</f>
        <v>3110.4</v>
      </c>
      <c r="AC69" s="114"/>
      <c r="AD69" s="1128">
        <f>(Z69/Z62-1)*100</f>
        <v>-1.0496183206106902</v>
      </c>
      <c r="AE69" s="246" t="s">
        <v>76</v>
      </c>
      <c r="AF69" s="1124">
        <f>+H69/AD69*100</f>
        <v>-732.31133844406975</v>
      </c>
      <c r="AG69" s="310" t="s">
        <v>76</v>
      </c>
      <c r="AH69" s="114"/>
      <c r="AI69" s="1129">
        <f>+S69</f>
        <v>252.43599999999998</v>
      </c>
      <c r="AJ69" s="114"/>
      <c r="AK69" s="1097">
        <f>AI69/AB69*1000</f>
        <v>81.158693415637842</v>
      </c>
      <c r="AL69" s="114"/>
      <c r="AM69" s="1126">
        <f>(AK69/AK62-1)*100</f>
        <v>12.238020482374147</v>
      </c>
      <c r="AN69" s="246" t="s">
        <v>76</v>
      </c>
      <c r="AO69" s="246"/>
      <c r="AP69" s="246"/>
      <c r="AQ69" s="246"/>
      <c r="AR69" s="246"/>
      <c r="AS69" s="1100">
        <f>qtrSales!$AS$125*(AV69/100)</f>
        <v>51.263999999999996</v>
      </c>
      <c r="AT69" s="114" t="s">
        <v>328</v>
      </c>
      <c r="AU69" s="1100">
        <f>(AS69/AS62-1)*100</f>
        <v>39.927939731411733</v>
      </c>
      <c r="AV69" s="1101">
        <f>+AV62-0.5</f>
        <v>64</v>
      </c>
      <c r="AW69" s="114" t="s">
        <v>718</v>
      </c>
      <c r="AX69" s="1075"/>
      <c r="AY69" s="1130">
        <v>303.7</v>
      </c>
      <c r="AZ69" s="1103">
        <f>AY69/AY62-1</f>
        <v>0.1473366074801663</v>
      </c>
      <c r="BA69" s="114"/>
      <c r="BB69" s="1143">
        <f>BI69</f>
        <v>23.54544560933418</v>
      </c>
      <c r="BC69" s="1143"/>
      <c r="BD69" s="1143">
        <f>+BB69+BB190+BB292</f>
        <v>37.570341472285413</v>
      </c>
      <c r="BE69" s="1153" t="s">
        <v>444</v>
      </c>
      <c r="BF69" s="1154"/>
      <c r="BG69" s="1155">
        <f>BG73*BI4</f>
        <v>13.308295344406277</v>
      </c>
      <c r="BH69" s="1156">
        <f>$BH$73*BI4</f>
        <v>10.237150264927905</v>
      </c>
      <c r="BI69" s="1157">
        <f>SUM(BF69:BH69,BJ69:BK69)</f>
        <v>23.54544560933418</v>
      </c>
      <c r="BJ69" s="1158"/>
      <c r="BK69" s="1159"/>
      <c r="BL69" s="114"/>
      <c r="BM69" s="114"/>
      <c r="BN69" s="114"/>
      <c r="BO69" s="114"/>
      <c r="BP69" s="114"/>
      <c r="BQ69" s="114"/>
      <c r="BR69" s="114"/>
      <c r="BS69" s="114"/>
      <c r="BT69" s="114"/>
      <c r="BU69" s="114"/>
      <c r="BV69" s="114"/>
      <c r="BW69" s="114"/>
      <c r="BX69" s="114"/>
      <c r="BY69" s="114"/>
      <c r="BZ69" s="114"/>
      <c r="CA69" s="114"/>
      <c r="CB69" s="114"/>
      <c r="CC69" s="114"/>
      <c r="CD69" s="114"/>
      <c r="CE69" s="114"/>
      <c r="CF69" s="114"/>
      <c r="CG69" s="114"/>
    </row>
    <row r="70" spans="1:85" hidden="1" outlineLevel="1">
      <c r="A70" s="114" t="s">
        <v>116</v>
      </c>
      <c r="B70" s="245" t="s">
        <v>97</v>
      </c>
      <c r="C70" s="114"/>
      <c r="D70" s="1088">
        <f>(S70/S63-1)*100</f>
        <v>14.349850316671663</v>
      </c>
      <c r="E70" s="114"/>
      <c r="F70" s="1046">
        <v>8</v>
      </c>
      <c r="G70" s="114"/>
      <c r="H70" s="1045">
        <f>D70-F70</f>
        <v>6.3498503166716631</v>
      </c>
      <c r="I70" s="114"/>
      <c r="J70" s="1047">
        <f>347+1+1-4</f>
        <v>345</v>
      </c>
      <c r="K70" s="1063">
        <f>J70-J69</f>
        <v>-2</v>
      </c>
      <c r="L70" s="1122">
        <f>AVERAGE(J70,J69)</f>
        <v>346</v>
      </c>
      <c r="M70" s="1122">
        <f>AVERAGE(J70,J69)</f>
        <v>346</v>
      </c>
      <c r="N70" s="1123">
        <f>(L70/L63-1)*100</f>
        <v>-2.2598870056497189</v>
      </c>
      <c r="O70" s="246"/>
      <c r="P70" s="1124">
        <f>H70/N70*100</f>
        <v>-280.9808765127209</v>
      </c>
      <c r="Q70" s="310"/>
      <c r="R70" s="114"/>
      <c r="S70" s="1160">
        <f>AY70-AS70</f>
        <v>292.40000000000003</v>
      </c>
      <c r="T70" s="114"/>
      <c r="U70" s="1131">
        <f>S70/L70</f>
        <v>0.84508670520231222</v>
      </c>
      <c r="V70" s="114"/>
      <c r="W70" s="1126">
        <f>(U70/U63-1)*100</f>
        <v>16.993777491623607</v>
      </c>
      <c r="X70" s="246"/>
      <c r="Y70" s="114"/>
      <c r="Z70" s="1047">
        <v>3097</v>
      </c>
      <c r="AA70" s="1057"/>
      <c r="AB70" s="1127">
        <f>AVERAGE(Z70,Z69)</f>
        <v>3104</v>
      </c>
      <c r="AC70" s="114"/>
      <c r="AD70" s="1128">
        <f>(Z70/Z63-1)*100</f>
        <v>-1.4949109414758244</v>
      </c>
      <c r="AE70" s="246"/>
      <c r="AF70" s="1124">
        <f>+H70/AD70*100</f>
        <v>-424.76445522586693</v>
      </c>
      <c r="AG70" s="310"/>
      <c r="AH70" s="114"/>
      <c r="AI70" s="1132">
        <f>+S70</f>
        <v>292.40000000000003</v>
      </c>
      <c r="AJ70" s="114"/>
      <c r="AK70" s="1106">
        <f>AI70/AB70*1000</f>
        <v>94.201030927835063</v>
      </c>
      <c r="AL70" s="114"/>
      <c r="AM70" s="1126">
        <f>(AK70/AK63-1)*100</f>
        <v>15.823430861989607</v>
      </c>
      <c r="AN70" s="246"/>
      <c r="AO70" s="246"/>
      <c r="AP70" s="246"/>
      <c r="AQ70" s="246"/>
      <c r="AR70" s="246"/>
      <c r="AS70" s="1100">
        <f>qtrSales!$AS$126*(AV70/100)</f>
        <v>43.2</v>
      </c>
      <c r="AT70" s="114" t="s">
        <v>718</v>
      </c>
      <c r="AU70" s="1100">
        <f>(AS70/AS63-1)*100</f>
        <v>45.978001926098642</v>
      </c>
      <c r="AV70" s="1101">
        <f>+AV63-0.5</f>
        <v>54</v>
      </c>
      <c r="AW70" s="114" t="s">
        <v>718</v>
      </c>
      <c r="AX70" s="1075"/>
      <c r="AY70" s="1102">
        <v>335.6</v>
      </c>
      <c r="AZ70" s="1103">
        <f>AY70/AY63-1</f>
        <v>0.17630564318261488</v>
      </c>
      <c r="BA70" s="114"/>
      <c r="BB70" s="1143">
        <f>BI70</f>
        <v>24.94258810849751</v>
      </c>
      <c r="BC70" s="1143"/>
      <c r="BD70" s="1143">
        <f>+BB70+BB191+BB293</f>
        <v>37.29969493834168</v>
      </c>
      <c r="BE70" s="1161">
        <f>+BD70/BD63-1</f>
        <v>13.919877975336671</v>
      </c>
      <c r="BF70" s="1162"/>
      <c r="BG70" s="1163">
        <f>BG73*BI5</f>
        <v>14.097984583063811</v>
      </c>
      <c r="BH70" s="1164">
        <f>$BH$73*BI5</f>
        <v>10.844603525433701</v>
      </c>
      <c r="BI70" s="1157">
        <f>SUM(BF70:BH70,BJ70:BK70)</f>
        <v>24.94258810849751</v>
      </c>
      <c r="BJ70" s="1158"/>
      <c r="BK70" s="1165"/>
      <c r="BL70" s="114"/>
      <c r="BM70" s="114"/>
      <c r="BN70" s="114"/>
      <c r="BO70" s="114"/>
      <c r="BP70" s="114"/>
      <c r="BQ70" s="114"/>
      <c r="BR70" s="114"/>
      <c r="BS70" s="114"/>
      <c r="BT70" s="114"/>
      <c r="BU70" s="114"/>
      <c r="BV70" s="114"/>
      <c r="BW70" s="114"/>
      <c r="BX70" s="114"/>
      <c r="BY70" s="114"/>
      <c r="BZ70" s="114"/>
      <c r="CA70" s="114"/>
      <c r="CB70" s="114"/>
      <c r="CC70" s="114"/>
      <c r="CD70" s="114"/>
      <c r="CE70" s="114"/>
      <c r="CF70" s="114"/>
      <c r="CG70" s="114"/>
    </row>
    <row r="71" spans="1:85" hidden="1" outlineLevel="1">
      <c r="A71" s="114" t="s">
        <v>117</v>
      </c>
      <c r="B71" s="245" t="s">
        <v>99</v>
      </c>
      <c r="C71" s="114"/>
      <c r="D71" s="1088">
        <f>(S71/S64-1)*100</f>
        <v>16.839985582234142</v>
      </c>
      <c r="E71" s="114"/>
      <c r="F71" s="1046">
        <v>8</v>
      </c>
      <c r="G71" s="114"/>
      <c r="H71" s="1045">
        <f>D71-F71</f>
        <v>8.8399855822341422</v>
      </c>
      <c r="I71" s="114"/>
      <c r="J71" s="1047">
        <f>+J70+2</f>
        <v>347</v>
      </c>
      <c r="K71" s="1063">
        <f>J71-J70</f>
        <v>2</v>
      </c>
      <c r="L71" s="1122">
        <f>AVERAGE(J71,J70)</f>
        <v>346</v>
      </c>
      <c r="M71" s="114"/>
      <c r="N71" s="1123">
        <f>(L71/L64-1)*100</f>
        <v>-1.9830028328611915</v>
      </c>
      <c r="O71" s="246"/>
      <c r="P71" s="1124">
        <f>H71/N71*100</f>
        <v>-445.78784436123567</v>
      </c>
      <c r="Q71" s="310"/>
      <c r="R71" s="114"/>
      <c r="S71" s="1160">
        <f>AY71-AS71</f>
        <v>333.34000000000003</v>
      </c>
      <c r="T71" s="114"/>
      <c r="U71" s="1131">
        <f>S71/L71</f>
        <v>0.96341040462427752</v>
      </c>
      <c r="V71" s="114"/>
      <c r="W71" s="1126">
        <f>(U71/U64-1)*100</f>
        <v>19.203800319446973</v>
      </c>
      <c r="X71" s="246"/>
      <c r="Y71" s="114"/>
      <c r="Z71" s="1047">
        <v>3118</v>
      </c>
      <c r="AA71" s="1057"/>
      <c r="AB71" s="1127">
        <f>AVERAGE(Z71,Z70)</f>
        <v>3107.5</v>
      </c>
      <c r="AC71" s="114"/>
      <c r="AD71" s="1128">
        <f>(Z71/Z64-1)*100</f>
        <v>-0.6056742110296498</v>
      </c>
      <c r="AE71" s="246"/>
      <c r="AF71" s="1124">
        <f>+H71/AD71*100</f>
        <v>-1459.5281458667546</v>
      </c>
      <c r="AG71" s="310"/>
      <c r="AH71" s="114"/>
      <c r="AI71" s="1132">
        <f>+S71</f>
        <v>333.34000000000003</v>
      </c>
      <c r="AJ71" s="114"/>
      <c r="AK71" s="1106">
        <f>AI71/AB71*1000</f>
        <v>107.26950925181013</v>
      </c>
      <c r="AL71" s="114"/>
      <c r="AM71" s="1126">
        <f>(AK71/AK64-1)*100</f>
        <v>18.080764190187047</v>
      </c>
      <c r="AN71" s="246"/>
      <c r="AO71" s="246"/>
      <c r="AP71" s="246"/>
      <c r="AQ71" s="246"/>
      <c r="AR71" s="246"/>
      <c r="AS71" s="1100">
        <f>qtrSales!$AS$127*(AV71/100)</f>
        <v>50.760000000000005</v>
      </c>
      <c r="AT71" s="114" t="s">
        <v>718</v>
      </c>
      <c r="AU71" s="1100">
        <f>(AS71/AS64-1)*100</f>
        <v>30.141054511736009</v>
      </c>
      <c r="AV71" s="1101">
        <f>+AV64-0.5</f>
        <v>54</v>
      </c>
      <c r="AW71" s="114" t="s">
        <v>718</v>
      </c>
      <c r="AX71" s="1075"/>
      <c r="AY71" s="1102">
        <v>384.1</v>
      </c>
      <c r="AZ71" s="1103">
        <f>AY71/AY64-1</f>
        <v>0.18439716312056742</v>
      </c>
      <c r="BA71" s="114"/>
      <c r="BB71" s="1143">
        <f>BI71</f>
        <v>29.444500264557739</v>
      </c>
      <c r="BC71" s="1143"/>
      <c r="BD71" s="1143">
        <f>+BB71+BB192+BB294</f>
        <v>32.004891591910585</v>
      </c>
      <c r="BE71" s="1161">
        <f>+BD71/BD64-1</f>
        <v>1.1367521367521367</v>
      </c>
      <c r="BF71" s="1162"/>
      <c r="BG71" s="1163">
        <f>BG73*BI6</f>
        <v>16.642543627793504</v>
      </c>
      <c r="BH71" s="1164">
        <f>$BH$73*BI6</f>
        <v>12.801956636764233</v>
      </c>
      <c r="BI71" s="1157">
        <f>SUM(BF71:BH71,BJ71:BK71)</f>
        <v>29.444500264557739</v>
      </c>
      <c r="BJ71" s="1158"/>
      <c r="BK71" s="1165"/>
      <c r="BL71" s="114"/>
      <c r="BM71" s="114"/>
      <c r="BN71" s="114"/>
      <c r="BO71" s="114"/>
      <c r="BP71" s="114"/>
      <c r="BQ71" s="114"/>
      <c r="BR71" s="114"/>
      <c r="BS71" s="114"/>
      <c r="BT71" s="114"/>
      <c r="BU71" s="114"/>
      <c r="BV71" s="114"/>
      <c r="BW71" s="114"/>
      <c r="BX71" s="114"/>
      <c r="BY71" s="114"/>
      <c r="BZ71" s="114"/>
      <c r="CA71" s="114"/>
      <c r="CB71" s="114"/>
      <c r="CC71" s="114"/>
      <c r="CD71" s="114"/>
      <c r="CE71" s="114"/>
      <c r="CF71" s="114"/>
      <c r="CG71" s="114"/>
    </row>
    <row r="72" spans="1:85" hidden="1" outlineLevel="1">
      <c r="A72" s="114" t="s">
        <v>118</v>
      </c>
      <c r="B72" s="245" t="s">
        <v>100</v>
      </c>
      <c r="C72" s="114"/>
      <c r="D72" s="1061">
        <f>(S72/S65-1)*100</f>
        <v>13.976361748757649</v>
      </c>
      <c r="E72" s="114"/>
      <c r="F72" s="1104">
        <v>13</v>
      </c>
      <c r="G72" s="114"/>
      <c r="H72" s="1061">
        <f>D72-F72</f>
        <v>0.97636174875764858</v>
      </c>
      <c r="I72" s="114"/>
      <c r="J72" s="1063">
        <f>squft!$CE$14</f>
        <v>325</v>
      </c>
      <c r="K72" s="1063">
        <f>J72-J71</f>
        <v>-22</v>
      </c>
      <c r="L72" s="1108">
        <f>AVERAGE(J72,J71)</f>
        <v>336</v>
      </c>
      <c r="M72" s="114"/>
      <c r="N72" s="1107">
        <f>(L72/L65-1)*100</f>
        <v>-3.7249283667621813</v>
      </c>
      <c r="O72" s="246"/>
      <c r="P72" s="1108">
        <f>H72/N72*100</f>
        <v>-26.211557716647615</v>
      </c>
      <c r="Q72" s="310"/>
      <c r="R72" s="114"/>
      <c r="S72" s="1092">
        <f>AY72-AS72</f>
        <v>380.76900000000001</v>
      </c>
      <c r="T72" s="114"/>
      <c r="U72" s="1133">
        <f>S72/L72</f>
        <v>1.1332410714285714</v>
      </c>
      <c r="V72" s="114"/>
      <c r="W72" s="1134">
        <f>(U72/U65-1)*100</f>
        <v>18.386161459275051</v>
      </c>
      <c r="X72" s="246"/>
      <c r="Y72" s="114"/>
      <c r="Z72" s="1063">
        <f>squft!CG14</f>
        <v>2955.25</v>
      </c>
      <c r="AA72" s="1057"/>
      <c r="AB72" s="1110">
        <f>AVERAGE(Z72,Z71)</f>
        <v>3036.625</v>
      </c>
      <c r="AC72" s="114"/>
      <c r="AD72" s="1107">
        <f>(Z72/Z65-1)*100</f>
        <v>-4.9697729757540721</v>
      </c>
      <c r="AE72" s="246"/>
      <c r="AF72" s="1108">
        <f>+H72/AD72*100</f>
        <v>-19.646003017059417</v>
      </c>
      <c r="AG72" s="310"/>
      <c r="AH72" s="114"/>
      <c r="AI72" s="1111">
        <f>+S72</f>
        <v>380.76900000000001</v>
      </c>
      <c r="AJ72" s="114"/>
      <c r="AK72" s="1135">
        <f>AI72/AB72*1000</f>
        <v>125.39217058411889</v>
      </c>
      <c r="AL72" s="114"/>
      <c r="AM72" s="1134">
        <f>(AK72/AK65-1)*100</f>
        <v>17.233365425783443</v>
      </c>
      <c r="AN72" s="246"/>
      <c r="AO72" s="246"/>
      <c r="AP72" s="246"/>
      <c r="AQ72" s="246"/>
      <c r="AR72" s="246"/>
      <c r="AS72" s="1136">
        <f>qtrSales!$AS$128*(AV72/100)</f>
        <v>89.030999999999977</v>
      </c>
      <c r="AT72" s="1042" t="s">
        <v>718</v>
      </c>
      <c r="AU72" s="1136">
        <f>(AS72/AS65-1)*100</f>
        <v>39.278870095975059</v>
      </c>
      <c r="AV72" s="1137">
        <f>+AV65-0.5</f>
        <v>59</v>
      </c>
      <c r="AW72" s="1042" t="s">
        <v>718</v>
      </c>
      <c r="AX72" s="1075"/>
      <c r="AY72" s="1145">
        <v>469.8</v>
      </c>
      <c r="AZ72" s="1138">
        <f>AY72/AY65-1</f>
        <v>0.18040201005025125</v>
      </c>
      <c r="BA72" s="114"/>
      <c r="BB72" s="1147">
        <f>BI72</f>
        <v>32.38584157665904</v>
      </c>
      <c r="BC72" s="1143"/>
      <c r="BD72" s="1143">
        <f>+BB72+BB193+BB295</f>
        <v>42.055615320383538</v>
      </c>
      <c r="BE72" s="1161">
        <f>+BD72/BD65-1</f>
        <v>-0.12739731772797946</v>
      </c>
      <c r="BF72" s="1166">
        <f>$BF$73*BI7</f>
        <v>9.1862850565382708</v>
      </c>
      <c r="BG72" s="1167">
        <f>BG73-BG65-BG69-BG70-BG71</f>
        <v>10.951176444736408</v>
      </c>
      <c r="BH72" s="1168"/>
      <c r="BI72" s="1157">
        <f>SUM(BF72:BH72,BJ72:BK72)</f>
        <v>32.38584157665904</v>
      </c>
      <c r="BJ72" s="1158"/>
      <c r="BK72" s="1169">
        <f>$BK$73*BI7</f>
        <v>12.248380075384361</v>
      </c>
      <c r="BL72" s="114"/>
      <c r="BM72" s="114"/>
      <c r="BN72" s="114"/>
      <c r="BO72" s="114"/>
      <c r="BP72" s="114"/>
      <c r="BQ72" s="114"/>
      <c r="BR72" s="114"/>
      <c r="BS72" s="114"/>
      <c r="BT72" s="114"/>
      <c r="BU72" s="114"/>
      <c r="BV72" s="114"/>
      <c r="BW72" s="114"/>
      <c r="BX72" s="114"/>
      <c r="BY72" s="114"/>
      <c r="BZ72" s="114"/>
      <c r="CA72" s="114"/>
      <c r="CB72" s="114"/>
      <c r="CC72" s="114"/>
      <c r="CD72" s="114"/>
      <c r="CE72" s="114"/>
      <c r="CF72" s="114"/>
      <c r="CG72" s="114"/>
    </row>
    <row r="73" spans="1:85" hidden="1" outlineLevel="1">
      <c r="A73" s="114"/>
      <c r="B73" s="245" t="s">
        <v>119</v>
      </c>
      <c r="C73" s="114"/>
      <c r="D73" s="1123">
        <f>(S73/S66-1)*100</f>
        <v>14.123377383698688</v>
      </c>
      <c r="E73" s="114"/>
      <c r="F73" s="1139">
        <f>S69/S73*F69+S70/S73*F70+S71/S73*F71+S72/S73*F72</f>
        <v>8.5096846963131831</v>
      </c>
      <c r="G73" s="114"/>
      <c r="H73" s="1123">
        <f>D73-F73</f>
        <v>5.6136926873855053</v>
      </c>
      <c r="I73" s="114"/>
      <c r="J73" s="114"/>
      <c r="K73" s="114"/>
      <c r="L73" s="1122">
        <f>AVERAGE(L69:L72)</f>
        <v>343.625</v>
      </c>
      <c r="M73" s="114"/>
      <c r="N73" s="1123">
        <f>(L73/L66-1)*100</f>
        <v>-2.5868178596739955</v>
      </c>
      <c r="O73" s="246"/>
      <c r="P73" s="1049" t="s">
        <v>251</v>
      </c>
      <c r="Q73" s="310"/>
      <c r="R73" s="114"/>
      <c r="S73" s="1095">
        <f>SUM(S69:S72)</f>
        <v>1258.9450000000002</v>
      </c>
      <c r="T73" s="114"/>
      <c r="U73" s="1125">
        <f>SUM(U69:U72)</f>
        <v>3.6702692057861857</v>
      </c>
      <c r="V73" s="114"/>
      <c r="W73" s="1126">
        <f>(U73/U66-1)*100</f>
        <v>17.252974640240804</v>
      </c>
      <c r="X73" s="246"/>
      <c r="Y73" s="114"/>
      <c r="Z73" s="114"/>
      <c r="AA73" s="114"/>
      <c r="AB73" s="1127">
        <f>AVERAGE(AB69:AB72)</f>
        <v>3089.6312499999999</v>
      </c>
      <c r="AC73" s="114"/>
      <c r="AD73" s="1128">
        <f>(Z72/Z65-1)*100</f>
        <v>-4.9697729757540721</v>
      </c>
      <c r="AE73" s="246"/>
      <c r="AF73" s="1124">
        <f>+H73/AD73*100</f>
        <v>-112.95672286788371</v>
      </c>
      <c r="AG73" s="310"/>
      <c r="AH73" s="114"/>
      <c r="AI73" s="1129">
        <f>SUM(AI69:AI72)</f>
        <v>1258.9450000000002</v>
      </c>
      <c r="AJ73" s="114"/>
      <c r="AK73" s="1097">
        <f>SUM(AK69:AK72)</f>
        <v>408.02140417940194</v>
      </c>
      <c r="AL73" s="114"/>
      <c r="AM73" s="1126">
        <f>(AK73/AK66-1)*100</f>
        <v>16.098331590832583</v>
      </c>
      <c r="AN73" s="246"/>
      <c r="AO73" s="246"/>
      <c r="AP73" s="246"/>
      <c r="AQ73" s="246"/>
      <c r="AR73" s="246"/>
      <c r="AS73" s="1100">
        <f>SUM(AS69:AS72)</f>
        <v>234.25499999999997</v>
      </c>
      <c r="AT73" s="114" t="s">
        <v>718</v>
      </c>
      <c r="AU73" s="1100">
        <f>(AS73/AS66-1)*100</f>
        <v>38.484457655992422</v>
      </c>
      <c r="AV73" s="1124">
        <f>(AS73/qtrSales!AS129)*100</f>
        <v>57.840740740740735</v>
      </c>
      <c r="AW73" s="114" t="s">
        <v>718</v>
      </c>
      <c r="AX73" s="1075"/>
      <c r="AY73" s="1142">
        <f>SUM(AY69:AY72)</f>
        <v>1493.2</v>
      </c>
      <c r="AZ73" s="1103">
        <f>AY73/AY66-1</f>
        <v>0.17362257329246256</v>
      </c>
      <c r="BA73" s="114"/>
      <c r="BB73" s="1143">
        <f>SUM(BB69:BB72)</f>
        <v>110.31837555904846</v>
      </c>
      <c r="BC73" s="310"/>
      <c r="BD73" s="1143"/>
      <c r="BE73" s="1161"/>
      <c r="BF73" s="1170">
        <f>+BO286</f>
        <v>28.5</v>
      </c>
      <c r="BG73" s="1170">
        <f>BN286</f>
        <v>65</v>
      </c>
      <c r="BH73" s="1170">
        <f>+BP286</f>
        <v>50</v>
      </c>
      <c r="BI73" s="246"/>
      <c r="BJ73" s="1158"/>
      <c r="BK73" s="1171">
        <f>+BT286</f>
        <v>38</v>
      </c>
      <c r="BL73" s="114"/>
      <c r="BM73" s="114"/>
      <c r="BN73" s="114"/>
      <c r="BO73" s="114"/>
      <c r="BP73" s="114"/>
      <c r="BQ73" s="114"/>
      <c r="BR73" s="114"/>
      <c r="BS73" s="114"/>
      <c r="BT73" s="114"/>
      <c r="BU73" s="114"/>
      <c r="BV73" s="114"/>
      <c r="BW73" s="114"/>
      <c r="BX73" s="114"/>
      <c r="BY73" s="114"/>
      <c r="BZ73" s="114"/>
      <c r="CA73" s="114"/>
      <c r="CB73" s="114"/>
      <c r="CC73" s="114"/>
      <c r="CD73" s="114"/>
      <c r="CE73" s="114"/>
      <c r="CF73" s="114"/>
      <c r="CG73" s="114"/>
    </row>
    <row r="74" spans="1:85" hidden="1" outlineLevel="1">
      <c r="A74" s="114"/>
      <c r="B74" s="245"/>
      <c r="C74" s="114"/>
      <c r="D74" s="1123"/>
      <c r="E74" s="114"/>
      <c r="F74" s="1139"/>
      <c r="G74" s="114"/>
      <c r="H74" s="1123"/>
      <c r="I74" s="114"/>
      <c r="J74" s="1151"/>
      <c r="K74" s="114"/>
      <c r="L74" s="1122"/>
      <c r="M74" s="114"/>
      <c r="N74" s="1123"/>
      <c r="O74" s="246"/>
      <c r="P74" s="1049"/>
      <c r="Q74" s="310"/>
      <c r="R74" s="114"/>
      <c r="S74" s="1095"/>
      <c r="T74" s="114"/>
      <c r="U74" s="1152"/>
      <c r="V74" s="114"/>
      <c r="W74" s="1126"/>
      <c r="X74" s="246"/>
      <c r="Y74" s="114"/>
      <c r="Z74" s="114"/>
      <c r="AA74" s="114"/>
      <c r="AB74" s="1127"/>
      <c r="AC74" s="114"/>
      <c r="AD74" s="1128"/>
      <c r="AE74" s="246"/>
      <c r="AF74" s="1124"/>
      <c r="AG74" s="310"/>
      <c r="AH74" s="114"/>
      <c r="AI74" s="1129"/>
      <c r="AJ74" s="114"/>
      <c r="AK74" s="1097"/>
      <c r="AL74" s="114"/>
      <c r="AM74" s="1126"/>
      <c r="AN74" s="246"/>
      <c r="AO74" s="246"/>
      <c r="AP74" s="246"/>
      <c r="AQ74" s="246"/>
      <c r="AR74" s="246"/>
      <c r="AS74" s="1100"/>
      <c r="AT74" s="114"/>
      <c r="AU74" s="1100"/>
      <c r="AV74" s="1124"/>
      <c r="AW74" s="114"/>
      <c r="AX74" s="1075"/>
      <c r="AY74" s="1142"/>
      <c r="AZ74" s="1103"/>
      <c r="BA74" s="114"/>
      <c r="BB74" s="1147"/>
      <c r="BC74" s="1147"/>
      <c r="BD74" s="1147"/>
      <c r="BE74" s="1161"/>
      <c r="BF74" s="114"/>
      <c r="BG74" s="114"/>
      <c r="BH74" s="114"/>
      <c r="BI74" s="246"/>
      <c r="BJ74" s="114"/>
      <c r="BK74" s="114"/>
      <c r="BL74" s="114"/>
      <c r="BM74" s="114"/>
      <c r="BN74" s="114"/>
      <c r="BO74" s="114"/>
      <c r="BP74" s="114"/>
      <c r="BQ74" s="114"/>
      <c r="BR74" s="114"/>
      <c r="BS74" s="114"/>
      <c r="BT74" s="114"/>
      <c r="BU74" s="114"/>
      <c r="BV74" s="114"/>
      <c r="BW74" s="114"/>
      <c r="BX74" s="114"/>
      <c r="BY74" s="114"/>
      <c r="BZ74" s="114"/>
      <c r="CA74" s="114"/>
      <c r="CB74" s="114"/>
      <c r="CC74" s="114"/>
      <c r="CD74" s="114"/>
      <c r="CE74" s="114"/>
      <c r="CF74" s="114"/>
      <c r="CG74" s="114"/>
    </row>
    <row r="75" spans="1:85" hidden="1" outlineLevel="1">
      <c r="A75" s="1120"/>
      <c r="B75" s="1113">
        <v>2011</v>
      </c>
      <c r="C75" s="114"/>
      <c r="D75" s="246"/>
      <c r="E75" s="246"/>
      <c r="F75" s="246"/>
      <c r="G75" s="246"/>
      <c r="H75" s="246"/>
      <c r="I75" s="246"/>
      <c r="J75" s="1063"/>
      <c r="K75" s="114"/>
      <c r="L75" s="246"/>
      <c r="M75" s="114"/>
      <c r="N75" s="246"/>
      <c r="O75" s="246"/>
      <c r="P75" s="249"/>
      <c r="Q75" s="310"/>
      <c r="R75" s="114"/>
      <c r="S75" s="1103"/>
      <c r="T75" s="114"/>
      <c r="U75" s="246"/>
      <c r="V75" s="114"/>
      <c r="W75" s="114"/>
      <c r="X75" s="246"/>
      <c r="Y75" s="114"/>
      <c r="Z75" s="114"/>
      <c r="AA75" s="114"/>
      <c r="AB75" s="114"/>
      <c r="AC75" s="114"/>
      <c r="AD75" s="114"/>
      <c r="AE75" s="246"/>
      <c r="AF75" s="249"/>
      <c r="AG75" s="310"/>
      <c r="AH75" s="114"/>
      <c r="AI75" s="114"/>
      <c r="AJ75" s="114"/>
      <c r="AK75" s="246"/>
      <c r="AL75" s="114"/>
      <c r="AM75" s="246"/>
      <c r="AN75" s="246"/>
      <c r="AO75" s="246"/>
      <c r="AP75" s="246"/>
      <c r="AQ75" s="246"/>
      <c r="AR75" s="246"/>
      <c r="AS75" s="114"/>
      <c r="AT75" s="114"/>
      <c r="AU75" s="114"/>
      <c r="AV75" s="1121" t="s">
        <v>76</v>
      </c>
      <c r="AW75" s="114"/>
      <c r="AX75" s="310"/>
      <c r="AY75" s="114"/>
      <c r="AZ75" s="246"/>
      <c r="BA75" s="114"/>
      <c r="BB75" s="1146" t="s">
        <v>575</v>
      </c>
      <c r="BC75" s="310"/>
      <c r="BD75" s="310"/>
      <c r="BE75" s="1161"/>
      <c r="BF75" s="246" t="s">
        <v>571</v>
      </c>
      <c r="BG75" s="246" t="s">
        <v>2</v>
      </c>
      <c r="BH75" s="246" t="s">
        <v>3</v>
      </c>
      <c r="BI75" s="246"/>
      <c r="BJ75" s="249"/>
      <c r="BK75" s="246" t="s">
        <v>652</v>
      </c>
      <c r="BL75" s="246" t="s">
        <v>588</v>
      </c>
      <c r="BM75" s="246" t="s">
        <v>589</v>
      </c>
      <c r="BN75" s="246" t="s">
        <v>590</v>
      </c>
      <c r="BO75" s="246" t="s">
        <v>281</v>
      </c>
      <c r="BP75" s="246" t="s">
        <v>282</v>
      </c>
      <c r="BQ75" s="246" t="s">
        <v>283</v>
      </c>
      <c r="BR75" s="246" t="s">
        <v>284</v>
      </c>
      <c r="BS75" s="246" t="s">
        <v>591</v>
      </c>
      <c r="BT75" s="114"/>
      <c r="BU75" s="114"/>
      <c r="BW75" s="114"/>
      <c r="BX75" s="114"/>
      <c r="BY75" s="114"/>
      <c r="BZ75" s="114"/>
      <c r="CA75" s="114"/>
      <c r="CB75" s="114"/>
      <c r="CC75" s="114"/>
      <c r="CD75" s="114"/>
      <c r="CE75" s="114"/>
      <c r="CF75" s="114"/>
      <c r="CG75" s="114"/>
    </row>
    <row r="76" spans="1:85" hidden="1" outlineLevel="1">
      <c r="A76" s="114" t="s">
        <v>115</v>
      </c>
      <c r="B76" s="245" t="s">
        <v>96</v>
      </c>
      <c r="C76" s="114"/>
      <c r="D76" s="1088">
        <f>(S76/S69-1)*100</f>
        <v>8.7471675989161604</v>
      </c>
      <c r="E76" s="246" t="s">
        <v>76</v>
      </c>
      <c r="F76" s="1046">
        <v>8</v>
      </c>
      <c r="G76" s="246" t="s">
        <v>76</v>
      </c>
      <c r="H76" s="1045">
        <f>D76-F76</f>
        <v>0.74716759891616036</v>
      </c>
      <c r="I76" s="246" t="s">
        <v>76</v>
      </c>
      <c r="J76" s="1047">
        <v>325</v>
      </c>
      <c r="K76" s="1063">
        <f>J76-J72</f>
        <v>0</v>
      </c>
      <c r="L76" s="1122">
        <f>AVERAGE(J76,J72)</f>
        <v>325</v>
      </c>
      <c r="M76" s="114"/>
      <c r="N76" s="1123">
        <f>(L76/L69-1)*100</f>
        <v>-6.2049062049062016</v>
      </c>
      <c r="O76" s="246" t="s">
        <v>76</v>
      </c>
      <c r="P76" s="1124">
        <f>H76/N76*100</f>
        <v>-12.041561536020916</v>
      </c>
      <c r="Q76" s="310" t="s">
        <v>76</v>
      </c>
      <c r="R76" s="114"/>
      <c r="S76" s="1050">
        <f>AY76-AS76</f>
        <v>274.517</v>
      </c>
      <c r="T76" s="114"/>
      <c r="U76" s="1125">
        <f>S76/L76</f>
        <v>0.84466769230769234</v>
      </c>
      <c r="V76" s="114"/>
      <c r="W76" s="1126">
        <f>(U76/U69-1)*100</f>
        <v>15.941210993921406</v>
      </c>
      <c r="X76" s="246" t="s">
        <v>76</v>
      </c>
      <c r="Y76" s="114"/>
      <c r="Z76" s="1047">
        <v>2952</v>
      </c>
      <c r="AA76" s="114"/>
      <c r="AB76" s="1127">
        <f>AVERAGE(Z76,Z72)</f>
        <v>2953.625</v>
      </c>
      <c r="AC76" s="114"/>
      <c r="AD76" s="1128">
        <f>(Z76/Z69-1)*100</f>
        <v>-5.1108968177434928</v>
      </c>
      <c r="AE76" s="246" t="s">
        <v>76</v>
      </c>
      <c r="AF76" s="1124">
        <f>+H76/AD76*100</f>
        <v>-14.61910943539732</v>
      </c>
      <c r="AG76" s="310" t="s">
        <v>76</v>
      </c>
      <c r="AH76" s="114"/>
      <c r="AI76" s="1129">
        <f>+S76</f>
        <v>274.517</v>
      </c>
      <c r="AJ76" s="114"/>
      <c r="AK76" s="1097">
        <f>AI76/AB76*1000</f>
        <v>92.942401286554656</v>
      </c>
      <c r="AL76" s="114"/>
      <c r="AM76" s="1126">
        <f>(AK76/AK69-1)*100</f>
        <v>14.51934152090022</v>
      </c>
      <c r="AN76" s="246" t="s">
        <v>76</v>
      </c>
      <c r="AO76" s="246"/>
      <c r="AP76" s="246"/>
      <c r="AQ76" s="246"/>
      <c r="AR76" s="246"/>
      <c r="AS76" s="1100">
        <f>qtrSales!$AS$132*(AV76/100)</f>
        <v>67.183000000000007</v>
      </c>
      <c r="AT76" s="114" t="s">
        <v>328</v>
      </c>
      <c r="AU76" s="1100">
        <f>(AS76/AS69-1)*100</f>
        <v>31.052980649188534</v>
      </c>
      <c r="AV76" s="1101">
        <f>+AV69-0.5</f>
        <v>63.5</v>
      </c>
      <c r="AW76" s="114" t="s">
        <v>718</v>
      </c>
      <c r="AX76" s="1075"/>
      <c r="AY76" s="1130">
        <v>341.7</v>
      </c>
      <c r="AZ76" s="1103">
        <f>AY76/AY69-1</f>
        <v>0.12512347711557448</v>
      </c>
      <c r="BA76" s="114"/>
      <c r="BB76" s="1143">
        <f>+BW76</f>
        <v>13.615409852354114</v>
      </c>
      <c r="BC76" s="1143"/>
      <c r="BD76" s="1143">
        <f>+BB76+BB197+BB299</f>
        <v>19.757700011310856</v>
      </c>
      <c r="BE76" s="1161">
        <f>+BD76/BD69-1</f>
        <v>-0.47411444141689374</v>
      </c>
      <c r="BF76" s="1154">
        <f>+$BF$73*BI4</f>
        <v>5.8351756510089059</v>
      </c>
      <c r="BG76" s="1155"/>
      <c r="BH76" s="1156"/>
      <c r="BI76" s="1157"/>
      <c r="BJ76" s="1158"/>
      <c r="BK76" s="1159">
        <f>+BK73*BI4</f>
        <v>7.7802342013452082</v>
      </c>
      <c r="BL76" s="1159"/>
      <c r="BM76" s="1159"/>
      <c r="BN76" s="1159"/>
      <c r="BO76" s="1159"/>
      <c r="BP76" s="1159"/>
      <c r="BQ76" s="1159"/>
      <c r="BR76" s="1159"/>
      <c r="BS76" s="1159"/>
      <c r="BT76" s="114"/>
      <c r="BU76" s="114"/>
      <c r="BW76" s="1157">
        <f>+SUM(BF76:BS76)</f>
        <v>13.615409852354114</v>
      </c>
      <c r="BX76" s="114"/>
      <c r="BY76" s="114"/>
      <c r="BZ76" s="114"/>
      <c r="CA76" s="114"/>
      <c r="CB76" s="114"/>
      <c r="CC76" s="114"/>
      <c r="CD76" s="114"/>
      <c r="CE76" s="114"/>
      <c r="CF76" s="114"/>
      <c r="CG76" s="114"/>
    </row>
    <row r="77" spans="1:85" hidden="1" outlineLevel="1">
      <c r="A77" s="114" t="s">
        <v>116</v>
      </c>
      <c r="B77" s="245" t="s">
        <v>97</v>
      </c>
      <c r="C77" s="114"/>
      <c r="D77" s="1088">
        <f>(S77/S70-1)*100</f>
        <v>12.458960328317348</v>
      </c>
      <c r="E77" s="114"/>
      <c r="F77" s="1046">
        <v>5</v>
      </c>
      <c r="G77" s="114"/>
      <c r="H77" s="1045">
        <f>D77-F77</f>
        <v>7.4589603283173478</v>
      </c>
      <c r="I77" s="114"/>
      <c r="J77" s="1047">
        <f>316+10</f>
        <v>326</v>
      </c>
      <c r="K77" s="1063">
        <f>J77-J76</f>
        <v>1</v>
      </c>
      <c r="L77" s="1122">
        <f>AVERAGE(J77,J76)</f>
        <v>325.5</v>
      </c>
      <c r="M77" s="1122">
        <f>AVERAGE(J77,J76)</f>
        <v>325.5</v>
      </c>
      <c r="N77" s="1123">
        <f>(M77/L70-1)*100</f>
        <v>-5.9248554913294837</v>
      </c>
      <c r="O77" s="246"/>
      <c r="P77" s="1124">
        <f>H77/N77*100</f>
        <v>-125.89269627306345</v>
      </c>
      <c r="Q77" s="310"/>
      <c r="R77" s="114"/>
      <c r="S77" s="1160">
        <f>AY77-AS77</f>
        <v>328.83</v>
      </c>
      <c r="T77" s="114"/>
      <c r="U77" s="1131">
        <f>S77/L77</f>
        <v>1.0102304147465437</v>
      </c>
      <c r="V77" s="114"/>
      <c r="W77" s="1126">
        <f>(U77/U70-1)*100</f>
        <v>19.541629104755167</v>
      </c>
      <c r="X77" s="246"/>
      <c r="Y77" s="114"/>
      <c r="Z77" s="1047">
        <v>2970</v>
      </c>
      <c r="AA77" s="1057"/>
      <c r="AB77" s="1127">
        <f>AVERAGE(Z77,Z76)</f>
        <v>2961</v>
      </c>
      <c r="AC77" s="114"/>
      <c r="AD77" s="1128">
        <f>(Z77/Z70-1)*100</f>
        <v>-4.1007426541814667</v>
      </c>
      <c r="AE77" s="246"/>
      <c r="AF77" s="1124">
        <f>+H77/AD77*100</f>
        <v>-181.89291446298284</v>
      </c>
      <c r="AG77" s="310"/>
      <c r="AH77" s="114"/>
      <c r="AI77" s="1132">
        <f>+S77</f>
        <v>328.83</v>
      </c>
      <c r="AJ77" s="114"/>
      <c r="AK77" s="1106">
        <f>AI77/AB77*1000</f>
        <v>111.05369807497468</v>
      </c>
      <c r="AL77" s="114"/>
      <c r="AM77" s="1126">
        <f>(AK77/AK70-1)*100</f>
        <v>17.890109037182398</v>
      </c>
      <c r="AN77" s="246"/>
      <c r="AO77" s="246"/>
      <c r="AP77" s="246"/>
      <c r="AQ77" s="246"/>
      <c r="AR77" s="246"/>
      <c r="AS77" s="1100">
        <f>qtrSales!$AS$133*(AV77/100)</f>
        <v>54.57</v>
      </c>
      <c r="AT77" s="114" t="s">
        <v>718</v>
      </c>
      <c r="AU77" s="1100">
        <f>(AS77/AS70-1)*100</f>
        <v>26.319444444444429</v>
      </c>
      <c r="AV77" s="1101">
        <f>+AV70-0.5</f>
        <v>53.5</v>
      </c>
      <c r="AW77" s="114" t="s">
        <v>718</v>
      </c>
      <c r="AX77" s="1075"/>
      <c r="AY77" s="1102">
        <v>383.4</v>
      </c>
      <c r="AZ77" s="1103">
        <f>AY77/AY70-1</f>
        <v>0.14243146603098911</v>
      </c>
      <c r="BA77" s="114"/>
      <c r="BB77" s="1143">
        <f>+BW77</f>
        <v>29.605767624434002</v>
      </c>
      <c r="BC77" s="1143"/>
      <c r="BD77" s="1143">
        <f>+BB77+BB198+BB300</f>
        <v>36.112529739694224</v>
      </c>
      <c r="BE77" s="1161">
        <f>+BD77/BD70-1</f>
        <v>-3.1827745524726225E-2</v>
      </c>
      <c r="BF77" s="1162">
        <f>+$BF$73*BI5</f>
        <v>6.181424009497209</v>
      </c>
      <c r="BG77" s="1163">
        <f>+BI5*BG80</f>
        <v>15.182444935607181</v>
      </c>
      <c r="BH77" s="1164"/>
      <c r="BI77" s="1157"/>
      <c r="BJ77" s="1158"/>
      <c r="BK77" s="1165">
        <f>+BK73*BI5</f>
        <v>8.2418986793296121</v>
      </c>
      <c r="BL77" s="1165"/>
      <c r="BM77" s="1165"/>
      <c r="BN77" s="1165"/>
      <c r="BO77" s="1165"/>
      <c r="BP77" s="1165"/>
      <c r="BQ77" s="1165"/>
      <c r="BR77" s="1165"/>
      <c r="BS77" s="1165"/>
      <c r="BT77" s="114"/>
      <c r="BU77" s="114"/>
      <c r="BW77" s="1157">
        <f>+SUM(BF77:BS77)</f>
        <v>29.605767624434002</v>
      </c>
      <c r="BX77" s="114"/>
      <c r="BY77" s="114"/>
      <c r="BZ77" s="114"/>
      <c r="CA77" s="114"/>
      <c r="CB77" s="114"/>
      <c r="CC77" s="114"/>
      <c r="CD77" s="114"/>
      <c r="CE77" s="114"/>
      <c r="CF77" s="114"/>
      <c r="CG77" s="114"/>
    </row>
    <row r="78" spans="1:85" hidden="1" outlineLevel="1">
      <c r="A78" s="114" t="s">
        <v>117</v>
      </c>
      <c r="B78" s="245" t="s">
        <v>99</v>
      </c>
      <c r="C78" s="114"/>
      <c r="D78" s="1088">
        <f>(S78/S71-1)*100</f>
        <v>9.577608447831043</v>
      </c>
      <c r="E78" s="114"/>
      <c r="F78" s="1046">
        <v>4</v>
      </c>
      <c r="G78" s="114"/>
      <c r="H78" s="1045">
        <f>D78-F78</f>
        <v>5.577608447831043</v>
      </c>
      <c r="I78" s="114"/>
      <c r="J78" s="1047">
        <f>316+10</f>
        <v>326</v>
      </c>
      <c r="K78" s="1063">
        <f>J78-J77</f>
        <v>0</v>
      </c>
      <c r="L78" s="1122">
        <f>AVERAGE(J78,J77)</f>
        <v>326</v>
      </c>
      <c r="M78" s="114"/>
      <c r="N78" s="1123">
        <f>(L78/L71-1)*100</f>
        <v>-5.7803468208092461</v>
      </c>
      <c r="O78" s="246"/>
      <c r="P78" s="1124">
        <f>H78/N78*100</f>
        <v>-96.492626147477097</v>
      </c>
      <c r="Q78" s="310"/>
      <c r="R78" s="114"/>
      <c r="S78" s="1160">
        <f>AY78-AS78</f>
        <v>365.26600000000002</v>
      </c>
      <c r="T78" s="114"/>
      <c r="U78" s="1131">
        <f>S78/L78</f>
        <v>1.1204478527607362</v>
      </c>
      <c r="V78" s="114"/>
      <c r="W78" s="1126">
        <f>(U78/U71-1)*100</f>
        <v>16.300161113342138</v>
      </c>
      <c r="X78" s="246"/>
      <c r="Y78" s="114"/>
      <c r="Z78" s="1047">
        <v>2970</v>
      </c>
      <c r="AA78" s="1057"/>
      <c r="AB78" s="1127">
        <f>AVERAGE(Z78,Z77)</f>
        <v>2970</v>
      </c>
      <c r="AC78" s="114"/>
      <c r="AD78" s="1128">
        <f>(Z78/Z71-1)*100</f>
        <v>-4.7466324567030149</v>
      </c>
      <c r="AE78" s="246"/>
      <c r="AF78" s="1124">
        <f>+H78/AD78*100</f>
        <v>-117.50664284011616</v>
      </c>
      <c r="AG78" s="310"/>
      <c r="AH78" s="114"/>
      <c r="AI78" s="1132">
        <f>+S78</f>
        <v>365.26600000000002</v>
      </c>
      <c r="AJ78" s="114"/>
      <c r="AK78" s="1106">
        <f>AI78/AB78*1000</f>
        <v>122.9851851851852</v>
      </c>
      <c r="AL78" s="114"/>
      <c r="AM78" s="1126">
        <f>(AK78/AK71-1)*100</f>
        <v>14.65064587597138</v>
      </c>
      <c r="AN78" s="246"/>
      <c r="AO78" s="246"/>
      <c r="AP78" s="246"/>
      <c r="AQ78" s="246"/>
      <c r="AR78" s="246"/>
      <c r="AS78" s="1100">
        <f>qtrSales!$AS$134*(AV78/100)</f>
        <v>70.834000000000003</v>
      </c>
      <c r="AT78" s="114" t="s">
        <v>718</v>
      </c>
      <c r="AU78" s="1100">
        <f>(AS78/AS71-1)*100</f>
        <v>39.546887312844746</v>
      </c>
      <c r="AV78" s="1101">
        <f>+AV71-0.5</f>
        <v>53.5</v>
      </c>
      <c r="AW78" s="114" t="s">
        <v>718</v>
      </c>
      <c r="AX78" s="1075"/>
      <c r="AY78" s="1102">
        <v>436.1</v>
      </c>
      <c r="AZ78" s="1103">
        <f>AY78/AY71-1</f>
        <v>0.13538141109086177</v>
      </c>
      <c r="BA78" s="114"/>
      <c r="BB78" s="1143">
        <f>+BW78</f>
        <v>34.949341618366361</v>
      </c>
      <c r="BC78" s="1143"/>
      <c r="BD78" s="1143">
        <f>+BB78+BB199+BB301</f>
        <v>42.6305156004249</v>
      </c>
      <c r="BE78" s="1161">
        <f>+BD78/BD71-1</f>
        <v>0.33200000000000007</v>
      </c>
      <c r="BF78" s="1162">
        <f>+$BF$73*BI6</f>
        <v>7.2971152829556134</v>
      </c>
      <c r="BG78" s="1163">
        <f>+BG80*BI6</f>
        <v>17.922739291469927</v>
      </c>
      <c r="BH78" s="1164"/>
      <c r="BI78" s="1157"/>
      <c r="BJ78" s="1158"/>
      <c r="BK78" s="1165">
        <f>+BK73*BI6</f>
        <v>9.7294870439408179</v>
      </c>
      <c r="BL78" s="1165"/>
      <c r="BM78" s="1165"/>
      <c r="BN78" s="1165"/>
      <c r="BO78" s="1165"/>
      <c r="BP78" s="1165"/>
      <c r="BQ78" s="1165"/>
      <c r="BR78" s="1165"/>
      <c r="BS78" s="1165"/>
      <c r="BT78" s="114"/>
      <c r="BU78" s="114"/>
      <c r="BW78" s="1157">
        <f>+SUM(BF78:BS78)</f>
        <v>34.949341618366361</v>
      </c>
      <c r="BX78" s="114"/>
      <c r="BY78" s="114"/>
      <c r="BZ78" s="114"/>
      <c r="CA78" s="114"/>
      <c r="CB78" s="114"/>
      <c r="CC78" s="114"/>
      <c r="CD78" s="114"/>
      <c r="CE78" s="114"/>
      <c r="CF78" s="114"/>
      <c r="CG78" s="114"/>
    </row>
    <row r="79" spans="1:85" hidden="1" outlineLevel="1">
      <c r="A79" s="114" t="s">
        <v>118</v>
      </c>
      <c r="B79" s="245" t="s">
        <v>100</v>
      </c>
      <c r="C79" s="114"/>
      <c r="D79" s="1061">
        <f>(S79/S72-1)*100</f>
        <v>-0.54915184797085237</v>
      </c>
      <c r="E79" s="114"/>
      <c r="F79" s="1104">
        <v>-4</v>
      </c>
      <c r="G79" s="114"/>
      <c r="H79" s="1061">
        <f>D79-F79</f>
        <v>3.4508481520291476</v>
      </c>
      <c r="I79" s="114"/>
      <c r="J79" s="1063">
        <f>squft!$CI$14</f>
        <v>294</v>
      </c>
      <c r="K79" s="1063">
        <f>J79-J78</f>
        <v>-32</v>
      </c>
      <c r="L79" s="1108">
        <f>AVERAGE(J79,J78)</f>
        <v>310</v>
      </c>
      <c r="M79" s="114"/>
      <c r="N79" s="1107">
        <f>(L79/L72-1)*100</f>
        <v>-7.7380952380952328</v>
      </c>
      <c r="O79" s="246"/>
      <c r="P79" s="1108">
        <f>H79/N79*100</f>
        <v>-44.595576118530559</v>
      </c>
      <c r="Q79" s="310"/>
      <c r="R79" s="114"/>
      <c r="S79" s="1092">
        <f>AY79-AS79</f>
        <v>378.67799999999988</v>
      </c>
      <c r="T79" s="114"/>
      <c r="U79" s="1133">
        <f>S79/L79</f>
        <v>1.2215419354838706</v>
      </c>
      <c r="V79" s="114"/>
      <c r="W79" s="1134">
        <f>(U79/U72-1)*100</f>
        <v>7.7918870292961184</v>
      </c>
      <c r="X79" s="246"/>
      <c r="Y79" s="114"/>
      <c r="Z79" s="1063">
        <f>squft!CK14</f>
        <v>2777.75</v>
      </c>
      <c r="AA79" s="1057"/>
      <c r="AB79" s="1110">
        <f>AVERAGE(Z79,Z78)</f>
        <v>2873.875</v>
      </c>
      <c r="AC79" s="114"/>
      <c r="AD79" s="1107">
        <f>(Z79/Z72-1)*100</f>
        <v>-6.0062600456814108</v>
      </c>
      <c r="AE79" s="246"/>
      <c r="AF79" s="1108">
        <f>+H79/AD79*100</f>
        <v>-57.45419155653039</v>
      </c>
      <c r="AG79" s="310"/>
      <c r="AH79" s="114"/>
      <c r="AI79" s="1111">
        <f>+S79</f>
        <v>378.67799999999988</v>
      </c>
      <c r="AJ79" s="114"/>
      <c r="AK79" s="1135">
        <f>AI79/AB79*1000</f>
        <v>131.76564742725409</v>
      </c>
      <c r="AL79" s="114"/>
      <c r="AM79" s="1134">
        <f>(AK79/AK72-1)*100</f>
        <v>5.0828347682677633</v>
      </c>
      <c r="AN79" s="246"/>
      <c r="AO79" s="246"/>
      <c r="AP79" s="246"/>
      <c r="AQ79" s="246"/>
      <c r="AR79" s="246"/>
      <c r="AS79" s="1136">
        <f>qtrSales!$AS$135*(AV79/100)</f>
        <v>125.25700000000001</v>
      </c>
      <c r="AT79" s="1042" t="s">
        <v>718</v>
      </c>
      <c r="AU79" s="1136">
        <f>(AS79/AS72-1)*100</f>
        <v>40.689198144466566</v>
      </c>
      <c r="AV79" s="1137">
        <f>+AV72</f>
        <v>59</v>
      </c>
      <c r="AW79" s="1042" t="s">
        <v>718</v>
      </c>
      <c r="AX79" s="1075"/>
      <c r="AY79" s="1145">
        <f>1665.135-AY78-AY77-AY76</f>
        <v>503.93499999999989</v>
      </c>
      <c r="AZ79" s="1138">
        <f>AY79/AY72-1</f>
        <v>7.2658578118347972E-2</v>
      </c>
      <c r="BA79" s="114"/>
      <c r="BB79" s="1147">
        <f>+BW79</f>
        <v>50.846893602417971</v>
      </c>
      <c r="BC79" s="1143"/>
      <c r="BD79" s="1143">
        <f>+BB79+BB200+BB302</f>
        <v>50.846893602417971</v>
      </c>
      <c r="BE79" s="1161">
        <f>+BD79/BD72-1</f>
        <v>0.20903934504492838</v>
      </c>
      <c r="BF79" s="1166">
        <f>$BF$73*BI14</f>
        <v>0</v>
      </c>
      <c r="BG79" s="1167">
        <f>+BG80*BI7</f>
        <v>22.562805402023823</v>
      </c>
      <c r="BH79" s="1168">
        <f>+BH80*BI7</f>
        <v>7.2523303077933718</v>
      </c>
      <c r="BI79" s="1157"/>
      <c r="BJ79" s="1158"/>
      <c r="BK79" s="1169">
        <v>0</v>
      </c>
      <c r="BL79" s="1169">
        <f>+BL80*BI7*90%</f>
        <v>8.7027963693520469</v>
      </c>
      <c r="BM79" s="1169">
        <f>+BM80*BI7*90%</f>
        <v>5.0766312154553601</v>
      </c>
      <c r="BN79" s="1169">
        <f>+BN80*BI7*90%</f>
        <v>7.2523303077933718</v>
      </c>
      <c r="BO79" s="1169"/>
      <c r="BP79" s="1169"/>
      <c r="BQ79" s="1169"/>
      <c r="BR79" s="1169"/>
      <c r="BS79" s="1169"/>
      <c r="BT79" s="114"/>
      <c r="BU79" s="114"/>
      <c r="BW79" s="1157">
        <f>+SUM(BF79:BS79)</f>
        <v>50.846893602417971</v>
      </c>
      <c r="BX79" s="1171">
        <f>+BS80-BS79+BN80-BN79+BM80-BM79+BL80-BL79+(BH80-BH79-BH78)+(BG80-BG79-BG78-BG77)</f>
        <v>99.047922170504933</v>
      </c>
      <c r="BY79" s="114"/>
      <c r="BZ79" s="114"/>
      <c r="CA79" s="114"/>
      <c r="CB79" s="114"/>
      <c r="CC79" s="114"/>
      <c r="CD79" s="114"/>
      <c r="CE79" s="114"/>
      <c r="CF79" s="114"/>
      <c r="CG79" s="114"/>
    </row>
    <row r="80" spans="1:85" hidden="1" outlineLevel="1">
      <c r="A80" s="114"/>
      <c r="B80" s="245" t="s">
        <v>119</v>
      </c>
      <c r="C80" s="114"/>
      <c r="D80" s="1123">
        <f>(S80/S73-1)*100</f>
        <v>7.0174630345249289</v>
      </c>
      <c r="E80" s="114"/>
      <c r="F80" s="1139">
        <f>S76/S80*F76+S77/S80*F77+S78/S80*F78+S79/S80*F79</f>
        <v>2.8105568878586737</v>
      </c>
      <c r="G80" s="114"/>
      <c r="H80" s="1123">
        <f>D80-F80</f>
        <v>4.2069061466662552</v>
      </c>
      <c r="I80" s="114"/>
      <c r="J80" s="114"/>
      <c r="K80" s="114"/>
      <c r="L80" s="1122">
        <f>AVERAGE(L76:L79)</f>
        <v>321.625</v>
      </c>
      <c r="M80" s="114"/>
      <c r="N80" s="1123">
        <f>(L80/L73-1)*100</f>
        <v>-6.4023281193161141</v>
      </c>
      <c r="O80" s="246"/>
      <c r="P80" s="1049" t="s">
        <v>251</v>
      </c>
      <c r="Q80" s="310"/>
      <c r="R80" s="114"/>
      <c r="S80" s="1095">
        <f>SUM(S76:S79)</f>
        <v>1347.2909999999999</v>
      </c>
      <c r="T80" s="114"/>
      <c r="U80" s="1125">
        <f>SUM(U76:U79)</f>
        <v>4.1968878952988433</v>
      </c>
      <c r="V80" s="114"/>
      <c r="W80" s="1126">
        <f>(U80/U73-1)*100</f>
        <v>14.348230606148515</v>
      </c>
      <c r="X80" s="246"/>
      <c r="Y80" s="114"/>
      <c r="Z80" s="114"/>
      <c r="AA80" s="114"/>
      <c r="AB80" s="1127">
        <f>AVERAGE(AB76:AB79)</f>
        <v>2939.625</v>
      </c>
      <c r="AC80" s="114"/>
      <c r="AD80" s="1128">
        <f>(Z79/Z72-1)*100</f>
        <v>-6.0062600456814108</v>
      </c>
      <c r="AE80" s="246"/>
      <c r="AF80" s="1124">
        <f>+H80/AD80*100</f>
        <v>-70.042024732030754</v>
      </c>
      <c r="AG80" s="310"/>
      <c r="AH80" s="114"/>
      <c r="AI80" s="1129">
        <f>SUM(AI76:AI79)</f>
        <v>1347.2909999999999</v>
      </c>
      <c r="AJ80" s="114"/>
      <c r="AK80" s="1097">
        <f>SUM(AK76:AK79)</f>
        <v>458.74693197396857</v>
      </c>
      <c r="AL80" s="114"/>
      <c r="AM80" s="1126">
        <f>(AK80/AK73-1)*100</f>
        <v>12.432075198746983</v>
      </c>
      <c r="AN80" s="246"/>
      <c r="AO80" s="246"/>
      <c r="AP80" s="246"/>
      <c r="AQ80" s="246"/>
      <c r="AR80" s="246"/>
      <c r="AS80" s="1100">
        <f>SUM(AS76:AS79)</f>
        <v>317.84400000000005</v>
      </c>
      <c r="AT80" s="114" t="s">
        <v>718</v>
      </c>
      <c r="AU80" s="1100">
        <f>(AS80/AS73-1)*100</f>
        <v>35.682909649740701</v>
      </c>
      <c r="AV80" s="1124">
        <f>(AS80/qtrSales!AS136)*100</f>
        <v>57.528325791855217</v>
      </c>
      <c r="AW80" s="114" t="s">
        <v>718</v>
      </c>
      <c r="AX80" s="1075"/>
      <c r="AY80" s="1142">
        <f>SUM(AY76:AY79)</f>
        <v>1665.1349999999998</v>
      </c>
      <c r="AZ80" s="1103">
        <f>AY80/AY73-1</f>
        <v>0.11514532547548861</v>
      </c>
      <c r="BA80" s="114"/>
      <c r="BB80" s="1143">
        <f>SUM(BB76:BB79)</f>
        <v>129.01741269757244</v>
      </c>
      <c r="BC80" s="310"/>
      <c r="BD80" s="1143"/>
      <c r="BE80" s="1161"/>
      <c r="BF80" s="1170">
        <f>+BF73</f>
        <v>28.5</v>
      </c>
      <c r="BG80" s="1170">
        <f>+BU286</f>
        <v>70</v>
      </c>
      <c r="BH80" s="1170">
        <f>+BV286</f>
        <v>22.5</v>
      </c>
      <c r="BI80" s="246"/>
      <c r="BJ80" s="1158"/>
      <c r="BK80" s="1171">
        <f>SUM(BK76:BK79)+BK72</f>
        <v>38</v>
      </c>
      <c r="BL80" s="1171">
        <f>BW286</f>
        <v>30</v>
      </c>
      <c r="BM80" s="1171">
        <f t="shared" ref="BM80:BS80" si="0">BX286</f>
        <v>17.5</v>
      </c>
      <c r="BN80" s="1171">
        <f t="shared" si="0"/>
        <v>25</v>
      </c>
      <c r="BO80" s="1171">
        <f t="shared" si="0"/>
        <v>15</v>
      </c>
      <c r="BP80" s="1171">
        <f t="shared" si="0"/>
        <v>25</v>
      </c>
      <c r="BQ80" s="1171">
        <f t="shared" si="0"/>
        <v>30</v>
      </c>
      <c r="BR80" s="1171">
        <f t="shared" si="0"/>
        <v>27.5</v>
      </c>
      <c r="BS80" s="1171">
        <f t="shared" si="0"/>
        <v>18</v>
      </c>
      <c r="BT80" s="114"/>
      <c r="BU80" s="114"/>
      <c r="BW80" s="114"/>
      <c r="BX80" s="114"/>
      <c r="BY80" s="114"/>
      <c r="BZ80" s="114"/>
      <c r="CA80" s="114"/>
      <c r="CB80" s="114"/>
      <c r="CC80" s="114"/>
      <c r="CD80" s="114"/>
      <c r="CE80" s="114"/>
      <c r="CF80" s="114"/>
      <c r="CG80" s="114"/>
    </row>
    <row r="81" spans="1:92" hidden="1" outlineLevel="1">
      <c r="A81" s="114"/>
      <c r="B81" s="245"/>
      <c r="C81" s="114"/>
      <c r="D81" s="1123"/>
      <c r="E81" s="114"/>
      <c r="F81" s="1139"/>
      <c r="G81" s="114"/>
      <c r="H81" s="1123"/>
      <c r="I81" s="114"/>
      <c r="J81" s="114"/>
      <c r="K81" s="114"/>
      <c r="L81" s="1122"/>
      <c r="M81" s="114"/>
      <c r="N81" s="1123"/>
      <c r="O81" s="246"/>
      <c r="P81" s="1049"/>
      <c r="Q81" s="310"/>
      <c r="R81" s="114"/>
      <c r="S81" s="1103"/>
      <c r="T81" s="114"/>
      <c r="U81" s="246"/>
      <c r="V81" s="114"/>
      <c r="W81" s="1126"/>
      <c r="X81" s="246"/>
      <c r="Y81" s="114"/>
      <c r="Z81" s="114"/>
      <c r="AA81" s="114"/>
      <c r="AB81" s="1127"/>
      <c r="AC81" s="114"/>
      <c r="AD81" s="1128"/>
      <c r="AE81" s="246"/>
      <c r="AF81" s="1124"/>
      <c r="AG81" s="310"/>
      <c r="AH81" s="114"/>
      <c r="AI81" s="1129"/>
      <c r="AJ81" s="114"/>
      <c r="AK81" s="1097"/>
      <c r="AL81" s="114"/>
      <c r="AM81" s="1126"/>
      <c r="AN81" s="246"/>
      <c r="AO81" s="246"/>
      <c r="AP81" s="246"/>
      <c r="AQ81" s="246"/>
      <c r="AR81" s="246"/>
      <c r="AS81" s="1100"/>
      <c r="AT81" s="114"/>
      <c r="AU81" s="1100"/>
      <c r="AV81" s="1124"/>
      <c r="AW81" s="114"/>
      <c r="AX81" s="1075"/>
      <c r="AY81" s="1142"/>
      <c r="AZ81" s="1103"/>
      <c r="BA81" s="114"/>
      <c r="BB81" s="1143"/>
      <c r="BC81" s="310"/>
      <c r="BD81" s="1143"/>
      <c r="BE81" s="1161"/>
      <c r="BF81" s="1170"/>
      <c r="BG81" s="1170"/>
      <c r="BH81" s="1170"/>
      <c r="BI81" s="246"/>
      <c r="BJ81" s="1158"/>
      <c r="BK81" s="1171"/>
      <c r="BL81" s="114"/>
      <c r="BM81" s="114"/>
      <c r="BN81" s="114"/>
      <c r="BO81" s="114"/>
      <c r="BP81" s="114"/>
      <c r="BQ81" s="114"/>
      <c r="BR81" s="114"/>
      <c r="BS81" s="114"/>
      <c r="BT81" s="114"/>
      <c r="BU81" s="114"/>
      <c r="BW81" s="114"/>
      <c r="BX81" s="114"/>
      <c r="BY81" s="114"/>
      <c r="BZ81" s="114"/>
      <c r="CA81" s="114"/>
      <c r="CB81" s="114"/>
      <c r="CC81" s="114"/>
      <c r="CD81" s="114"/>
      <c r="CE81" s="114"/>
      <c r="CF81" s="114"/>
      <c r="CG81" s="114"/>
    </row>
    <row r="82" spans="1:92" collapsed="1">
      <c r="A82" s="1120"/>
      <c r="B82" s="1172">
        <v>2012</v>
      </c>
      <c r="C82" s="114"/>
      <c r="D82" s="246"/>
      <c r="E82" s="246"/>
      <c r="F82" s="246"/>
      <c r="G82" s="246"/>
      <c r="H82" s="246"/>
      <c r="I82" s="246"/>
      <c r="J82" s="1063"/>
      <c r="K82" s="114"/>
      <c r="L82" s="246"/>
      <c r="M82" s="114"/>
      <c r="N82" s="246"/>
      <c r="O82" s="246"/>
      <c r="P82" s="249"/>
      <c r="Q82" s="310"/>
      <c r="R82" s="114"/>
      <c r="S82" s="1103"/>
      <c r="T82" s="114"/>
      <c r="U82" s="246"/>
      <c r="V82" s="114"/>
      <c r="W82" s="114"/>
      <c r="X82" s="246"/>
      <c r="Y82" s="114"/>
      <c r="Z82" s="114"/>
      <c r="AA82" s="114"/>
      <c r="AB82" s="114"/>
      <c r="AC82" s="114"/>
      <c r="AD82" s="114"/>
      <c r="AE82" s="246"/>
      <c r="AF82" s="249"/>
      <c r="AG82" s="310"/>
      <c r="AH82" s="114"/>
      <c r="AI82" s="114"/>
      <c r="AJ82" s="114"/>
      <c r="AK82" s="246"/>
      <c r="AL82" s="114"/>
      <c r="AM82" s="246"/>
      <c r="AN82" s="246"/>
      <c r="AO82" s="246"/>
      <c r="AP82" s="246"/>
      <c r="AQ82" s="246"/>
      <c r="AR82" s="246"/>
      <c r="AS82" s="114"/>
      <c r="AT82" s="114"/>
      <c r="AU82" s="114"/>
      <c r="AV82" s="1121" t="s">
        <v>76</v>
      </c>
      <c r="AW82" s="114"/>
      <c r="AX82" s="310"/>
      <c r="AY82" s="114"/>
      <c r="AZ82" s="246"/>
      <c r="BA82" s="114"/>
      <c r="BB82" s="1146" t="s">
        <v>575</v>
      </c>
      <c r="BC82" s="310"/>
      <c r="BD82" s="310"/>
      <c r="BE82" s="1161"/>
      <c r="BF82" s="246"/>
      <c r="BG82" s="246" t="s">
        <v>2</v>
      </c>
      <c r="BH82" s="246" t="s">
        <v>3</v>
      </c>
      <c r="BI82" s="246"/>
      <c r="BJ82" s="249"/>
      <c r="BK82" s="246" t="s">
        <v>652</v>
      </c>
      <c r="BL82" s="246" t="s">
        <v>588</v>
      </c>
      <c r="BM82" s="246" t="s">
        <v>589</v>
      </c>
      <c r="BN82" s="246" t="s">
        <v>590</v>
      </c>
      <c r="BO82" s="246" t="str">
        <f>BO75</f>
        <v>Hamburg</v>
      </c>
      <c r="BP82" s="246" t="str">
        <f>BP75</f>
        <v>Hong Kong</v>
      </c>
      <c r="BQ82" s="246" t="str">
        <f>BQ75</f>
        <v>Munich</v>
      </c>
      <c r="BR82" s="246" t="str">
        <f>BR75</f>
        <v>Amsterdam</v>
      </c>
      <c r="BS82" s="246" t="str">
        <f>BS75</f>
        <v>Dublin</v>
      </c>
      <c r="BT82" s="114"/>
      <c r="BU82" s="114"/>
      <c r="BW82" s="114"/>
      <c r="BX82" s="114"/>
      <c r="BY82" s="114"/>
      <c r="BZ82" s="114"/>
      <c r="CA82" s="114"/>
      <c r="CB82" s="114"/>
      <c r="CC82" s="114"/>
      <c r="CD82" s="114"/>
      <c r="CE82" s="114"/>
      <c r="CF82" s="114"/>
      <c r="CG82" s="114"/>
      <c r="CH82" s="114"/>
      <c r="CI82" s="114"/>
      <c r="CJ82" s="114"/>
      <c r="CK82" s="114"/>
      <c r="CL82" s="114"/>
      <c r="CM82" s="114"/>
      <c r="CN82" s="114"/>
    </row>
    <row r="83" spans="1:92">
      <c r="A83" s="114" t="s">
        <v>115</v>
      </c>
      <c r="B83" s="245" t="s">
        <v>96</v>
      </c>
      <c r="C83" s="114"/>
      <c r="D83" s="1088">
        <f>(S83/S76-1)*100</f>
        <v>-2.7427336011977443</v>
      </c>
      <c r="E83" s="246" t="s">
        <v>76</v>
      </c>
      <c r="F83" s="1046">
        <v>-4</v>
      </c>
      <c r="G83" s="246" t="s">
        <v>76</v>
      </c>
      <c r="H83" s="1045">
        <f>D83-F83</f>
        <v>1.2572663988022557</v>
      </c>
      <c r="I83" s="246" t="s">
        <v>76</v>
      </c>
      <c r="J83" s="1047">
        <f>279+15</f>
        <v>294</v>
      </c>
      <c r="K83" s="1063">
        <f>J83-J79</f>
        <v>0</v>
      </c>
      <c r="L83" s="1122">
        <f>AVERAGE(J83,J79)</f>
        <v>294</v>
      </c>
      <c r="M83" s="114"/>
      <c r="N83" s="1123">
        <f>(L83/L76-1)*100</f>
        <v>-9.5384615384615401</v>
      </c>
      <c r="O83" s="246" t="s">
        <v>76</v>
      </c>
      <c r="P83" s="1124">
        <f>H83/N83*100</f>
        <v>-13.18101869712042</v>
      </c>
      <c r="Q83" s="310" t="s">
        <v>76</v>
      </c>
      <c r="R83" s="114"/>
      <c r="S83" s="1160">
        <f>AY83-AS83</f>
        <v>266.98773</v>
      </c>
      <c r="T83" s="114"/>
      <c r="U83" s="1125">
        <f>S83/L83</f>
        <v>0.90812153061224488</v>
      </c>
      <c r="V83" s="114"/>
      <c r="W83" s="1126">
        <f>(U83/U76-1)*100</f>
        <v>7.512284284390236</v>
      </c>
      <c r="X83" s="246" t="s">
        <v>76</v>
      </c>
      <c r="Y83" s="114"/>
      <c r="Z83" s="1047">
        <v>2788</v>
      </c>
      <c r="AA83" s="114"/>
      <c r="AB83" s="1127">
        <f>AVERAGE(Z83,Z79)</f>
        <v>2782.875</v>
      </c>
      <c r="AC83" s="114"/>
      <c r="AD83" s="1128">
        <f>(Z83/Z76-1)*100</f>
        <v>-5.555555555555558</v>
      </c>
      <c r="AE83" s="246" t="s">
        <v>76</v>
      </c>
      <c r="AF83" s="1124">
        <f>+H83/AD83*100</f>
        <v>-22.630795178440589</v>
      </c>
      <c r="AG83" s="310" t="s">
        <v>76</v>
      </c>
      <c r="AH83" s="114"/>
      <c r="AI83" s="1129">
        <f>+S83</f>
        <v>266.98773</v>
      </c>
      <c r="AJ83" s="114"/>
      <c r="AK83" s="1097">
        <f>AI83/AB83*1000</f>
        <v>95.939533755558557</v>
      </c>
      <c r="AL83" s="114"/>
      <c r="AM83" s="1126">
        <f>(AK83/AK76-1)*100</f>
        <v>3.224720286452798</v>
      </c>
      <c r="AN83" s="246" t="s">
        <v>76</v>
      </c>
      <c r="AO83" s="246"/>
      <c r="AP83" s="246"/>
      <c r="AQ83" s="246"/>
      <c r="AR83" s="246"/>
      <c r="AS83" s="1100">
        <f>qtrSales!$AS$139*(AV83/100)</f>
        <v>93.384270000000015</v>
      </c>
      <c r="AT83" s="114" t="s">
        <v>718</v>
      </c>
      <c r="AU83" s="1100">
        <f>(AS83/AS76-1)*100</f>
        <v>38.999851152821407</v>
      </c>
      <c r="AV83" s="1101">
        <f>+AV76-0.5</f>
        <v>63</v>
      </c>
      <c r="AW83" s="114" t="s">
        <v>718</v>
      </c>
      <c r="AX83" s="1075"/>
      <c r="AY83" s="1130">
        <v>360.37200000000001</v>
      </c>
      <c r="AZ83" s="1103">
        <f>AY83/AY76-1</f>
        <v>5.4644424934152891E-2</v>
      </c>
      <c r="BA83" s="114"/>
      <c r="BB83" s="1143">
        <f>+BW83</f>
        <v>42.013390905386842</v>
      </c>
      <c r="BC83" s="1143"/>
      <c r="BD83" s="1143">
        <f>+BB83+BB216+BB327</f>
        <v>42.013390905386842</v>
      </c>
      <c r="BE83" s="1161">
        <f>+BD83/BD76-1</f>
        <v>1.1264312587667131</v>
      </c>
      <c r="BF83" s="1154"/>
      <c r="BG83" s="1155">
        <f>+BG87*$BI$7</f>
        <v>22.562805402023823</v>
      </c>
      <c r="BH83" s="1156">
        <f>+BH87*$BI$4</f>
        <v>4.606717619217557</v>
      </c>
      <c r="BI83" s="1157"/>
      <c r="BJ83" s="1158"/>
      <c r="BK83" s="1159"/>
      <c r="BL83" s="1159">
        <f>+BL87*$BI$4</f>
        <v>6.1422901589567429</v>
      </c>
      <c r="BM83" s="1159">
        <f>+BM87*$BI$4</f>
        <v>3.5830025927247666</v>
      </c>
      <c r="BN83" s="1159">
        <f>+BN87*$BI$4</f>
        <v>5.1185751324639526</v>
      </c>
      <c r="BO83" s="1159"/>
      <c r="BP83" s="1159"/>
      <c r="BQ83" s="1159"/>
      <c r="BR83" s="1159"/>
      <c r="BS83" s="1159"/>
      <c r="BT83" s="114"/>
      <c r="BU83" s="114"/>
      <c r="BW83" s="1157">
        <f>+SUM(BF83:BS83)</f>
        <v>42.013390905386842</v>
      </c>
      <c r="BX83" s="114"/>
      <c r="BY83" s="114"/>
      <c r="BZ83" s="114"/>
      <c r="CA83" s="114"/>
      <c r="CB83" s="114"/>
      <c r="CC83" s="114"/>
      <c r="CD83" s="114"/>
      <c r="CE83" s="114"/>
      <c r="CF83" s="114"/>
      <c r="CG83" s="114"/>
      <c r="CH83" s="114"/>
      <c r="CI83" s="114"/>
      <c r="CJ83" s="114"/>
      <c r="CK83" s="114"/>
      <c r="CL83" s="114"/>
      <c r="CM83" s="114"/>
      <c r="CN83" s="114"/>
    </row>
    <row r="84" spans="1:92">
      <c r="A84" s="114" t="s">
        <v>116</v>
      </c>
      <c r="B84" s="245" t="s">
        <v>97</v>
      </c>
      <c r="C84" s="114"/>
      <c r="D84" s="1088">
        <f>(S84/S77-1)*100</f>
        <v>-10.148861113645346</v>
      </c>
      <c r="E84" s="114"/>
      <c r="F84" s="1046">
        <v>-11</v>
      </c>
      <c r="G84" s="114"/>
      <c r="H84" s="1045">
        <f>D84-F84</f>
        <v>0.85113888635465429</v>
      </c>
      <c r="I84" s="114"/>
      <c r="J84" s="1047">
        <f>278+15</f>
        <v>293</v>
      </c>
      <c r="K84" s="1063">
        <f>J84-J83</f>
        <v>-1</v>
      </c>
      <c r="L84" s="1122">
        <f>AVERAGE(J84,J83)</f>
        <v>293.5</v>
      </c>
      <c r="M84" s="1122">
        <f>AVERAGE(J84,J83)</f>
        <v>293.5</v>
      </c>
      <c r="N84" s="1123">
        <f>(L84/L77-1)*100</f>
        <v>-9.8310291858679015</v>
      </c>
      <c r="O84" s="246"/>
      <c r="P84" s="1124">
        <f>H84/N84*100</f>
        <v>-8.6576783596387443</v>
      </c>
      <c r="Q84" s="310"/>
      <c r="R84" s="114"/>
      <c r="S84" s="1160">
        <f>AY84-AS84</f>
        <v>295.45749999999998</v>
      </c>
      <c r="T84" s="114"/>
      <c r="U84" s="1131">
        <f>S84/L84</f>
        <v>1.0066695059625212</v>
      </c>
      <c r="V84" s="114"/>
      <c r="W84" s="1126">
        <f>(U84/U77-1)*100</f>
        <v>-0.35248481257772468</v>
      </c>
      <c r="X84" s="246"/>
      <c r="Y84" s="114"/>
      <c r="Z84" s="1063">
        <f>+Z83+(J84-J83)*(squft!$CN$10/1000)</f>
        <v>2779.2</v>
      </c>
      <c r="AA84" s="1057"/>
      <c r="AB84" s="1127">
        <f>AVERAGE(Z84,Z83)</f>
        <v>2783.6</v>
      </c>
      <c r="AC84" s="114"/>
      <c r="AD84" s="1128">
        <f>(Z84/Z77-1)*100</f>
        <v>-6.4242424242424327</v>
      </c>
      <c r="AE84" s="246"/>
      <c r="AF84" s="1124">
        <f>+H84/AD84*100</f>
        <v>-13.248860023445072</v>
      </c>
      <c r="AG84" s="310"/>
      <c r="AH84" s="114"/>
      <c r="AI84" s="1132">
        <f>+S84</f>
        <v>295.45749999999998</v>
      </c>
      <c r="AJ84" s="114"/>
      <c r="AK84" s="1106">
        <f>AI84/AB84*1000</f>
        <v>106.14222589452507</v>
      </c>
      <c r="AL84" s="114"/>
      <c r="AM84" s="1126">
        <f>(AK84/AK77-1)*100</f>
        <v>-4.4226102017186015</v>
      </c>
      <c r="AN84" s="246"/>
      <c r="AO84" s="246"/>
      <c r="AP84" s="246"/>
      <c r="AQ84" s="246"/>
      <c r="AR84" s="246"/>
      <c r="AS84" s="1100">
        <f>qtrSales!$AS$140*(AV84/100)</f>
        <v>67.042500000000004</v>
      </c>
      <c r="AT84" s="114" t="s">
        <v>718</v>
      </c>
      <c r="AU84" s="1100">
        <f>(AS84/AS77-1)*100</f>
        <v>22.855964815832873</v>
      </c>
      <c r="AV84" s="1101">
        <f>+AV77-1</f>
        <v>52.5</v>
      </c>
      <c r="AW84" s="114" t="s">
        <v>718</v>
      </c>
      <c r="AX84" s="1075"/>
      <c r="AY84" s="1130">
        <v>362.5</v>
      </c>
      <c r="AZ84" s="1103">
        <f>AY84/AY77-1</f>
        <v>-5.4512258737610786E-2</v>
      </c>
      <c r="BA84" s="114"/>
      <c r="BB84" s="1143">
        <f>+BW84</f>
        <v>23.85812775595414</v>
      </c>
      <c r="BC84" s="1143"/>
      <c r="BD84" s="1143">
        <f>+BB84+BB233+BB328</f>
        <v>23.85812775595414</v>
      </c>
      <c r="BE84" s="1161">
        <f>+BD84/BD77-1</f>
        <v>-0.33933933933933935</v>
      </c>
      <c r="BF84" s="1162"/>
      <c r="BG84" s="1163"/>
      <c r="BH84" s="1164">
        <f>+BH87*$BI$5</f>
        <v>4.8800715864451654</v>
      </c>
      <c r="BI84" s="1157"/>
      <c r="BJ84" s="1158"/>
      <c r="BK84" s="1165"/>
      <c r="BL84" s="1165">
        <f>+BL87*$BI$5</f>
        <v>6.5067621152602202</v>
      </c>
      <c r="BM84" s="1165">
        <f>+BM87*$BI$5</f>
        <v>3.7956112339017953</v>
      </c>
      <c r="BN84" s="1165">
        <f>+BN87*$BI$5</f>
        <v>5.4223017627168506</v>
      </c>
      <c r="BO84" s="1165">
        <f>+BO87*$BI$5</f>
        <v>3.2533810576301101</v>
      </c>
      <c r="BP84" s="1165"/>
      <c r="BQ84" s="1165"/>
      <c r="BR84" s="1165"/>
      <c r="BS84" s="1165"/>
      <c r="BT84" s="114"/>
      <c r="BU84" s="114"/>
      <c r="BW84" s="1157">
        <f>+SUM(BF84:BS84)</f>
        <v>23.85812775595414</v>
      </c>
      <c r="BX84" s="114"/>
      <c r="BY84" s="114"/>
      <c r="BZ84" s="114"/>
      <c r="CA84" s="114"/>
      <c r="CB84" s="114"/>
      <c r="CC84" s="114"/>
      <c r="CD84" s="114"/>
      <c r="CE84" s="114"/>
      <c r="CF84" s="114"/>
      <c r="CG84" s="114"/>
      <c r="CH84" s="114"/>
      <c r="CI84" s="114"/>
      <c r="CJ84" s="114"/>
      <c r="CK84" s="114"/>
      <c r="CL84" s="114"/>
      <c r="CM84" s="114"/>
      <c r="CN84" s="114"/>
    </row>
    <row r="85" spans="1:92">
      <c r="A85" s="114" t="s">
        <v>117</v>
      </c>
      <c r="B85" s="245" t="s">
        <v>99</v>
      </c>
      <c r="C85" s="114"/>
      <c r="D85" s="1088">
        <f>(S85/S78-1)*100</f>
        <v>-2.509130332415288</v>
      </c>
      <c r="E85" s="114"/>
      <c r="F85" s="1046">
        <v>-4</v>
      </c>
      <c r="G85" s="114"/>
      <c r="H85" s="1045">
        <f>D85-F85</f>
        <v>1.490869667584712</v>
      </c>
      <c r="I85" s="114"/>
      <c r="J85" s="1047">
        <f>278+17</f>
        <v>295</v>
      </c>
      <c r="K85" s="1063">
        <f>J85-J84</f>
        <v>2</v>
      </c>
      <c r="L85" s="1122">
        <f>AVERAGE(J85,J84)</f>
        <v>294</v>
      </c>
      <c r="M85" s="114"/>
      <c r="N85" s="1123">
        <f>(L85/L78-1)*100</f>
        <v>-9.8159509202453972</v>
      </c>
      <c r="O85" s="246"/>
      <c r="P85" s="1124">
        <f>H85/N85*100</f>
        <v>-15.188234738519254</v>
      </c>
      <c r="Q85" s="310"/>
      <c r="R85" s="114"/>
      <c r="S85" s="1160">
        <f>AY85-AS85</f>
        <v>356.101</v>
      </c>
      <c r="T85" s="114"/>
      <c r="U85" s="1131">
        <f>S85/L85</f>
        <v>1.2112278911564627</v>
      </c>
      <c r="V85" s="114"/>
      <c r="W85" s="1126">
        <f>(U85/U78-1)*100</f>
        <v>8.1021207878660526</v>
      </c>
      <c r="X85" s="246"/>
      <c r="Y85" s="114"/>
      <c r="Z85" s="1063">
        <f>+Z84+(J85-J84)*(squft!$CN$10/1000)</f>
        <v>2796.7999999999997</v>
      </c>
      <c r="AA85" s="1057"/>
      <c r="AB85" s="1127">
        <f>AVERAGE(Z85,Z84)</f>
        <v>2788</v>
      </c>
      <c r="AC85" s="114"/>
      <c r="AD85" s="1128">
        <f>(Z85/Z78-1)*100</f>
        <v>-5.8316498316498429</v>
      </c>
      <c r="AE85" s="246"/>
      <c r="AF85" s="1124">
        <f>+H85/AD85*100</f>
        <v>-25.565143837913311</v>
      </c>
      <c r="AG85" s="310"/>
      <c r="AH85" s="114"/>
      <c r="AI85" s="1132">
        <f>+S85</f>
        <v>356.101</v>
      </c>
      <c r="AJ85" s="114"/>
      <c r="AK85" s="1106">
        <f>AI85/AB85*1000</f>
        <v>127.72632711621235</v>
      </c>
      <c r="AL85" s="114"/>
      <c r="AM85" s="1126">
        <f>(AK85/AK78-1)*100</f>
        <v>3.855051259944986</v>
      </c>
      <c r="AN85" s="246"/>
      <c r="AO85" s="246"/>
      <c r="AP85" s="246"/>
      <c r="AQ85" s="246"/>
      <c r="AR85" s="246"/>
      <c r="AS85" s="1100">
        <f>qtrSales!$AS$141*(AV85/100)</f>
        <v>83.899000000000015</v>
      </c>
      <c r="AT85" s="114" t="s">
        <v>718</v>
      </c>
      <c r="AU85" s="1100">
        <f>(AS85/AS78-1)*100</f>
        <v>18.444532286754956</v>
      </c>
      <c r="AV85" s="1101">
        <f>+AV78-0.5</f>
        <v>53</v>
      </c>
      <c r="AW85" s="114" t="s">
        <v>718</v>
      </c>
      <c r="AX85" s="1075"/>
      <c r="AY85" s="1102">
        <v>440</v>
      </c>
      <c r="AZ85" s="1103">
        <f>AY85/AY78-1</f>
        <v>8.9429030038981061E-3</v>
      </c>
      <c r="BA85" s="114"/>
      <c r="BB85" s="1143">
        <f>+BW85</f>
        <v>39.045967742130912</v>
      </c>
      <c r="BC85" s="1143"/>
      <c r="BD85" s="1143">
        <f>+BB85+BB204+BB301</f>
        <v>46.727141724189451</v>
      </c>
      <c r="BE85" s="1161">
        <f>+BD85/BD78-1</f>
        <v>9.6096096096095929E-2</v>
      </c>
      <c r="BF85" s="1162"/>
      <c r="BG85" s="1163"/>
      <c r="BH85" s="1164">
        <f>+BH87*$BI$6</f>
        <v>5.7608804865439049</v>
      </c>
      <c r="BI85" s="1157"/>
      <c r="BJ85" s="1158"/>
      <c r="BK85" s="1165"/>
      <c r="BL85" s="1165">
        <f t="shared" ref="BL85:BQ85" si="1">+BL87*$BI$6</f>
        <v>7.6811739820585405</v>
      </c>
      <c r="BM85" s="1165">
        <f t="shared" si="1"/>
        <v>4.4806848228674818</v>
      </c>
      <c r="BN85" s="1165">
        <f t="shared" si="1"/>
        <v>6.4009783183821165</v>
      </c>
      <c r="BO85" s="1165">
        <f t="shared" si="1"/>
        <v>3.8405869910292703</v>
      </c>
      <c r="BP85" s="1165">
        <f>+BP87*$BI$6*0.5</f>
        <v>3.2004891591910583</v>
      </c>
      <c r="BQ85" s="1165">
        <f t="shared" si="1"/>
        <v>7.6811739820585405</v>
      </c>
      <c r="BR85" s="1165"/>
      <c r="BS85" s="1165"/>
      <c r="BT85" s="114"/>
      <c r="BU85" s="114"/>
      <c r="BW85" s="1157">
        <f>+SUM(BF85:BS85)</f>
        <v>39.045967742130912</v>
      </c>
      <c r="BX85" s="114"/>
      <c r="BY85" s="114"/>
      <c r="BZ85" s="114"/>
      <c r="CA85" s="114"/>
      <c r="CB85" s="114"/>
      <c r="CC85" s="114"/>
      <c r="CD85" s="114"/>
      <c r="CE85" s="114"/>
      <c r="CF85" s="114"/>
      <c r="CG85" s="114"/>
      <c r="CH85" s="114"/>
      <c r="CI85" s="114"/>
      <c r="CJ85" s="114"/>
      <c r="CK85" s="114"/>
      <c r="CL85" s="114"/>
      <c r="CM85" s="114"/>
      <c r="CN85" s="114"/>
    </row>
    <row r="86" spans="1:92">
      <c r="A86" s="114" t="s">
        <v>118</v>
      </c>
      <c r="B86" s="245" t="s">
        <v>100</v>
      </c>
      <c r="C86" s="114"/>
      <c r="D86" s="1061">
        <f>(S86/S79-1)*100</f>
        <v>1.789911217445983</v>
      </c>
      <c r="E86" s="114"/>
      <c r="F86" s="1104">
        <v>0</v>
      </c>
      <c r="G86" s="114"/>
      <c r="H86" s="1061">
        <f>D86-F86</f>
        <v>1.789911217445983</v>
      </c>
      <c r="I86" s="114"/>
      <c r="J86" s="1063">
        <f>squft!CM14</f>
        <v>285</v>
      </c>
      <c r="K86" s="1063">
        <f>J86-J85</f>
        <v>-10</v>
      </c>
      <c r="L86" s="1108">
        <f>AVERAGE(J86,J85)</f>
        <v>290</v>
      </c>
      <c r="M86" s="114"/>
      <c r="N86" s="1107">
        <f>(L86/L79-1)*100</f>
        <v>-6.4516129032258114</v>
      </c>
      <c r="O86" s="246"/>
      <c r="P86" s="1108">
        <f>H86/N86*100</f>
        <v>-27.743623870412716</v>
      </c>
      <c r="Q86" s="310"/>
      <c r="R86" s="114"/>
      <c r="S86" s="1092">
        <f>AY86-AS86</f>
        <v>385.45600000000002</v>
      </c>
      <c r="T86" s="114"/>
      <c r="U86" s="1133">
        <f>S86/L86</f>
        <v>1.3291586206896553</v>
      </c>
      <c r="V86" s="114"/>
      <c r="W86" s="1134">
        <f>(U86/U79-1)*100</f>
        <v>8.8099050945112509</v>
      </c>
      <c r="X86" s="246"/>
      <c r="Y86" s="114"/>
      <c r="Z86" s="1063">
        <f>+Z85+(J86-J85)*(squft!$CN$10/1000)</f>
        <v>2708.7999999999997</v>
      </c>
      <c r="AA86" s="1057"/>
      <c r="AB86" s="1110">
        <f>AVERAGE(Z86,Z85)</f>
        <v>2752.7999999999997</v>
      </c>
      <c r="AC86" s="114"/>
      <c r="AD86" s="1107">
        <f>(Z86/Z79-1)*100</f>
        <v>-2.4822248222482357</v>
      </c>
      <c r="AE86" s="246"/>
      <c r="AF86" s="1108">
        <f>+H86/AD86*100</f>
        <v>-72.109149880501135</v>
      </c>
      <c r="AG86" s="310"/>
      <c r="AH86" s="114"/>
      <c r="AI86" s="1111">
        <f>+S86</f>
        <v>385.45600000000002</v>
      </c>
      <c r="AJ86" s="114"/>
      <c r="AK86" s="1135">
        <f>AI86/AB86*1000</f>
        <v>140.02324905550714</v>
      </c>
      <c r="AL86" s="114"/>
      <c r="AM86" s="1134">
        <f>(AK86/AK79-1)*100</f>
        <v>6.2668850261688558</v>
      </c>
      <c r="AN86" s="246"/>
      <c r="AO86" s="246"/>
      <c r="AP86" s="246"/>
      <c r="AQ86" s="246"/>
      <c r="AR86" s="246"/>
      <c r="AS86" s="1136">
        <f>qtrSales!$AS$142*(AV86/100)</f>
        <v>155.84399999999997</v>
      </c>
      <c r="AT86" s="1042" t="s">
        <v>718</v>
      </c>
      <c r="AU86" s="1136">
        <f>(AS86/AS79-1)*100</f>
        <v>24.419393726498285</v>
      </c>
      <c r="AV86" s="1137">
        <f>+AV79-0.5</f>
        <v>58.5</v>
      </c>
      <c r="AW86" s="1042" t="s">
        <v>718</v>
      </c>
      <c r="AX86" s="1075"/>
      <c r="AY86" s="1145">
        <v>541.29999999999995</v>
      </c>
      <c r="AZ86" s="1138">
        <f>AY86/AY79-1</f>
        <v>7.4146467302330876E-2</v>
      </c>
      <c r="BA86" s="114"/>
      <c r="BB86" s="1147">
        <f>+BW86</f>
        <v>34.295464211076215</v>
      </c>
      <c r="BC86" s="1143"/>
      <c r="BD86" s="1143">
        <f>+BB86+BB205+BB302</f>
        <v>34.295464211076215</v>
      </c>
      <c r="BE86" s="1161">
        <f>+BD86/BD79-1</f>
        <v>-0.3255150554675118</v>
      </c>
      <c r="BF86" s="1166"/>
      <c r="BG86" s="1167"/>
      <c r="BH86" s="1168"/>
      <c r="BI86" s="1157"/>
      <c r="BJ86" s="1158"/>
      <c r="BK86" s="1169"/>
      <c r="BL86" s="1169"/>
      <c r="BM86" s="1169"/>
      <c r="BN86" s="1169"/>
      <c r="BO86" s="1169">
        <f>+BO87*$BI$7</f>
        <v>4.8348868718622482</v>
      </c>
      <c r="BP86" s="1169">
        <f>+BP87*$BI$7</f>
        <v>8.0581447864370794</v>
      </c>
      <c r="BQ86" s="1169">
        <f>+BQ87*$BI$7</f>
        <v>9.6697737437244964</v>
      </c>
      <c r="BR86" s="1169">
        <f>+BR87*$BI$7*0.8</f>
        <v>7.09116741206463</v>
      </c>
      <c r="BS86" s="1169">
        <f>+BS87*$BI$7*0.8</f>
        <v>4.6414913969877585</v>
      </c>
      <c r="BT86" s="114"/>
      <c r="BU86" s="114"/>
      <c r="BW86" s="1157">
        <f>+SUM(BF86:BS86)</f>
        <v>34.295464211076215</v>
      </c>
      <c r="BX86" s="1171">
        <f>+BS87-BS86+BN87-BN86+BM87-BM86+BL87-BL86+(BH87-BH86-BH85)+(BG87-BG86-BG85-BG84)</f>
        <v>172.59762811646834</v>
      </c>
      <c r="BY86" s="114"/>
      <c r="BZ86" s="114"/>
      <c r="CA86" s="114"/>
      <c r="CB86" s="114"/>
      <c r="CC86" s="114"/>
      <c r="CD86" s="114"/>
      <c r="CE86" s="114"/>
      <c r="CF86" s="114"/>
      <c r="CG86" s="114"/>
      <c r="CH86" s="114"/>
      <c r="CI86" s="114"/>
      <c r="CJ86" s="114"/>
      <c r="CK86" s="114"/>
      <c r="CL86" s="114"/>
      <c r="CM86" s="114"/>
      <c r="CN86" s="114"/>
    </row>
    <row r="87" spans="1:92">
      <c r="A87" s="114"/>
      <c r="B87" s="245" t="s">
        <v>119</v>
      </c>
      <c r="C87" s="114"/>
      <c r="D87" s="1123">
        <f>(S87/S80-1)*100</f>
        <v>-3.2130230217525257</v>
      </c>
      <c r="E87" s="114"/>
      <c r="F87" s="1139">
        <v>-3</v>
      </c>
      <c r="G87" s="114"/>
      <c r="H87" s="1123">
        <f>D87-F87</f>
        <v>-0.21302302175252574</v>
      </c>
      <c r="I87" s="114"/>
      <c r="J87" s="114"/>
      <c r="K87" s="114"/>
      <c r="L87" s="1122">
        <f>AVERAGE(L83:L86)</f>
        <v>292.875</v>
      </c>
      <c r="M87" s="114"/>
      <c r="N87" s="1123">
        <f>(L87/L80-1)*100</f>
        <v>-8.9389817333851536</v>
      </c>
      <c r="O87" s="246"/>
      <c r="P87" s="1124" t="s">
        <v>251</v>
      </c>
      <c r="Q87" s="310"/>
      <c r="R87" s="114"/>
      <c r="S87" s="1095">
        <f>SUM(S83:S86)</f>
        <v>1304.0022300000001</v>
      </c>
      <c r="T87" s="114"/>
      <c r="U87" s="1125">
        <f>SUM(U83:U86)</f>
        <v>4.4551775484208846</v>
      </c>
      <c r="V87" s="114"/>
      <c r="W87" s="1126">
        <f>(U87/U80-1)*100</f>
        <v>6.1543138526851004</v>
      </c>
      <c r="X87" s="246"/>
      <c r="Y87" s="114"/>
      <c r="Z87" s="114"/>
      <c r="AA87" s="114"/>
      <c r="AB87" s="1127">
        <f>AVERAGE(AB83:AB86)</f>
        <v>2776.8187499999999</v>
      </c>
      <c r="AC87" s="114"/>
      <c r="AD87" s="1128">
        <f>(Z86/Z79-1)*100</f>
        <v>-2.4822248222482357</v>
      </c>
      <c r="AE87" s="246"/>
      <c r="AF87" s="1124">
        <f>+H87/AD87*100</f>
        <v>8.5819390670496762</v>
      </c>
      <c r="AG87" s="310"/>
      <c r="AH87" s="114"/>
      <c r="AI87" s="1129">
        <f>SUM(AI83:AI86)</f>
        <v>1304.0022300000001</v>
      </c>
      <c r="AJ87" s="114"/>
      <c r="AK87" s="1097">
        <f>SUM(AK83:AK86)</f>
        <v>469.83133582180312</v>
      </c>
      <c r="AL87" s="114"/>
      <c r="AM87" s="1126">
        <f>(AK87/AK80-1)*100</f>
        <v>2.416234981700871</v>
      </c>
      <c r="AN87" s="246"/>
      <c r="AO87" s="246"/>
      <c r="AP87" s="246"/>
      <c r="AQ87" s="246"/>
      <c r="AR87" s="246"/>
      <c r="AS87" s="1100">
        <f>SUM(AS83:AS86)</f>
        <v>400.16976999999997</v>
      </c>
      <c r="AT87" s="114" t="s">
        <v>718</v>
      </c>
      <c r="AU87" s="1100">
        <f>(AS87/AS80-1)*100</f>
        <v>25.901313222838841</v>
      </c>
      <c r="AV87" s="1124">
        <f>(AS87/qtrSales!AS143)*100</f>
        <v>57.115787385335167</v>
      </c>
      <c r="AW87" s="114" t="s">
        <v>718</v>
      </c>
      <c r="AX87" s="1075"/>
      <c r="AY87" s="1140">
        <f>SUM(AY83:AY86)</f>
        <v>1704.172</v>
      </c>
      <c r="AZ87" s="1103">
        <f>AY87/AY80-1</f>
        <v>2.3443744801472821E-2</v>
      </c>
      <c r="BA87" s="114"/>
      <c r="BB87" s="1143">
        <f>SUM(BB83:BB86)</f>
        <v>139.21295061454811</v>
      </c>
      <c r="BC87" s="310"/>
      <c r="BD87" s="1143"/>
      <c r="BE87" s="114"/>
      <c r="BF87" s="1170">
        <f>+BF80</f>
        <v>28.5</v>
      </c>
      <c r="BG87" s="1170">
        <f>BG80</f>
        <v>70</v>
      </c>
      <c r="BH87" s="1170">
        <f>BH80</f>
        <v>22.5</v>
      </c>
      <c r="BI87" s="246"/>
      <c r="BJ87" s="1158"/>
      <c r="BK87" s="1171"/>
      <c r="BL87" s="1171">
        <f>BL80</f>
        <v>30</v>
      </c>
      <c r="BM87" s="1171">
        <f t="shared" ref="BM87:BS87" si="2">BM80</f>
        <v>17.5</v>
      </c>
      <c r="BN87" s="1171">
        <f t="shared" si="2"/>
        <v>25</v>
      </c>
      <c r="BO87" s="1171">
        <f t="shared" si="2"/>
        <v>15</v>
      </c>
      <c r="BP87" s="1171">
        <f t="shared" si="2"/>
        <v>25</v>
      </c>
      <c r="BQ87" s="1171">
        <f t="shared" si="2"/>
        <v>30</v>
      </c>
      <c r="BR87" s="1171">
        <f t="shared" si="2"/>
        <v>27.5</v>
      </c>
      <c r="BS87" s="1171">
        <f t="shared" si="2"/>
        <v>18</v>
      </c>
      <c r="BT87" s="114"/>
      <c r="BU87" s="114"/>
      <c r="BW87" s="114"/>
      <c r="BX87" s="114"/>
      <c r="BY87" s="114"/>
      <c r="BZ87" s="114"/>
      <c r="CA87" s="114"/>
      <c r="CB87" s="114"/>
      <c r="CC87" s="114"/>
      <c r="CD87" s="114"/>
      <c r="CE87" s="114"/>
      <c r="CF87" s="114"/>
      <c r="CG87" s="114"/>
      <c r="CH87" s="114"/>
      <c r="CI87" s="114"/>
      <c r="CJ87" s="114"/>
      <c r="CK87" s="114"/>
      <c r="CL87" s="114"/>
      <c r="CM87" s="114"/>
      <c r="CN87" s="114"/>
    </row>
    <row r="88" spans="1:92">
      <c r="A88" s="114"/>
      <c r="B88" s="245"/>
      <c r="C88" s="114"/>
      <c r="D88" s="1123"/>
      <c r="E88" s="114"/>
      <c r="F88" s="1139"/>
      <c r="G88" s="114"/>
      <c r="H88" s="1123"/>
      <c r="I88" s="114"/>
      <c r="J88" s="114"/>
      <c r="K88" s="114"/>
      <c r="L88" s="1122"/>
      <c r="M88" s="114"/>
      <c r="N88" s="1123"/>
      <c r="O88" s="246"/>
      <c r="P88" s="1124"/>
      <c r="Q88" s="310"/>
      <c r="R88" s="114"/>
      <c r="S88" s="1095"/>
      <c r="T88" s="114"/>
      <c r="U88" s="1125"/>
      <c r="V88" s="114"/>
      <c r="W88" s="1126"/>
      <c r="X88" s="246"/>
      <c r="Y88" s="114"/>
      <c r="Z88" s="114"/>
      <c r="AA88" s="114"/>
      <c r="AB88" s="1127"/>
      <c r="AC88" s="114"/>
      <c r="AD88" s="1128"/>
      <c r="AE88" s="246"/>
      <c r="AF88" s="1124"/>
      <c r="AG88" s="310"/>
      <c r="AH88" s="114"/>
      <c r="AI88" s="1129"/>
      <c r="AJ88" s="114"/>
      <c r="AK88" s="1097"/>
      <c r="AL88" s="114"/>
      <c r="AM88" s="1126"/>
      <c r="AN88" s="246"/>
      <c r="AO88" s="246"/>
      <c r="AP88" s="246"/>
      <c r="AQ88" s="246"/>
      <c r="AR88" s="246"/>
      <c r="AS88" s="1100"/>
      <c r="AT88" s="114"/>
      <c r="AU88" s="1100"/>
      <c r="AV88" s="1124"/>
      <c r="AW88" s="114"/>
      <c r="AX88" s="1075"/>
      <c r="AY88" s="1142"/>
      <c r="AZ88" s="1103"/>
      <c r="BA88" s="114"/>
      <c r="BB88" s="1143"/>
      <c r="BC88" s="310"/>
      <c r="BD88" s="1143"/>
      <c r="BE88" s="114"/>
      <c r="BF88" s="1170"/>
      <c r="BG88" s="1170"/>
      <c r="BH88" s="1170"/>
      <c r="BI88" s="246"/>
      <c r="BJ88" s="1158"/>
      <c r="BK88" s="1171"/>
      <c r="BL88" s="1171"/>
      <c r="BM88" s="1171"/>
      <c r="BN88" s="1171"/>
      <c r="BO88" s="1171"/>
      <c r="BP88" s="1171"/>
      <c r="BQ88" s="1171"/>
      <c r="BR88" s="1171"/>
      <c r="BS88" s="1171"/>
      <c r="BT88" s="114"/>
      <c r="BU88" s="114"/>
      <c r="BW88" s="114"/>
      <c r="BX88" s="114"/>
      <c r="BY88" s="114"/>
      <c r="BZ88" s="114"/>
      <c r="CA88" s="114"/>
      <c r="CB88" s="114"/>
      <c r="CC88" s="114"/>
      <c r="CD88" s="114"/>
      <c r="CE88" s="114"/>
      <c r="CF88" s="114"/>
      <c r="CG88" s="114"/>
      <c r="CH88" s="114"/>
      <c r="CI88" s="114"/>
      <c r="CJ88" s="114"/>
      <c r="CK88" s="114"/>
      <c r="CL88" s="114"/>
      <c r="CM88" s="114"/>
      <c r="CN88" s="114"/>
    </row>
    <row r="89" spans="1:92">
      <c r="A89" s="1120"/>
      <c r="B89" s="1172">
        <v>2013</v>
      </c>
      <c r="C89" s="114"/>
      <c r="D89" s="1123"/>
      <c r="E89" s="114"/>
      <c r="F89" s="1139"/>
      <c r="G89" s="114"/>
      <c r="H89" s="1123"/>
      <c r="I89" s="114"/>
      <c r="J89" s="114"/>
      <c r="K89" s="114"/>
      <c r="L89" s="1122"/>
      <c r="M89" s="114"/>
      <c r="N89" s="1123"/>
      <c r="O89" s="246"/>
      <c r="P89" s="1124"/>
      <c r="Q89" s="310"/>
      <c r="R89" s="114"/>
      <c r="S89" s="1095"/>
      <c r="T89" s="114"/>
      <c r="U89" s="1125"/>
      <c r="V89" s="114"/>
      <c r="W89" s="1126"/>
      <c r="X89" s="246"/>
      <c r="Y89" s="114"/>
      <c r="Z89" s="114"/>
      <c r="AA89" s="114"/>
      <c r="AB89" s="1127"/>
      <c r="AC89" s="114"/>
      <c r="AD89" s="1128"/>
      <c r="AE89" s="246"/>
      <c r="AF89" s="1124"/>
      <c r="AG89" s="310"/>
      <c r="AH89" s="114"/>
      <c r="AI89" s="1129"/>
      <c r="AJ89" s="114"/>
      <c r="AK89" s="1097"/>
      <c r="AL89" s="114"/>
      <c r="AM89" s="1126"/>
      <c r="AN89" s="246"/>
      <c r="AO89" s="246"/>
      <c r="AP89" s="246"/>
      <c r="AQ89" s="246"/>
      <c r="AR89" s="246"/>
      <c r="AS89" s="1100"/>
      <c r="AT89" s="114"/>
      <c r="AU89" s="1100"/>
      <c r="AV89" s="1121" t="s">
        <v>76</v>
      </c>
      <c r="AW89" s="114"/>
      <c r="AX89" s="1075"/>
      <c r="AY89" s="1142"/>
      <c r="AZ89" s="1103"/>
      <c r="BA89" s="114"/>
      <c r="BB89" s="1146" t="s">
        <v>575</v>
      </c>
      <c r="BC89" s="310"/>
      <c r="BD89" s="310"/>
      <c r="BE89" s="1161"/>
      <c r="BF89" s="246"/>
      <c r="BG89" s="246" t="s">
        <v>2</v>
      </c>
      <c r="BH89" s="246" t="s">
        <v>3</v>
      </c>
      <c r="BI89" s="246"/>
      <c r="BJ89" s="249"/>
      <c r="BK89" s="246" t="s">
        <v>652</v>
      </c>
      <c r="BL89" s="246" t="s">
        <v>588</v>
      </c>
      <c r="BM89" s="246" t="s">
        <v>589</v>
      </c>
      <c r="BN89" s="246" t="s">
        <v>590</v>
      </c>
      <c r="BO89" s="246" t="str">
        <f>BO82</f>
        <v>Hamburg</v>
      </c>
      <c r="BP89" s="246" t="str">
        <f>BP82</f>
        <v>Hong Kong</v>
      </c>
      <c r="BQ89" s="246" t="str">
        <f>BQ82</f>
        <v>Munich</v>
      </c>
      <c r="BR89" s="246" t="str">
        <f>BR82</f>
        <v>Amsterdam</v>
      </c>
      <c r="BS89" s="246" t="str">
        <f>BS82</f>
        <v>Dublin</v>
      </c>
      <c r="BT89" s="246" t="s">
        <v>491</v>
      </c>
      <c r="BU89" s="246" t="s">
        <v>492</v>
      </c>
      <c r="BW89" s="114"/>
      <c r="BX89" s="114"/>
      <c r="BY89" s="114"/>
      <c r="BZ89" s="114"/>
      <c r="CA89" s="114"/>
      <c r="CB89" s="114"/>
      <c r="CC89" s="114"/>
      <c r="CD89" s="114"/>
      <c r="CE89" s="114"/>
      <c r="CF89" s="114"/>
      <c r="CG89" s="114"/>
      <c r="CH89" s="114"/>
      <c r="CI89" s="114"/>
      <c r="CJ89" s="114"/>
      <c r="CK89" s="114"/>
      <c r="CL89" s="114"/>
      <c r="CM89" s="114"/>
      <c r="CN89" s="114"/>
    </row>
    <row r="90" spans="1:92">
      <c r="A90" s="114" t="s">
        <v>115</v>
      </c>
      <c r="B90" s="245" t="s">
        <v>96</v>
      </c>
      <c r="C90" s="114"/>
      <c r="D90" s="1088">
        <f>(S90/S83-1)*100</f>
        <v>-9.3401689283623686</v>
      </c>
      <c r="E90" s="114" t="s">
        <v>76</v>
      </c>
      <c r="F90" s="1144">
        <v>-13</v>
      </c>
      <c r="G90" s="114" t="s">
        <v>76</v>
      </c>
      <c r="H90" s="1045">
        <f>D90-F90</f>
        <v>3.6598310716376314</v>
      </c>
      <c r="I90" s="114" t="s">
        <v>76</v>
      </c>
      <c r="J90" s="1047">
        <f>264+19</f>
        <v>283</v>
      </c>
      <c r="K90" s="1063">
        <f>J90-J86</f>
        <v>-2</v>
      </c>
      <c r="L90" s="1122">
        <f>AVERAGE(J90,J86)</f>
        <v>284</v>
      </c>
      <c r="M90" s="114"/>
      <c r="N90" s="1123">
        <f>(L90/L83-1)*100</f>
        <v>-3.4013605442176909</v>
      </c>
      <c r="O90" s="246" t="s">
        <v>76</v>
      </c>
      <c r="P90" s="1124">
        <f>H90/N90*100</f>
        <v>-107.59903350614624</v>
      </c>
      <c r="Q90" s="310" t="s">
        <v>76</v>
      </c>
      <c r="R90" s="114"/>
      <c r="S90" s="1160">
        <f>AY90-AS90</f>
        <v>242.050625</v>
      </c>
      <c r="T90" s="114"/>
      <c r="U90" s="1125">
        <f>S90/L90</f>
        <v>0.8522909330985915</v>
      </c>
      <c r="V90" s="114"/>
      <c r="W90" s="1126">
        <f>(U90/U83-1)*100</f>
        <v>-6.1479213554173846</v>
      </c>
      <c r="X90" s="246" t="s">
        <v>76</v>
      </c>
      <c r="Y90" s="114"/>
      <c r="Z90" s="1063">
        <f>squft!CS9</f>
        <v>2754.5499999999997</v>
      </c>
      <c r="AA90" s="114"/>
      <c r="AB90" s="1127">
        <f>AVERAGE(Z90,Z86)</f>
        <v>2731.6749999999997</v>
      </c>
      <c r="AC90" s="114"/>
      <c r="AD90" s="1128">
        <f>(Z90/Z83-1)*100</f>
        <v>-1.1997847919655746</v>
      </c>
      <c r="AE90" s="246" t="s">
        <v>76</v>
      </c>
      <c r="AF90" s="1124">
        <f>+H90/AD90*100</f>
        <v>-305.040628631559</v>
      </c>
      <c r="AG90" s="310" t="s">
        <v>76</v>
      </c>
      <c r="AH90" s="114"/>
      <c r="AI90" s="1129">
        <f>+S90</f>
        <v>242.050625</v>
      </c>
      <c r="AJ90" s="114"/>
      <c r="AK90" s="1097">
        <f>AI90/AB90*1000</f>
        <v>88.608866354892157</v>
      </c>
      <c r="AL90" s="114"/>
      <c r="AM90" s="1126">
        <f>(AK90/AK83-1)*100</f>
        <v>-7.6409245633233809</v>
      </c>
      <c r="AN90" s="246" t="s">
        <v>76</v>
      </c>
      <c r="AO90" s="246"/>
      <c r="AP90" s="246"/>
      <c r="AQ90" s="246"/>
      <c r="AR90" s="246"/>
      <c r="AS90" s="1100">
        <f>qtrSales!AS146*(AV90/100)</f>
        <v>82.949375000000003</v>
      </c>
      <c r="AT90" s="114" t="s">
        <v>718</v>
      </c>
      <c r="AU90" s="1100">
        <f>(AS90/AS83-1)*100</f>
        <v>-11.17414635248528</v>
      </c>
      <c r="AV90" s="1101">
        <f>AV83-0.5</f>
        <v>62.5</v>
      </c>
      <c r="AW90" s="114" t="s">
        <v>718</v>
      </c>
      <c r="AX90" s="1075"/>
      <c r="AY90" s="1102">
        <v>325</v>
      </c>
      <c r="AZ90" s="1103">
        <f>AY90/AY83-1</f>
        <v>-9.8154129621613295E-2</v>
      </c>
      <c r="BA90" s="114"/>
      <c r="BB90" s="1143">
        <f>+BW90</f>
        <v>23.647817111983457</v>
      </c>
      <c r="BC90" s="1173">
        <f>BB90/S83</f>
        <v>8.857267377786783E-2</v>
      </c>
      <c r="BD90" s="1143">
        <f>+BB90+BB239+BB357</f>
        <v>23.647817111983457</v>
      </c>
      <c r="BE90" s="1161">
        <f>+BD90/BD83-1</f>
        <v>-0.43713619390451541</v>
      </c>
      <c r="BF90" s="1154"/>
      <c r="BG90" s="1155"/>
      <c r="BH90" s="1156"/>
      <c r="BI90" s="1157"/>
      <c r="BJ90" s="1158"/>
      <c r="BK90" s="1159"/>
      <c r="BL90" s="1159"/>
      <c r="BM90" s="1159"/>
      <c r="BN90" s="1159"/>
      <c r="BO90" s="1159">
        <f>+BO94*$BI$4</f>
        <v>3.0711450794783715</v>
      </c>
      <c r="BP90" s="1159">
        <f>+BP94*$BI$4</f>
        <v>5.1185751324639526</v>
      </c>
      <c r="BQ90" s="1159">
        <f>+BQ94*$BI$4</f>
        <v>6.1422901589567429</v>
      </c>
      <c r="BR90" s="1159">
        <f>+BR94*$BI$4</f>
        <v>5.6304326457103482</v>
      </c>
      <c r="BS90" s="1159">
        <f>+BS94*$BI$4</f>
        <v>3.6853740953740459</v>
      </c>
      <c r="BT90" s="1159"/>
      <c r="BU90" s="1159"/>
      <c r="BW90" s="1157">
        <f>+SUM(BF90:BU90)</f>
        <v>23.647817111983457</v>
      </c>
      <c r="BX90" s="114"/>
      <c r="BY90" s="114"/>
      <c r="BZ90" s="114"/>
      <c r="CA90" s="114"/>
      <c r="CB90" s="114"/>
      <c r="CC90" s="114"/>
      <c r="CD90" s="114"/>
      <c r="CE90" s="114"/>
      <c r="CF90" s="114"/>
      <c r="CG90" s="114"/>
      <c r="CH90" s="114"/>
      <c r="CI90" s="114"/>
      <c r="CJ90" s="114"/>
      <c r="CK90" s="114"/>
      <c r="CL90" s="114"/>
      <c r="CM90" s="114"/>
      <c r="CN90" s="114"/>
    </row>
    <row r="91" spans="1:92">
      <c r="A91" s="114" t="s">
        <v>116</v>
      </c>
      <c r="B91" s="245" t="s">
        <v>97</v>
      </c>
      <c r="C91" s="114"/>
      <c r="D91" s="1088">
        <f>(S91/S84-1)*100</f>
        <v>-6.4623507611077606</v>
      </c>
      <c r="E91" s="114"/>
      <c r="F91" s="1144">
        <v>-6</v>
      </c>
      <c r="G91" s="114"/>
      <c r="H91" s="1045">
        <f>D91-F91</f>
        <v>-0.46235076110776063</v>
      </c>
      <c r="I91" s="114"/>
      <c r="J91" s="1047">
        <f>265+20</f>
        <v>285</v>
      </c>
      <c r="K91" s="1063">
        <f>J91-J90</f>
        <v>2</v>
      </c>
      <c r="L91" s="1122">
        <f>AVERAGE(J91,J90)</f>
        <v>284</v>
      </c>
      <c r="M91" s="114"/>
      <c r="N91" s="1123">
        <f>(L91/L84-1)*100</f>
        <v>-3.2367972742759821</v>
      </c>
      <c r="O91" s="246"/>
      <c r="P91" s="1124">
        <f>H91/N91*100</f>
        <v>14.284205093171332</v>
      </c>
      <c r="Q91" s="310"/>
      <c r="R91" s="114"/>
      <c r="S91" s="1160">
        <f>AY91-AS91</f>
        <v>276.36400000000003</v>
      </c>
      <c r="T91" s="114"/>
      <c r="U91" s="1131">
        <f>S91/L91</f>
        <v>0.97311267605633811</v>
      </c>
      <c r="V91" s="114"/>
      <c r="W91" s="1126">
        <f>(U91/U84-1)*100</f>
        <v>-3.3334505224828503</v>
      </c>
      <c r="X91" s="246"/>
      <c r="Y91" s="114"/>
      <c r="Z91" s="1063">
        <f>+Z90+(J91-J90)*(squft!$CR$10/1000)</f>
        <v>2772.1499999999996</v>
      </c>
      <c r="AA91" s="114"/>
      <c r="AB91" s="1127">
        <f>AVERAGE(Z91,Z90)</f>
        <v>2763.3499999999995</v>
      </c>
      <c r="AC91" s="114"/>
      <c r="AD91" s="1128">
        <f>(Z91/Z84-1)*100</f>
        <v>-0.25367012089810848</v>
      </c>
      <c r="AE91" s="246"/>
      <c r="AF91" s="1124">
        <f>+H91/AD91*100</f>
        <v>182.26457237881507</v>
      </c>
      <c r="AG91" s="310"/>
      <c r="AH91" s="114"/>
      <c r="AI91" s="1132">
        <f>+S91</f>
        <v>276.36400000000003</v>
      </c>
      <c r="AJ91" s="114"/>
      <c r="AK91" s="1106">
        <f>AI91/AB91*1000</f>
        <v>100.01049450847705</v>
      </c>
      <c r="AL91" s="114"/>
      <c r="AM91" s="1126">
        <f>(AK91/AK84-1)*100</f>
        <v>-5.77690107247345</v>
      </c>
      <c r="AN91" s="246"/>
      <c r="AO91" s="246"/>
      <c r="AP91" s="246"/>
      <c r="AQ91" s="246"/>
      <c r="AR91" s="246"/>
      <c r="AS91" s="1100">
        <f>qtrSales!AS147*(AV91/100)</f>
        <v>80.236000000000004</v>
      </c>
      <c r="AT91" s="114" t="s">
        <v>718</v>
      </c>
      <c r="AU91" s="1100">
        <f>(AS91/AS84-1)*100</f>
        <v>19.679307901704135</v>
      </c>
      <c r="AV91" s="1101">
        <f>AV84-0.5</f>
        <v>52</v>
      </c>
      <c r="AW91" s="114" t="s">
        <v>718</v>
      </c>
      <c r="AX91" s="1075"/>
      <c r="AY91" s="1102">
        <v>356.6</v>
      </c>
      <c r="AZ91" s="1103">
        <f>AY91/AY84-1</f>
        <v>-1.6275862068965474E-2</v>
      </c>
      <c r="BA91" s="114"/>
      <c r="BB91" s="1143">
        <f>+BW91</f>
        <v>19.845624451543674</v>
      </c>
      <c r="BC91" s="1173">
        <f>BB91/S84</f>
        <v>6.7169134144652531E-2</v>
      </c>
      <c r="BD91" s="1143">
        <f>+BB91+BB240+BB358</f>
        <v>19.845624451543674</v>
      </c>
      <c r="BE91" s="1161">
        <f>+BD91/BD84-1</f>
        <v>-0.16818181818181799</v>
      </c>
      <c r="BF91" s="1162"/>
      <c r="BG91" s="1163"/>
      <c r="BH91" s="1164"/>
      <c r="BI91" s="1157"/>
      <c r="BJ91" s="1158"/>
      <c r="BK91" s="1165"/>
      <c r="BL91" s="1165"/>
      <c r="BM91" s="1165"/>
      <c r="BN91" s="1165"/>
      <c r="BO91" s="1165"/>
      <c r="BP91" s="1165">
        <f>+BP94*$BI$5</f>
        <v>5.4223017627168506</v>
      </c>
      <c r="BQ91" s="1165">
        <f>+BQ94*$BI$5</f>
        <v>6.5067621152602202</v>
      </c>
      <c r="BR91" s="1165">
        <f>+BR94*$BI$5</f>
        <v>5.964531938988535</v>
      </c>
      <c r="BS91" s="1165">
        <f>+BS94*$BI$5*0.5</f>
        <v>1.9520286345780662</v>
      </c>
      <c r="BT91" s="1165"/>
      <c r="BU91" s="1165"/>
      <c r="BW91" s="1157">
        <f>+SUM(BF91:BU91)</f>
        <v>19.845624451543674</v>
      </c>
      <c r="BX91" s="114"/>
      <c r="BY91" s="114"/>
      <c r="BZ91" s="114"/>
      <c r="CA91" s="114"/>
      <c r="CB91" s="114"/>
      <c r="CC91" s="114"/>
      <c r="CD91" s="114"/>
      <c r="CE91" s="114"/>
      <c r="CF91" s="114"/>
      <c r="CG91" s="114"/>
      <c r="CH91" s="114"/>
      <c r="CI91" s="114"/>
      <c r="CJ91" s="114"/>
      <c r="CK91" s="114"/>
      <c r="CL91" s="114"/>
      <c r="CM91" s="114"/>
      <c r="CN91" s="114"/>
    </row>
    <row r="92" spans="1:92">
      <c r="A92" s="114" t="s">
        <v>117</v>
      </c>
      <c r="B92" s="245" t="s">
        <v>99</v>
      </c>
      <c r="C92" s="114"/>
      <c r="D92" s="1088">
        <f>(S92/S85-1)*100</f>
        <v>-16.839604494230574</v>
      </c>
      <c r="E92" s="114"/>
      <c r="F92" s="1144">
        <v>-13</v>
      </c>
      <c r="G92" s="114"/>
      <c r="H92" s="1045">
        <f>D92-F92</f>
        <v>-3.8396044942305743</v>
      </c>
      <c r="I92" s="114"/>
      <c r="J92" s="1047">
        <f>265+22</f>
        <v>287</v>
      </c>
      <c r="K92" s="1063">
        <f>J92-J91</f>
        <v>2</v>
      </c>
      <c r="L92" s="1122">
        <f>AVERAGE(J92,J91)</f>
        <v>286</v>
      </c>
      <c r="M92" s="114"/>
      <c r="N92" s="1123">
        <f>(L92/L85-1)*100</f>
        <v>-2.7210884353741527</v>
      </c>
      <c r="O92" s="246"/>
      <c r="P92" s="1124">
        <f>H92/N92*100</f>
        <v>141.10546516297345</v>
      </c>
      <c r="Q92" s="310"/>
      <c r="R92" s="114"/>
      <c r="S92" s="1160">
        <f>AY92-AS92</f>
        <v>296.13499999999999</v>
      </c>
      <c r="T92" s="114"/>
      <c r="U92" s="1131">
        <f>S92/L92</f>
        <v>1.0354370629370628</v>
      </c>
      <c r="V92" s="114"/>
      <c r="W92" s="1126">
        <f>(U92/U85-1)*100</f>
        <v>-14.513439584978293</v>
      </c>
      <c r="X92" s="246"/>
      <c r="Y92" s="114"/>
      <c r="Z92" s="1063">
        <f>+Z91+(J92-J91)*(squft!$CR$10/1000)</f>
        <v>2789.7499999999995</v>
      </c>
      <c r="AA92" s="114"/>
      <c r="AB92" s="1127">
        <f>AVERAGE(Z92,Z91)</f>
        <v>2780.95</v>
      </c>
      <c r="AC92" s="114"/>
      <c r="AD92" s="1128">
        <f>(Z92/Z85-1)*100</f>
        <v>-0.25207379862700607</v>
      </c>
      <c r="AE92" s="246"/>
      <c r="AF92" s="1124">
        <f>+H92/AD92*100</f>
        <v>1523.2065034700581</v>
      </c>
      <c r="AG92" s="310"/>
      <c r="AH92" s="114"/>
      <c r="AI92" s="1132">
        <f>+S92</f>
        <v>296.13499999999999</v>
      </c>
      <c r="AJ92" s="114"/>
      <c r="AK92" s="1106">
        <f>AI92/AB92*1000</f>
        <v>106.48699185530126</v>
      </c>
      <c r="AL92" s="114"/>
      <c r="AM92" s="1126">
        <f>(AK92/AK85-1)*100</f>
        <v>-16.62878416725033</v>
      </c>
      <c r="AN92" s="246"/>
      <c r="AO92" s="246"/>
      <c r="AP92" s="246"/>
      <c r="AQ92" s="246"/>
      <c r="AR92" s="246"/>
      <c r="AS92" s="1100">
        <f>qtrSales!AS148*(AV92/100)</f>
        <v>91.665000000000006</v>
      </c>
      <c r="AT92" s="114" t="s">
        <v>718</v>
      </c>
      <c r="AU92" s="1100">
        <f>(AS92/AS85-1)*100</f>
        <v>9.2563677755396192</v>
      </c>
      <c r="AV92" s="1101">
        <f>AV85-0.5</f>
        <v>52.5</v>
      </c>
      <c r="AW92" s="114" t="s">
        <v>718</v>
      </c>
      <c r="AX92" s="1075"/>
      <c r="AY92" s="1102">
        <v>387.8</v>
      </c>
      <c r="AZ92" s="1103">
        <f>AY92/AY85-1</f>
        <v>-0.11863636363636365</v>
      </c>
      <c r="BA92" s="114"/>
      <c r="BB92" s="1143">
        <f>+BW92</f>
        <v>31.492813326440015</v>
      </c>
      <c r="BC92" s="1173">
        <f>BB92/S85</f>
        <v>8.8437868263329833E-2</v>
      </c>
      <c r="BD92" s="1143">
        <f>+BB92+BB241+BB359</f>
        <v>31.492813326440015</v>
      </c>
      <c r="BE92" s="1161">
        <f>+BD92/BD85-1</f>
        <v>-0.32602739726027397</v>
      </c>
      <c r="BF92" s="1162"/>
      <c r="BG92" s="1163"/>
      <c r="BH92" s="1164"/>
      <c r="BI92" s="1157"/>
      <c r="BJ92" s="1158"/>
      <c r="BK92" s="1165"/>
      <c r="BL92" s="1165"/>
      <c r="BM92" s="1165"/>
      <c r="BN92" s="1165"/>
      <c r="BO92" s="1165"/>
      <c r="BP92" s="1165">
        <f>+BP94*$BI$6*0.5</f>
        <v>3.2004891591910583</v>
      </c>
      <c r="BQ92" s="1165">
        <f>+BQ94*$BI$6*0.5</f>
        <v>3.8405869910292703</v>
      </c>
      <c r="BR92" s="1165">
        <f>+BR94*$BI$6</f>
        <v>7.0410761502203281</v>
      </c>
      <c r="BS92" s="1165">
        <f>+BS94*$BI$6</f>
        <v>4.6087043892351236</v>
      </c>
      <c r="BT92" s="1165">
        <f>+BT94*$BI$6</f>
        <v>6.4009783183821165</v>
      </c>
      <c r="BU92" s="1165">
        <f>+BU94*$BI$6</f>
        <v>6.4009783183821165</v>
      </c>
      <c r="BW92" s="1157">
        <f>+SUM(BF92:BU92)</f>
        <v>31.492813326440015</v>
      </c>
      <c r="BX92" s="114"/>
      <c r="BY92" s="114"/>
      <c r="BZ92" s="114"/>
      <c r="CA92" s="114"/>
      <c r="CB92" s="114"/>
      <c r="CC92" s="114"/>
      <c r="CD92" s="114"/>
      <c r="CE92" s="114"/>
      <c r="CF92" s="114"/>
      <c r="CG92" s="114"/>
      <c r="CH92" s="114"/>
      <c r="CI92" s="114"/>
      <c r="CJ92" s="114"/>
      <c r="CK92" s="114"/>
      <c r="CL92" s="114"/>
      <c r="CM92" s="114"/>
      <c r="CN92" s="114"/>
    </row>
    <row r="93" spans="1:92">
      <c r="A93" s="114" t="s">
        <v>118</v>
      </c>
      <c r="B93" s="245" t="s">
        <v>100</v>
      </c>
      <c r="C93" s="114"/>
      <c r="D93" s="1061">
        <f>(S93/S86-1)*100</f>
        <v>-23.467747291519657</v>
      </c>
      <c r="E93" s="114"/>
      <c r="F93" s="1104">
        <v>-6</v>
      </c>
      <c r="G93" s="114"/>
      <c r="H93" s="1061">
        <f>D93-F93</f>
        <v>-17.467747291519657</v>
      </c>
      <c r="I93" s="114"/>
      <c r="J93" s="1063">
        <f>squft!CQ14</f>
        <v>275</v>
      </c>
      <c r="K93" s="1063">
        <f>J93-J92</f>
        <v>-12</v>
      </c>
      <c r="L93" s="1108">
        <f>AVERAGE(J93,J92)</f>
        <v>281</v>
      </c>
      <c r="M93" s="114"/>
      <c r="N93" s="1107">
        <f>(L93/L86-1)*100</f>
        <v>-3.1034482758620641</v>
      </c>
      <c r="O93" s="246"/>
      <c r="P93" s="1108">
        <f>H93/N93*100</f>
        <v>562.8496349489676</v>
      </c>
      <c r="Q93" s="310"/>
      <c r="R93" s="114"/>
      <c r="S93" s="1092">
        <f>AY93-AS93</f>
        <v>294.99815999999998</v>
      </c>
      <c r="T93" s="114"/>
      <c r="U93" s="1133">
        <f>S93/L93</f>
        <v>1.0498155160142348</v>
      </c>
      <c r="V93" s="114"/>
      <c r="W93" s="1134">
        <f>(U93/U86-1)*100</f>
        <v>-21.01653635067866</v>
      </c>
      <c r="X93" s="246"/>
      <c r="Y93" s="114"/>
      <c r="Z93" s="1063">
        <f>+Z92+(J93-J92)*(squft!$CR$10/1000)</f>
        <v>2684.1499999999996</v>
      </c>
      <c r="AA93" s="114"/>
      <c r="AB93" s="1110">
        <f>AVERAGE(Z93,Z92)</f>
        <v>2736.95</v>
      </c>
      <c r="AC93" s="114"/>
      <c r="AD93" s="1107">
        <f>(Z93/Z86-1)*100</f>
        <v>-0.90999704666273606</v>
      </c>
      <c r="AE93" s="246"/>
      <c r="AF93" s="1108">
        <f>+H93/AD93*100</f>
        <v>1919.5388991183804</v>
      </c>
      <c r="AG93" s="310"/>
      <c r="AH93" s="114"/>
      <c r="AI93" s="1111">
        <f>+S93</f>
        <v>294.99815999999998</v>
      </c>
      <c r="AJ93" s="114"/>
      <c r="AK93" s="1135">
        <f>AI93/AB93*1000</f>
        <v>107.78354007197794</v>
      </c>
      <c r="AL93" s="114"/>
      <c r="AM93" s="1134">
        <f>(AK93/AK86-1)*100</f>
        <v>-23.024539996746498</v>
      </c>
      <c r="AN93" s="246"/>
      <c r="AO93" s="246"/>
      <c r="AP93" s="246"/>
      <c r="AQ93" s="246"/>
      <c r="AR93" s="246"/>
      <c r="AS93" s="1136">
        <f>qtrSales!AS149*(AV93/100)</f>
        <v>182.90184000000002</v>
      </c>
      <c r="AT93" s="114" t="s">
        <v>718</v>
      </c>
      <c r="AU93" s="1136">
        <f>(AS93/AS86-1)*100</f>
        <v>17.362131362131407</v>
      </c>
      <c r="AV93" s="1137">
        <f>AV86-0.5</f>
        <v>58</v>
      </c>
      <c r="AW93" s="1042" t="s">
        <v>718</v>
      </c>
      <c r="AX93" s="1075"/>
      <c r="AY93" s="1145">
        <v>477.9</v>
      </c>
      <c r="AZ93" s="1138">
        <f>AY93/AY86-1</f>
        <v>-0.1171254387585442</v>
      </c>
      <c r="BA93" s="114"/>
      <c r="BB93" s="1147">
        <f>+BW93</f>
        <v>19.049454275137258</v>
      </c>
      <c r="BC93" s="1173">
        <f>BB93/S86</f>
        <v>4.9420567522978645E-2</v>
      </c>
      <c r="BD93" s="1143">
        <f>+BB93+BB242+BB360</f>
        <v>19.049454275137258</v>
      </c>
      <c r="BE93" s="1161">
        <f>+BD93/BD86-1</f>
        <v>-0.44454887218045114</v>
      </c>
      <c r="BF93" s="1166"/>
      <c r="BG93" s="1167"/>
      <c r="BH93" s="1168"/>
      <c r="BI93" s="1157"/>
      <c r="BJ93" s="1158"/>
      <c r="BK93" s="1169"/>
      <c r="BL93" s="1169"/>
      <c r="BM93" s="1169"/>
      <c r="BN93" s="1169"/>
      <c r="BO93" s="1169"/>
      <c r="BP93" s="1169"/>
      <c r="BQ93" s="1169"/>
      <c r="BR93" s="1169">
        <f>+BR94*$BI$7*0.2</f>
        <v>1.7727918530161575</v>
      </c>
      <c r="BS93" s="1169">
        <f>+BS94*$BI$7*0.2</f>
        <v>1.1603728492469396</v>
      </c>
      <c r="BT93" s="1169">
        <f>+BT94*$BI$7</f>
        <v>8.0581447864370794</v>
      </c>
      <c r="BU93" s="1169">
        <f>+BU94*$BI$7</f>
        <v>8.0581447864370794</v>
      </c>
      <c r="BW93" s="1157">
        <f>+SUM(BF93:BU93)</f>
        <v>19.049454275137258</v>
      </c>
      <c r="BX93" s="114"/>
      <c r="BY93" s="114"/>
      <c r="BZ93" s="114"/>
      <c r="CA93" s="114"/>
      <c r="CB93" s="114"/>
      <c r="CC93" s="114"/>
      <c r="CD93" s="114"/>
      <c r="CE93" s="114"/>
      <c r="CF93" s="114"/>
      <c r="CG93" s="114"/>
      <c r="CH93" s="114"/>
      <c r="CI93" s="114"/>
      <c r="CJ93" s="114"/>
      <c r="CK93" s="114"/>
      <c r="CL93" s="114"/>
      <c r="CM93" s="114"/>
      <c r="CN93" s="114"/>
    </row>
    <row r="94" spans="1:92">
      <c r="A94" s="114"/>
      <c r="B94" s="245" t="s">
        <v>119</v>
      </c>
      <c r="C94" s="114"/>
      <c r="D94" s="1123">
        <f>(S94/S87-1)*100</f>
        <v>-14.912125188620273</v>
      </c>
      <c r="E94" s="114"/>
      <c r="F94" s="1139">
        <v>-10</v>
      </c>
      <c r="G94" s="114"/>
      <c r="H94" s="1123">
        <f>D94-F94</f>
        <v>-4.9121251886202728</v>
      </c>
      <c r="I94" s="114"/>
      <c r="J94" s="114"/>
      <c r="K94" s="114"/>
      <c r="L94" s="1122">
        <f>AVERAGE(L90:L93)</f>
        <v>283.75</v>
      </c>
      <c r="M94" s="114"/>
      <c r="N94" s="1123">
        <f>(L94/L87-1)*100</f>
        <v>-3.1156636790439562</v>
      </c>
      <c r="O94" s="246"/>
      <c r="P94" s="1124"/>
      <c r="Q94" s="310"/>
      <c r="R94" s="114"/>
      <c r="S94" s="1095">
        <f>SUM(S90:S93)</f>
        <v>1109.547785</v>
      </c>
      <c r="T94" s="114"/>
      <c r="U94" s="1125">
        <f>SUM(U90:U93)</f>
        <v>3.9106561881062269</v>
      </c>
      <c r="V94" s="114"/>
      <c r="W94" s="1126">
        <f>(U94/U87-1)*100</f>
        <v>-12.22221458957703</v>
      </c>
      <c r="X94" s="246"/>
      <c r="Y94" s="114"/>
      <c r="Z94" s="114"/>
      <c r="AA94" s="114"/>
      <c r="AB94" s="1127">
        <f>AVERAGE(AB90:AB93)</f>
        <v>2753.2312499999998</v>
      </c>
      <c r="AC94" s="114"/>
      <c r="AD94" s="1128">
        <f>(Z93/Z86-1)*100</f>
        <v>-0.90999704666273606</v>
      </c>
      <c r="AE94" s="246"/>
      <c r="AF94" s="1124">
        <f>+H94/AD94*100</f>
        <v>539.79572863831606</v>
      </c>
      <c r="AG94" s="310"/>
      <c r="AH94" s="114"/>
      <c r="AI94" s="1129">
        <f>SUM(AI90:AI93)</f>
        <v>1109.547785</v>
      </c>
      <c r="AJ94" s="114"/>
      <c r="AK94" s="1097">
        <f>SUM(AK90:AK93)</f>
        <v>402.88989279064839</v>
      </c>
      <c r="AL94" s="114"/>
      <c r="AM94" s="1126">
        <f>(AK94/AK87-1)*100</f>
        <v>-14.247973246412871</v>
      </c>
      <c r="AN94" s="246"/>
      <c r="AO94" s="246"/>
      <c r="AP94" s="246"/>
      <c r="AQ94" s="246"/>
      <c r="AR94" s="246"/>
      <c r="AS94" s="1100">
        <f>SUM(AS90:AS93)</f>
        <v>437.75221500000009</v>
      </c>
      <c r="AT94" s="114" t="s">
        <v>718</v>
      </c>
      <c r="AU94" s="1100">
        <f>(AS94/AS87-1)*100</f>
        <v>9.3916252094705008</v>
      </c>
      <c r="AV94" s="1124">
        <f>(AS94/qtrSales!AS150)*100</f>
        <v>56.344857745238876</v>
      </c>
      <c r="AW94" s="114" t="s">
        <v>718</v>
      </c>
      <c r="AX94" s="1075"/>
      <c r="AY94" s="1140">
        <f>SUM(AY90:AY93)</f>
        <v>1547.3000000000002</v>
      </c>
      <c r="AZ94" s="1103">
        <f>AY94/AY87-1</f>
        <v>-9.2051741256164221E-2</v>
      </c>
      <c r="BA94" s="114"/>
      <c r="BB94" s="1143">
        <f>SUM(BB90:BB93)</f>
        <v>94.035709165104407</v>
      </c>
      <c r="BC94" s="310"/>
      <c r="BD94" s="1143"/>
      <c r="BE94" s="114"/>
      <c r="BF94" s="1170">
        <f>+BF87</f>
        <v>28.5</v>
      </c>
      <c r="BG94" s="1170">
        <f>BG87</f>
        <v>70</v>
      </c>
      <c r="BH94" s="1170">
        <f>BH87</f>
        <v>22.5</v>
      </c>
      <c r="BI94" s="246"/>
      <c r="BJ94" s="1158"/>
      <c r="BK94" s="1171"/>
      <c r="BL94" s="1171">
        <f>BL87</f>
        <v>30</v>
      </c>
      <c r="BM94" s="1171">
        <f t="shared" ref="BM94:BS94" si="3">BM87</f>
        <v>17.5</v>
      </c>
      <c r="BN94" s="1171">
        <f t="shared" si="3"/>
        <v>25</v>
      </c>
      <c r="BO94" s="1171">
        <f t="shared" si="3"/>
        <v>15</v>
      </c>
      <c r="BP94" s="1171">
        <f t="shared" si="3"/>
        <v>25</v>
      </c>
      <c r="BQ94" s="1171">
        <f t="shared" si="3"/>
        <v>30</v>
      </c>
      <c r="BR94" s="1171">
        <f t="shared" si="3"/>
        <v>27.5</v>
      </c>
      <c r="BS94" s="1171">
        <f t="shared" si="3"/>
        <v>18</v>
      </c>
      <c r="BT94" s="1174">
        <v>25</v>
      </c>
      <c r="BU94" s="1174">
        <v>25</v>
      </c>
      <c r="BW94" s="114"/>
      <c r="BX94" s="114"/>
      <c r="BY94" s="114"/>
      <c r="BZ94" s="114"/>
      <c r="CA94" s="114"/>
      <c r="CB94" s="114"/>
      <c r="CC94" s="114"/>
      <c r="CD94" s="114"/>
      <c r="CE94" s="114"/>
      <c r="CF94" s="114"/>
      <c r="CG94" s="114"/>
      <c r="CH94" s="114"/>
      <c r="CI94" s="114"/>
      <c r="CJ94" s="114"/>
      <c r="CK94" s="114"/>
      <c r="CL94" s="114"/>
      <c r="CM94" s="114"/>
      <c r="CN94" s="114"/>
    </row>
    <row r="95" spans="1:92">
      <c r="A95" s="114"/>
      <c r="C95" s="114"/>
      <c r="D95" s="1123"/>
      <c r="E95" s="114"/>
      <c r="F95" s="1139"/>
      <c r="G95" s="114"/>
      <c r="H95" s="1123"/>
      <c r="I95" s="114"/>
      <c r="J95" s="114"/>
      <c r="K95" s="114"/>
      <c r="L95" s="1122"/>
      <c r="M95" s="114"/>
      <c r="N95" s="1123"/>
      <c r="O95" s="246"/>
      <c r="P95" s="1124"/>
      <c r="Q95" s="310"/>
      <c r="R95" s="114"/>
      <c r="V95" s="114"/>
      <c r="W95" s="1126"/>
      <c r="X95" s="246"/>
      <c r="Y95" s="114"/>
      <c r="Z95" s="114"/>
      <c r="AA95" s="114"/>
      <c r="AB95" s="1127"/>
      <c r="AC95" s="114"/>
      <c r="AD95" s="1128"/>
      <c r="AE95" s="246"/>
      <c r="AF95" s="1124"/>
      <c r="AG95" s="310"/>
      <c r="AH95" s="114"/>
      <c r="AI95" s="1129"/>
      <c r="AJ95" s="114"/>
      <c r="AK95" s="1097"/>
      <c r="AL95" s="114"/>
      <c r="AM95" s="1126"/>
      <c r="AN95" s="246"/>
      <c r="AO95" s="246"/>
      <c r="AP95" s="246"/>
      <c r="AQ95" s="246"/>
      <c r="AR95" s="246"/>
      <c r="AS95" s="1100"/>
      <c r="AT95" s="114"/>
      <c r="AU95" s="1100"/>
      <c r="AV95" s="1124"/>
      <c r="AW95" s="114"/>
      <c r="AX95" s="1075"/>
      <c r="AY95" s="1142"/>
      <c r="AZ95" s="1103"/>
      <c r="BA95" s="114"/>
      <c r="BB95" s="1143"/>
      <c r="BC95" s="310"/>
      <c r="BD95" s="1143"/>
      <c r="BE95" s="114"/>
      <c r="BF95" s="1170"/>
      <c r="BG95" s="1170"/>
      <c r="BH95" s="1170"/>
      <c r="BI95" s="246"/>
      <c r="BJ95" s="1158"/>
      <c r="BK95" s="1171"/>
      <c r="BL95" s="114"/>
      <c r="BM95" s="114"/>
      <c r="BN95" s="114"/>
      <c r="BO95" s="114"/>
      <c r="BP95" s="114"/>
      <c r="BQ95" s="114"/>
      <c r="BR95" s="114"/>
      <c r="BS95" s="1171"/>
      <c r="BT95" s="114"/>
      <c r="BU95" s="114"/>
      <c r="BV95" s="114"/>
      <c r="BW95" s="114"/>
      <c r="BX95" s="114"/>
      <c r="BY95" s="114"/>
      <c r="BZ95" s="114"/>
      <c r="CA95" s="114"/>
      <c r="CB95" s="114"/>
      <c r="CC95" s="114"/>
      <c r="CD95" s="114"/>
      <c r="CE95" s="114"/>
      <c r="CF95" s="114"/>
      <c r="CG95" s="114"/>
      <c r="CH95" s="114"/>
      <c r="CI95" s="114"/>
      <c r="CJ95" s="114"/>
      <c r="CK95" s="114"/>
      <c r="CL95" s="114"/>
      <c r="CM95" s="114"/>
      <c r="CN95" s="114"/>
    </row>
    <row r="96" spans="1:92" s="114" customFormat="1">
      <c r="A96" s="1120"/>
      <c r="B96" s="1172">
        <v>2014</v>
      </c>
      <c r="D96" s="1123"/>
      <c r="F96" s="1139"/>
      <c r="H96" s="1123"/>
      <c r="L96" s="1122"/>
      <c r="N96" s="1123"/>
      <c r="O96" s="246"/>
      <c r="P96" s="1124"/>
      <c r="Q96" s="310"/>
      <c r="S96" s="1095"/>
      <c r="U96" s="1125"/>
      <c r="W96" s="1126"/>
      <c r="X96" s="246"/>
      <c r="AB96" s="1127"/>
      <c r="AD96" s="1128"/>
      <c r="AE96" s="246"/>
      <c r="AF96" s="1124"/>
      <c r="AG96" s="310"/>
      <c r="AI96" s="1129"/>
      <c r="AK96" s="1097"/>
      <c r="AM96" s="1126"/>
      <c r="AN96" s="246"/>
      <c r="AO96" s="246"/>
      <c r="AP96" s="246"/>
      <c r="AQ96" s="246"/>
      <c r="AR96" s="246"/>
      <c r="AS96" s="1100"/>
      <c r="AU96" s="1100"/>
      <c r="AV96" s="1121" t="s">
        <v>76</v>
      </c>
      <c r="AX96" s="1075"/>
      <c r="AY96" s="1142"/>
      <c r="AZ96" s="1103"/>
      <c r="BB96" s="1146" t="s">
        <v>575</v>
      </c>
      <c r="BC96" s="310"/>
      <c r="BD96" s="310"/>
      <c r="BE96" s="1161"/>
      <c r="BF96" s="246"/>
      <c r="BG96" s="246" t="s">
        <v>2</v>
      </c>
      <c r="BH96" s="246" t="s">
        <v>3</v>
      </c>
      <c r="BI96" s="246"/>
      <c r="BJ96" s="249"/>
      <c r="BK96" s="246" t="s">
        <v>652</v>
      </c>
      <c r="BL96" s="246" t="s">
        <v>588</v>
      </c>
      <c r="BM96" s="246" t="s">
        <v>589</v>
      </c>
      <c r="BN96" s="246" t="s">
        <v>590</v>
      </c>
      <c r="BO96" s="246" t="str">
        <f>BO89</f>
        <v>Hamburg</v>
      </c>
      <c r="BP96" s="246" t="str">
        <f>BP89</f>
        <v>Hong Kong</v>
      </c>
      <c r="BQ96" s="246" t="str">
        <f>BQ89</f>
        <v>Munich</v>
      </c>
      <c r="BR96" s="246" t="str">
        <f>BR89</f>
        <v>Amsterdam</v>
      </c>
      <c r="BS96" s="246" t="str">
        <f>BS89</f>
        <v>Dublin</v>
      </c>
      <c r="BT96" s="246" t="s">
        <v>491</v>
      </c>
      <c r="BU96" s="246" t="s">
        <v>492</v>
      </c>
    </row>
    <row r="97" spans="1:92" s="114" customFormat="1">
      <c r="A97" s="114" t="s">
        <v>115</v>
      </c>
      <c r="B97" s="245" t="s">
        <v>96</v>
      </c>
      <c r="D97" s="1088">
        <f>(S97/S90-1)*100</f>
        <v>-12.703695766123301</v>
      </c>
      <c r="E97" s="114" t="s">
        <v>76</v>
      </c>
      <c r="F97" s="1144">
        <v>-2</v>
      </c>
      <c r="G97" s="114" t="s">
        <v>76</v>
      </c>
      <c r="H97" s="1045">
        <f>D97-F97</f>
        <v>-10.703695766123301</v>
      </c>
      <c r="I97" s="114" t="s">
        <v>76</v>
      </c>
      <c r="J97" s="1047">
        <f>253+23</f>
        <v>276</v>
      </c>
      <c r="K97" s="1063">
        <f>J97-J93</f>
        <v>1</v>
      </c>
      <c r="L97" s="1122">
        <f>AVERAGE(J97,J93)</f>
        <v>275.5</v>
      </c>
      <c r="N97" s="1123">
        <f>(L97/L90-1)*100</f>
        <v>-2.9929577464788748</v>
      </c>
      <c r="O97" s="246" t="s">
        <v>76</v>
      </c>
      <c r="P97" s="1124">
        <f>H97/N97*100</f>
        <v>357.6293644210607</v>
      </c>
      <c r="Q97" s="310" t="s">
        <v>76</v>
      </c>
      <c r="S97" s="1160">
        <f>AY97-AS97</f>
        <v>211.30125000000001</v>
      </c>
      <c r="U97" s="1125">
        <f>S97/L97</f>
        <v>0.76697368421052636</v>
      </c>
      <c r="W97" s="1126">
        <f>(U97/U90-1)*100</f>
        <v>-10.010343366892982</v>
      </c>
      <c r="X97" s="246" t="s">
        <v>76</v>
      </c>
      <c r="Z97" s="1063">
        <f>+Z93+(J97-J93)*(squft!$CV$10/1000)</f>
        <v>2692.95</v>
      </c>
      <c r="AB97" s="1127">
        <f>AVERAGE(Z97,Z93)</f>
        <v>2688.5499999999997</v>
      </c>
      <c r="AD97" s="1128">
        <f>(Z97/Z90-1)*100</f>
        <v>-2.2362999400991068</v>
      </c>
      <c r="AE97" s="246" t="s">
        <v>76</v>
      </c>
      <c r="AF97" s="1124">
        <f>+H97/AD97*100</f>
        <v>478.63417487946373</v>
      </c>
      <c r="AG97" s="310" t="s">
        <v>76</v>
      </c>
      <c r="AI97" s="1129">
        <f>+S97</f>
        <v>211.30125000000001</v>
      </c>
      <c r="AK97" s="1097">
        <f>AI97/AB97*1000</f>
        <v>78.593014822116018</v>
      </c>
      <c r="AM97" s="1126">
        <f>(AK97/AK90-1)*100</f>
        <v>-11.303441681175686</v>
      </c>
      <c r="AN97" s="246" t="s">
        <v>76</v>
      </c>
      <c r="AO97" s="246"/>
      <c r="AP97" s="246"/>
      <c r="AQ97" s="246"/>
      <c r="AR97" s="246"/>
      <c r="AS97" s="1100">
        <f>qtrSales!AS153*(AV97/100)</f>
        <v>106.49875</v>
      </c>
      <c r="AT97" s="114" t="s">
        <v>718</v>
      </c>
      <c r="AU97" s="1100">
        <f>(AS97/AS90-1)*100</f>
        <v>28.390057188495987</v>
      </c>
      <c r="AV97" s="1101">
        <f>AV90</f>
        <v>62.5</v>
      </c>
      <c r="AW97" s="114" t="s">
        <v>718</v>
      </c>
      <c r="AX97" s="1075"/>
      <c r="AY97" s="1102">
        <v>317.8</v>
      </c>
      <c r="AZ97" s="1103">
        <f>AY97/AY90-1</f>
        <v>-2.215384615384608E-2</v>
      </c>
      <c r="BB97" s="1143">
        <f>+BW97</f>
        <v>23.647817111983457</v>
      </c>
      <c r="BC97" s="1173">
        <f>BB97/S90</f>
        <v>9.7697814711213651E-2</v>
      </c>
      <c r="BD97" s="1143">
        <f>+BB97+BB247+BB365</f>
        <v>23.647817111983457</v>
      </c>
      <c r="BE97" s="1161">
        <f>+BD97/BD90-1</f>
        <v>0</v>
      </c>
      <c r="BF97" s="1154"/>
      <c r="BG97" s="1155"/>
      <c r="BH97" s="1156"/>
      <c r="BI97" s="1157"/>
      <c r="BJ97" s="1158"/>
      <c r="BK97" s="1159"/>
      <c r="BL97" s="1159"/>
      <c r="BM97" s="1159"/>
      <c r="BN97" s="1159"/>
      <c r="BO97" s="1159">
        <f>+BO101*$BI$4</f>
        <v>3.0711450794783715</v>
      </c>
      <c r="BP97" s="1159">
        <f>+BP101*$BI$4</f>
        <v>5.1185751324639526</v>
      </c>
      <c r="BQ97" s="1159">
        <f>+BQ101*$BI$4</f>
        <v>6.1422901589567429</v>
      </c>
      <c r="BR97" s="1159">
        <f>+BR101*$BI$4</f>
        <v>5.6304326457103482</v>
      </c>
      <c r="BS97" s="1159">
        <f>+BS101*$BI$4</f>
        <v>3.6853740953740459</v>
      </c>
      <c r="BT97" s="1159"/>
      <c r="BU97" s="1159"/>
      <c r="BW97" s="1157">
        <f>+SUM(BF97:BU97)</f>
        <v>23.647817111983457</v>
      </c>
    </row>
    <row r="98" spans="1:92" s="114" customFormat="1">
      <c r="A98" s="114" t="s">
        <v>116</v>
      </c>
      <c r="B98" s="245" t="s">
        <v>97</v>
      </c>
      <c r="D98" s="1088">
        <f>(S98/S91-1)*100</f>
        <v>-6.1496576978188333</v>
      </c>
      <c r="F98" s="1144">
        <v>-2</v>
      </c>
      <c r="H98" s="1045">
        <f>D98-F98</f>
        <v>-4.1496576978188333</v>
      </c>
      <c r="J98" s="1176">
        <v>279</v>
      </c>
      <c r="K98" s="1063">
        <f>J98-J97</f>
        <v>3</v>
      </c>
      <c r="L98" s="1122">
        <f>AVERAGE(J98,J97)</f>
        <v>277.5</v>
      </c>
      <c r="N98" s="1123">
        <f>(L98/L91-1)*100</f>
        <v>-2.2887323943661997</v>
      </c>
      <c r="O98" s="246"/>
      <c r="P98" s="1124">
        <f>H98/N98*100</f>
        <v>181.30812095085344</v>
      </c>
      <c r="Q98" s="310"/>
      <c r="S98" s="1160">
        <f>AY98-AS98</f>
        <v>259.36856</v>
      </c>
      <c r="U98" s="1131">
        <f>S98/L98</f>
        <v>0.93466147747747752</v>
      </c>
      <c r="W98" s="1126">
        <f>(U98/U91-1)*100</f>
        <v>-3.9513613916416057</v>
      </c>
      <c r="X98" s="246"/>
      <c r="Z98" s="1063">
        <f>+Z97+(J98-J97)*(squft!$CV$10/1000)</f>
        <v>2719.35</v>
      </c>
      <c r="AB98" s="1127">
        <f>AVERAGE(Z98,Z97)</f>
        <v>2706.1499999999996</v>
      </c>
      <c r="AD98" s="1128">
        <f>(Z98/Z91-1)*100</f>
        <v>-1.9046588388074159</v>
      </c>
      <c r="AE98" s="246"/>
      <c r="AF98" s="1124">
        <f>+H98/AD98*100</f>
        <v>217.86881793576757</v>
      </c>
      <c r="AG98" s="310"/>
      <c r="AI98" s="1132">
        <f>+S98</f>
        <v>259.36856</v>
      </c>
      <c r="AK98" s="1106">
        <f>AI98/AB98*1000</f>
        <v>95.844118027455991</v>
      </c>
      <c r="AM98" s="1126">
        <f>(AK98/AK91-1)*100</f>
        <v>-4.1659392861695288</v>
      </c>
      <c r="AN98" s="246"/>
      <c r="AO98" s="246"/>
      <c r="AP98" s="246"/>
      <c r="AQ98" s="246"/>
      <c r="AR98" s="246"/>
      <c r="AS98" s="1100">
        <f>qtrSales!AS154*(AV98/100)</f>
        <v>90.231439999999992</v>
      </c>
      <c r="AT98" s="114" t="s">
        <v>718</v>
      </c>
      <c r="AU98" s="1100">
        <f>(AS98/AS91-1)*100</f>
        <v>12.457550226830838</v>
      </c>
      <c r="AV98" s="1101">
        <f>AV91</f>
        <v>52</v>
      </c>
      <c r="AW98" s="114" t="s">
        <v>718</v>
      </c>
      <c r="AX98" s="1075"/>
      <c r="AY98" s="1177">
        <v>349.6</v>
      </c>
      <c r="AZ98" s="1103">
        <f>AY98/AY91-1</f>
        <v>-1.9629837352776236E-2</v>
      </c>
      <c r="BB98" s="1143">
        <f>+BW98</f>
        <v>19.845624451543674</v>
      </c>
      <c r="BC98" s="1173">
        <f>BB98/S91</f>
        <v>7.1809730831597723E-2</v>
      </c>
      <c r="BD98" s="1143">
        <f>+BB98+BB248+BB366</f>
        <v>19.845624451543674</v>
      </c>
      <c r="BE98" s="1161">
        <f>+BD98/BD91-1</f>
        <v>0</v>
      </c>
      <c r="BF98" s="1162"/>
      <c r="BG98" s="1163"/>
      <c r="BH98" s="1164"/>
      <c r="BI98" s="1157"/>
      <c r="BJ98" s="1158"/>
      <c r="BK98" s="1165"/>
      <c r="BL98" s="1165"/>
      <c r="BM98" s="1165"/>
      <c r="BN98" s="1165"/>
      <c r="BO98" s="1165"/>
      <c r="BP98" s="1165">
        <f>+BP101*$BI$5</f>
        <v>5.4223017627168506</v>
      </c>
      <c r="BQ98" s="1165">
        <f>+BQ101*$BI$5</f>
        <v>6.5067621152602202</v>
      </c>
      <c r="BR98" s="1165">
        <f>+BR101*$BI$5</f>
        <v>5.964531938988535</v>
      </c>
      <c r="BS98" s="1165">
        <f>+BS101*$BI$5*0.5</f>
        <v>1.9520286345780662</v>
      </c>
      <c r="BT98" s="1165"/>
      <c r="BU98" s="1165"/>
      <c r="BW98" s="1157">
        <f>+SUM(BF98:BU98)</f>
        <v>19.845624451543674</v>
      </c>
    </row>
    <row r="99" spans="1:92" s="114" customFormat="1">
      <c r="A99" s="114" t="s">
        <v>117</v>
      </c>
      <c r="B99" s="245" t="s">
        <v>99</v>
      </c>
      <c r="D99" s="1088">
        <f>(S99/S92-1)*100</f>
        <v>-12.217527479021406</v>
      </c>
      <c r="F99" s="1144">
        <v>-7</v>
      </c>
      <c r="H99" s="1045">
        <f>D99-F99</f>
        <v>-5.2175274790214061</v>
      </c>
      <c r="J99" s="1176">
        <v>282</v>
      </c>
      <c r="K99" s="1063">
        <f>J99-J98</f>
        <v>3</v>
      </c>
      <c r="L99" s="1122">
        <f>AVERAGE(J99,J98)</f>
        <v>280.5</v>
      </c>
      <c r="N99" s="1123">
        <f>(L99/L92-1)*100</f>
        <v>-1.9230769230769273</v>
      </c>
      <c r="O99" s="246"/>
      <c r="P99" s="1124">
        <f>H99/N99*100</f>
        <v>271.31142890911252</v>
      </c>
      <c r="Q99" s="310"/>
      <c r="S99" s="1160">
        <f>AY99-AS99</f>
        <v>259.95462499999996</v>
      </c>
      <c r="U99" s="1131">
        <f>S99/L99</f>
        <v>0.92675445632798559</v>
      </c>
      <c r="W99" s="1126">
        <f>(U99/U92-1)*100</f>
        <v>-10.496302527629664</v>
      </c>
      <c r="X99" s="246"/>
      <c r="Z99" s="1063">
        <f>+Z98+(J99-J98)*(squft!$CV$10/1000)</f>
        <v>2745.75</v>
      </c>
      <c r="AB99" s="1127">
        <f>AVERAGE(Z99,Z98)</f>
        <v>2732.55</v>
      </c>
      <c r="AD99" s="1128">
        <f>(Z99/Z92-1)*100</f>
        <v>-1.5772022582668521</v>
      </c>
      <c r="AE99" s="246"/>
      <c r="AF99" s="1124">
        <f>+H99/AD99*100</f>
        <v>330.80902919545753</v>
      </c>
      <c r="AG99" s="310"/>
      <c r="AI99" s="1132">
        <f>+S99</f>
        <v>259.95462499999996</v>
      </c>
      <c r="AK99" s="1106">
        <f>AI99/AB99*1000</f>
        <v>95.132614224808322</v>
      </c>
      <c r="AM99" s="1126">
        <f>(AK99/AK92-1)*100</f>
        <v>-10.662689810903581</v>
      </c>
      <c r="AN99" s="246"/>
      <c r="AO99" s="246"/>
      <c r="AP99" s="246"/>
      <c r="AQ99" s="246"/>
      <c r="AR99" s="246"/>
      <c r="AS99" s="1100">
        <f>qtrSales!AS155*(AV99/100)</f>
        <v>98.445374999999999</v>
      </c>
      <c r="AT99" s="114" t="s">
        <v>718</v>
      </c>
      <c r="AU99" s="1100">
        <f>(AS99/AS92-1)*100</f>
        <v>7.3969072164948413</v>
      </c>
      <c r="AV99" s="1101">
        <f>AV92</f>
        <v>52.5</v>
      </c>
      <c r="AW99" s="114" t="s">
        <v>718</v>
      </c>
      <c r="AX99" s="1075"/>
      <c r="AY99" s="1177">
        <v>358.4</v>
      </c>
      <c r="AZ99" s="1103">
        <f>AY99/AY92-1</f>
        <v>-7.5812274368231125E-2</v>
      </c>
      <c r="BB99" s="1143">
        <f>+BW99</f>
        <v>31.492813326440015</v>
      </c>
      <c r="BC99" s="1173">
        <f>BB99/S92</f>
        <v>0.10634613715514889</v>
      </c>
      <c r="BD99" s="1143">
        <f>+BB99+BB249+BB367</f>
        <v>31.492813326440015</v>
      </c>
      <c r="BE99" s="1161">
        <f>+BD99/BD92-1</f>
        <v>0</v>
      </c>
      <c r="BF99" s="1162"/>
      <c r="BG99" s="1163"/>
      <c r="BH99" s="1164"/>
      <c r="BI99" s="1157"/>
      <c r="BJ99" s="1158"/>
      <c r="BK99" s="1165"/>
      <c r="BL99" s="1165"/>
      <c r="BM99" s="1165"/>
      <c r="BN99" s="1165"/>
      <c r="BO99" s="1165"/>
      <c r="BP99" s="1165">
        <f>+BP101*$BI$6*0.5</f>
        <v>3.2004891591910583</v>
      </c>
      <c r="BQ99" s="1165">
        <f>+BQ101*$BI$6*0.5</f>
        <v>3.8405869910292703</v>
      </c>
      <c r="BR99" s="1165">
        <f>+BR101*$BI$6</f>
        <v>7.0410761502203281</v>
      </c>
      <c r="BS99" s="1165">
        <f>+BS101*$BI$6</f>
        <v>4.6087043892351236</v>
      </c>
      <c r="BT99" s="1165">
        <f>+BT101*$BI$6</f>
        <v>6.4009783183821165</v>
      </c>
      <c r="BU99" s="1165">
        <f>+BU101*$BI$6</f>
        <v>6.4009783183821165</v>
      </c>
      <c r="BW99" s="1157">
        <f>+SUM(BF99:BU99)</f>
        <v>31.492813326440015</v>
      </c>
    </row>
    <row r="100" spans="1:92">
      <c r="A100" s="114" t="s">
        <v>118</v>
      </c>
      <c r="B100" s="245" t="s">
        <v>100</v>
      </c>
      <c r="C100" s="114"/>
      <c r="D100" s="1061">
        <f>(S100/S93-1)*100</f>
        <v>-15.437458999744258</v>
      </c>
      <c r="E100" s="114"/>
      <c r="F100" s="1104">
        <v>-8</v>
      </c>
      <c r="G100" s="114"/>
      <c r="H100" s="1061">
        <f>D100-F100</f>
        <v>-7.4374589997442584</v>
      </c>
      <c r="I100" s="114"/>
      <c r="J100" s="1063">
        <f>squft!CU14</f>
        <v>279</v>
      </c>
      <c r="K100" s="1063">
        <f>J100-J99</f>
        <v>-3</v>
      </c>
      <c r="L100" s="1108">
        <f>AVERAGE(J100,J99)</f>
        <v>280.5</v>
      </c>
      <c r="M100" s="114"/>
      <c r="N100" s="1107">
        <f>(L100/L93-1)*100</f>
        <v>-0.1779359430605032</v>
      </c>
      <c r="O100" s="246"/>
      <c r="P100" s="1108">
        <f>H100/N100*100</f>
        <v>4179.8519578561563</v>
      </c>
      <c r="Q100" s="310"/>
      <c r="R100" s="114"/>
      <c r="S100" s="1092">
        <f>AY100-AS100</f>
        <v>249.45794000000001</v>
      </c>
      <c r="T100" s="114"/>
      <c r="U100" s="1133">
        <f>S100/L100</f>
        <v>0.88933311942959004</v>
      </c>
      <c r="V100" s="114"/>
      <c r="W100" s="1134">
        <f>(U100/U93-1)*100</f>
        <v>-15.286723632542387</v>
      </c>
      <c r="X100" s="246"/>
      <c r="Y100" s="114"/>
      <c r="Z100" s="1063">
        <f>+Z99+(J100-J99)*(squft!$CV$10/1000)</f>
        <v>2719.35</v>
      </c>
      <c r="AA100" s="114"/>
      <c r="AB100" s="1110">
        <f>AVERAGE(Z100,Z99)</f>
        <v>2732.55</v>
      </c>
      <c r="AC100" s="114"/>
      <c r="AD100" s="1107">
        <f>(Z100/Z93-1)*100</f>
        <v>1.3114021198517234</v>
      </c>
      <c r="AE100" s="246"/>
      <c r="AF100" s="1108">
        <f>+H100/AD100*100</f>
        <v>-567.13794244782764</v>
      </c>
      <c r="AG100" s="310"/>
      <c r="AH100" s="114"/>
      <c r="AI100" s="1111">
        <f>+S100</f>
        <v>249.45794000000001</v>
      </c>
      <c r="AJ100" s="114"/>
      <c r="AK100" s="1135">
        <f>AI100/AB100*1000</f>
        <v>91.291262739931554</v>
      </c>
      <c r="AL100" s="114"/>
      <c r="AM100" s="1134">
        <f>(AK100/AK93-1)*100</f>
        <v>-15.30129491110872</v>
      </c>
      <c r="AN100" s="246"/>
      <c r="AO100" s="246"/>
      <c r="AP100" s="246"/>
      <c r="AQ100" s="246"/>
      <c r="AR100" s="246"/>
      <c r="AS100" s="1136">
        <f>qtrSales!AS156*(AV100/100)</f>
        <v>174.64206000000001</v>
      </c>
      <c r="AT100" s="114" t="s">
        <v>718</v>
      </c>
      <c r="AU100" s="1136">
        <f>(AS100/AS93-1)*100</f>
        <v>-4.5159633167167756</v>
      </c>
      <c r="AV100" s="1137">
        <f>AV93</f>
        <v>58</v>
      </c>
      <c r="AW100" s="1042" t="s">
        <v>718</v>
      </c>
      <c r="AX100" s="1075"/>
      <c r="AY100" s="1145">
        <v>424.1</v>
      </c>
      <c r="AZ100" s="1138">
        <f>AY100/AY93-1</f>
        <v>-0.11257585268884696</v>
      </c>
      <c r="BA100" s="114"/>
      <c r="BB100" s="1147">
        <f>+BW100</f>
        <v>19.049454275137258</v>
      </c>
      <c r="BC100" s="1173">
        <f>BB100/S93</f>
        <v>6.4574824043435591E-2</v>
      </c>
      <c r="BD100" s="1143">
        <f>+BB100+BB250+BB368</f>
        <v>19.049454275137258</v>
      </c>
      <c r="BE100" s="1161">
        <f>+BD100/BD93-1</f>
        <v>0</v>
      </c>
      <c r="BF100" s="1166"/>
      <c r="BG100" s="1167"/>
      <c r="BH100" s="1168"/>
      <c r="BI100" s="1157"/>
      <c r="BJ100" s="1158"/>
      <c r="BK100" s="1169"/>
      <c r="BL100" s="1169"/>
      <c r="BM100" s="1169"/>
      <c r="BN100" s="1169"/>
      <c r="BO100" s="1169"/>
      <c r="BP100" s="1169"/>
      <c r="BQ100" s="1169"/>
      <c r="BR100" s="1169">
        <f>+BR101*$BI$7*0.2</f>
        <v>1.7727918530161575</v>
      </c>
      <c r="BS100" s="1169">
        <f>+BS101*$BI$7*0.2</f>
        <v>1.1603728492469396</v>
      </c>
      <c r="BT100" s="1169">
        <f>+BT101*$BI$7</f>
        <v>8.0581447864370794</v>
      </c>
      <c r="BU100" s="1169">
        <f>+BU101*$BI$7</f>
        <v>8.0581447864370794</v>
      </c>
      <c r="BW100" s="1157">
        <f>+SUM(BF100:BU100)</f>
        <v>19.049454275137258</v>
      </c>
      <c r="BX100" s="114"/>
      <c r="BY100" s="114"/>
      <c r="BZ100" s="114"/>
      <c r="CA100" s="114"/>
      <c r="CB100" s="114"/>
      <c r="CC100" s="114"/>
      <c r="CD100" s="114"/>
      <c r="CE100" s="114"/>
      <c r="CF100" s="114"/>
      <c r="CG100" s="114"/>
      <c r="CH100" s="114"/>
      <c r="CI100" s="114"/>
      <c r="CJ100" s="114"/>
      <c r="CK100" s="114"/>
      <c r="CL100" s="114"/>
      <c r="CM100" s="114"/>
      <c r="CN100" s="114"/>
    </row>
    <row r="101" spans="1:92" s="114" customFormat="1">
      <c r="B101" s="245" t="s">
        <v>119</v>
      </c>
      <c r="D101" s="1123">
        <f>(S101/S94-1)*100</f>
        <v>-11.668304128064211</v>
      </c>
      <c r="F101" s="1139">
        <v>-5</v>
      </c>
      <c r="H101" s="1123">
        <f>D101-F101</f>
        <v>-6.6683041280642108</v>
      </c>
      <c r="L101" s="1122">
        <f>AVERAGE(L97:L100)</f>
        <v>278.5</v>
      </c>
      <c r="N101" s="1123">
        <f>(L101/L94-1)*100</f>
        <v>-1.8502202643171817</v>
      </c>
      <c r="O101" s="246"/>
      <c r="P101" s="1124"/>
      <c r="Q101" s="310"/>
      <c r="S101" s="1095">
        <f>SUM(S97:S100)</f>
        <v>980.08237499999996</v>
      </c>
      <c r="U101" s="1125">
        <f>SUM(U97:U100)</f>
        <v>3.5177227374455793</v>
      </c>
      <c r="W101" s="1126">
        <f>(U101/U94-1)*100</f>
        <v>-10.047762619882207</v>
      </c>
      <c r="X101" s="246"/>
      <c r="AB101" s="1127">
        <f>AVERAGE(AB97:AB100)</f>
        <v>2714.95</v>
      </c>
      <c r="AD101" s="1128">
        <f>(Z100/Z93-1)*100</f>
        <v>1.3114021198517234</v>
      </c>
      <c r="AE101" s="246"/>
      <c r="AF101" s="1124">
        <f>+H101/AD101*100</f>
        <v>-508.48660583362317</v>
      </c>
      <c r="AG101" s="310"/>
      <c r="AI101" s="1129">
        <f>SUM(AI97:AI100)</f>
        <v>980.08237499999996</v>
      </c>
      <c r="AK101" s="1097">
        <f>SUM(AK97:AK100)</f>
        <v>360.86100981431184</v>
      </c>
      <c r="AM101" s="1126">
        <f>(AK101/AK94-1)*100</f>
        <v>-10.43185339925512</v>
      </c>
      <c r="AN101" s="246"/>
      <c r="AO101" s="246"/>
      <c r="AP101" s="246"/>
      <c r="AQ101" s="246"/>
      <c r="AR101" s="246"/>
      <c r="AS101" s="1100">
        <f>SUM(AS97:AS100)</f>
        <v>469.81762500000002</v>
      </c>
      <c r="AT101" s="114" t="s">
        <v>718</v>
      </c>
      <c r="AU101" s="1100">
        <f>(AS101/AS94-1)*100</f>
        <v>7.3250137637795643</v>
      </c>
      <c r="AV101" s="1124">
        <f>(AS101/qtrSales!AS157)*100</f>
        <v>56.431702544736495</v>
      </c>
      <c r="AW101" s="114" t="s">
        <v>718</v>
      </c>
      <c r="AX101" s="1075"/>
      <c r="AY101" s="1142">
        <f>SUM(AY97:AY100)</f>
        <v>1449.9</v>
      </c>
      <c r="AZ101" s="1103">
        <f>AY101/AY94-1</f>
        <v>-6.2948361662250374E-2</v>
      </c>
      <c r="BB101" s="1143">
        <f>SUM(BB97:BB100)</f>
        <v>94.035709165104407</v>
      </c>
      <c r="BC101" s="310"/>
      <c r="BD101" s="1143"/>
      <c r="BF101" s="1170">
        <f>+BF94</f>
        <v>28.5</v>
      </c>
      <c r="BG101" s="1170">
        <f>BG94</f>
        <v>70</v>
      </c>
      <c r="BH101" s="1170">
        <f>BH94</f>
        <v>22.5</v>
      </c>
      <c r="BI101" s="246"/>
      <c r="BJ101" s="1158"/>
      <c r="BK101" s="1171"/>
      <c r="BL101" s="1171">
        <f>BL94</f>
        <v>30</v>
      </c>
      <c r="BM101" s="1171">
        <f t="shared" ref="BM101:BS101" si="4">BM94</f>
        <v>17.5</v>
      </c>
      <c r="BN101" s="1171">
        <f>BN94</f>
        <v>25</v>
      </c>
      <c r="BO101" s="1171">
        <f t="shared" si="4"/>
        <v>15</v>
      </c>
      <c r="BP101" s="1171">
        <f t="shared" si="4"/>
        <v>25</v>
      </c>
      <c r="BQ101" s="1171">
        <f t="shared" si="4"/>
        <v>30</v>
      </c>
      <c r="BR101" s="1171">
        <f t="shared" si="4"/>
        <v>27.5</v>
      </c>
      <c r="BS101" s="1171">
        <f t="shared" si="4"/>
        <v>18</v>
      </c>
      <c r="BT101" s="1174">
        <v>25</v>
      </c>
      <c r="BU101" s="1174">
        <v>25</v>
      </c>
    </row>
    <row r="102" spans="1:92">
      <c r="A102" s="114"/>
      <c r="C102" s="114"/>
      <c r="D102" s="1123"/>
      <c r="E102" s="114"/>
      <c r="F102" s="1139"/>
      <c r="G102" s="114"/>
      <c r="H102" s="1123"/>
      <c r="I102" s="114"/>
      <c r="J102" s="114"/>
      <c r="K102" s="114"/>
      <c r="L102" s="1122"/>
      <c r="M102" s="114"/>
      <c r="N102" s="1123"/>
      <c r="O102" s="246"/>
      <c r="P102" s="1124"/>
      <c r="Q102" s="310"/>
      <c r="R102" s="114"/>
      <c r="V102" s="114"/>
      <c r="W102" s="1126"/>
      <c r="X102" s="246"/>
      <c r="Y102" s="114"/>
      <c r="Z102" s="114"/>
      <c r="AA102" s="114"/>
      <c r="AB102" s="1127"/>
      <c r="AC102" s="114"/>
      <c r="AD102" s="1128"/>
      <c r="AE102" s="246"/>
      <c r="AF102" s="1124"/>
      <c r="AG102" s="310"/>
      <c r="AH102" s="114"/>
      <c r="AI102" s="1129"/>
      <c r="AJ102" s="114"/>
      <c r="AK102" s="1097"/>
      <c r="AL102" s="114"/>
      <c r="AM102" s="1126"/>
      <c r="AN102" s="246"/>
      <c r="AO102" s="246"/>
      <c r="AP102" s="246"/>
      <c r="AQ102" s="246"/>
      <c r="AR102" s="246"/>
      <c r="AS102" s="1100"/>
      <c r="AT102" s="114"/>
      <c r="AU102" s="1100"/>
      <c r="AV102" s="1124"/>
      <c r="AW102" s="114"/>
      <c r="AX102" s="1075"/>
      <c r="AY102" s="1142"/>
      <c r="AZ102" s="1103"/>
      <c r="BA102" s="114"/>
      <c r="BB102" s="1143"/>
      <c r="BC102" s="310"/>
      <c r="BD102" s="1143"/>
      <c r="BE102" s="114"/>
      <c r="BF102" s="1170"/>
      <c r="BG102" s="1170"/>
      <c r="BH102" s="1170"/>
      <c r="BI102" s="246"/>
      <c r="BJ102" s="1158"/>
      <c r="BK102" s="1171"/>
      <c r="BL102" s="114"/>
      <c r="BM102" s="114"/>
      <c r="BN102" s="114"/>
      <c r="BO102" s="114"/>
      <c r="BP102" s="114"/>
      <c r="BQ102" s="114"/>
      <c r="BR102" s="114"/>
      <c r="BS102" s="1171"/>
      <c r="BT102" s="114"/>
      <c r="BU102" s="114"/>
      <c r="BV102" s="114"/>
      <c r="BW102" s="114"/>
      <c r="BX102" s="114"/>
      <c r="BY102" s="114"/>
      <c r="BZ102" s="114"/>
      <c r="CA102" s="114"/>
      <c r="CB102" s="114"/>
      <c r="CC102" s="114"/>
      <c r="CD102" s="114"/>
      <c r="CE102" s="114"/>
      <c r="CF102" s="114"/>
      <c r="CG102" s="114"/>
      <c r="CH102" s="114"/>
      <c r="CI102" s="114"/>
      <c r="CJ102" s="114"/>
      <c r="CK102" s="114"/>
      <c r="CL102" s="114"/>
      <c r="CM102" s="114"/>
      <c r="CN102" s="114"/>
    </row>
    <row r="103" spans="1:92" s="252" customFormat="1">
      <c r="A103" s="1974"/>
      <c r="B103" s="2029">
        <v>2015</v>
      </c>
      <c r="D103" s="1975"/>
      <c r="F103" s="1990" t="s">
        <v>791</v>
      </c>
      <c r="G103" s="1990"/>
      <c r="H103" s="1990"/>
      <c r="I103" s="1990"/>
      <c r="J103" s="1990"/>
      <c r="K103" s="1990"/>
      <c r="L103" s="1990"/>
      <c r="N103" s="1975"/>
      <c r="O103" s="253"/>
      <c r="P103" s="1976"/>
      <c r="Q103" s="1646"/>
      <c r="S103" s="1977"/>
      <c r="U103" s="1978"/>
      <c r="W103" s="1979"/>
      <c r="X103" s="253"/>
      <c r="AB103" s="1980"/>
      <c r="AD103" s="1981"/>
      <c r="AE103" s="253"/>
      <c r="AF103" s="1976"/>
      <c r="AG103" s="1646"/>
      <c r="AI103" s="1982"/>
      <c r="AK103" s="1983"/>
      <c r="AM103" s="1979"/>
      <c r="AN103" s="253"/>
      <c r="AO103" s="253"/>
      <c r="AP103" s="253"/>
      <c r="AQ103" s="253"/>
      <c r="AR103" s="253"/>
      <c r="AS103" s="1822"/>
      <c r="AU103" s="1822"/>
      <c r="AV103" s="1984" t="s">
        <v>76</v>
      </c>
      <c r="AX103" s="1985"/>
      <c r="AY103" s="1986"/>
      <c r="AZ103" s="1987"/>
      <c r="BB103" s="1908" t="s">
        <v>575</v>
      </c>
      <c r="BC103" s="1646"/>
      <c r="BD103" s="1646"/>
      <c r="BE103" s="1988"/>
      <c r="BF103" s="253"/>
      <c r="BG103" s="253" t="s">
        <v>2</v>
      </c>
      <c r="BH103" s="253" t="s">
        <v>3</v>
      </c>
      <c r="BI103" s="253"/>
      <c r="BJ103" s="1989"/>
      <c r="BK103" s="253" t="s">
        <v>652</v>
      </c>
      <c r="BL103" s="253" t="s">
        <v>588</v>
      </c>
      <c r="BM103" s="253" t="s">
        <v>589</v>
      </c>
      <c r="BN103" s="253" t="s">
        <v>590</v>
      </c>
      <c r="BO103" s="253" t="str">
        <f>BO96</f>
        <v>Hamburg</v>
      </c>
      <c r="BP103" s="253" t="str">
        <f>BP96</f>
        <v>Hong Kong</v>
      </c>
      <c r="BQ103" s="253" t="str">
        <f>BQ96</f>
        <v>Munich</v>
      </c>
      <c r="BR103" s="253" t="str">
        <f>BR96</f>
        <v>Amsterdam</v>
      </c>
      <c r="BS103" s="253" t="str">
        <f>BS96</f>
        <v>Dublin</v>
      </c>
      <c r="BT103" s="253" t="s">
        <v>491</v>
      </c>
      <c r="BU103" s="253" t="s">
        <v>492</v>
      </c>
    </row>
    <row r="104" spans="1:92" s="114" customFormat="1">
      <c r="A104" s="114" t="s">
        <v>115</v>
      </c>
      <c r="B104" s="245" t="s">
        <v>96</v>
      </c>
      <c r="D104" s="1088">
        <f>(S104/(S97+S218)-1)*100</f>
        <v>-15.812981742852571</v>
      </c>
      <c r="E104" s="114" t="s">
        <v>76</v>
      </c>
      <c r="F104" s="1144">
        <v>-9</v>
      </c>
      <c r="G104" s="114" t="s">
        <v>76</v>
      </c>
      <c r="H104" s="1045">
        <f>D104-F104</f>
        <v>-6.8129817428525712</v>
      </c>
      <c r="I104" s="114" t="s">
        <v>76</v>
      </c>
      <c r="J104" s="1047">
        <f>278+115</f>
        <v>393</v>
      </c>
      <c r="K104" s="1063">
        <f>J104-(279+122)</f>
        <v>-8</v>
      </c>
      <c r="L104" s="1122">
        <f>AVERAGE(J104,J100)</f>
        <v>336</v>
      </c>
      <c r="N104" s="1123">
        <f>(L104/L97-1)*100</f>
        <v>21.9600725952813</v>
      </c>
      <c r="O104" s="246" t="s">
        <v>76</v>
      </c>
      <c r="P104" s="1124">
        <f>H104/N104*100</f>
        <v>-31.024404465386514</v>
      </c>
      <c r="Q104" s="310" t="s">
        <v>76</v>
      </c>
      <c r="S104" s="1160">
        <f>AY104-AS104</f>
        <v>217.62470499999998</v>
      </c>
      <c r="U104" s="1125">
        <f>S104/L104</f>
        <v>0.6476925744047618</v>
      </c>
      <c r="W104" s="1126">
        <f>(U104/U97-1)*100</f>
        <v>-15.552177638082188</v>
      </c>
      <c r="X104" s="246" t="s">
        <v>76</v>
      </c>
      <c r="Z104" s="1063">
        <f>+Z100+(J104-J100)*(squft!$CV$10/1000)</f>
        <v>3722.55</v>
      </c>
      <c r="AB104" s="1127">
        <f>AVERAGE(Z104,Z100)</f>
        <v>3220.95</v>
      </c>
      <c r="AD104" s="1128">
        <f>(Z104/Z97-1)*100</f>
        <v>38.233164373642303</v>
      </c>
      <c r="AE104" s="246" t="s">
        <v>76</v>
      </c>
      <c r="AF104" s="1124">
        <f>+H104/AD104*100</f>
        <v>-17.819560202423101</v>
      </c>
      <c r="AG104" s="310" t="s">
        <v>76</v>
      </c>
      <c r="AI104" s="1129">
        <f>+S104</f>
        <v>217.62470499999998</v>
      </c>
      <c r="AK104" s="1097">
        <f>AI104/AB104*1000</f>
        <v>67.565378226920629</v>
      </c>
      <c r="AM104" s="1126">
        <f>(AK104/AK97-1)*100</f>
        <v>-14.031318966647177</v>
      </c>
      <c r="AN104" s="246" t="s">
        <v>76</v>
      </c>
      <c r="AO104" s="246"/>
      <c r="AP104" s="246"/>
      <c r="AQ104" s="246"/>
      <c r="AR104" s="246"/>
      <c r="AS104" s="1100">
        <f>qtrSales!AS160*(AV104/100)</f>
        <v>122.37529500000002</v>
      </c>
      <c r="AT104" s="114" t="s">
        <v>718</v>
      </c>
      <c r="AU104" s="1100">
        <f>(AS104/AS97-1)*100</f>
        <v>14.907728963955002</v>
      </c>
      <c r="AV104" s="1101">
        <v>75</v>
      </c>
      <c r="AW104" s="114" t="s">
        <v>718</v>
      </c>
      <c r="AX104" s="1075"/>
      <c r="AY104" s="1102">
        <v>340</v>
      </c>
      <c r="AZ104" s="1103">
        <f>AY104/(AY97+AY218)-1</f>
        <v>-0.1198550349469325</v>
      </c>
      <c r="BB104" s="1143">
        <f>+BW104</f>
        <v>23.647817111983457</v>
      </c>
      <c r="BC104" s="1173">
        <f>BB104/S97</f>
        <v>0.11191517850454484</v>
      </c>
      <c r="BD104" s="1143">
        <f>+BB104+BB254+BB372</f>
        <v>23.647817111983457</v>
      </c>
      <c r="BE104" s="1161">
        <f>+BD104/BD97-1</f>
        <v>0</v>
      </c>
      <c r="BF104" s="1154"/>
      <c r="BG104" s="1155"/>
      <c r="BH104" s="1156"/>
      <c r="BI104" s="1157"/>
      <c r="BJ104" s="1158"/>
      <c r="BK104" s="1159"/>
      <c r="BL104" s="1159"/>
      <c r="BM104" s="1159"/>
      <c r="BN104" s="1159"/>
      <c r="BO104" s="1159">
        <f>+BO108*$BI$4</f>
        <v>3.0711450794783715</v>
      </c>
      <c r="BP104" s="1159">
        <f>+BP108*$BI$4</f>
        <v>5.1185751324639526</v>
      </c>
      <c r="BQ104" s="1159">
        <f>+BQ108*$BI$4</f>
        <v>6.1422901589567429</v>
      </c>
      <c r="BR104" s="1159">
        <f>+BR108*$BI$4</f>
        <v>5.6304326457103482</v>
      </c>
      <c r="BS104" s="1159">
        <f>+BS108*$BI$4</f>
        <v>3.6853740953740459</v>
      </c>
      <c r="BT104" s="1159"/>
      <c r="BU104" s="1159"/>
      <c r="BW104" s="1157">
        <f>+SUM(BF104:BU104)</f>
        <v>23.647817111983457</v>
      </c>
    </row>
    <row r="105" spans="1:92" s="114" customFormat="1">
      <c r="A105" s="114" t="s">
        <v>116</v>
      </c>
      <c r="B105" s="245" t="s">
        <v>97</v>
      </c>
      <c r="D105" s="1088">
        <f>(S105/(S98+S219)-1)*100</f>
        <v>-12.923164075327731</v>
      </c>
      <c r="F105" s="1144">
        <v>-7</v>
      </c>
      <c r="H105" s="1045">
        <f>D105-F105</f>
        <v>-5.9231640753277315</v>
      </c>
      <c r="J105" s="1176">
        <f>354+34</f>
        <v>388</v>
      </c>
      <c r="K105" s="1063">
        <f>J105-(279+122)</f>
        <v>-13</v>
      </c>
      <c r="L105" s="1122">
        <f>AVERAGE(J105,J104)</f>
        <v>390.5</v>
      </c>
      <c r="N105" s="1123">
        <f>(L105/L98-1)*100</f>
        <v>40.720720720720728</v>
      </c>
      <c r="O105" s="246"/>
      <c r="P105" s="1124">
        <f>H105/N105*100</f>
        <v>-14.545823282331375</v>
      </c>
      <c r="Q105" s="310"/>
      <c r="S105" s="1160">
        <f>AY105-AS105</f>
        <v>260.38986800000004</v>
      </c>
      <c r="U105" s="1131">
        <f>S105/L105</f>
        <v>0.66681144174135731</v>
      </c>
      <c r="W105" s="1126">
        <f>(U105/U98-1)*100</f>
        <v>-28.657438248017939</v>
      </c>
      <c r="X105" s="246"/>
      <c r="Z105" s="1063">
        <f>+Z104+(J105-J104)*(squft!$CV$10/1000)</f>
        <v>3678.55</v>
      </c>
      <c r="AB105" s="1127">
        <f>AVERAGE(Z105,Z104)</f>
        <v>3700.55</v>
      </c>
      <c r="AD105" s="1128">
        <f>(Z105/Z98-1)*100</f>
        <v>35.27313512420249</v>
      </c>
      <c r="AE105" s="246"/>
      <c r="AF105" s="1124">
        <f>+H105/AD105*100</f>
        <v>-16.792281305507149</v>
      </c>
      <c r="AG105" s="310"/>
      <c r="AI105" s="1132">
        <f>+S105</f>
        <v>260.38986800000004</v>
      </c>
      <c r="AK105" s="1106">
        <f>AI105/AB105*1000</f>
        <v>70.365180311034848</v>
      </c>
      <c r="AM105" s="1126">
        <f>(AK105/AK98-1)*100</f>
        <v>-26.583725992577158</v>
      </c>
      <c r="AN105" s="246"/>
      <c r="AO105" s="246"/>
      <c r="AP105" s="246"/>
      <c r="AQ105" s="246"/>
      <c r="AR105" s="246"/>
      <c r="AS105" s="1100">
        <f>qtrSales!AS161*(AV105/100)</f>
        <v>120.21013199999999</v>
      </c>
      <c r="AT105" s="114" t="s">
        <v>718</v>
      </c>
      <c r="AU105" s="1100">
        <f>(AS105/AS98-1)*100</f>
        <v>33.224219850641859</v>
      </c>
      <c r="AV105" s="1101">
        <v>70</v>
      </c>
      <c r="AW105" s="114" t="s">
        <v>718</v>
      </c>
      <c r="AX105" s="1075"/>
      <c r="AY105" s="1177">
        <v>380.6</v>
      </c>
      <c r="AZ105" s="1103">
        <f>AY105/(AY98+AY219)-1</f>
        <v>-9.4887039239001103E-2</v>
      </c>
      <c r="BB105" s="1143">
        <f>+BW105</f>
        <v>19.845624451543674</v>
      </c>
      <c r="BC105" s="1173">
        <f>BB105/S98</f>
        <v>7.6515150685741065E-2</v>
      </c>
      <c r="BD105" s="1143">
        <f>+BB105+BB255+BB373</f>
        <v>19.845624451543674</v>
      </c>
      <c r="BE105" s="1161">
        <f>+BD105/BD98-1</f>
        <v>0</v>
      </c>
      <c r="BF105" s="1162"/>
      <c r="BG105" s="1163"/>
      <c r="BH105" s="1164"/>
      <c r="BI105" s="1157"/>
      <c r="BJ105" s="1158"/>
      <c r="BK105" s="1165"/>
      <c r="BL105" s="1165"/>
      <c r="BM105" s="1165"/>
      <c r="BN105" s="1165"/>
      <c r="BO105" s="1165"/>
      <c r="BP105" s="1165">
        <f>+BP108*$BI$5</f>
        <v>5.4223017627168506</v>
      </c>
      <c r="BQ105" s="1165">
        <f>+BQ108*$BI$5</f>
        <v>6.5067621152602202</v>
      </c>
      <c r="BR105" s="1165">
        <f>+BR108*$BI$5</f>
        <v>5.964531938988535</v>
      </c>
      <c r="BS105" s="1165">
        <f>+BS108*$BI$5*0.5</f>
        <v>1.9520286345780662</v>
      </c>
      <c r="BT105" s="1165"/>
      <c r="BU105" s="1165"/>
      <c r="BW105" s="1157">
        <f>+SUM(BF105:BU105)</f>
        <v>19.845624451543674</v>
      </c>
    </row>
    <row r="106" spans="1:92" s="114" customFormat="1">
      <c r="A106" s="114" t="s">
        <v>117</v>
      </c>
      <c r="B106" s="245" t="s">
        <v>99</v>
      </c>
      <c r="D106" s="1088">
        <f>(S106/(S99+S220)-1)*100</f>
        <v>-8.5234167478549061</v>
      </c>
      <c r="F106" s="1144">
        <v>-5</v>
      </c>
      <c r="H106" s="1045">
        <f>D106-F106</f>
        <v>-3.5234167478549061</v>
      </c>
      <c r="J106" s="1176">
        <f>359+36</f>
        <v>395</v>
      </c>
      <c r="K106" s="1063">
        <f>J106-J105</f>
        <v>7</v>
      </c>
      <c r="L106" s="1122">
        <f>AVERAGE(J106,J105)</f>
        <v>391.5</v>
      </c>
      <c r="N106" s="1123">
        <f>(L106/L99-1)*100</f>
        <v>39.572192513368989</v>
      </c>
      <c r="O106" s="246"/>
      <c r="P106" s="1124">
        <f>H106/N106*100</f>
        <v>-8.9037693493090178</v>
      </c>
      <c r="Q106" s="310"/>
      <c r="S106" s="1160">
        <f>AY106-AS106</f>
        <v>282.14991600000002</v>
      </c>
      <c r="U106" s="1131">
        <f>S106/L106</f>
        <v>0.72068944061302687</v>
      </c>
      <c r="W106" s="1126">
        <f>(U106/U99-1)*100</f>
        <v>-22.235125421617685</v>
      </c>
      <c r="X106" s="246"/>
      <c r="Z106" s="1063">
        <f>+Z105+(J106-J105)*(squft!$CV$10/1000)</f>
        <v>3740.15</v>
      </c>
      <c r="AB106" s="1127">
        <f>AVERAGE(Z106,Z105)</f>
        <v>3709.3500000000004</v>
      </c>
      <c r="AD106" s="1128">
        <f>(Z106/Z99-1)*100</f>
        <v>36.215970135664222</v>
      </c>
      <c r="AE106" s="246"/>
      <c r="AF106" s="1124">
        <f>+H106/AD106*100</f>
        <v>-9.7289033944314198</v>
      </c>
      <c r="AG106" s="310"/>
      <c r="AI106" s="1132">
        <f>+S106</f>
        <v>282.14991600000002</v>
      </c>
      <c r="AK106" s="1106">
        <f>AI106/AB106*1000</f>
        <v>76.064516963888551</v>
      </c>
      <c r="AM106" s="1126">
        <f>(AK106/AK99-1)*100</f>
        <v>-20.043701538422841</v>
      </c>
      <c r="AN106" s="246"/>
      <c r="AO106" s="246"/>
      <c r="AP106" s="246"/>
      <c r="AQ106" s="246"/>
      <c r="AR106" s="246"/>
      <c r="AS106" s="1100">
        <f>qtrSales!AS162*(AV106/100)</f>
        <v>129.15008399999999</v>
      </c>
      <c r="AT106" s="114" t="s">
        <v>718</v>
      </c>
      <c r="AU106" s="1100">
        <f>(AS106/AS99-1)*100</f>
        <v>31.189590166120041</v>
      </c>
      <c r="AV106" s="1101">
        <v>70</v>
      </c>
      <c r="AW106" s="114" t="s">
        <v>718</v>
      </c>
      <c r="AX106" s="1075"/>
      <c r="AY106" s="1177">
        <v>411.3</v>
      </c>
      <c r="AZ106" s="1103">
        <f>AY106/(AY99+AY220)-1</f>
        <v>-6.4589492836024553E-2</v>
      </c>
      <c r="BB106" s="1143">
        <f>+BW106</f>
        <v>31.492813326440015</v>
      </c>
      <c r="BC106" s="1173">
        <f>BB106/S99</f>
        <v>0.12114734764361287</v>
      </c>
      <c r="BD106" s="1143">
        <f>+BB106+BB256+BB374</f>
        <v>31.492813326440015</v>
      </c>
      <c r="BE106" s="1161">
        <f>+BD106/BD99-1</f>
        <v>0</v>
      </c>
      <c r="BF106" s="1162"/>
      <c r="BG106" s="1163"/>
      <c r="BH106" s="1164"/>
      <c r="BI106" s="1157"/>
      <c r="BJ106" s="1158"/>
      <c r="BK106" s="1165"/>
      <c r="BL106" s="1165"/>
      <c r="BM106" s="1165"/>
      <c r="BN106" s="1165"/>
      <c r="BO106" s="1165"/>
      <c r="BP106" s="1165">
        <f>+BP108*$BI$6*0.5</f>
        <v>3.2004891591910583</v>
      </c>
      <c r="BQ106" s="1165">
        <f>+BQ108*$BI$6*0.5</f>
        <v>3.8405869910292703</v>
      </c>
      <c r="BR106" s="1165">
        <f>+BR108*$BI$6</f>
        <v>7.0410761502203281</v>
      </c>
      <c r="BS106" s="1165">
        <f>+BS108*$BI$6</f>
        <v>4.6087043892351236</v>
      </c>
      <c r="BT106" s="1165">
        <f>+BT108*$BI$6</f>
        <v>6.4009783183821165</v>
      </c>
      <c r="BU106" s="1165">
        <f>+BU108*$BI$6</f>
        <v>6.4009783183821165</v>
      </c>
      <c r="BW106" s="1157">
        <f>+SUM(BF106:BU106)</f>
        <v>31.492813326440015</v>
      </c>
    </row>
    <row r="107" spans="1:92" s="114" customFormat="1">
      <c r="A107" s="114" t="s">
        <v>118</v>
      </c>
      <c r="B107" s="245" t="s">
        <v>100</v>
      </c>
      <c r="D107" s="1061">
        <f>(S107/(S100+S221)-1)*100</f>
        <v>-7.2476308422479878</v>
      </c>
      <c r="F107" s="1104">
        <v>-2</v>
      </c>
      <c r="H107" s="1061">
        <f>D107-F107</f>
        <v>-5.2476308422479878</v>
      </c>
      <c r="J107" s="1063">
        <f>squft!CY14+squft!CY23</f>
        <v>379</v>
      </c>
      <c r="K107" s="1063">
        <f>J107-J106</f>
        <v>-16</v>
      </c>
      <c r="L107" s="1108">
        <f>AVERAGE(J107,J106)</f>
        <v>387</v>
      </c>
      <c r="N107" s="1107">
        <f>(L107/L100-1)*100</f>
        <v>37.967914438502667</v>
      </c>
      <c r="O107" s="246"/>
      <c r="P107" s="1108">
        <f>H107/N107*100</f>
        <v>-13.821224894371465</v>
      </c>
      <c r="Q107" s="310"/>
      <c r="S107" s="1092">
        <f>AY107-AS107</f>
        <v>291.26571999999993</v>
      </c>
      <c r="U107" s="1133">
        <f>S107/L107</f>
        <v>0.75262459948320393</v>
      </c>
      <c r="W107" s="1134">
        <f>(U107/U100-1)*100</f>
        <v>-15.372026180029108</v>
      </c>
      <c r="X107" s="246"/>
      <c r="Z107" s="1063">
        <f>+Z106+(J107-J106)*(squft!$CV$10/1000)</f>
        <v>3599.35</v>
      </c>
      <c r="AB107" s="1110">
        <f>AVERAGE(Z107,Z106)</f>
        <v>3669.75</v>
      </c>
      <c r="AD107" s="1107">
        <f>(Z107/Z100-1)*100</f>
        <v>32.360674425873825</v>
      </c>
      <c r="AE107" s="246"/>
      <c r="AF107" s="1108">
        <f>+H107/AD107*100</f>
        <v>-16.216073785076212</v>
      </c>
      <c r="AG107" s="310"/>
      <c r="AI107" s="1111">
        <f>+S107</f>
        <v>291.26571999999993</v>
      </c>
      <c r="AK107" s="1135">
        <f>AI107/AB107*1000</f>
        <v>79.369363035629107</v>
      </c>
      <c r="AM107" s="1134">
        <f>(AK107/AK100-1)*100</f>
        <v>-13.059190273515309</v>
      </c>
      <c r="AN107" s="246"/>
      <c r="AO107" s="246"/>
      <c r="AP107" s="246"/>
      <c r="AQ107" s="246"/>
      <c r="AR107" s="246"/>
      <c r="AS107" s="1100">
        <f>qtrSales!AS163*(AV107/100)</f>
        <v>218.13428000000005</v>
      </c>
      <c r="AT107" s="114" t="s">
        <v>718</v>
      </c>
      <c r="AU107" s="1136">
        <f>(AS107/AS100-1)*100</f>
        <v>24.903634324973044</v>
      </c>
      <c r="AV107" s="1137">
        <v>70</v>
      </c>
      <c r="AW107" s="1042" t="s">
        <v>718</v>
      </c>
      <c r="AX107" s="1075"/>
      <c r="AY107" s="1145">
        <v>509.4</v>
      </c>
      <c r="AZ107" s="1138">
        <f>AY107/(AY100+AY221)-1</f>
        <v>-2.934451219512213E-2</v>
      </c>
      <c r="BB107" s="1147">
        <f>+BW107</f>
        <v>19.049454275137258</v>
      </c>
      <c r="BC107" s="1173">
        <f>BB107/S100</f>
        <v>7.6363391260014638E-2</v>
      </c>
      <c r="BD107" s="1143">
        <f>+BB107+BB257+BB375</f>
        <v>19.049454275137258</v>
      </c>
      <c r="BE107" s="1161">
        <f>+BD107/BD100-1</f>
        <v>0</v>
      </c>
      <c r="BF107" s="1166"/>
      <c r="BG107" s="1167"/>
      <c r="BH107" s="1168"/>
      <c r="BI107" s="1157"/>
      <c r="BJ107" s="1158"/>
      <c r="BK107" s="1169"/>
      <c r="BL107" s="1169"/>
      <c r="BM107" s="1169"/>
      <c r="BN107" s="1169"/>
      <c r="BO107" s="1169"/>
      <c r="BP107" s="1169"/>
      <c r="BQ107" s="1169"/>
      <c r="BR107" s="1169">
        <f>+BR108*$BI$7*0.2</f>
        <v>1.7727918530161575</v>
      </c>
      <c r="BS107" s="1169">
        <f>+BS108*$BI$7*0.2</f>
        <v>1.1603728492469396</v>
      </c>
      <c r="BT107" s="1169">
        <f>+BT108*$BI$7</f>
        <v>8.0581447864370794</v>
      </c>
      <c r="BU107" s="1169">
        <f>+BU108*$BI$7</f>
        <v>8.0581447864370794</v>
      </c>
      <c r="BW107" s="1157">
        <f>+SUM(BF107:BU107)</f>
        <v>19.049454275137258</v>
      </c>
    </row>
    <row r="108" spans="1:92" s="114" customFormat="1">
      <c r="B108" s="245" t="s">
        <v>119</v>
      </c>
      <c r="D108" s="1123">
        <f>(S108/(S101+S222)-1)*100</f>
        <v>-10.895797858425016</v>
      </c>
      <c r="F108" s="1139">
        <v>-6</v>
      </c>
      <c r="H108" s="1123">
        <f>D108-F108</f>
        <v>-4.8957978584250164</v>
      </c>
      <c r="L108" s="1122">
        <f>AVERAGE(L104:L107)</f>
        <v>376.25</v>
      </c>
      <c r="N108" s="1123">
        <f>(L108/L101-1)*100</f>
        <v>35.098743267504481</v>
      </c>
      <c r="O108" s="246"/>
      <c r="P108" s="1124"/>
      <c r="Q108" s="310"/>
      <c r="S108" s="1095">
        <f>SUM(S104:S107)</f>
        <v>1051.4302089999999</v>
      </c>
      <c r="U108" s="1125">
        <f>SUM(U104:U107)</f>
        <v>2.7878180562423496</v>
      </c>
      <c r="W108" s="1126">
        <f>(U108/U101-1)*100</f>
        <v>-20.749352228176331</v>
      </c>
      <c r="X108" s="246"/>
      <c r="AB108" s="1127">
        <f>AVERAGE(AB104:AB107)</f>
        <v>3575.15</v>
      </c>
      <c r="AD108" s="1128">
        <f>(Z107/Z100-1)*100</f>
        <v>32.360674425873825</v>
      </c>
      <c r="AE108" s="246"/>
      <c r="AF108" s="1124">
        <f>+H108/AD108*100</f>
        <v>-15.128849893531898</v>
      </c>
      <c r="AG108" s="310"/>
      <c r="AI108" s="1129">
        <f>SUM(AI104:AI107)</f>
        <v>1051.4302089999999</v>
      </c>
      <c r="AK108" s="1097">
        <f>SUM(AK104:AK107)</f>
        <v>293.36443853747312</v>
      </c>
      <c r="AM108" s="1126">
        <f>(AK108/AK101-1)*100</f>
        <v>-18.704312586048133</v>
      </c>
      <c r="AN108" s="246"/>
      <c r="AO108" s="246"/>
      <c r="AP108" s="246"/>
      <c r="AQ108" s="246"/>
      <c r="AR108" s="246"/>
      <c r="AS108" s="1100">
        <f>SUM(AS104:AS107)</f>
        <v>589.86979100000008</v>
      </c>
      <c r="AT108" s="114" t="s">
        <v>718</v>
      </c>
      <c r="AU108" s="1100">
        <f>(AS108/AS101-1)*100</f>
        <v>25.552929394677371</v>
      </c>
      <c r="AV108" s="1124">
        <f>(AS108/qtrSales!AS164)*100</f>
        <v>70.981731959686854</v>
      </c>
      <c r="AW108" s="114" t="s">
        <v>718</v>
      </c>
      <c r="AX108" s="1075"/>
      <c r="AY108" s="1142">
        <f>SUM(AY104:AY107)</f>
        <v>1641.3000000000002</v>
      </c>
      <c r="AZ108" s="1103">
        <f>AY108/(AY101+AY222)-1</f>
        <v>-7.3392423643651505E-2</v>
      </c>
      <c r="BB108" s="1143">
        <f>SUM(BB104:BB107)</f>
        <v>94.035709165104407</v>
      </c>
      <c r="BC108" s="310"/>
      <c r="BD108" s="1143"/>
      <c r="BF108" s="1170">
        <f>+BF101</f>
        <v>28.5</v>
      </c>
      <c r="BG108" s="1170">
        <f>BG101</f>
        <v>70</v>
      </c>
      <c r="BH108" s="1170">
        <f>BH101</f>
        <v>22.5</v>
      </c>
      <c r="BI108" s="246"/>
      <c r="BJ108" s="1158"/>
      <c r="BK108" s="1171"/>
      <c r="BL108" s="1171">
        <f>BL101</f>
        <v>30</v>
      </c>
      <c r="BM108" s="1171">
        <f t="shared" ref="BM108:BS108" si="5">BM101</f>
        <v>17.5</v>
      </c>
      <c r="BN108" s="1171">
        <f t="shared" si="5"/>
        <v>25</v>
      </c>
      <c r="BO108" s="1171">
        <f t="shared" si="5"/>
        <v>15</v>
      </c>
      <c r="BP108" s="1171">
        <f t="shared" si="5"/>
        <v>25</v>
      </c>
      <c r="BQ108" s="1171">
        <f t="shared" si="5"/>
        <v>30</v>
      </c>
      <c r="BR108" s="1171">
        <f t="shared" si="5"/>
        <v>27.5</v>
      </c>
      <c r="BS108" s="1171">
        <f t="shared" si="5"/>
        <v>18</v>
      </c>
      <c r="BT108" s="1174">
        <v>25</v>
      </c>
      <c r="BU108" s="1174">
        <v>25</v>
      </c>
    </row>
    <row r="109" spans="1:92">
      <c r="A109" s="114"/>
      <c r="C109" s="114"/>
      <c r="D109" s="1123"/>
      <c r="E109" s="114"/>
      <c r="F109" s="1139"/>
      <c r="G109" s="114"/>
      <c r="H109" s="1123"/>
      <c r="I109" s="114"/>
      <c r="J109" s="114"/>
      <c r="K109" s="114"/>
      <c r="L109" s="1122"/>
      <c r="M109" s="114"/>
      <c r="N109" s="1123"/>
      <c r="O109" s="246"/>
      <c r="P109" s="1124"/>
      <c r="Q109" s="310"/>
      <c r="R109" s="114"/>
      <c r="S109" s="2188">
        <f>S108/qtrSales!S164</f>
        <v>0.39120602203625426</v>
      </c>
      <c r="V109" s="114"/>
      <c r="W109" s="1126"/>
      <c r="X109" s="246"/>
      <c r="Y109" s="114"/>
      <c r="Z109" s="114"/>
      <c r="AA109" s="114"/>
      <c r="AB109" s="1127"/>
      <c r="AC109" s="114"/>
      <c r="AD109" s="1128"/>
      <c r="AE109" s="246"/>
      <c r="AF109" s="1124"/>
      <c r="AG109" s="310"/>
      <c r="AH109" s="114"/>
      <c r="AI109" s="1129"/>
      <c r="AJ109" s="114"/>
      <c r="AK109" s="1097"/>
      <c r="AL109" s="114"/>
      <c r="AM109" s="1126"/>
      <c r="AN109" s="246"/>
      <c r="AO109" s="246"/>
      <c r="AP109" s="246"/>
      <c r="AQ109" s="246"/>
      <c r="AR109" s="246"/>
      <c r="AS109" s="1100"/>
      <c r="AT109" s="114"/>
      <c r="AU109" s="1100"/>
      <c r="AV109" s="1124"/>
      <c r="AW109" s="114"/>
      <c r="AX109" s="1075"/>
      <c r="AY109" s="1142"/>
      <c r="AZ109" s="1103"/>
      <c r="BA109" s="114"/>
      <c r="BB109" s="1143"/>
      <c r="BC109" s="310"/>
      <c r="BD109" s="1143"/>
      <c r="BE109" s="114"/>
      <c r="BF109" s="1170"/>
      <c r="BG109" s="1170"/>
      <c r="BH109" s="1170"/>
      <c r="BI109" s="246"/>
      <c r="BJ109" s="1158"/>
      <c r="BK109" s="1171"/>
      <c r="BL109" s="114"/>
      <c r="BM109" s="114"/>
      <c r="BN109" s="114"/>
      <c r="BO109" s="114"/>
      <c r="BP109" s="114"/>
      <c r="BQ109" s="114"/>
      <c r="BR109" s="114"/>
      <c r="BS109" s="1171"/>
      <c r="BT109" s="114"/>
      <c r="BU109" s="114"/>
      <c r="BV109" s="114"/>
      <c r="BW109" s="114"/>
      <c r="BX109" s="114"/>
      <c r="BY109" s="114"/>
      <c r="BZ109" s="114"/>
      <c r="CA109" s="114"/>
      <c r="CB109" s="114"/>
      <c r="CC109" s="114"/>
      <c r="CD109" s="114"/>
      <c r="CE109" s="114"/>
      <c r="CF109" s="114"/>
      <c r="CG109" s="114"/>
      <c r="CH109" s="114"/>
      <c r="CI109" s="114"/>
      <c r="CJ109" s="114"/>
      <c r="CK109" s="114"/>
      <c r="CL109" s="114"/>
      <c r="CM109" s="114"/>
      <c r="CN109" s="114"/>
    </row>
    <row r="110" spans="1:92" s="114" customFormat="1">
      <c r="A110" s="1120"/>
      <c r="B110" s="1172">
        <v>2016</v>
      </c>
      <c r="D110" s="1123"/>
      <c r="F110" s="2017"/>
      <c r="G110" s="2017"/>
      <c r="H110" s="2017"/>
      <c r="I110" s="2017"/>
      <c r="J110" s="2017"/>
      <c r="K110" s="2017"/>
      <c r="L110" s="2017"/>
      <c r="N110" s="1123"/>
      <c r="O110" s="246"/>
      <c r="P110" s="1124"/>
      <c r="Q110" s="310"/>
      <c r="S110" s="1095"/>
      <c r="U110" s="1125"/>
      <c r="W110" s="1126"/>
      <c r="X110" s="246"/>
      <c r="AB110" s="1127"/>
      <c r="AD110" s="1128"/>
      <c r="AE110" s="246"/>
      <c r="AF110" s="1124"/>
      <c r="AG110" s="310"/>
      <c r="AI110" s="1129"/>
      <c r="AK110" s="1097"/>
      <c r="AM110" s="1126"/>
      <c r="AN110" s="246"/>
      <c r="AO110" s="246"/>
      <c r="AP110" s="246"/>
      <c r="AQ110" s="246"/>
      <c r="AR110" s="246"/>
      <c r="AS110" s="1100"/>
      <c r="AU110" s="1100"/>
      <c r="AV110" s="1121" t="s">
        <v>76</v>
      </c>
      <c r="AX110" s="1075"/>
      <c r="AY110" s="1142"/>
      <c r="AZ110" s="1103"/>
      <c r="BB110" s="1146" t="s">
        <v>575</v>
      </c>
      <c r="BC110" s="310"/>
      <c r="BD110" s="310"/>
      <c r="BE110" s="1161"/>
      <c r="BF110" s="246"/>
      <c r="BG110" s="246" t="s">
        <v>2</v>
      </c>
      <c r="BH110" s="246" t="s">
        <v>3</v>
      </c>
      <c r="BI110" s="246"/>
      <c r="BJ110" s="249"/>
      <c r="BK110" s="246" t="s">
        <v>652</v>
      </c>
      <c r="BL110" s="246" t="s">
        <v>588</v>
      </c>
      <c r="BM110" s="246" t="s">
        <v>589</v>
      </c>
      <c r="BN110" s="246" t="s">
        <v>590</v>
      </c>
      <c r="BO110" s="246" t="str">
        <f>BO103</f>
        <v>Hamburg</v>
      </c>
      <c r="BP110" s="246" t="str">
        <f>BP103</f>
        <v>Hong Kong</v>
      </c>
      <c r="BQ110" s="246" t="str">
        <f>BQ103</f>
        <v>Munich</v>
      </c>
      <c r="BR110" s="246" t="str">
        <f>BR103</f>
        <v>Amsterdam</v>
      </c>
      <c r="BS110" s="246" t="str">
        <f>BS103</f>
        <v>Dublin</v>
      </c>
      <c r="BT110" s="246" t="s">
        <v>491</v>
      </c>
      <c r="BU110" s="246" t="s">
        <v>492</v>
      </c>
    </row>
    <row r="111" spans="1:92" s="114" customFormat="1">
      <c r="A111" s="114" t="s">
        <v>115</v>
      </c>
      <c r="B111" s="245" t="s">
        <v>96</v>
      </c>
      <c r="D111" s="1088">
        <f>(S111/(S104)-1)*100</f>
        <v>-8.1386187289719469</v>
      </c>
      <c r="E111" s="114" t="s">
        <v>76</v>
      </c>
      <c r="F111" s="1144">
        <v>-8</v>
      </c>
      <c r="G111" s="114" t="s">
        <v>76</v>
      </c>
      <c r="H111" s="1045">
        <f>D111-F111</f>
        <v>-0.13861872897194694</v>
      </c>
      <c r="I111" s="114" t="s">
        <v>76</v>
      </c>
      <c r="J111" s="1047">
        <f>334+39</f>
        <v>373</v>
      </c>
      <c r="K111" s="1063">
        <f>J111-J107</f>
        <v>-6</v>
      </c>
      <c r="L111" s="1122">
        <f>AVERAGE(J111,J107)</f>
        <v>376</v>
      </c>
      <c r="N111" s="1123">
        <f>(L111/L104-1)*100</f>
        <v>11.904761904761907</v>
      </c>
      <c r="O111" s="246" t="s">
        <v>76</v>
      </c>
      <c r="P111" s="1124">
        <f>H111/N111*100</f>
        <v>-1.1643973233643541</v>
      </c>
      <c r="Q111" s="310" t="s">
        <v>76</v>
      </c>
      <c r="S111" s="1160">
        <f>AY111-AS111</f>
        <v>199.91306000000003</v>
      </c>
      <c r="U111" s="1125">
        <f>S111/L111</f>
        <v>0.53168367021276608</v>
      </c>
      <c r="W111" s="1126">
        <f>(U111/U104-1)*100</f>
        <v>-17.911106098230235</v>
      </c>
      <c r="X111" s="246" t="s">
        <v>76</v>
      </c>
      <c r="Z111" s="1063">
        <f>+Z107+(J111-J107)*(squft!$CV$10/1000)</f>
        <v>3546.5499999999997</v>
      </c>
      <c r="AB111" s="1127">
        <f>AVERAGE(Z111,Z107)</f>
        <v>3572.95</v>
      </c>
      <c r="AD111" s="1128">
        <f>(Z111/Z104-1)*100</f>
        <v>-4.7279418678056846</v>
      </c>
      <c r="AE111" s="246" t="s">
        <v>76</v>
      </c>
      <c r="AF111" s="1124">
        <f>+H111/AD111*100</f>
        <v>2.9319042587188608</v>
      </c>
      <c r="AG111" s="310" t="s">
        <v>76</v>
      </c>
      <c r="AI111" s="1129">
        <f>+S111</f>
        <v>199.91306000000003</v>
      </c>
      <c r="AK111" s="1097">
        <f>AI111/AB111*1000</f>
        <v>55.95182132411594</v>
      </c>
      <c r="AM111" s="1126">
        <f>(AK111/AK104-1)*100</f>
        <v>-17.1886211660063</v>
      </c>
      <c r="AN111" s="246" t="s">
        <v>76</v>
      </c>
      <c r="AO111" s="246"/>
      <c r="AP111" s="246"/>
      <c r="AQ111" s="246"/>
      <c r="AR111" s="246"/>
      <c r="AS111" s="1100">
        <f>qtrSales!AS167*(AV111/100)</f>
        <v>123.38694</v>
      </c>
      <c r="AT111" s="114" t="s">
        <v>718</v>
      </c>
      <c r="AU111" s="1100">
        <f>(AS111/AS104-1)*100</f>
        <v>0.82667420740434316</v>
      </c>
      <c r="AV111" s="1101">
        <v>75</v>
      </c>
      <c r="AW111" s="114" t="s">
        <v>718</v>
      </c>
      <c r="AX111" s="1075"/>
      <c r="AY111" s="2028">
        <v>323.3</v>
      </c>
      <c r="AZ111" s="1103">
        <f>AY111/AY104-1</f>
        <v>-4.9117647058823488E-2</v>
      </c>
      <c r="BB111" s="1143">
        <f>+BW111</f>
        <v>23.647817111983457</v>
      </c>
      <c r="BC111" s="1173">
        <f>BB111/S104</f>
        <v>0.10866329313109677</v>
      </c>
      <c r="BD111" s="1143">
        <f>+BB111+BB261+BB379</f>
        <v>23.647817111983457</v>
      </c>
      <c r="BE111" s="1161">
        <f>+BD111/BD104-1</f>
        <v>0</v>
      </c>
      <c r="BF111" s="1154"/>
      <c r="BG111" s="1155"/>
      <c r="BH111" s="1156"/>
      <c r="BI111" s="1157"/>
      <c r="BJ111" s="1158"/>
      <c r="BK111" s="1159"/>
      <c r="BL111" s="1159"/>
      <c r="BM111" s="1159"/>
      <c r="BN111" s="1159"/>
      <c r="BO111" s="1159">
        <f>+BO115*$BI$4</f>
        <v>3.0711450794783715</v>
      </c>
      <c r="BP111" s="1159">
        <f>+BP115*$BI$4</f>
        <v>5.1185751324639526</v>
      </c>
      <c r="BQ111" s="1159">
        <f>+BQ115*$BI$4</f>
        <v>6.1422901589567429</v>
      </c>
      <c r="BR111" s="1159">
        <f>+BR115*$BI$4</f>
        <v>5.6304326457103482</v>
      </c>
      <c r="BS111" s="1159">
        <f>+BS115*$BI$4</f>
        <v>3.6853740953740459</v>
      </c>
      <c r="BT111" s="1159"/>
      <c r="BU111" s="1159"/>
      <c r="BW111" s="1157">
        <f>+SUM(BF111:BU111)</f>
        <v>23.647817111983457</v>
      </c>
    </row>
    <row r="112" spans="1:92" s="114" customFormat="1">
      <c r="A112" s="114" t="s">
        <v>116</v>
      </c>
      <c r="B112" s="245" t="s">
        <v>97</v>
      </c>
      <c r="D112" s="1088">
        <f>(S112/(S105)-1)*100</f>
        <v>-8.9783170825986183</v>
      </c>
      <c r="F112" s="1144">
        <v>-7</v>
      </c>
      <c r="H112" s="1045">
        <f>D112-F112</f>
        <v>-1.9783170825986183</v>
      </c>
      <c r="J112" s="2040">
        <f>333+39</f>
        <v>372</v>
      </c>
      <c r="K112" s="1063">
        <f>J112-J111</f>
        <v>-1</v>
      </c>
      <c r="L112" s="1122">
        <f>AVERAGE(J112,J111)</f>
        <v>372.5</v>
      </c>
      <c r="N112" s="1123">
        <f>(L112/L105-1)*100</f>
        <v>-4.6094750320102467</v>
      </c>
      <c r="O112" s="246"/>
      <c r="P112" s="1124">
        <f>H112/N112*100</f>
        <v>42.918490041931101</v>
      </c>
      <c r="Q112" s="310"/>
      <c r="S112" s="1160">
        <f>AY112-AS112</f>
        <v>237.01124000000004</v>
      </c>
      <c r="U112" s="1131">
        <f>S112/L112</f>
        <v>0.63627178523489947</v>
      </c>
      <c r="W112" s="1126">
        <f>(U112/U105-1)*100</f>
        <v>-4.5799538812208223</v>
      </c>
      <c r="X112" s="246"/>
      <c r="Z112" s="1063">
        <f>+Z111+(J112-J111)*(squft!$CV$10/1000)</f>
        <v>3537.7499999999995</v>
      </c>
      <c r="AB112" s="1127">
        <f>AVERAGE(Z112,Z111)</f>
        <v>3542.1499999999996</v>
      </c>
      <c r="AD112" s="1128">
        <f>(Z112/Z105-1)*100</f>
        <v>-3.8275951122045515</v>
      </c>
      <c r="AE112" s="246"/>
      <c r="AF112" s="1124">
        <f>+H112/AD112*100</f>
        <v>51.685641365007953</v>
      </c>
      <c r="AG112" s="310"/>
      <c r="AI112" s="1132">
        <f>+S112</f>
        <v>237.01124000000004</v>
      </c>
      <c r="AK112" s="1106">
        <f>AI112/AB112*1000</f>
        <v>66.911689228293568</v>
      </c>
      <c r="AM112" s="1126">
        <f>(AK112/AK105-1)*100</f>
        <v>-4.9079545699674654</v>
      </c>
      <c r="AN112" s="246"/>
      <c r="AO112" s="246"/>
      <c r="AP112" s="246"/>
      <c r="AQ112" s="246"/>
      <c r="AR112" s="246"/>
      <c r="AS112" s="1100">
        <f>qtrSales!AS168*(AV112/100)</f>
        <v>126.08875999999999</v>
      </c>
      <c r="AT112" s="114" t="s">
        <v>718</v>
      </c>
      <c r="AU112" s="1100">
        <f>(AS112/AS105-1)*100</f>
        <v>4.8902932741143657</v>
      </c>
      <c r="AV112" s="1101">
        <v>70</v>
      </c>
      <c r="AW112" s="114" t="s">
        <v>718</v>
      </c>
      <c r="AX112" s="1075"/>
      <c r="AY112" s="2033">
        <v>363.1</v>
      </c>
      <c r="AZ112" s="1103">
        <f>AY112/AY105-1</f>
        <v>-4.5980031529164522E-2</v>
      </c>
      <c r="BB112" s="1143">
        <f>+BW112</f>
        <v>19.845624451543674</v>
      </c>
      <c r="BC112" s="1173">
        <f>BB112/S105</f>
        <v>7.6215040946000526E-2</v>
      </c>
      <c r="BD112" s="1143">
        <f>+BB112+BB262+BB380</f>
        <v>19.845624451543674</v>
      </c>
      <c r="BE112" s="1161">
        <f>+BD112/BD105-1</f>
        <v>0</v>
      </c>
      <c r="BF112" s="1162"/>
      <c r="BG112" s="1163"/>
      <c r="BH112" s="1164"/>
      <c r="BI112" s="1157"/>
      <c r="BJ112" s="1158"/>
      <c r="BK112" s="1165"/>
      <c r="BL112" s="1165"/>
      <c r="BM112" s="1165"/>
      <c r="BN112" s="1165"/>
      <c r="BO112" s="1165"/>
      <c r="BP112" s="1165">
        <f>+BP115*$BI$5</f>
        <v>5.4223017627168506</v>
      </c>
      <c r="BQ112" s="1165">
        <f>+BQ115*$BI$5</f>
        <v>6.5067621152602202</v>
      </c>
      <c r="BR112" s="1165">
        <f>+BR115*$BI$5</f>
        <v>5.964531938988535</v>
      </c>
      <c r="BS112" s="1165">
        <f>+BS115*$BI$5*0.5</f>
        <v>1.9520286345780662</v>
      </c>
      <c r="BT112" s="1165"/>
      <c r="BU112" s="1165"/>
      <c r="BW112" s="1157">
        <f>+SUM(BF112:BU112)</f>
        <v>19.845624451543674</v>
      </c>
    </row>
    <row r="113" spans="1:75" s="114" customFormat="1">
      <c r="A113" s="114" t="s">
        <v>117</v>
      </c>
      <c r="B113" s="245" t="s">
        <v>99</v>
      </c>
      <c r="D113" s="1088">
        <f>(S113/(S106)-1)*100</f>
        <v>-19.900445407185597</v>
      </c>
      <c r="F113" s="1144">
        <v>-14</v>
      </c>
      <c r="H113" s="1045">
        <f>D113-F113</f>
        <v>-5.9004454071855967</v>
      </c>
      <c r="J113" s="2061">
        <f>333+41</f>
        <v>374</v>
      </c>
      <c r="K113" s="1063">
        <f>J113-J112</f>
        <v>2</v>
      </c>
      <c r="L113" s="1122">
        <f>AVERAGE(J113,J112)</f>
        <v>373</v>
      </c>
      <c r="N113" s="1123">
        <f>(L113/L106-1)*100</f>
        <v>-4.7254150702426561</v>
      </c>
      <c r="O113" s="246"/>
      <c r="P113" s="1124">
        <f>H113/N113*100</f>
        <v>124.86618253584656</v>
      </c>
      <c r="Q113" s="310"/>
      <c r="S113" s="1160">
        <f>AY113-AS113</f>
        <v>226.00082599999999</v>
      </c>
      <c r="U113" s="1131">
        <f>S113/L113</f>
        <v>0.60590033780160857</v>
      </c>
      <c r="W113" s="1126">
        <f>(U113/U106-1)*100</f>
        <v>-15.927679294673357</v>
      </c>
      <c r="X113" s="246"/>
      <c r="Z113" s="1063">
        <f>+Z112+(J113-J112)*(squft!$CV$10/1000)</f>
        <v>3555.3499999999995</v>
      </c>
      <c r="AB113" s="1127">
        <f>AVERAGE(Z113,Z112)</f>
        <v>3546.5499999999993</v>
      </c>
      <c r="AD113" s="1128">
        <f>(Z113/Z106-1)*100</f>
        <v>-4.940978303009258</v>
      </c>
      <c r="AE113" s="246"/>
      <c r="AF113" s="1124">
        <f>+H113/AD113*100</f>
        <v>119.41856542037401</v>
      </c>
      <c r="AG113" s="310"/>
      <c r="AI113" s="1132">
        <f>+S113</f>
        <v>226.00082599999999</v>
      </c>
      <c r="AK113" s="1106">
        <f>AI113/AB113*1000</f>
        <v>63.724133594620135</v>
      </c>
      <c r="AM113" s="1126">
        <f>(AK113/AK106-1)*100</f>
        <v>-16.223574225978432</v>
      </c>
      <c r="AN113" s="246"/>
      <c r="AO113" s="246"/>
      <c r="AP113" s="246"/>
      <c r="AQ113" s="246"/>
      <c r="AR113" s="246"/>
      <c r="AS113" s="1100">
        <f>qtrSales!AS169*(AV113/100)</f>
        <v>132.29917400000002</v>
      </c>
      <c r="AT113" s="114" t="s">
        <v>718</v>
      </c>
      <c r="AU113" s="1100">
        <f>(AS113/AS106-1)*100</f>
        <v>2.4383181972998491</v>
      </c>
      <c r="AV113" s="1101">
        <v>70</v>
      </c>
      <c r="AW113" s="114" t="s">
        <v>718</v>
      </c>
      <c r="AX113" s="1075"/>
      <c r="AY113" s="2050">
        <v>358.3</v>
      </c>
      <c r="AZ113" s="1103">
        <f>AY113/AY106-1</f>
        <v>-0.12885971310478972</v>
      </c>
      <c r="BB113" s="1143">
        <f>+BW113</f>
        <v>31.492813326440015</v>
      </c>
      <c r="BC113" s="1173">
        <f>BB113/S106</f>
        <v>0.1116173053421714</v>
      </c>
      <c r="BD113" s="1143">
        <f>+BB113+BB263+BB381</f>
        <v>31.492813326440015</v>
      </c>
      <c r="BE113" s="1161">
        <f>+BD113/BD106-1</f>
        <v>0</v>
      </c>
      <c r="BF113" s="1162"/>
      <c r="BG113" s="1163"/>
      <c r="BH113" s="1164"/>
      <c r="BI113" s="1157"/>
      <c r="BJ113" s="1158"/>
      <c r="BK113" s="1165"/>
      <c r="BL113" s="1165"/>
      <c r="BM113" s="1165"/>
      <c r="BN113" s="1165"/>
      <c r="BO113" s="1165"/>
      <c r="BP113" s="1165">
        <f>+BP115*$BI$6*0.5</f>
        <v>3.2004891591910583</v>
      </c>
      <c r="BQ113" s="1165">
        <f>+BQ115*$BI$6*0.5</f>
        <v>3.8405869910292703</v>
      </c>
      <c r="BR113" s="1165">
        <f>+BR115*$BI$6</f>
        <v>7.0410761502203281</v>
      </c>
      <c r="BS113" s="1165">
        <f>+BS115*$BI$6</f>
        <v>4.6087043892351236</v>
      </c>
      <c r="BT113" s="1165">
        <f>+BT115*$BI$6</f>
        <v>6.4009783183821165</v>
      </c>
      <c r="BU113" s="1165">
        <f>+BU115*$BI$6</f>
        <v>6.4009783183821165</v>
      </c>
      <c r="BW113" s="1157">
        <f>+SUM(BF113:BU113)</f>
        <v>31.492813326440015</v>
      </c>
    </row>
    <row r="114" spans="1:75" s="114" customFormat="1">
      <c r="A114" s="114" t="s">
        <v>118</v>
      </c>
      <c r="B114" s="245" t="s">
        <v>100</v>
      </c>
      <c r="D114" s="1061">
        <f>(S114/(S107)-1)*100</f>
        <v>-25.322750305116571</v>
      </c>
      <c r="F114" s="1104">
        <v>-13</v>
      </c>
      <c r="H114" s="1061">
        <f>D114-F114</f>
        <v>-12.322750305116571</v>
      </c>
      <c r="J114" s="1063">
        <f>squft!DC14+squft!DC23</f>
        <v>355</v>
      </c>
      <c r="K114" s="1063">
        <f>J114-J113</f>
        <v>-19</v>
      </c>
      <c r="L114" s="1108">
        <f>AVERAGE(J114,J113)</f>
        <v>364.5</v>
      </c>
      <c r="N114" s="1107">
        <f>(L114/L107-1)*100</f>
        <v>-5.8139534883720927</v>
      </c>
      <c r="O114" s="246"/>
      <c r="P114" s="1108">
        <f>H114/N114*100</f>
        <v>211.95130524800504</v>
      </c>
      <c r="Q114" s="310"/>
      <c r="S114" s="1092">
        <f>AY114-AS114</f>
        <v>217.50922899999998</v>
      </c>
      <c r="U114" s="1133">
        <f>S114/L114</f>
        <v>0.59673313854595333</v>
      </c>
      <c r="W114" s="1134">
        <f>(U114/U107-1)*100</f>
        <v>-20.713043533827459</v>
      </c>
      <c r="X114" s="246"/>
      <c r="Z114" s="1063">
        <f>+Z113+(J114-J113)*(squft!$CV$10/1000)</f>
        <v>3388.1499999999996</v>
      </c>
      <c r="AB114" s="1110">
        <f>AVERAGE(Z114,Z113)</f>
        <v>3471.7499999999995</v>
      </c>
      <c r="AD114" s="1107">
        <f>(Z114/Z107-1)*100</f>
        <v>-5.8677261172156214</v>
      </c>
      <c r="AE114" s="246"/>
      <c r="AF114" s="1108">
        <f>+H114/AD114*100</f>
        <v>210.00895506970281</v>
      </c>
      <c r="AG114" s="310"/>
      <c r="AI114" s="1111">
        <f>+S114</f>
        <v>217.50922899999998</v>
      </c>
      <c r="AK114" s="1135">
        <f>AI114/AB114*1000</f>
        <v>62.651178512277667</v>
      </c>
      <c r="AM114" s="1134">
        <f>(AK114/AK107-1)*100</f>
        <v>-21.063775597955349</v>
      </c>
      <c r="AN114" s="246"/>
      <c r="AO114" s="246"/>
      <c r="AP114" s="246"/>
      <c r="AQ114" s="246"/>
      <c r="AR114" s="246"/>
      <c r="AS114" s="1100">
        <f>qtrSales!AS170*(AV114/100)</f>
        <v>224.890771</v>
      </c>
      <c r="AT114" s="114" t="s">
        <v>718</v>
      </c>
      <c r="AU114" s="1136">
        <f>(AS114/AS107-1)*100</f>
        <v>3.0973999134844554</v>
      </c>
      <c r="AV114" s="1137">
        <v>70</v>
      </c>
      <c r="AW114" s="1042" t="s">
        <v>718</v>
      </c>
      <c r="AX114" s="1075"/>
      <c r="AY114" s="2066">
        <v>442.4</v>
      </c>
      <c r="AZ114" s="1138">
        <f>AY114/AY107-1</f>
        <v>-0.13152728700431882</v>
      </c>
      <c r="BB114" s="1147">
        <f>+BW114</f>
        <v>19.049454275137258</v>
      </c>
      <c r="BC114" s="1173">
        <f>BB114/S107</f>
        <v>6.540232154727052E-2</v>
      </c>
      <c r="BD114" s="1143">
        <f>+BB114+BB264+BB382</f>
        <v>19.049454275137258</v>
      </c>
      <c r="BE114" s="1161">
        <f>+BD114/BD107-1</f>
        <v>0</v>
      </c>
      <c r="BF114" s="1166"/>
      <c r="BG114" s="1167"/>
      <c r="BH114" s="1168"/>
      <c r="BI114" s="1157"/>
      <c r="BJ114" s="1158"/>
      <c r="BK114" s="1169"/>
      <c r="BL114" s="1169"/>
      <c r="BM114" s="1169"/>
      <c r="BN114" s="1169"/>
      <c r="BO114" s="1169"/>
      <c r="BP114" s="1169"/>
      <c r="BQ114" s="1169"/>
      <c r="BR114" s="1169">
        <f>+BR115*$BI$7*0.2</f>
        <v>1.7727918530161575</v>
      </c>
      <c r="BS114" s="1169">
        <f>+BS115*$BI$7*0.2</f>
        <v>1.1603728492469396</v>
      </c>
      <c r="BT114" s="1169">
        <f>+BT115*$BI$7</f>
        <v>8.0581447864370794</v>
      </c>
      <c r="BU114" s="1169">
        <f>+BU115*$BI$7</f>
        <v>8.0581447864370794</v>
      </c>
      <c r="BW114" s="1157">
        <f>+SUM(BF114:BU114)</f>
        <v>19.049454275137258</v>
      </c>
    </row>
    <row r="115" spans="1:75" s="114" customFormat="1">
      <c r="B115" s="245" t="s">
        <v>119</v>
      </c>
      <c r="D115" s="1123">
        <f>(S115/(S108+S229)-1)*100</f>
        <v>-19.578449221220506</v>
      </c>
      <c r="F115" s="1139">
        <v>-11</v>
      </c>
      <c r="H115" s="1123">
        <f>D115-F115</f>
        <v>-8.5784492212205059</v>
      </c>
      <c r="K115" s="1063"/>
      <c r="L115" s="1122">
        <f>AVERAGE(L111:L114)</f>
        <v>371.5</v>
      </c>
      <c r="N115" s="1123">
        <f>(L115/L108-1)*100</f>
        <v>-1.2624584717607967</v>
      </c>
      <c r="O115" s="246"/>
      <c r="P115" s="1124"/>
      <c r="Q115" s="310"/>
      <c r="S115" s="1095">
        <f>SUM(S111:S114)</f>
        <v>880.4343550000001</v>
      </c>
      <c r="U115" s="1125">
        <f>SUM(U111:U114)</f>
        <v>2.3705889317952273</v>
      </c>
      <c r="W115" s="1126">
        <f>(U115/U108-1)*100</f>
        <v>-14.966153315238151</v>
      </c>
      <c r="X115" s="246"/>
      <c r="AB115" s="1127">
        <f>AVERAGE(AB111:AB114)</f>
        <v>3533.3499999999995</v>
      </c>
      <c r="AD115" s="1128">
        <f>(Z114/Z107-1)*100</f>
        <v>-5.8677261172156214</v>
      </c>
      <c r="AE115" s="246"/>
      <c r="AF115" s="1124">
        <f>+H115/AD115*100</f>
        <v>146.19716479356043</v>
      </c>
      <c r="AG115" s="310"/>
      <c r="AI115" s="1129">
        <f>SUM(AI111:AI114)</f>
        <v>880.4343550000001</v>
      </c>
      <c r="AK115" s="1097">
        <f>SUM(AK111:AK114)</f>
        <v>249.23882265930729</v>
      </c>
      <c r="AM115" s="1126">
        <f>(AK115/AK108-1)*100</f>
        <v>-15.041228615897628</v>
      </c>
      <c r="AN115" s="246"/>
      <c r="AO115" s="246"/>
      <c r="AP115" s="246"/>
      <c r="AQ115" s="246"/>
      <c r="AR115" s="246"/>
      <c r="AS115" s="1100">
        <f>SUM(AS111:AS114)</f>
        <v>606.66564500000004</v>
      </c>
      <c r="AT115" s="114" t="s">
        <v>718</v>
      </c>
      <c r="AU115" s="1100">
        <f>(AS115/AS108-1)*100</f>
        <v>2.8473833134472049</v>
      </c>
      <c r="AV115" s="1124">
        <f>(AS115/qtrSales!AS171)*100</f>
        <v>70.962178105221724</v>
      </c>
      <c r="AW115" s="114" t="s">
        <v>718</v>
      </c>
      <c r="AX115" s="1075"/>
      <c r="AY115" s="1142">
        <f>SUM(AY111:AY114)</f>
        <v>1487.1</v>
      </c>
      <c r="AZ115" s="1103">
        <f>AY115/AY108-1</f>
        <v>-9.3949917748126666E-2</v>
      </c>
      <c r="BB115" s="1143">
        <f>SUM(BB111:BB114)</f>
        <v>94.035709165104407</v>
      </c>
      <c r="BC115" s="310"/>
      <c r="BD115" s="1143"/>
      <c r="BF115" s="1170">
        <f>+BF108</f>
        <v>28.5</v>
      </c>
      <c r="BG115" s="1170">
        <f>BG108</f>
        <v>70</v>
      </c>
      <c r="BH115" s="1170">
        <f>BH108</f>
        <v>22.5</v>
      </c>
      <c r="BI115" s="246"/>
      <c r="BJ115" s="1158"/>
      <c r="BK115" s="1171"/>
      <c r="BL115" s="1171">
        <f>BL108</f>
        <v>30</v>
      </c>
      <c r="BM115" s="1171">
        <f t="shared" ref="BM115:BS115" si="6">BM108</f>
        <v>17.5</v>
      </c>
      <c r="BN115" s="1171">
        <f t="shared" si="6"/>
        <v>25</v>
      </c>
      <c r="BO115" s="1171">
        <f t="shared" si="6"/>
        <v>15</v>
      </c>
      <c r="BP115" s="1171">
        <f t="shared" si="6"/>
        <v>25</v>
      </c>
      <c r="BQ115" s="1171">
        <f t="shared" si="6"/>
        <v>30</v>
      </c>
      <c r="BR115" s="1171">
        <f t="shared" si="6"/>
        <v>27.5</v>
      </c>
      <c r="BS115" s="1171">
        <f t="shared" si="6"/>
        <v>18</v>
      </c>
      <c r="BT115" s="1174">
        <v>25</v>
      </c>
      <c r="BU115" s="1174">
        <v>25</v>
      </c>
    </row>
    <row r="116" spans="1:75" s="114" customFormat="1">
      <c r="B116" s="245"/>
      <c r="D116" s="1123"/>
      <c r="F116" s="1139"/>
      <c r="H116" s="1123"/>
      <c r="K116" s="1063"/>
      <c r="L116" s="1122"/>
      <c r="N116" s="1123"/>
      <c r="O116" s="246"/>
      <c r="P116" s="1124"/>
      <c r="Q116" s="310"/>
      <c r="S116" s="2188">
        <f>S115/qtrSales!S171</f>
        <v>0.35618784652849728</v>
      </c>
      <c r="U116" s="1125"/>
      <c r="W116" s="1126"/>
      <c r="X116" s="246"/>
      <c r="AB116" s="1127"/>
      <c r="AD116" s="1128"/>
      <c r="AE116" s="246"/>
      <c r="AF116" s="1124"/>
      <c r="AG116" s="310"/>
      <c r="AI116" s="1129"/>
      <c r="AK116" s="1097"/>
      <c r="AM116" s="1126"/>
      <c r="AN116" s="246"/>
      <c r="AO116" s="246"/>
      <c r="AP116" s="246"/>
      <c r="AQ116" s="246"/>
      <c r="AR116" s="246"/>
      <c r="AS116" s="1100"/>
      <c r="AU116" s="1100"/>
      <c r="AV116" s="1124"/>
      <c r="AX116" s="1075"/>
      <c r="AY116" s="1142"/>
      <c r="AZ116" s="1103"/>
      <c r="BB116" s="1143"/>
      <c r="BC116" s="310"/>
      <c r="BD116" s="1143"/>
      <c r="BF116" s="1170"/>
      <c r="BG116" s="1170"/>
      <c r="BH116" s="1170"/>
      <c r="BI116" s="246"/>
      <c r="BJ116" s="1158"/>
      <c r="BK116" s="1171"/>
      <c r="BL116" s="1171"/>
      <c r="BM116" s="1171"/>
      <c r="BN116" s="1171"/>
      <c r="BO116" s="1171"/>
      <c r="BP116" s="1171"/>
      <c r="BQ116" s="1171"/>
      <c r="BR116" s="1171"/>
      <c r="BS116" s="1171"/>
      <c r="BT116" s="1174"/>
      <c r="BU116" s="1174"/>
    </row>
    <row r="117" spans="1:75" s="114" customFormat="1">
      <c r="A117" s="1120"/>
      <c r="B117" s="1175">
        <v>2017</v>
      </c>
      <c r="D117" s="1123"/>
      <c r="F117" s="2017"/>
      <c r="G117" s="2017"/>
      <c r="H117" s="2017"/>
      <c r="I117" s="2017"/>
      <c r="J117" s="2017"/>
      <c r="K117" s="2017"/>
      <c r="L117" s="2017"/>
      <c r="N117" s="1123"/>
      <c r="O117" s="246"/>
      <c r="P117" s="1124"/>
      <c r="Q117" s="310"/>
      <c r="S117" s="1095"/>
      <c r="U117" s="1125"/>
      <c r="W117" s="1126"/>
      <c r="X117" s="246"/>
      <c r="AB117" s="1127"/>
      <c r="AD117" s="1128"/>
      <c r="AE117" s="246"/>
      <c r="AF117" s="1124"/>
      <c r="AG117" s="310"/>
      <c r="AI117" s="1129"/>
      <c r="AK117" s="1097"/>
      <c r="AM117" s="1126"/>
      <c r="AN117" s="246"/>
      <c r="AO117" s="246"/>
      <c r="AP117" s="246"/>
      <c r="AQ117" s="246"/>
      <c r="AR117" s="246"/>
      <c r="AS117" s="1100"/>
      <c r="AU117" s="1100"/>
      <c r="AV117" s="1121" t="s">
        <v>76</v>
      </c>
      <c r="AX117" s="1075"/>
      <c r="AY117" s="1142"/>
      <c r="AZ117" s="1103"/>
      <c r="BB117" s="1146" t="s">
        <v>575</v>
      </c>
      <c r="BC117" s="310"/>
      <c r="BD117" s="310"/>
      <c r="BE117" s="1161"/>
      <c r="BF117" s="246"/>
      <c r="BG117" s="246" t="s">
        <v>2</v>
      </c>
      <c r="BH117" s="246" t="s">
        <v>3</v>
      </c>
      <c r="BI117" s="246"/>
      <c r="BJ117" s="249"/>
      <c r="BK117" s="246" t="s">
        <v>652</v>
      </c>
      <c r="BL117" s="246" t="s">
        <v>588</v>
      </c>
      <c r="BM117" s="246" t="s">
        <v>589</v>
      </c>
      <c r="BN117" s="246" t="s">
        <v>590</v>
      </c>
      <c r="BO117" s="246">
        <f>BO223</f>
        <v>0</v>
      </c>
      <c r="BP117" s="246">
        <f>BP223</f>
        <v>0</v>
      </c>
      <c r="BQ117" s="246">
        <f>BQ223</f>
        <v>0</v>
      </c>
      <c r="BR117" s="246">
        <f>BR223</f>
        <v>0</v>
      </c>
      <c r="BS117" s="246">
        <f>BS223</f>
        <v>0</v>
      </c>
      <c r="BT117" s="246" t="s">
        <v>491</v>
      </c>
      <c r="BU117" s="246" t="s">
        <v>492</v>
      </c>
    </row>
    <row r="118" spans="1:75" s="114" customFormat="1">
      <c r="A118" s="114" t="s">
        <v>115</v>
      </c>
      <c r="B118" s="245" t="s">
        <v>96</v>
      </c>
      <c r="D118" s="1088">
        <f>(S118/(S111)-1)*100</f>
        <v>-23.70310749082628</v>
      </c>
      <c r="E118" s="114" t="s">
        <v>76</v>
      </c>
      <c r="F118" s="1144">
        <v>-10</v>
      </c>
      <c r="G118" s="2042"/>
      <c r="H118" s="1045">
        <f>D118-F118</f>
        <v>-13.70310749082628</v>
      </c>
      <c r="I118" s="114" t="s">
        <v>76</v>
      </c>
      <c r="J118" s="2153">
        <f>308+43</f>
        <v>351</v>
      </c>
      <c r="K118" s="1063">
        <f>J118-J114</f>
        <v>-4</v>
      </c>
      <c r="L118" s="1122">
        <f>AVERAGE(J118,J114)</f>
        <v>353</v>
      </c>
      <c r="N118" s="1123">
        <f>(L118/L111-1)*100</f>
        <v>-6.1170212765957466</v>
      </c>
      <c r="O118" s="246" t="s">
        <v>76</v>
      </c>
      <c r="P118" s="1124">
        <f>H118/N118*100</f>
        <v>224.01601811089913</v>
      </c>
      <c r="Q118" s="310" t="s">
        <v>76</v>
      </c>
      <c r="S118" s="1160">
        <f>AY118-AS118</f>
        <v>152.52745249999998</v>
      </c>
      <c r="U118" s="1125">
        <f>S118/L118</f>
        <v>0.43208910056657218</v>
      </c>
      <c r="W118" s="1126">
        <f>(U118/U111-1)*100</f>
        <v>-18.731921859916955</v>
      </c>
      <c r="X118" s="246" t="s">
        <v>76</v>
      </c>
      <c r="Z118" s="1063">
        <f>+Z114+(J118-J114)*(squft!$DH$10/1000)</f>
        <v>3352.95</v>
      </c>
      <c r="AB118" s="1127">
        <f>AVERAGE(Z118,Z114)</f>
        <v>3370.5499999999997</v>
      </c>
      <c r="AD118" s="1128">
        <f>(Z118/Z111-1)*100</f>
        <v>-5.4588261831921114</v>
      </c>
      <c r="AE118" s="246" t="s">
        <v>76</v>
      </c>
      <c r="AF118" s="1124">
        <f>+H118/AD118*100</f>
        <v>251.02663156813011</v>
      </c>
      <c r="AG118" s="310" t="s">
        <v>76</v>
      </c>
      <c r="AI118" s="1129">
        <f>+S118</f>
        <v>152.52745249999998</v>
      </c>
      <c r="AK118" s="1097">
        <f>AI118/AB118*1000</f>
        <v>45.252986159528859</v>
      </c>
      <c r="AM118" s="1126">
        <f>(AK118/AK111-1)*100</f>
        <v>-19.121513672649204</v>
      </c>
      <c r="AN118" s="246" t="s">
        <v>76</v>
      </c>
      <c r="AO118" s="246"/>
      <c r="AP118" s="246"/>
      <c r="AQ118" s="246"/>
      <c r="AR118" s="246"/>
      <c r="AS118" s="1100">
        <f>qtrSales!AS174*(AV118/100)</f>
        <v>133.8725475</v>
      </c>
      <c r="AT118" s="114" t="s">
        <v>718</v>
      </c>
      <c r="AU118" s="1100">
        <f>(AS118/AS111-1)*100</f>
        <v>8.4981502094143799</v>
      </c>
      <c r="AV118" s="2049">
        <v>75</v>
      </c>
      <c r="AW118" s="114" t="s">
        <v>718</v>
      </c>
      <c r="AX118" s="1075"/>
      <c r="AY118" s="2158">
        <v>286.39999999999998</v>
      </c>
      <c r="AZ118" s="1103">
        <f>AY118/AY111-1</f>
        <v>-0.1141354778843181</v>
      </c>
      <c r="BB118" s="1143">
        <f>+BW118</f>
        <v>23.647817111983457</v>
      </c>
      <c r="BC118" s="1173">
        <f>BB118/S111</f>
        <v>0.11829050644306807</v>
      </c>
      <c r="BD118" s="1143">
        <f>+BB118+BB381+BB486</f>
        <v>23.647817111983457</v>
      </c>
      <c r="BE118" s="1161">
        <f>+BD118/BD111-1</f>
        <v>0</v>
      </c>
      <c r="BF118" s="1154"/>
      <c r="BG118" s="1155"/>
      <c r="BH118" s="1156"/>
      <c r="BI118" s="1157"/>
      <c r="BJ118" s="1158"/>
      <c r="BK118" s="1159"/>
      <c r="BL118" s="1159"/>
      <c r="BM118" s="1159"/>
      <c r="BN118" s="1159"/>
      <c r="BO118" s="1159">
        <f>+BO122*$BI$4</f>
        <v>3.0711450794783715</v>
      </c>
      <c r="BP118" s="1159">
        <f>+BP122*$BI$4</f>
        <v>5.1185751324639526</v>
      </c>
      <c r="BQ118" s="1159">
        <f>+BQ122*$BI$4</f>
        <v>6.1422901589567429</v>
      </c>
      <c r="BR118" s="1159">
        <f>+BR122*$BI$4</f>
        <v>5.6304326457103482</v>
      </c>
      <c r="BS118" s="1159">
        <f>+BS122*$BI$4</f>
        <v>3.6853740953740459</v>
      </c>
      <c r="BT118" s="1159"/>
      <c r="BU118" s="1159"/>
      <c r="BW118" s="1157">
        <f>+SUM(BF118:BU118)</f>
        <v>23.647817111983457</v>
      </c>
    </row>
    <row r="119" spans="1:75" s="114" customFormat="1">
      <c r="A119" s="114" t="s">
        <v>116</v>
      </c>
      <c r="B119" s="245" t="s">
        <v>97</v>
      </c>
      <c r="D119" s="1088">
        <f>(S119/(S112)-1)*100</f>
        <v>-14.867298276655594</v>
      </c>
      <c r="F119" s="1144">
        <v>-7</v>
      </c>
      <c r="G119" s="2042"/>
      <c r="H119" s="1045">
        <f>D119-F119</f>
        <v>-7.8672982766555943</v>
      </c>
      <c r="J119" s="2153">
        <f>306+43</f>
        <v>349</v>
      </c>
      <c r="K119" s="1063">
        <f>J119-J118</f>
        <v>-2</v>
      </c>
      <c r="L119" s="1122">
        <f>AVERAGE(J119,J118)</f>
        <v>350</v>
      </c>
      <c r="N119" s="1123">
        <f>(L119/L112-1)*100</f>
        <v>-6.0402684563758413</v>
      </c>
      <c r="O119" s="246"/>
      <c r="P119" s="1124">
        <f>H119/N119*100</f>
        <v>130.2474936912981</v>
      </c>
      <c r="Q119" s="310"/>
      <c r="S119" s="1160">
        <f>AY119-AS119</f>
        <v>201.77407199999999</v>
      </c>
      <c r="U119" s="1131">
        <f>S119/L119</f>
        <v>0.57649734857142854</v>
      </c>
      <c r="W119" s="1126">
        <f>(U119/U112-1)*100</f>
        <v>-9.3944817372977436</v>
      </c>
      <c r="X119" s="246"/>
      <c r="Z119" s="1063">
        <f>+Z118+(J119-J118)*(squft!$DH$10/1000)</f>
        <v>3335.35</v>
      </c>
      <c r="AB119" s="1127">
        <f>AVERAGE(Z119,Z118)</f>
        <v>3344.1499999999996</v>
      </c>
      <c r="AD119" s="1128">
        <f>(Z119/Z112-1)*100</f>
        <v>-5.7211504487315263</v>
      </c>
      <c r="AE119" s="246"/>
      <c r="AF119" s="1124">
        <f>+H119/AD119*100</f>
        <v>137.51252212568372</v>
      </c>
      <c r="AG119" s="310"/>
      <c r="AI119" s="1132">
        <f>+S119</f>
        <v>201.77407199999999</v>
      </c>
      <c r="AK119" s="1106">
        <f>AI119/AB119*1000</f>
        <v>60.336429885023101</v>
      </c>
      <c r="AM119" s="1126">
        <f>(AK119/AK112-1)*100</f>
        <v>-9.8267723010796786</v>
      </c>
      <c r="AN119" s="246"/>
      <c r="AO119" s="246"/>
      <c r="AP119" s="246"/>
      <c r="AQ119" s="246"/>
      <c r="AR119" s="246"/>
      <c r="AS119" s="1100">
        <f>qtrSales!AS175*(AV119/100)</f>
        <v>130.925928</v>
      </c>
      <c r="AT119" s="114" t="s">
        <v>718</v>
      </c>
      <c r="AU119" s="1100">
        <f>(AS119/AS112-1)*100</f>
        <v>3.8363197480885791</v>
      </c>
      <c r="AV119" s="2049">
        <v>70</v>
      </c>
      <c r="AW119" s="114" t="s">
        <v>718</v>
      </c>
      <c r="AX119" s="1075"/>
      <c r="AY119" s="2159">
        <v>332.7</v>
      </c>
      <c r="AZ119" s="1103">
        <f>AY119/AY112-1</f>
        <v>-8.3723492150922674E-2</v>
      </c>
      <c r="BB119" s="1143">
        <f>+BW119</f>
        <v>19.845624451543674</v>
      </c>
      <c r="BC119" s="1173">
        <f>BB119/S112</f>
        <v>8.3732840904691574E-2</v>
      </c>
      <c r="BD119" s="1143">
        <f>+BB119+BB382+BB487</f>
        <v>19.845624451543674</v>
      </c>
      <c r="BE119" s="1161">
        <f>+BD119/BD112-1</f>
        <v>0</v>
      </c>
      <c r="BF119" s="1162"/>
      <c r="BG119" s="1163"/>
      <c r="BH119" s="1164"/>
      <c r="BI119" s="1157"/>
      <c r="BJ119" s="1158"/>
      <c r="BK119" s="1165"/>
      <c r="BL119" s="1165"/>
      <c r="BM119" s="1165"/>
      <c r="BN119" s="1165"/>
      <c r="BO119" s="1165"/>
      <c r="BP119" s="1165">
        <f>+BP122*$BI$5</f>
        <v>5.4223017627168506</v>
      </c>
      <c r="BQ119" s="1165">
        <f>+BQ122*$BI$5</f>
        <v>6.5067621152602202</v>
      </c>
      <c r="BR119" s="1165">
        <f>+BR122*$BI$5</f>
        <v>5.964531938988535</v>
      </c>
      <c r="BS119" s="1165">
        <f>+BS122*$BI$5*0.5</f>
        <v>1.9520286345780662</v>
      </c>
      <c r="BT119" s="1165"/>
      <c r="BU119" s="1165"/>
      <c r="BW119" s="1157">
        <f>+SUM(BF119:BU119)</f>
        <v>19.845624451543674</v>
      </c>
    </row>
    <row r="120" spans="1:75" s="114" customFormat="1">
      <c r="A120" s="114" t="s">
        <v>117</v>
      </c>
      <c r="B120" s="245" t="s">
        <v>99</v>
      </c>
      <c r="D120" s="1088">
        <f>(S120/(S113)-1)*100</f>
        <v>-8.5537926308286831</v>
      </c>
      <c r="F120" s="2244">
        <v>-2</v>
      </c>
      <c r="G120" s="2042"/>
      <c r="H120" s="1045">
        <f>D120-F120</f>
        <v>-6.5537926308286831</v>
      </c>
      <c r="J120" s="2155">
        <f>304+44</f>
        <v>348</v>
      </c>
      <c r="K120" s="1063">
        <f>J120-J119</f>
        <v>-1</v>
      </c>
      <c r="L120" s="1122">
        <f>AVERAGE(J120,J119)</f>
        <v>348.5</v>
      </c>
      <c r="N120" s="1123">
        <f>(L120/L113-1)*100</f>
        <v>-6.5683646112600584</v>
      </c>
      <c r="O120" s="246"/>
      <c r="P120" s="1124">
        <f>H120/N120*100</f>
        <v>99.778149032616199</v>
      </c>
      <c r="Q120" s="310"/>
      <c r="S120" s="1160">
        <f>AY120-AS120</f>
        <v>206.66918400000003</v>
      </c>
      <c r="U120" s="1131">
        <f>S120/L120</f>
        <v>0.59302491822094705</v>
      </c>
      <c r="W120" s="1126">
        <f>(U120/U113-1)*100</f>
        <v>-2.1250061730246683</v>
      </c>
      <c r="X120" s="246"/>
      <c r="Z120" s="1063">
        <f>+Z119+(J120-J119)*(squft!$DH$10/1000)</f>
        <v>3326.5499999999997</v>
      </c>
      <c r="AB120" s="1127">
        <f>AVERAGE(Z120,Z119)</f>
        <v>3330.95</v>
      </c>
      <c r="AD120" s="1128">
        <f>(Z120/Z113-1)*100</f>
        <v>-6.435372044946341</v>
      </c>
      <c r="AE120" s="246"/>
      <c r="AF120" s="1124">
        <f>+H120/AD120*100</f>
        <v>101.84015135496847</v>
      </c>
      <c r="AG120" s="310"/>
      <c r="AI120" s="1132">
        <f>+S120</f>
        <v>206.66918400000003</v>
      </c>
      <c r="AK120" s="1106">
        <f>AI120/AB120*1000</f>
        <v>62.045117458983185</v>
      </c>
      <c r="AM120" s="1126">
        <f>(AK120/AK113-1)*100</f>
        <v>-2.6348198726686145</v>
      </c>
      <c r="AN120" s="246"/>
      <c r="AO120" s="246"/>
      <c r="AP120" s="246"/>
      <c r="AQ120" s="246"/>
      <c r="AR120" s="246"/>
      <c r="AS120" s="1100">
        <f>qtrSales!AS176*(AV120/100)</f>
        <v>144.33081599999997</v>
      </c>
      <c r="AT120" s="114" t="s">
        <v>718</v>
      </c>
      <c r="AU120" s="1100">
        <f>(AS120/AS113-1)*100</f>
        <v>9.0942684192419456</v>
      </c>
      <c r="AV120" s="2049">
        <v>70</v>
      </c>
      <c r="AW120" s="114" t="s">
        <v>718</v>
      </c>
      <c r="AX120" s="1075"/>
      <c r="AY120" s="2159">
        <v>351</v>
      </c>
      <c r="AZ120" s="1103">
        <f>AY120/AY113-1</f>
        <v>-2.0373988277979427E-2</v>
      </c>
      <c r="BB120" s="1143">
        <f>+BW120</f>
        <v>31.492813326440015</v>
      </c>
      <c r="BC120" s="1173">
        <f>BB120/S113</f>
        <v>0.13934822223366572</v>
      </c>
      <c r="BD120" s="1143">
        <f>+BB120+BB383+BB488</f>
        <v>31.492813326440015</v>
      </c>
      <c r="BE120" s="1161">
        <f>+BD120/BD113-1</f>
        <v>0</v>
      </c>
      <c r="BF120" s="1162"/>
      <c r="BG120" s="1163"/>
      <c r="BH120" s="1164"/>
      <c r="BI120" s="1157"/>
      <c r="BJ120" s="1158"/>
      <c r="BK120" s="1165"/>
      <c r="BL120" s="1165"/>
      <c r="BM120" s="1165"/>
      <c r="BN120" s="1165"/>
      <c r="BO120" s="1165"/>
      <c r="BP120" s="1165">
        <f>+BP122*$BI$6*0.5</f>
        <v>3.2004891591910583</v>
      </c>
      <c r="BQ120" s="1165">
        <f>+BQ122*$BI$6*0.5</f>
        <v>3.8405869910292703</v>
      </c>
      <c r="BR120" s="1165">
        <f>+BR122*$BI$6</f>
        <v>7.0410761502203281</v>
      </c>
      <c r="BS120" s="1165">
        <f>+BS122*$BI$6</f>
        <v>4.6087043892351236</v>
      </c>
      <c r="BT120" s="1165">
        <f>+BT122*$BI$6</f>
        <v>6.4009783183821165</v>
      </c>
      <c r="BU120" s="1165">
        <f>+BU122*$BI$6</f>
        <v>6.4009783183821165</v>
      </c>
      <c r="BW120" s="1157">
        <f>+SUM(BF120:BU120)</f>
        <v>31.492813326440015</v>
      </c>
    </row>
    <row r="121" spans="1:75" s="114" customFormat="1">
      <c r="A121" s="114" t="s">
        <v>118</v>
      </c>
      <c r="B121" s="245" t="s">
        <v>100</v>
      </c>
      <c r="D121" s="1107">
        <f>(S121/(S114)-1)*100</f>
        <v>-8.036823577725027</v>
      </c>
      <c r="F121" s="2260">
        <v>5</v>
      </c>
      <c r="G121" s="1178"/>
      <c r="H121" s="1061">
        <f>D121-F121</f>
        <v>-13.036823577725027</v>
      </c>
      <c r="J121" s="1063">
        <f>squft!DG14</f>
        <v>330</v>
      </c>
      <c r="K121" s="1063">
        <f>J121-J120</f>
        <v>-18</v>
      </c>
      <c r="L121" s="1108">
        <f>AVERAGE(J121,J120)</f>
        <v>339</v>
      </c>
      <c r="N121" s="1107">
        <f>(L121/L114-1)*100</f>
        <v>-6.9958847736625529</v>
      </c>
      <c r="O121" s="246"/>
      <c r="P121" s="1108">
        <f>H121/N121*100</f>
        <v>186.3498899639518</v>
      </c>
      <c r="Q121" s="310"/>
      <c r="S121" s="1092">
        <f>AY121-AS121</f>
        <v>200.02839600000004</v>
      </c>
      <c r="U121" s="1133">
        <f>S121/L121</f>
        <v>0.59005426548672579</v>
      </c>
      <c r="W121" s="1134">
        <f>(U121/U114-1)*100</f>
        <v>-1.1192395105627639</v>
      </c>
      <c r="X121" s="246"/>
      <c r="Z121" s="1063">
        <f>+Z120+(J121-J120)*(squft!$DH$10/1000)</f>
        <v>3168.1499999999996</v>
      </c>
      <c r="AB121" s="1110">
        <f>AVERAGE(Z121,Z120)</f>
        <v>3247.3499999999995</v>
      </c>
      <c r="AD121" s="1107">
        <f>(Z121/Z114-1)*100</f>
        <v>-6.4932190133258576</v>
      </c>
      <c r="AE121" s="246"/>
      <c r="AF121" s="1108">
        <f>+H121/AD121*100</f>
        <v>200.77597184031384</v>
      </c>
      <c r="AG121" s="310"/>
      <c r="AI121" s="1111">
        <f>+S121</f>
        <v>200.02839600000004</v>
      </c>
      <c r="AK121" s="1135">
        <f>AI121/AB121*1000</f>
        <v>61.597424361402396</v>
      </c>
      <c r="AM121" s="1134">
        <f>(AK121/AK114-1)*100</f>
        <v>-1.6819382745829281</v>
      </c>
      <c r="AN121" s="246"/>
      <c r="AO121" s="246"/>
      <c r="AP121" s="246"/>
      <c r="AQ121" s="246"/>
      <c r="AR121" s="246"/>
      <c r="AS121" s="1214">
        <f>qtrSales!AS177*(AV121/100)</f>
        <v>283.97160399999996</v>
      </c>
      <c r="AT121" s="114" t="s">
        <v>718</v>
      </c>
      <c r="AU121" s="1136">
        <f>(AS121/AS114-1)*100</f>
        <v>26.270901530236635</v>
      </c>
      <c r="AV121" s="1137">
        <v>70</v>
      </c>
      <c r="AW121" s="1042" t="s">
        <v>718</v>
      </c>
      <c r="AX121" s="1075"/>
      <c r="AY121" s="1145">
        <v>484</v>
      </c>
      <c r="AZ121" s="1138">
        <f>AY121/AY114-1</f>
        <v>9.4032549728752413E-2</v>
      </c>
      <c r="BB121" s="1147">
        <f>+BW121</f>
        <v>19.049454275137258</v>
      </c>
      <c r="BC121" s="1173">
        <f>BB121/S114</f>
        <v>8.7579981606836832E-2</v>
      </c>
      <c r="BD121" s="1143">
        <f>+BB121+BB384+BB489</f>
        <v>19.049454275137258</v>
      </c>
      <c r="BE121" s="1161">
        <f>+BD121/BD114-1</f>
        <v>0</v>
      </c>
      <c r="BF121" s="1166"/>
      <c r="BG121" s="1167"/>
      <c r="BH121" s="1168"/>
      <c r="BI121" s="1157"/>
      <c r="BJ121" s="1158"/>
      <c r="BK121" s="1169"/>
      <c r="BL121" s="1169"/>
      <c r="BM121" s="1169"/>
      <c r="BN121" s="1169"/>
      <c r="BO121" s="1169"/>
      <c r="BP121" s="1169"/>
      <c r="BQ121" s="1169"/>
      <c r="BR121" s="1169">
        <f>+BR122*$BI$7*0.2</f>
        <v>1.7727918530161575</v>
      </c>
      <c r="BS121" s="1169">
        <f>+BS122*$BI$7*0.2</f>
        <v>1.1603728492469396</v>
      </c>
      <c r="BT121" s="1169">
        <f>+BT122*$BI$7</f>
        <v>8.0581447864370794</v>
      </c>
      <c r="BU121" s="1169">
        <f>+BU122*$BI$7</f>
        <v>8.0581447864370794</v>
      </c>
      <c r="BW121" s="1157">
        <f>+SUM(BF121:BU121)</f>
        <v>19.049454275137258</v>
      </c>
    </row>
    <row r="122" spans="1:75" s="114" customFormat="1">
      <c r="B122" s="245" t="s">
        <v>119</v>
      </c>
      <c r="D122" s="765">
        <f>(S122/S115-1)*100</f>
        <v>-13.565491830449982</v>
      </c>
      <c r="F122" s="1139">
        <f>S118/S122*F118+S119/S122*F119+S120/S122*F120+S121/S122*F121</f>
        <v>-3.0892144328403734</v>
      </c>
      <c r="H122" s="1123">
        <f>D122-F122</f>
        <v>-10.476277397609609</v>
      </c>
      <c r="K122" s="1063"/>
      <c r="L122" s="1122">
        <f>AVERAGE(L118:L121)</f>
        <v>347.625</v>
      </c>
      <c r="N122" s="1123">
        <f>(L122/L115-1)*100</f>
        <v>-6.4266487213997303</v>
      </c>
      <c r="O122" s="246"/>
      <c r="P122" s="1124"/>
      <c r="Q122" s="310"/>
      <c r="S122" s="1095">
        <f>SUM(S118:S121)</f>
        <v>760.99910450000004</v>
      </c>
      <c r="U122" s="1125">
        <f>SUM(U118:U121)</f>
        <v>2.1916656328456736</v>
      </c>
      <c r="W122" s="1126">
        <f>(U122/U115-1)*100</f>
        <v>-7.5476307406048937</v>
      </c>
      <c r="X122" s="246"/>
      <c r="AB122" s="1127">
        <f>AVERAGE(AB118:AB121)</f>
        <v>3323.2499999999991</v>
      </c>
      <c r="AD122" s="1128">
        <f>(Z121/Z114-1)*100</f>
        <v>-6.4932190133258576</v>
      </c>
      <c r="AE122" s="246"/>
      <c r="AF122" s="1124">
        <f>+H122/AD122*100</f>
        <v>161.3418148395954</v>
      </c>
      <c r="AG122" s="310"/>
      <c r="AI122" s="1129">
        <f>SUM(AI118:AI121)</f>
        <v>760.99910450000004</v>
      </c>
      <c r="AK122" s="1097">
        <f>SUM(AK118:AK121)</f>
        <v>229.23195786493756</v>
      </c>
      <c r="AM122" s="1126">
        <f>(AK122/AK115-1)*100</f>
        <v>-8.0271863672369275</v>
      </c>
      <c r="AN122" s="246"/>
      <c r="AO122" s="246"/>
      <c r="AP122" s="246"/>
      <c r="AQ122" s="246"/>
      <c r="AR122" s="246"/>
      <c r="AS122" s="1100">
        <f>SUM(AS118:AS121)</f>
        <v>693.10089549999998</v>
      </c>
      <c r="AT122" s="114" t="s">
        <v>718</v>
      </c>
      <c r="AU122" s="1100">
        <f>(AS122/AS115-1)*100</f>
        <v>14.247592757621863</v>
      </c>
      <c r="AV122" s="1124">
        <f>(AS122/qtrSales!AS178)*100</f>
        <v>70.913125425512732</v>
      </c>
      <c r="AW122" s="114" t="s">
        <v>718</v>
      </c>
      <c r="AX122" s="1075"/>
      <c r="AY122" s="2162">
        <f>SUM(AY118:AY121)</f>
        <v>1454.1</v>
      </c>
      <c r="AZ122" s="1103">
        <f>AY122/AY115-1</f>
        <v>-2.2190841234617675E-2</v>
      </c>
      <c r="BB122" s="1143">
        <f>SUM(BB118:BB121)</f>
        <v>94.035709165104407</v>
      </c>
      <c r="BC122" s="310"/>
      <c r="BD122" s="1143"/>
      <c r="BF122" s="1170">
        <f>+BF228</f>
        <v>0</v>
      </c>
      <c r="BG122" s="1170">
        <f>BG228</f>
        <v>0</v>
      </c>
      <c r="BH122" s="1170">
        <f>BH228</f>
        <v>0</v>
      </c>
      <c r="BI122" s="246"/>
      <c r="BJ122" s="1158"/>
      <c r="BK122" s="1171"/>
      <c r="BL122" s="1171">
        <f>BL115</f>
        <v>30</v>
      </c>
      <c r="BM122" s="1171">
        <f t="shared" ref="BM122:BS122" si="7">BM115</f>
        <v>17.5</v>
      </c>
      <c r="BN122" s="1171">
        <f t="shared" si="7"/>
        <v>25</v>
      </c>
      <c r="BO122" s="1171">
        <f t="shared" si="7"/>
        <v>15</v>
      </c>
      <c r="BP122" s="1171">
        <f t="shared" si="7"/>
        <v>25</v>
      </c>
      <c r="BQ122" s="1171">
        <f t="shared" si="7"/>
        <v>30</v>
      </c>
      <c r="BR122" s="1171">
        <f t="shared" si="7"/>
        <v>27.5</v>
      </c>
      <c r="BS122" s="1171">
        <f t="shared" si="7"/>
        <v>18</v>
      </c>
      <c r="BT122" s="1174">
        <v>25</v>
      </c>
      <c r="BU122" s="1174">
        <v>25</v>
      </c>
    </row>
    <row r="123" spans="1:75" s="114" customFormat="1">
      <c r="B123" s="245"/>
      <c r="D123" s="1123"/>
      <c r="F123" s="1139"/>
      <c r="H123" s="1123"/>
      <c r="K123" s="1063"/>
      <c r="L123" s="1122"/>
      <c r="N123" s="1123"/>
      <c r="O123" s="246"/>
      <c r="P123" s="1124"/>
      <c r="Q123" s="310"/>
      <c r="S123" s="2188">
        <f>S122/qtrSales!S178</f>
        <v>0.3025449649236866</v>
      </c>
      <c r="U123" s="1125"/>
      <c r="W123" s="1126"/>
      <c r="X123" s="246"/>
      <c r="AB123" s="1127"/>
      <c r="AD123" s="1128"/>
      <c r="AE123" s="246"/>
      <c r="AF123" s="1124"/>
      <c r="AG123" s="310"/>
      <c r="AI123" s="1129"/>
      <c r="AK123" s="1097"/>
      <c r="AM123" s="1126"/>
      <c r="AN123" s="246"/>
      <c r="AO123" s="246"/>
      <c r="AP123" s="246"/>
      <c r="AQ123" s="246"/>
      <c r="AR123" s="246"/>
      <c r="AS123" s="1100"/>
      <c r="AU123" s="1100"/>
      <c r="AV123" s="1124"/>
      <c r="AX123" s="1075"/>
      <c r="AY123" s="1142"/>
      <c r="AZ123" s="1103">
        <f>+AZ121-F121</f>
        <v>-4.9059674502712474</v>
      </c>
      <c r="BB123" s="1143"/>
      <c r="BC123" s="310"/>
      <c r="BD123" s="1143"/>
      <c r="BF123" s="1170"/>
      <c r="BG123" s="1170"/>
      <c r="BH123" s="1170"/>
      <c r="BI123" s="246"/>
      <c r="BJ123" s="1158"/>
      <c r="BK123" s="1171"/>
      <c r="BL123" s="1171"/>
      <c r="BM123" s="1171"/>
      <c r="BN123" s="1171"/>
      <c r="BO123" s="1171"/>
      <c r="BP123" s="1171"/>
      <c r="BQ123" s="1171"/>
      <c r="BR123" s="1171"/>
      <c r="BS123" s="1171"/>
      <c r="BT123" s="1174"/>
      <c r="BU123" s="1174"/>
    </row>
    <row r="124" spans="1:75" s="114" customFormat="1">
      <c r="A124" s="1120"/>
      <c r="B124" s="1175">
        <v>2018</v>
      </c>
      <c r="D124" s="1123"/>
      <c r="F124" s="2017"/>
      <c r="G124" s="2017"/>
      <c r="H124" s="2017"/>
      <c r="I124" s="2017"/>
      <c r="J124" s="2017"/>
      <c r="K124" s="2017"/>
      <c r="L124" s="2017"/>
      <c r="N124" s="1123"/>
      <c r="O124" s="246"/>
      <c r="P124" s="1124"/>
      <c r="Q124" s="310"/>
      <c r="S124" s="1095"/>
      <c r="U124" s="1125"/>
      <c r="W124" s="1126"/>
      <c r="X124" s="246"/>
      <c r="AB124" s="1127"/>
      <c r="AD124" s="1128"/>
      <c r="AE124" s="246"/>
      <c r="AF124" s="1124"/>
      <c r="AG124" s="310"/>
      <c r="AI124" s="1129"/>
      <c r="AK124" s="1097"/>
      <c r="AM124" s="1126"/>
      <c r="AN124" s="246"/>
      <c r="AO124" s="246"/>
      <c r="AP124" s="246"/>
      <c r="AQ124" s="246"/>
      <c r="AR124" s="246"/>
      <c r="AS124" s="1100"/>
      <c r="AU124" s="1100"/>
      <c r="AV124" s="1121" t="s">
        <v>76</v>
      </c>
      <c r="AX124" s="1075"/>
      <c r="AY124" s="1142"/>
      <c r="AZ124" s="1103"/>
      <c r="BB124" s="1146" t="s">
        <v>575</v>
      </c>
      <c r="BC124" s="310"/>
      <c r="BD124" s="310"/>
      <c r="BE124" s="1161"/>
      <c r="BF124" s="246"/>
      <c r="BG124" s="246" t="s">
        <v>2</v>
      </c>
      <c r="BH124" s="246" t="s">
        <v>3</v>
      </c>
      <c r="BI124" s="246"/>
      <c r="BJ124" s="249"/>
      <c r="BK124" s="246" t="s">
        <v>652</v>
      </c>
      <c r="BL124" s="246" t="s">
        <v>588</v>
      </c>
      <c r="BM124" s="246" t="s">
        <v>589</v>
      </c>
      <c r="BN124" s="246" t="s">
        <v>590</v>
      </c>
      <c r="BO124" s="246">
        <f>BO230</f>
        <v>0</v>
      </c>
      <c r="BP124" s="246">
        <f>BP230</f>
        <v>0</v>
      </c>
      <c r="BQ124" s="246">
        <f>BQ230</f>
        <v>0</v>
      </c>
      <c r="BR124" s="246">
        <f>BR230</f>
        <v>0</v>
      </c>
      <c r="BS124" s="246">
        <f>BS230</f>
        <v>0</v>
      </c>
      <c r="BT124" s="246" t="s">
        <v>491</v>
      </c>
      <c r="BU124" s="246" t="s">
        <v>492</v>
      </c>
    </row>
    <row r="125" spans="1:75" s="114" customFormat="1">
      <c r="A125" s="114" t="s">
        <v>115</v>
      </c>
      <c r="B125" s="245" t="s">
        <v>96</v>
      </c>
      <c r="D125" s="1128">
        <f t="shared" ref="D125:D126" si="8">F125+H125</f>
        <v>4.7</v>
      </c>
      <c r="E125" s="114" t="s">
        <v>76</v>
      </c>
      <c r="F125" s="2173">
        <v>2</v>
      </c>
      <c r="G125" s="2042"/>
      <c r="H125" s="2042">
        <f>-1+0.5+3+0.2</f>
        <v>2.7</v>
      </c>
      <c r="I125" s="114" t="s">
        <v>76</v>
      </c>
      <c r="J125" s="2048">
        <v>348</v>
      </c>
      <c r="K125" s="1063">
        <f>J125-J121</f>
        <v>18</v>
      </c>
      <c r="L125" s="1122">
        <f>AVERAGE(J125,J121)</f>
        <v>339</v>
      </c>
      <c r="N125" s="1123">
        <f>(L125/L118-1)*100</f>
        <v>-3.966005665722383</v>
      </c>
      <c r="O125" s="246" t="s">
        <v>76</v>
      </c>
      <c r="P125" s="1124">
        <f>H125/N125*100</f>
        <v>-68.078571428571379</v>
      </c>
      <c r="Q125" s="310" t="s">
        <v>76</v>
      </c>
      <c r="S125" s="1160">
        <f t="shared" ref="S125:S126" si="9">(S118)*(1+D125/100)</f>
        <v>159.69624276749997</v>
      </c>
      <c r="U125" s="1125">
        <f>S125/L125</f>
        <v>0.47108036214601762</v>
      </c>
      <c r="W125" s="1126">
        <f>(U125/U118-1)*100</f>
        <v>9.023893805309724</v>
      </c>
      <c r="X125" s="246" t="s">
        <v>76</v>
      </c>
      <c r="Z125" s="1063">
        <f>+Z121+(J125-J121)*(squft!$DH$10/1000)</f>
        <v>3326.5499999999997</v>
      </c>
      <c r="AB125" s="1127">
        <f>AVERAGE(Z125,Z121)</f>
        <v>3247.3499999999995</v>
      </c>
      <c r="AD125" s="1128">
        <f>(Z125/Z118-1)*100</f>
        <v>-0.78736634903592284</v>
      </c>
      <c r="AE125" s="246" t="s">
        <v>76</v>
      </c>
      <c r="AF125" s="1124">
        <f>+H125/AD125*100</f>
        <v>-342.91534090909124</v>
      </c>
      <c r="AG125" s="310" t="s">
        <v>76</v>
      </c>
      <c r="AI125" s="1129">
        <f>+S125</f>
        <v>159.69624276749997</v>
      </c>
      <c r="AK125" s="1097">
        <f>AI125/AB125*1000</f>
        <v>49.177403965541131</v>
      </c>
      <c r="AM125" s="1126">
        <f>(AK125/AK118-1)*100</f>
        <v>8.6721742343757171</v>
      </c>
      <c r="AN125" s="246" t="s">
        <v>76</v>
      </c>
      <c r="AO125" s="246"/>
      <c r="AP125" s="246"/>
      <c r="AQ125" s="246"/>
      <c r="AR125" s="246"/>
      <c r="AS125" s="1100">
        <f>qtrSales!AS181*(AV125/100)</f>
        <v>137.88872392500002</v>
      </c>
      <c r="AT125" s="114" t="s">
        <v>718</v>
      </c>
      <c r="AU125" s="1100">
        <f>(AS125/AS118-1)*100</f>
        <v>3.0000000000000249</v>
      </c>
      <c r="AV125" s="2049">
        <v>75</v>
      </c>
      <c r="AW125" s="114" t="s">
        <v>718</v>
      </c>
      <c r="AX125" s="1075"/>
      <c r="AY125" s="2160">
        <f t="shared" ref="AY125:AY126" si="10">AI125+AS125</f>
        <v>297.58496669249996</v>
      </c>
      <c r="AZ125" s="1103">
        <f>AY125/AY118-1</f>
        <v>3.9053654652583703E-2</v>
      </c>
      <c r="BB125" s="1143">
        <f>+BW125</f>
        <v>23.647817111983457</v>
      </c>
      <c r="BC125" s="1173">
        <f>BB125/S118</f>
        <v>0.15503974349786942</v>
      </c>
      <c r="BD125" s="1143">
        <f>+BB125+BB388+BB493</f>
        <v>23.647817111983457</v>
      </c>
      <c r="BE125" s="1161">
        <f>+BD125/BD118-1</f>
        <v>0</v>
      </c>
      <c r="BF125" s="1154"/>
      <c r="BG125" s="1155"/>
      <c r="BH125" s="1156"/>
      <c r="BI125" s="1157"/>
      <c r="BJ125" s="1158"/>
      <c r="BK125" s="1159"/>
      <c r="BL125" s="1159"/>
      <c r="BM125" s="1159"/>
      <c r="BN125" s="1159"/>
      <c r="BO125" s="1159">
        <f>+BO129*$BI$4</f>
        <v>3.0711450794783715</v>
      </c>
      <c r="BP125" s="1159">
        <f>+BP129*$BI$4</f>
        <v>5.1185751324639526</v>
      </c>
      <c r="BQ125" s="1159">
        <f>+BQ129*$BI$4</f>
        <v>6.1422901589567429</v>
      </c>
      <c r="BR125" s="1159">
        <f>+BR129*$BI$4</f>
        <v>5.6304326457103482</v>
      </c>
      <c r="BS125" s="1159">
        <f>+BS129*$BI$4</f>
        <v>3.6853740953740459</v>
      </c>
      <c r="BT125" s="1159"/>
      <c r="BU125" s="1159"/>
      <c r="BW125" s="1157">
        <f>+SUM(BF125:BU125)</f>
        <v>23.647817111983457</v>
      </c>
    </row>
    <row r="126" spans="1:75" s="114" customFormat="1">
      <c r="A126" s="114" t="s">
        <v>116</v>
      </c>
      <c r="B126" s="245" t="s">
        <v>97</v>
      </c>
      <c r="D126" s="1128">
        <f t="shared" si="8"/>
        <v>4.7</v>
      </c>
      <c r="F126" s="2173">
        <v>1</v>
      </c>
      <c r="G126" s="2042"/>
      <c r="H126" s="2042">
        <f>-2+2.5+0.2+3</f>
        <v>3.7</v>
      </c>
      <c r="J126" s="2048">
        <v>345</v>
      </c>
      <c r="K126" s="1063">
        <f>J126-J125</f>
        <v>-3</v>
      </c>
      <c r="L126" s="1122">
        <f>AVERAGE(J126,J125)</f>
        <v>346.5</v>
      </c>
      <c r="N126" s="1123">
        <f>(L126/L119-1)*100</f>
        <v>-1.0000000000000009</v>
      </c>
      <c r="O126" s="246"/>
      <c r="P126" s="1124">
        <f>H126/N126*100</f>
        <v>-369.99999999999972</v>
      </c>
      <c r="Q126" s="310"/>
      <c r="S126" s="1160">
        <f t="shared" si="9"/>
        <v>211.25745338399997</v>
      </c>
      <c r="U126" s="1131">
        <f>S126/L126</f>
        <v>0.60968962015584405</v>
      </c>
      <c r="W126" s="1126">
        <f>(U126/U119-1)*100</f>
        <v>5.7575757575757391</v>
      </c>
      <c r="X126" s="246"/>
      <c r="Z126" s="1063">
        <f>+Z125+(J126-J125)*(squft!$DH$10/1000)</f>
        <v>3300.1499999999996</v>
      </c>
      <c r="AB126" s="1127">
        <f>AVERAGE(Z126,Z125)</f>
        <v>3313.3499999999995</v>
      </c>
      <c r="AD126" s="1128">
        <f>(Z126/Z119-1)*100</f>
        <v>-1.055361506288699</v>
      </c>
      <c r="AE126" s="246"/>
      <c r="AF126" s="1124">
        <f>+H126/AD126*100</f>
        <v>-350.59076704545339</v>
      </c>
      <c r="AG126" s="310"/>
      <c r="AI126" s="1132">
        <f>+S126</f>
        <v>211.25745338399997</v>
      </c>
      <c r="AK126" s="1106">
        <f>AI126/AB126*1000</f>
        <v>63.759474062202905</v>
      </c>
      <c r="AM126" s="1126">
        <f>(AK126/AK119-1)*100</f>
        <v>5.6732627099461252</v>
      </c>
      <c r="AN126" s="246"/>
      <c r="AO126" s="246"/>
      <c r="AP126" s="246"/>
      <c r="AQ126" s="246"/>
      <c r="AR126" s="246"/>
      <c r="AS126" s="1100">
        <f>qtrSales!AS182*(AV126/100)</f>
        <v>137.47222439999999</v>
      </c>
      <c r="AT126" s="114" t="s">
        <v>718</v>
      </c>
      <c r="AU126" s="1100">
        <f>(AS126/AS119-1)*100</f>
        <v>4.9999999999999822</v>
      </c>
      <c r="AV126" s="2049">
        <v>70</v>
      </c>
      <c r="AW126" s="114" t="s">
        <v>718</v>
      </c>
      <c r="AX126" s="1075"/>
      <c r="AY126" s="2160">
        <f t="shared" si="10"/>
        <v>348.72967778399993</v>
      </c>
      <c r="AZ126" s="1103">
        <f>AY126/AY119-1</f>
        <v>4.8180576447249601E-2</v>
      </c>
      <c r="BB126" s="1143">
        <f>+BW126</f>
        <v>19.845624451543674</v>
      </c>
      <c r="BC126" s="1173">
        <f>BB126/S119</f>
        <v>9.8355672038693234E-2</v>
      </c>
      <c r="BD126" s="1143">
        <f>+BB126+BB389+BB494</f>
        <v>19.845624451543674</v>
      </c>
      <c r="BE126" s="1161">
        <f>+BD126/BD119-1</f>
        <v>0</v>
      </c>
      <c r="BF126" s="1162"/>
      <c r="BG126" s="1163"/>
      <c r="BH126" s="1164"/>
      <c r="BI126" s="1157"/>
      <c r="BJ126" s="1158"/>
      <c r="BK126" s="1165"/>
      <c r="BL126" s="1165"/>
      <c r="BM126" s="1165"/>
      <c r="BN126" s="1165"/>
      <c r="BO126" s="1165"/>
      <c r="BP126" s="1165">
        <f>+BP129*$BI$5</f>
        <v>5.4223017627168506</v>
      </c>
      <c r="BQ126" s="1165">
        <f>+BQ129*$BI$5</f>
        <v>6.5067621152602202</v>
      </c>
      <c r="BR126" s="1165">
        <f>+BR129*$BI$5</f>
        <v>5.964531938988535</v>
      </c>
      <c r="BS126" s="1165">
        <f>+BS129*$BI$5*0.5</f>
        <v>1.9520286345780662</v>
      </c>
      <c r="BT126" s="1165"/>
      <c r="BU126" s="1165"/>
      <c r="BW126" s="1157">
        <f>+SUM(BF126:BU126)</f>
        <v>19.845624451543674</v>
      </c>
    </row>
    <row r="127" spans="1:75" s="114" customFormat="1">
      <c r="A127" s="114" t="s">
        <v>117</v>
      </c>
      <c r="B127" s="245" t="s">
        <v>99</v>
      </c>
      <c r="D127" s="1128">
        <f>F127+H127</f>
        <v>-2.8</v>
      </c>
      <c r="F127" s="2042">
        <v>-3</v>
      </c>
      <c r="G127" s="2042"/>
      <c r="H127" s="2042">
        <f>-2-1+3+0.2</f>
        <v>0.2</v>
      </c>
      <c r="J127" s="2048">
        <v>340</v>
      </c>
      <c r="K127" s="1063">
        <f>J127-J126</f>
        <v>-5</v>
      </c>
      <c r="L127" s="1122">
        <f>AVERAGE(J127,J126)</f>
        <v>342.5</v>
      </c>
      <c r="N127" s="1123">
        <f>(L127/L120-1)*100</f>
        <v>-1.7216642754662836</v>
      </c>
      <c r="O127" s="246"/>
      <c r="P127" s="1124">
        <f>H127/N127*100</f>
        <v>-11.616666666666669</v>
      </c>
      <c r="Q127" s="310"/>
      <c r="S127" s="1160">
        <f>(S120)*(1+D127/100)</f>
        <v>200.88244684800003</v>
      </c>
      <c r="U127" s="1131">
        <f>S127/L127</f>
        <v>0.58651809298686142</v>
      </c>
      <c r="W127" s="1126">
        <f>(U127/U120-1)*100</f>
        <v>-1.0972262773722652</v>
      </c>
      <c r="X127" s="246"/>
      <c r="Z127" s="1063">
        <f>+Z126+(J127-J126)*(squft!$DH$10/1000)</f>
        <v>3256.1499999999996</v>
      </c>
      <c r="AB127" s="1127">
        <f>AVERAGE(Z127,Z126)</f>
        <v>3278.1499999999996</v>
      </c>
      <c r="AD127" s="1128">
        <f>(Z127/Z120-1)*100</f>
        <v>-2.1163066841021538</v>
      </c>
      <c r="AE127" s="246"/>
      <c r="AF127" s="1124">
        <f>+H127/AD127*100</f>
        <v>-9.4504261363636104</v>
      </c>
      <c r="AG127" s="310"/>
      <c r="AI127" s="1132">
        <f>+S127</f>
        <v>200.88244684800003</v>
      </c>
      <c r="AK127" s="1106">
        <f>AI127/AB127*1000</f>
        <v>61.27921139911232</v>
      </c>
      <c r="AM127" s="1126">
        <f>(AK127/AK120-1)*100</f>
        <v>-1.234434055793654</v>
      </c>
      <c r="AN127" s="246"/>
      <c r="AO127" s="246"/>
      <c r="AP127" s="246"/>
      <c r="AQ127" s="246"/>
      <c r="AR127" s="246"/>
      <c r="AS127" s="1100">
        <f>qtrSales!AS183*(AV127/100)</f>
        <v>146.49577823999996</v>
      </c>
      <c r="AT127" s="114" t="s">
        <v>718</v>
      </c>
      <c r="AU127" s="1100">
        <f>(AS127/AS120-1)*100</f>
        <v>1.4999999999999902</v>
      </c>
      <c r="AV127" s="2049">
        <v>70</v>
      </c>
      <c r="AW127" s="114" t="s">
        <v>718</v>
      </c>
      <c r="AX127" s="1075"/>
      <c r="AY127" s="2160">
        <f>AI127+AS127</f>
        <v>347.37822508800002</v>
      </c>
      <c r="AZ127" s="1103">
        <f>AY127/AY120-1</f>
        <v>-1.0318447042734991E-2</v>
      </c>
      <c r="BB127" s="1143">
        <f>+BW127</f>
        <v>31.492813326440015</v>
      </c>
      <c r="BC127" s="1173">
        <f>BB127/S120</f>
        <v>0.15238272449191076</v>
      </c>
      <c r="BD127" s="1143">
        <f>+BB127+BB390+BB495</f>
        <v>31.492813326440015</v>
      </c>
      <c r="BE127" s="1161">
        <f>+BD127/BD120-1</f>
        <v>0</v>
      </c>
      <c r="BF127" s="1162"/>
      <c r="BG127" s="1163"/>
      <c r="BH127" s="1164"/>
      <c r="BI127" s="1157"/>
      <c r="BJ127" s="1158"/>
      <c r="BK127" s="1165"/>
      <c r="BL127" s="1165"/>
      <c r="BM127" s="1165"/>
      <c r="BN127" s="1165"/>
      <c r="BO127" s="1165"/>
      <c r="BP127" s="1165">
        <f>+BP129*$BI$6*0.5</f>
        <v>3.2004891591910583</v>
      </c>
      <c r="BQ127" s="1165">
        <f>+BQ129*$BI$6*0.5</f>
        <v>3.8405869910292703</v>
      </c>
      <c r="BR127" s="1165">
        <f>+BR129*$BI$6</f>
        <v>7.0410761502203281</v>
      </c>
      <c r="BS127" s="1165">
        <f>+BS129*$BI$6</f>
        <v>4.6087043892351236</v>
      </c>
      <c r="BT127" s="1165">
        <f>+BT129*$BI$6</f>
        <v>6.4009783183821165</v>
      </c>
      <c r="BU127" s="1165">
        <f>+BU129*$BI$6</f>
        <v>6.4009783183821165</v>
      </c>
      <c r="BW127" s="1157">
        <f>+SUM(BF127:BU127)</f>
        <v>31.492813326440015</v>
      </c>
    </row>
    <row r="128" spans="1:75" s="114" customFormat="1">
      <c r="A128" s="114" t="s">
        <v>118</v>
      </c>
      <c r="B128" s="245" t="s">
        <v>100</v>
      </c>
      <c r="D128" s="1107">
        <f>F128+H128</f>
        <v>-11.8</v>
      </c>
      <c r="F128" s="1178">
        <v>-4</v>
      </c>
      <c r="G128" s="1178"/>
      <c r="H128" s="1178">
        <f>-2-6+0.2</f>
        <v>-7.8</v>
      </c>
      <c r="J128" s="1063">
        <f>squft!DK14</f>
        <v>308</v>
      </c>
      <c r="K128" s="1063">
        <f>J128-J127</f>
        <v>-32</v>
      </c>
      <c r="L128" s="1108">
        <f>AVERAGE(J128,J127)</f>
        <v>324</v>
      </c>
      <c r="N128" s="1107">
        <f>(L128/L121-1)*100</f>
        <v>-4.4247787610619422</v>
      </c>
      <c r="O128" s="246"/>
      <c r="P128" s="1108">
        <f>H128/N128*100</f>
        <v>176.2800000000002</v>
      </c>
      <c r="Q128" s="310"/>
      <c r="S128" s="1092">
        <f>(S121)*(1+D128/100)</f>
        <v>176.42504527200003</v>
      </c>
      <c r="U128" s="1133">
        <f>S128/L128</f>
        <v>0.54452174466666681</v>
      </c>
      <c r="W128" s="1134">
        <f>(U128/U121-1)*100</f>
        <v>-7.7166666666666606</v>
      </c>
      <c r="X128" s="246"/>
      <c r="Z128" s="1063">
        <f>+Z127+(J128-J127)*(squft!$DH$10/1000)</f>
        <v>2974.5499999999997</v>
      </c>
      <c r="AB128" s="1110">
        <f>AVERAGE(Z128,Z127)</f>
        <v>3115.3499999999995</v>
      </c>
      <c r="AD128" s="1107">
        <f>(Z128/Z121-1)*100</f>
        <v>-6.1108217729589853</v>
      </c>
      <c r="AE128" s="246"/>
      <c r="AF128" s="1108">
        <f>+H128/AD128*100</f>
        <v>127.64240702479333</v>
      </c>
      <c r="AG128" s="310"/>
      <c r="AI128" s="1111">
        <f>+S128</f>
        <v>176.42504527200003</v>
      </c>
      <c r="AK128" s="1135">
        <f>AI128/AB128*1000</f>
        <v>56.630890677451994</v>
      </c>
      <c r="AM128" s="1134">
        <f>(AK128/AK121-1)*100</f>
        <v>-8.0628918099090008</v>
      </c>
      <c r="AN128" s="246"/>
      <c r="AO128" s="246"/>
      <c r="AP128" s="246"/>
      <c r="AQ128" s="246"/>
      <c r="AR128" s="246"/>
      <c r="AS128" s="1100">
        <f>qtrSales!AS184*(AV128/100)</f>
        <v>278.29217191999999</v>
      </c>
      <c r="AT128" s="114" t="s">
        <v>718</v>
      </c>
      <c r="AU128" s="1136">
        <f>(AS128/AS121-1)*100</f>
        <v>-1.9999999999999907</v>
      </c>
      <c r="AV128" s="1137">
        <v>70</v>
      </c>
      <c r="AW128" s="1042" t="s">
        <v>718</v>
      </c>
      <c r="AX128" s="1075"/>
      <c r="AY128" s="2161">
        <f>AI128+AS128</f>
        <v>454.71721719200002</v>
      </c>
      <c r="AZ128" s="1138">
        <f>AY128/AY121-1</f>
        <v>-6.050161737190074E-2</v>
      </c>
      <c r="BB128" s="1147">
        <f>+BW128</f>
        <v>19.049454275137258</v>
      </c>
      <c r="BC128" s="1173">
        <f>BB128/S121</f>
        <v>9.523375008784879E-2</v>
      </c>
      <c r="BD128" s="1143">
        <f>+BB128+BB391+BB496</f>
        <v>19.049454275137258</v>
      </c>
      <c r="BE128" s="1161">
        <f>+BD128/BD121-1</f>
        <v>0</v>
      </c>
      <c r="BF128" s="1166"/>
      <c r="BG128" s="1167"/>
      <c r="BH128" s="1168"/>
      <c r="BI128" s="1157"/>
      <c r="BJ128" s="1158"/>
      <c r="BK128" s="1169"/>
      <c r="BL128" s="1169"/>
      <c r="BM128" s="1169"/>
      <c r="BN128" s="1169"/>
      <c r="BO128" s="1169"/>
      <c r="BP128" s="1169"/>
      <c r="BQ128" s="1169"/>
      <c r="BR128" s="1169">
        <f>+BR129*$BI$7*0.2</f>
        <v>1.7727918530161575</v>
      </c>
      <c r="BS128" s="1169">
        <f>+BS129*$BI$7*0.2</f>
        <v>1.1603728492469396</v>
      </c>
      <c r="BT128" s="1169">
        <f>+BT129*$BI$7</f>
        <v>8.0581447864370794</v>
      </c>
      <c r="BU128" s="1169">
        <f>+BU129*$BI$7</f>
        <v>8.0581447864370794</v>
      </c>
      <c r="BW128" s="1157">
        <f>+SUM(BF128:BU128)</f>
        <v>19.049454275137258</v>
      </c>
    </row>
    <row r="129" spans="1:85" s="114" customFormat="1">
      <c r="B129" s="245" t="s">
        <v>119</v>
      </c>
      <c r="D129" s="368">
        <f>(S129/S122-1)*100</f>
        <v>-1.6738411587053359</v>
      </c>
      <c r="F129" s="1139">
        <f>S125/S129*F125+S126/S129*F126+S127/S129*F127+S128/S129*F128</f>
        <v>-1.0393397317713338</v>
      </c>
      <c r="H129" s="1123">
        <f>D129-F129</f>
        <v>-0.63450142693400213</v>
      </c>
      <c r="K129" s="1063"/>
      <c r="L129" s="1122">
        <f>AVERAGE(L125:L128)</f>
        <v>338</v>
      </c>
      <c r="N129" s="1123">
        <f>(L129/L122-1)*100</f>
        <v>-2.768788205681405</v>
      </c>
      <c r="O129" s="246"/>
      <c r="P129" s="1124"/>
      <c r="Q129" s="310"/>
      <c r="S129" s="1095">
        <f>SUM(S125:S128)</f>
        <v>748.26118827150003</v>
      </c>
      <c r="U129" s="1125">
        <f>SUM(U125:U128)</f>
        <v>2.2118098199553899</v>
      </c>
      <c r="W129" s="1126">
        <f>(U129/U122-1)*100</f>
        <v>0.91912684160497804</v>
      </c>
      <c r="X129" s="246"/>
      <c r="AB129" s="1127">
        <f>AVERAGE(AB125:AB128)</f>
        <v>3238.5499999999993</v>
      </c>
      <c r="AD129" s="1128">
        <f>(Z128/Z121-1)*100</f>
        <v>-6.1108217729589853</v>
      </c>
      <c r="AE129" s="246"/>
      <c r="AF129" s="1124">
        <f>+H129/AD129*100</f>
        <v>10.383242230066932</v>
      </c>
      <c r="AG129" s="310"/>
      <c r="AI129" s="1129">
        <f>SUM(AI125:AI128)</f>
        <v>748.26118827150003</v>
      </c>
      <c r="AK129" s="1097">
        <f>SUM(AK125:AK128)</f>
        <v>230.84698010430833</v>
      </c>
      <c r="AM129" s="1126">
        <f>(AK129/AK122-1)*100</f>
        <v>0.70453624983752849</v>
      </c>
      <c r="AN129" s="246"/>
      <c r="AO129" s="246"/>
      <c r="AP129" s="246"/>
      <c r="AQ129" s="246"/>
      <c r="AR129" s="246"/>
      <c r="AS129" s="1100">
        <f>SUM(AS125:AS128)</f>
        <v>700.1488984849999</v>
      </c>
      <c r="AT129" s="114" t="s">
        <v>718</v>
      </c>
      <c r="AU129" s="1100">
        <f>(AS129/AS122-1)*100</f>
        <v>1.0168797978417743</v>
      </c>
      <c r="AV129" s="1124">
        <f>(AS129/qtrSales!AS185)*100</f>
        <v>70.931290004766595</v>
      </c>
      <c r="AW129" s="114" t="s">
        <v>718</v>
      </c>
      <c r="AX129" s="1075"/>
      <c r="AY129" s="2162">
        <f>SUM(AY125:AY128)</f>
        <v>1448.4100867564998</v>
      </c>
      <c r="AZ129" s="1103">
        <f>AY129/AY122-1</f>
        <v>-3.9130137153566835E-3</v>
      </c>
      <c r="BB129" s="1143">
        <f>SUM(BB125:BB128)</f>
        <v>94.035709165104407</v>
      </c>
      <c r="BC129" s="310"/>
      <c r="BD129" s="1143"/>
      <c r="BF129" s="1170">
        <f>+BF235</f>
        <v>0</v>
      </c>
      <c r="BG129" s="1170">
        <f>BG235</f>
        <v>0</v>
      </c>
      <c r="BH129" s="1170">
        <f>BH235</f>
        <v>0</v>
      </c>
      <c r="BI129" s="246"/>
      <c r="BJ129" s="1158"/>
      <c r="BK129" s="1171"/>
      <c r="BL129" s="1171">
        <f>BL122</f>
        <v>30</v>
      </c>
      <c r="BM129" s="1171">
        <f t="shared" ref="BM129:BS129" si="11">BM122</f>
        <v>17.5</v>
      </c>
      <c r="BN129" s="1171">
        <f t="shared" si="11"/>
        <v>25</v>
      </c>
      <c r="BO129" s="1171">
        <f t="shared" si="11"/>
        <v>15</v>
      </c>
      <c r="BP129" s="1171">
        <f t="shared" si="11"/>
        <v>25</v>
      </c>
      <c r="BQ129" s="1171">
        <f t="shared" si="11"/>
        <v>30</v>
      </c>
      <c r="BR129" s="1171">
        <f t="shared" si="11"/>
        <v>27.5</v>
      </c>
      <c r="BS129" s="1171">
        <f t="shared" si="11"/>
        <v>18</v>
      </c>
      <c r="BT129" s="1174">
        <v>25</v>
      </c>
      <c r="BU129" s="1174">
        <v>25</v>
      </c>
    </row>
    <row r="130" spans="1:85" s="114" customFormat="1">
      <c r="B130" s="245"/>
      <c r="D130" s="1123"/>
      <c r="F130" s="1139"/>
      <c r="H130" s="1123"/>
      <c r="L130" s="1122"/>
      <c r="N130" s="1123"/>
      <c r="O130" s="246"/>
      <c r="P130" s="1124"/>
      <c r="Q130" s="310"/>
      <c r="S130" s="1095"/>
      <c r="U130" s="1125"/>
      <c r="W130" s="1126"/>
      <c r="X130" s="246"/>
      <c r="AB130" s="1127"/>
      <c r="AD130" s="1128"/>
      <c r="AE130" s="246"/>
      <c r="AF130" s="1124"/>
      <c r="AG130" s="310"/>
      <c r="AI130" s="1129"/>
      <c r="AK130" s="1097"/>
      <c r="AM130" s="1126"/>
      <c r="AN130" s="246"/>
      <c r="AO130" s="246"/>
      <c r="AP130" s="246"/>
      <c r="AQ130" s="246"/>
      <c r="AR130" s="246"/>
      <c r="AS130" s="1100"/>
      <c r="AU130" s="1100"/>
      <c r="AV130" s="1124"/>
      <c r="AX130" s="1075"/>
      <c r="AY130" s="1142"/>
      <c r="AZ130" s="1103"/>
      <c r="BB130" s="1143"/>
      <c r="BC130" s="310"/>
      <c r="BD130" s="1143"/>
      <c r="BF130" s="1170"/>
      <c r="BG130" s="1170"/>
      <c r="BH130" s="1170"/>
      <c r="BI130" s="246"/>
      <c r="BJ130" s="1158"/>
      <c r="BK130" s="1171"/>
      <c r="BL130" s="1171"/>
    </row>
    <row r="131" spans="1:85" hidden="1" outlineLevel="1">
      <c r="A131" s="332"/>
      <c r="B131" s="1018"/>
      <c r="C131" s="332"/>
      <c r="D131" s="332"/>
      <c r="E131" s="332"/>
      <c r="F131" s="1139"/>
      <c r="G131" s="332"/>
      <c r="H131" s="332"/>
      <c r="I131" s="332"/>
      <c r="J131" s="332"/>
      <c r="K131" s="332"/>
      <c r="L131" s="332"/>
      <c r="M131" s="332"/>
      <c r="N131" s="332"/>
      <c r="O131" s="1037"/>
      <c r="P131" s="332"/>
      <c r="Q131" s="332"/>
      <c r="R131" s="332"/>
      <c r="S131" s="1037"/>
      <c r="T131" s="332"/>
      <c r="U131" s="1037"/>
      <c r="V131" s="332"/>
      <c r="W131" s="332"/>
      <c r="X131" s="332"/>
      <c r="Y131" s="332"/>
      <c r="Z131" s="332"/>
      <c r="AA131" s="332"/>
      <c r="AB131" s="332"/>
      <c r="AC131" s="332"/>
      <c r="AD131" s="332"/>
      <c r="AE131" s="1037"/>
      <c r="AF131" s="1179"/>
      <c r="AG131" s="332"/>
      <c r="AH131" s="332"/>
      <c r="AI131" s="332"/>
      <c r="AJ131" s="332"/>
      <c r="AK131" s="1037"/>
      <c r="AL131" s="332"/>
      <c r="AM131" s="1037"/>
      <c r="AN131" s="332"/>
      <c r="AO131" s="332"/>
      <c r="AP131" s="332"/>
      <c r="AQ131" s="332"/>
      <c r="AR131" s="332"/>
      <c r="AS131" s="332"/>
      <c r="AT131" s="332"/>
      <c r="AU131" s="332"/>
      <c r="AV131" s="332"/>
      <c r="AW131" s="332"/>
      <c r="AX131" s="332"/>
      <c r="AY131" s="332"/>
      <c r="AZ131" s="1037"/>
      <c r="BA131" s="332"/>
      <c r="BB131" s="332"/>
      <c r="BC131" s="332"/>
      <c r="BD131" s="332"/>
      <c r="BE131" s="332"/>
      <c r="BF131" s="332"/>
      <c r="BG131" s="332"/>
      <c r="BH131" s="332"/>
      <c r="BI131" s="332"/>
      <c r="BJ131" s="332"/>
      <c r="BK131" s="332"/>
      <c r="BL131" s="332"/>
      <c r="BM131" s="332"/>
      <c r="BN131" s="332"/>
      <c r="BO131" s="332"/>
      <c r="BP131" s="332"/>
      <c r="BQ131" s="332"/>
      <c r="BR131" s="332"/>
      <c r="BS131" s="332"/>
      <c r="BT131" s="332"/>
      <c r="BU131" s="332"/>
      <c r="BV131" s="332"/>
      <c r="BW131" s="332"/>
      <c r="BX131" s="332"/>
      <c r="BY131" s="332"/>
      <c r="BZ131" s="332"/>
      <c r="CA131" s="332"/>
      <c r="CB131" s="332"/>
      <c r="CC131" s="332"/>
      <c r="CD131" s="332"/>
      <c r="CE131" s="332"/>
      <c r="CF131" s="332"/>
      <c r="CG131" s="332"/>
    </row>
    <row r="132" spans="1:85" hidden="1" outlineLevel="1">
      <c r="A132" s="328" t="s">
        <v>448</v>
      </c>
      <c r="B132" s="1039"/>
      <c r="C132" s="1040"/>
      <c r="D132" s="1040"/>
      <c r="E132" s="1040"/>
      <c r="F132" s="1139"/>
      <c r="G132" s="1040"/>
      <c r="H132" s="1040"/>
      <c r="I132" s="1040"/>
      <c r="J132" s="1040"/>
      <c r="K132" s="1040"/>
      <c r="L132" s="1040"/>
      <c r="M132" s="1040"/>
      <c r="N132" s="1040"/>
      <c r="O132" s="1041"/>
      <c r="P132" s="1040"/>
      <c r="Q132" s="1040"/>
      <c r="R132" s="1040"/>
      <c r="S132" s="1180"/>
      <c r="T132" s="1040"/>
      <c r="U132" s="1041"/>
      <c r="V132" s="1040"/>
      <c r="W132" s="1040"/>
      <c r="X132" s="1040"/>
      <c r="Y132" s="1040"/>
      <c r="Z132" s="1181"/>
      <c r="AA132" s="1040"/>
      <c r="AB132" s="1040"/>
      <c r="AC132" s="1040"/>
      <c r="AD132" s="1040"/>
      <c r="AE132" s="1041"/>
      <c r="AF132" s="1041"/>
      <c r="AG132" s="1040"/>
      <c r="AH132" s="1040"/>
      <c r="AI132" s="1040"/>
      <c r="AJ132" s="1040"/>
      <c r="AK132" s="1041"/>
      <c r="AL132" s="1040"/>
      <c r="AM132" s="1041"/>
      <c r="AN132" s="1040"/>
      <c r="AO132" s="1040"/>
      <c r="AP132" s="1040"/>
      <c r="AQ132" s="1040"/>
      <c r="AR132" s="1040"/>
      <c r="AS132" s="1040"/>
      <c r="AT132" s="1040"/>
      <c r="AU132" s="1040"/>
      <c r="AV132" s="1040"/>
      <c r="AW132" s="1040"/>
      <c r="AX132" s="1040"/>
      <c r="AY132" s="1040"/>
      <c r="AZ132" s="1041"/>
      <c r="BA132" s="1040"/>
      <c r="BB132" s="1040"/>
      <c r="BC132" s="1040"/>
      <c r="BD132" s="1040"/>
      <c r="BE132" s="1040"/>
      <c r="BF132" s="1040"/>
      <c r="BG132" s="1040"/>
      <c r="BH132" s="1040"/>
      <c r="BI132" s="1040"/>
      <c r="BJ132" s="1040"/>
      <c r="BK132" s="1040"/>
      <c r="BL132" s="1040"/>
      <c r="BM132" s="1040"/>
      <c r="BN132" s="1040"/>
      <c r="BO132" s="1040"/>
      <c r="BP132" s="1040"/>
      <c r="BQ132" s="1040"/>
      <c r="BR132" s="1040"/>
      <c r="BS132" s="1040"/>
      <c r="BT132" s="1040"/>
      <c r="BU132" s="1040"/>
      <c r="BV132" s="1040"/>
      <c r="BW132" s="1040"/>
      <c r="BX132" s="1040"/>
      <c r="BY132" s="1040"/>
      <c r="BZ132" s="1040"/>
      <c r="CA132" s="1040"/>
      <c r="CB132" s="1040"/>
      <c r="CC132" s="1040"/>
      <c r="CD132" s="1040"/>
      <c r="CE132" s="1040"/>
      <c r="CF132" s="1040"/>
      <c r="CG132" s="1040"/>
    </row>
    <row r="133" spans="1:85" hidden="1" outlineLevel="1">
      <c r="A133" s="1043"/>
      <c r="B133" s="1044" t="str">
        <f>B12</f>
        <v>2002A</v>
      </c>
      <c r="E133" s="86"/>
      <c r="F133" s="1139"/>
      <c r="G133" s="86"/>
      <c r="I133" s="86"/>
      <c r="O133" s="86"/>
      <c r="P133" s="97"/>
      <c r="Q133" s="97"/>
      <c r="S133" s="86"/>
      <c r="U133" s="86"/>
      <c r="X133" s="86"/>
      <c r="AE133" s="86"/>
      <c r="AF133" s="199"/>
      <c r="AG133" s="97"/>
      <c r="AK133" s="86"/>
      <c r="AM133" s="86"/>
      <c r="AN133" s="86"/>
      <c r="AO133" s="86"/>
      <c r="AP133" s="86"/>
      <c r="AQ133" s="86"/>
      <c r="AR133" s="86"/>
      <c r="AX133" s="97"/>
      <c r="AZ133" s="86"/>
    </row>
    <row r="134" spans="1:85" hidden="1" outlineLevel="1">
      <c r="A134" s="22" t="s">
        <v>115</v>
      </c>
      <c r="B134" s="200" t="s">
        <v>96</v>
      </c>
      <c r="D134" s="1053"/>
      <c r="E134" s="86" t="s">
        <v>76</v>
      </c>
      <c r="F134" s="1139"/>
      <c r="G134" s="86" t="s">
        <v>76</v>
      </c>
      <c r="H134" s="1053"/>
      <c r="I134" s="86" t="s">
        <v>76</v>
      </c>
      <c r="J134" s="1047">
        <v>153</v>
      </c>
      <c r="L134" s="244">
        <f>J134</f>
        <v>153</v>
      </c>
      <c r="N134" s="1053"/>
      <c r="O134" s="86" t="s">
        <v>76</v>
      </c>
      <c r="P134" s="1054"/>
      <c r="Q134" s="97" t="s">
        <v>76</v>
      </c>
      <c r="S134" s="1050"/>
      <c r="T134" s="1076"/>
      <c r="U134" s="1087"/>
      <c r="W134" s="1082"/>
      <c r="X134" s="86" t="s">
        <v>76</v>
      </c>
      <c r="Z134" s="227">
        <v>683</v>
      </c>
      <c r="AB134" s="1014"/>
      <c r="AD134" s="1045"/>
      <c r="AE134" s="86" t="s">
        <v>76</v>
      </c>
      <c r="AF134" s="1049"/>
      <c r="AG134" s="97" t="s">
        <v>76</v>
      </c>
      <c r="AI134" s="1030"/>
      <c r="AK134" s="1055"/>
      <c r="AM134" s="1052"/>
      <c r="AN134" s="86" t="s">
        <v>76</v>
      </c>
      <c r="AO134" s="86"/>
      <c r="AP134" s="86"/>
      <c r="AQ134" s="86"/>
      <c r="AR134" s="86"/>
      <c r="AX134" s="97"/>
      <c r="AZ134" s="86"/>
    </row>
    <row r="135" spans="1:85" hidden="1" outlineLevel="1">
      <c r="A135" s="22" t="s">
        <v>116</v>
      </c>
      <c r="B135" s="200" t="s">
        <v>97</v>
      </c>
      <c r="D135" s="1053"/>
      <c r="F135" s="1139"/>
      <c r="H135" s="1053"/>
      <c r="J135" s="1047">
        <v>157</v>
      </c>
      <c r="K135" s="1057"/>
      <c r="L135" s="244">
        <f>AVERAGE(J135,J134)</f>
        <v>155</v>
      </c>
      <c r="N135" s="1053"/>
      <c r="O135" s="86"/>
      <c r="P135" s="1054"/>
      <c r="Q135" s="97"/>
      <c r="S135" s="1058"/>
      <c r="T135" s="1076"/>
      <c r="U135" s="1087"/>
      <c r="W135" s="1082"/>
      <c r="X135" s="86"/>
      <c r="Z135" s="227">
        <v>701</v>
      </c>
      <c r="AA135" s="1057"/>
      <c r="AB135" s="1014">
        <f>AVERAGE(Z135,Z134)</f>
        <v>692</v>
      </c>
      <c r="AD135" s="1045"/>
      <c r="AE135" s="86"/>
      <c r="AF135" s="1049"/>
      <c r="AG135" s="97"/>
      <c r="AI135" s="1059"/>
      <c r="AK135" s="1060"/>
      <c r="AM135" s="1052"/>
      <c r="AN135" s="86"/>
      <c r="AO135" s="86"/>
      <c r="AP135" s="86"/>
      <c r="AQ135" s="86"/>
      <c r="AR135" s="86"/>
      <c r="AX135" s="97"/>
      <c r="AZ135" s="86"/>
    </row>
    <row r="136" spans="1:85" hidden="1" outlineLevel="1">
      <c r="A136" s="22" t="s">
        <v>117</v>
      </c>
      <c r="B136" s="200" t="s">
        <v>99</v>
      </c>
      <c r="D136" s="1053"/>
      <c r="F136" s="1139"/>
      <c r="H136" s="1053"/>
      <c r="J136" s="1047">
        <v>158</v>
      </c>
      <c r="K136" s="1057"/>
      <c r="L136" s="244">
        <f>AVERAGE(J136,J135)</f>
        <v>157.5</v>
      </c>
      <c r="N136" s="1053"/>
      <c r="O136" s="86"/>
      <c r="P136" s="1054"/>
      <c r="Q136" s="97"/>
      <c r="S136" s="1058"/>
      <c r="T136" s="1076"/>
      <c r="U136" s="1087"/>
      <c r="W136" s="1082"/>
      <c r="X136" s="86"/>
      <c r="Z136" s="227">
        <v>705</v>
      </c>
      <c r="AA136" s="1057"/>
      <c r="AB136" s="1014">
        <f>AVERAGE(Z136,Z135)</f>
        <v>703</v>
      </c>
      <c r="AD136" s="1045"/>
      <c r="AE136" s="86"/>
      <c r="AF136" s="1049"/>
      <c r="AG136" s="97"/>
      <c r="AI136" s="1059"/>
      <c r="AK136" s="1060"/>
      <c r="AM136" s="1052"/>
      <c r="AN136" s="86"/>
      <c r="AO136" s="86"/>
      <c r="AP136" s="86"/>
      <c r="AQ136" s="86"/>
      <c r="AR136" s="86"/>
      <c r="AX136" s="97"/>
      <c r="AZ136" s="86"/>
    </row>
    <row r="137" spans="1:85" hidden="1" outlineLevel="1">
      <c r="A137" s="22" t="s">
        <v>118</v>
      </c>
      <c r="B137" s="200" t="s">
        <v>100</v>
      </c>
      <c r="D137" s="1069"/>
      <c r="F137" s="1139"/>
      <c r="H137" s="1069"/>
      <c r="J137" s="1063">
        <f>squft!AY23</f>
        <v>164</v>
      </c>
      <c r="K137" s="39"/>
      <c r="L137" s="1070">
        <f>AVERAGE(J137,J136)</f>
        <v>161</v>
      </c>
      <c r="N137" s="1069"/>
      <c r="O137" s="86"/>
      <c r="P137" s="1070"/>
      <c r="Q137" s="97"/>
      <c r="S137" s="1065"/>
      <c r="T137" s="1076"/>
      <c r="U137" s="1184"/>
      <c r="W137" s="1185"/>
      <c r="X137" s="86"/>
      <c r="Z137" s="865">
        <f>squft!BA23</f>
        <v>727</v>
      </c>
      <c r="AA137" s="39"/>
      <c r="AB137" s="1068">
        <f>AVERAGE(Z137,Z136)</f>
        <v>716</v>
      </c>
      <c r="AD137" s="1061"/>
      <c r="AE137" s="86"/>
      <c r="AF137" s="1064"/>
      <c r="AG137" s="97"/>
      <c r="AI137" s="1071"/>
      <c r="AK137" s="1072"/>
      <c r="AM137" s="1067"/>
      <c r="AN137" s="86"/>
      <c r="AO137" s="86"/>
      <c r="AP137" s="86"/>
      <c r="AQ137" s="86"/>
      <c r="AR137" s="86"/>
      <c r="AS137" s="1073"/>
      <c r="AT137" s="1042"/>
      <c r="AU137" s="373"/>
      <c r="AV137" s="1064"/>
      <c r="AX137" s="97"/>
      <c r="AZ137" s="86"/>
    </row>
    <row r="138" spans="1:85" hidden="1" outlineLevel="1">
      <c r="B138" s="200" t="s">
        <v>119</v>
      </c>
      <c r="D138" s="1053"/>
      <c r="F138" s="1139"/>
      <c r="H138" s="1053"/>
      <c r="L138" s="244">
        <f>AVERAGE(L134:L137)</f>
        <v>156.625</v>
      </c>
      <c r="N138" s="1053"/>
      <c r="O138" s="86"/>
      <c r="P138" s="1054"/>
      <c r="Q138" s="97"/>
      <c r="S138" s="1186">
        <f>AY138-AS138</f>
        <v>200.09607920000002</v>
      </c>
      <c r="T138" s="1076"/>
      <c r="U138" s="1087">
        <f>S138/L138</f>
        <v>1.2775487897845172</v>
      </c>
      <c r="W138" s="1082"/>
      <c r="X138" s="86"/>
      <c r="AB138" s="1014"/>
      <c r="AD138" s="1019"/>
      <c r="AE138" s="86"/>
      <c r="AF138" s="1049"/>
      <c r="AG138" s="97"/>
      <c r="AI138" s="1030">
        <f>S138</f>
        <v>200.09607920000002</v>
      </c>
      <c r="AK138" s="1187">
        <v>286</v>
      </c>
      <c r="AM138" s="1052"/>
      <c r="AN138" s="86"/>
      <c r="AO138" s="86"/>
      <c r="AP138" s="86"/>
      <c r="AQ138" s="86"/>
      <c r="AR138" s="86"/>
      <c r="AS138" s="1078">
        <f>qtrSales!AS73*(SegqtrSales!AV138/100)</f>
        <v>7.4409208000000007</v>
      </c>
      <c r="AT138" s="114" t="s">
        <v>718</v>
      </c>
      <c r="AU138" s="1078"/>
      <c r="AV138" s="1049">
        <f>100-AV17-AV240</f>
        <v>10</v>
      </c>
      <c r="AW138" s="114" t="s">
        <v>718</v>
      </c>
      <c r="AX138" s="1075"/>
      <c r="AY138" s="1080">
        <v>207.53700000000001</v>
      </c>
      <c r="AZ138" s="86"/>
    </row>
    <row r="139" spans="1:85" hidden="1" outlineLevel="1">
      <c r="B139" s="200"/>
      <c r="D139" s="114"/>
      <c r="E139" s="114"/>
      <c r="F139" s="1139"/>
      <c r="G139" s="114"/>
      <c r="O139" s="86"/>
      <c r="S139" s="86"/>
      <c r="U139" s="86"/>
      <c r="AB139" s="1083"/>
      <c r="AE139" s="86"/>
      <c r="AF139" s="86"/>
      <c r="AK139" s="199"/>
      <c r="AM139" s="86"/>
      <c r="AX139" s="97"/>
      <c r="AZ139" s="86"/>
    </row>
    <row r="140" spans="1:85" hidden="1" outlineLevel="1">
      <c r="A140" s="1043"/>
      <c r="B140" s="1044" t="s">
        <v>258</v>
      </c>
      <c r="E140" s="86"/>
      <c r="F140" s="1139"/>
      <c r="G140" s="86"/>
      <c r="I140" s="86"/>
      <c r="O140" s="86"/>
      <c r="P140" s="97"/>
      <c r="Q140" s="97"/>
      <c r="S140" s="86"/>
      <c r="U140" s="86"/>
      <c r="X140" s="86"/>
      <c r="AE140" s="86"/>
      <c r="AF140" s="199"/>
      <c r="AG140" s="97"/>
      <c r="AK140" s="86"/>
      <c r="AM140" s="86"/>
      <c r="AN140" s="86"/>
      <c r="AO140" s="86"/>
      <c r="AP140" s="86"/>
      <c r="AQ140" s="86"/>
      <c r="AR140" s="86"/>
      <c r="AX140" s="97"/>
      <c r="AZ140" s="86"/>
    </row>
    <row r="141" spans="1:85" hidden="1" outlineLevel="1">
      <c r="A141" s="22" t="s">
        <v>115</v>
      </c>
      <c r="B141" s="200" t="s">
        <v>96</v>
      </c>
      <c r="D141" s="1045" t="s">
        <v>251</v>
      </c>
      <c r="E141" s="86" t="s">
        <v>76</v>
      </c>
      <c r="F141" s="1139"/>
      <c r="G141" s="86" t="s">
        <v>76</v>
      </c>
      <c r="H141" s="1094" t="s">
        <v>251</v>
      </c>
      <c r="I141" s="86" t="s">
        <v>76</v>
      </c>
      <c r="J141" s="1047">
        <v>165</v>
      </c>
      <c r="L141" s="1048">
        <f>AVERAGE(J141,J137)</f>
        <v>164.5</v>
      </c>
      <c r="N141" s="1088">
        <f>(L141/L134-1)*100</f>
        <v>7.5163398692810413</v>
      </c>
      <c r="O141" s="86" t="s">
        <v>76</v>
      </c>
      <c r="P141" s="1188" t="s">
        <v>251</v>
      </c>
      <c r="Q141" s="97" t="s">
        <v>76</v>
      </c>
      <c r="S141" s="1095">
        <f>AY141-AS141</f>
        <v>40.436731879999996</v>
      </c>
      <c r="T141" s="22" t="s">
        <v>718</v>
      </c>
      <c r="U141" s="1087">
        <f>S141/L141</f>
        <v>0.2458159992705167</v>
      </c>
      <c r="W141" s="1086" t="s">
        <v>251</v>
      </c>
      <c r="X141" s="86" t="s">
        <v>76</v>
      </c>
      <c r="Z141" s="227">
        <v>731</v>
      </c>
      <c r="AB141" s="1014">
        <f>AVERAGE(Z141,Z137)</f>
        <v>729</v>
      </c>
      <c r="AD141" s="1086">
        <f>(Z141/Z134-1)*100</f>
        <v>7.0278184480234263</v>
      </c>
      <c r="AE141" s="86" t="s">
        <v>76</v>
      </c>
      <c r="AF141" s="1188" t="s">
        <v>251</v>
      </c>
      <c r="AG141" s="97" t="s">
        <v>76</v>
      </c>
      <c r="AI141" s="1030">
        <f>+S141</f>
        <v>40.436731879999996</v>
      </c>
      <c r="AK141" s="1055">
        <f>AI141/AB141*1000</f>
        <v>55.468768010973932</v>
      </c>
      <c r="AM141" s="1086" t="s">
        <v>251</v>
      </c>
      <c r="AN141" s="86" t="s">
        <v>76</v>
      </c>
      <c r="AO141" s="86"/>
      <c r="AP141" s="86"/>
      <c r="AQ141" s="86"/>
      <c r="AR141" s="86"/>
      <c r="AS141" s="1078">
        <f>qtrSales!AS$76*(AV141/100)</f>
        <v>2.9332681199999997</v>
      </c>
      <c r="AT141" s="114" t="s">
        <v>718</v>
      </c>
      <c r="AU141" s="86" t="s">
        <v>251</v>
      </c>
      <c r="AV141" s="1049">
        <f>100-AV20-AV243</f>
        <v>18</v>
      </c>
      <c r="AW141" s="114" t="s">
        <v>718</v>
      </c>
      <c r="AX141" s="1075"/>
      <c r="AY141" s="1081">
        <v>43.37</v>
      </c>
      <c r="AZ141" s="1045"/>
    </row>
    <row r="142" spans="1:85" hidden="1" outlineLevel="1">
      <c r="A142" s="22" t="s">
        <v>116</v>
      </c>
      <c r="B142" s="200" t="s">
        <v>97</v>
      </c>
      <c r="D142" s="1045" t="s">
        <v>251</v>
      </c>
      <c r="F142" s="1139"/>
      <c r="H142" s="1094" t="s">
        <v>251</v>
      </c>
      <c r="J142" s="1047">
        <v>167</v>
      </c>
      <c r="K142" s="1057"/>
      <c r="L142" s="1048">
        <f>AVERAGE(J142,J141)</f>
        <v>166</v>
      </c>
      <c r="N142" s="1088">
        <f>(L142/L135-1)*100</f>
        <v>7.0967741935483941</v>
      </c>
      <c r="O142" s="86"/>
      <c r="P142" s="1188" t="s">
        <v>251</v>
      </c>
      <c r="Q142" s="97"/>
      <c r="S142" s="1089">
        <f>AY142-AS142</f>
        <v>35.918676099999999</v>
      </c>
      <c r="T142" s="22" t="s">
        <v>718</v>
      </c>
      <c r="U142" s="1090">
        <f>S142/L142</f>
        <v>0.21637756686746987</v>
      </c>
      <c r="W142" s="1086" t="s">
        <v>251</v>
      </c>
      <c r="X142" s="86"/>
      <c r="Z142" s="227">
        <v>739</v>
      </c>
      <c r="AA142" s="1057"/>
      <c r="AB142" s="1014">
        <f>AVERAGE(Z142,Z141)</f>
        <v>735</v>
      </c>
      <c r="AD142" s="1086">
        <f>(Z142/Z135-1)*100</f>
        <v>5.4208273894436498</v>
      </c>
      <c r="AE142" s="86"/>
      <c r="AF142" s="1188" t="s">
        <v>251</v>
      </c>
      <c r="AG142" s="97"/>
      <c r="AI142" s="1059">
        <f>+S142</f>
        <v>35.918676099999999</v>
      </c>
      <c r="AK142" s="1060">
        <f>AI142/AB142*1000</f>
        <v>48.868947074829933</v>
      </c>
      <c r="AM142" s="1086" t="s">
        <v>251</v>
      </c>
      <c r="AN142" s="86"/>
      <c r="AO142" s="86"/>
      <c r="AP142" s="86"/>
      <c r="AQ142" s="86"/>
      <c r="AR142" s="86"/>
      <c r="AS142" s="1078">
        <f>qtrSales!AS$77*(AV142/100)</f>
        <v>2.8813238999999999</v>
      </c>
      <c r="AT142" s="114" t="s">
        <v>718</v>
      </c>
      <c r="AU142" s="86" t="s">
        <v>251</v>
      </c>
      <c r="AV142" s="1049">
        <f>100-AV21-AV244</f>
        <v>18</v>
      </c>
      <c r="AW142" s="114" t="s">
        <v>718</v>
      </c>
      <c r="AX142" s="1075"/>
      <c r="AY142" s="1091">
        <v>38.799999999999997</v>
      </c>
      <c r="AZ142" s="1045"/>
    </row>
    <row r="143" spans="1:85" hidden="1" outlineLevel="1">
      <c r="A143" s="22" t="s">
        <v>117</v>
      </c>
      <c r="B143" s="200" t="s">
        <v>99</v>
      </c>
      <c r="D143" s="1045" t="s">
        <v>251</v>
      </c>
      <c r="F143" s="1139"/>
      <c r="H143" s="1094" t="s">
        <v>251</v>
      </c>
      <c r="J143" s="1047">
        <v>170</v>
      </c>
      <c r="K143" s="1057"/>
      <c r="L143" s="1048">
        <f>AVERAGE(J143,J142)</f>
        <v>168.5</v>
      </c>
      <c r="N143" s="1088">
        <f>(L143/L136-1)*100</f>
        <v>6.9841269841269815</v>
      </c>
      <c r="O143" s="86"/>
      <c r="P143" s="1188" t="s">
        <v>251</v>
      </c>
      <c r="Q143" s="97"/>
      <c r="S143" s="1089">
        <f>AY143-AS143</f>
        <v>54.77</v>
      </c>
      <c r="T143" s="22" t="s">
        <v>718</v>
      </c>
      <c r="U143" s="1090">
        <f>S143/L143</f>
        <v>0.32504451038575671</v>
      </c>
      <c r="W143" s="1086" t="s">
        <v>251</v>
      </c>
      <c r="X143" s="86"/>
      <c r="Z143" s="227">
        <v>753</v>
      </c>
      <c r="AA143" s="1057"/>
      <c r="AB143" s="1014">
        <f>AVERAGE(Z143,Z142)</f>
        <v>746</v>
      </c>
      <c r="AD143" s="1086">
        <f>(Z143/Z136-1)*100</f>
        <v>6.8085106382978822</v>
      </c>
      <c r="AE143" s="86"/>
      <c r="AF143" s="1188" t="s">
        <v>251</v>
      </c>
      <c r="AG143" s="97"/>
      <c r="AI143" s="1059">
        <f>+S143</f>
        <v>54.77</v>
      </c>
      <c r="AK143" s="1060">
        <f>AI143/AB143*1000</f>
        <v>73.41823056300268</v>
      </c>
      <c r="AM143" s="1086" t="s">
        <v>251</v>
      </c>
      <c r="AN143" s="86"/>
      <c r="AO143" s="86"/>
      <c r="AP143" s="86"/>
      <c r="AQ143" s="86"/>
      <c r="AR143" s="86"/>
      <c r="AS143" s="1078">
        <f>qtrSales!AS$78*(AV143/100)</f>
        <v>2.4300000000000002</v>
      </c>
      <c r="AT143" s="114" t="s">
        <v>718</v>
      </c>
      <c r="AU143" s="86" t="s">
        <v>251</v>
      </c>
      <c r="AV143" s="1049">
        <f>100-AV22-AV245</f>
        <v>10</v>
      </c>
      <c r="AW143" s="114" t="s">
        <v>718</v>
      </c>
      <c r="AX143" s="1075"/>
      <c r="AY143" s="1091">
        <v>57.2</v>
      </c>
      <c r="AZ143" s="1045"/>
    </row>
    <row r="144" spans="1:85" hidden="1" outlineLevel="1">
      <c r="A144" s="22" t="s">
        <v>118</v>
      </c>
      <c r="B144" s="200" t="s">
        <v>100</v>
      </c>
      <c r="D144" s="1061" t="s">
        <v>251</v>
      </c>
      <c r="F144" s="1139"/>
      <c r="H144" s="1104" t="s">
        <v>251</v>
      </c>
      <c r="J144" s="1063">
        <f>squft!BC23</f>
        <v>171</v>
      </c>
      <c r="K144" s="39"/>
      <c r="L144" s="1064">
        <f>AVERAGE(J144,J143)</f>
        <v>170.5</v>
      </c>
      <c r="N144" s="1061">
        <f>(L144/L137-1)*100</f>
        <v>5.9006211180124168</v>
      </c>
      <c r="O144" s="86"/>
      <c r="P144" s="1189" t="s">
        <v>251</v>
      </c>
      <c r="Q144" s="97"/>
      <c r="S144" s="1092">
        <f>AY144-AS144</f>
        <v>69.801000000000002</v>
      </c>
      <c r="T144" s="22" t="s">
        <v>718</v>
      </c>
      <c r="U144" s="1093">
        <f>S144/L144</f>
        <v>0.40939002932551322</v>
      </c>
      <c r="W144" s="1062" t="s">
        <v>251</v>
      </c>
      <c r="X144" s="86"/>
      <c r="Z144" s="865">
        <f>squft!BE23</f>
        <v>753.4</v>
      </c>
      <c r="AA144" s="39"/>
      <c r="AB144" s="1068">
        <f>AVERAGE(Z144,Z143)</f>
        <v>753.2</v>
      </c>
      <c r="AD144" s="1062">
        <f>(Z144/Z137-1)*100</f>
        <v>3.6313617606602344</v>
      </c>
      <c r="AE144" s="86"/>
      <c r="AF144" s="1189" t="s">
        <v>251</v>
      </c>
      <c r="AG144" s="97"/>
      <c r="AI144" s="1071">
        <f>+S144</f>
        <v>69.801000000000002</v>
      </c>
      <c r="AK144" s="1072">
        <f>AI144/AB144*1000</f>
        <v>92.672596919808811</v>
      </c>
      <c r="AM144" s="1062" t="s">
        <v>251</v>
      </c>
      <c r="AN144" s="86"/>
      <c r="AO144" s="86"/>
      <c r="AP144" s="86"/>
      <c r="AQ144" s="86"/>
      <c r="AR144" s="86"/>
      <c r="AS144" s="1073">
        <f>qtrSales!AS79*(AV144/100)</f>
        <v>3.105</v>
      </c>
      <c r="AT144" s="1042" t="s">
        <v>718</v>
      </c>
      <c r="AU144" s="373" t="s">
        <v>251</v>
      </c>
      <c r="AV144" s="1064">
        <f>100-AV23-AV246</f>
        <v>9</v>
      </c>
      <c r="AW144" s="1042" t="s">
        <v>718</v>
      </c>
      <c r="AX144" s="1075"/>
      <c r="AY144" s="1065">
        <f>AY145-SUM(AY141:AY143)</f>
        <v>72.906000000000006</v>
      </c>
      <c r="AZ144" s="1061"/>
    </row>
    <row r="145" spans="1:85" hidden="1" outlineLevel="1">
      <c r="B145" s="200" t="s">
        <v>119</v>
      </c>
      <c r="D145" s="1045">
        <f>(S145/S138-1)*100</f>
        <v>0.41496504245346344</v>
      </c>
      <c r="F145" s="1139"/>
      <c r="H145" s="1094">
        <f>D145-F145</f>
        <v>0.41496504245346344</v>
      </c>
      <c r="L145" s="1048">
        <f>AVERAGE(L141:L144)</f>
        <v>167.375</v>
      </c>
      <c r="N145" s="1045">
        <f>(L145/L138-1)*100</f>
        <v>6.8635275339185897</v>
      </c>
      <c r="O145" s="86"/>
      <c r="P145" s="1096">
        <f>H145/N145*100</f>
        <v>6.0459441650487218</v>
      </c>
      <c r="Q145" s="97"/>
      <c r="S145" s="1095">
        <f>SUM(S141:S144)</f>
        <v>200.92640798000002</v>
      </c>
      <c r="T145" s="22" t="s">
        <v>718</v>
      </c>
      <c r="U145" s="1087">
        <f>S145/L145</f>
        <v>1.2004565077221809</v>
      </c>
      <c r="W145" s="1094">
        <f>(U145/U138-1)*100</f>
        <v>-6.0343904419759458</v>
      </c>
      <c r="X145" s="86"/>
      <c r="AB145" s="1014">
        <f>AVERAGE(AB141:AB144)</f>
        <v>740.8</v>
      </c>
      <c r="AD145" s="1094">
        <f>Z144/Z137-1</f>
        <v>3.6313617606602344E-2</v>
      </c>
      <c r="AE145" s="86"/>
      <c r="AF145" s="1096" t="s">
        <v>444</v>
      </c>
      <c r="AG145" s="97"/>
      <c r="AI145" s="1030">
        <f>SUM(AI141:AI144)</f>
        <v>200.92640798000002</v>
      </c>
      <c r="AK145" s="1097">
        <f>SUM(AK141:AK144)</f>
        <v>270.42854256861534</v>
      </c>
      <c r="AM145" s="1094">
        <f>(AK145/AK138-1)*100</f>
        <v>-5.4445655354491862</v>
      </c>
      <c r="AN145" s="86"/>
      <c r="AO145" s="86"/>
      <c r="AP145" s="86"/>
      <c r="AQ145" s="86"/>
      <c r="AR145" s="86"/>
      <c r="AS145" s="1078">
        <f>SUM(AS141:AS144)</f>
        <v>11.349592019999999</v>
      </c>
      <c r="AT145" s="114" t="s">
        <v>718</v>
      </c>
      <c r="AU145" s="1078">
        <f>(AS145/AS138-1)*100</f>
        <v>52.529402275051737</v>
      </c>
      <c r="AV145" s="1049">
        <f>(AS145/qtrSales!AS$80)*100</f>
        <v>12.457938834678076</v>
      </c>
      <c r="AW145" s="114" t="s">
        <v>718</v>
      </c>
      <c r="AX145" s="1075"/>
      <c r="AY145" s="1080">
        <v>212.27600000000001</v>
      </c>
      <c r="AZ145" s="1019"/>
    </row>
    <row r="146" spans="1:85" hidden="1" outlineLevel="1">
      <c r="B146" s="200"/>
      <c r="D146" s="246"/>
      <c r="E146" s="114"/>
      <c r="F146" s="1139"/>
      <c r="G146" s="114"/>
      <c r="H146" s="86"/>
      <c r="L146" s="86"/>
      <c r="N146" s="86"/>
      <c r="O146" s="86"/>
      <c r="P146" s="1096"/>
      <c r="S146" s="86"/>
      <c r="U146" s="86"/>
      <c r="W146" s="1094"/>
      <c r="AB146" s="1083"/>
      <c r="AD146" s="1094"/>
      <c r="AE146" s="86"/>
      <c r="AF146" s="1096"/>
      <c r="AK146" s="86"/>
      <c r="AM146" s="1094"/>
      <c r="AX146" s="97"/>
      <c r="AZ146" s="86"/>
    </row>
    <row r="147" spans="1:85" hidden="1" outlineLevel="1">
      <c r="A147" s="1043"/>
      <c r="B147" s="1044" t="str">
        <f>B26</f>
        <v>2004A</v>
      </c>
      <c r="D147" s="86"/>
      <c r="E147" s="86"/>
      <c r="F147" s="1139"/>
      <c r="G147" s="86"/>
      <c r="H147" s="86"/>
      <c r="I147" s="86"/>
      <c r="L147" s="86"/>
      <c r="N147" s="86"/>
      <c r="O147" s="86"/>
      <c r="P147" s="1188"/>
      <c r="Q147" s="97"/>
      <c r="S147" s="1190"/>
      <c r="U147" s="86"/>
      <c r="W147" s="1086"/>
      <c r="X147" s="86"/>
      <c r="AD147" s="1086"/>
      <c r="AE147" s="86"/>
      <c r="AF147" s="1188"/>
      <c r="AG147" s="97"/>
      <c r="AK147" s="86"/>
      <c r="AM147" s="1086"/>
      <c r="AN147" s="86"/>
      <c r="AO147" s="86"/>
      <c r="AP147" s="86"/>
      <c r="AQ147" s="86"/>
      <c r="AR147" s="86"/>
      <c r="AX147" s="97"/>
      <c r="AZ147" s="86"/>
    </row>
    <row r="148" spans="1:85" hidden="1" outlineLevel="1">
      <c r="A148" s="22" t="s">
        <v>115</v>
      </c>
      <c r="B148" s="200" t="s">
        <v>96</v>
      </c>
      <c r="D148" s="1045">
        <f>(S148/S141-1)*100</f>
        <v>7.9088391700159466</v>
      </c>
      <c r="E148" s="86" t="s">
        <v>76</v>
      </c>
      <c r="F148" s="1139"/>
      <c r="G148" s="86" t="s">
        <v>76</v>
      </c>
      <c r="H148" s="1094">
        <f>D148-F148</f>
        <v>7.9088391700159466</v>
      </c>
      <c r="I148" s="86" t="s">
        <v>76</v>
      </c>
      <c r="J148" s="1047">
        <v>170</v>
      </c>
      <c r="L148" s="1048">
        <f>AVERAGE(J148,J144)</f>
        <v>170.5</v>
      </c>
      <c r="N148" s="1088">
        <f>(L148/L141-1)*100</f>
        <v>3.6474164133738496</v>
      </c>
      <c r="O148" s="86" t="s">
        <v>76</v>
      </c>
      <c r="P148" s="1096">
        <f>H148/N148*100</f>
        <v>216.83400724460449</v>
      </c>
      <c r="Q148" s="97" t="s">
        <v>76</v>
      </c>
      <c r="S148" s="1050">
        <f>AY148-AS148</f>
        <v>43.634807969999763</v>
      </c>
      <c r="U148" s="1087">
        <f>S148/L148</f>
        <v>0.25592262739002791</v>
      </c>
      <c r="W148" s="1094">
        <f>(U148/U141-1)*100</f>
        <v>4.1114606654992558</v>
      </c>
      <c r="X148" s="86" t="s">
        <v>76</v>
      </c>
      <c r="Z148" s="227">
        <v>750</v>
      </c>
      <c r="AB148" s="1014">
        <f>AVERAGE(Z148,Z144)</f>
        <v>751.7</v>
      </c>
      <c r="AD148" s="1094">
        <f>(Z148/Z141-1)*100</f>
        <v>2.5991792065663377</v>
      </c>
      <c r="AE148" s="86" t="s">
        <v>76</v>
      </c>
      <c r="AF148" s="1096">
        <f>+H148/AD148*100</f>
        <v>304.28218069903573</v>
      </c>
      <c r="AG148" s="97" t="s">
        <v>76</v>
      </c>
      <c r="AI148" s="1030">
        <f>+S148</f>
        <v>43.634807969999763</v>
      </c>
      <c r="AK148" s="1055">
        <f>AI148/AB148*1000</f>
        <v>58.048168112278518</v>
      </c>
      <c r="AM148" s="1094">
        <f>(AK148/AK141-1)*100</f>
        <v>4.6501845881889325</v>
      </c>
      <c r="AN148" s="86" t="s">
        <v>76</v>
      </c>
      <c r="AO148" s="86"/>
      <c r="AP148" s="86"/>
      <c r="AQ148" s="86"/>
      <c r="AR148" s="86"/>
      <c r="AS148" s="1078">
        <f>qtrSales!AS$83*(AV148/100)</f>
        <v>2.7931920300002355</v>
      </c>
      <c r="AT148" s="114" t="s">
        <v>718</v>
      </c>
      <c r="AU148" s="1078">
        <f>(AS148/AS141-1)*100</f>
        <v>-4.7754274164260258</v>
      </c>
      <c r="AV148" s="1049">
        <f>100-AV27-AV250</f>
        <v>10.620502015210022</v>
      </c>
      <c r="AW148" s="114" t="s">
        <v>718</v>
      </c>
      <c r="AX148" s="1075"/>
      <c r="AY148" s="1081">
        <v>46.427999999999997</v>
      </c>
      <c r="AZ148" s="1019">
        <f>AY148/AY141-1</f>
        <v>7.0509568826377711E-2</v>
      </c>
    </row>
    <row r="149" spans="1:85" hidden="1" outlineLevel="1">
      <c r="A149" s="22" t="s">
        <v>116</v>
      </c>
      <c r="B149" s="200" t="s">
        <v>97</v>
      </c>
      <c r="D149" s="1045">
        <f>(S149/S142-1)*100</f>
        <v>14.942154006617336</v>
      </c>
      <c r="F149" s="1139"/>
      <c r="H149" s="1094">
        <f>D149-F149</f>
        <v>14.942154006617336</v>
      </c>
      <c r="J149" s="1047">
        <v>171</v>
      </c>
      <c r="K149" s="1057"/>
      <c r="L149" s="1048">
        <f>AVERAGE(J149,J148)</f>
        <v>170.5</v>
      </c>
      <c r="N149" s="1088">
        <f>(L149/L142-1)*100</f>
        <v>2.7108433734939652</v>
      </c>
      <c r="O149" s="86"/>
      <c r="P149" s="1096">
        <f>H149/N149*100</f>
        <v>551.19945891077509</v>
      </c>
      <c r="Q149" s="97"/>
      <c r="S149" s="1058">
        <f>AY149-AS149</f>
        <v>41.285700000000055</v>
      </c>
      <c r="U149" s="1090">
        <f>S149/L149</f>
        <v>0.24214486803519095</v>
      </c>
      <c r="W149" s="1094">
        <f>(U149/U142-1)*100</f>
        <v>11.908490117879644</v>
      </c>
      <c r="X149" s="86"/>
      <c r="Z149" s="227">
        <v>755</v>
      </c>
      <c r="AA149" s="1057"/>
      <c r="AB149" s="1014">
        <f>AVERAGE(Z149,Z148)</f>
        <v>752.5</v>
      </c>
      <c r="AD149" s="1094">
        <f>(Z149/Z142-1)*100</f>
        <v>2.1650879566982306</v>
      </c>
      <c r="AE149" s="86"/>
      <c r="AF149" s="1096">
        <f>+H149/AD149*100</f>
        <v>690.14073818064151</v>
      </c>
      <c r="AG149" s="97"/>
      <c r="AI149" s="1059">
        <f>+S149</f>
        <v>41.285700000000055</v>
      </c>
      <c r="AK149" s="1060">
        <f>AI149/AB149*1000</f>
        <v>54.864717607973496</v>
      </c>
      <c r="AM149" s="1094">
        <f>(AK149/AK142-1)*100</f>
        <v>12.26908065762624</v>
      </c>
      <c r="AN149" s="86"/>
      <c r="AO149" s="86"/>
      <c r="AP149" s="86"/>
      <c r="AQ149" s="86"/>
      <c r="AR149" s="86"/>
      <c r="AS149" s="1191">
        <f>qtrSales!AS$84*(AV149/100)</f>
        <v>0.26129999999993997</v>
      </c>
      <c r="AT149" s="1192" t="s">
        <v>718</v>
      </c>
      <c r="AU149" s="1191">
        <f>(AS149/AS142-1)*100</f>
        <v>-90.931252123374946</v>
      </c>
      <c r="AV149" s="1193">
        <f>100-AV28-AV251</f>
        <v>1.1511013215856387</v>
      </c>
      <c r="AW149" s="1192" t="s">
        <v>718</v>
      </c>
      <c r="AX149" s="1194"/>
      <c r="AY149" s="1195">
        <v>41.546999999999997</v>
      </c>
      <c r="AZ149" s="1196">
        <f>AY149/AY142-1</f>
        <v>7.0798969072164875E-2</v>
      </c>
    </row>
    <row r="150" spans="1:85" hidden="1" outlineLevel="1">
      <c r="A150" s="22" t="s">
        <v>117</v>
      </c>
      <c r="B150" s="200" t="s">
        <v>99</v>
      </c>
      <c r="D150" s="1045">
        <f>(S150/S143-1)*100</f>
        <v>3.2043089282453918</v>
      </c>
      <c r="F150" s="1139"/>
      <c r="H150" s="1094">
        <f>D150-F150</f>
        <v>3.2043089282453918</v>
      </c>
      <c r="J150" s="1047">
        <v>174</v>
      </c>
      <c r="K150" s="1057"/>
      <c r="L150" s="1048">
        <f>AVERAGE(J150,J149)</f>
        <v>172.5</v>
      </c>
      <c r="N150" s="1088">
        <f>(L150/L143-1)*100</f>
        <v>2.3738872403560762</v>
      </c>
      <c r="O150" s="86"/>
      <c r="P150" s="1096">
        <f>H150/N150*100</f>
        <v>134.98151360233751</v>
      </c>
      <c r="Q150" s="97"/>
      <c r="S150" s="1058">
        <f>AY150-AS150</f>
        <v>56.524999999999999</v>
      </c>
      <c r="T150" s="1076"/>
      <c r="U150" s="1090">
        <f>S150/L150</f>
        <v>0.32768115942028986</v>
      </c>
      <c r="W150" s="1094">
        <f>(U150/U143-1)*100</f>
        <v>0.81116553280780046</v>
      </c>
      <c r="X150" s="86"/>
      <c r="Z150" s="227">
        <v>767</v>
      </c>
      <c r="AA150" s="1057"/>
      <c r="AB150" s="1014">
        <f>AVERAGE(Z150,Z149)</f>
        <v>761</v>
      </c>
      <c r="AD150" s="1094">
        <f>(Z150/Z143-1)*100</f>
        <v>1.8592297476759612</v>
      </c>
      <c r="AE150" s="86"/>
      <c r="AF150" s="1096">
        <f>+H150/AD150*100</f>
        <v>172.34604449777015</v>
      </c>
      <c r="AG150" s="97"/>
      <c r="AI150" s="1059">
        <f>+S150</f>
        <v>56.524999999999999</v>
      </c>
      <c r="AK150" s="1060">
        <f>AI150/AB150*1000</f>
        <v>74.277266754270698</v>
      </c>
      <c r="AM150" s="1094">
        <f>(AK150/AK143-1)*100</f>
        <v>1.1700584237464673</v>
      </c>
      <c r="AN150" s="86"/>
      <c r="AO150" s="86"/>
      <c r="AP150" s="86"/>
      <c r="AQ150" s="86"/>
      <c r="AR150" s="86"/>
      <c r="AS150" s="1078">
        <f>qtrSales!AS$85*(AV150/100)</f>
        <v>4.74</v>
      </c>
      <c r="AT150" s="114" t="s">
        <v>718</v>
      </c>
      <c r="AU150" s="1197" t="s">
        <v>444</v>
      </c>
      <c r="AV150" s="1049">
        <f>100-AV29-AV252</f>
        <v>15</v>
      </c>
      <c r="AW150" s="114" t="s">
        <v>718</v>
      </c>
      <c r="AX150" s="1075"/>
      <c r="AY150" s="1091">
        <v>61.265000000000001</v>
      </c>
      <c r="AZ150" s="1019">
        <f>AY150/AY143-1</f>
        <v>7.1066433566433496E-2</v>
      </c>
    </row>
    <row r="151" spans="1:85" hidden="1" outlineLevel="1">
      <c r="A151" s="22" t="s">
        <v>118</v>
      </c>
      <c r="B151" s="200" t="s">
        <v>100</v>
      </c>
      <c r="D151" s="1061">
        <f>(S151/S144-1)*100</f>
        <v>-9.0256586581860532E-2</v>
      </c>
      <c r="F151" s="1139"/>
      <c r="H151" s="1104">
        <f>D151-F151</f>
        <v>-9.0256586581860532E-2</v>
      </c>
      <c r="J151" s="1063">
        <f>squft!BG23</f>
        <v>171</v>
      </c>
      <c r="K151" s="39"/>
      <c r="L151" s="1064">
        <f>AVERAGE(J151,J150)</f>
        <v>172.5</v>
      </c>
      <c r="N151" s="1061">
        <f>(L151/L144-1)*100</f>
        <v>1.1730205278592365</v>
      </c>
      <c r="O151" s="86"/>
      <c r="P151" s="1105">
        <f>H151/N151*100</f>
        <v>-7.694374006103617</v>
      </c>
      <c r="Q151" s="97"/>
      <c r="S151" s="1065">
        <f>AY151-AS151</f>
        <v>69.738</v>
      </c>
      <c r="T151" s="1076"/>
      <c r="U151" s="1093">
        <f>S151/L151</f>
        <v>0.4042782608695652</v>
      </c>
      <c r="W151" s="1104">
        <f>(U151/U144-1)*100</f>
        <v>-1.2486304232591783</v>
      </c>
      <c r="X151" s="86"/>
      <c r="Z151" s="865">
        <f>squft!BI23</f>
        <v>752</v>
      </c>
      <c r="AA151" s="39"/>
      <c r="AB151" s="1068">
        <f>AVERAGE(Z151,Z150)</f>
        <v>759.5</v>
      </c>
      <c r="AD151" s="1104">
        <f>(Z151/Z144-1)*100</f>
        <v>-0.18582426333952906</v>
      </c>
      <c r="AE151" s="86"/>
      <c r="AF151" s="1105">
        <f>+H151/AD151*100</f>
        <v>48.570937379123677</v>
      </c>
      <c r="AG151" s="97"/>
      <c r="AI151" s="1071">
        <f>+S151</f>
        <v>69.738</v>
      </c>
      <c r="AK151" s="1072">
        <f>AI151/AB151*1000</f>
        <v>91.820934825543134</v>
      </c>
      <c r="AM151" s="1104">
        <f>(AK151/AK144-1)*100</f>
        <v>-0.91900100199268087</v>
      </c>
      <c r="AN151" s="86"/>
      <c r="AO151" s="86"/>
      <c r="AP151" s="86"/>
      <c r="AQ151" s="86"/>
      <c r="AR151" s="86"/>
      <c r="AS151" s="1073">
        <f>qtrSales!AS$86*(AV151/100)</f>
        <v>8.2259999999999973</v>
      </c>
      <c r="AT151" s="1042" t="s">
        <v>718</v>
      </c>
      <c r="AU151" s="1073">
        <f>(AS151/AS144-1)*100</f>
        <v>164.92753623188398</v>
      </c>
      <c r="AV151" s="1064">
        <f>100-AV30-AV253</f>
        <v>18</v>
      </c>
      <c r="AW151" s="1042" t="s">
        <v>718</v>
      </c>
      <c r="AX151" s="1075"/>
      <c r="AY151" s="1065">
        <f>AY152-SUM(AY148:AY150)</f>
        <v>77.963999999999999</v>
      </c>
      <c r="AZ151" s="309">
        <f>AY151/AY144-1</f>
        <v>6.9377006007735886E-2</v>
      </c>
    </row>
    <row r="152" spans="1:85" hidden="1" outlineLevel="1">
      <c r="B152" s="200" t="s">
        <v>119</v>
      </c>
      <c r="D152" s="1045">
        <f>(S152/S145-1)*100</f>
        <v>5.1049038765580201</v>
      </c>
      <c r="F152" s="1139"/>
      <c r="H152" s="1094">
        <f>D152-F152</f>
        <v>5.1049038765580201</v>
      </c>
      <c r="L152" s="1048">
        <f>AVERAGE(L148:L151)</f>
        <v>171.5</v>
      </c>
      <c r="N152" s="1045">
        <f>(L152/L145-1)*100</f>
        <v>2.4645257654966501</v>
      </c>
      <c r="O152" s="86"/>
      <c r="P152" s="1096">
        <f>H152/N152*100</f>
        <v>207.13534214276237</v>
      </c>
      <c r="Q152" s="97"/>
      <c r="S152" s="1095">
        <f>SUM(S148:S151)</f>
        <v>211.18350796999982</v>
      </c>
      <c r="U152" s="1087">
        <f>SUM(U148:U151)</f>
        <v>1.2300269157150741</v>
      </c>
      <c r="W152" s="1094">
        <f>(U152/U145-1)*100</f>
        <v>2.463263583701325</v>
      </c>
      <c r="X152" s="86"/>
      <c r="AB152" s="1014">
        <f>AVERAGE(AB148:AB151)</f>
        <v>756.17499999999995</v>
      </c>
      <c r="AD152" s="1094">
        <f>Z151/Z144-1</f>
        <v>-1.8582426333952906E-3</v>
      </c>
      <c r="AE152" s="86"/>
      <c r="AF152" s="1096" t="s">
        <v>444</v>
      </c>
      <c r="AG152" s="97"/>
      <c r="AI152" s="1030">
        <f>SUM(AI148:AI151)</f>
        <v>211.18350796999982</v>
      </c>
      <c r="AK152" s="1097">
        <f>SUM(AK148:AK151)</f>
        <v>279.01108730006581</v>
      </c>
      <c r="AM152" s="1094">
        <f>(AK152/AK145-1)*100</f>
        <v>3.1736830180463693</v>
      </c>
      <c r="AN152" s="86"/>
      <c r="AO152" s="86"/>
      <c r="AP152" s="86"/>
      <c r="AQ152" s="86"/>
      <c r="AR152" s="86"/>
      <c r="AS152" s="1078">
        <f>SUM(AS148:AS151)</f>
        <v>16.020492030000174</v>
      </c>
      <c r="AT152" s="114" t="s">
        <v>718</v>
      </c>
      <c r="AU152" s="1078">
        <f>(AS152/AS145-1)*100</f>
        <v>41.154783376963834</v>
      </c>
      <c r="AV152" s="1049">
        <f>(AS152/qtrSales!AS$87)*100</f>
        <v>12.684475083135533</v>
      </c>
      <c r="AW152" s="114" t="s">
        <v>718</v>
      </c>
      <c r="AX152" s="1075"/>
      <c r="AY152" s="1080">
        <v>227.20400000000001</v>
      </c>
      <c r="AZ152" s="1019">
        <f>AY152/AY145-1</f>
        <v>7.0323541050330673E-2</v>
      </c>
    </row>
    <row r="153" spans="1:85" hidden="1" outlineLevel="1">
      <c r="B153" s="200"/>
      <c r="D153" s="246"/>
      <c r="E153" s="114"/>
      <c r="F153" s="1139"/>
      <c r="G153" s="114"/>
      <c r="H153" s="86"/>
      <c r="L153" s="86"/>
      <c r="N153" s="86"/>
      <c r="O153" s="86"/>
      <c r="P153" s="1188"/>
      <c r="S153" s="86"/>
      <c r="U153" s="86"/>
      <c r="W153" s="1086"/>
      <c r="AD153" s="1086"/>
      <c r="AE153" s="86"/>
      <c r="AF153" s="1188"/>
      <c r="AK153" s="86"/>
      <c r="AM153" s="1086"/>
      <c r="AX153" s="97"/>
      <c r="AZ153" s="86"/>
    </row>
    <row r="154" spans="1:85" hidden="1" outlineLevel="1">
      <c r="A154" s="1043"/>
      <c r="B154" s="1044" t="str">
        <f>B33</f>
        <v>2005A</v>
      </c>
      <c r="D154" s="86"/>
      <c r="E154" s="86"/>
      <c r="F154" s="1139"/>
      <c r="G154" s="86"/>
      <c r="H154" s="86"/>
      <c r="I154" s="86"/>
      <c r="L154" s="86"/>
      <c r="N154" s="86"/>
      <c r="O154" s="86"/>
      <c r="P154" s="1188"/>
      <c r="Q154" s="97"/>
      <c r="S154" s="86"/>
      <c r="U154" s="86"/>
      <c r="W154" s="1086"/>
      <c r="X154" s="86"/>
      <c r="AD154" s="1086"/>
      <c r="AE154" s="86"/>
      <c r="AF154" s="1188"/>
      <c r="AG154" s="97"/>
      <c r="AK154" s="86"/>
      <c r="AM154" s="1086"/>
      <c r="AN154" s="86"/>
      <c r="AO154" s="86"/>
      <c r="AP154" s="86"/>
      <c r="AQ154" s="86"/>
      <c r="AR154" s="86"/>
      <c r="AX154" s="97"/>
      <c r="AZ154" s="86"/>
    </row>
    <row r="155" spans="1:85" hidden="1" outlineLevel="1">
      <c r="A155" s="22" t="s">
        <v>115</v>
      </c>
      <c r="B155" s="200" t="s">
        <v>96</v>
      </c>
      <c r="D155" s="1088">
        <f>(S155/S148-1)*100</f>
        <v>37.921605662562754</v>
      </c>
      <c r="E155" s="86" t="s">
        <v>76</v>
      </c>
      <c r="F155" s="1139"/>
      <c r="G155" s="86" t="s">
        <v>76</v>
      </c>
      <c r="H155" s="1094">
        <f>D155-F155</f>
        <v>37.921605662562754</v>
      </c>
      <c r="I155" s="86" t="s">
        <v>76</v>
      </c>
      <c r="J155" s="1047">
        <v>167</v>
      </c>
      <c r="L155" s="1048">
        <f>AVERAGE(J155,J151)</f>
        <v>169</v>
      </c>
      <c r="N155" s="1094">
        <f>(L155/L148-1)*100</f>
        <v>-0.87976539589442737</v>
      </c>
      <c r="O155" s="86" t="s">
        <v>76</v>
      </c>
      <c r="P155" s="1096">
        <f>H155/N155*100</f>
        <v>-4310.422510311304</v>
      </c>
      <c r="Q155" s="97" t="s">
        <v>76</v>
      </c>
      <c r="S155" s="1050">
        <f>AY155-AS155</f>
        <v>60.18182777999958</v>
      </c>
      <c r="U155" s="1087">
        <f>S155/L155</f>
        <v>0.35610548982248275</v>
      </c>
      <c r="W155" s="1094">
        <f>(U155/U148-1)*100</f>
        <v>39.145761925839963</v>
      </c>
      <c r="X155" s="86" t="s">
        <v>76</v>
      </c>
      <c r="Z155" s="227">
        <v>740</v>
      </c>
      <c r="AB155" s="1014">
        <f>AVERAGE(Z155,Z151)</f>
        <v>746</v>
      </c>
      <c r="AD155" s="1094">
        <f>(Z155/Z148-1)*100</f>
        <v>-1.3333333333333308</v>
      </c>
      <c r="AE155" s="86" t="s">
        <v>76</v>
      </c>
      <c r="AF155" s="1096">
        <f>+H155/AD155*100</f>
        <v>-2844.1204246922121</v>
      </c>
      <c r="AG155" s="97" t="s">
        <v>76</v>
      </c>
      <c r="AI155" s="1030">
        <f>+S155</f>
        <v>60.18182777999958</v>
      </c>
      <c r="AK155" s="1055">
        <f>AI155/AB155*1000</f>
        <v>80.672691394101307</v>
      </c>
      <c r="AM155" s="1094">
        <f>(AK155/AK148-1)*100</f>
        <v>38.975430263469725</v>
      </c>
      <c r="AN155" s="86" t="s">
        <v>76</v>
      </c>
      <c r="AO155" s="86"/>
      <c r="AP155" s="86"/>
      <c r="AQ155" s="86"/>
      <c r="AR155" s="86"/>
      <c r="AS155" s="1078">
        <f>qtrSales!AS$90*(AV155/100)</f>
        <v>2.8301722200004185</v>
      </c>
      <c r="AT155" s="114" t="s">
        <v>718</v>
      </c>
      <c r="AU155" s="1078">
        <f>(AS155/AS148-1)*100</f>
        <v>1.3239401230920711</v>
      </c>
      <c r="AV155" s="1049">
        <f>100-AV34-AV257</f>
        <v>8.9562412025329685</v>
      </c>
      <c r="AW155" s="114" t="s">
        <v>718</v>
      </c>
      <c r="AX155" s="1075"/>
      <c r="AY155" s="1081">
        <v>63.012</v>
      </c>
      <c r="AZ155" s="1019">
        <f>AY155/AY148-1</f>
        <v>0.35719824243990694</v>
      </c>
    </row>
    <row r="156" spans="1:85" hidden="1" outlineLevel="1">
      <c r="A156" s="22" t="s">
        <v>116</v>
      </c>
      <c r="B156" s="200" t="s">
        <v>97</v>
      </c>
      <c r="D156" s="1088">
        <f>(S156/S149-1)*100</f>
        <v>44.986036327347989</v>
      </c>
      <c r="F156" s="1139"/>
      <c r="H156" s="1094">
        <f>D156-F156</f>
        <v>44.986036327347989</v>
      </c>
      <c r="J156" s="1047">
        <v>163</v>
      </c>
      <c r="K156" s="1057"/>
      <c r="L156" s="1048">
        <f>AVERAGE(J156,J155)</f>
        <v>165</v>
      </c>
      <c r="N156" s="1094">
        <f>(L156/L149-1)*100</f>
        <v>-3.2258064516129004</v>
      </c>
      <c r="O156" s="86"/>
      <c r="P156" s="1096">
        <f>H156/N156*100</f>
        <v>-1394.5671261477889</v>
      </c>
      <c r="Q156" s="97"/>
      <c r="S156" s="1058">
        <f>AY156-AS156</f>
        <v>59.858499999999992</v>
      </c>
      <c r="U156" s="1090">
        <f>S156/L156</f>
        <v>0.36277878787878781</v>
      </c>
      <c r="W156" s="1094">
        <f>(U156/U149-1)*100</f>
        <v>49.818904204926248</v>
      </c>
      <c r="X156" s="86"/>
      <c r="Z156" s="1047">
        <v>714</v>
      </c>
      <c r="AA156" s="1057"/>
      <c r="AB156" s="1014">
        <f>AVERAGE(Z156,Z155)</f>
        <v>727</v>
      </c>
      <c r="AD156" s="1094">
        <f>(Z156/Z149-1)*100</f>
        <v>-5.4304635761589388</v>
      </c>
      <c r="AE156" s="86"/>
      <c r="AF156" s="1096">
        <f>+H156/AD156*100</f>
        <v>-828.40140066214008</v>
      </c>
      <c r="AG156" s="97"/>
      <c r="AI156" s="1059">
        <f>+S156</f>
        <v>59.858499999999992</v>
      </c>
      <c r="AK156" s="1106">
        <f>AI156/AB156*1000</f>
        <v>82.336313617606592</v>
      </c>
      <c r="AM156" s="1094">
        <f>(AK156/AK149-1)*100</f>
        <v>50.07151628105828</v>
      </c>
      <c r="AN156" s="86"/>
      <c r="AO156" s="86"/>
      <c r="AP156" s="86"/>
      <c r="AQ156" s="86"/>
      <c r="AR156" s="86"/>
      <c r="AS156" s="1078">
        <f>qtrSales!AS$91*(AV156/100)</f>
        <v>2.9750000000000001</v>
      </c>
      <c r="AT156" s="114" t="s">
        <v>718</v>
      </c>
      <c r="AU156" s="1078">
        <f>(AS156/AS149-1)*100</f>
        <v>1038.5380788368479</v>
      </c>
      <c r="AV156" s="1049">
        <f>100-AV35-AV258</f>
        <v>12.5</v>
      </c>
      <c r="AW156" s="114" t="s">
        <v>718</v>
      </c>
      <c r="AX156" s="1075"/>
      <c r="AY156" s="1091">
        <v>62.833499999999994</v>
      </c>
      <c r="AZ156" s="1019">
        <f>AY156/AY149-1</f>
        <v>0.5123474619106072</v>
      </c>
    </row>
    <row r="157" spans="1:85" hidden="1" outlineLevel="1">
      <c r="A157" s="22" t="s">
        <v>117</v>
      </c>
      <c r="B157" s="200" t="s">
        <v>99</v>
      </c>
      <c r="D157" s="1088">
        <f>(S157/S150-1)*100</f>
        <v>63.104820875718694</v>
      </c>
      <c r="F157" s="1139"/>
      <c r="H157" s="1094">
        <f>D157-F157</f>
        <v>63.104820875718694</v>
      </c>
      <c r="J157" s="1047">
        <v>163</v>
      </c>
      <c r="K157" s="1057"/>
      <c r="L157" s="1048">
        <f>AVERAGE(J157,J156)</f>
        <v>163</v>
      </c>
      <c r="N157" s="1094">
        <f>(L157/L150-1)*100</f>
        <v>-5.507246376811592</v>
      </c>
      <c r="O157" s="86"/>
      <c r="P157" s="1096">
        <f>H157/N157*100</f>
        <v>-1145.8506948485767</v>
      </c>
      <c r="Q157" s="97"/>
      <c r="S157" s="1058">
        <f>AY157-AS157</f>
        <v>92.194999999999993</v>
      </c>
      <c r="U157" s="1090">
        <f>S157/L157</f>
        <v>0.56561349693251528</v>
      </c>
      <c r="W157" s="1094">
        <f>(U157/U150-1)*100</f>
        <v>72.610930067861815</v>
      </c>
      <c r="X157" s="86"/>
      <c r="Z157" s="1047">
        <v>713</v>
      </c>
      <c r="AA157" s="1057"/>
      <c r="AB157" s="1014">
        <f>AVERAGE(Z157,Z156)</f>
        <v>713.5</v>
      </c>
      <c r="AD157" s="1094">
        <f>(Z157/Z150-1)*100</f>
        <v>-7.0404172099087337</v>
      </c>
      <c r="AE157" s="86"/>
      <c r="AF157" s="1096">
        <f>+H157/AD157*100</f>
        <v>-896.32217799400462</v>
      </c>
      <c r="AG157" s="97"/>
      <c r="AI157" s="1059">
        <f>+S157</f>
        <v>92.194999999999993</v>
      </c>
      <c r="AK157" s="1060">
        <f>AI157/AB157*1000</f>
        <v>129.21513665031534</v>
      </c>
      <c r="AM157" s="1094">
        <f>(AK157/AK150-1)*100</f>
        <v>73.963235720283009</v>
      </c>
      <c r="AN157" s="86"/>
      <c r="AO157" s="86"/>
      <c r="AP157" s="86"/>
      <c r="AQ157" s="86"/>
      <c r="AR157" s="86"/>
      <c r="AS157" s="1078">
        <f>qtrSales!AS$92*(AV157/100)</f>
        <v>4.6049999999999995</v>
      </c>
      <c r="AT157" s="114" t="s">
        <v>718</v>
      </c>
      <c r="AU157" s="1078">
        <f>(AS157/AS150-1)*100</f>
        <v>-2.8481012658228</v>
      </c>
      <c r="AV157" s="1049">
        <f>100-AV36-AV259</f>
        <v>15</v>
      </c>
      <c r="AW157" s="114" t="s">
        <v>718</v>
      </c>
      <c r="AX157" s="1075"/>
      <c r="AY157" s="1091">
        <v>96.8</v>
      </c>
      <c r="AZ157" s="1019">
        <f>AY157/AY150-1</f>
        <v>0.58002121929323436</v>
      </c>
    </row>
    <row r="158" spans="1:85" hidden="1" outlineLevel="1">
      <c r="A158" s="114" t="s">
        <v>118</v>
      </c>
      <c r="B158" s="245" t="s">
        <v>100</v>
      </c>
      <c r="C158" s="114"/>
      <c r="D158" s="1107">
        <f>(S158/S151-1)*100</f>
        <v>67.616650893343675</v>
      </c>
      <c r="E158" s="114"/>
      <c r="F158" s="1139"/>
      <c r="G158" s="114"/>
      <c r="H158" s="1104">
        <f>D158-F158</f>
        <v>67.616650893343675</v>
      </c>
      <c r="I158" s="114"/>
      <c r="J158" s="1063">
        <f>squft!BK23</f>
        <v>164</v>
      </c>
      <c r="K158" s="1057"/>
      <c r="L158" s="1108">
        <f>AVERAGE(J158,J157)</f>
        <v>163.5</v>
      </c>
      <c r="M158" s="114"/>
      <c r="N158" s="1104">
        <f>(L158/L151-1)*100</f>
        <v>-5.2173913043478297</v>
      </c>
      <c r="O158" s="246"/>
      <c r="P158" s="1189">
        <f>H158/N158*100</f>
        <v>-1295.9858087890861</v>
      </c>
      <c r="Q158" s="310"/>
      <c r="R158" s="114"/>
      <c r="S158" s="1092">
        <f>AY158-AS158</f>
        <v>116.89250000000001</v>
      </c>
      <c r="T158" s="1109"/>
      <c r="U158" s="1093">
        <f>S158/L158</f>
        <v>0.7149388379204894</v>
      </c>
      <c r="V158" s="114"/>
      <c r="W158" s="1104">
        <f>(U158/U151-1)*100</f>
        <v>76.843255529674522</v>
      </c>
      <c r="X158" s="246"/>
      <c r="Y158" s="114"/>
      <c r="Z158" s="1063">
        <f>squft!BM23</f>
        <v>716</v>
      </c>
      <c r="AA158" s="1057"/>
      <c r="AB158" s="1110">
        <f>AVERAGE(Z158,Z157)</f>
        <v>714.5</v>
      </c>
      <c r="AC158" s="114"/>
      <c r="AD158" s="1104">
        <f>(Z158/Z151-1)*100</f>
        <v>-4.7872340425531901</v>
      </c>
      <c r="AE158" s="246"/>
      <c r="AF158" s="1105">
        <f>+H158/AD158*100</f>
        <v>-1412.436707549846</v>
      </c>
      <c r="AG158" s="310"/>
      <c r="AH158" s="114"/>
      <c r="AI158" s="1111">
        <f>+S158</f>
        <v>116.89250000000001</v>
      </c>
      <c r="AJ158" s="114"/>
      <c r="AK158" s="1072">
        <f>AI158/AB158*1000</f>
        <v>163.60041987403781</v>
      </c>
      <c r="AL158" s="114"/>
      <c r="AM158" s="1104">
        <f>(AK158/AK151-1)*100</f>
        <v>78.17333289502379</v>
      </c>
      <c r="AN158" s="246"/>
      <c r="AO158" s="246"/>
      <c r="AP158" s="246"/>
      <c r="AQ158" s="246"/>
      <c r="AR158" s="246"/>
      <c r="AS158" s="1073">
        <f>qtrSales!AS$93*(AV158/100)</f>
        <v>5.3999999999999986</v>
      </c>
      <c r="AT158" s="1042" t="s">
        <v>718</v>
      </c>
      <c r="AU158" s="1073">
        <f>(AS158/AS151-1)*100</f>
        <v>-34.354485776805241</v>
      </c>
      <c r="AV158" s="1064">
        <f>100-AV37-AV260</f>
        <v>10</v>
      </c>
      <c r="AW158" s="1042" t="s">
        <v>718</v>
      </c>
      <c r="AX158" s="1075"/>
      <c r="AY158" s="1065">
        <f>AY159-SUM(AY155:AY157)</f>
        <v>122.29250000000002</v>
      </c>
      <c r="AZ158" s="309">
        <f>AY158/AY151-1</f>
        <v>0.56857652249756319</v>
      </c>
      <c r="BA158" s="114"/>
      <c r="BC158" s="114"/>
      <c r="BD158" s="114"/>
      <c r="BE158" s="114"/>
      <c r="BF158" s="114"/>
      <c r="BG158" s="114"/>
      <c r="BH158" s="114"/>
      <c r="BI158" s="114"/>
      <c r="BJ158" s="114"/>
      <c r="BK158" s="114"/>
      <c r="BL158" s="114"/>
      <c r="BM158" s="114"/>
      <c r="BN158" s="114"/>
      <c r="BO158" s="114"/>
      <c r="BP158" s="114"/>
      <c r="BQ158" s="114"/>
      <c r="BR158" s="114"/>
      <c r="BS158" s="114"/>
      <c r="BT158" s="114"/>
      <c r="BU158" s="114"/>
      <c r="BV158" s="114"/>
      <c r="BW158" s="114"/>
      <c r="BX158" s="114"/>
      <c r="BY158" s="114"/>
      <c r="BZ158" s="114"/>
      <c r="CA158" s="114"/>
      <c r="CB158" s="114"/>
      <c r="CC158" s="114"/>
      <c r="CD158" s="114"/>
      <c r="CE158" s="114"/>
      <c r="CF158" s="114"/>
      <c r="CG158" s="114"/>
    </row>
    <row r="159" spans="1:85" hidden="1" outlineLevel="1">
      <c r="B159" s="200" t="s">
        <v>119</v>
      </c>
      <c r="D159" s="1045">
        <f>(S159/S152-1)*100</f>
        <v>55.849209506811803</v>
      </c>
      <c r="F159" s="1139"/>
      <c r="H159" s="1094">
        <f>D159-F159</f>
        <v>55.849209506811803</v>
      </c>
      <c r="L159" s="1048">
        <f>AVERAGE(L155:L158)</f>
        <v>165.125</v>
      </c>
      <c r="N159" s="1094">
        <f>(L159/L152-1)*100</f>
        <v>-3.7172011661807614</v>
      </c>
      <c r="O159" s="86"/>
      <c r="P159" s="1096">
        <f>H159/N159*100</f>
        <v>-1502.4532439871712</v>
      </c>
      <c r="Q159" s="97"/>
      <c r="S159" s="1050">
        <f>SUM(S155:S158)</f>
        <v>329.12782777999962</v>
      </c>
      <c r="U159" s="1087">
        <f>SUM(U155:U158)</f>
        <v>1.9994366125542751</v>
      </c>
      <c r="W159" s="1052">
        <f>(U159/U152-1)*100</f>
        <v>62.552265077216298</v>
      </c>
      <c r="X159" s="86"/>
      <c r="AB159" s="1014">
        <f>AVERAGE(AB155:AB158)</f>
        <v>725.25</v>
      </c>
      <c r="AD159" s="1094">
        <f>Z158/Z151-1</f>
        <v>-4.7872340425531901E-2</v>
      </c>
      <c r="AE159" s="86"/>
      <c r="AF159" s="1094" t="s">
        <v>444</v>
      </c>
      <c r="AG159" s="97"/>
      <c r="AI159" s="1030">
        <f>SUM(AI155:AI158)</f>
        <v>329.12782777999962</v>
      </c>
      <c r="AK159" s="1097">
        <f>SUM(AK155:AK158)</f>
        <v>455.82456153606108</v>
      </c>
      <c r="AM159" s="1094">
        <f>(AK159/AK152-1)*100</f>
        <v>63.371486755950698</v>
      </c>
      <c r="AN159" s="86"/>
      <c r="AO159" s="86"/>
      <c r="AP159" s="86"/>
      <c r="AQ159" s="86"/>
      <c r="AR159" s="86"/>
      <c r="AS159" s="1078">
        <f>SUM(AS155:AS158)</f>
        <v>15.810172220000418</v>
      </c>
      <c r="AT159" s="114" t="s">
        <v>718</v>
      </c>
      <c r="AU159" s="1078">
        <f>(AS159/AS152-1)*100</f>
        <v>-1.3128174191273878</v>
      </c>
      <c r="AV159" s="1049">
        <f>(AS159/qtrSales!AS$94)*100</f>
        <v>11.284919500357187</v>
      </c>
      <c r="AW159" s="114" t="s">
        <v>718</v>
      </c>
      <c r="AX159" s="1075"/>
      <c r="AY159" s="1080">
        <v>344.93799999999999</v>
      </c>
      <c r="AZ159" s="1019">
        <f>AY159/AY152-1</f>
        <v>0.51818629953697992</v>
      </c>
    </row>
    <row r="160" spans="1:85" hidden="1" outlineLevel="1">
      <c r="B160" s="200"/>
      <c r="D160" s="1053"/>
      <c r="F160" s="1139"/>
      <c r="H160" s="1094"/>
      <c r="L160" s="1048"/>
      <c r="N160" s="1053"/>
      <c r="O160" s="86"/>
      <c r="P160" s="1049"/>
      <c r="Q160" s="97"/>
      <c r="S160" s="1050"/>
      <c r="U160" s="1087"/>
      <c r="W160" s="1082"/>
      <c r="X160" s="86"/>
      <c r="AB160" s="1083"/>
      <c r="AD160" s="1053"/>
      <c r="AE160" s="86"/>
      <c r="AF160" s="1049"/>
      <c r="AG160" s="97"/>
      <c r="AI160" s="1030"/>
      <c r="AK160" s="1055"/>
      <c r="AM160" s="1052"/>
      <c r="AN160" s="86"/>
      <c r="AO160" s="86"/>
      <c r="AP160" s="86"/>
      <c r="AQ160" s="86"/>
      <c r="AR160" s="86"/>
      <c r="AX160" s="97"/>
      <c r="AZ160" s="86"/>
    </row>
    <row r="161" spans="1:85" hidden="1" outlineLevel="1">
      <c r="A161" s="1043"/>
      <c r="B161" s="1113">
        <v>2006</v>
      </c>
      <c r="E161" s="86"/>
      <c r="F161" s="1139"/>
      <c r="G161" s="86"/>
      <c r="I161" s="86"/>
      <c r="L161" s="86"/>
      <c r="O161" s="86"/>
      <c r="P161" s="97"/>
      <c r="Q161" s="97"/>
      <c r="S161" s="86"/>
      <c r="U161" s="86"/>
      <c r="X161" s="86"/>
      <c r="AE161" s="86"/>
      <c r="AF161" s="199"/>
      <c r="AG161" s="97"/>
      <c r="AK161" s="86"/>
      <c r="AM161" s="86"/>
      <c r="AN161" s="86"/>
      <c r="AO161" s="86"/>
      <c r="AP161" s="86"/>
      <c r="AQ161" s="86"/>
      <c r="AR161" s="86"/>
      <c r="AX161" s="97"/>
      <c r="AZ161" s="86"/>
    </row>
    <row r="162" spans="1:85" hidden="1" outlineLevel="1">
      <c r="A162" s="22" t="s">
        <v>115</v>
      </c>
      <c r="B162" s="200" t="s">
        <v>96</v>
      </c>
      <c r="D162" s="1088">
        <f>(S162/S155-1)*100</f>
        <v>29.175205984414411</v>
      </c>
      <c r="E162" s="86" t="s">
        <v>76</v>
      </c>
      <c r="F162" s="1139"/>
      <c r="G162" s="86" t="s">
        <v>76</v>
      </c>
      <c r="H162" s="1094">
        <f>D162-F162</f>
        <v>29.175205984414411</v>
      </c>
      <c r="I162" s="86" t="s">
        <v>76</v>
      </c>
      <c r="J162" s="1047">
        <v>161</v>
      </c>
      <c r="L162" s="1048">
        <f>AVERAGE(J162,J158)</f>
        <v>162.5</v>
      </c>
      <c r="N162" s="1094">
        <f>(L162/L155-1)*100</f>
        <v>-3.8461538461538436</v>
      </c>
      <c r="O162" s="86" t="s">
        <v>76</v>
      </c>
      <c r="P162" s="1096">
        <f>H162/N162*100</f>
        <v>-758.55535559477516</v>
      </c>
      <c r="Q162" s="97" t="s">
        <v>76</v>
      </c>
      <c r="S162" s="1050">
        <f>AY162-AS162</f>
        <v>77.739999999999995</v>
      </c>
      <c r="U162" s="1087">
        <f>S162/L162</f>
        <v>0.47839999999999999</v>
      </c>
      <c r="W162" s="1094">
        <f>(U162/U155-1)*100</f>
        <v>34.342214223791004</v>
      </c>
      <c r="X162" s="86" t="s">
        <v>76</v>
      </c>
      <c r="Z162" s="227">
        <v>704</v>
      </c>
      <c r="AB162" s="1014">
        <f>AVERAGE(Z162,Z158)</f>
        <v>710</v>
      </c>
      <c r="AD162" s="1094">
        <f>(Z162/Z155-1)*100</f>
        <v>-4.8648648648648596</v>
      </c>
      <c r="AE162" s="86" t="s">
        <v>76</v>
      </c>
      <c r="AF162" s="1049">
        <f>+H162/AD162*100</f>
        <v>-599.712567457408</v>
      </c>
      <c r="AG162" s="97" t="s">
        <v>76</v>
      </c>
      <c r="AI162" s="1030">
        <f>+S162</f>
        <v>77.739999999999995</v>
      </c>
      <c r="AK162" s="1055">
        <f>AI162/AB162*1000</f>
        <v>109.49295774647887</v>
      </c>
      <c r="AM162" s="1094">
        <f>(AK162/AK155-1)*100</f>
        <v>35.724934738553756</v>
      </c>
      <c r="AN162" s="86" t="s">
        <v>76</v>
      </c>
      <c r="AO162" s="86"/>
      <c r="AP162" s="86"/>
      <c r="AQ162" s="86"/>
      <c r="AR162" s="86"/>
      <c r="AS162" s="1078">
        <f>qtrSales!AS$97*(AV162/100)</f>
        <v>1.7599999999999998</v>
      </c>
      <c r="AT162" s="114" t="s">
        <v>718</v>
      </c>
      <c r="AU162" s="1197" t="s">
        <v>444</v>
      </c>
      <c r="AV162" s="1049">
        <f>100-AV41-AV264</f>
        <v>5</v>
      </c>
      <c r="AW162" s="114" t="s">
        <v>718</v>
      </c>
      <c r="AX162" s="1075"/>
      <c r="AY162" s="1081">
        <v>79.5</v>
      </c>
      <c r="AZ162" s="1019">
        <f>AY162/AY155-1</f>
        <v>0.26166444486764417</v>
      </c>
    </row>
    <row r="163" spans="1:85" hidden="1" outlineLevel="1">
      <c r="A163" s="22" t="s">
        <v>116</v>
      </c>
      <c r="B163" s="200" t="s">
        <v>97</v>
      </c>
      <c r="D163" s="1088">
        <f>(S163/S156-1)*100</f>
        <v>16.177318175363588</v>
      </c>
      <c r="F163" s="1139"/>
      <c r="H163" s="1094">
        <f>D163-F163</f>
        <v>16.177318175363588</v>
      </c>
      <c r="J163" s="1047">
        <v>164</v>
      </c>
      <c r="K163" s="1057"/>
      <c r="L163" s="1048">
        <f>AVERAGE(J163,J162)</f>
        <v>162.5</v>
      </c>
      <c r="N163" s="1094">
        <f>(L163/L156-1)*100</f>
        <v>-1.5151515151515138</v>
      </c>
      <c r="O163" s="86"/>
      <c r="P163" s="1096">
        <f>H163/N163*100</f>
        <v>-1067.7029995739977</v>
      </c>
      <c r="Q163" s="97"/>
      <c r="S163" s="1058">
        <f>AY163-AS163</f>
        <v>69.542000000000002</v>
      </c>
      <c r="U163" s="1090">
        <f>S163/L163</f>
        <v>0.42795076923076925</v>
      </c>
      <c r="W163" s="1094">
        <f>(U163/U156-1)*100</f>
        <v>17.964661531907655</v>
      </c>
      <c r="X163" s="86"/>
      <c r="Z163" s="227">
        <v>719</v>
      </c>
      <c r="AA163" s="1057"/>
      <c r="AB163" s="1014">
        <f>AVERAGE(Z163,Z162)</f>
        <v>711.5</v>
      </c>
      <c r="AD163" s="1094">
        <f>(Z163/Z156-1)*100</f>
        <v>0.70028011204481544</v>
      </c>
      <c r="AE163" s="86"/>
      <c r="AF163" s="1049">
        <f>+H163/AD163*100</f>
        <v>2310.1210354419286</v>
      </c>
      <c r="AG163" s="97"/>
      <c r="AI163" s="1059">
        <f>+S163</f>
        <v>69.542000000000002</v>
      </c>
      <c r="AK163" s="1060">
        <f>AI163/AB163*1000</f>
        <v>97.73998594518622</v>
      </c>
      <c r="AM163" s="1094">
        <f>(AK163/AK156-1)*100</f>
        <v>18.708236561474799</v>
      </c>
      <c r="AN163" s="86"/>
      <c r="AO163" s="86"/>
      <c r="AP163" s="86"/>
      <c r="AQ163" s="86"/>
      <c r="AR163" s="86"/>
      <c r="AS163" s="1078">
        <f>qtrSales!AS$98*(AV163/100)</f>
        <v>3.19</v>
      </c>
      <c r="AT163" s="114" t="s">
        <v>718</v>
      </c>
      <c r="AU163" s="1078">
        <f>(AS163/AS156-1)*100</f>
        <v>7.2268907563025175</v>
      </c>
      <c r="AV163" s="1049">
        <f>100-AV42-AV265</f>
        <v>10</v>
      </c>
      <c r="AW163" s="114" t="s">
        <v>718</v>
      </c>
      <c r="AX163" s="1075"/>
      <c r="AY163" s="1091">
        <v>72.731999999999999</v>
      </c>
      <c r="AZ163" s="1019">
        <f>AY163/AY156-1</f>
        <v>0.15753539115280879</v>
      </c>
    </row>
    <row r="164" spans="1:85" hidden="1" outlineLevel="1">
      <c r="A164" s="22" t="s">
        <v>117</v>
      </c>
      <c r="B164" s="200" t="s">
        <v>99</v>
      </c>
      <c r="D164" s="1088">
        <f>(S164/S157-1)*100</f>
        <v>13.248006941808143</v>
      </c>
      <c r="F164" s="1139"/>
      <c r="H164" s="1094">
        <f>D164-F164</f>
        <v>13.248006941808143</v>
      </c>
      <c r="J164" s="1047">
        <v>171</v>
      </c>
      <c r="K164" s="1057"/>
      <c r="L164" s="1048">
        <f>AVERAGE(J164,J163)</f>
        <v>167.5</v>
      </c>
      <c r="N164" s="1094">
        <f>(L164/L157-1)*100</f>
        <v>2.7607361963190247</v>
      </c>
      <c r="O164" s="86"/>
      <c r="P164" s="1096">
        <f>H164/N164*100</f>
        <v>479.87225144771611</v>
      </c>
      <c r="Q164" s="97"/>
      <c r="S164" s="1058">
        <f>AY164-AS164</f>
        <v>104.40900000000001</v>
      </c>
      <c r="U164" s="1090">
        <f>S164/L164</f>
        <v>0.62333731343283583</v>
      </c>
      <c r="W164" s="1094">
        <f>(U164/U157-1)*100</f>
        <v>10.205523173222254</v>
      </c>
      <c r="X164" s="86"/>
      <c r="Z164" s="227">
        <v>753</v>
      </c>
      <c r="AA164" s="1057"/>
      <c r="AB164" s="1014">
        <f>AVERAGE(Z164,Z163)</f>
        <v>736</v>
      </c>
      <c r="AD164" s="1094">
        <f>(Z164/Z157-1)*100</f>
        <v>5.6100981767180924</v>
      </c>
      <c r="AE164" s="86"/>
      <c r="AF164" s="1049">
        <f>+H164/AD164*100</f>
        <v>236.14572373773015</v>
      </c>
      <c r="AG164" s="97"/>
      <c r="AI164" s="1059">
        <f>+S164</f>
        <v>104.40900000000001</v>
      </c>
      <c r="AK164" s="1060">
        <f>AI164/AB164*1000</f>
        <v>141.86005434782609</v>
      </c>
      <c r="AM164" s="1094">
        <f>(AK164/AK157-1)*100</f>
        <v>9.785941512201223</v>
      </c>
      <c r="AN164" s="86"/>
      <c r="AO164" s="86"/>
      <c r="AP164" s="86"/>
      <c r="AQ164" s="86"/>
      <c r="AR164" s="86"/>
      <c r="AS164" s="1078">
        <f>qtrSales!AS$99*(AV164/100)</f>
        <v>4.72</v>
      </c>
      <c r="AT164" s="114" t="s">
        <v>718</v>
      </c>
      <c r="AU164" s="1078">
        <f>(AS164/AS157-1)*100</f>
        <v>2.4972855591748111</v>
      </c>
      <c r="AV164" s="1049">
        <f>100-AV43-AV266</f>
        <v>10</v>
      </c>
      <c r="AW164" s="114" t="s">
        <v>718</v>
      </c>
      <c r="AX164" s="1075"/>
      <c r="AY164" s="1091">
        <v>109.129</v>
      </c>
      <c r="AZ164" s="1019">
        <f>AY164/AY157-1</f>
        <v>0.12736570247933887</v>
      </c>
    </row>
    <row r="165" spans="1:85" hidden="1" outlineLevel="1">
      <c r="A165" s="22" t="s">
        <v>118</v>
      </c>
      <c r="B165" s="200" t="s">
        <v>100</v>
      </c>
      <c r="D165" s="1061">
        <f>(S165/S158-1)*100</f>
        <v>19.964069551083252</v>
      </c>
      <c r="F165" s="1139"/>
      <c r="H165" s="1062">
        <f>D165-F165</f>
        <v>19.964069551083252</v>
      </c>
      <c r="J165" s="1063">
        <f>squft!BO23</f>
        <v>177</v>
      </c>
      <c r="K165" s="39"/>
      <c r="L165" s="1064">
        <f>AVERAGE(J165,J164)</f>
        <v>174</v>
      </c>
      <c r="N165" s="1104">
        <f>(L165/L158-1)*100</f>
        <v>6.4220183486238591</v>
      </c>
      <c r="O165" s="86"/>
      <c r="P165" s="1189">
        <f>H165/N165*100</f>
        <v>310.86908300972465</v>
      </c>
      <c r="Q165" s="97"/>
      <c r="S165" s="1065">
        <f>AY165-AS165</f>
        <v>140.22900000000001</v>
      </c>
      <c r="U165" s="1093">
        <f>S165/L165</f>
        <v>0.80591379310344835</v>
      </c>
      <c r="W165" s="1104">
        <f>(U165/U158-1)*100</f>
        <v>12.724858457483412</v>
      </c>
      <c r="X165" s="86"/>
      <c r="Z165" s="865">
        <f>squft!BQ23</f>
        <v>788</v>
      </c>
      <c r="AA165" s="39"/>
      <c r="AB165" s="1068">
        <f>AVERAGE(Z165,Z164)</f>
        <v>770.5</v>
      </c>
      <c r="AD165" s="1104">
        <f>(Z165/Z158-1)*100</f>
        <v>10.05586592178771</v>
      </c>
      <c r="AE165" s="86"/>
      <c r="AF165" s="1064">
        <f>+H165/AD165*100</f>
        <v>198.53158053577232</v>
      </c>
      <c r="AG165" s="97"/>
      <c r="AI165" s="1071">
        <f>+S165</f>
        <v>140.22900000000001</v>
      </c>
      <c r="AK165" s="1072">
        <f>AI165/AB165*1000</f>
        <v>181.99740428293319</v>
      </c>
      <c r="AM165" s="1104">
        <f>(AK165/AK158-1)*100</f>
        <v>11.245071634327042</v>
      </c>
      <c r="AN165" s="86"/>
      <c r="AO165" s="86"/>
      <c r="AP165" s="86"/>
      <c r="AQ165" s="86"/>
      <c r="AR165" s="86"/>
      <c r="AS165" s="1073">
        <f>qtrSales!AS$100*(AV165/100)</f>
        <v>4.2299999999999995</v>
      </c>
      <c r="AT165" s="1042" t="s">
        <v>718</v>
      </c>
      <c r="AU165" s="1073">
        <f>(AS165/AS158-1)*100</f>
        <v>-21.666666666666657</v>
      </c>
      <c r="AV165" s="1064">
        <f>100-AV44-AV267</f>
        <v>5</v>
      </c>
      <c r="AW165" s="1042" t="s">
        <v>718</v>
      </c>
      <c r="AX165" s="1075"/>
      <c r="AY165" s="1065">
        <f>AY166-SUM(AY162:AY164)</f>
        <v>144.459</v>
      </c>
      <c r="AZ165" s="309">
        <f>AY165/AY158-1</f>
        <v>0.18125804934889689</v>
      </c>
    </row>
    <row r="166" spans="1:85" hidden="1" outlineLevel="1">
      <c r="B166" s="200" t="s">
        <v>119</v>
      </c>
      <c r="D166" s="1045">
        <f>(S166/S159-1)*100</f>
        <v>19.078354037560374</v>
      </c>
      <c r="F166" s="1139"/>
      <c r="H166" s="1052">
        <f>D166-F166</f>
        <v>19.078354037560374</v>
      </c>
      <c r="J166" s="865"/>
      <c r="L166" s="1048">
        <f>AVERAGE(L162:L165)</f>
        <v>166.625</v>
      </c>
      <c r="N166" s="1094">
        <f>(L166/L159-1)*100</f>
        <v>0.90840272520817944</v>
      </c>
      <c r="O166" s="86"/>
      <c r="P166" s="1049">
        <f>H166/N166*100</f>
        <v>2100.2088069680954</v>
      </c>
      <c r="Q166" s="97"/>
      <c r="S166" s="1050">
        <f>SUM(S162:S165)</f>
        <v>391.91999999999996</v>
      </c>
      <c r="U166" s="1087">
        <f>SUM(U162:U165)</f>
        <v>2.3356018757670531</v>
      </c>
      <c r="W166" s="1052">
        <f>(U166/U159-1)*100</f>
        <v>16.812999276997729</v>
      </c>
      <c r="X166" s="86"/>
      <c r="AB166" s="1014">
        <f>AVERAGE(AB162:AB165)</f>
        <v>732</v>
      </c>
      <c r="AD166" s="1094">
        <f>Z165/Z158-1</f>
        <v>0.1005586592178771</v>
      </c>
      <c r="AE166" s="86"/>
      <c r="AF166" s="1049">
        <f>+H166/AD166*100</f>
        <v>18972.36318179615</v>
      </c>
      <c r="AG166" s="97"/>
      <c r="AI166" s="1030">
        <f>SUM(AI162:AI165)</f>
        <v>391.91999999999996</v>
      </c>
      <c r="AK166" s="1055">
        <f>SUM(AK162:AK165)</f>
        <v>531.09040232242432</v>
      </c>
      <c r="AM166" s="1052">
        <f>(AK166/AK159-1)*100</f>
        <v>16.512019565757608</v>
      </c>
      <c r="AN166" s="86"/>
      <c r="AO166" s="86"/>
      <c r="AP166" s="86"/>
      <c r="AQ166" s="86"/>
      <c r="AR166" s="86"/>
      <c r="AS166" s="1078">
        <f>SUM(AS162:AS165)</f>
        <v>13.899999999999999</v>
      </c>
      <c r="AT166" s="114" t="s">
        <v>718</v>
      </c>
      <c r="AU166" s="1078">
        <f>(AS166/AS159-1)*100</f>
        <v>-12.081919117768901</v>
      </c>
      <c r="AV166" s="1049">
        <f>(AS166/qtrSales!AS$101)*100</f>
        <v>6.9884364002011061</v>
      </c>
      <c r="AW166" s="114" t="s">
        <v>718</v>
      </c>
      <c r="AX166" s="1075"/>
      <c r="AY166" s="1080">
        <v>405.82</v>
      </c>
      <c r="AZ166" s="1019">
        <f>AY166/AY159-1</f>
        <v>0.17650128428877077</v>
      </c>
    </row>
    <row r="167" spans="1:85" hidden="1" outlineLevel="1">
      <c r="B167" s="200"/>
      <c r="D167" s="1053"/>
      <c r="F167" s="1139"/>
      <c r="H167" s="1053"/>
      <c r="L167" s="244"/>
      <c r="N167" s="1053"/>
      <c r="O167" s="86"/>
      <c r="P167" s="1049"/>
      <c r="Q167" s="97"/>
      <c r="S167" s="1050"/>
      <c r="U167" s="1087"/>
      <c r="W167" s="1082"/>
      <c r="X167" s="86"/>
      <c r="AB167" s="1083"/>
      <c r="AD167" s="1053"/>
      <c r="AE167" s="86"/>
      <c r="AF167" s="1049"/>
      <c r="AG167" s="97"/>
      <c r="AI167" s="1030"/>
      <c r="AK167" s="1055"/>
      <c r="AM167" s="1052"/>
      <c r="AN167" s="86"/>
      <c r="AO167" s="86"/>
      <c r="AP167" s="86"/>
      <c r="AQ167" s="86"/>
      <c r="AR167" s="86"/>
      <c r="AX167" s="97"/>
      <c r="AZ167" s="86"/>
    </row>
    <row r="168" spans="1:85" hidden="1" outlineLevel="1">
      <c r="A168" s="1120"/>
      <c r="B168" s="1113">
        <v>2007</v>
      </c>
      <c r="C168" s="114"/>
      <c r="D168" s="114"/>
      <c r="E168" s="246"/>
      <c r="F168" s="1139"/>
      <c r="G168" s="246"/>
      <c r="H168" s="114"/>
      <c r="I168" s="246"/>
      <c r="J168" s="114"/>
      <c r="K168" s="114"/>
      <c r="L168" s="246"/>
      <c r="M168" s="114"/>
      <c r="N168" s="114"/>
      <c r="O168" s="246"/>
      <c r="P168" s="310"/>
      <c r="Q168" s="310"/>
      <c r="R168" s="114"/>
      <c r="S168" s="1103"/>
      <c r="T168" s="114"/>
      <c r="U168" s="246"/>
      <c r="V168" s="114"/>
      <c r="W168" s="114"/>
      <c r="X168" s="246"/>
      <c r="Y168" s="114"/>
      <c r="Z168" s="114"/>
      <c r="AA168" s="114"/>
      <c r="AB168" s="114"/>
      <c r="AC168" s="114"/>
      <c r="AD168" s="114"/>
      <c r="AE168" s="246"/>
      <c r="AF168" s="249"/>
      <c r="AG168" s="310"/>
      <c r="AH168" s="114"/>
      <c r="AI168" s="114"/>
      <c r="AJ168" s="114"/>
      <c r="AK168" s="246"/>
      <c r="AL168" s="114"/>
      <c r="AM168" s="246"/>
      <c r="AN168" s="246"/>
      <c r="AO168" s="246"/>
      <c r="AP168" s="246"/>
      <c r="AQ168" s="246"/>
      <c r="AR168" s="246"/>
      <c r="AS168" s="114"/>
      <c r="AT168" s="114"/>
      <c r="AU168" s="114"/>
      <c r="AV168" s="1121" t="s">
        <v>76</v>
      </c>
      <c r="AW168" s="114"/>
      <c r="AX168" s="310"/>
      <c r="AY168" s="114"/>
      <c r="AZ168" s="246"/>
      <c r="BA168" s="114"/>
      <c r="BC168" s="114"/>
      <c r="BD168" s="114"/>
      <c r="BE168" s="114"/>
      <c r="BF168" s="114"/>
      <c r="BG168" s="114"/>
      <c r="BH168" s="114"/>
      <c r="BI168" s="114"/>
      <c r="BJ168" s="114"/>
      <c r="BK168" s="114"/>
      <c r="BL168" s="114"/>
      <c r="BM168" s="114"/>
      <c r="BN168" s="114"/>
      <c r="BO168" s="114"/>
      <c r="BP168" s="114"/>
      <c r="BQ168" s="114"/>
      <c r="BR168" s="114"/>
      <c r="BS168" s="114"/>
      <c r="BT168" s="114"/>
      <c r="BU168" s="114"/>
      <c r="BV168" s="114"/>
      <c r="BW168" s="114"/>
      <c r="BX168" s="114"/>
      <c r="BY168" s="114"/>
      <c r="BZ168" s="114"/>
      <c r="CA168" s="114"/>
      <c r="CB168" s="114"/>
      <c r="CC168" s="114"/>
      <c r="CD168" s="114"/>
      <c r="CE168" s="114"/>
      <c r="CF168" s="114"/>
      <c r="CG168" s="114"/>
    </row>
    <row r="169" spans="1:85" hidden="1" outlineLevel="1">
      <c r="A169" s="114" t="s">
        <v>115</v>
      </c>
      <c r="B169" s="245" t="s">
        <v>96</v>
      </c>
      <c r="C169" s="114"/>
      <c r="D169" s="1088">
        <f>(S169/S162-1)*100</f>
        <v>8.875739644970416</v>
      </c>
      <c r="E169" s="246" t="s">
        <v>76</v>
      </c>
      <c r="F169" s="1139"/>
      <c r="G169" s="246" t="s">
        <v>76</v>
      </c>
      <c r="H169" s="1094">
        <f>D169-F169</f>
        <v>8.875739644970416</v>
      </c>
      <c r="I169" s="246" t="s">
        <v>76</v>
      </c>
      <c r="J169" s="1047">
        <v>180</v>
      </c>
      <c r="K169" s="114"/>
      <c r="L169" s="1122">
        <f>AVERAGE(J169,J165)</f>
        <v>178.5</v>
      </c>
      <c r="M169" s="114"/>
      <c r="N169" s="1144">
        <f>(L169/L162-1)*100</f>
        <v>9.8461538461538378</v>
      </c>
      <c r="O169" s="246" t="s">
        <v>76</v>
      </c>
      <c r="P169" s="1096">
        <f>H169/N169*100</f>
        <v>90.144230769230859</v>
      </c>
      <c r="Q169" s="310" t="s">
        <v>76</v>
      </c>
      <c r="R169" s="114"/>
      <c r="S169" s="1050">
        <f>AY169-AS169</f>
        <v>84.64</v>
      </c>
      <c r="T169" s="114"/>
      <c r="U169" s="1125">
        <f>S169/L169</f>
        <v>0.47417366946778711</v>
      </c>
      <c r="V169" s="114"/>
      <c r="W169" s="1144">
        <f>(U169/U162-1)*100</f>
        <v>-0.88343029519499794</v>
      </c>
      <c r="X169" s="246" t="s">
        <v>76</v>
      </c>
      <c r="Y169" s="114"/>
      <c r="Z169" s="1047">
        <v>801</v>
      </c>
      <c r="AA169" s="114"/>
      <c r="AB169" s="1127">
        <f>AVERAGE(Z169,Z165)</f>
        <v>794.5</v>
      </c>
      <c r="AC169" s="114"/>
      <c r="AD169" s="1144">
        <f>(Z169/Z162-1)*100</f>
        <v>13.778409090909083</v>
      </c>
      <c r="AE169" s="246" t="s">
        <v>76</v>
      </c>
      <c r="AF169" s="1124">
        <f>+H169/AD169*100</f>
        <v>64.417739278960582</v>
      </c>
      <c r="AG169" s="310" t="s">
        <v>76</v>
      </c>
      <c r="AH169" s="114"/>
      <c r="AI169" s="1129">
        <f>+S169</f>
        <v>84.64</v>
      </c>
      <c r="AJ169" s="114"/>
      <c r="AK169" s="1097">
        <f>AI169/AB169*1000</f>
        <v>106.53241032095657</v>
      </c>
      <c r="AL169" s="114"/>
      <c r="AM169" s="1144">
        <f>(AK169/AK162-1)*100</f>
        <v>-2.7038701725248582</v>
      </c>
      <c r="AN169" s="246" t="s">
        <v>76</v>
      </c>
      <c r="AO169" s="246"/>
      <c r="AP169" s="246"/>
      <c r="AQ169" s="246"/>
      <c r="AR169" s="246"/>
      <c r="AS169" s="1100">
        <f>qtrSales!AS$104*(AV169/100)</f>
        <v>4.5090000000000003</v>
      </c>
      <c r="AT169" s="114" t="s">
        <v>718</v>
      </c>
      <c r="AU169" s="1199" t="s">
        <v>444</v>
      </c>
      <c r="AV169" s="1049">
        <f>100-AV48-AV271</f>
        <v>9</v>
      </c>
      <c r="AW169" s="114" t="s">
        <v>718</v>
      </c>
      <c r="AX169" s="1075"/>
      <c r="AY169" s="1081">
        <v>89.149000000000001</v>
      </c>
      <c r="AZ169" s="1103">
        <f>AY169/AY162-1</f>
        <v>0.12137106918238993</v>
      </c>
      <c r="BA169" s="114"/>
      <c r="BC169" s="114"/>
      <c r="BD169" s="114"/>
      <c r="BE169" s="114"/>
      <c r="BF169" s="114"/>
      <c r="BG169" s="114"/>
      <c r="BH169" s="114"/>
      <c r="BI169" s="114"/>
      <c r="BJ169" s="114"/>
      <c r="BK169" s="114"/>
      <c r="BL169" s="114"/>
      <c r="BM169" s="114"/>
      <c r="BN169" s="114"/>
      <c r="BO169" s="114"/>
      <c r="BP169" s="114"/>
      <c r="BQ169" s="114"/>
      <c r="BR169" s="114"/>
      <c r="BS169" s="114"/>
      <c r="BT169" s="114"/>
      <c r="BU169" s="114"/>
      <c r="BV169" s="114"/>
      <c r="BW169" s="114"/>
      <c r="BX169" s="114"/>
      <c r="BY169" s="114"/>
      <c r="BZ169" s="114"/>
      <c r="CA169" s="114"/>
      <c r="CB169" s="114"/>
      <c r="CC169" s="114"/>
      <c r="CD169" s="114"/>
      <c r="CE169" s="114"/>
      <c r="CF169" s="114"/>
      <c r="CG169" s="114"/>
    </row>
    <row r="170" spans="1:85" hidden="1" outlineLevel="1">
      <c r="A170" s="114" t="s">
        <v>116</v>
      </c>
      <c r="B170" s="245" t="s">
        <v>97</v>
      </c>
      <c r="C170" s="114"/>
      <c r="D170" s="1088">
        <f>(S170/S163-1)*100</f>
        <v>25.127261223433294</v>
      </c>
      <c r="E170" s="114"/>
      <c r="F170" s="1139"/>
      <c r="G170" s="114"/>
      <c r="H170" s="1094">
        <f>D170-F170</f>
        <v>25.127261223433294</v>
      </c>
      <c r="I170" s="114"/>
      <c r="J170" s="1047">
        <v>186</v>
      </c>
      <c r="K170" s="1057"/>
      <c r="L170" s="1122">
        <f>AVERAGE(J170,J169)</f>
        <v>183</v>
      </c>
      <c r="M170" s="114"/>
      <c r="N170" s="1144">
        <f>(L170/L163-1)*100</f>
        <v>12.615384615384606</v>
      </c>
      <c r="O170" s="246"/>
      <c r="P170" s="1096">
        <f>H170/N170*100</f>
        <v>199.179509697947</v>
      </c>
      <c r="Q170" s="310"/>
      <c r="R170" s="114"/>
      <c r="S170" s="1089">
        <f>AY170-AS170</f>
        <v>87.015999999999991</v>
      </c>
      <c r="T170" s="114"/>
      <c r="U170" s="1131">
        <f>S170/L170</f>
        <v>0.4754972677595628</v>
      </c>
      <c r="V170" s="114"/>
      <c r="W170" s="1144">
        <f>(U170/U163-1)*100</f>
        <v>11.110272944305532</v>
      </c>
      <c r="X170" s="246"/>
      <c r="Y170" s="114"/>
      <c r="Z170" s="1047">
        <v>839</v>
      </c>
      <c r="AA170" s="1057"/>
      <c r="AB170" s="1127">
        <f>AVERAGE(Z170,Z169)</f>
        <v>820</v>
      </c>
      <c r="AC170" s="114"/>
      <c r="AD170" s="1144">
        <f>(Z170/Z163-1)*100</f>
        <v>16.689847009735747</v>
      </c>
      <c r="AE170" s="246"/>
      <c r="AF170" s="1124">
        <f>+H170/AD170*100</f>
        <v>150.55417349707113</v>
      </c>
      <c r="AG170" s="310"/>
      <c r="AH170" s="114"/>
      <c r="AI170" s="1132">
        <f>+S170</f>
        <v>87.015999999999991</v>
      </c>
      <c r="AJ170" s="114"/>
      <c r="AK170" s="1106">
        <f>AI170/AB170*1000</f>
        <v>106.1170731707317</v>
      </c>
      <c r="AL170" s="114"/>
      <c r="AM170" s="1144">
        <f>(AK170/AK163-1)*100</f>
        <v>8.5707882444790329</v>
      </c>
      <c r="AN170" s="246"/>
      <c r="AO170" s="246"/>
      <c r="AP170" s="246"/>
      <c r="AQ170" s="246"/>
      <c r="AR170" s="246"/>
      <c r="AS170" s="1100">
        <f>qtrSales!AS$105*(AV170/100)</f>
        <v>7.4620000000000015</v>
      </c>
      <c r="AT170" s="114" t="s">
        <v>718</v>
      </c>
      <c r="AU170" s="1100">
        <f>(AS170/AS163-1)*100</f>
        <v>133.91849529780569</v>
      </c>
      <c r="AV170" s="1049">
        <f>100-AV49-AV272</f>
        <v>14</v>
      </c>
      <c r="AW170" s="114" t="s">
        <v>718</v>
      </c>
      <c r="AX170" s="1075"/>
      <c r="AY170" s="1102">
        <v>94.477999999999994</v>
      </c>
      <c r="AZ170" s="1103">
        <f>AY170/AY163-1</f>
        <v>0.29898806577572445</v>
      </c>
      <c r="BA170" s="114"/>
      <c r="BC170" s="114"/>
      <c r="BD170" s="114"/>
      <c r="BE170" s="114"/>
      <c r="BF170" s="114"/>
      <c r="BG170" s="114"/>
      <c r="BH170" s="114"/>
      <c r="BI170" s="114"/>
      <c r="BJ170" s="114"/>
      <c r="BK170" s="114"/>
      <c r="BL170" s="114"/>
      <c r="BM170" s="114"/>
      <c r="BN170" s="114"/>
      <c r="BO170" s="114"/>
      <c r="BP170" s="114"/>
      <c r="BQ170" s="114"/>
      <c r="BR170" s="114"/>
      <c r="BS170" s="114"/>
      <c r="BT170" s="114"/>
      <c r="BU170" s="114"/>
      <c r="BV170" s="114"/>
      <c r="BW170" s="114"/>
      <c r="BX170" s="114"/>
      <c r="BY170" s="114"/>
      <c r="BZ170" s="114"/>
      <c r="CA170" s="114"/>
      <c r="CB170" s="114"/>
      <c r="CC170" s="114"/>
      <c r="CD170" s="114"/>
      <c r="CE170" s="114"/>
      <c r="CF170" s="114"/>
      <c r="CG170" s="114"/>
    </row>
    <row r="171" spans="1:85" hidden="1" outlineLevel="1">
      <c r="A171" s="114" t="s">
        <v>117</v>
      </c>
      <c r="B171" s="245" t="s">
        <v>99</v>
      </c>
      <c r="C171" s="114"/>
      <c r="D171" s="1123">
        <f>(S171/S164-1)*100</f>
        <v>12.73070329186179</v>
      </c>
      <c r="E171" s="114"/>
      <c r="F171" s="1139"/>
      <c r="G171" s="114"/>
      <c r="H171" s="1144">
        <f>D171-F171</f>
        <v>12.73070329186179</v>
      </c>
      <c r="I171" s="114"/>
      <c r="J171" s="1047">
        <f>+J170+12</f>
        <v>198</v>
      </c>
      <c r="K171" s="1057"/>
      <c r="L171" s="1122">
        <f>AVERAGE(J171,J170)</f>
        <v>192</v>
      </c>
      <c r="M171" s="114"/>
      <c r="N171" s="1144">
        <f>(L171/L164-1)*100</f>
        <v>14.626865671641799</v>
      </c>
      <c r="O171" s="246"/>
      <c r="P171" s="1124">
        <f>H171/N171*100</f>
        <v>87.036440872932602</v>
      </c>
      <c r="Q171" s="310"/>
      <c r="R171" s="114"/>
      <c r="S171" s="1089">
        <f>AY171-AS171</f>
        <v>117.70099999999999</v>
      </c>
      <c r="T171" s="114"/>
      <c r="U171" s="1131">
        <f>S171/L171</f>
        <v>0.61302604166666663</v>
      </c>
      <c r="V171" s="114"/>
      <c r="W171" s="1144">
        <f>(U171/U164-1)*100</f>
        <v>-1.6542041594434731</v>
      </c>
      <c r="X171" s="246"/>
      <c r="Y171" s="114"/>
      <c r="Z171" s="1047">
        <v>900</v>
      </c>
      <c r="AA171" s="1057"/>
      <c r="AB171" s="1127">
        <f>AVERAGE(Z171,Z170)</f>
        <v>869.5</v>
      </c>
      <c r="AC171" s="114"/>
      <c r="AD171" s="1144">
        <f>(Z171/Z164-1)*100</f>
        <v>19.521912350597614</v>
      </c>
      <c r="AE171" s="246"/>
      <c r="AF171" s="1124">
        <f>+H171/AD171*100</f>
        <v>65.212378086883845</v>
      </c>
      <c r="AG171" s="310"/>
      <c r="AH171" s="114"/>
      <c r="AI171" s="1132">
        <f>+S171</f>
        <v>117.70099999999999</v>
      </c>
      <c r="AJ171" s="114"/>
      <c r="AK171" s="1106">
        <f>AI171/AB171*1000</f>
        <v>135.36630247268545</v>
      </c>
      <c r="AL171" s="114"/>
      <c r="AM171" s="1144">
        <f>(AK171/AK164-1)*100</f>
        <v>-4.5775760519720654</v>
      </c>
      <c r="AN171" s="246"/>
      <c r="AO171" s="246"/>
      <c r="AP171" s="246"/>
      <c r="AQ171" s="246"/>
      <c r="AR171" s="246"/>
      <c r="AS171" s="1100">
        <f>qtrSales!AS$106*(AV171/100)</f>
        <v>9.870000000000001</v>
      </c>
      <c r="AT171" s="114" t="s">
        <v>718</v>
      </c>
      <c r="AU171" s="1100">
        <f>(AS171/AS164-1)*100</f>
        <v>109.11016949152548</v>
      </c>
      <c r="AV171" s="1049">
        <f>100-AV50-AV273</f>
        <v>14</v>
      </c>
      <c r="AW171" s="114" t="s">
        <v>718</v>
      </c>
      <c r="AX171" s="1075"/>
      <c r="AY171" s="1102">
        <v>127.571</v>
      </c>
      <c r="AZ171" s="1103">
        <f>AY171/AY164-1</f>
        <v>0.16899266006286129</v>
      </c>
      <c r="BA171" s="114"/>
      <c r="BC171" s="114"/>
      <c r="BD171" s="114"/>
      <c r="BE171" s="114"/>
      <c r="BF171" s="114"/>
      <c r="BG171" s="114"/>
      <c r="BH171" s="114"/>
      <c r="BI171" s="114"/>
      <c r="BJ171" s="114"/>
      <c r="BK171" s="114"/>
      <c r="BL171" s="114"/>
      <c r="BM171" s="114"/>
      <c r="BN171" s="114"/>
      <c r="BO171" s="114"/>
      <c r="BP171" s="114"/>
      <c r="BQ171" s="114"/>
      <c r="BR171" s="114"/>
      <c r="BS171" s="114"/>
      <c r="BT171" s="114"/>
      <c r="BU171" s="114"/>
      <c r="BV171" s="114"/>
      <c r="BW171" s="114"/>
      <c r="BX171" s="114"/>
      <c r="BY171" s="114"/>
      <c r="BZ171" s="114"/>
      <c r="CA171" s="114"/>
      <c r="CB171" s="114"/>
      <c r="CC171" s="114"/>
      <c r="CD171" s="114"/>
      <c r="CE171" s="114"/>
      <c r="CF171" s="114"/>
      <c r="CG171" s="114"/>
    </row>
    <row r="172" spans="1:85" hidden="1" outlineLevel="1">
      <c r="A172" s="114" t="s">
        <v>118</v>
      </c>
      <c r="B172" s="245" t="s">
        <v>100</v>
      </c>
      <c r="C172" s="114"/>
      <c r="D172" s="1107">
        <f>(S172/S165-1)*100</f>
        <v>10.447197084768511</v>
      </c>
      <c r="E172" s="114"/>
      <c r="F172" s="1139"/>
      <c r="G172" s="114"/>
      <c r="H172" s="1104">
        <f>D172-F172</f>
        <v>10.447197084768511</v>
      </c>
      <c r="I172" s="114"/>
      <c r="J172" s="1063">
        <f>squft!BS23</f>
        <v>201</v>
      </c>
      <c r="K172" s="1057"/>
      <c r="L172" s="1108">
        <f>AVERAGE(J172,J171)</f>
        <v>199.5</v>
      </c>
      <c r="M172" s="114"/>
      <c r="N172" s="1104">
        <f>(L172/L165-1)*100</f>
        <v>14.655172413793105</v>
      </c>
      <c r="O172" s="246"/>
      <c r="P172" s="1108">
        <f>H172/N172*100</f>
        <v>71.286756578420423</v>
      </c>
      <c r="Q172" s="310"/>
      <c r="R172" s="114"/>
      <c r="S172" s="1092">
        <f>AY172-AS172</f>
        <v>154.87900000000005</v>
      </c>
      <c r="T172" s="114"/>
      <c r="U172" s="1133">
        <f>S172/L172</f>
        <v>0.77633583959899777</v>
      </c>
      <c r="V172" s="114"/>
      <c r="W172" s="1104">
        <f>(U172/U165-1)*100</f>
        <v>-3.6701138208034001</v>
      </c>
      <c r="X172" s="246"/>
      <c r="Y172" s="114"/>
      <c r="Z172" s="1063">
        <f>+squft!BU23</f>
        <v>917</v>
      </c>
      <c r="AA172" s="1057"/>
      <c r="AB172" s="1110">
        <f>AVERAGE(Z172,Z171)</f>
        <v>908.5</v>
      </c>
      <c r="AC172" s="114"/>
      <c r="AD172" s="1104">
        <f>(Z172/Z165-1)*100</f>
        <v>16.370558375634523</v>
      </c>
      <c r="AE172" s="246"/>
      <c r="AF172" s="1108">
        <f>+H172/AD172*100</f>
        <v>63.816986843392122</v>
      </c>
      <c r="AG172" s="310"/>
      <c r="AH172" s="114"/>
      <c r="AI172" s="1111">
        <f>+S172</f>
        <v>154.87900000000005</v>
      </c>
      <c r="AJ172" s="114"/>
      <c r="AK172" s="1135">
        <f>AI172/AB172*1000</f>
        <v>170.47771051183275</v>
      </c>
      <c r="AL172" s="114"/>
      <c r="AM172" s="1104">
        <f>(AK172/AK165-1)*100</f>
        <v>-6.329592345829238</v>
      </c>
      <c r="AN172" s="246"/>
      <c r="AO172" s="246"/>
      <c r="AP172" s="246"/>
      <c r="AQ172" s="246"/>
      <c r="AR172" s="246"/>
      <c r="AS172" s="1136">
        <f>qtrSales!AS$107*(AV172/100)</f>
        <v>4.968</v>
      </c>
      <c r="AT172" s="1042" t="s">
        <v>718</v>
      </c>
      <c r="AU172" s="1136">
        <f>(AS172/AS165-1)*100</f>
        <v>17.446808510638313</v>
      </c>
      <c r="AV172" s="1064">
        <f>100-AV51-AV274</f>
        <v>4</v>
      </c>
      <c r="AW172" s="1042" t="s">
        <v>718</v>
      </c>
      <c r="AX172" s="1075"/>
      <c r="AY172" s="1065">
        <f>AY173-SUM(AY169:AY171)</f>
        <v>159.84700000000004</v>
      </c>
      <c r="AZ172" s="1138">
        <f>AY172/AY165-1</f>
        <v>0.10652157359527648</v>
      </c>
      <c r="BA172" s="114"/>
      <c r="BC172" s="114"/>
      <c r="BD172" s="114"/>
      <c r="BE172" s="114"/>
      <c r="BF172" s="114"/>
      <c r="BG172" s="114"/>
      <c r="BH172" s="114"/>
      <c r="BI172" s="114"/>
      <c r="BJ172" s="114"/>
      <c r="BK172" s="114"/>
      <c r="BL172" s="114"/>
      <c r="BM172" s="114"/>
      <c r="BN172" s="114"/>
      <c r="BO172" s="114"/>
      <c r="BP172" s="114"/>
      <c r="BQ172" s="114"/>
      <c r="BR172" s="114"/>
      <c r="BS172" s="114"/>
      <c r="BT172" s="114"/>
      <c r="BU172" s="114"/>
      <c r="BV172" s="114"/>
      <c r="BW172" s="114"/>
      <c r="BX172" s="114"/>
      <c r="BY172" s="114"/>
      <c r="BZ172" s="114"/>
      <c r="CA172" s="114"/>
      <c r="CB172" s="114"/>
      <c r="CC172" s="114"/>
      <c r="CD172" s="114"/>
      <c r="CE172" s="114"/>
      <c r="CF172" s="114"/>
      <c r="CG172" s="114"/>
    </row>
    <row r="173" spans="1:85" hidden="1" outlineLevel="1">
      <c r="A173" s="114"/>
      <c r="B173" s="245" t="s">
        <v>119</v>
      </c>
      <c r="C173" s="114"/>
      <c r="D173" s="1123">
        <f>(S173/S166-1)*100</f>
        <v>13.348642580118408</v>
      </c>
      <c r="E173" s="114"/>
      <c r="F173" s="1139"/>
      <c r="G173" s="114"/>
      <c r="H173" s="1126">
        <f>D173-F173</f>
        <v>13.348642580118408</v>
      </c>
      <c r="I173" s="114"/>
      <c r="J173" s="1063"/>
      <c r="K173" s="114"/>
      <c r="L173" s="1122">
        <f>AVERAGE(L169:L172)</f>
        <v>188.25</v>
      </c>
      <c r="M173" s="114"/>
      <c r="N173" s="1144">
        <f>(L173/L166-1)*100</f>
        <v>12.978244561140295</v>
      </c>
      <c r="O173" s="246"/>
      <c r="P173" s="1124">
        <f>H173/N173*100</f>
        <v>102.85399167224176</v>
      </c>
      <c r="Q173" s="310"/>
      <c r="R173" s="114"/>
      <c r="S173" s="1095">
        <f>SUM(S169:S172)</f>
        <v>444.23599999999999</v>
      </c>
      <c r="T173" s="114"/>
      <c r="U173" s="1125">
        <f>SUM(U169:U172)</f>
        <v>2.3390328184930143</v>
      </c>
      <c r="V173" s="114"/>
      <c r="W173" s="1126">
        <f>(U173/U166-1)*100</f>
        <v>0.14689758394008656</v>
      </c>
      <c r="X173" s="246"/>
      <c r="Y173" s="114"/>
      <c r="Z173" s="114"/>
      <c r="AA173" s="114"/>
      <c r="AB173" s="1127">
        <f>AVERAGE(AB169:AB172)</f>
        <v>848.125</v>
      </c>
      <c r="AC173" s="114"/>
      <c r="AD173" s="1144">
        <f>Z172/Z165-1</f>
        <v>0.16370558375634525</v>
      </c>
      <c r="AE173" s="246"/>
      <c r="AF173" s="1124">
        <f>+H173/AD173*100</f>
        <v>8154.0545373126361</v>
      </c>
      <c r="AG173" s="310"/>
      <c r="AH173" s="114"/>
      <c r="AI173" s="1129">
        <f>SUM(AI169:AI172)</f>
        <v>444.23599999999999</v>
      </c>
      <c r="AJ173" s="114"/>
      <c r="AK173" s="1097">
        <f>SUM(AK169:AK172)</f>
        <v>518.49349647620647</v>
      </c>
      <c r="AL173" s="114"/>
      <c r="AM173" s="1126">
        <f>(AK173/AK166-1)*100</f>
        <v>-2.371894839585198</v>
      </c>
      <c r="AN173" s="246"/>
      <c r="AO173" s="246"/>
      <c r="AP173" s="246"/>
      <c r="AQ173" s="246"/>
      <c r="AR173" s="246"/>
      <c r="AS173" s="1100">
        <f>SUM(AS169:AS172)</f>
        <v>26.809000000000001</v>
      </c>
      <c r="AT173" s="114" t="s">
        <v>718</v>
      </c>
      <c r="AU173" s="1100">
        <f>(AS173/AS166-1)*100</f>
        <v>92.870503597122323</v>
      </c>
      <c r="AV173" s="1124">
        <f>(AS173/qtrSales!AS$108)*100</f>
        <v>8.9932908419993289</v>
      </c>
      <c r="AW173" s="114" t="s">
        <v>718</v>
      </c>
      <c r="AX173" s="1075"/>
      <c r="AY173" s="1140">
        <v>471.04500000000002</v>
      </c>
      <c r="AZ173" s="1103">
        <f>AY173/AY166-1</f>
        <v>0.16072396629047359</v>
      </c>
      <c r="BA173" s="114"/>
      <c r="BC173" s="114"/>
      <c r="BD173" s="114"/>
      <c r="BE173" s="114"/>
      <c r="BF173" s="114"/>
      <c r="BG173" s="114"/>
      <c r="BH173" s="114"/>
      <c r="BI173" s="114"/>
      <c r="BJ173" s="114"/>
      <c r="BK173" s="114"/>
      <c r="BL173" s="114"/>
      <c r="BM173" s="114"/>
      <c r="BN173" s="114"/>
      <c r="BO173" s="114"/>
      <c r="BP173" s="114"/>
      <c r="BQ173" s="114"/>
      <c r="BR173" s="114"/>
      <c r="BS173" s="114"/>
      <c r="BT173" s="114"/>
      <c r="BU173" s="114"/>
      <c r="BV173" s="114"/>
      <c r="BW173" s="114"/>
      <c r="BX173" s="114"/>
      <c r="BY173" s="114"/>
      <c r="BZ173" s="114"/>
      <c r="CA173" s="114"/>
      <c r="CB173" s="114"/>
      <c r="CC173" s="114"/>
      <c r="CD173" s="114"/>
      <c r="CE173" s="114"/>
      <c r="CF173" s="114"/>
      <c r="CG173" s="114"/>
    </row>
    <row r="174" spans="1:85" hidden="1" outlineLevel="1">
      <c r="A174" s="114"/>
      <c r="B174" s="245"/>
      <c r="C174" s="114"/>
      <c r="D174" s="1123"/>
      <c r="E174" s="114"/>
      <c r="F174" s="1139"/>
      <c r="G174" s="114"/>
      <c r="H174" s="1126"/>
      <c r="I174" s="114"/>
      <c r="J174" s="1063"/>
      <c r="K174" s="114"/>
      <c r="L174" s="1122"/>
      <c r="M174" s="114"/>
      <c r="N174" s="1144"/>
      <c r="O174" s="246"/>
      <c r="P174" s="1124"/>
      <c r="Q174" s="310"/>
      <c r="R174" s="114"/>
      <c r="S174" s="1200"/>
      <c r="T174" s="114"/>
      <c r="U174" s="1125"/>
      <c r="V174" s="114"/>
      <c r="W174" s="1126"/>
      <c r="X174" s="246"/>
      <c r="Y174" s="114"/>
      <c r="Z174" s="114"/>
      <c r="AA174" s="114"/>
      <c r="AB174" s="1127"/>
      <c r="AC174" s="114"/>
      <c r="AD174" s="1144"/>
      <c r="AE174" s="246"/>
      <c r="AF174" s="1124"/>
      <c r="AG174" s="310"/>
      <c r="AH174" s="114"/>
      <c r="AI174" s="1129"/>
      <c r="AJ174" s="114"/>
      <c r="AK174" s="1097"/>
      <c r="AL174" s="114"/>
      <c r="AM174" s="1126"/>
      <c r="AN174" s="246"/>
      <c r="AO174" s="246"/>
      <c r="AP174" s="246"/>
      <c r="AQ174" s="246"/>
      <c r="AR174" s="246"/>
      <c r="AS174" s="1100"/>
      <c r="AT174" s="114"/>
      <c r="AU174" s="1100"/>
      <c r="AV174" s="1124"/>
      <c r="AW174" s="114"/>
      <c r="AX174" s="1075"/>
      <c r="AY174" s="1142"/>
      <c r="AZ174" s="1103"/>
      <c r="BA174" s="114"/>
      <c r="BC174" s="114"/>
      <c r="BD174" s="114"/>
      <c r="BE174" s="114"/>
      <c r="BF174" s="114"/>
      <c r="BG174" s="114"/>
      <c r="BH174" s="114"/>
      <c r="BI174" s="114"/>
      <c r="BJ174" s="114"/>
      <c r="BK174" s="114"/>
      <c r="BL174" s="114"/>
      <c r="BM174" s="114"/>
      <c r="BN174" s="114"/>
      <c r="BO174" s="114"/>
      <c r="BP174" s="114"/>
      <c r="BQ174" s="114"/>
      <c r="BR174" s="114"/>
      <c r="BS174" s="114"/>
      <c r="BT174" s="114"/>
      <c r="BU174" s="114"/>
      <c r="BV174" s="114"/>
      <c r="BW174" s="114"/>
      <c r="BX174" s="114"/>
      <c r="BY174" s="114"/>
      <c r="BZ174" s="114"/>
      <c r="CA174" s="114"/>
      <c r="CB174" s="114"/>
      <c r="CC174" s="114"/>
      <c r="CD174" s="114"/>
      <c r="CE174" s="114"/>
      <c r="CF174" s="114"/>
      <c r="CG174" s="114"/>
    </row>
    <row r="175" spans="1:85" hidden="1" outlineLevel="1">
      <c r="A175" s="1120"/>
      <c r="B175" s="1113">
        <v>2008</v>
      </c>
      <c r="C175" s="114"/>
      <c r="D175" s="114"/>
      <c r="E175" s="246"/>
      <c r="F175" s="1139"/>
      <c r="G175" s="246"/>
      <c r="H175" s="114"/>
      <c r="I175" s="246"/>
      <c r="J175" s="114"/>
      <c r="K175" s="114"/>
      <c r="L175" s="246"/>
      <c r="M175" s="114"/>
      <c r="N175" s="114"/>
      <c r="O175" s="246"/>
      <c r="P175" s="310"/>
      <c r="Q175" s="310"/>
      <c r="R175" s="114"/>
      <c r="S175" s="1103"/>
      <c r="T175" s="114"/>
      <c r="U175" s="246"/>
      <c r="V175" s="114"/>
      <c r="W175" s="114"/>
      <c r="X175" s="246"/>
      <c r="Y175" s="114"/>
      <c r="Z175" s="114"/>
      <c r="AA175" s="114"/>
      <c r="AB175" s="114"/>
      <c r="AC175" s="114"/>
      <c r="AD175" s="114"/>
      <c r="AE175" s="246"/>
      <c r="AF175" s="249"/>
      <c r="AG175" s="310"/>
      <c r="AH175" s="114"/>
      <c r="AI175" s="114"/>
      <c r="AJ175" s="114"/>
      <c r="AK175" s="246"/>
      <c r="AL175" s="114"/>
      <c r="AM175" s="246"/>
      <c r="AN175" s="246"/>
      <c r="AO175" s="246"/>
      <c r="AP175" s="246"/>
      <c r="AQ175" s="246"/>
      <c r="AR175" s="246"/>
      <c r="AS175" s="114"/>
      <c r="AT175" s="114"/>
      <c r="AU175" s="114"/>
      <c r="AV175" s="1121" t="s">
        <v>76</v>
      </c>
      <c r="AW175" s="114"/>
      <c r="AX175" s="310"/>
      <c r="AY175" s="114"/>
      <c r="AZ175" s="246"/>
      <c r="BA175" s="114"/>
      <c r="BC175" s="114"/>
      <c r="BD175" s="114"/>
      <c r="BE175" s="114"/>
      <c r="BF175" s="114"/>
      <c r="BG175" s="114"/>
      <c r="BH175" s="114"/>
      <c r="BI175" s="114"/>
      <c r="BJ175" s="114"/>
      <c r="BK175" s="114"/>
      <c r="BL175" s="114"/>
      <c r="BM175" s="114"/>
      <c r="BN175" s="114"/>
      <c r="BO175" s="114"/>
      <c r="BP175" s="114"/>
      <c r="BQ175" s="114"/>
      <c r="BR175" s="114"/>
      <c r="BS175" s="114"/>
      <c r="BT175" s="114"/>
      <c r="BU175" s="114"/>
      <c r="BV175" s="114"/>
      <c r="BW175" s="114"/>
      <c r="BX175" s="114"/>
      <c r="BY175" s="114"/>
      <c r="BZ175" s="114"/>
      <c r="CA175" s="114"/>
      <c r="CB175" s="114"/>
      <c r="CC175" s="114"/>
      <c r="CD175" s="114"/>
      <c r="CE175" s="114"/>
      <c r="CF175" s="114"/>
      <c r="CG175" s="114"/>
    </row>
    <row r="176" spans="1:85" hidden="1" outlineLevel="1">
      <c r="A176" s="114" t="s">
        <v>115</v>
      </c>
      <c r="B176" s="245" t="s">
        <v>96</v>
      </c>
      <c r="C176" s="114"/>
      <c r="D176" s="1088">
        <f>(S176/S169-1)*100</f>
        <v>6.7332230623818434</v>
      </c>
      <c r="E176" s="246" t="s">
        <v>76</v>
      </c>
      <c r="F176" s="1139"/>
      <c r="G176" s="246" t="s">
        <v>76</v>
      </c>
      <c r="H176" s="1094">
        <f>D176-F176</f>
        <v>6.7332230623818434</v>
      </c>
      <c r="I176" s="246" t="s">
        <v>76</v>
      </c>
      <c r="J176" s="1047">
        <v>202</v>
      </c>
      <c r="K176" s="114"/>
      <c r="L176" s="1122">
        <f>AVERAGE(J176,J172)</f>
        <v>201.5</v>
      </c>
      <c r="M176" s="114"/>
      <c r="N176" s="1144">
        <f>(L176/L169-1)*100</f>
        <v>12.885154061624648</v>
      </c>
      <c r="O176" s="246" t="s">
        <v>76</v>
      </c>
      <c r="P176" s="1096">
        <f>H176/N176*100</f>
        <v>52.255665940659092</v>
      </c>
      <c r="Q176" s="310" t="s">
        <v>76</v>
      </c>
      <c r="R176" s="114"/>
      <c r="S176" s="1050">
        <f>AY176-AS176</f>
        <v>90.338999999999999</v>
      </c>
      <c r="T176" s="114"/>
      <c r="U176" s="1125">
        <f>S176/L176</f>
        <v>0.44833250620347392</v>
      </c>
      <c r="V176" s="114"/>
      <c r="W176" s="1144">
        <f>(U176/U169-1)*100</f>
        <v>-5.4497254757560292</v>
      </c>
      <c r="X176" s="246" t="s">
        <v>76</v>
      </c>
      <c r="Y176" s="114"/>
      <c r="Z176" s="1047">
        <v>923</v>
      </c>
      <c r="AA176" s="114"/>
      <c r="AB176" s="1127">
        <f>AVERAGE(Z176,Z172)</f>
        <v>920</v>
      </c>
      <c r="AC176" s="114"/>
      <c r="AD176" s="1144">
        <f>(Z176/Z169-1)*100</f>
        <v>15.230961298377022</v>
      </c>
      <c r="AE176" s="246" t="s">
        <v>76</v>
      </c>
      <c r="AF176" s="1124">
        <f>+H176/AD176*100</f>
        <v>44.207472729244742</v>
      </c>
      <c r="AG176" s="310" t="s">
        <v>76</v>
      </c>
      <c r="AH176" s="114"/>
      <c r="AI176" s="1129">
        <f>+S176</f>
        <v>90.338999999999999</v>
      </c>
      <c r="AJ176" s="114"/>
      <c r="AK176" s="1097">
        <f>AI176/AB176*1000</f>
        <v>98.1945652173913</v>
      </c>
      <c r="AL176" s="114"/>
      <c r="AM176" s="1144">
        <f>(AK176/AK169-1)*100</f>
        <v>-7.8265807358017581</v>
      </c>
      <c r="AN176" s="246" t="s">
        <v>76</v>
      </c>
      <c r="AO176" s="246"/>
      <c r="AP176" s="246"/>
      <c r="AQ176" s="246"/>
      <c r="AR176" s="246"/>
      <c r="AS176" s="1100">
        <f>qtrSales!$AS$111*(AV176/100)</f>
        <v>5.84</v>
      </c>
      <c r="AT176" s="114" t="s">
        <v>718</v>
      </c>
      <c r="AU176" s="1100">
        <f>(AS176/AS169-1)*100</f>
        <v>29.518740297183399</v>
      </c>
      <c r="AV176" s="1049">
        <f>100-AV55-AV278</f>
        <v>8</v>
      </c>
      <c r="AW176" s="114" t="s">
        <v>718</v>
      </c>
      <c r="AX176" s="1075"/>
      <c r="AY176" s="1081">
        <v>96.179000000000002</v>
      </c>
      <c r="AZ176" s="1103">
        <f>AY176/AY169-1</f>
        <v>7.8856745448630861E-2</v>
      </c>
      <c r="BA176" s="114"/>
      <c r="BC176" s="114"/>
      <c r="BD176" s="114"/>
      <c r="BE176" s="114"/>
      <c r="BF176" s="114"/>
      <c r="BG176" s="114"/>
      <c r="BH176" s="114"/>
      <c r="BI176" s="114"/>
      <c r="BJ176" s="114"/>
      <c r="BK176" s="114"/>
      <c r="BL176" s="114"/>
      <c r="BM176" s="114"/>
      <c r="BN176" s="114"/>
      <c r="BO176" s="114"/>
      <c r="BP176" s="114"/>
      <c r="BQ176" s="114"/>
      <c r="BR176" s="114"/>
      <c r="BS176" s="114"/>
      <c r="BT176" s="114"/>
      <c r="BU176" s="114"/>
      <c r="BV176" s="114"/>
      <c r="BW176" s="114"/>
      <c r="BX176" s="114"/>
      <c r="BY176" s="114"/>
      <c r="BZ176" s="114"/>
      <c r="CA176" s="114"/>
      <c r="CB176" s="114"/>
      <c r="CC176" s="114"/>
      <c r="CD176" s="114"/>
      <c r="CE176" s="114"/>
      <c r="CF176" s="114"/>
      <c r="CG176" s="114"/>
    </row>
    <row r="177" spans="1:85" hidden="1" outlineLevel="1">
      <c r="A177" s="114" t="s">
        <v>116</v>
      </c>
      <c r="B177" s="245" t="s">
        <v>97</v>
      </c>
      <c r="C177" s="114"/>
      <c r="D177" s="1088">
        <f>(S177/S170-1)*100</f>
        <v>2.8420060678496117</v>
      </c>
      <c r="E177" s="114"/>
      <c r="F177" s="1139"/>
      <c r="G177" s="114"/>
      <c r="H177" s="1144">
        <f>D177-F177</f>
        <v>2.8420060678496117</v>
      </c>
      <c r="I177" s="114"/>
      <c r="J177" s="1047">
        <f>209</f>
        <v>209</v>
      </c>
      <c r="K177" s="1057"/>
      <c r="L177" s="1122">
        <f>AVERAGE(J177,J176)</f>
        <v>205.5</v>
      </c>
      <c r="M177" s="114"/>
      <c r="N177" s="1144">
        <f>(L177/L170-1)*100</f>
        <v>12.295081967213118</v>
      </c>
      <c r="O177" s="246"/>
      <c r="P177" s="1124">
        <f>H177/N177*100</f>
        <v>23.114982685176834</v>
      </c>
      <c r="Q177" s="310"/>
      <c r="R177" s="114"/>
      <c r="S177" s="1089">
        <f>AY177-AS177</f>
        <v>89.489000000000004</v>
      </c>
      <c r="T177" s="114"/>
      <c r="U177" s="1131">
        <f>S177/L177</f>
        <v>0.43546958637469591</v>
      </c>
      <c r="V177" s="114"/>
      <c r="W177" s="1144">
        <f>(U177/U170-1)*100</f>
        <v>-8.4180675892142176</v>
      </c>
      <c r="X177" s="246"/>
      <c r="Y177" s="114"/>
      <c r="Z177" s="1047">
        <v>958</v>
      </c>
      <c r="AA177" s="1057"/>
      <c r="AB177" s="1127">
        <f>AVERAGE(Z177,Z176)</f>
        <v>940.5</v>
      </c>
      <c r="AC177" s="114"/>
      <c r="AD177" s="1144">
        <f>(Z177/Z170-1)*100</f>
        <v>14.183551847437425</v>
      </c>
      <c r="AE177" s="246"/>
      <c r="AF177" s="1124">
        <f>+H177/AD177*100</f>
        <v>20.037336898536338</v>
      </c>
      <c r="AG177" s="310"/>
      <c r="AH177" s="114"/>
      <c r="AI177" s="1132">
        <f>+S177</f>
        <v>89.489000000000004</v>
      </c>
      <c r="AJ177" s="114"/>
      <c r="AK177" s="1106">
        <f>AI177/AB177*1000</f>
        <v>95.150451887293997</v>
      </c>
      <c r="AL177" s="114"/>
      <c r="AM177" s="1144">
        <f>(AK177/AK170-1)*100</f>
        <v>-10.334455102991313</v>
      </c>
      <c r="AN177" s="246"/>
      <c r="AO177" s="246"/>
      <c r="AP177" s="246"/>
      <c r="AQ177" s="246"/>
      <c r="AR177" s="246"/>
      <c r="AS177" s="1100">
        <f>qtrSales!$AS$112*(AV177/100)</f>
        <v>5.2640000000000002</v>
      </c>
      <c r="AT177" s="114" t="s">
        <v>718</v>
      </c>
      <c r="AU177" s="1100">
        <f>(AS177/AS170-1)*100</f>
        <v>-29.455909943714829</v>
      </c>
      <c r="AV177" s="1049">
        <f>100-AV56-AV279</f>
        <v>8</v>
      </c>
      <c r="AW177" s="114" t="s">
        <v>718</v>
      </c>
      <c r="AX177" s="1075"/>
      <c r="AY177" s="1102">
        <v>94.753</v>
      </c>
      <c r="AZ177" s="1103">
        <f>AY177/AY170-1</f>
        <v>2.9107305404434403E-3</v>
      </c>
      <c r="BA177" s="114"/>
      <c r="BC177" s="114"/>
      <c r="BD177" s="114"/>
      <c r="BE177" s="114"/>
      <c r="BF177" s="114"/>
      <c r="BG177" s="114"/>
      <c r="BH177" s="114"/>
      <c r="BI177" s="114"/>
      <c r="BJ177" s="114"/>
      <c r="BK177" s="114"/>
      <c r="BL177" s="114"/>
      <c r="BM177" s="114"/>
      <c r="BN177" s="114"/>
      <c r="BO177" s="114"/>
      <c r="BP177" s="114"/>
      <c r="BQ177" s="114"/>
      <c r="BR177" s="114"/>
      <c r="BS177" s="114"/>
      <c r="BT177" s="114"/>
      <c r="BU177" s="114"/>
      <c r="BV177" s="114"/>
      <c r="BW177" s="114"/>
      <c r="BX177" s="114"/>
      <c r="BY177" s="114"/>
      <c r="BZ177" s="114"/>
      <c r="CA177" s="114"/>
      <c r="CB177" s="114"/>
      <c r="CC177" s="114"/>
      <c r="CD177" s="114"/>
      <c r="CE177" s="114"/>
      <c r="CF177" s="114"/>
      <c r="CG177" s="114"/>
    </row>
    <row r="178" spans="1:85" hidden="1" outlineLevel="1">
      <c r="A178" s="114" t="s">
        <v>117</v>
      </c>
      <c r="B178" s="245" t="s">
        <v>99</v>
      </c>
      <c r="C178" s="114"/>
      <c r="D178" s="1088">
        <f>(S178/S171-1)*100</f>
        <v>-14.336326794164878</v>
      </c>
      <c r="E178" s="114"/>
      <c r="F178" s="1139"/>
      <c r="G178" s="114"/>
      <c r="H178" s="1144">
        <f>D178-F178</f>
        <v>-14.336326794164878</v>
      </c>
      <c r="I178" s="114"/>
      <c r="J178" s="1047">
        <f>209+1+1</f>
        <v>211</v>
      </c>
      <c r="K178" s="1057"/>
      <c r="L178" s="1122">
        <f>AVERAGE(J178,J177)</f>
        <v>210</v>
      </c>
      <c r="M178" s="114"/>
      <c r="N178" s="1144">
        <f>(L178/L171-1)*100</f>
        <v>9.375</v>
      </c>
      <c r="O178" s="246"/>
      <c r="P178" s="1124">
        <f>H178/N178*100</f>
        <v>-152.92081913775871</v>
      </c>
      <c r="Q178" s="310"/>
      <c r="R178" s="114"/>
      <c r="S178" s="1089">
        <f>AY178-AS178</f>
        <v>100.827</v>
      </c>
      <c r="T178" s="114"/>
      <c r="U178" s="1131">
        <f>S178/L178</f>
        <v>0.4801285714285714</v>
      </c>
      <c r="V178" s="114"/>
      <c r="W178" s="1144">
        <f>(U178/U171-1)*100</f>
        <v>-21.678927354665024</v>
      </c>
      <c r="X178" s="246"/>
      <c r="Y178" s="114"/>
      <c r="Z178" s="1047">
        <v>964</v>
      </c>
      <c r="AA178" s="1057"/>
      <c r="AB178" s="1127">
        <f>AVERAGE(Z178,Z177)</f>
        <v>961</v>
      </c>
      <c r="AC178" s="114"/>
      <c r="AD178" s="1144">
        <f>(Z178/Z171-1)*100</f>
        <v>7.1111111111111125</v>
      </c>
      <c r="AE178" s="246"/>
      <c r="AF178" s="1124">
        <f>+H178/AD178*100</f>
        <v>-201.60459554294357</v>
      </c>
      <c r="AG178" s="310"/>
      <c r="AH178" s="114"/>
      <c r="AI178" s="1132">
        <f>+S178</f>
        <v>100.827</v>
      </c>
      <c r="AJ178" s="114"/>
      <c r="AK178" s="1106">
        <f>AI178/AB178*1000</f>
        <v>104.91883454734652</v>
      </c>
      <c r="AL178" s="114"/>
      <c r="AM178" s="1144">
        <f>(AK178/AK171-1)*100</f>
        <v>-22.492649477134595</v>
      </c>
      <c r="AN178" s="246"/>
      <c r="AO178" s="246"/>
      <c r="AP178" s="246"/>
      <c r="AQ178" s="246"/>
      <c r="AR178" s="246"/>
      <c r="AS178" s="1100">
        <f>qtrSales!$AS$113*(AV178/100)</f>
        <v>8.6839999999999993</v>
      </c>
      <c r="AT178" s="114" t="s">
        <v>718</v>
      </c>
      <c r="AU178" s="1100">
        <f>(AS178/AS171-1)*100</f>
        <v>-12.016210739615008</v>
      </c>
      <c r="AV178" s="1049">
        <f>100-AV57-AV280</f>
        <v>13</v>
      </c>
      <c r="AW178" s="114" t="s">
        <v>718</v>
      </c>
      <c r="AX178" s="1075"/>
      <c r="AY178" s="1102">
        <v>109.511</v>
      </c>
      <c r="AZ178" s="1103">
        <f>AY178/AY171-1</f>
        <v>-0.14156822475327469</v>
      </c>
      <c r="BA178" s="114"/>
      <c r="BC178" s="114"/>
      <c r="BD178" s="114"/>
      <c r="BE178" s="114"/>
      <c r="BF178" s="114"/>
      <c r="BG178" s="114"/>
      <c r="BH178" s="114"/>
      <c r="BI178" s="114"/>
      <c r="BJ178" s="114"/>
      <c r="BK178" s="114"/>
      <c r="BL178" s="114"/>
      <c r="BM178" s="114"/>
      <c r="BN178" s="114"/>
      <c r="BO178" s="114"/>
      <c r="BP178" s="114"/>
      <c r="BQ178" s="114"/>
      <c r="BR178" s="114"/>
      <c r="BS178" s="114"/>
      <c r="BT178" s="114"/>
      <c r="BU178" s="114"/>
      <c r="BV178" s="114"/>
      <c r="BW178" s="114"/>
      <c r="BX178" s="114"/>
      <c r="BY178" s="114"/>
      <c r="BZ178" s="114"/>
      <c r="CA178" s="114"/>
      <c r="CB178" s="114"/>
      <c r="CC178" s="114"/>
      <c r="CD178" s="114"/>
      <c r="CE178" s="114"/>
      <c r="CF178" s="114"/>
      <c r="CG178" s="114"/>
    </row>
    <row r="179" spans="1:85" hidden="1" outlineLevel="1">
      <c r="A179" s="114" t="s">
        <v>118</v>
      </c>
      <c r="B179" s="245" t="s">
        <v>100</v>
      </c>
      <c r="C179" s="114"/>
      <c r="D179" s="1061">
        <f>(S179/S172-1)*100</f>
        <v>-24.574667966606214</v>
      </c>
      <c r="E179" s="114"/>
      <c r="F179" s="1139"/>
      <c r="G179" s="114"/>
      <c r="H179" s="1104">
        <f>D179-F179</f>
        <v>-24.574667966606214</v>
      </c>
      <c r="I179" s="114"/>
      <c r="J179" s="1063">
        <f>squft!BW23</f>
        <v>212</v>
      </c>
      <c r="K179" s="1057"/>
      <c r="L179" s="1108">
        <f>AVERAGE(J179,J178)</f>
        <v>211.5</v>
      </c>
      <c r="M179" s="114"/>
      <c r="N179" s="1104">
        <f>(L179/L172-1)*100</f>
        <v>6.0150375939849621</v>
      </c>
      <c r="O179" s="246"/>
      <c r="P179" s="1108">
        <f>H179/N179*100</f>
        <v>-408.55385494482829</v>
      </c>
      <c r="Q179" s="310"/>
      <c r="R179" s="114"/>
      <c r="S179" s="1092">
        <f>AY179-AS179</f>
        <v>116.818</v>
      </c>
      <c r="T179" s="114"/>
      <c r="U179" s="1133">
        <f>S179/L179</f>
        <v>0.55233096926713943</v>
      </c>
      <c r="V179" s="114"/>
      <c r="W179" s="1104">
        <f>(U179/U172-1)*100</f>
        <v>-28.854119429493817</v>
      </c>
      <c r="X179" s="246"/>
      <c r="Y179" s="114"/>
      <c r="Z179" s="1063">
        <f>+squft!BY23</f>
        <v>976</v>
      </c>
      <c r="AA179" s="1057"/>
      <c r="AB179" s="1110">
        <f>AVERAGE(Z179,Z178)</f>
        <v>970</v>
      </c>
      <c r="AC179" s="114"/>
      <c r="AD179" s="1104">
        <f>(Z179/Z172-1)*100</f>
        <v>6.4340239912759056</v>
      </c>
      <c r="AE179" s="246"/>
      <c r="AF179" s="1108">
        <f>+H179/AD179*100</f>
        <v>-381.94865297250635</v>
      </c>
      <c r="AG179" s="310"/>
      <c r="AH179" s="114"/>
      <c r="AI179" s="1111">
        <f>+S179</f>
        <v>116.818</v>
      </c>
      <c r="AJ179" s="114"/>
      <c r="AK179" s="1135">
        <f>AI179/AB179*1000</f>
        <v>120.43092783505155</v>
      </c>
      <c r="AL179" s="114"/>
      <c r="AM179" s="1104">
        <f>(AK179/AK172-1)*100</f>
        <v>-29.3567895336719</v>
      </c>
      <c r="AN179" s="246"/>
      <c r="AO179" s="246"/>
      <c r="AP179" s="246"/>
      <c r="AQ179" s="246"/>
      <c r="AR179" s="246"/>
      <c r="AS179" s="1136">
        <f>qtrSales!$AS$114*(AV179/100)</f>
        <v>3.2819999999999996</v>
      </c>
      <c r="AT179" s="1042" t="s">
        <v>718</v>
      </c>
      <c r="AU179" s="1136">
        <f>(AS179/AS172-1)*100</f>
        <v>-33.937198067632856</v>
      </c>
      <c r="AV179" s="1064">
        <f>100-AV58-AV281</f>
        <v>3</v>
      </c>
      <c r="AW179" s="1042" t="s">
        <v>718</v>
      </c>
      <c r="AX179" s="1075"/>
      <c r="AY179" s="1145">
        <v>120.1</v>
      </c>
      <c r="AZ179" s="1138">
        <f>AY179/AY172-1</f>
        <v>-0.24865652780471348</v>
      </c>
      <c r="BA179" s="114"/>
      <c r="BC179" s="114"/>
      <c r="BD179" s="114"/>
      <c r="BE179" s="114"/>
      <c r="BF179" s="114"/>
      <c r="BG179" s="114"/>
      <c r="BH179" s="114"/>
      <c r="BI179" s="114"/>
      <c r="BJ179" s="114"/>
      <c r="BK179" s="114"/>
      <c r="BL179" s="114"/>
      <c r="BM179" s="114"/>
      <c r="BN179" s="114"/>
      <c r="BO179" s="114"/>
      <c r="BP179" s="114"/>
      <c r="BQ179" s="114"/>
      <c r="BR179" s="114"/>
      <c r="BS179" s="114"/>
      <c r="BT179" s="114"/>
      <c r="BU179" s="114"/>
      <c r="BV179" s="114"/>
      <c r="BW179" s="114"/>
      <c r="BX179" s="114"/>
      <c r="BY179" s="114"/>
      <c r="BZ179" s="114"/>
      <c r="CA179" s="114"/>
      <c r="CB179" s="114"/>
      <c r="CC179" s="114"/>
      <c r="CD179" s="114"/>
      <c r="CE179" s="114"/>
      <c r="CF179" s="114"/>
      <c r="CG179" s="114"/>
    </row>
    <row r="180" spans="1:85" hidden="1" outlineLevel="1">
      <c r="A180" s="114"/>
      <c r="B180" s="245" t="s">
        <v>119</v>
      </c>
      <c r="C180" s="114"/>
      <c r="D180" s="1123">
        <f>(S180/S173-1)*100</f>
        <v>-10.526611981019107</v>
      </c>
      <c r="E180" s="114"/>
      <c r="F180" s="1139"/>
      <c r="G180" s="114"/>
      <c r="H180" s="1126">
        <f>D180-F180</f>
        <v>-10.526611981019107</v>
      </c>
      <c r="I180" s="114"/>
      <c r="J180" s="1063"/>
      <c r="K180" s="114"/>
      <c r="L180" s="1122">
        <f>AVERAGE(L176:L179)</f>
        <v>207.125</v>
      </c>
      <c r="M180" s="114"/>
      <c r="N180" s="1144">
        <f>(L180/L173-1)*100</f>
        <v>10.026560424966791</v>
      </c>
      <c r="O180" s="246"/>
      <c r="P180" s="1049">
        <f>H180/N180*100</f>
        <v>-104.98726916168735</v>
      </c>
      <c r="Q180" s="310"/>
      <c r="R180" s="114"/>
      <c r="S180" s="1095">
        <f>SUM(S176:S179)</f>
        <v>397.47299999999996</v>
      </c>
      <c r="T180" s="114"/>
      <c r="U180" s="1125">
        <f>SUM(U176:U179)</f>
        <v>1.9162616332738807</v>
      </c>
      <c r="V180" s="114"/>
      <c r="W180" s="1126">
        <f>(U180/U173-1)*100</f>
        <v>-18.074615365658509</v>
      </c>
      <c r="X180" s="246"/>
      <c r="Y180" s="114"/>
      <c r="Z180" s="114"/>
      <c r="AA180" s="114"/>
      <c r="AB180" s="1127">
        <f>AVERAGE(AB176:AB179)</f>
        <v>947.875</v>
      </c>
      <c r="AC180" s="114"/>
      <c r="AD180" s="1144">
        <f>Z179/Z172-1</f>
        <v>6.4340239912759056E-2</v>
      </c>
      <c r="AE180" s="246"/>
      <c r="AF180" s="1124">
        <f>+H180/AD180*100</f>
        <v>-16360.852858634766</v>
      </c>
      <c r="AG180" s="310"/>
      <c r="AH180" s="114"/>
      <c r="AI180" s="1129">
        <f>SUM(AI176:AI179)</f>
        <v>397.47299999999996</v>
      </c>
      <c r="AJ180" s="114"/>
      <c r="AK180" s="1097">
        <f>SUM(AK176:AK179)</f>
        <v>418.69477948708334</v>
      </c>
      <c r="AL180" s="114"/>
      <c r="AM180" s="1126">
        <f>(AK180/AK173-1)*100</f>
        <v>-19.247824257657374</v>
      </c>
      <c r="AN180" s="246"/>
      <c r="AO180" s="246"/>
      <c r="AP180" s="246"/>
      <c r="AQ180" s="246"/>
      <c r="AR180" s="246"/>
      <c r="AS180" s="1100">
        <f>SUM(AS176:AS179)</f>
        <v>23.069999999999997</v>
      </c>
      <c r="AT180" s="114" t="s">
        <v>718</v>
      </c>
      <c r="AU180" s="1100">
        <f>(AS180/AS173-1)*100</f>
        <v>-13.946808907456465</v>
      </c>
      <c r="AV180" s="1124">
        <f>(AS180/qtrSales!AS$115)*100</f>
        <v>7.3238095238095227</v>
      </c>
      <c r="AW180" s="114" t="s">
        <v>718</v>
      </c>
      <c r="AX180" s="1075"/>
      <c r="AY180" s="1140">
        <v>420.51799999999997</v>
      </c>
      <c r="AZ180" s="1103">
        <f>AY180/AY173-1</f>
        <v>-0.10726576017153355</v>
      </c>
      <c r="BA180" s="114"/>
      <c r="BC180" s="114"/>
      <c r="BD180" s="114"/>
      <c r="BE180" s="114"/>
      <c r="BF180" s="114"/>
      <c r="BG180" s="114"/>
      <c r="BH180" s="114"/>
      <c r="BI180" s="114"/>
      <c r="BJ180" s="114"/>
      <c r="BK180" s="114"/>
      <c r="BL180" s="114"/>
      <c r="BM180" s="114"/>
      <c r="BN180" s="114"/>
      <c r="BO180" s="114"/>
      <c r="BP180" s="114"/>
      <c r="BQ180" s="114"/>
      <c r="BR180" s="114"/>
      <c r="BS180" s="114"/>
      <c r="BT180" s="114"/>
      <c r="BU180" s="114"/>
      <c r="BV180" s="114"/>
      <c r="BW180" s="114"/>
      <c r="BX180" s="114"/>
      <c r="BY180" s="114"/>
      <c r="BZ180" s="114"/>
      <c r="CA180" s="114"/>
      <c r="CB180" s="114"/>
      <c r="CC180" s="114"/>
      <c r="CD180" s="114"/>
      <c r="CE180" s="114"/>
      <c r="CF180" s="114"/>
      <c r="CG180" s="114"/>
    </row>
    <row r="181" spans="1:85" hidden="1" outlineLevel="1">
      <c r="A181" s="114"/>
      <c r="B181" s="245"/>
      <c r="C181" s="114"/>
      <c r="D181" s="1123"/>
      <c r="E181" s="114"/>
      <c r="F181" s="1139"/>
      <c r="G181" s="114"/>
      <c r="H181" s="1126"/>
      <c r="I181" s="114"/>
      <c r="J181" s="1063"/>
      <c r="K181" s="114"/>
      <c r="L181" s="1122"/>
      <c r="M181" s="114"/>
      <c r="N181" s="1144"/>
      <c r="O181" s="246"/>
      <c r="P181" s="1049"/>
      <c r="Q181" s="310"/>
      <c r="R181" s="114"/>
      <c r="S181" s="1201"/>
      <c r="T181" s="114"/>
      <c r="U181" s="1125"/>
      <c r="V181" s="114"/>
      <c r="W181" s="1126"/>
      <c r="X181" s="246"/>
      <c r="Y181" s="114"/>
      <c r="Z181" s="114"/>
      <c r="AA181" s="114"/>
      <c r="AB181" s="1127"/>
      <c r="AC181" s="114"/>
      <c r="AD181" s="1144"/>
      <c r="AE181" s="246"/>
      <c r="AF181" s="1124"/>
      <c r="AG181" s="310"/>
      <c r="AH181" s="114"/>
      <c r="AI181" s="1129"/>
      <c r="AJ181" s="114"/>
      <c r="AK181" s="1097"/>
      <c r="AL181" s="114"/>
      <c r="AM181" s="1126"/>
      <c r="AN181" s="246"/>
      <c r="AO181" s="246"/>
      <c r="AP181" s="246"/>
      <c r="AQ181" s="246"/>
      <c r="AR181" s="246"/>
      <c r="AS181" s="1100"/>
      <c r="AT181" s="114"/>
      <c r="AU181" s="1100"/>
      <c r="AV181" s="1124"/>
      <c r="AW181" s="114"/>
      <c r="AX181" s="1075"/>
      <c r="AY181" s="1142"/>
      <c r="AZ181" s="1103"/>
      <c r="BA181" s="114"/>
      <c r="BC181" s="114"/>
      <c r="BD181" s="114"/>
      <c r="BE181" s="114"/>
      <c r="BF181" s="114"/>
      <c r="BG181" s="114"/>
      <c r="BH181" s="114"/>
      <c r="BI181" s="114"/>
      <c r="BJ181" s="114"/>
      <c r="BK181" s="114"/>
      <c r="BL181" s="114"/>
      <c r="BM181" s="114"/>
      <c r="BN181" s="114"/>
      <c r="BO181" s="114"/>
      <c r="BP181" s="114"/>
      <c r="BQ181" s="114"/>
      <c r="BR181" s="114"/>
      <c r="BS181" s="114"/>
      <c r="BT181" s="114"/>
      <c r="BU181" s="114"/>
      <c r="BV181" s="114"/>
      <c r="BW181" s="114"/>
      <c r="BX181" s="114"/>
      <c r="BY181" s="114"/>
      <c r="BZ181" s="114"/>
      <c r="CA181" s="114"/>
      <c r="CB181" s="114"/>
      <c r="CC181" s="114"/>
      <c r="CD181" s="114"/>
      <c r="CE181" s="114"/>
      <c r="CF181" s="114"/>
      <c r="CG181" s="114"/>
    </row>
    <row r="182" spans="1:85" hidden="1" outlineLevel="1">
      <c r="A182" s="1120"/>
      <c r="B182" s="1113">
        <v>2009</v>
      </c>
      <c r="C182" s="114"/>
      <c r="D182" s="114"/>
      <c r="E182" s="246"/>
      <c r="F182" s="1139"/>
      <c r="G182" s="246"/>
      <c r="H182" s="114"/>
      <c r="I182" s="246"/>
      <c r="J182" s="114"/>
      <c r="K182" s="114"/>
      <c r="L182" s="246"/>
      <c r="M182" s="114"/>
      <c r="N182" s="114"/>
      <c r="O182" s="246"/>
      <c r="P182" s="310"/>
      <c r="Q182" s="310"/>
      <c r="R182" s="114"/>
      <c r="S182" s="1103"/>
      <c r="T182" s="114"/>
      <c r="U182" s="246"/>
      <c r="V182" s="114"/>
      <c r="W182" s="114"/>
      <c r="X182" s="246"/>
      <c r="Y182" s="114"/>
      <c r="Z182" s="114"/>
      <c r="AA182" s="114"/>
      <c r="AB182" s="114"/>
      <c r="AC182" s="114"/>
      <c r="AD182" s="114"/>
      <c r="AE182" s="246"/>
      <c r="AF182" s="249"/>
      <c r="AG182" s="310"/>
      <c r="AH182" s="114"/>
      <c r="AI182" s="114"/>
      <c r="AJ182" s="114"/>
      <c r="AK182" s="246"/>
      <c r="AL182" s="114"/>
      <c r="AM182" s="246"/>
      <c r="AN182" s="246"/>
      <c r="AO182" s="246"/>
      <c r="AP182" s="246"/>
      <c r="AQ182" s="246"/>
      <c r="AR182" s="246"/>
      <c r="AS182" s="114"/>
      <c r="AT182" s="114"/>
      <c r="AU182" s="114"/>
      <c r="AV182" s="1121" t="s">
        <v>76</v>
      </c>
      <c r="AW182" s="114"/>
      <c r="AX182" s="310"/>
      <c r="AY182" s="114"/>
      <c r="AZ182" s="246"/>
      <c r="BA182" s="114"/>
      <c r="BB182" s="1202" t="s">
        <v>574</v>
      </c>
      <c r="BC182" s="114"/>
      <c r="BD182" s="114"/>
      <c r="BE182" s="114"/>
      <c r="BF182" s="114"/>
      <c r="BG182" s="114"/>
      <c r="BH182" s="114"/>
      <c r="BI182" s="114"/>
      <c r="BJ182" s="114"/>
      <c r="BK182" s="114"/>
      <c r="BL182" s="114"/>
      <c r="BM182" s="114"/>
      <c r="BN182" s="114"/>
      <c r="BO182" s="114"/>
      <c r="BP182" s="114"/>
      <c r="BQ182" s="114"/>
      <c r="BR182" s="114"/>
      <c r="BS182" s="114"/>
      <c r="BT182" s="114"/>
      <c r="BU182" s="114"/>
      <c r="BV182" s="114"/>
      <c r="BW182" s="114"/>
      <c r="BX182" s="114"/>
      <c r="BY182" s="114"/>
      <c r="BZ182" s="114"/>
      <c r="CA182" s="114"/>
      <c r="CB182" s="114"/>
      <c r="CC182" s="114"/>
      <c r="CD182" s="114"/>
      <c r="CE182" s="114"/>
      <c r="CF182" s="114"/>
      <c r="CG182" s="114"/>
    </row>
    <row r="183" spans="1:85" hidden="1" outlineLevel="1">
      <c r="A183" s="114" t="s">
        <v>115</v>
      </c>
      <c r="B183" s="245" t="s">
        <v>96</v>
      </c>
      <c r="C183" s="114"/>
      <c r="D183" s="1088">
        <f>(S183/S176-1)*100</f>
        <v>-28.540276071242765</v>
      </c>
      <c r="E183" s="246" t="s">
        <v>76</v>
      </c>
      <c r="F183" s="1139"/>
      <c r="G183" s="246" t="s">
        <v>76</v>
      </c>
      <c r="H183" s="1094">
        <f>D183-F183</f>
        <v>-28.540276071242765</v>
      </c>
      <c r="I183" s="246" t="s">
        <v>76</v>
      </c>
      <c r="J183" s="1047">
        <f>209+3</f>
        <v>212</v>
      </c>
      <c r="K183" s="1063">
        <f>J183-J179</f>
        <v>0</v>
      </c>
      <c r="L183" s="1122">
        <f>AVERAGE(J183,J179)</f>
        <v>212</v>
      </c>
      <c r="M183" s="114"/>
      <c r="N183" s="1144">
        <f>(L183/L176-1)*100</f>
        <v>5.2109181141439143</v>
      </c>
      <c r="O183" s="246" t="s">
        <v>76</v>
      </c>
      <c r="P183" s="1096">
        <f>H183/N183*100</f>
        <v>-547.70148841480227</v>
      </c>
      <c r="Q183" s="310" t="s">
        <v>76</v>
      </c>
      <c r="R183" s="114"/>
      <c r="S183" s="1050">
        <f>AY183-AS183</f>
        <v>64.555999999999997</v>
      </c>
      <c r="T183" s="114"/>
      <c r="U183" s="1125">
        <f>S183/L183</f>
        <v>0.30450943396226415</v>
      </c>
      <c r="V183" s="114"/>
      <c r="W183" s="1144">
        <f>(U183/U176-1)*100</f>
        <v>-32.079554850733096</v>
      </c>
      <c r="X183" s="246" t="s">
        <v>76</v>
      </c>
      <c r="Y183" s="114"/>
      <c r="Z183" s="1047">
        <v>981</v>
      </c>
      <c r="AA183" s="114"/>
      <c r="AB183" s="1127">
        <f>AVERAGE(Z183,Z179)</f>
        <v>978.5</v>
      </c>
      <c r="AC183" s="114"/>
      <c r="AD183" s="1144">
        <f>(Z183/Z176-1)*100</f>
        <v>6.2838569880823369</v>
      </c>
      <c r="AE183" s="246" t="s">
        <v>76</v>
      </c>
      <c r="AF183" s="1124">
        <f>+H183/AD183*100</f>
        <v>-454.1840485130532</v>
      </c>
      <c r="AG183" s="310" t="s">
        <v>76</v>
      </c>
      <c r="AH183" s="114"/>
      <c r="AI183" s="1129">
        <f>+S183</f>
        <v>64.555999999999997</v>
      </c>
      <c r="AJ183" s="114"/>
      <c r="AK183" s="1097">
        <f>AI183/AB183*1000</f>
        <v>65.974450689831372</v>
      </c>
      <c r="AL183" s="114"/>
      <c r="AM183" s="1144">
        <f>(AK183/AK176-1)*100</f>
        <v>-32.812523235097949</v>
      </c>
      <c r="AN183" s="246" t="s">
        <v>76</v>
      </c>
      <c r="AO183" s="246"/>
      <c r="AP183" s="246"/>
      <c r="AQ183" s="246"/>
      <c r="AR183" s="246"/>
      <c r="AS183" s="1100">
        <f>qtrSales!$AS$118*(AV183/100)</f>
        <v>4.5439999999999996</v>
      </c>
      <c r="AT183" s="114" t="s">
        <v>718</v>
      </c>
      <c r="AU183" s="1100">
        <f>(AS183/AS176-1)*100</f>
        <v>-22.191780821917817</v>
      </c>
      <c r="AV183" s="1049">
        <f>100-AV62-AV285</f>
        <v>8</v>
      </c>
      <c r="AW183" s="114" t="s">
        <v>718</v>
      </c>
      <c r="AX183" s="1075"/>
      <c r="AY183" s="1081">
        <v>69.099999999999994</v>
      </c>
      <c r="AZ183" s="1103">
        <f>AY183/AY176-1</f>
        <v>-0.28154794705705</v>
      </c>
      <c r="BA183" s="114"/>
      <c r="BC183" s="114"/>
      <c r="BD183" s="114"/>
      <c r="BE183" s="114"/>
      <c r="BF183" s="114"/>
      <c r="BG183" s="114"/>
      <c r="BH183" s="114"/>
      <c r="BI183" s="114"/>
      <c r="BJ183" s="114"/>
      <c r="BK183" s="114"/>
      <c r="BL183" s="114"/>
      <c r="BM183" s="114"/>
      <c r="BN183" s="114"/>
      <c r="BO183" s="114"/>
      <c r="BP183" s="114"/>
      <c r="BQ183" s="114"/>
      <c r="BR183" s="114"/>
      <c r="BS183" s="114"/>
      <c r="BT183" s="114"/>
      <c r="BU183" s="114"/>
      <c r="BV183" s="114"/>
      <c r="BW183" s="114"/>
      <c r="BX183" s="114"/>
      <c r="BY183" s="114"/>
      <c r="BZ183" s="114"/>
      <c r="CA183" s="114"/>
      <c r="CB183" s="114"/>
      <c r="CC183" s="114"/>
      <c r="CD183" s="114"/>
      <c r="CE183" s="114"/>
      <c r="CF183" s="114"/>
      <c r="CG183" s="114"/>
    </row>
    <row r="184" spans="1:85" hidden="1" outlineLevel="1">
      <c r="A184" s="114" t="s">
        <v>116</v>
      </c>
      <c r="B184" s="245" t="s">
        <v>97</v>
      </c>
      <c r="C184" s="114"/>
      <c r="D184" s="1088">
        <f>(S184/S177-1)*100</f>
        <v>-24.956139860765003</v>
      </c>
      <c r="E184" s="114"/>
      <c r="F184" s="1139"/>
      <c r="G184" s="114"/>
      <c r="H184" s="1094">
        <f>D184-F184</f>
        <v>-24.956139860765003</v>
      </c>
      <c r="I184" s="114"/>
      <c r="J184" s="1047">
        <f>210+3</f>
        <v>213</v>
      </c>
      <c r="K184" s="1047">
        <f>J184-J183</f>
        <v>1</v>
      </c>
      <c r="L184" s="1122">
        <f>AVERAGE(J184,J183)</f>
        <v>212.5</v>
      </c>
      <c r="M184" s="114"/>
      <c r="N184" s="1144">
        <f>(L184/L177-1)*100</f>
        <v>3.4063260340632562</v>
      </c>
      <c r="O184" s="246"/>
      <c r="P184" s="1096">
        <f>H184/N184*100</f>
        <v>-732.64096305531632</v>
      </c>
      <c r="Q184" s="310"/>
      <c r="R184" s="114"/>
      <c r="S184" s="1089">
        <f>AY184-AS184</f>
        <v>67.156000000000006</v>
      </c>
      <c r="T184" s="114"/>
      <c r="U184" s="1131">
        <f>S184/L184</f>
        <v>0.31602823529411767</v>
      </c>
      <c r="V184" s="114"/>
      <c r="W184" s="1144">
        <f>(U184/U177-1)*100</f>
        <v>-27.428172900645698</v>
      </c>
      <c r="X184" s="246"/>
      <c r="Y184" s="114"/>
      <c r="Z184" s="1047">
        <v>986</v>
      </c>
      <c r="AA184" s="1057"/>
      <c r="AB184" s="1127">
        <f>AVERAGE(Z184,Z183)</f>
        <v>983.5</v>
      </c>
      <c r="AC184" s="114"/>
      <c r="AD184" s="1144">
        <f>(Z184/Z177-1)*100</f>
        <v>2.9227557411273475</v>
      </c>
      <c r="AE184" s="246"/>
      <c r="AF184" s="1124">
        <f>+H184/AD184*100</f>
        <v>-853.85649952188862</v>
      </c>
      <c r="AG184" s="310"/>
      <c r="AH184" s="114"/>
      <c r="AI184" s="1132">
        <f>+S184</f>
        <v>67.156000000000006</v>
      </c>
      <c r="AJ184" s="114"/>
      <c r="AK184" s="1106">
        <f>AI184/AB184*1000</f>
        <v>68.282663955261825</v>
      </c>
      <c r="AL184" s="114"/>
      <c r="AM184" s="1144">
        <f>(AK184/AK177-1)*100</f>
        <v>-28.237162723995411</v>
      </c>
      <c r="AN184" s="246"/>
      <c r="AO184" s="246"/>
      <c r="AP184" s="246"/>
      <c r="AQ184" s="246"/>
      <c r="AR184" s="246"/>
      <c r="AS184" s="1100">
        <f>qtrSales!$AS$119*(AV184/100)</f>
        <v>4.3440000000000003</v>
      </c>
      <c r="AT184" s="114" t="s">
        <v>718</v>
      </c>
      <c r="AU184" s="1100">
        <f>(AS184/AS177-1)*100</f>
        <v>-17.477203647416406</v>
      </c>
      <c r="AV184" s="1049">
        <f>100-AV63-AV286</f>
        <v>8</v>
      </c>
      <c r="AW184" s="114" t="s">
        <v>718</v>
      </c>
      <c r="AX184" s="1075"/>
      <c r="AY184" s="1102">
        <v>71.5</v>
      </c>
      <c r="AZ184" s="1103">
        <f>AY184/AY177-1</f>
        <v>-0.24540647789515901</v>
      </c>
      <c r="BA184" s="114"/>
      <c r="BC184" s="114"/>
      <c r="BD184" s="114"/>
      <c r="BE184" s="114"/>
      <c r="BF184" s="114"/>
      <c r="BG184" s="114"/>
      <c r="BH184" s="114"/>
      <c r="BI184" s="114"/>
      <c r="BJ184" s="114"/>
      <c r="BK184" s="114"/>
      <c r="BL184" s="114"/>
      <c r="BM184" s="114"/>
      <c r="BN184" s="114"/>
      <c r="BO184" s="114"/>
      <c r="BP184" s="114"/>
      <c r="BQ184" s="114"/>
      <c r="BR184" s="114"/>
      <c r="BS184" s="114"/>
      <c r="BT184" s="114"/>
      <c r="BU184" s="114"/>
      <c r="BV184" s="114"/>
      <c r="BW184" s="114"/>
      <c r="BX184" s="114"/>
      <c r="BY184" s="114"/>
      <c r="BZ184" s="114"/>
      <c r="CA184" s="114"/>
      <c r="CB184" s="114"/>
      <c r="CC184" s="114"/>
      <c r="CD184" s="114"/>
      <c r="CE184" s="114"/>
      <c r="CF184" s="114"/>
      <c r="CG184" s="114"/>
    </row>
    <row r="185" spans="1:85" hidden="1" outlineLevel="1">
      <c r="A185" s="114" t="s">
        <v>117</v>
      </c>
      <c r="B185" s="245" t="s">
        <v>99</v>
      </c>
      <c r="C185" s="114"/>
      <c r="D185" s="1088">
        <f>(S185/S178-1)*100</f>
        <v>-19.17211328976035</v>
      </c>
      <c r="E185" s="114"/>
      <c r="F185" s="1139"/>
      <c r="G185" s="114"/>
      <c r="H185" s="1094">
        <f>D185-F185</f>
        <v>-19.17211328976035</v>
      </c>
      <c r="I185" s="114"/>
      <c r="J185" s="1047">
        <f>209+3+1</f>
        <v>213</v>
      </c>
      <c r="K185" s="1047">
        <f>J185-J184</f>
        <v>0</v>
      </c>
      <c r="L185" s="1122">
        <f>AVERAGE(J185,J184)</f>
        <v>213</v>
      </c>
      <c r="M185" s="114"/>
      <c r="N185" s="1144">
        <f>(L185/L178-1)*100</f>
        <v>1.4285714285714235</v>
      </c>
      <c r="O185" s="246"/>
      <c r="P185" s="1096">
        <f>H185/N185*100</f>
        <v>-1342.0479302832293</v>
      </c>
      <c r="Q185" s="310"/>
      <c r="R185" s="114"/>
      <c r="S185" s="1089">
        <f>AY185-AS185</f>
        <v>81.496333333333325</v>
      </c>
      <c r="T185" s="114"/>
      <c r="U185" s="1131">
        <f>S185/L185</f>
        <v>0.38261189358372455</v>
      </c>
      <c r="V185" s="114"/>
      <c r="W185" s="1144">
        <f>(U185/U178-1)*100</f>
        <v>-20.310534229341194</v>
      </c>
      <c r="X185" s="246"/>
      <c r="Y185" s="114"/>
      <c r="Z185" s="1047">
        <v>997</v>
      </c>
      <c r="AA185" s="1057"/>
      <c r="AB185" s="1127">
        <f>AVERAGE(Z185,Z184)</f>
        <v>991.5</v>
      </c>
      <c r="AC185" s="114"/>
      <c r="AD185" s="1144">
        <f>(Z185/Z178-1)*100</f>
        <v>3.4232365145228316</v>
      </c>
      <c r="AE185" s="246"/>
      <c r="AF185" s="1124">
        <f>+H185/AD185*100</f>
        <v>-560.05809731299769</v>
      </c>
      <c r="AG185" s="310"/>
      <c r="AH185" s="114"/>
      <c r="AI185" s="1132">
        <f>+S185</f>
        <v>81.496333333333325</v>
      </c>
      <c r="AJ185" s="114"/>
      <c r="AK185" s="1106">
        <f>AI185/AB185*1000</f>
        <v>82.194990754748687</v>
      </c>
      <c r="AL185" s="114"/>
      <c r="AM185" s="1144">
        <f>(AK185/AK178-1)*100</f>
        <v>-21.658498105355228</v>
      </c>
      <c r="AN185" s="246"/>
      <c r="AO185" s="246"/>
      <c r="AP185" s="246"/>
      <c r="AQ185" s="246"/>
      <c r="AR185" s="246"/>
      <c r="AS185" s="1100">
        <f>qtrSales!$AS$120*(AV185/100)</f>
        <v>9.3036666666666683</v>
      </c>
      <c r="AT185" s="114" t="s">
        <v>718</v>
      </c>
      <c r="AU185" s="1100">
        <f>(AS185/AS178-1)*100</f>
        <v>7.1357285429141992</v>
      </c>
      <c r="AV185" s="1049">
        <f>100-AV64-AV287</f>
        <v>13</v>
      </c>
      <c r="AW185" s="114" t="s">
        <v>718</v>
      </c>
      <c r="AX185" s="1075"/>
      <c r="AY185" s="1102">
        <v>90.8</v>
      </c>
      <c r="AZ185" s="1103">
        <f>AY185/AY178-1</f>
        <v>-0.17085954835587291</v>
      </c>
      <c r="BA185" s="114"/>
      <c r="BC185" s="114"/>
      <c r="BD185" s="114"/>
      <c r="BE185" s="114"/>
      <c r="BF185" s="114"/>
      <c r="BG185" s="246"/>
      <c r="BH185" s="246" t="s">
        <v>319</v>
      </c>
      <c r="BI185" s="114"/>
      <c r="BJ185" s="114"/>
      <c r="BK185" s="114"/>
      <c r="BL185" s="114"/>
      <c r="BM185" s="114"/>
      <c r="BN185" s="114"/>
      <c r="BO185" s="114"/>
      <c r="BP185" s="114"/>
      <c r="BQ185" s="114"/>
      <c r="BR185" s="114"/>
      <c r="BS185" s="114"/>
      <c r="BT185" s="114"/>
      <c r="BU185" s="114"/>
      <c r="BV185" s="114"/>
      <c r="BW185" s="114"/>
      <c r="BX185" s="114"/>
      <c r="BY185" s="114"/>
      <c r="BZ185" s="114"/>
      <c r="CA185" s="114"/>
      <c r="CB185" s="114"/>
      <c r="CC185" s="114"/>
      <c r="CD185" s="114"/>
      <c r="CE185" s="114"/>
      <c r="CF185" s="114"/>
      <c r="CG185" s="114"/>
    </row>
    <row r="186" spans="1:85" hidden="1" outlineLevel="1">
      <c r="A186" s="114" t="s">
        <v>118</v>
      </c>
      <c r="B186" s="245" t="s">
        <v>100</v>
      </c>
      <c r="C186" s="114"/>
      <c r="D186" s="1088">
        <f>(S186/S179-1)*100</f>
        <v>-7.0545635090482612</v>
      </c>
      <c r="E186" s="114"/>
      <c r="F186" s="1139"/>
      <c r="G186" s="114"/>
      <c r="H186" s="1094">
        <f>D186-F186</f>
        <v>-7.0545635090482612</v>
      </c>
      <c r="I186" s="114"/>
      <c r="J186" s="1063">
        <f>squft!$CA$23</f>
        <v>209</v>
      </c>
      <c r="K186" s="1047">
        <f>J186-J185</f>
        <v>-4</v>
      </c>
      <c r="L186" s="1108">
        <f>AVERAGE(J186,J185)</f>
        <v>211</v>
      </c>
      <c r="M186" s="114"/>
      <c r="N186" s="1104">
        <f>(L186/L179-1)*100</f>
        <v>-0.23640661938534313</v>
      </c>
      <c r="O186" s="246"/>
      <c r="P186" s="1189">
        <f>H186/N186*100</f>
        <v>2984.0803643274103</v>
      </c>
      <c r="Q186" s="310"/>
      <c r="R186" s="114"/>
      <c r="S186" s="1092">
        <f>AY186-AS186</f>
        <v>108.577</v>
      </c>
      <c r="T186" s="114"/>
      <c r="U186" s="1133">
        <f>S186/L186</f>
        <v>0.51458293838862557</v>
      </c>
      <c r="V186" s="114"/>
      <c r="W186" s="1104">
        <f>(U186/U179-1)*100</f>
        <v>-6.8343136595436338</v>
      </c>
      <c r="X186" s="246"/>
      <c r="Y186" s="114"/>
      <c r="Z186" s="1063">
        <f>squft!$CC$23</f>
        <v>978.6</v>
      </c>
      <c r="AA186" s="1057"/>
      <c r="AB186" s="1110">
        <f>AVERAGE(Z186,Z185)</f>
        <v>987.8</v>
      </c>
      <c r="AC186" s="114"/>
      <c r="AD186" s="1104">
        <f>(Z186/Z179-1)*100</f>
        <v>0.26639344262295861</v>
      </c>
      <c r="AE186" s="246"/>
      <c r="AF186" s="1108">
        <f>+H186/AD186*100</f>
        <v>-2648.1746095503468</v>
      </c>
      <c r="AG186" s="310"/>
      <c r="AH186" s="114"/>
      <c r="AI186" s="1111">
        <f>+S186</f>
        <v>108.577</v>
      </c>
      <c r="AJ186" s="114"/>
      <c r="AK186" s="1135">
        <f>AI186/AB186*1000</f>
        <v>109.91799959505973</v>
      </c>
      <c r="AL186" s="114"/>
      <c r="AM186" s="1104">
        <f>(AK186/AK179-1)*100</f>
        <v>-8.7294255960486122</v>
      </c>
      <c r="AN186" s="246"/>
      <c r="AO186" s="246"/>
      <c r="AP186" s="246"/>
      <c r="AQ186" s="246"/>
      <c r="AR186" s="246"/>
      <c r="AS186" s="1136">
        <f>qtrSales!$AS$121*(AV186/100)</f>
        <v>3.2229999999999999</v>
      </c>
      <c r="AT186" s="1042" t="s">
        <v>718</v>
      </c>
      <c r="AU186" s="1136">
        <f>(AS186/AS179-1)*100</f>
        <v>-1.7976843388177843</v>
      </c>
      <c r="AV186" s="1064">
        <f>100-AV65-AV288</f>
        <v>3</v>
      </c>
      <c r="AW186" s="1042" t="s">
        <v>718</v>
      </c>
      <c r="AX186" s="1075"/>
      <c r="AY186" s="1145">
        <v>111.8</v>
      </c>
      <c r="AZ186" s="1138">
        <f>AY186/AY179-1</f>
        <v>-6.9109075770191541E-2</v>
      </c>
      <c r="BA186" s="114"/>
      <c r="BB186" s="1143">
        <f>BH186</f>
        <v>3.2232579145748321</v>
      </c>
      <c r="BC186" s="114"/>
      <c r="BD186" s="114"/>
      <c r="BE186" s="114"/>
      <c r="BF186" s="114"/>
      <c r="BG186" s="1163"/>
      <c r="BH186" s="1203">
        <f>BH194*BI7</f>
        <v>3.2232579145748321</v>
      </c>
      <c r="BI186" s="114"/>
      <c r="BJ186" s="114"/>
      <c r="BK186" s="114"/>
      <c r="BL186" s="114"/>
      <c r="BM186" s="114"/>
      <c r="BN186" s="114"/>
      <c r="BO186" s="114"/>
      <c r="BP186" s="114"/>
      <c r="BQ186" s="114"/>
      <c r="BR186" s="114"/>
      <c r="BS186" s="114"/>
      <c r="BT186" s="114"/>
      <c r="BU186" s="114"/>
      <c r="BV186" s="114"/>
      <c r="BW186" s="114"/>
      <c r="BX186" s="114"/>
      <c r="BY186" s="114"/>
      <c r="BZ186" s="114"/>
      <c r="CA186" s="114"/>
      <c r="CB186" s="114"/>
      <c r="CC186" s="114"/>
      <c r="CD186" s="114"/>
      <c r="CE186" s="114"/>
      <c r="CF186" s="114"/>
      <c r="CG186" s="114"/>
    </row>
    <row r="187" spans="1:85" hidden="1" outlineLevel="1">
      <c r="A187" s="114"/>
      <c r="B187" s="245" t="s">
        <v>119</v>
      </c>
      <c r="C187" s="114"/>
      <c r="D187" s="1123">
        <f>(S187/S180-1)*100</f>
        <v>-19.042215865396305</v>
      </c>
      <c r="E187" s="114"/>
      <c r="F187" s="1139"/>
      <c r="G187" s="114"/>
      <c r="H187" s="1126">
        <f>D187-F187</f>
        <v>-19.042215865396305</v>
      </c>
      <c r="I187" s="114"/>
      <c r="J187" s="1063"/>
      <c r="K187" s="114"/>
      <c r="L187" s="1122">
        <f>AVERAGE(L183:L186)</f>
        <v>212.125</v>
      </c>
      <c r="M187" s="114"/>
      <c r="N187" s="1144">
        <f>(L187/L180-1)*100</f>
        <v>2.4140012070005934</v>
      </c>
      <c r="O187" s="246"/>
      <c r="P187" s="1049">
        <f>H187/N187*100</f>
        <v>-788.82379222404518</v>
      </c>
      <c r="Q187" s="310"/>
      <c r="R187" s="114"/>
      <c r="S187" s="1095">
        <f>SUM(S183:S186)</f>
        <v>321.78533333333331</v>
      </c>
      <c r="T187" s="114"/>
      <c r="U187" s="1125">
        <f>SUM(U183:U186)</f>
        <v>1.5177325012287319</v>
      </c>
      <c r="V187" s="114"/>
      <c r="W187" s="1126">
        <f>(U187/U180-1)*100</f>
        <v>-20.797219185788972</v>
      </c>
      <c r="X187" s="246"/>
      <c r="Y187" s="114"/>
      <c r="Z187" s="114"/>
      <c r="AA187" s="114"/>
      <c r="AB187" s="1127">
        <f>AVERAGE(AB183:AB186)</f>
        <v>985.32500000000005</v>
      </c>
      <c r="AC187" s="114"/>
      <c r="AD187" s="1144">
        <f>Z186/Z179-1</f>
        <v>2.6639344262295861E-3</v>
      </c>
      <c r="AE187" s="246"/>
      <c r="AF187" s="1124">
        <f>+H187/AD187*100</f>
        <v>-714815.48787024035</v>
      </c>
      <c r="AG187" s="310"/>
      <c r="AH187" s="114"/>
      <c r="AI187" s="1129">
        <f>SUM(AI183:AI186)</f>
        <v>321.78533333333331</v>
      </c>
      <c r="AJ187" s="114"/>
      <c r="AK187" s="1097">
        <f>SUM(AK183:AK186)</f>
        <v>326.37010499490162</v>
      </c>
      <c r="AL187" s="114"/>
      <c r="AM187" s="1126">
        <f>(AK187/AK180-1)*100</f>
        <v>-22.050591269679277</v>
      </c>
      <c r="AN187" s="246"/>
      <c r="AO187" s="246"/>
      <c r="AP187" s="246"/>
      <c r="AQ187" s="246"/>
      <c r="AR187" s="246"/>
      <c r="AS187" s="1100">
        <f>SUM(AS183:AS186)</f>
        <v>21.414666666666669</v>
      </c>
      <c r="AT187" s="114" t="s">
        <v>718</v>
      </c>
      <c r="AU187" s="1100">
        <f>(AS187/AS180-1)*100</f>
        <v>-7.1752636902181592</v>
      </c>
      <c r="AV187" s="1124">
        <f>(AS187/qtrSales!AS$122)*100</f>
        <v>7.3818223601057111</v>
      </c>
      <c r="AW187" s="114" t="s">
        <v>718</v>
      </c>
      <c r="AX187" s="1075"/>
      <c r="AY187" s="1142">
        <f>SUM(AY183:AY186)</f>
        <v>343.2</v>
      </c>
      <c r="AZ187" s="1103">
        <f>AY187/AY180-1</f>
        <v>-0.18386371094697485</v>
      </c>
      <c r="BA187" s="114"/>
      <c r="BC187" s="114"/>
      <c r="BD187" s="114"/>
      <c r="BE187" s="114"/>
      <c r="BF187" s="114"/>
      <c r="BG187" s="114"/>
      <c r="BH187" s="114"/>
      <c r="BI187" s="114"/>
      <c r="BJ187" s="114"/>
      <c r="BK187" s="114"/>
      <c r="BL187" s="114"/>
      <c r="BM187" s="114"/>
      <c r="BN187" s="114"/>
      <c r="BO187" s="114"/>
      <c r="BP187" s="114"/>
      <c r="BQ187" s="114"/>
      <c r="BR187" s="114"/>
      <c r="BS187" s="114"/>
      <c r="BT187" s="114"/>
      <c r="BU187" s="114"/>
      <c r="BV187" s="114"/>
      <c r="BW187" s="114"/>
      <c r="BX187" s="114"/>
      <c r="BY187" s="114"/>
      <c r="BZ187" s="114"/>
      <c r="CA187" s="114"/>
      <c r="CB187" s="114"/>
      <c r="CC187" s="114"/>
      <c r="CD187" s="114"/>
      <c r="CE187" s="114"/>
      <c r="CF187" s="114"/>
      <c r="CG187" s="114"/>
    </row>
    <row r="188" spans="1:85" hidden="1" outlineLevel="1">
      <c r="A188" s="114"/>
      <c r="B188" s="245"/>
      <c r="C188" s="114"/>
      <c r="D188" s="1123"/>
      <c r="E188" s="114"/>
      <c r="F188" s="1139"/>
      <c r="G188" s="114"/>
      <c r="H188" s="1126"/>
      <c r="I188" s="114"/>
      <c r="J188" s="1063"/>
      <c r="K188" s="114"/>
      <c r="L188" s="1122"/>
      <c r="M188" s="114"/>
      <c r="N188" s="1144"/>
      <c r="O188" s="246"/>
      <c r="P188" s="1049"/>
      <c r="Q188" s="310"/>
      <c r="R188" s="114"/>
      <c r="S188" s="1095"/>
      <c r="T188" s="114"/>
      <c r="U188" s="1125"/>
      <c r="V188" s="114"/>
      <c r="W188" s="1126"/>
      <c r="X188" s="246"/>
      <c r="Y188" s="114"/>
      <c r="Z188" s="114"/>
      <c r="AA188" s="114"/>
      <c r="AB188" s="1127"/>
      <c r="AC188" s="114"/>
      <c r="AD188" s="1144"/>
      <c r="AE188" s="246"/>
      <c r="AF188" s="1124"/>
      <c r="AG188" s="310"/>
      <c r="AH188" s="114"/>
      <c r="AI188" s="1129"/>
      <c r="AJ188" s="114"/>
      <c r="AK188" s="1097"/>
      <c r="AL188" s="114"/>
      <c r="AM188" s="1126"/>
      <c r="AN188" s="246"/>
      <c r="AO188" s="246"/>
      <c r="AP188" s="246"/>
      <c r="AQ188" s="246"/>
      <c r="AR188" s="246"/>
      <c r="AS188" s="1100"/>
      <c r="AT188" s="114"/>
      <c r="AU188" s="1100"/>
      <c r="AV188" s="1124"/>
      <c r="AW188" s="114"/>
      <c r="AX188" s="1075"/>
      <c r="AY188" s="1142"/>
      <c r="AZ188" s="1103"/>
      <c r="BA188" s="114"/>
      <c r="BC188" s="114"/>
      <c r="BD188" s="114"/>
      <c r="BE188" s="114"/>
      <c r="BF188" s="114"/>
      <c r="BG188" s="114"/>
      <c r="BH188" s="114"/>
      <c r="BI188" s="114"/>
      <c r="BJ188" s="114"/>
      <c r="BK188" s="114"/>
      <c r="BL188" s="114"/>
      <c r="BM188" s="114"/>
      <c r="BN188" s="114"/>
      <c r="BO188" s="114"/>
      <c r="BP188" s="114"/>
      <c r="BQ188" s="114"/>
      <c r="BR188" s="114"/>
      <c r="BS188" s="114"/>
      <c r="BT188" s="114"/>
      <c r="BU188" s="114"/>
      <c r="BV188" s="114"/>
      <c r="BW188" s="114"/>
      <c r="BX188" s="114"/>
      <c r="BY188" s="114"/>
      <c r="BZ188" s="114"/>
      <c r="CA188" s="114"/>
      <c r="CB188" s="114"/>
      <c r="CC188" s="114"/>
      <c r="CD188" s="114"/>
      <c r="CE188" s="114"/>
      <c r="CF188" s="114"/>
      <c r="CG188" s="114"/>
    </row>
    <row r="189" spans="1:85" hidden="1" outlineLevel="1">
      <c r="A189" s="1120"/>
      <c r="B189" s="1113">
        <v>2010</v>
      </c>
      <c r="C189" s="114"/>
      <c r="D189" s="114"/>
      <c r="E189" s="246"/>
      <c r="F189" s="1139"/>
      <c r="G189" s="246"/>
      <c r="H189" s="114"/>
      <c r="I189" s="246"/>
      <c r="J189" s="114"/>
      <c r="K189" s="114"/>
      <c r="L189" s="246"/>
      <c r="M189" s="114"/>
      <c r="N189" s="114"/>
      <c r="O189" s="246"/>
      <c r="P189" s="310"/>
      <c r="Q189" s="310"/>
      <c r="R189" s="114"/>
      <c r="S189" s="1103"/>
      <c r="T189" s="114"/>
      <c r="U189" s="246"/>
      <c r="V189" s="114"/>
      <c r="W189" s="114"/>
      <c r="X189" s="246"/>
      <c r="Y189" s="114"/>
      <c r="Z189" s="114"/>
      <c r="AA189" s="114"/>
      <c r="AB189" s="114"/>
      <c r="AC189" s="114"/>
      <c r="AD189" s="114"/>
      <c r="AE189" s="246"/>
      <c r="AF189" s="249"/>
      <c r="AG189" s="310"/>
      <c r="AH189" s="114"/>
      <c r="AI189" s="114"/>
      <c r="AJ189" s="114"/>
      <c r="AK189" s="246"/>
      <c r="AL189" s="114"/>
      <c r="AM189" s="246"/>
      <c r="AN189" s="246"/>
      <c r="AO189" s="246"/>
      <c r="AP189" s="246"/>
      <c r="AQ189" s="246"/>
      <c r="AR189" s="246"/>
      <c r="AS189" s="114"/>
      <c r="AT189" s="114"/>
      <c r="AU189" s="114"/>
      <c r="AV189" s="1121" t="s">
        <v>76</v>
      </c>
      <c r="AW189" s="114"/>
      <c r="AX189" s="310"/>
      <c r="AY189" s="114"/>
      <c r="AZ189" s="246"/>
      <c r="BA189" s="114"/>
      <c r="BB189" s="1202" t="s">
        <v>574</v>
      </c>
      <c r="BC189" s="114"/>
      <c r="BD189" s="114"/>
      <c r="BE189" s="114"/>
      <c r="BF189" s="246"/>
      <c r="BG189" s="249"/>
      <c r="BH189" s="246" t="s">
        <v>319</v>
      </c>
      <c r="BI189" s="114"/>
      <c r="BJ189" s="114"/>
      <c r="BK189" s="114"/>
      <c r="BL189" s="114"/>
      <c r="BM189" s="114"/>
      <c r="BN189" s="114"/>
      <c r="BO189" s="114"/>
      <c r="BP189" s="114"/>
      <c r="BQ189" s="114"/>
      <c r="BR189" s="114"/>
      <c r="BS189" s="114"/>
      <c r="BT189" s="114"/>
      <c r="BU189" s="114"/>
      <c r="BV189" s="114"/>
      <c r="BW189" s="114"/>
      <c r="BX189" s="114"/>
      <c r="BY189" s="114"/>
      <c r="BZ189" s="114"/>
      <c r="CA189" s="114"/>
      <c r="CB189" s="114"/>
      <c r="CC189" s="114"/>
      <c r="CD189" s="114"/>
      <c r="CE189" s="114"/>
      <c r="CF189" s="114"/>
      <c r="CG189" s="114"/>
    </row>
    <row r="190" spans="1:85" hidden="1" outlineLevel="1">
      <c r="A190" s="114" t="s">
        <v>115</v>
      </c>
      <c r="B190" s="245" t="s">
        <v>96</v>
      </c>
      <c r="C190" s="114"/>
      <c r="D190" s="1088">
        <f>(S190/S183-1)*100</f>
        <v>11.363002664353438</v>
      </c>
      <c r="E190" s="246" t="s">
        <v>76</v>
      </c>
      <c r="F190" s="1139"/>
      <c r="G190" s="246" t="s">
        <v>76</v>
      </c>
      <c r="H190" s="1094">
        <f>D190-F190</f>
        <v>11.363002664353438</v>
      </c>
      <c r="I190" s="246" t="s">
        <v>76</v>
      </c>
      <c r="J190" s="1047">
        <f>205+4</f>
        <v>209</v>
      </c>
      <c r="K190" s="1063">
        <f>J190-J186</f>
        <v>0</v>
      </c>
      <c r="L190" s="1122">
        <f>AVERAGE(J190,J186)</f>
        <v>209</v>
      </c>
      <c r="M190" s="114"/>
      <c r="N190" s="1144">
        <f>(L190/L183-1)*100</f>
        <v>-1.4150943396226467</v>
      </c>
      <c r="O190" s="246" t="s">
        <v>76</v>
      </c>
      <c r="P190" s="1096">
        <f>H190/N190*100</f>
        <v>-802.98552161430655</v>
      </c>
      <c r="Q190" s="310" t="s">
        <v>76</v>
      </c>
      <c r="R190" s="114"/>
      <c r="S190" s="1204">
        <f>AY190-AS190</f>
        <v>71.891500000000008</v>
      </c>
      <c r="T190" s="114"/>
      <c r="U190" s="1125">
        <f>S190/L190</f>
        <v>0.34397846889952155</v>
      </c>
      <c r="V190" s="114"/>
      <c r="W190" s="1144">
        <f>(U190/U183-1)*100</f>
        <v>12.961514664320228</v>
      </c>
      <c r="X190" s="246" t="s">
        <v>76</v>
      </c>
      <c r="Y190" s="114"/>
      <c r="Z190" s="1047">
        <v>988</v>
      </c>
      <c r="AA190" s="114"/>
      <c r="AB190" s="1127">
        <f>AVERAGE(Z190,Z186)</f>
        <v>983.3</v>
      </c>
      <c r="AC190" s="114"/>
      <c r="AD190" s="1144">
        <f>(Z190/Z183-1)*100</f>
        <v>0.7135575942915473</v>
      </c>
      <c r="AE190" s="246" t="s">
        <v>76</v>
      </c>
      <c r="AF190" s="1124">
        <f>+H190/AD190*100</f>
        <v>1592.4436591043709</v>
      </c>
      <c r="AG190" s="310" t="s">
        <v>76</v>
      </c>
      <c r="AH190" s="114"/>
      <c r="AI190" s="1129">
        <f>+S190</f>
        <v>71.891500000000008</v>
      </c>
      <c r="AJ190" s="114"/>
      <c r="AK190" s="1097">
        <f>AI190/AB190*1000</f>
        <v>73.112478389097944</v>
      </c>
      <c r="AL190" s="114"/>
      <c r="AM190" s="1144">
        <f>(AK190/AK183-1)*100</f>
        <v>10.81938178284334</v>
      </c>
      <c r="AN190" s="246" t="s">
        <v>76</v>
      </c>
      <c r="AO190" s="246"/>
      <c r="AP190" s="246"/>
      <c r="AQ190" s="246"/>
      <c r="AR190" s="246"/>
      <c r="AS190" s="1100">
        <f>qtrSales!$AS$125*(AV190/100)</f>
        <v>6.8085000000000004</v>
      </c>
      <c r="AT190" s="114" t="s">
        <v>718</v>
      </c>
      <c r="AU190" s="1100">
        <f>(AS190/AS183-1)*100</f>
        <v>49.83494718309862</v>
      </c>
      <c r="AV190" s="1049">
        <f>100-AV69-AV292</f>
        <v>8.5</v>
      </c>
      <c r="AW190" s="114" t="s">
        <v>718</v>
      </c>
      <c r="AX190" s="1075"/>
      <c r="AY190" s="1081">
        <v>78.7</v>
      </c>
      <c r="AZ190" s="1103">
        <f>AY190/AY183-1</f>
        <v>0.13892908827785821</v>
      </c>
      <c r="BA190" s="114"/>
      <c r="BB190" s="1171">
        <f>BI190</f>
        <v>2.0474300529855811</v>
      </c>
      <c r="BC190" s="114"/>
      <c r="BD190" s="114"/>
      <c r="BE190" s="114"/>
      <c r="BF190" s="1163"/>
      <c r="BG190" s="1163"/>
      <c r="BH190" s="1205">
        <f>$BH$194*BI4</f>
        <v>2.0474300529855811</v>
      </c>
      <c r="BI190" s="1150">
        <f>SUM(BG190:BH190)</f>
        <v>2.0474300529855811</v>
      </c>
      <c r="BJ190" s="114"/>
      <c r="BK190" s="114"/>
      <c r="BL190" s="114"/>
      <c r="BM190" s="114"/>
      <c r="BN190" s="114"/>
      <c r="BO190" s="114"/>
      <c r="BP190" s="114"/>
      <c r="BQ190" s="114"/>
      <c r="BR190" s="114"/>
      <c r="BS190" s="114"/>
      <c r="BT190" s="114"/>
      <c r="BU190" s="114"/>
      <c r="BV190" s="114"/>
      <c r="BW190" s="114"/>
      <c r="BX190" s="114"/>
      <c r="BY190" s="114"/>
      <c r="BZ190" s="114"/>
      <c r="CA190" s="114"/>
      <c r="CB190" s="114"/>
      <c r="CC190" s="114"/>
      <c r="CD190" s="114"/>
      <c r="CE190" s="114"/>
      <c r="CF190" s="114"/>
      <c r="CG190" s="114"/>
    </row>
    <row r="191" spans="1:85" hidden="1" outlineLevel="1">
      <c r="A191" s="114" t="s">
        <v>116</v>
      </c>
      <c r="B191" s="245" t="s">
        <v>97</v>
      </c>
      <c r="C191" s="114"/>
      <c r="D191" s="1088">
        <f>(S191/S184-1)*100</f>
        <v>7.6597772350943893</v>
      </c>
      <c r="E191" s="114"/>
      <c r="F191" s="1139"/>
      <c r="G191" s="114"/>
      <c r="H191" s="1094">
        <f>D191-F191</f>
        <v>7.6597772350943893</v>
      </c>
      <c r="I191" s="114"/>
      <c r="J191" s="1047">
        <f>209+1-4</f>
        <v>206</v>
      </c>
      <c r="K191" s="1063">
        <f>J191-J190</f>
        <v>-3</v>
      </c>
      <c r="L191" s="1122">
        <f>AVERAGE(J191,J190)</f>
        <v>207.5</v>
      </c>
      <c r="M191" s="114"/>
      <c r="N191" s="1144">
        <f>(L191/L184-1)*100</f>
        <v>-2.352941176470591</v>
      </c>
      <c r="O191" s="246"/>
      <c r="P191" s="1096">
        <f>H191/N191*100</f>
        <v>-325.54053249151116</v>
      </c>
      <c r="Q191" s="310"/>
      <c r="R191" s="114"/>
      <c r="S191" s="1089">
        <f>AY191-AS191</f>
        <v>72.3</v>
      </c>
      <c r="T191" s="114"/>
      <c r="U191" s="1131">
        <f>S191/L191</f>
        <v>0.34843373493975904</v>
      </c>
      <c r="V191" s="114"/>
      <c r="W191" s="1144">
        <f>(U191/U184-1)*100</f>
        <v>10.253988734735241</v>
      </c>
      <c r="X191" s="246"/>
      <c r="Y191" s="114"/>
      <c r="Z191" s="1047">
        <v>976</v>
      </c>
      <c r="AA191" s="1057"/>
      <c r="AB191" s="1127">
        <f>AVERAGE(Z191,Z190)</f>
        <v>982</v>
      </c>
      <c r="AC191" s="114"/>
      <c r="AD191" s="1144">
        <f>(Z191/Z184-1)*100</f>
        <v>-1.0141987829614618</v>
      </c>
      <c r="AE191" s="246"/>
      <c r="AF191" s="1124">
        <f>+H191/AD191*100</f>
        <v>-755.25403538030571</v>
      </c>
      <c r="AG191" s="310"/>
      <c r="AH191" s="114"/>
      <c r="AI191" s="1132">
        <f>+S191</f>
        <v>72.3</v>
      </c>
      <c r="AJ191" s="114"/>
      <c r="AK191" s="1106">
        <f>AI191/AB191*1000</f>
        <v>73.625254582484729</v>
      </c>
      <c r="AL191" s="114"/>
      <c r="AM191" s="1144">
        <f>(AK191/AK184-1)*100</f>
        <v>7.8242269966551481</v>
      </c>
      <c r="AN191" s="246"/>
      <c r="AO191" s="246"/>
      <c r="AP191" s="246"/>
      <c r="AQ191" s="246"/>
      <c r="AR191" s="246"/>
      <c r="AS191" s="1100">
        <f>qtrSales!$AS$126*(AV191/100)</f>
        <v>6.8000000000000007</v>
      </c>
      <c r="AT191" s="114" t="s">
        <v>718</v>
      </c>
      <c r="AU191" s="1100">
        <f>(AS191/AS184-1)*100</f>
        <v>56.537753222836095</v>
      </c>
      <c r="AV191" s="1049">
        <f>100-AV70-AV293</f>
        <v>8.5</v>
      </c>
      <c r="AW191" s="114" t="s">
        <v>718</v>
      </c>
      <c r="AX191" s="1075"/>
      <c r="AY191" s="1102">
        <v>79.099999999999994</v>
      </c>
      <c r="AZ191" s="1103">
        <f>AY191/AY184-1</f>
        <v>0.10629370629370616</v>
      </c>
      <c r="BA191" s="114"/>
      <c r="BB191" s="1171">
        <f>BI191</f>
        <v>2.1689207050867401</v>
      </c>
      <c r="BC191" s="114"/>
      <c r="BD191" s="114"/>
      <c r="BE191" s="114"/>
      <c r="BF191" s="1163"/>
      <c r="BG191" s="1163"/>
      <c r="BH191" s="1206">
        <f>$BH$194*BI5</f>
        <v>2.1689207050867401</v>
      </c>
      <c r="BI191" s="1150">
        <f>SUM(BG191:BH191)</f>
        <v>2.1689207050867401</v>
      </c>
      <c r="BJ191" s="114"/>
      <c r="BK191" s="114"/>
      <c r="BL191" s="114"/>
      <c r="BM191" s="114"/>
      <c r="BN191" s="114"/>
      <c r="BO191" s="114"/>
      <c r="BP191" s="114"/>
      <c r="BQ191" s="114"/>
      <c r="BR191" s="114"/>
      <c r="BS191" s="114"/>
      <c r="BT191" s="114"/>
      <c r="BU191" s="114"/>
      <c r="BV191" s="114"/>
      <c r="BW191" s="114"/>
      <c r="BX191" s="114"/>
      <c r="BY191" s="114"/>
      <c r="BZ191" s="114"/>
      <c r="CA191" s="114"/>
      <c r="CB191" s="114"/>
      <c r="CC191" s="114"/>
      <c r="CD191" s="114"/>
      <c r="CE191" s="114"/>
      <c r="CF191" s="114"/>
      <c r="CG191" s="114"/>
    </row>
    <row r="192" spans="1:85" hidden="1" outlineLevel="1">
      <c r="A192" s="114" t="s">
        <v>117</v>
      </c>
      <c r="B192" s="245" t="s">
        <v>99</v>
      </c>
      <c r="C192" s="114"/>
      <c r="D192" s="1088">
        <f>(S192/S185-1)*100</f>
        <v>7.0109493678652379</v>
      </c>
      <c r="E192" s="114"/>
      <c r="F192" s="1139"/>
      <c r="G192" s="114"/>
      <c r="H192" s="1094">
        <f>D192-F192</f>
        <v>7.0109493678652379</v>
      </c>
      <c r="I192" s="114"/>
      <c r="J192" s="1047">
        <v>205</v>
      </c>
      <c r="K192" s="1063">
        <f>J192-J191</f>
        <v>-1</v>
      </c>
      <c r="L192" s="1122">
        <f>AVERAGE(J192,J191)</f>
        <v>205.5</v>
      </c>
      <c r="M192" s="114"/>
      <c r="N192" s="1144">
        <f>(L192/L185-1)*100</f>
        <v>-3.5211267605633756</v>
      </c>
      <c r="O192" s="246"/>
      <c r="P192" s="1096">
        <f>H192/N192*100</f>
        <v>-199.11096204737302</v>
      </c>
      <c r="Q192" s="310"/>
      <c r="R192" s="114"/>
      <c r="S192" s="1089">
        <f>AY192-AS192</f>
        <v>87.210000000000008</v>
      </c>
      <c r="T192" s="114"/>
      <c r="U192" s="1131">
        <f>S192/L192</f>
        <v>0.42437956204379568</v>
      </c>
      <c r="V192" s="114"/>
      <c r="W192" s="1144">
        <f>(U192/U185-1)*100</f>
        <v>10.916458468882229</v>
      </c>
      <c r="X192" s="246"/>
      <c r="Y192" s="114"/>
      <c r="Z192" s="1047">
        <v>972</v>
      </c>
      <c r="AA192" s="1057"/>
      <c r="AB192" s="1127">
        <f>AVERAGE(Z192,Z191)</f>
        <v>974</v>
      </c>
      <c r="AC192" s="114"/>
      <c r="AD192" s="1144">
        <f>(Z192/Z185-1)*100</f>
        <v>-2.5075225677031132</v>
      </c>
      <c r="AE192" s="246"/>
      <c r="AF192" s="1124">
        <f>+H192/AD192*100</f>
        <v>-279.59666079046525</v>
      </c>
      <c r="AG192" s="310"/>
      <c r="AH192" s="114"/>
      <c r="AI192" s="1132">
        <f>+S192</f>
        <v>87.210000000000008</v>
      </c>
      <c r="AJ192" s="114"/>
      <c r="AK192" s="1106">
        <f>AI192/AB192*1000</f>
        <v>89.537987679671474</v>
      </c>
      <c r="AL192" s="114"/>
      <c r="AM192" s="1144">
        <f>(AK192/AK185-1)*100</f>
        <v>8.9336306963433199</v>
      </c>
      <c r="AN192" s="246"/>
      <c r="AO192" s="246"/>
      <c r="AP192" s="246"/>
      <c r="AQ192" s="246"/>
      <c r="AR192" s="246"/>
      <c r="AS192" s="1100">
        <f>qtrSales!$AS$127*(AV192/100)</f>
        <v>12.690000000000001</v>
      </c>
      <c r="AT192" s="114" t="s">
        <v>718</v>
      </c>
      <c r="AU192" s="1100">
        <f>(AS192/AS185-1)*100</f>
        <v>36.397835978646413</v>
      </c>
      <c r="AV192" s="1049">
        <f>100-AV71-AV294</f>
        <v>13.5</v>
      </c>
      <c r="AW192" s="114" t="s">
        <v>718</v>
      </c>
      <c r="AX192" s="1075"/>
      <c r="AY192" s="1102">
        <v>99.9</v>
      </c>
      <c r="AZ192" s="1103">
        <f>AY192/AY185-1</f>
        <v>0.10022026431718078</v>
      </c>
      <c r="BA192" s="114"/>
      <c r="BB192" s="1171">
        <f>BI192</f>
        <v>2.5603913273528467</v>
      </c>
      <c r="BC192" s="114"/>
      <c r="BD192" s="114"/>
      <c r="BE192" s="1171"/>
      <c r="BF192" s="1163"/>
      <c r="BG192" s="1163"/>
      <c r="BH192" s="1206">
        <f>$BH$194*BI6</f>
        <v>2.5603913273528467</v>
      </c>
      <c r="BI192" s="1150">
        <f>SUM(BG192:BH192)</f>
        <v>2.5603913273528467</v>
      </c>
      <c r="BJ192" s="114"/>
      <c r="BK192" s="114"/>
      <c r="BL192" s="114"/>
      <c r="BM192" s="114"/>
      <c r="BN192" s="114"/>
      <c r="BO192" s="114"/>
      <c r="BP192" s="114"/>
      <c r="BQ192" s="114"/>
      <c r="BR192" s="114"/>
      <c r="BS192" s="114"/>
      <c r="BT192" s="114"/>
      <c r="BU192" s="114"/>
      <c r="BV192" s="114"/>
      <c r="BW192" s="114"/>
      <c r="BX192" s="114"/>
      <c r="BY192" s="114"/>
      <c r="BZ192" s="114"/>
      <c r="CA192" s="114"/>
      <c r="CB192" s="114"/>
      <c r="CC192" s="114"/>
      <c r="CD192" s="114"/>
      <c r="CE192" s="114"/>
      <c r="CF192" s="114"/>
      <c r="CG192" s="114"/>
    </row>
    <row r="193" spans="1:92" hidden="1" outlineLevel="1">
      <c r="A193" s="114" t="s">
        <v>118</v>
      </c>
      <c r="B193" s="245" t="s">
        <v>100</v>
      </c>
      <c r="C193" s="114"/>
      <c r="D193" s="1061">
        <f>(S193/S186-1)*100</f>
        <v>10.169280786906999</v>
      </c>
      <c r="E193" s="114"/>
      <c r="F193" s="1139"/>
      <c r="G193" s="114"/>
      <c r="H193" s="1062">
        <f>D193-F193</f>
        <v>10.169280786906999</v>
      </c>
      <c r="I193" s="114"/>
      <c r="J193" s="1063">
        <f>squft!$CE$23</f>
        <v>185</v>
      </c>
      <c r="K193" s="1063">
        <f>J193-J192</f>
        <v>-20</v>
      </c>
      <c r="L193" s="1108">
        <f>AVERAGE(J193,J192)</f>
        <v>195</v>
      </c>
      <c r="M193" s="114"/>
      <c r="N193" s="1104">
        <f>(L193/L186-1)*100</f>
        <v>-7.5829383886255926</v>
      </c>
      <c r="O193" s="246"/>
      <c r="P193" s="1189">
        <f>H193/N193*100</f>
        <v>-134.10739037733603</v>
      </c>
      <c r="Q193" s="310"/>
      <c r="R193" s="114"/>
      <c r="S193" s="1092">
        <f>AY193-AS193</f>
        <v>119.61850000000001</v>
      </c>
      <c r="T193" s="114"/>
      <c r="U193" s="1133">
        <f>S193/L193</f>
        <v>0.61342820512820517</v>
      </c>
      <c r="V193" s="114"/>
      <c r="W193" s="1104">
        <f>(U193/U186-1)*100</f>
        <v>19.208811518140401</v>
      </c>
      <c r="X193" s="246"/>
      <c r="Y193" s="114"/>
      <c r="Z193" s="1063">
        <f>squft!$CG$23</f>
        <v>878.80000000000007</v>
      </c>
      <c r="AA193" s="1057"/>
      <c r="AB193" s="1110">
        <f>AVERAGE(Z193,Z192)</f>
        <v>925.40000000000009</v>
      </c>
      <c r="AC193" s="114"/>
      <c r="AD193" s="1104">
        <f>(Z193/Z186-1)*100</f>
        <v>-10.198242387083589</v>
      </c>
      <c r="AE193" s="246"/>
      <c r="AF193" s="1108">
        <f>+H193/AD193*100</f>
        <v>-99.716013808288466</v>
      </c>
      <c r="AG193" s="310"/>
      <c r="AH193" s="114"/>
      <c r="AI193" s="1111">
        <f>+S193</f>
        <v>119.61850000000001</v>
      </c>
      <c r="AJ193" s="114"/>
      <c r="AK193" s="1135">
        <f>AI193/AB193*1000</f>
        <v>129.26140047547008</v>
      </c>
      <c r="AL193" s="114"/>
      <c r="AM193" s="1104">
        <f>(AK193/AK186-1)*100</f>
        <v>17.598028486391538</v>
      </c>
      <c r="AN193" s="246"/>
      <c r="AO193" s="246"/>
      <c r="AP193" s="246"/>
      <c r="AQ193" s="246"/>
      <c r="AR193" s="246"/>
      <c r="AS193" s="1136">
        <f>qtrSales!$AS$128*(AV193/100)</f>
        <v>5.2814999999999994</v>
      </c>
      <c r="AT193" s="1042" t="s">
        <v>718</v>
      </c>
      <c r="AU193" s="1136">
        <f>(AS193/AS186-1)*100</f>
        <v>63.869066087496115</v>
      </c>
      <c r="AV193" s="1064">
        <f>100-AV72-AV295</f>
        <v>3.5</v>
      </c>
      <c r="AW193" s="1042" t="s">
        <v>718</v>
      </c>
      <c r="AX193" s="1075"/>
      <c r="AY193" s="1145">
        <v>124.9</v>
      </c>
      <c r="AZ193" s="1138">
        <f>AY193/AY186-1</f>
        <v>0.11717352415026849</v>
      </c>
      <c r="BA193" s="114"/>
      <c r="BB193" s="1171">
        <f>BI193</f>
        <v>0</v>
      </c>
      <c r="BC193" s="114"/>
      <c r="BD193" s="114"/>
      <c r="BE193" s="114"/>
      <c r="BF193" s="1163"/>
      <c r="BG193" s="1163"/>
      <c r="BH193" s="1207"/>
      <c r="BI193" s="1150"/>
      <c r="BJ193" s="114"/>
      <c r="BK193" s="114"/>
      <c r="BL193" s="114"/>
      <c r="BM193" s="114"/>
      <c r="BN193" s="114"/>
      <c r="BO193" s="114"/>
      <c r="BP193" s="114"/>
      <c r="BQ193" s="114"/>
      <c r="BR193" s="114"/>
      <c r="BS193" s="114"/>
      <c r="BT193" s="114"/>
      <c r="BU193" s="114"/>
      <c r="BV193" s="114"/>
      <c r="BW193" s="114"/>
      <c r="BX193" s="114"/>
      <c r="BY193" s="114"/>
      <c r="BZ193" s="114"/>
      <c r="CA193" s="114"/>
      <c r="CB193" s="114"/>
      <c r="CC193" s="114"/>
      <c r="CD193" s="114"/>
      <c r="CE193" s="114"/>
      <c r="CF193" s="114"/>
      <c r="CG193" s="114"/>
    </row>
    <row r="194" spans="1:92" hidden="1" outlineLevel="1">
      <c r="A194" s="114"/>
      <c r="B194" s="245" t="s">
        <v>119</v>
      </c>
      <c r="C194" s="114"/>
      <c r="D194" s="1123">
        <f>(S194/S187-1)*100</f>
        <v>9.0851457907756394</v>
      </c>
      <c r="E194" s="114"/>
      <c r="F194" s="1139"/>
      <c r="G194" s="114"/>
      <c r="H194" s="1126">
        <f>D194-F194</f>
        <v>9.0851457907756394</v>
      </c>
      <c r="I194" s="114"/>
      <c r="J194" s="1063"/>
      <c r="K194" s="114"/>
      <c r="L194" s="1122">
        <f>AVERAGE(L190:L193)</f>
        <v>204.25</v>
      </c>
      <c r="M194" s="114"/>
      <c r="N194" s="1144">
        <f>(L194/L187-1)*100</f>
        <v>-3.7124337065409518</v>
      </c>
      <c r="O194" s="246"/>
      <c r="P194" s="1049">
        <f>H194/N194*100</f>
        <v>-244.72210169755985</v>
      </c>
      <c r="Q194" s="310"/>
      <c r="R194" s="114"/>
      <c r="S194" s="1095">
        <f>SUM(S190:S193)</f>
        <v>351.02000000000004</v>
      </c>
      <c r="T194" s="114"/>
      <c r="U194" s="1125">
        <f>SUM(U190:U193)</f>
        <v>1.7302199710112813</v>
      </c>
      <c r="V194" s="114"/>
      <c r="W194" s="1126">
        <f>(U194/U187-1)*100</f>
        <v>14.000324142134591</v>
      </c>
      <c r="X194" s="246"/>
      <c r="Y194" s="114"/>
      <c r="Z194" s="114"/>
      <c r="AA194" s="114"/>
      <c r="AB194" s="1127">
        <f>AVERAGE(AB190:AB193)</f>
        <v>966.17500000000007</v>
      </c>
      <c r="AC194" s="114"/>
      <c r="AD194" s="1144">
        <f>Z193/Z186-1</f>
        <v>-0.10198242387083589</v>
      </c>
      <c r="AE194" s="246"/>
      <c r="AF194" s="1124">
        <f>+H194/AD194*100</f>
        <v>-8908.540752357756</v>
      </c>
      <c r="AG194" s="310"/>
      <c r="AH194" s="114"/>
      <c r="AI194" s="1129">
        <f>SUM(AI190:AI193)</f>
        <v>351.02000000000004</v>
      </c>
      <c r="AJ194" s="114"/>
      <c r="AK194" s="1097">
        <f>SUM(AK190:AK193)</f>
        <v>365.53712112672417</v>
      </c>
      <c r="AL194" s="114"/>
      <c r="AM194" s="1126">
        <f>(AK194/AK187-1)*100</f>
        <v>12.000797723931967</v>
      </c>
      <c r="AN194" s="246"/>
      <c r="AO194" s="246"/>
      <c r="AP194" s="246"/>
      <c r="AQ194" s="246"/>
      <c r="AR194" s="246"/>
      <c r="AS194" s="1100">
        <f>SUM(AS190:AS193)</f>
        <v>31.580000000000005</v>
      </c>
      <c r="AT194" s="114" t="s">
        <v>718</v>
      </c>
      <c r="AU194" s="1100">
        <f>(AS194/AS187-1)*100</f>
        <v>47.469024344685891</v>
      </c>
      <c r="AV194" s="1124">
        <f>(AS194/qtrSales!AS$129)*100</f>
        <v>7.7975308641975332</v>
      </c>
      <c r="AW194" s="114" t="s">
        <v>718</v>
      </c>
      <c r="AX194" s="1075"/>
      <c r="AY194" s="1142">
        <f>SUM(AY190:AY193)</f>
        <v>382.6</v>
      </c>
      <c r="AZ194" s="1103">
        <f>AY194/AY187-1</f>
        <v>0.11480186480186494</v>
      </c>
      <c r="BA194" s="114"/>
      <c r="BB194" s="1171">
        <f>BI194</f>
        <v>10</v>
      </c>
      <c r="BC194" s="114"/>
      <c r="BD194" s="114"/>
      <c r="BE194" s="114"/>
      <c r="BF194" s="1150"/>
      <c r="BG194" s="1170"/>
      <c r="BH194" s="1170">
        <f>+BQ286</f>
        <v>10</v>
      </c>
      <c r="BI194" s="1150">
        <f>SUM(BG194:BH194)</f>
        <v>10</v>
      </c>
      <c r="BJ194" s="114"/>
      <c r="BK194" s="114"/>
      <c r="BL194" s="114"/>
      <c r="BM194" s="114"/>
      <c r="BN194" s="114"/>
      <c r="BO194" s="114"/>
      <c r="BP194" s="114"/>
      <c r="BQ194" s="114"/>
      <c r="BR194" s="114"/>
      <c r="BS194" s="114"/>
      <c r="BT194" s="114"/>
      <c r="BU194" s="114"/>
      <c r="BV194" s="114"/>
      <c r="BW194" s="114"/>
      <c r="BX194" s="114"/>
      <c r="BY194" s="114"/>
      <c r="BZ194" s="114"/>
      <c r="CA194" s="114"/>
      <c r="CB194" s="114"/>
      <c r="CC194" s="114"/>
      <c r="CD194" s="114"/>
      <c r="CE194" s="114"/>
      <c r="CF194" s="114"/>
      <c r="CG194" s="114"/>
    </row>
    <row r="195" spans="1:92" hidden="1" outlineLevel="1">
      <c r="A195" s="114"/>
      <c r="B195" s="245"/>
      <c r="C195" s="114"/>
      <c r="D195" s="1123"/>
      <c r="E195" s="114"/>
      <c r="F195" s="1139"/>
      <c r="G195" s="114"/>
      <c r="H195" s="1126"/>
      <c r="I195" s="114"/>
      <c r="J195" s="1063"/>
      <c r="K195" s="114"/>
      <c r="L195" s="1122"/>
      <c r="M195" s="114"/>
      <c r="N195" s="1144"/>
      <c r="O195" s="246"/>
      <c r="P195" s="1049"/>
      <c r="Q195" s="310"/>
      <c r="R195" s="114"/>
      <c r="S195" s="1095"/>
      <c r="T195" s="114"/>
      <c r="U195" s="1125"/>
      <c r="V195" s="114"/>
      <c r="W195" s="1126"/>
      <c r="X195" s="246"/>
      <c r="Y195" s="114"/>
      <c r="Z195" s="114"/>
      <c r="AA195" s="114"/>
      <c r="AB195" s="1127"/>
      <c r="AC195" s="114"/>
      <c r="AD195" s="1144"/>
      <c r="AE195" s="246"/>
      <c r="AF195" s="1124"/>
      <c r="AG195" s="310"/>
      <c r="AH195" s="114"/>
      <c r="AI195" s="1129"/>
      <c r="AJ195" s="114"/>
      <c r="AK195" s="1097"/>
      <c r="AL195" s="114"/>
      <c r="AM195" s="1126"/>
      <c r="AN195" s="246"/>
      <c r="AO195" s="246"/>
      <c r="AP195" s="246"/>
      <c r="AQ195" s="246"/>
      <c r="AR195" s="246"/>
      <c r="AS195" s="1100"/>
      <c r="AT195" s="114"/>
      <c r="AU195" s="1100"/>
      <c r="AV195" s="1124"/>
      <c r="AW195" s="114"/>
      <c r="AX195" s="1075"/>
      <c r="AY195" s="1142"/>
      <c r="AZ195" s="1103"/>
      <c r="BA195" s="114"/>
      <c r="BC195" s="114"/>
      <c r="BD195" s="114"/>
      <c r="BE195" s="114"/>
      <c r="BF195" s="114"/>
      <c r="BG195" s="114"/>
      <c r="BH195" s="114"/>
      <c r="BI195" s="114"/>
      <c r="BJ195" s="114"/>
      <c r="BK195" s="114"/>
      <c r="BL195" s="114"/>
      <c r="BM195" s="114"/>
      <c r="BN195" s="114"/>
      <c r="BO195" s="114"/>
      <c r="BP195" s="114"/>
      <c r="BQ195" s="114"/>
      <c r="BR195" s="114"/>
      <c r="BS195" s="114"/>
      <c r="BT195" s="114"/>
      <c r="BU195" s="114"/>
      <c r="BV195" s="114"/>
      <c r="BW195" s="114"/>
      <c r="BX195" s="114"/>
      <c r="BY195" s="114"/>
      <c r="BZ195" s="114"/>
      <c r="CA195" s="114"/>
      <c r="CB195" s="114"/>
      <c r="CC195" s="114"/>
      <c r="CD195" s="114"/>
      <c r="CE195" s="114"/>
      <c r="CF195" s="114"/>
      <c r="CG195" s="114"/>
    </row>
    <row r="196" spans="1:92" hidden="1" outlineLevel="1">
      <c r="A196" s="1120"/>
      <c r="B196" s="1113">
        <v>2011</v>
      </c>
      <c r="C196" s="114"/>
      <c r="D196" s="114"/>
      <c r="E196" s="246"/>
      <c r="F196" s="1139"/>
      <c r="G196" s="246"/>
      <c r="H196" s="114"/>
      <c r="I196" s="246"/>
      <c r="J196" s="114"/>
      <c r="K196" s="114"/>
      <c r="L196" s="246"/>
      <c r="M196" s="114"/>
      <c r="N196" s="114"/>
      <c r="O196" s="246"/>
      <c r="P196" s="310"/>
      <c r="Q196" s="310"/>
      <c r="R196" s="114"/>
      <c r="S196" s="1103"/>
      <c r="T196" s="114"/>
      <c r="U196" s="246"/>
      <c r="V196" s="114"/>
      <c r="W196" s="114"/>
      <c r="X196" s="246"/>
      <c r="Y196" s="114"/>
      <c r="Z196" s="114"/>
      <c r="AA196" s="114"/>
      <c r="AB196" s="114"/>
      <c r="AC196" s="114"/>
      <c r="AD196" s="114"/>
      <c r="AE196" s="246"/>
      <c r="AF196" s="249"/>
      <c r="AG196" s="310"/>
      <c r="AH196" s="114"/>
      <c r="AI196" s="114"/>
      <c r="AJ196" s="114"/>
      <c r="AK196" s="246"/>
      <c r="AL196" s="114"/>
      <c r="AM196" s="246"/>
      <c r="AN196" s="246"/>
      <c r="AO196" s="246"/>
      <c r="AP196" s="246"/>
      <c r="AQ196" s="246"/>
      <c r="AR196" s="246"/>
      <c r="AS196" s="114"/>
      <c r="AT196" s="114"/>
      <c r="AU196" s="114"/>
      <c r="AV196" s="1121" t="s">
        <v>76</v>
      </c>
      <c r="AW196" s="114"/>
      <c r="AX196" s="310"/>
      <c r="AY196" s="114"/>
      <c r="AZ196" s="246"/>
      <c r="BA196" s="114"/>
      <c r="BB196" s="1202" t="s">
        <v>574</v>
      </c>
      <c r="BC196" s="114"/>
      <c r="BD196" s="114"/>
      <c r="BE196" s="114"/>
      <c r="BF196" s="246"/>
      <c r="BG196" s="249"/>
      <c r="BH196" s="246" t="s">
        <v>319</v>
      </c>
      <c r="BI196" s="114"/>
      <c r="BJ196" s="114"/>
      <c r="BK196" s="114"/>
      <c r="BL196" s="114"/>
      <c r="BM196" s="114"/>
      <c r="BN196" s="114"/>
      <c r="BO196" s="114"/>
      <c r="BP196" s="114"/>
      <c r="BQ196" s="114"/>
      <c r="BR196" s="114"/>
      <c r="BS196" s="114"/>
      <c r="BT196" s="114"/>
      <c r="BU196" s="114"/>
      <c r="BV196" s="114"/>
      <c r="BW196" s="114"/>
      <c r="BX196" s="114"/>
      <c r="BY196" s="114"/>
      <c r="BZ196" s="114"/>
      <c r="CA196" s="114"/>
      <c r="CB196" s="114"/>
      <c r="CC196" s="114"/>
      <c r="CD196" s="114"/>
      <c r="CE196" s="114"/>
      <c r="CF196" s="114"/>
      <c r="CG196" s="114"/>
    </row>
    <row r="197" spans="1:92" hidden="1" outlineLevel="1">
      <c r="A197" s="114" t="s">
        <v>115</v>
      </c>
      <c r="B197" s="245" t="s">
        <v>96</v>
      </c>
      <c r="C197" s="114"/>
      <c r="D197" s="1088">
        <f>(S197/S190-1)*100</f>
        <v>3.5351884436963799</v>
      </c>
      <c r="E197" s="246" t="s">
        <v>76</v>
      </c>
      <c r="F197" s="1139"/>
      <c r="G197" s="246" t="s">
        <v>76</v>
      </c>
      <c r="H197" s="1094">
        <f>D197-F197</f>
        <v>3.5351884436963799</v>
      </c>
      <c r="I197" s="246" t="s">
        <v>76</v>
      </c>
      <c r="J197" s="1047">
        <f>181+4</f>
        <v>185</v>
      </c>
      <c r="K197" s="1063">
        <f>J197-J193</f>
        <v>0</v>
      </c>
      <c r="L197" s="1122">
        <f>AVERAGE(J197,J193)</f>
        <v>185</v>
      </c>
      <c r="M197" s="114"/>
      <c r="N197" s="1144">
        <f>(L197/L190-1)*100</f>
        <v>-11.483253588516751</v>
      </c>
      <c r="O197" s="246" t="s">
        <v>76</v>
      </c>
      <c r="P197" s="1096">
        <f>H197/N197*100</f>
        <v>-30.785599363855958</v>
      </c>
      <c r="Q197" s="310" t="s">
        <v>76</v>
      </c>
      <c r="R197" s="114"/>
      <c r="S197" s="1204">
        <f>AY197-AS197</f>
        <v>74.432999999999993</v>
      </c>
      <c r="T197" s="114"/>
      <c r="U197" s="1125">
        <f>S197/L197</f>
        <v>0.40234054054054053</v>
      </c>
      <c r="V197" s="114"/>
      <c r="W197" s="1144">
        <f>(U197/U190-1)*100</f>
        <v>16.966780458013766</v>
      </c>
      <c r="X197" s="246" t="s">
        <v>76</v>
      </c>
      <c r="Y197" s="114"/>
      <c r="Z197" s="1047">
        <v>879</v>
      </c>
      <c r="AA197" s="114"/>
      <c r="AB197" s="1127">
        <f>AVERAGE(Z197,Z193)</f>
        <v>878.90000000000009</v>
      </c>
      <c r="AC197" s="114"/>
      <c r="AD197" s="1144">
        <f>(Z197/Z190-1)*100</f>
        <v>-11.032388663967607</v>
      </c>
      <c r="AE197" s="246" t="s">
        <v>76</v>
      </c>
      <c r="AF197" s="1124">
        <f>+H197/AD197*100</f>
        <v>-32.043726443780038</v>
      </c>
      <c r="AG197" s="310" t="s">
        <v>76</v>
      </c>
      <c r="AH197" s="114"/>
      <c r="AI197" s="1129">
        <f>+S197</f>
        <v>74.432999999999993</v>
      </c>
      <c r="AJ197" s="114"/>
      <c r="AK197" s="1097">
        <f>AI197/AB197*1000</f>
        <v>84.688815564910655</v>
      </c>
      <c r="AL197" s="114"/>
      <c r="AM197" s="1144">
        <f>(AK197/AK190-1)*100</f>
        <v>15.833599723161473</v>
      </c>
      <c r="AN197" s="246" t="s">
        <v>76</v>
      </c>
      <c r="AO197" s="246"/>
      <c r="AP197" s="246"/>
      <c r="AQ197" s="246"/>
      <c r="AR197" s="246"/>
      <c r="AS197" s="1100">
        <f>qtrSales!$AS$132*(AV197/100)</f>
        <v>12.167000000000002</v>
      </c>
      <c r="AT197" s="114" t="s">
        <v>718</v>
      </c>
      <c r="AU197" s="1100">
        <f>(AS197/AS190-1)*100</f>
        <v>78.703091723580826</v>
      </c>
      <c r="AV197" s="1049">
        <f>100-AV76-AV299</f>
        <v>11.5</v>
      </c>
      <c r="AW197" s="114" t="s">
        <v>718</v>
      </c>
      <c r="AX197" s="1075"/>
      <c r="AY197" s="1081">
        <v>86.6</v>
      </c>
      <c r="AZ197" s="1103">
        <f>AY197/AY190-1</f>
        <v>0.10038119440914861</v>
      </c>
      <c r="BA197" s="114"/>
      <c r="BB197" s="1171">
        <f>BI197</f>
        <v>0</v>
      </c>
      <c r="BC197" s="114"/>
      <c r="BD197" s="114"/>
      <c r="BE197" s="114"/>
      <c r="BF197" s="1163"/>
      <c r="BG197" s="1163"/>
      <c r="BH197" s="1205"/>
      <c r="BI197" s="1150">
        <f>SUM(BG197:BH197)</f>
        <v>0</v>
      </c>
      <c r="BJ197" s="114"/>
      <c r="BK197" s="114"/>
      <c r="BL197" s="114"/>
      <c r="BM197" s="114"/>
      <c r="BN197" s="114"/>
      <c r="BO197" s="114"/>
      <c r="BP197" s="114"/>
      <c r="BQ197" s="114"/>
      <c r="BR197" s="114"/>
      <c r="BS197" s="114"/>
      <c r="BT197" s="114"/>
      <c r="BU197" s="114"/>
      <c r="BV197" s="114"/>
      <c r="BW197" s="114"/>
      <c r="BX197" s="114"/>
      <c r="BY197" s="114"/>
      <c r="BZ197" s="114"/>
      <c r="CA197" s="114"/>
      <c r="CB197" s="114"/>
      <c r="CC197" s="114"/>
      <c r="CD197" s="114"/>
      <c r="CE197" s="114"/>
      <c r="CF197" s="114"/>
      <c r="CG197" s="114"/>
    </row>
    <row r="198" spans="1:92" hidden="1" outlineLevel="1">
      <c r="A198" s="114" t="s">
        <v>116</v>
      </c>
      <c r="B198" s="245" t="s">
        <v>97</v>
      </c>
      <c r="C198" s="114"/>
      <c r="D198" s="1088">
        <f>(S198/S191-1)*100</f>
        <v>-1.0096818810511832</v>
      </c>
      <c r="E198" s="114"/>
      <c r="F198" s="1139"/>
      <c r="G198" s="114"/>
      <c r="H198" s="1144">
        <f>D198-F198</f>
        <v>-1.0096818810511832</v>
      </c>
      <c r="I198" s="114"/>
      <c r="J198" s="1047">
        <f>179+4</f>
        <v>183</v>
      </c>
      <c r="K198" s="1063">
        <f>J198-J197</f>
        <v>-2</v>
      </c>
      <c r="L198" s="1122">
        <f>AVERAGE(J198,J197)</f>
        <v>184</v>
      </c>
      <c r="M198" s="114"/>
      <c r="N198" s="1144">
        <f>(L198/L191-1)*100</f>
        <v>-11.325301204819283</v>
      </c>
      <c r="O198" s="246"/>
      <c r="P198" s="1208">
        <f>H198/N198*100</f>
        <v>8.9152761837498034</v>
      </c>
      <c r="Q198" s="310"/>
      <c r="R198" s="114"/>
      <c r="S198" s="1089">
        <f>AY198-AS198</f>
        <v>71.569999999999993</v>
      </c>
      <c r="T198" s="114"/>
      <c r="U198" s="1131">
        <f>S198/L198</f>
        <v>0.38896739130434776</v>
      </c>
      <c r="V198" s="114"/>
      <c r="W198" s="1144">
        <f>(U198/U191-1)*100</f>
        <v>11.633103313488458</v>
      </c>
      <c r="X198" s="246"/>
      <c r="Y198" s="114"/>
      <c r="Z198" s="1047">
        <v>870</v>
      </c>
      <c r="AA198" s="1057"/>
      <c r="AB198" s="1127">
        <f>AVERAGE(Z198,Z197)</f>
        <v>874.5</v>
      </c>
      <c r="AC198" s="114"/>
      <c r="AD198" s="1144">
        <f>(Z198/Z191-1)*100</f>
        <v>-10.860655737704917</v>
      </c>
      <c r="AE198" s="246"/>
      <c r="AF198" s="1124">
        <f>+H198/AD198*100</f>
        <v>9.2966935462825937</v>
      </c>
      <c r="AG198" s="310"/>
      <c r="AH198" s="114"/>
      <c r="AI198" s="1132">
        <f>+S198</f>
        <v>71.569999999999993</v>
      </c>
      <c r="AJ198" s="114"/>
      <c r="AK198" s="1106">
        <f>AI198/AB198*1000</f>
        <v>81.841052029731273</v>
      </c>
      <c r="AL198" s="114"/>
      <c r="AM198" s="1144">
        <f>(AK198/AK191-1)*100</f>
        <v>11.158939271363909</v>
      </c>
      <c r="AN198" s="246"/>
      <c r="AO198" s="246"/>
      <c r="AP198" s="246"/>
      <c r="AQ198" s="246"/>
      <c r="AR198" s="246"/>
      <c r="AS198" s="1100">
        <f>qtrSales!$AS$133*(AV198/100)</f>
        <v>11.73</v>
      </c>
      <c r="AT198" s="114" t="s">
        <v>718</v>
      </c>
      <c r="AU198" s="1100">
        <f>(AS198/AS191-1)*100</f>
        <v>72.499999999999986</v>
      </c>
      <c r="AV198" s="1049">
        <f>100-AV77-AV300</f>
        <v>11.5</v>
      </c>
      <c r="AW198" s="114" t="s">
        <v>718</v>
      </c>
      <c r="AX198" s="1075"/>
      <c r="AY198" s="1102">
        <v>83.3</v>
      </c>
      <c r="AZ198" s="1103">
        <f>AY198/AY191-1</f>
        <v>5.3097345132743445E-2</v>
      </c>
      <c r="BA198" s="114"/>
      <c r="BB198" s="1171">
        <f>BI198</f>
        <v>0</v>
      </c>
      <c r="BC198" s="114"/>
      <c r="BD198" s="114"/>
      <c r="BE198" s="114"/>
      <c r="BF198" s="1163"/>
      <c r="BG198" s="1163"/>
      <c r="BH198" s="1206"/>
      <c r="BI198" s="1150">
        <f>SUM(BG198:BH198)</f>
        <v>0</v>
      </c>
      <c r="BJ198" s="114"/>
      <c r="BK198" s="114"/>
      <c r="BL198" s="114"/>
      <c r="BM198" s="114"/>
      <c r="BN198" s="114"/>
      <c r="BO198" s="114"/>
      <c r="BP198" s="114"/>
      <c r="BQ198" s="114"/>
      <c r="BR198" s="114"/>
      <c r="BS198" s="114"/>
      <c r="BT198" s="114"/>
      <c r="BU198" s="114"/>
      <c r="BV198" s="114"/>
      <c r="BW198" s="114"/>
      <c r="BX198" s="114"/>
      <c r="BY198" s="114"/>
      <c r="BZ198" s="114"/>
      <c r="CA198" s="114"/>
      <c r="CB198" s="114"/>
      <c r="CC198" s="114"/>
      <c r="CD198" s="114"/>
      <c r="CE198" s="114"/>
      <c r="CF198" s="114"/>
      <c r="CG198" s="114"/>
    </row>
    <row r="199" spans="1:92" hidden="1" outlineLevel="1">
      <c r="A199" s="114" t="s">
        <v>117</v>
      </c>
      <c r="B199" s="245" t="s">
        <v>99</v>
      </c>
      <c r="C199" s="114"/>
      <c r="D199" s="1088">
        <f>(S199/S192-1)*100</f>
        <v>-5.5681687879830406</v>
      </c>
      <c r="E199" s="114"/>
      <c r="F199" s="1139"/>
      <c r="G199" s="114"/>
      <c r="H199" s="1144">
        <f>D199-F199</f>
        <v>-5.5681687879830406</v>
      </c>
      <c r="I199" s="114"/>
      <c r="J199" s="1047">
        <f>179+4</f>
        <v>183</v>
      </c>
      <c r="K199" s="1063">
        <f>J199-J198</f>
        <v>0</v>
      </c>
      <c r="L199" s="1122">
        <f>AVERAGE(J199,J198)</f>
        <v>183</v>
      </c>
      <c r="M199" s="114"/>
      <c r="N199" s="1144">
        <f>(L199/L192-1)*100</f>
        <v>-10.948905109489049</v>
      </c>
      <c r="O199" s="246"/>
      <c r="P199" s="1208">
        <f>H199/N199*100</f>
        <v>50.855941596911777</v>
      </c>
      <c r="Q199" s="310"/>
      <c r="R199" s="114"/>
      <c r="S199" s="1089">
        <f>AY199-AS199</f>
        <v>82.353999999999999</v>
      </c>
      <c r="T199" s="114"/>
      <c r="U199" s="1131">
        <f>S199/L199</f>
        <v>0.45002185792349725</v>
      </c>
      <c r="V199" s="114"/>
      <c r="W199" s="1144">
        <f>(U199/U192-1)*100</f>
        <v>6.0423022626747702</v>
      </c>
      <c r="X199" s="246"/>
      <c r="Y199" s="114"/>
      <c r="Z199" s="1047">
        <v>870</v>
      </c>
      <c r="AA199" s="1057"/>
      <c r="AB199" s="1127">
        <f>AVERAGE(Z199,Z198)</f>
        <v>870</v>
      </c>
      <c r="AC199" s="114"/>
      <c r="AD199" s="1144">
        <f>(Z199/Z192-1)*100</f>
        <v>-10.493827160493829</v>
      </c>
      <c r="AE199" s="246"/>
      <c r="AF199" s="1124">
        <f>+H199/AD199*100</f>
        <v>53.061373156073664</v>
      </c>
      <c r="AG199" s="310"/>
      <c r="AH199" s="114"/>
      <c r="AI199" s="1132">
        <f>+S199</f>
        <v>82.353999999999999</v>
      </c>
      <c r="AJ199" s="114"/>
      <c r="AK199" s="1106">
        <f>AI199/AB199*1000</f>
        <v>94.659770114942532</v>
      </c>
      <c r="AL199" s="114"/>
      <c r="AM199" s="1144">
        <f>(AK199/AK192-1)*100</f>
        <v>5.7202340235684046</v>
      </c>
      <c r="AN199" s="246"/>
      <c r="AO199" s="246"/>
      <c r="AP199" s="246"/>
      <c r="AQ199" s="246"/>
      <c r="AR199" s="246"/>
      <c r="AS199" s="1100">
        <f>qtrSales!$AS$134*(AV199/100)</f>
        <v>21.846000000000004</v>
      </c>
      <c r="AT199" s="114" t="s">
        <v>718</v>
      </c>
      <c r="AU199" s="1100">
        <f>(AS199/AS192-1)*100</f>
        <v>72.151300236406641</v>
      </c>
      <c r="AV199" s="1049">
        <f>100-AV78-AV301</f>
        <v>16.5</v>
      </c>
      <c r="AW199" s="114" t="s">
        <v>718</v>
      </c>
      <c r="AX199" s="1075"/>
      <c r="AY199" s="1102">
        <v>104.2</v>
      </c>
      <c r="AZ199" s="1103">
        <f>AY199/AY192-1</f>
        <v>4.3043043043043072E-2</v>
      </c>
      <c r="BA199" s="114"/>
      <c r="BB199" s="1171">
        <f>BI199</f>
        <v>0</v>
      </c>
      <c r="BC199" s="114"/>
      <c r="BD199" s="114"/>
      <c r="BE199" s="1171"/>
      <c r="BF199" s="1163"/>
      <c r="BG199" s="1163"/>
      <c r="BH199" s="1206"/>
      <c r="BI199" s="1150">
        <f>SUM(BG199:BH199)</f>
        <v>0</v>
      </c>
      <c r="BJ199" s="114"/>
      <c r="BK199" s="114"/>
      <c r="BL199" s="114"/>
      <c r="BM199" s="114"/>
      <c r="BN199" s="114"/>
      <c r="BO199" s="114"/>
      <c r="BP199" s="114"/>
      <c r="BQ199" s="114"/>
      <c r="BR199" s="114"/>
      <c r="BS199" s="114"/>
      <c r="BT199" s="114"/>
      <c r="BU199" s="114"/>
      <c r="BV199" s="114"/>
      <c r="BW199" s="114"/>
      <c r="BX199" s="114"/>
      <c r="BY199" s="114"/>
      <c r="BZ199" s="114"/>
      <c r="CA199" s="114"/>
      <c r="CB199" s="114"/>
      <c r="CC199" s="114"/>
      <c r="CD199" s="114"/>
      <c r="CE199" s="114"/>
      <c r="CF199" s="114"/>
      <c r="CG199" s="114"/>
    </row>
    <row r="200" spans="1:92" hidden="1" outlineLevel="1">
      <c r="A200" s="114" t="s">
        <v>118</v>
      </c>
      <c r="B200" s="245" t="s">
        <v>100</v>
      </c>
      <c r="C200" s="114"/>
      <c r="D200" s="1061">
        <f>(S200/S193-1)*100</f>
        <v>-7.1498137829850812</v>
      </c>
      <c r="E200" s="114"/>
      <c r="F200" s="1139"/>
      <c r="G200" s="114"/>
      <c r="H200" s="1062">
        <f>D200-F200</f>
        <v>-7.1498137829850812</v>
      </c>
      <c r="I200" s="114"/>
      <c r="J200" s="1063">
        <f>squft!$CI$23</f>
        <v>156</v>
      </c>
      <c r="K200" s="1063">
        <f>J200-J199</f>
        <v>-27</v>
      </c>
      <c r="L200" s="1108">
        <f>AVERAGE(J200,J199)</f>
        <v>169.5</v>
      </c>
      <c r="M200" s="114"/>
      <c r="N200" s="1104">
        <f>(L200/L193-1)*100</f>
        <v>-13.076923076923075</v>
      </c>
      <c r="O200" s="246"/>
      <c r="P200" s="1189">
        <f>H200/N200*100</f>
        <v>54.67504657576827</v>
      </c>
      <c r="Q200" s="310"/>
      <c r="R200" s="114"/>
      <c r="S200" s="1092">
        <f>AY200-AS200</f>
        <v>111.066</v>
      </c>
      <c r="T200" s="114"/>
      <c r="U200" s="1133">
        <f>S200/L200</f>
        <v>0.65525663716814164</v>
      </c>
      <c r="V200" s="114"/>
      <c r="W200" s="1104">
        <f>(U200/U193-1)*100</f>
        <v>6.8187983027605314</v>
      </c>
      <c r="X200" s="246"/>
      <c r="Y200" s="114"/>
      <c r="Z200" s="1063">
        <f>squft!$CK$23</f>
        <v>774.80000000000007</v>
      </c>
      <c r="AA200" s="1057"/>
      <c r="AB200" s="1110">
        <f>AVERAGE(Z200,Z199)</f>
        <v>822.40000000000009</v>
      </c>
      <c r="AC200" s="114"/>
      <c r="AD200" s="1104">
        <f>(Z200/Z193-1)*100</f>
        <v>-11.834319526627212</v>
      </c>
      <c r="AE200" s="246"/>
      <c r="AF200" s="1108">
        <f>+H200/AD200*100</f>
        <v>60.415926466223965</v>
      </c>
      <c r="AG200" s="310"/>
      <c r="AH200" s="114"/>
      <c r="AI200" s="1111">
        <f>+S200</f>
        <v>111.066</v>
      </c>
      <c r="AJ200" s="114"/>
      <c r="AK200" s="1135">
        <f>AI200/AB200*1000</f>
        <v>135.0510700389105</v>
      </c>
      <c r="AL200" s="114"/>
      <c r="AM200" s="1104">
        <f>(AK200/AK193-1)*100</f>
        <v>4.4790397923462955</v>
      </c>
      <c r="AN200" s="246"/>
      <c r="AO200" s="246"/>
      <c r="AP200" s="246"/>
      <c r="AQ200" s="246"/>
      <c r="AR200" s="246"/>
      <c r="AS200" s="1136">
        <f>qtrSales!$AS$135*(AV200/100)</f>
        <v>12.738</v>
      </c>
      <c r="AT200" s="1042" t="s">
        <v>718</v>
      </c>
      <c r="AU200" s="1136">
        <f>(AS200/AS193-1)*100</f>
        <v>141.18148253337122</v>
      </c>
      <c r="AV200" s="1064">
        <f>100-AV79-AV302</f>
        <v>6</v>
      </c>
      <c r="AW200" s="1042" t="s">
        <v>718</v>
      </c>
      <c r="AX200" s="1075"/>
      <c r="AY200" s="1145">
        <f>397.904-AY199-AY198-AY197</f>
        <v>123.804</v>
      </c>
      <c r="AZ200" s="1138">
        <f>AY200/AY193-1</f>
        <v>-8.7750200160128244E-3</v>
      </c>
      <c r="BA200" s="114"/>
      <c r="BB200" s="1171">
        <f>BI200</f>
        <v>0</v>
      </c>
      <c r="BC200" s="114"/>
      <c r="BD200" s="114"/>
      <c r="BE200" s="114"/>
      <c r="BF200" s="1163"/>
      <c r="BG200" s="1163"/>
      <c r="BH200" s="1207"/>
      <c r="BI200" s="1150"/>
      <c r="BJ200" s="114"/>
      <c r="BK200" s="114"/>
      <c r="BL200" s="114"/>
      <c r="BM200" s="114"/>
      <c r="BN200" s="114"/>
      <c r="BO200" s="114"/>
      <c r="BP200" s="114"/>
      <c r="BQ200" s="114"/>
      <c r="BR200" s="114"/>
      <c r="BS200" s="114"/>
      <c r="BT200" s="114"/>
      <c r="BU200" s="114"/>
      <c r="BV200" s="114"/>
      <c r="BW200" s="114"/>
      <c r="BX200" s="114"/>
      <c r="BY200" s="114"/>
      <c r="BZ200" s="114"/>
      <c r="CA200" s="114"/>
      <c r="CB200" s="114"/>
      <c r="CC200" s="114"/>
      <c r="CD200" s="114"/>
      <c r="CE200" s="114"/>
      <c r="CF200" s="114"/>
      <c r="CG200" s="114"/>
    </row>
    <row r="201" spans="1:92" hidden="1" outlineLevel="1">
      <c r="A201" s="114"/>
      <c r="B201" s="245" t="s">
        <v>119</v>
      </c>
      <c r="C201" s="114"/>
      <c r="D201" s="1123">
        <f>(S201/S194-1)*100</f>
        <v>-3.3038003532562366</v>
      </c>
      <c r="E201" s="114"/>
      <c r="F201" s="1139"/>
      <c r="G201" s="114"/>
      <c r="H201" s="1126">
        <f>D201-F201</f>
        <v>-3.3038003532562366</v>
      </c>
      <c r="I201" s="114"/>
      <c r="J201" s="1063"/>
      <c r="K201" s="114"/>
      <c r="L201" s="1122">
        <f>AVERAGE(L197:L200)</f>
        <v>180.375</v>
      </c>
      <c r="M201" s="114"/>
      <c r="N201" s="1144">
        <f>(L201/L194-1)*100</f>
        <v>-11.689106487148104</v>
      </c>
      <c r="O201" s="246"/>
      <c r="P201" s="1124">
        <f>H201/N201*100</f>
        <v>28.263925535186857</v>
      </c>
      <c r="Q201" s="310"/>
      <c r="R201" s="114"/>
      <c r="S201" s="1095">
        <f>SUM(S197:S200)</f>
        <v>339.423</v>
      </c>
      <c r="T201" s="114"/>
      <c r="U201" s="1125">
        <f>SUM(U197:U200)</f>
        <v>1.8965864269365273</v>
      </c>
      <c r="V201" s="114"/>
      <c r="W201" s="1126">
        <f>(U201/U194-1)*100</f>
        <v>9.615335547653391</v>
      </c>
      <c r="X201" s="246"/>
      <c r="Y201" s="114"/>
      <c r="Z201" s="114"/>
      <c r="AA201" s="114"/>
      <c r="AB201" s="1127">
        <f>AVERAGE(AB197:AB200)</f>
        <v>861.45</v>
      </c>
      <c r="AC201" s="114"/>
      <c r="AD201" s="1144">
        <f>Z200/Z193-1</f>
        <v>-0.11834319526627213</v>
      </c>
      <c r="AE201" s="246"/>
      <c r="AF201" s="1124">
        <f>+H201/AD201*100</f>
        <v>2791.711298501521</v>
      </c>
      <c r="AG201" s="310"/>
      <c r="AH201" s="114"/>
      <c r="AI201" s="1129">
        <f>SUM(AI197:AI200)</f>
        <v>339.423</v>
      </c>
      <c r="AJ201" s="114"/>
      <c r="AK201" s="1097">
        <f>SUM(AK197:AK200)</f>
        <v>396.24070774849497</v>
      </c>
      <c r="AL201" s="114"/>
      <c r="AM201" s="1126">
        <f>(AK201/AK194-1)*100</f>
        <v>8.3995810130393025</v>
      </c>
      <c r="AN201" s="246"/>
      <c r="AO201" s="246"/>
      <c r="AP201" s="246"/>
      <c r="AQ201" s="246"/>
      <c r="AR201" s="246"/>
      <c r="AS201" s="1100">
        <f>SUM(AS197:AS200)</f>
        <v>58.481000000000009</v>
      </c>
      <c r="AT201" s="114" t="s">
        <v>718</v>
      </c>
      <c r="AU201" s="1100">
        <f>(AS201/AS194-1)*100</f>
        <v>85.183660544648504</v>
      </c>
      <c r="AV201" s="1124">
        <f>(AS201/qtrSales!AS$136)*100</f>
        <v>10.5847963800905</v>
      </c>
      <c r="AW201" s="114" t="s">
        <v>718</v>
      </c>
      <c r="AX201" s="1075"/>
      <c r="AY201" s="1142">
        <f>SUM(AY197:AY200)</f>
        <v>397.904</v>
      </c>
      <c r="AZ201" s="1103">
        <f>AY201/AY194-1</f>
        <v>4.0000000000000036E-2</v>
      </c>
      <c r="BA201" s="114"/>
      <c r="BB201" s="1171">
        <f>BI201</f>
        <v>0</v>
      </c>
      <c r="BC201" s="114"/>
      <c r="BD201" s="114"/>
      <c r="BE201" s="114"/>
      <c r="BF201" s="1150"/>
      <c r="BG201" s="1170"/>
      <c r="BH201" s="1170"/>
      <c r="BI201" s="1150">
        <f>SUM(BG201:BH201)</f>
        <v>0</v>
      </c>
      <c r="BJ201" s="114"/>
      <c r="BK201" s="114"/>
      <c r="BL201" s="114"/>
      <c r="BM201" s="114"/>
      <c r="BN201" s="114"/>
      <c r="BO201" s="114"/>
      <c r="BP201" s="114"/>
      <c r="BQ201" s="114"/>
      <c r="BR201" s="114"/>
      <c r="BS201" s="114"/>
      <c r="BT201" s="114"/>
      <c r="BU201" s="114"/>
      <c r="BV201" s="114"/>
      <c r="BW201" s="114"/>
      <c r="BX201" s="114"/>
      <c r="BY201" s="114"/>
      <c r="BZ201" s="114"/>
      <c r="CA201" s="114"/>
      <c r="CB201" s="114"/>
      <c r="CC201" s="114"/>
      <c r="CD201" s="114"/>
      <c r="CE201" s="114"/>
      <c r="CF201" s="114"/>
      <c r="CG201" s="114"/>
    </row>
    <row r="202" spans="1:92" hidden="1" outlineLevel="1">
      <c r="A202" s="114"/>
      <c r="B202" s="245"/>
      <c r="C202" s="114"/>
      <c r="D202" s="1123"/>
      <c r="E202" s="114"/>
      <c r="F202" s="1139"/>
      <c r="G202" s="114"/>
      <c r="H202" s="1126"/>
      <c r="I202" s="114"/>
      <c r="J202" s="1063"/>
      <c r="K202" s="114"/>
      <c r="L202" s="1122"/>
      <c r="M202" s="114"/>
      <c r="N202" s="1144"/>
      <c r="O202" s="246"/>
      <c r="P202" s="1049"/>
      <c r="Q202" s="310"/>
      <c r="R202" s="114"/>
      <c r="S202" s="1103"/>
      <c r="T202" s="114"/>
      <c r="U202" s="246"/>
      <c r="V202" s="114"/>
      <c r="W202" s="1126"/>
      <c r="X202" s="246"/>
      <c r="Y202" s="114"/>
      <c r="Z202" s="114"/>
      <c r="AA202" s="114"/>
      <c r="AB202" s="1127"/>
      <c r="AC202" s="114"/>
      <c r="AD202" s="1144"/>
      <c r="AE202" s="246"/>
      <c r="AF202" s="1124"/>
      <c r="AG202" s="310"/>
      <c r="AH202" s="114"/>
      <c r="AI202" s="1129"/>
      <c r="AJ202" s="114"/>
      <c r="AK202" s="1097"/>
      <c r="AL202" s="114"/>
      <c r="AM202" s="1126"/>
      <c r="AN202" s="246"/>
      <c r="AO202" s="246"/>
      <c r="AP202" s="246"/>
      <c r="AQ202" s="246"/>
      <c r="AR202" s="246"/>
      <c r="AS202" s="1100"/>
      <c r="AT202" s="114"/>
      <c r="AU202" s="1100"/>
      <c r="AV202" s="1124"/>
      <c r="AW202" s="114"/>
      <c r="AX202" s="1075"/>
      <c r="AY202" s="1142"/>
      <c r="AZ202" s="1103"/>
      <c r="BA202" s="114"/>
      <c r="BB202" s="1171"/>
      <c r="BC202" s="114"/>
      <c r="BD202" s="114"/>
      <c r="BE202" s="114"/>
      <c r="BF202" s="1150"/>
      <c r="BG202" s="1170"/>
      <c r="BH202" s="1170"/>
      <c r="BI202" s="1150"/>
      <c r="BJ202" s="114"/>
      <c r="BK202" s="114"/>
      <c r="BL202" s="114"/>
      <c r="BM202" s="114"/>
      <c r="BN202" s="114"/>
      <c r="BO202" s="114"/>
      <c r="BP202" s="114"/>
      <c r="BQ202" s="114"/>
      <c r="BR202" s="114"/>
      <c r="BS202" s="114"/>
      <c r="BT202" s="114"/>
      <c r="BU202" s="114"/>
      <c r="BV202" s="114"/>
      <c r="BW202" s="114"/>
      <c r="BX202" s="114"/>
      <c r="BY202" s="114"/>
      <c r="BZ202" s="114"/>
      <c r="CA202" s="114"/>
      <c r="CB202" s="114"/>
      <c r="CC202" s="114"/>
      <c r="CD202" s="114"/>
      <c r="CE202" s="114"/>
      <c r="CF202" s="114"/>
      <c r="CG202" s="114"/>
    </row>
    <row r="203" spans="1:92" hidden="1" outlineLevel="1">
      <c r="A203" s="1120"/>
      <c r="B203" s="1172">
        <v>2012</v>
      </c>
      <c r="C203" s="114"/>
      <c r="D203" s="114"/>
      <c r="E203" s="246"/>
      <c r="F203" s="1139"/>
      <c r="G203" s="246"/>
      <c r="H203" s="114"/>
      <c r="I203" s="246"/>
      <c r="J203" s="114"/>
      <c r="K203" s="114"/>
      <c r="L203" s="246"/>
      <c r="M203" s="114"/>
      <c r="N203" s="114"/>
      <c r="O203" s="246"/>
      <c r="P203" s="310"/>
      <c r="Q203" s="310"/>
      <c r="R203" s="114"/>
      <c r="S203" s="1103"/>
      <c r="T203" s="114"/>
      <c r="U203" s="246"/>
      <c r="V203" s="114"/>
      <c r="W203" s="114"/>
      <c r="X203" s="246"/>
      <c r="Y203" s="114"/>
      <c r="Z203" s="114"/>
      <c r="AA203" s="114"/>
      <c r="AB203" s="114"/>
      <c r="AC203" s="114"/>
      <c r="AD203" s="114"/>
      <c r="AE203" s="246"/>
      <c r="AF203" s="249"/>
      <c r="AG203" s="310"/>
      <c r="AH203" s="114"/>
      <c r="AI203" s="114"/>
      <c r="AJ203" s="114"/>
      <c r="AK203" s="246"/>
      <c r="AL203" s="114"/>
      <c r="AM203" s="246"/>
      <c r="AN203" s="246"/>
      <c r="AO203" s="246"/>
      <c r="AP203" s="246"/>
      <c r="AQ203" s="246"/>
      <c r="AR203" s="246"/>
      <c r="AS203" s="114"/>
      <c r="AT203" s="114"/>
      <c r="AU203" s="114"/>
      <c r="AV203" s="1121" t="s">
        <v>76</v>
      </c>
      <c r="AW203" s="114"/>
      <c r="AX203" s="310"/>
      <c r="AY203" s="114"/>
      <c r="AZ203" s="246"/>
      <c r="BA203" s="114"/>
      <c r="BB203" s="1202" t="s">
        <v>574</v>
      </c>
      <c r="BC203" s="114"/>
      <c r="BD203" s="114"/>
      <c r="BE203" s="114"/>
      <c r="BF203" s="246"/>
      <c r="BG203" s="246"/>
      <c r="BH203" s="246" t="s">
        <v>283</v>
      </c>
      <c r="BI203" s="114"/>
      <c r="BJ203" s="114"/>
      <c r="BK203" s="114"/>
      <c r="BL203" s="114"/>
      <c r="BM203" s="114"/>
      <c r="BN203" s="114"/>
      <c r="BO203" s="114"/>
      <c r="BP203" s="114"/>
      <c r="BQ203" s="114"/>
      <c r="BR203" s="114"/>
      <c r="BS203" s="114"/>
      <c r="BT203" s="114"/>
      <c r="BU203" s="114"/>
      <c r="BV203" s="114"/>
      <c r="BW203" s="114"/>
      <c r="BX203" s="114"/>
      <c r="BY203" s="114"/>
      <c r="BZ203" s="114"/>
      <c r="CA203" s="114"/>
      <c r="CB203" s="114"/>
      <c r="CC203" s="114"/>
      <c r="CD203" s="114"/>
      <c r="CE203" s="114"/>
      <c r="CF203" s="114"/>
      <c r="CG203" s="114"/>
      <c r="CH203" s="114"/>
      <c r="CI203" s="114"/>
      <c r="CJ203" s="114"/>
      <c r="CK203" s="114"/>
      <c r="CL203" s="114"/>
      <c r="CM203" s="114"/>
      <c r="CN203" s="114"/>
    </row>
    <row r="204" spans="1:92" hidden="1" outlineLevel="1">
      <c r="A204" s="114" t="s">
        <v>115</v>
      </c>
      <c r="B204" s="245" t="s">
        <v>96</v>
      </c>
      <c r="C204" s="114"/>
      <c r="D204" s="1128">
        <f>(S204/S197-1)*100</f>
        <v>-19.485282065750397</v>
      </c>
      <c r="E204" s="246" t="s">
        <v>76</v>
      </c>
      <c r="F204" s="1139"/>
      <c r="G204" s="246" t="s">
        <v>76</v>
      </c>
      <c r="H204" s="1094">
        <f>D204-F204</f>
        <v>-19.485282065750397</v>
      </c>
      <c r="I204" s="246" t="s">
        <v>76</v>
      </c>
      <c r="J204" s="1047">
        <f>154+5</f>
        <v>159</v>
      </c>
      <c r="K204" s="1063">
        <f>J204-J200</f>
        <v>3</v>
      </c>
      <c r="L204" s="1122">
        <f>AVERAGE(J204,J200)</f>
        <v>157.5</v>
      </c>
      <c r="M204" s="114"/>
      <c r="N204" s="1144">
        <f>(L204/L197-1)*100</f>
        <v>-14.864864864864868</v>
      </c>
      <c r="O204" s="246" t="s">
        <v>76</v>
      </c>
      <c r="P204" s="1096">
        <f>H204/N204*100</f>
        <v>131.08280662413901</v>
      </c>
      <c r="Q204" s="310" t="s">
        <v>76</v>
      </c>
      <c r="R204" s="114"/>
      <c r="S204" s="1204">
        <f>AY204-AS204</f>
        <v>59.929519999999997</v>
      </c>
      <c r="T204" s="114"/>
      <c r="U204" s="1125">
        <f>S204/L204</f>
        <v>0.38050488888888889</v>
      </c>
      <c r="V204" s="114"/>
      <c r="W204" s="1144">
        <f>(U204/U197-1)*100</f>
        <v>-5.4271567121512714</v>
      </c>
      <c r="X204" s="246" t="s">
        <v>76</v>
      </c>
      <c r="Y204" s="114"/>
      <c r="Z204" s="1047">
        <v>786</v>
      </c>
      <c r="AA204" s="114"/>
      <c r="AB204" s="1127">
        <f>AVERAGE(Z204,Z200)</f>
        <v>780.40000000000009</v>
      </c>
      <c r="AC204" s="114"/>
      <c r="AD204" s="1144">
        <f>(Z204/Z197-1)*100</f>
        <v>-10.580204778156999</v>
      </c>
      <c r="AE204" s="246" t="s">
        <v>76</v>
      </c>
      <c r="AF204" s="1124">
        <f>+H204/AD204*100</f>
        <v>184.16734339564081</v>
      </c>
      <c r="AG204" s="310" t="s">
        <v>76</v>
      </c>
      <c r="AH204" s="114"/>
      <c r="AI204" s="1129">
        <f>+S204</f>
        <v>59.929519999999997</v>
      </c>
      <c r="AJ204" s="114"/>
      <c r="AK204" s="1097">
        <f>AI204/AB204*1000</f>
        <v>76.793336750384412</v>
      </c>
      <c r="AL204" s="114"/>
      <c r="AM204" s="1144">
        <f>(AK204/AK197-1)*100</f>
        <v>-9.3229297893234424</v>
      </c>
      <c r="AN204" s="246" t="s">
        <v>76</v>
      </c>
      <c r="AO204" s="246"/>
      <c r="AP204" s="246"/>
      <c r="AQ204" s="246"/>
      <c r="AR204" s="246"/>
      <c r="AS204" s="1100">
        <f>qtrSales!$AS$139*(AV204/100)</f>
        <v>17.787480000000002</v>
      </c>
      <c r="AT204" s="114" t="s">
        <v>718</v>
      </c>
      <c r="AU204" s="1100">
        <f>(AS204/AS197-1)*100</f>
        <v>46.194460425741759</v>
      </c>
      <c r="AV204" s="1124">
        <f>100-AV83-AV306</f>
        <v>12</v>
      </c>
      <c r="AW204" s="114" t="s">
        <v>718</v>
      </c>
      <c r="AX204" s="1075"/>
      <c r="AY204" s="1081">
        <v>77.716999999999999</v>
      </c>
      <c r="AZ204" s="1103">
        <f>AY204/AY197-1</f>
        <v>-0.10257505773672049</v>
      </c>
      <c r="BA204" s="114"/>
      <c r="BB204" s="1171">
        <f>BI204</f>
        <v>0</v>
      </c>
      <c r="BC204" s="114"/>
      <c r="BD204" s="114"/>
      <c r="BE204" s="114"/>
      <c r="BF204" s="1163"/>
      <c r="BG204" s="1163"/>
      <c r="BH204" s="1205"/>
      <c r="BI204" s="1150"/>
      <c r="BJ204" s="114"/>
      <c r="BK204" s="114"/>
      <c r="BL204" s="114"/>
      <c r="BM204" s="114"/>
      <c r="BN204" s="114"/>
      <c r="BO204" s="114"/>
      <c r="BP204" s="114"/>
      <c r="BQ204" s="114"/>
      <c r="BR204" s="114"/>
      <c r="BS204" s="114"/>
      <c r="BT204" s="114"/>
      <c r="BU204" s="114"/>
      <c r="BV204" s="114"/>
      <c r="BW204" s="114"/>
      <c r="BX204" s="114"/>
      <c r="BY204" s="114"/>
      <c r="BZ204" s="114"/>
      <c r="CA204" s="114"/>
      <c r="CB204" s="114"/>
      <c r="CC204" s="114"/>
      <c r="CD204" s="114"/>
      <c r="CE204" s="114"/>
      <c r="CF204" s="114"/>
      <c r="CG204" s="114"/>
      <c r="CH204" s="114"/>
      <c r="CI204" s="114"/>
      <c r="CJ204" s="114"/>
      <c r="CK204" s="114"/>
      <c r="CL204" s="114"/>
      <c r="CM204" s="114"/>
      <c r="CN204" s="114"/>
    </row>
    <row r="205" spans="1:92" hidden="1" outlineLevel="1">
      <c r="A205" s="114" t="s">
        <v>116</v>
      </c>
      <c r="B205" s="245" t="s">
        <v>97</v>
      </c>
      <c r="C205" s="114"/>
      <c r="D205" s="1128">
        <f>(S205/S198-1)*100</f>
        <v>-15.694425038423908</v>
      </c>
      <c r="E205" s="114"/>
      <c r="F205" s="1139"/>
      <c r="G205" s="114"/>
      <c r="H205" s="1094">
        <f>D205-F205</f>
        <v>-15.694425038423908</v>
      </c>
      <c r="I205" s="114"/>
      <c r="J205" s="1047">
        <f>154+5</f>
        <v>159</v>
      </c>
      <c r="K205" s="1063">
        <f>J205-J204</f>
        <v>0</v>
      </c>
      <c r="L205" s="1122">
        <f>AVERAGE(J205,J204)</f>
        <v>159</v>
      </c>
      <c r="M205" s="114"/>
      <c r="N205" s="1144">
        <f>(L205/L198-1)*100</f>
        <v>-13.586956521739136</v>
      </c>
      <c r="O205" s="246"/>
      <c r="P205" s="1096">
        <f>H205/N205*100</f>
        <v>115.51096828279992</v>
      </c>
      <c r="Q205" s="310"/>
      <c r="R205" s="114"/>
      <c r="S205" s="1204">
        <f>AY205-AS205</f>
        <v>60.337499999999999</v>
      </c>
      <c r="T205" s="114"/>
      <c r="U205" s="1131">
        <f>S205/L205</f>
        <v>0.37948113207547168</v>
      </c>
      <c r="V205" s="114"/>
      <c r="W205" s="1144">
        <f>(U205/U198-1)*100</f>
        <v>-2.438831491006288</v>
      </c>
      <c r="X205" s="246"/>
      <c r="Y205" s="114"/>
      <c r="Z205" s="1063">
        <f>Z204+(J205-J204)*(squft!$CN$22/1000)</f>
        <v>786</v>
      </c>
      <c r="AA205" s="1057"/>
      <c r="AB205" s="1127">
        <f>AVERAGE(Z205,Z204)</f>
        <v>786</v>
      </c>
      <c r="AC205" s="114"/>
      <c r="AD205" s="1144">
        <f>(Z205/Z198-1)*100</f>
        <v>-9.6551724137930997</v>
      </c>
      <c r="AE205" s="246"/>
      <c r="AF205" s="1124">
        <f>+H205/AD205*100</f>
        <v>162.54940218367625</v>
      </c>
      <c r="AG205" s="310"/>
      <c r="AH205" s="114"/>
      <c r="AI205" s="1132">
        <f>+S205</f>
        <v>60.337499999999999</v>
      </c>
      <c r="AJ205" s="114"/>
      <c r="AK205" s="1106">
        <f>AI205/AB205*1000</f>
        <v>76.765267175572518</v>
      </c>
      <c r="AL205" s="114"/>
      <c r="AM205" s="1144">
        <f>(AK205/AK198-1)*100</f>
        <v>-6.202003430154857</v>
      </c>
      <c r="AN205" s="246"/>
      <c r="AO205" s="246"/>
      <c r="AP205" s="246"/>
      <c r="AQ205" s="246"/>
      <c r="AR205" s="246"/>
      <c r="AS205" s="1100">
        <f>qtrSales!$AS$140*(AV205/100)</f>
        <v>15.9625</v>
      </c>
      <c r="AT205" s="114" t="s">
        <v>718</v>
      </c>
      <c r="AU205" s="1100">
        <f>(AS205/AS198-1)*100</f>
        <v>36.082693947144072</v>
      </c>
      <c r="AV205" s="1124">
        <f>100-AV84-AV307</f>
        <v>12.5</v>
      </c>
      <c r="AW205" s="114" t="s">
        <v>718</v>
      </c>
      <c r="AX205" s="1075"/>
      <c r="AY205" s="1081">
        <v>76.3</v>
      </c>
      <c r="AZ205" s="1103">
        <f>AY205/AY198-1</f>
        <v>-8.4033613445378186E-2</v>
      </c>
      <c r="BA205" s="114"/>
      <c r="BB205" s="1171">
        <f>BI205</f>
        <v>0</v>
      </c>
      <c r="BC205" s="114"/>
      <c r="BD205" s="114"/>
      <c r="BE205" s="114"/>
      <c r="BF205" s="1163"/>
      <c r="BG205" s="1163"/>
      <c r="BH205" s="1206"/>
      <c r="BI205" s="1150"/>
      <c r="BJ205" s="114"/>
      <c r="BK205" s="114"/>
      <c r="BL205" s="114"/>
      <c r="BM205" s="114"/>
      <c r="BN205" s="114"/>
      <c r="BO205" s="114"/>
      <c r="BP205" s="114"/>
      <c r="BQ205" s="114"/>
      <c r="BR205" s="114"/>
      <c r="BS205" s="114"/>
      <c r="BT205" s="114"/>
      <c r="BU205" s="114"/>
      <c r="BV205" s="114"/>
      <c r="BW205" s="114"/>
      <c r="BX205" s="114"/>
      <c r="BY205" s="114"/>
      <c r="BZ205" s="114"/>
      <c r="CA205" s="114"/>
      <c r="CB205" s="114"/>
      <c r="CC205" s="114"/>
      <c r="CD205" s="114"/>
      <c r="CE205" s="114"/>
      <c r="CF205" s="114"/>
      <c r="CG205" s="114"/>
      <c r="CH205" s="114"/>
      <c r="CI205" s="114"/>
      <c r="CJ205" s="114"/>
      <c r="CK205" s="114"/>
      <c r="CL205" s="114"/>
      <c r="CM205" s="114"/>
      <c r="CN205" s="114"/>
    </row>
    <row r="206" spans="1:92" hidden="1" outlineLevel="1">
      <c r="A206" s="114" t="s">
        <v>117</v>
      </c>
      <c r="B206" s="245" t="s">
        <v>99</v>
      </c>
      <c r="C206" s="114"/>
      <c r="D206" s="1128">
        <f>(S206/S199-1)*100</f>
        <v>-11.49306651771621</v>
      </c>
      <c r="E206" s="114"/>
      <c r="F206" s="1139"/>
      <c r="G206" s="114"/>
      <c r="H206" s="1144">
        <f>D206-F206</f>
        <v>-11.49306651771621</v>
      </c>
      <c r="I206" s="114"/>
      <c r="J206" s="1047">
        <f>154+6</f>
        <v>160</v>
      </c>
      <c r="K206" s="1063">
        <f>J206-J205</f>
        <v>1</v>
      </c>
      <c r="L206" s="1122">
        <f>AVERAGE(J206,J205)</f>
        <v>159.5</v>
      </c>
      <c r="M206" s="114"/>
      <c r="N206" s="1144">
        <f>(L206/L199-1)*100</f>
        <v>-12.841530054644812</v>
      </c>
      <c r="O206" s="246"/>
      <c r="P206" s="1096">
        <f>H206/N206*100</f>
        <v>89.499198840087914</v>
      </c>
      <c r="Q206" s="310"/>
      <c r="R206" s="114"/>
      <c r="S206" s="1204">
        <f>AY206-AS206</f>
        <v>72.888999999999996</v>
      </c>
      <c r="T206" s="114"/>
      <c r="U206" s="1131">
        <f>S206/L206</f>
        <v>0.45698432601880873</v>
      </c>
      <c r="V206" s="114"/>
      <c r="W206" s="1144">
        <f>(U206/U199-1)*100</f>
        <v>1.5471399828083543</v>
      </c>
      <c r="X206" s="246"/>
      <c r="Y206" s="114"/>
      <c r="Z206" s="1063">
        <f>Z205+(J206-J205)*(squft!$CN$22/1000)</f>
        <v>790.5</v>
      </c>
      <c r="AA206" s="1057"/>
      <c r="AB206" s="1127">
        <f>AVERAGE(Z206,Z205)</f>
        <v>788.25</v>
      </c>
      <c r="AC206" s="114"/>
      <c r="AD206" s="1144">
        <f>(Z206/Z199-1)*100</f>
        <v>-9.1379310344827598</v>
      </c>
      <c r="AE206" s="246"/>
      <c r="AF206" s="1124">
        <f>+H206/AD206*100</f>
        <v>125.77318075991322</v>
      </c>
      <c r="AG206" s="310"/>
      <c r="AH206" s="114"/>
      <c r="AI206" s="1132">
        <f>+S206</f>
        <v>72.888999999999996</v>
      </c>
      <c r="AJ206" s="114"/>
      <c r="AK206" s="1106">
        <f>AI206/AB206*1000</f>
        <v>92.469394227719633</v>
      </c>
      <c r="AL206" s="114"/>
      <c r="AM206" s="1144">
        <f>(AK206/AK199-1)*100</f>
        <v>-2.3139459186972355</v>
      </c>
      <c r="AN206" s="246"/>
      <c r="AO206" s="246"/>
      <c r="AP206" s="246"/>
      <c r="AQ206" s="246"/>
      <c r="AR206" s="246"/>
      <c r="AS206" s="1100">
        <f>qtrSales!$AS$141*(AV206/100)</f>
        <v>26.911000000000005</v>
      </c>
      <c r="AT206" s="114" t="s">
        <v>718</v>
      </c>
      <c r="AU206" s="1100">
        <f>(AS206/AS199-1)*100</f>
        <v>23.185022429735412</v>
      </c>
      <c r="AV206" s="1124">
        <f>100-AV85-AV308</f>
        <v>17</v>
      </c>
      <c r="AW206" s="114" t="s">
        <v>718</v>
      </c>
      <c r="AX206" s="1075"/>
      <c r="AY206" s="1102">
        <v>99.8</v>
      </c>
      <c r="AZ206" s="1103">
        <f>AY206/AY199-1</f>
        <v>-4.2226487523992384E-2</v>
      </c>
      <c r="BA206" s="114"/>
      <c r="BB206" s="1171">
        <f>BI206</f>
        <v>0</v>
      </c>
      <c r="BC206" s="114"/>
      <c r="BD206" s="114"/>
      <c r="BE206" s="1171"/>
      <c r="BF206" s="1163"/>
      <c r="BG206" s="1163"/>
      <c r="BH206" s="1206">
        <f>$BH$208*BI6*0.2</f>
        <v>0.61449391856468327</v>
      </c>
      <c r="BI206" s="1150"/>
      <c r="BJ206" s="114"/>
      <c r="BK206" s="114"/>
      <c r="BL206" s="114"/>
      <c r="BM206" s="114"/>
      <c r="BN206" s="114"/>
      <c r="BO206" s="114"/>
      <c r="BP206" s="114"/>
      <c r="BQ206" s="114"/>
      <c r="BR206" s="114"/>
      <c r="BS206" s="114"/>
      <c r="BT206" s="114"/>
      <c r="BU206" s="114"/>
      <c r="BV206" s="114"/>
      <c r="BW206" s="114"/>
      <c r="BX206" s="114"/>
      <c r="BY206" s="114"/>
      <c r="BZ206" s="114"/>
      <c r="CA206" s="114"/>
      <c r="CB206" s="114"/>
      <c r="CC206" s="114"/>
      <c r="CD206" s="114"/>
      <c r="CE206" s="114"/>
      <c r="CF206" s="114"/>
      <c r="CG206" s="114"/>
      <c r="CH206" s="114"/>
      <c r="CI206" s="114"/>
      <c r="CJ206" s="114"/>
      <c r="CK206" s="114"/>
      <c r="CL206" s="114"/>
      <c r="CM206" s="114"/>
      <c r="CN206" s="114"/>
    </row>
    <row r="207" spans="1:92" hidden="1" outlineLevel="1">
      <c r="A207" s="114" t="s">
        <v>118</v>
      </c>
      <c r="B207" s="245" t="s">
        <v>100</v>
      </c>
      <c r="C207" s="114"/>
      <c r="D207" s="1107">
        <f>(S207/S200-1)*100</f>
        <v>0.28631624439521275</v>
      </c>
      <c r="E207" s="114"/>
      <c r="F207" s="1139"/>
      <c r="G207" s="114"/>
      <c r="H207" s="1104">
        <f>D207-F207</f>
        <v>0.28631624439521275</v>
      </c>
      <c r="I207" s="114"/>
      <c r="J207" s="1063">
        <f>squft!CM23</f>
        <v>147</v>
      </c>
      <c r="K207" s="1063">
        <f>J207-J206</f>
        <v>-13</v>
      </c>
      <c r="L207" s="1108">
        <f>AVERAGE(J207,J206)</f>
        <v>153.5</v>
      </c>
      <c r="M207" s="114"/>
      <c r="N207" s="1104">
        <f>(L207/L200-1)*100</f>
        <v>-9.4395280235988199</v>
      </c>
      <c r="O207" s="246"/>
      <c r="P207" s="1189">
        <f>H207/N207*100</f>
        <v>-3.0331627140617852</v>
      </c>
      <c r="Q207" s="310"/>
      <c r="R207" s="114"/>
      <c r="S207" s="1209">
        <f>AY207-AS207</f>
        <v>111.38399999999999</v>
      </c>
      <c r="T207" s="114"/>
      <c r="U207" s="1133">
        <f>S207/L207</f>
        <v>0.72562866449511387</v>
      </c>
      <c r="V207" s="114"/>
      <c r="W207" s="1104">
        <f>(U207/U200-1)*100</f>
        <v>10.739613051628583</v>
      </c>
      <c r="X207" s="246"/>
      <c r="Y207" s="114"/>
      <c r="Z207" s="1063">
        <f>Z206+(J207-J206)*(squft!$CN$22/1000)</f>
        <v>732</v>
      </c>
      <c r="AA207" s="1057"/>
      <c r="AB207" s="1110">
        <f>AVERAGE(Z207,Z206)</f>
        <v>761.25</v>
      </c>
      <c r="AC207" s="114"/>
      <c r="AD207" s="1104">
        <f>(Z207/Z200-1)*100</f>
        <v>-5.5240061951471464</v>
      </c>
      <c r="AE207" s="246"/>
      <c r="AF207" s="1108">
        <f>+H207/AD207*100</f>
        <v>-5.183126779378747</v>
      </c>
      <c r="AG207" s="310"/>
      <c r="AH207" s="114"/>
      <c r="AI207" s="1111">
        <f>+S207</f>
        <v>111.38399999999999</v>
      </c>
      <c r="AJ207" s="114"/>
      <c r="AK207" s="1135">
        <f>AI207/AB207*1000</f>
        <v>146.31724137931033</v>
      </c>
      <c r="AL207" s="114"/>
      <c r="AM207" s="1104">
        <f>(AK207/AK200-1)*100</f>
        <v>8.3421562947660242</v>
      </c>
      <c r="AN207" s="246"/>
      <c r="AO207" s="246"/>
      <c r="AP207" s="246"/>
      <c r="AQ207" s="246"/>
      <c r="AR207" s="246"/>
      <c r="AS207" s="1136">
        <f>qtrSales!$AS$142*(AV207/100)</f>
        <v>17.315999999999999</v>
      </c>
      <c r="AT207" s="1042" t="s">
        <v>718</v>
      </c>
      <c r="AU207" s="1136">
        <f>(AS207/AS200-1)*100</f>
        <v>35.939707960433353</v>
      </c>
      <c r="AV207" s="1108">
        <f>100-AV86-AV309</f>
        <v>6.5</v>
      </c>
      <c r="AW207" s="1042" t="s">
        <v>718</v>
      </c>
      <c r="AX207" s="1075"/>
      <c r="AY207" s="1145">
        <v>128.69999999999999</v>
      </c>
      <c r="AZ207" s="1138">
        <f>AY207/AY200-1</f>
        <v>3.9546379761558503E-2</v>
      </c>
      <c r="BA207" s="114"/>
      <c r="BB207" s="1171">
        <f>BI207</f>
        <v>3.8679094974897983</v>
      </c>
      <c r="BC207" s="114"/>
      <c r="BD207" s="114"/>
      <c r="BE207" s="114"/>
      <c r="BF207" s="1163"/>
      <c r="BG207" s="1163"/>
      <c r="BH207" s="1207">
        <f>$BH$208*BI7</f>
        <v>3.8679094974897983</v>
      </c>
      <c r="BI207" s="1150">
        <f>SUM(BG207:BH207)</f>
        <v>3.8679094974897983</v>
      </c>
      <c r="BJ207" s="114"/>
      <c r="BK207" s="114"/>
      <c r="BL207" s="114"/>
      <c r="BM207" s="114"/>
      <c r="BN207" s="114"/>
      <c r="BO207" s="114"/>
      <c r="BP207" s="114"/>
      <c r="BQ207" s="114"/>
      <c r="BR207" s="114"/>
      <c r="BS207" s="114"/>
      <c r="BT207" s="114"/>
      <c r="BU207" s="114"/>
      <c r="BV207" s="114"/>
      <c r="BW207" s="114"/>
      <c r="BX207" s="114"/>
      <c r="BY207" s="114"/>
      <c r="BZ207" s="114"/>
      <c r="CA207" s="114"/>
      <c r="CB207" s="114"/>
      <c r="CC207" s="114"/>
      <c r="CD207" s="114"/>
      <c r="CE207" s="114"/>
      <c r="CF207" s="114"/>
      <c r="CG207" s="114"/>
      <c r="CH207" s="114"/>
      <c r="CI207" s="114"/>
      <c r="CJ207" s="114"/>
      <c r="CK207" s="114"/>
      <c r="CL207" s="114"/>
      <c r="CM207" s="114"/>
      <c r="CN207" s="114"/>
    </row>
    <row r="208" spans="1:92" hidden="1" outlineLevel="1">
      <c r="A208" s="114"/>
      <c r="B208" s="245" t="s">
        <v>119</v>
      </c>
      <c r="C208" s="114"/>
      <c r="D208" s="1123">
        <f>(S208/S201-1)*100</f>
        <v>-10.277140912666493</v>
      </c>
      <c r="E208" s="114"/>
      <c r="F208" s="1139"/>
      <c r="G208" s="114"/>
      <c r="H208" s="1126">
        <f>D208-F208</f>
        <v>-10.277140912666493</v>
      </c>
      <c r="I208" s="114"/>
      <c r="J208" s="1063"/>
      <c r="K208" s="114"/>
      <c r="L208" s="1122">
        <f>AVERAGE(L204:L207)</f>
        <v>157.375</v>
      </c>
      <c r="M208" s="114"/>
      <c r="N208" s="1144">
        <f>(L208/L201-1)*100</f>
        <v>-12.751212751212748</v>
      </c>
      <c r="O208" s="246"/>
      <c r="P208" s="1124">
        <f>H208/N208*100</f>
        <v>80.597360527053013</v>
      </c>
      <c r="Q208" s="310"/>
      <c r="R208" s="114"/>
      <c r="S208" s="1095">
        <f>SUM(S204:S207)</f>
        <v>304.54002000000003</v>
      </c>
      <c r="T208" s="114"/>
      <c r="U208" s="1125">
        <f>SUM(U204:U207)</f>
        <v>1.9425990114782832</v>
      </c>
      <c r="V208" s="114"/>
      <c r="W208" s="1126">
        <f>(U208/U201-1)*100</f>
        <v>2.4260737021132295</v>
      </c>
      <c r="X208" s="246"/>
      <c r="Y208" s="114"/>
      <c r="Z208" s="114"/>
      <c r="AA208" s="114"/>
      <c r="AB208" s="1127">
        <f>AVERAGE(AB204:AB207)</f>
        <v>778.97500000000002</v>
      </c>
      <c r="AC208" s="114"/>
      <c r="AD208" s="1144">
        <f>Z207/Z200-1</f>
        <v>-5.5240061951471464E-2</v>
      </c>
      <c r="AE208" s="246"/>
      <c r="AF208" s="1124">
        <f>+H208/AD208*100</f>
        <v>18604.506493303696</v>
      </c>
      <c r="AG208" s="310"/>
      <c r="AH208" s="114"/>
      <c r="AI208" s="1129">
        <f>SUM(AI204:AI207)</f>
        <v>304.54002000000003</v>
      </c>
      <c r="AJ208" s="114"/>
      <c r="AK208" s="1097">
        <f>SUM(AK204:AK207)</f>
        <v>392.34523953298685</v>
      </c>
      <c r="AL208" s="114"/>
      <c r="AM208" s="1126">
        <f>(AK208/AK201-1)*100</f>
        <v>-0.98310651564368357</v>
      </c>
      <c r="AN208" s="246"/>
      <c r="AO208" s="246"/>
      <c r="AP208" s="246"/>
      <c r="AQ208" s="246"/>
      <c r="AR208" s="246"/>
      <c r="AS208" s="1100">
        <f>SUM(AS204:AS207)</f>
        <v>77.976980000000012</v>
      </c>
      <c r="AT208" s="114" t="s">
        <v>718</v>
      </c>
      <c r="AU208" s="1100">
        <f>(AS208/AS201-1)*100</f>
        <v>33.337289034045249</v>
      </c>
      <c r="AV208" s="1124">
        <f>(AS208/qtrSales!AS$143)*100</f>
        <v>11.129567859737467</v>
      </c>
      <c r="AW208" s="114" t="s">
        <v>718</v>
      </c>
      <c r="AX208" s="1075"/>
      <c r="AY208" s="1140">
        <f>SUM(AY204:AY207)</f>
        <v>382.517</v>
      </c>
      <c r="AZ208" s="1103">
        <f>AY208/AY201-1</f>
        <v>-3.8670131489002335E-2</v>
      </c>
      <c r="BA208" s="114"/>
      <c r="BB208" s="1171">
        <f>BI208</f>
        <v>12</v>
      </c>
      <c r="BC208" s="114"/>
      <c r="BD208" s="114"/>
      <c r="BE208" s="114"/>
      <c r="BF208" s="1150"/>
      <c r="BG208" s="1150"/>
      <c r="BH208" s="1170">
        <v>12</v>
      </c>
      <c r="BI208" s="1150">
        <f>SUM(BG208:BH208)</f>
        <v>12</v>
      </c>
      <c r="BJ208" s="114"/>
      <c r="BK208" s="114"/>
      <c r="BL208" s="114"/>
      <c r="BM208" s="114"/>
      <c r="BN208" s="114"/>
      <c r="BO208" s="114"/>
      <c r="BP208" s="114"/>
      <c r="BQ208" s="114"/>
      <c r="BR208" s="114"/>
      <c r="BS208" s="114"/>
      <c r="BT208" s="114"/>
      <c r="BU208" s="114"/>
      <c r="BV208" s="114"/>
      <c r="BW208" s="114"/>
      <c r="BX208" s="114"/>
      <c r="BY208" s="114"/>
      <c r="BZ208" s="114"/>
      <c r="CA208" s="114"/>
      <c r="CB208" s="114"/>
      <c r="CC208" s="114"/>
      <c r="CD208" s="114"/>
      <c r="CE208" s="114"/>
      <c r="CF208" s="114"/>
      <c r="CG208" s="114"/>
      <c r="CH208" s="114"/>
      <c r="CI208" s="114"/>
      <c r="CJ208" s="114"/>
      <c r="CK208" s="114"/>
      <c r="CL208" s="114"/>
      <c r="CM208" s="114"/>
      <c r="CN208" s="114"/>
    </row>
    <row r="209" spans="1:92" s="97" customFormat="1" hidden="1" outlineLevel="1">
      <c r="A209" s="310"/>
      <c r="B209" s="247"/>
      <c r="C209" s="310"/>
      <c r="D209" s="1128"/>
      <c r="E209" s="310"/>
      <c r="F209" s="1139"/>
      <c r="G209" s="310"/>
      <c r="H209" s="1126"/>
      <c r="I209" s="310"/>
      <c r="J209" s="1127"/>
      <c r="K209" s="310"/>
      <c r="L209" s="1124"/>
      <c r="M209" s="310"/>
      <c r="N209" s="1144"/>
      <c r="O209" s="249"/>
      <c r="P209" s="1124"/>
      <c r="Q209" s="310"/>
      <c r="R209" s="310"/>
      <c r="S209" s="1211"/>
      <c r="T209" s="310"/>
      <c r="U209" s="1212"/>
      <c r="V209" s="310"/>
      <c r="W209" s="1126"/>
      <c r="X209" s="249"/>
      <c r="Y209" s="310"/>
      <c r="Z209" s="310"/>
      <c r="AA209" s="310"/>
      <c r="AB209" s="1127"/>
      <c r="AC209" s="310"/>
      <c r="AD209" s="1144"/>
      <c r="AE209" s="249"/>
      <c r="AF209" s="1124"/>
      <c r="AG209" s="310"/>
      <c r="AH209" s="310"/>
      <c r="AI209" s="1143"/>
      <c r="AJ209" s="310"/>
      <c r="AK209" s="1213"/>
      <c r="AL209" s="310"/>
      <c r="AM209" s="1126"/>
      <c r="AN209" s="249"/>
      <c r="AO209" s="249"/>
      <c r="AP209" s="249"/>
      <c r="AQ209" s="249"/>
      <c r="AR209" s="249"/>
      <c r="AS209" s="1214"/>
      <c r="AT209" s="310"/>
      <c r="AU209" s="1214"/>
      <c r="AV209" s="1124"/>
      <c r="AW209" s="310"/>
      <c r="AX209" s="1075"/>
      <c r="AY209" s="1215"/>
      <c r="AZ209" s="1216"/>
      <c r="BA209" s="310"/>
      <c r="BB209" s="1158"/>
      <c r="BC209" s="310"/>
      <c r="BD209" s="310"/>
      <c r="BE209" s="310"/>
      <c r="BF209" s="1163"/>
      <c r="BG209" s="1217"/>
      <c r="BH209" s="1217"/>
      <c r="BI209" s="1163"/>
      <c r="BJ209" s="310"/>
      <c r="BK209" s="310"/>
      <c r="BL209" s="310"/>
      <c r="BM209" s="310"/>
      <c r="BN209" s="310"/>
      <c r="BO209" s="310"/>
      <c r="BP209" s="310"/>
      <c r="BQ209" s="310"/>
      <c r="BR209" s="310"/>
      <c r="BS209" s="310"/>
      <c r="BT209" s="310"/>
      <c r="BU209" s="310"/>
      <c r="BV209" s="310"/>
      <c r="BW209" s="310"/>
      <c r="BX209" s="310"/>
      <c r="BY209" s="310"/>
      <c r="BZ209" s="310"/>
      <c r="CA209" s="310"/>
      <c r="CB209" s="310"/>
      <c r="CC209" s="310"/>
      <c r="CD209" s="310"/>
      <c r="CE209" s="310"/>
      <c r="CF209" s="310"/>
      <c r="CG209" s="310"/>
      <c r="CH209" s="310"/>
      <c r="CI209" s="310"/>
      <c r="CJ209" s="310"/>
      <c r="CK209" s="310"/>
      <c r="CL209" s="310"/>
      <c r="CM209" s="310"/>
      <c r="CN209" s="310"/>
    </row>
    <row r="210" spans="1:92" hidden="1" outlineLevel="1">
      <c r="A210" s="1120"/>
      <c r="B210" s="1172">
        <v>2013</v>
      </c>
      <c r="C210" s="114"/>
      <c r="D210" s="1123"/>
      <c r="E210" s="114"/>
      <c r="F210" s="1139"/>
      <c r="G210" s="114"/>
      <c r="H210" s="1126"/>
      <c r="I210" s="114"/>
      <c r="J210" s="1063"/>
      <c r="K210" s="114"/>
      <c r="L210" s="1122"/>
      <c r="M210" s="114"/>
      <c r="N210" s="1144"/>
      <c r="O210" s="246"/>
      <c r="P210" s="1124"/>
      <c r="Q210" s="310"/>
      <c r="R210" s="114"/>
      <c r="S210" s="1211"/>
      <c r="T210" s="310"/>
      <c r="U210" s="1212"/>
      <c r="V210" s="114"/>
      <c r="W210" s="1126"/>
      <c r="X210" s="246"/>
      <c r="Y210" s="114"/>
      <c r="Z210" s="114"/>
      <c r="AA210" s="114"/>
      <c r="AB210" s="1127"/>
      <c r="AC210" s="114"/>
      <c r="AD210" s="1144"/>
      <c r="AE210" s="246"/>
      <c r="AF210" s="1124"/>
      <c r="AG210" s="310"/>
      <c r="AH210" s="114"/>
      <c r="AI210" s="1129"/>
      <c r="AJ210" s="114"/>
      <c r="AK210" s="1097"/>
      <c r="AL210" s="114"/>
      <c r="AM210" s="1126"/>
      <c r="AN210" s="246"/>
      <c r="AO210" s="246"/>
      <c r="AP210" s="246"/>
      <c r="AQ210" s="246"/>
      <c r="AR210" s="246"/>
      <c r="AS210" s="1100"/>
      <c r="AT210" s="114"/>
      <c r="AU210" s="1100"/>
      <c r="AV210" s="1121" t="s">
        <v>76</v>
      </c>
      <c r="AW210" s="114"/>
      <c r="AX210" s="1075"/>
      <c r="AY210" s="1142"/>
      <c r="AZ210" s="1103"/>
      <c r="BA210" s="114"/>
      <c r="BB210" s="1202" t="s">
        <v>574</v>
      </c>
      <c r="BC210" s="114"/>
      <c r="BD210" s="114"/>
      <c r="BE210" s="114"/>
      <c r="BF210" s="1150"/>
      <c r="BG210" s="246" t="s">
        <v>249</v>
      </c>
      <c r="BH210" s="246" t="s">
        <v>283</v>
      </c>
      <c r="BI210" s="114"/>
      <c r="BJ210" s="114"/>
      <c r="BK210" s="114"/>
      <c r="BL210" s="114"/>
      <c r="BM210" s="114"/>
      <c r="BN210" s="114"/>
      <c r="BO210" s="114"/>
      <c r="BP210" s="114"/>
      <c r="BQ210" s="114"/>
      <c r="BR210" s="114"/>
      <c r="BS210" s="114"/>
      <c r="BT210" s="114"/>
      <c r="BU210" s="114"/>
      <c r="BV210" s="114"/>
      <c r="BW210" s="114"/>
      <c r="BX210" s="114"/>
      <c r="BY210" s="114"/>
      <c r="BZ210" s="114"/>
      <c r="CA210" s="114"/>
      <c r="CB210" s="114"/>
      <c r="CC210" s="114"/>
      <c r="CD210" s="114"/>
      <c r="CE210" s="114"/>
      <c r="CF210" s="114"/>
      <c r="CG210" s="114"/>
      <c r="CH210" s="114"/>
      <c r="CI210" s="114"/>
      <c r="CJ210" s="114"/>
      <c r="CK210" s="114"/>
      <c r="CL210" s="114"/>
      <c r="CM210" s="114"/>
      <c r="CN210" s="114"/>
    </row>
    <row r="211" spans="1:92" hidden="1" outlineLevel="1">
      <c r="A211" s="114" t="s">
        <v>115</v>
      </c>
      <c r="B211" s="245" t="s">
        <v>96</v>
      </c>
      <c r="C211" s="114"/>
      <c r="D211" s="1128">
        <f>(S211/S204-1)*100</f>
        <v>-5.8725566298545306</v>
      </c>
      <c r="E211" s="114" t="s">
        <v>76</v>
      </c>
      <c r="F211" s="1139"/>
      <c r="G211" s="114" t="s">
        <v>76</v>
      </c>
      <c r="H211" s="1094">
        <f>D211-F211</f>
        <v>-5.8725566298545306</v>
      </c>
      <c r="I211" s="114" t="s">
        <v>76</v>
      </c>
      <c r="J211" s="1218">
        <f>144+5</f>
        <v>149</v>
      </c>
      <c r="K211" s="1063">
        <f>J211-J207</f>
        <v>2</v>
      </c>
      <c r="L211" s="1122">
        <f>AVERAGE(J211,J207)</f>
        <v>148</v>
      </c>
      <c r="M211" s="114"/>
      <c r="N211" s="1144">
        <f>(L211/L204-1)*100</f>
        <v>-6.0317460317460325</v>
      </c>
      <c r="O211" s="246" t="s">
        <v>76</v>
      </c>
      <c r="P211" s="1096">
        <f>H211/N211*100</f>
        <v>97.360807284430365</v>
      </c>
      <c r="Q211" s="310" t="s">
        <v>76</v>
      </c>
      <c r="R211" s="114"/>
      <c r="S211" s="1204">
        <f>AY211-AS211</f>
        <v>56.410125000000001</v>
      </c>
      <c r="T211" s="310"/>
      <c r="U211" s="1125">
        <f>S211/L211</f>
        <v>0.38114949324324326</v>
      </c>
      <c r="V211" s="114"/>
      <c r="W211" s="1144">
        <f>(U211/U204-1)*100</f>
        <v>0.16940764052641999</v>
      </c>
      <c r="X211" s="246" t="s">
        <v>76</v>
      </c>
      <c r="Y211" s="114"/>
      <c r="Z211" s="1063">
        <f>Z207+(J211-J207)*(squft!$CR$22/1000)</f>
        <v>741</v>
      </c>
      <c r="AA211" s="114"/>
      <c r="AB211" s="1127">
        <f>AVERAGE(Z211,Z207)</f>
        <v>736.5</v>
      </c>
      <c r="AC211" s="114"/>
      <c r="AD211" s="1144">
        <f>(Z211/Z204-1)*100</f>
        <v>-5.72519083969466</v>
      </c>
      <c r="AE211" s="246" t="s">
        <v>76</v>
      </c>
      <c r="AF211" s="1124">
        <f>+H211/AD211*100</f>
        <v>102.57398913479241</v>
      </c>
      <c r="AG211" s="310" t="s">
        <v>76</v>
      </c>
      <c r="AH211" s="114"/>
      <c r="AI211" s="1129">
        <f>+S211</f>
        <v>56.410125000000001</v>
      </c>
      <c r="AJ211" s="114"/>
      <c r="AK211" s="1097">
        <f>AI211/AB211*1000</f>
        <v>76.592158859470473</v>
      </c>
      <c r="AL211" s="114"/>
      <c r="AM211" s="1144">
        <f>(AK211/AK204-1)*100</f>
        <v>-0.26197310785942562</v>
      </c>
      <c r="AN211" s="246" t="s">
        <v>76</v>
      </c>
      <c r="AO211" s="246"/>
      <c r="AP211" s="246"/>
      <c r="AQ211" s="246"/>
      <c r="AR211" s="246"/>
      <c r="AS211" s="1100">
        <f>qtrSales!AS146*(AV211/100)</f>
        <v>16.589874999999999</v>
      </c>
      <c r="AT211" s="114" t="s">
        <v>718</v>
      </c>
      <c r="AU211" s="1100">
        <f>(AS211/AS204-1)*100</f>
        <v>-6.7328536701095505</v>
      </c>
      <c r="AV211" s="1124">
        <f>100-AV90-AV313</f>
        <v>12.5</v>
      </c>
      <c r="AW211" s="114" t="s">
        <v>718</v>
      </c>
      <c r="AX211" s="1075"/>
      <c r="AY211" s="1102">
        <v>73</v>
      </c>
      <c r="AZ211" s="1103">
        <f>AY211/AY204-1</f>
        <v>-6.0694571329310221E-2</v>
      </c>
      <c r="BA211" s="114"/>
      <c r="BB211" s="1171">
        <f>BI211</f>
        <v>2.456916063582697</v>
      </c>
      <c r="BC211" s="114"/>
      <c r="BD211" s="114"/>
      <c r="BE211" s="114"/>
      <c r="BF211" s="1150"/>
      <c r="BG211" s="1205"/>
      <c r="BH211" s="1205">
        <f>$BH$215*BI4</f>
        <v>2.456916063582697</v>
      </c>
      <c r="BI211" s="1150">
        <f>SUM(BG211:BH211)</f>
        <v>2.456916063582697</v>
      </c>
      <c r="BJ211" s="114"/>
      <c r="BK211" s="114"/>
      <c r="BL211" s="114"/>
      <c r="BM211" s="114"/>
      <c r="BN211" s="114"/>
      <c r="BO211" s="114"/>
      <c r="BP211" s="114"/>
      <c r="BQ211" s="114"/>
      <c r="BR211" s="114"/>
      <c r="BS211" s="114"/>
      <c r="BT211" s="114"/>
      <c r="BU211" s="114"/>
      <c r="BV211" s="114"/>
      <c r="BW211" s="114"/>
      <c r="BX211" s="114"/>
      <c r="BY211" s="114"/>
      <c r="BZ211" s="114"/>
      <c r="CA211" s="114"/>
      <c r="CB211" s="114"/>
      <c r="CC211" s="114"/>
      <c r="CD211" s="114"/>
      <c r="CE211" s="114"/>
      <c r="CF211" s="114"/>
      <c r="CG211" s="114"/>
      <c r="CH211" s="114"/>
      <c r="CI211" s="114"/>
      <c r="CJ211" s="114"/>
      <c r="CK211" s="114"/>
      <c r="CL211" s="114"/>
      <c r="CM211" s="114"/>
      <c r="CN211" s="114"/>
    </row>
    <row r="212" spans="1:92" hidden="1" outlineLevel="1">
      <c r="A212" s="114" t="s">
        <v>116</v>
      </c>
      <c r="B212" s="245" t="s">
        <v>97</v>
      </c>
      <c r="C212" s="114"/>
      <c r="D212" s="1128">
        <f>(S212/S205-1)*100</f>
        <v>-7.2865133623368443</v>
      </c>
      <c r="E212" s="114"/>
      <c r="F212" s="1139"/>
      <c r="G212" s="114"/>
      <c r="H212" s="1094">
        <f>D212-F212</f>
        <v>-7.2865133623368443</v>
      </c>
      <c r="I212" s="114"/>
      <c r="J212" s="1047">
        <f>144+6</f>
        <v>150</v>
      </c>
      <c r="K212" s="1063">
        <f>J212-J211</f>
        <v>1</v>
      </c>
      <c r="L212" s="1122">
        <f>AVERAGE(J212,J211)</f>
        <v>149.5</v>
      </c>
      <c r="M212" s="114"/>
      <c r="N212" s="1144">
        <f>(L212/L205-1)*100</f>
        <v>-5.9748427672955966</v>
      </c>
      <c r="O212" s="246"/>
      <c r="P212" s="1096">
        <f>H212/N212*100</f>
        <v>121.95322364332193</v>
      </c>
      <c r="Q212" s="310"/>
      <c r="R212" s="114"/>
      <c r="S212" s="1204">
        <f>AY212-AS212</f>
        <v>55.941000000000003</v>
      </c>
      <c r="T212" s="310"/>
      <c r="U212" s="1131">
        <f>S212/L212</f>
        <v>0.37418729096989967</v>
      </c>
      <c r="V212" s="114"/>
      <c r="W212" s="1144">
        <f>(U212/U205-1)*100</f>
        <v>-1.3950209004117697</v>
      </c>
      <c r="X212" s="246"/>
      <c r="Y212" s="114"/>
      <c r="Z212" s="1063">
        <f>Z211+(J212-J211)*(squft!$CR$22/1000)</f>
        <v>745.5</v>
      </c>
      <c r="AA212" s="114"/>
      <c r="AB212" s="1127">
        <f>AVERAGE(Z212,Z211)</f>
        <v>743.25</v>
      </c>
      <c r="AC212" s="114"/>
      <c r="AD212" s="1144">
        <f>(Z212/Z205-1)*100</f>
        <v>-5.1526717557251906</v>
      </c>
      <c r="AE212" s="246"/>
      <c r="AF212" s="1124">
        <f>+H212/AD212*100</f>
        <v>141.41233340238912</v>
      </c>
      <c r="AG212" s="310"/>
      <c r="AH212" s="114"/>
      <c r="AI212" s="1132">
        <f>+S212</f>
        <v>55.941000000000003</v>
      </c>
      <c r="AJ212" s="114"/>
      <c r="AK212" s="1106">
        <f>AI212/AB212*1000</f>
        <v>75.265388496468219</v>
      </c>
      <c r="AL212" s="114"/>
      <c r="AM212" s="1144">
        <f>(AK212/AK205-1)*100</f>
        <v>-1.9538506596660121</v>
      </c>
      <c r="AN212" s="246"/>
      <c r="AO212" s="246"/>
      <c r="AP212" s="246"/>
      <c r="AQ212" s="246"/>
      <c r="AR212" s="246"/>
      <c r="AS212" s="1100">
        <f>qtrSales!AS147*(AV212/100)</f>
        <v>20.059000000000001</v>
      </c>
      <c r="AT212" s="114" t="s">
        <v>718</v>
      </c>
      <c r="AU212" s="1100">
        <f>(AS212/AS205-1)*100</f>
        <v>25.663273296789345</v>
      </c>
      <c r="AV212" s="1124">
        <f>100-AV91-AV314</f>
        <v>13</v>
      </c>
      <c r="AW212" s="114" t="s">
        <v>718</v>
      </c>
      <c r="AX212" s="1075"/>
      <c r="AY212" s="1102">
        <v>76</v>
      </c>
      <c r="AZ212" s="1103">
        <f>AY212/AY205-1</f>
        <v>-3.9318479685451768E-3</v>
      </c>
      <c r="BA212" s="114"/>
      <c r="BB212" s="1171">
        <f>BI212</f>
        <v>2.6027048461040883</v>
      </c>
      <c r="BC212" s="114"/>
      <c r="BD212" s="114"/>
      <c r="BE212" s="114"/>
      <c r="BF212" s="1150"/>
      <c r="BG212" s="1206"/>
      <c r="BH212" s="1206">
        <f>$BH$215*BI5</f>
        <v>2.6027048461040883</v>
      </c>
      <c r="BI212" s="1150">
        <f>SUM(BG212:BH212)</f>
        <v>2.6027048461040883</v>
      </c>
      <c r="BJ212" s="114"/>
      <c r="BK212" s="114"/>
      <c r="BL212" s="114"/>
      <c r="BM212" s="114"/>
      <c r="BN212" s="114"/>
      <c r="BO212" s="114"/>
      <c r="BP212" s="114"/>
      <c r="BQ212" s="114"/>
      <c r="BR212" s="114"/>
      <c r="BS212" s="114"/>
      <c r="BT212" s="114"/>
      <c r="BU212" s="114"/>
      <c r="BV212" s="114"/>
      <c r="BW212" s="114"/>
      <c r="BX212" s="114"/>
      <c r="BY212" s="114"/>
      <c r="BZ212" s="114"/>
      <c r="CA212" s="114"/>
      <c r="CB212" s="114"/>
      <c r="CC212" s="114"/>
      <c r="CD212" s="114"/>
      <c r="CE212" s="114"/>
      <c r="CF212" s="114"/>
      <c r="CG212" s="114"/>
      <c r="CH212" s="114"/>
      <c r="CI212" s="114"/>
      <c r="CJ212" s="114"/>
      <c r="CK212" s="114"/>
      <c r="CL212" s="114"/>
      <c r="CM212" s="114"/>
      <c r="CN212" s="114"/>
    </row>
    <row r="213" spans="1:92" hidden="1" outlineLevel="1">
      <c r="A213" s="114" t="s">
        <v>117</v>
      </c>
      <c r="B213" s="245" t="s">
        <v>99</v>
      </c>
      <c r="C213" s="114"/>
      <c r="D213" s="1128">
        <f>(S213/S206-1)*100</f>
        <v>-18.581678991342976</v>
      </c>
      <c r="E213" s="114"/>
      <c r="F213" s="1139"/>
      <c r="G213" s="114"/>
      <c r="H213" s="1094">
        <f>D213-F213</f>
        <v>-18.581678991342976</v>
      </c>
      <c r="I213" s="114"/>
      <c r="J213" s="1047">
        <f>144+7</f>
        <v>151</v>
      </c>
      <c r="K213" s="1063">
        <f>J213-J212</f>
        <v>1</v>
      </c>
      <c r="L213" s="1122">
        <f>AVERAGE(J213,J212)</f>
        <v>150.5</v>
      </c>
      <c r="M213" s="114"/>
      <c r="N213" s="1144">
        <f>(L213/L206-1)*100</f>
        <v>-5.642633228840122</v>
      </c>
      <c r="O213" s="246"/>
      <c r="P213" s="1096">
        <f>H213/N213*100</f>
        <v>329.30864434657849</v>
      </c>
      <c r="Q213" s="310"/>
      <c r="R213" s="114"/>
      <c r="S213" s="1204">
        <f>AY213-AS213</f>
        <v>59.345000000000013</v>
      </c>
      <c r="T213" s="310"/>
      <c r="U213" s="1131">
        <f>S213/L213</f>
        <v>0.39431893687707648</v>
      </c>
      <c r="V213" s="114"/>
      <c r="W213" s="1144">
        <f>(U213/U206-1)*100</f>
        <v>-13.712809296473127</v>
      </c>
      <c r="X213" s="246"/>
      <c r="Y213" s="114"/>
      <c r="Z213" s="1063">
        <f>Z212+(J213-J212)*(squft!$CR$22/1000)</f>
        <v>750</v>
      </c>
      <c r="AA213" s="114"/>
      <c r="AB213" s="1127">
        <f>AVERAGE(Z213,Z212)</f>
        <v>747.75</v>
      </c>
      <c r="AC213" s="114"/>
      <c r="AD213" s="1144">
        <f>(Z213/Z206-1)*100</f>
        <v>-5.1233396584440261</v>
      </c>
      <c r="AE213" s="246"/>
      <c r="AF213" s="1124">
        <f>+H213/AD213*100</f>
        <v>362.68684549769415</v>
      </c>
      <c r="AG213" s="310"/>
      <c r="AH213" s="114"/>
      <c r="AI213" s="1132">
        <f>+S213</f>
        <v>59.345000000000013</v>
      </c>
      <c r="AJ213" s="114"/>
      <c r="AK213" s="1106">
        <f>AI213/AB213*1000</f>
        <v>79.36476094951523</v>
      </c>
      <c r="AL213" s="114"/>
      <c r="AM213" s="1144">
        <f>(AK213/AK206-1)*100</f>
        <v>-14.171860200502984</v>
      </c>
      <c r="AN213" s="246"/>
      <c r="AO213" s="246"/>
      <c r="AP213" s="246"/>
      <c r="AQ213" s="246"/>
      <c r="AR213" s="246"/>
      <c r="AS213" s="1100">
        <f>qtrSales!AS148*(AV213/100)</f>
        <v>30.554999999999996</v>
      </c>
      <c r="AT213" s="114" t="s">
        <v>718</v>
      </c>
      <c r="AU213" s="1100">
        <f>(AS213/AS206-1)*100</f>
        <v>13.540931217717622</v>
      </c>
      <c r="AV213" s="1124">
        <f>100-AV92-AV315</f>
        <v>17.5</v>
      </c>
      <c r="AW213" s="114" t="s">
        <v>718</v>
      </c>
      <c r="AX213" s="1075"/>
      <c r="AY213" s="1102">
        <v>89.9</v>
      </c>
      <c r="AZ213" s="1103">
        <f>AY213/AY206-1</f>
        <v>-9.9198396793587107E-2</v>
      </c>
      <c r="BA213" s="114"/>
      <c r="BB213" s="1171">
        <f>BI213</f>
        <v>2.4579756742587331</v>
      </c>
      <c r="BC213" s="114"/>
      <c r="BD213" s="114"/>
      <c r="BE213" s="114"/>
      <c r="BF213" s="1150"/>
      <c r="BG213" s="1206"/>
      <c r="BH213" s="1206">
        <f>$BH$215*BI6*0.8</f>
        <v>2.4579756742587331</v>
      </c>
      <c r="BI213" s="1150">
        <f>SUM(BG213:BH213)</f>
        <v>2.4579756742587331</v>
      </c>
      <c r="BJ213" s="114"/>
      <c r="BK213" s="114"/>
      <c r="BL213" s="114"/>
      <c r="BM213" s="114"/>
      <c r="BN213" s="114"/>
      <c r="BO213" s="114"/>
      <c r="BP213" s="114"/>
      <c r="BQ213" s="114"/>
      <c r="BR213" s="114"/>
      <c r="BS213" s="114"/>
      <c r="BT213" s="114"/>
      <c r="BU213" s="114"/>
      <c r="BV213" s="114"/>
      <c r="BW213" s="114"/>
      <c r="BX213" s="114"/>
      <c r="BY213" s="114"/>
      <c r="BZ213" s="114"/>
      <c r="CA213" s="114"/>
      <c r="CB213" s="114"/>
      <c r="CC213" s="114"/>
      <c r="CD213" s="114"/>
      <c r="CE213" s="114"/>
      <c r="CF213" s="114"/>
      <c r="CG213" s="114"/>
      <c r="CH213" s="114"/>
      <c r="CI213" s="114"/>
      <c r="CJ213" s="114"/>
      <c r="CK213" s="114"/>
      <c r="CL213" s="114"/>
      <c r="CM213" s="114"/>
      <c r="CN213" s="114"/>
    </row>
    <row r="214" spans="1:92" hidden="1" outlineLevel="1">
      <c r="A214" s="114" t="s">
        <v>118</v>
      </c>
      <c r="B214" s="245" t="s">
        <v>100</v>
      </c>
      <c r="C214" s="114"/>
      <c r="D214" s="1107">
        <f>(S214/S207-1)*100</f>
        <v>-22.946168210874085</v>
      </c>
      <c r="E214" s="114"/>
      <c r="F214" s="1139"/>
      <c r="G214" s="114"/>
      <c r="H214" s="1062">
        <f>D214-F214</f>
        <v>-22.946168210874085</v>
      </c>
      <c r="I214" s="114"/>
      <c r="J214" s="1063">
        <f>squft!CQ23</f>
        <v>136</v>
      </c>
      <c r="K214" s="1063">
        <f>J214-J213</f>
        <v>-15</v>
      </c>
      <c r="L214" s="1108">
        <f>AVERAGE(J214,J213)</f>
        <v>143.5</v>
      </c>
      <c r="M214" s="114"/>
      <c r="N214" s="1104">
        <f>(L214/L207-1)*100</f>
        <v>-6.514657980456029</v>
      </c>
      <c r="O214" s="246"/>
      <c r="P214" s="1189">
        <f>H214/N214*100</f>
        <v>352.22368203691701</v>
      </c>
      <c r="Q214" s="310"/>
      <c r="R214" s="114"/>
      <c r="S214" s="1209">
        <f>AY214-AS214</f>
        <v>85.825639999999993</v>
      </c>
      <c r="T214" s="310"/>
      <c r="U214" s="1133">
        <f>S214/L214</f>
        <v>0.59808808362369337</v>
      </c>
      <c r="V214" s="114"/>
      <c r="W214" s="1104">
        <f>(U214/U207-1)*100</f>
        <v>-17.576563208147533</v>
      </c>
      <c r="X214" s="246"/>
      <c r="Y214" s="114"/>
      <c r="Z214" s="1063">
        <f>Z213+(J214-J213)*(squft!$CR$22/1000)</f>
        <v>682.5</v>
      </c>
      <c r="AA214" s="114"/>
      <c r="AB214" s="1110">
        <f>AVERAGE(Z214,Z213)</f>
        <v>716.25</v>
      </c>
      <c r="AC214" s="114"/>
      <c r="AD214" s="1104">
        <f>(Z214/Z207-1)*100</f>
        <v>-6.7622950819672178</v>
      </c>
      <c r="AE214" s="246"/>
      <c r="AF214" s="1108">
        <f>+H214/AD214*100</f>
        <v>339.32515414868323</v>
      </c>
      <c r="AG214" s="310"/>
      <c r="AH214" s="114"/>
      <c r="AI214" s="1111">
        <f>+S214</f>
        <v>85.825639999999993</v>
      </c>
      <c r="AJ214" s="114"/>
      <c r="AK214" s="1135">
        <f>AI214/AB214*1000</f>
        <v>119.82637347294937</v>
      </c>
      <c r="AL214" s="114"/>
      <c r="AM214" s="1104">
        <f>(AK214/AK207-1)*100</f>
        <v>-18.10508977386095</v>
      </c>
      <c r="AN214" s="246"/>
      <c r="AO214" s="246"/>
      <c r="AP214" s="246"/>
      <c r="AQ214" s="246"/>
      <c r="AR214" s="246"/>
      <c r="AS214" s="1136">
        <f>qtrSales!AS149*(AV214/100)</f>
        <v>22.074360000000006</v>
      </c>
      <c r="AT214" s="1042" t="s">
        <v>718</v>
      </c>
      <c r="AU214" s="1136">
        <f>(AS214/AS207-1)*100</f>
        <v>27.479556479556511</v>
      </c>
      <c r="AV214" s="1108">
        <f>100-AV93-AV316</f>
        <v>7</v>
      </c>
      <c r="AW214" s="114" t="s">
        <v>718</v>
      </c>
      <c r="AX214" s="1075"/>
      <c r="AY214" s="1145">
        <v>107.9</v>
      </c>
      <c r="AZ214" s="1138">
        <f>AY214/AY207-1</f>
        <v>-0.16161616161616155</v>
      </c>
      <c r="BA214" s="114"/>
      <c r="BB214" s="1171">
        <f>BI214</f>
        <v>0</v>
      </c>
      <c r="BC214" s="114"/>
      <c r="BD214" s="114"/>
      <c r="BE214" s="114"/>
      <c r="BF214" s="1150"/>
      <c r="BG214" s="1207"/>
      <c r="BH214" s="1207"/>
      <c r="BI214" s="1150"/>
      <c r="BJ214" s="114"/>
      <c r="BK214" s="114"/>
      <c r="BL214" s="114"/>
      <c r="BM214" s="114"/>
      <c r="BN214" s="114"/>
      <c r="BO214" s="114"/>
      <c r="BP214" s="114"/>
      <c r="BQ214" s="114"/>
      <c r="BR214" s="114"/>
      <c r="BS214" s="114"/>
      <c r="BT214" s="114"/>
      <c r="BU214" s="114"/>
      <c r="BV214" s="114"/>
      <c r="BW214" s="114"/>
      <c r="BX214" s="114"/>
      <c r="BY214" s="114"/>
      <c r="BZ214" s="114"/>
      <c r="CA214" s="114"/>
      <c r="CB214" s="114"/>
      <c r="CC214" s="114"/>
      <c r="CD214" s="114"/>
      <c r="CE214" s="114"/>
      <c r="CF214" s="114"/>
      <c r="CG214" s="114"/>
      <c r="CH214" s="114"/>
      <c r="CI214" s="114"/>
      <c r="CJ214" s="114"/>
      <c r="CK214" s="114"/>
      <c r="CL214" s="114"/>
      <c r="CM214" s="114"/>
      <c r="CN214" s="114"/>
    </row>
    <row r="215" spans="1:92" hidden="1" outlineLevel="1">
      <c r="A215" s="114"/>
      <c r="B215" s="245" t="s">
        <v>119</v>
      </c>
      <c r="C215" s="114"/>
      <c r="D215" s="1123">
        <f>(S215/S208-1)*100</f>
        <v>-15.439105507381278</v>
      </c>
      <c r="E215" s="114"/>
      <c r="F215" s="1139"/>
      <c r="G215" s="114"/>
      <c r="H215" s="1126">
        <f>D215-F215</f>
        <v>-15.439105507381278</v>
      </c>
      <c r="I215" s="114"/>
      <c r="J215" s="1063"/>
      <c r="K215" s="114"/>
      <c r="L215" s="1122">
        <f>AVERAGE(L211:L214)</f>
        <v>147.875</v>
      </c>
      <c r="M215" s="114"/>
      <c r="N215" s="1144">
        <f>(L215/L208-1)*100</f>
        <v>-6.0365369340746655</v>
      </c>
      <c r="O215" s="246"/>
      <c r="P215" s="1124">
        <f>H215/N215*100</f>
        <v>255.76097149727656</v>
      </c>
      <c r="Q215" s="310"/>
      <c r="R215" s="114"/>
      <c r="S215" s="1095">
        <f>SUM(S211:S214)</f>
        <v>257.52176499999996</v>
      </c>
      <c r="T215" s="114"/>
      <c r="U215" s="1125">
        <f>SUM(U211:U214)</f>
        <v>1.7477438047139127</v>
      </c>
      <c r="V215" s="114"/>
      <c r="W215" s="1126">
        <f>(U215/U208-1)*100</f>
        <v>-10.03064480178486</v>
      </c>
      <c r="X215" s="246"/>
      <c r="Y215" s="114"/>
      <c r="Z215" s="114"/>
      <c r="AA215" s="114"/>
      <c r="AB215" s="1127">
        <f>AVERAGE(AB211:AB214)</f>
        <v>735.9375</v>
      </c>
      <c r="AC215" s="114"/>
      <c r="AD215" s="1144">
        <f>Z214/Z207-1</f>
        <v>-6.7622950819672178E-2</v>
      </c>
      <c r="AE215" s="246"/>
      <c r="AF215" s="1124">
        <f>+H215/AD215*100</f>
        <v>22831.162083642601</v>
      </c>
      <c r="AG215" s="310"/>
      <c r="AH215" s="114"/>
      <c r="AI215" s="1129">
        <f>SUM(AI211:AI214)</f>
        <v>257.52176499999996</v>
      </c>
      <c r="AJ215" s="114"/>
      <c r="AK215" s="1097">
        <f>SUM(AK211:AK214)</f>
        <v>351.04868177840331</v>
      </c>
      <c r="AL215" s="114"/>
      <c r="AM215" s="1126">
        <f>(AK215/AK208-1)*100</f>
        <v>-10.525566157942768</v>
      </c>
      <c r="AN215" s="246"/>
      <c r="AO215" s="246"/>
      <c r="AP215" s="246"/>
      <c r="AQ215" s="246"/>
      <c r="AR215" s="246"/>
      <c r="AS215" s="1100">
        <f>SUM(AS211:AS214)</f>
        <v>89.278234999999995</v>
      </c>
      <c r="AT215" s="114" t="s">
        <v>718</v>
      </c>
      <c r="AU215" s="1100">
        <f>(AS215/AS208-1)*100</f>
        <v>14.493065774027137</v>
      </c>
      <c r="AV215" s="1124">
        <f>(AS215/qtrSales!AS$150)*100</f>
        <v>11.491362644095371</v>
      </c>
      <c r="AW215" s="114" t="s">
        <v>718</v>
      </c>
      <c r="AX215" s="1075"/>
      <c r="AY215" s="1140">
        <f>SUM(AY211:AY214)</f>
        <v>346.8</v>
      </c>
      <c r="AZ215" s="1103">
        <f>AY215/AY208-1</f>
        <v>-9.3373627838762685E-2</v>
      </c>
      <c r="BA215" s="114"/>
      <c r="BB215" s="1171">
        <f>BI215</f>
        <v>12</v>
      </c>
      <c r="BC215" s="114"/>
      <c r="BD215" s="114"/>
      <c r="BE215" s="114"/>
      <c r="BF215" s="1150"/>
      <c r="BG215" s="1170"/>
      <c r="BH215" s="1170">
        <v>12</v>
      </c>
      <c r="BI215" s="1150">
        <f>SUM(BG215:BH215)</f>
        <v>12</v>
      </c>
      <c r="BJ215" s="114"/>
      <c r="BK215" s="114"/>
      <c r="BL215" s="114"/>
      <c r="BM215" s="114"/>
      <c r="BN215" s="114"/>
      <c r="BO215" s="114"/>
      <c r="BP215" s="114"/>
      <c r="BQ215" s="114"/>
      <c r="BR215" s="114"/>
      <c r="BS215" s="114"/>
      <c r="BT215" s="114"/>
      <c r="BU215" s="114"/>
      <c r="BV215" s="114"/>
      <c r="BW215" s="114"/>
      <c r="BX215" s="114"/>
      <c r="BY215" s="114"/>
      <c r="BZ215" s="114"/>
      <c r="CA215" s="114"/>
      <c r="CB215" s="114"/>
      <c r="CC215" s="114"/>
      <c r="CD215" s="114"/>
      <c r="CE215" s="114"/>
      <c r="CF215" s="114"/>
      <c r="CG215" s="114"/>
    </row>
    <row r="216" spans="1:92" s="310" customFormat="1" hidden="1" outlineLevel="1">
      <c r="B216" s="247"/>
      <c r="D216" s="1219"/>
      <c r="F216" s="1139"/>
      <c r="H216" s="1219"/>
      <c r="L216" s="1220"/>
      <c r="N216" s="1219"/>
      <c r="O216" s="249"/>
      <c r="P216" s="1124"/>
      <c r="S216" s="1211"/>
      <c r="U216" s="1212"/>
      <c r="W216" s="1221"/>
      <c r="X216" s="249"/>
      <c r="AB216" s="1222"/>
      <c r="AD216" s="1219"/>
      <c r="AE216" s="249"/>
      <c r="AF216" s="1124"/>
      <c r="AI216" s="1143"/>
      <c r="AK216" s="1213"/>
      <c r="AM216" s="1126"/>
      <c r="AN216" s="249"/>
      <c r="AO216" s="249"/>
      <c r="AP216" s="249"/>
      <c r="AQ216" s="249"/>
      <c r="AR216" s="249"/>
      <c r="AZ216" s="249"/>
    </row>
    <row r="217" spans="1:92" s="114" customFormat="1" hidden="1" outlineLevel="1">
      <c r="A217" s="1120"/>
      <c r="B217" s="1172">
        <v>2014</v>
      </c>
      <c r="D217" s="1123"/>
      <c r="F217" s="1139"/>
      <c r="H217" s="1126"/>
      <c r="J217" s="1063"/>
      <c r="L217" s="1122"/>
      <c r="N217" s="1144"/>
      <c r="O217" s="246"/>
      <c r="P217" s="1124"/>
      <c r="Q217" s="310"/>
      <c r="S217" s="1211"/>
      <c r="T217" s="310"/>
      <c r="U217" s="1212"/>
      <c r="W217" s="1126"/>
      <c r="X217" s="246"/>
      <c r="AB217" s="1127"/>
      <c r="AD217" s="1144"/>
      <c r="AE217" s="246"/>
      <c r="AF217" s="1124"/>
      <c r="AG217" s="310"/>
      <c r="AI217" s="1129"/>
      <c r="AK217" s="1097"/>
      <c r="AM217" s="1126"/>
      <c r="AN217" s="246"/>
      <c r="AO217" s="246"/>
      <c r="AP217" s="246"/>
      <c r="AQ217" s="246"/>
      <c r="AR217" s="246"/>
      <c r="AS217" s="1100"/>
      <c r="AU217" s="1100"/>
      <c r="AV217" s="1121" t="s">
        <v>76</v>
      </c>
      <c r="AX217" s="1075"/>
      <c r="AY217" s="1142"/>
      <c r="AZ217" s="1103"/>
      <c r="BB217" s="1202" t="s">
        <v>574</v>
      </c>
      <c r="BF217" s="1150"/>
      <c r="BG217" s="246" t="s">
        <v>249</v>
      </c>
      <c r="BH217" s="246" t="s">
        <v>283</v>
      </c>
    </row>
    <row r="218" spans="1:92" s="114" customFormat="1" hidden="1" outlineLevel="1">
      <c r="A218" s="114" t="s">
        <v>115</v>
      </c>
      <c r="B218" s="245" t="s">
        <v>96</v>
      </c>
      <c r="D218" s="1128">
        <f>(S218/S211-1)*100</f>
        <v>-16.326634624546578</v>
      </c>
      <c r="E218" s="114" t="s">
        <v>76</v>
      </c>
      <c r="F218" s="1139"/>
      <c r="G218" s="114" t="s">
        <v>76</v>
      </c>
      <c r="H218" s="1094">
        <f>D218-F218</f>
        <v>-16.326634624546578</v>
      </c>
      <c r="I218" s="114" t="s">
        <v>76</v>
      </c>
      <c r="J218" s="1047">
        <v>137</v>
      </c>
      <c r="K218" s="1063">
        <f>J218-J214</f>
        <v>1</v>
      </c>
      <c r="L218" s="1122">
        <f>AVERAGE(J218,J214)</f>
        <v>136.5</v>
      </c>
      <c r="N218" s="1144">
        <f>(L218/L211-1)*100</f>
        <v>-7.7702702702702737</v>
      </c>
      <c r="O218" s="246" t="s">
        <v>76</v>
      </c>
      <c r="P218" s="1096">
        <f>H218/N218*100</f>
        <v>210.11668908112108</v>
      </c>
      <c r="Q218" s="310" t="s">
        <v>76</v>
      </c>
      <c r="S218" s="1204">
        <f>AY218-AS218</f>
        <v>47.200249999999997</v>
      </c>
      <c r="T218" s="310"/>
      <c r="U218" s="1125">
        <f>S218/L218</f>
        <v>0.34578937728937725</v>
      </c>
      <c r="W218" s="1144">
        <f>(U218/U211-1)*100</f>
        <v>-9.2772302156255986</v>
      </c>
      <c r="X218" s="246" t="s">
        <v>76</v>
      </c>
      <c r="Z218" s="1063">
        <f>Z214+(J218-J214)*(squft!$CR$22/1000)</f>
        <v>687</v>
      </c>
      <c r="AB218" s="1127">
        <f>AVERAGE(Z218,Z214)</f>
        <v>684.75</v>
      </c>
      <c r="AD218" s="1144">
        <f>(Z218/Z211-1)*100</f>
        <v>-7.2874493927125528</v>
      </c>
      <c r="AE218" s="246" t="s">
        <v>76</v>
      </c>
      <c r="AF218" s="1124">
        <f>+H218/AD218*100</f>
        <v>224.03770845905578</v>
      </c>
      <c r="AG218" s="310" t="s">
        <v>76</v>
      </c>
      <c r="AI218" s="1129">
        <f>+S218</f>
        <v>47.200249999999997</v>
      </c>
      <c r="AK218" s="1097">
        <f>AI218/AB218*1000</f>
        <v>68.930631617378594</v>
      </c>
      <c r="AM218" s="1144">
        <f>(AK218/AK211-1)*100</f>
        <v>-10.00301774513116</v>
      </c>
      <c r="AN218" s="246" t="s">
        <v>76</v>
      </c>
      <c r="AO218" s="246"/>
      <c r="AP218" s="246"/>
      <c r="AQ218" s="246"/>
      <c r="AR218" s="246"/>
      <c r="AS218" s="1100">
        <f>qtrSales!AS153*(AV218/100)</f>
        <v>21.29975</v>
      </c>
      <c r="AT218" s="114" t="s">
        <v>718</v>
      </c>
      <c r="AU218" s="1100">
        <f>(AS218/AS211-1)*100</f>
        <v>28.390057188495987</v>
      </c>
      <c r="AV218" s="1124">
        <f>100-AV97-AV320</f>
        <v>12.5</v>
      </c>
      <c r="AW218" s="114" t="s">
        <v>718</v>
      </c>
      <c r="AX218" s="1075"/>
      <c r="AY218" s="1102">
        <v>68.5</v>
      </c>
      <c r="AZ218" s="1103">
        <f>AY218/AY211-1</f>
        <v>-6.164383561643838E-2</v>
      </c>
      <c r="BB218" s="1171">
        <f>BI218</f>
        <v>2.456916063582697</v>
      </c>
      <c r="BF218" s="1150"/>
      <c r="BG218" s="1205"/>
      <c r="BH218" s="1205">
        <f>$BH$215*BI4</f>
        <v>2.456916063582697</v>
      </c>
      <c r="BI218" s="1150">
        <f>SUM(BG218:BH218)</f>
        <v>2.456916063582697</v>
      </c>
    </row>
    <row r="219" spans="1:92" s="114" customFormat="1" hidden="1" outlineLevel="1">
      <c r="A219" s="114" t="s">
        <v>116</v>
      </c>
      <c r="B219" s="245" t="s">
        <v>97</v>
      </c>
      <c r="D219" s="1128">
        <f>(S219/S212-1)*100</f>
        <v>-29.093080209506429</v>
      </c>
      <c r="F219" s="1139"/>
      <c r="H219" s="1094">
        <f>D219-F219</f>
        <v>-29.093080209506429</v>
      </c>
      <c r="J219" s="1176">
        <v>133</v>
      </c>
      <c r="K219" s="1063">
        <f>J219-J218</f>
        <v>-4</v>
      </c>
      <c r="L219" s="1122">
        <f>AVERAGE(J219,J218)</f>
        <v>135</v>
      </c>
      <c r="N219" s="1144">
        <f>(L219/L212-1)*100</f>
        <v>-9.6989966555183997</v>
      </c>
      <c r="O219" s="246"/>
      <c r="P219" s="1096">
        <f>H219/N219*100</f>
        <v>299.95968905663506</v>
      </c>
      <c r="Q219" s="310"/>
      <c r="S219" s="1204">
        <f>AY219-AS219</f>
        <v>39.66604000000001</v>
      </c>
      <c r="T219" s="310"/>
      <c r="U219" s="1131">
        <f>S219/L219</f>
        <v>0.29382251851851859</v>
      </c>
      <c r="W219" s="1144">
        <f>(U219/U212-1)*100</f>
        <v>-21.477151787564519</v>
      </c>
      <c r="X219" s="246"/>
      <c r="Z219" s="1063">
        <f>Z218+(J219-J218)*(squft!$CR$22/1000)</f>
        <v>669</v>
      </c>
      <c r="AB219" s="1127">
        <f>AVERAGE(Z219,Z218)</f>
        <v>678</v>
      </c>
      <c r="AD219" s="1144">
        <f>(Z219/Z212-1)*100</f>
        <v>-10.261569416498995</v>
      </c>
      <c r="AE219" s="246"/>
      <c r="AF219" s="1124">
        <f>+H219/AD219*100</f>
        <v>283.51491890440576</v>
      </c>
      <c r="AG219" s="310"/>
      <c r="AI219" s="1132">
        <f>+S219</f>
        <v>39.66604000000001</v>
      </c>
      <c r="AK219" s="1106">
        <f>AI219/AB219*1000</f>
        <v>58.504483775811224</v>
      </c>
      <c r="AM219" s="1144">
        <f>(AK219/AK212-1)*100</f>
        <v>-22.269073548253182</v>
      </c>
      <c r="AN219" s="246"/>
      <c r="AO219" s="246"/>
      <c r="AP219" s="246"/>
      <c r="AQ219" s="246"/>
      <c r="AR219" s="246"/>
      <c r="AS219" s="1100">
        <f>qtrSales!AS154*(AV219/100)</f>
        <v>31.233959999999996</v>
      </c>
      <c r="AT219" s="114" t="s">
        <v>718</v>
      </c>
      <c r="AU219" s="1100">
        <f>(AS219/AS212-1)*100</f>
        <v>55.710454160227307</v>
      </c>
      <c r="AV219" s="1124">
        <f>100-AV98-AV321</f>
        <v>18</v>
      </c>
      <c r="AW219" s="114" t="s">
        <v>718</v>
      </c>
      <c r="AX219" s="1075"/>
      <c r="AY219" s="1177">
        <v>70.900000000000006</v>
      </c>
      <c r="AZ219" s="1103">
        <f>AY219/AY212-1</f>
        <v>-6.7105263157894668E-2</v>
      </c>
      <c r="BB219" s="1171">
        <f>BI219</f>
        <v>2.6027048461040883</v>
      </c>
      <c r="BF219" s="1150"/>
      <c r="BG219" s="1162"/>
      <c r="BH219" s="1206">
        <f>$BH$215*BI5</f>
        <v>2.6027048461040883</v>
      </c>
      <c r="BI219" s="1150">
        <f>SUM(BG219:BH219)</f>
        <v>2.6027048461040883</v>
      </c>
    </row>
    <row r="220" spans="1:92" s="114" customFormat="1" hidden="1" outlineLevel="1">
      <c r="A220" s="114" t="s">
        <v>117</v>
      </c>
      <c r="B220" s="245" t="s">
        <v>99</v>
      </c>
      <c r="D220" s="1128">
        <f>(S220/S213-1)*100</f>
        <v>-18.299983149380751</v>
      </c>
      <c r="F220" s="1139"/>
      <c r="H220" s="1094">
        <f>D220-F220</f>
        <v>-18.299983149380751</v>
      </c>
      <c r="J220" s="1176">
        <v>133</v>
      </c>
      <c r="K220" s="1063">
        <f>J220-J219</f>
        <v>0</v>
      </c>
      <c r="L220" s="1122">
        <f>AVERAGE(J220,J219)</f>
        <v>133</v>
      </c>
      <c r="N220" s="1144">
        <f>(L220/L213-1)*100</f>
        <v>-11.627906976744185</v>
      </c>
      <c r="O220" s="246"/>
      <c r="P220" s="1096">
        <f>H220/N220*100</f>
        <v>157.37985508467446</v>
      </c>
      <c r="Q220" s="310"/>
      <c r="S220" s="1204">
        <f>AY220-AS220</f>
        <v>48.484875000000002</v>
      </c>
      <c r="T220" s="310"/>
      <c r="U220" s="1131">
        <f>S220/L220</f>
        <v>0.36454793233082711</v>
      </c>
      <c r="W220" s="1144">
        <f>(U220/U213-1)*100</f>
        <v>-7.5499809321939999</v>
      </c>
      <c r="X220" s="246"/>
      <c r="Z220" s="1063">
        <f>Z219+(J220-J219)*(squft!$CR$22/1000)</f>
        <v>669</v>
      </c>
      <c r="AB220" s="1127">
        <f>AVERAGE(Z220,Z219)</f>
        <v>669</v>
      </c>
      <c r="AD220" s="1144">
        <f>(Z220/Z213-1)*100</f>
        <v>-10.799999999999999</v>
      </c>
      <c r="AE220" s="246"/>
      <c r="AF220" s="1124">
        <f>+H220/AD220*100</f>
        <v>169.44428842019215</v>
      </c>
      <c r="AG220" s="310"/>
      <c r="AI220" s="1132">
        <f>+S220</f>
        <v>48.484875000000002</v>
      </c>
      <c r="AK220" s="1106">
        <f>AI220/AB220*1000</f>
        <v>72.473654708520186</v>
      </c>
      <c r="AM220" s="1144">
        <f>(AK220/AK213-1)*100</f>
        <v>-8.6828286994760191</v>
      </c>
      <c r="AN220" s="246"/>
      <c r="AO220" s="246"/>
      <c r="AP220" s="246"/>
      <c r="AQ220" s="246"/>
      <c r="AR220" s="246"/>
      <c r="AS220" s="1100">
        <f>qtrSales!AS155*(AV220/100)</f>
        <v>32.815124999999995</v>
      </c>
      <c r="AT220" s="114" t="s">
        <v>718</v>
      </c>
      <c r="AU220" s="1100">
        <f>(AS220/AS213-1)*100</f>
        <v>7.3969072164948413</v>
      </c>
      <c r="AV220" s="1124">
        <f>100-AV99-AV322</f>
        <v>17.5</v>
      </c>
      <c r="AW220" s="114" t="s">
        <v>718</v>
      </c>
      <c r="AX220" s="1075"/>
      <c r="AY220" s="1177">
        <v>81.3</v>
      </c>
      <c r="AZ220" s="1103">
        <f>AY220/AY213-1</f>
        <v>-9.5661846496106873E-2</v>
      </c>
      <c r="BB220" s="1171">
        <f>BI220</f>
        <v>0.24579756742587328</v>
      </c>
      <c r="BF220" s="1150"/>
      <c r="BG220" s="1162"/>
      <c r="BH220" s="1206">
        <f>$BH$215*BI6*0.08</f>
        <v>0.24579756742587328</v>
      </c>
      <c r="BI220" s="1150">
        <f>SUM(BG220:BH220)</f>
        <v>0.24579756742587328</v>
      </c>
    </row>
    <row r="221" spans="1:92" hidden="1" outlineLevel="1">
      <c r="A221" s="114" t="s">
        <v>118</v>
      </c>
      <c r="B221" s="245" t="s">
        <v>100</v>
      </c>
      <c r="C221" s="114"/>
      <c r="D221" s="1107">
        <f>(S221/S214-1)*100</f>
        <v>-24.76938127114461</v>
      </c>
      <c r="E221" s="114"/>
      <c r="F221" s="1139"/>
      <c r="G221" s="114"/>
      <c r="H221" s="1062">
        <f>D221-F221</f>
        <v>-24.76938127114461</v>
      </c>
      <c r="I221" s="114"/>
      <c r="J221" s="1063">
        <f>squft!CU23</f>
        <v>117</v>
      </c>
      <c r="K221" s="1063">
        <f>J221-J220</f>
        <v>-16</v>
      </c>
      <c r="L221" s="1108">
        <f>AVERAGE(J221,J220)</f>
        <v>125</v>
      </c>
      <c r="M221" s="114"/>
      <c r="N221" s="1104">
        <f>(L221/L214-1)*100</f>
        <v>-12.891986062717775</v>
      </c>
      <c r="O221" s="246"/>
      <c r="P221" s="1189">
        <f>H221/N221*100</f>
        <v>192.13006553563514</v>
      </c>
      <c r="Q221" s="310"/>
      <c r="R221" s="114"/>
      <c r="S221" s="1209">
        <f>AY221-AS221</f>
        <v>64.567160000000001</v>
      </c>
      <c r="T221" s="310"/>
      <c r="U221" s="1133">
        <f>S221/L221</f>
        <v>0.51653727999999999</v>
      </c>
      <c r="V221" s="114"/>
      <c r="W221" s="1104">
        <f>(U221/U214-1)*100</f>
        <v>-13.635249699274022</v>
      </c>
      <c r="X221" s="246"/>
      <c r="Y221" s="114"/>
      <c r="Z221" s="1063">
        <f>Z220+(J221-J220)*(squft!$CR$22/1000)</f>
        <v>597</v>
      </c>
      <c r="AA221" s="114"/>
      <c r="AB221" s="1110">
        <f>AVERAGE(Z221,Z220)</f>
        <v>633</v>
      </c>
      <c r="AC221" s="114"/>
      <c r="AD221" s="1104">
        <f>(Z221/Z214-1)*100</f>
        <v>-12.527472527472527</v>
      </c>
      <c r="AE221" s="246"/>
      <c r="AF221" s="1108">
        <f>+H221/AD221*100</f>
        <v>197.72049962054029</v>
      </c>
      <c r="AG221" s="310"/>
      <c r="AH221" s="114"/>
      <c r="AI221" s="1111">
        <f>+S221</f>
        <v>64.567160000000001</v>
      </c>
      <c r="AJ221" s="114"/>
      <c r="AK221" s="1135">
        <f>AI221/AB221*1000</f>
        <v>102.00183254344391</v>
      </c>
      <c r="AL221" s="114"/>
      <c r="AM221" s="1104">
        <f>(AK221/AK214-1)*100</f>
        <v>-14.875307007041583</v>
      </c>
      <c r="AN221" s="246"/>
      <c r="AO221" s="246"/>
      <c r="AP221" s="246"/>
      <c r="AQ221" s="246"/>
      <c r="AR221" s="246"/>
      <c r="AS221" s="1136">
        <f>qtrSales!AS156*(AV221/100)</f>
        <v>36.132840000000002</v>
      </c>
      <c r="AT221" s="1042" t="s">
        <v>718</v>
      </c>
      <c r="AU221" s="1136">
        <f>(AS221/AS214-1)*100</f>
        <v>63.686920028485503</v>
      </c>
      <c r="AV221" s="1108">
        <f>100-AV100-AV323</f>
        <v>12</v>
      </c>
      <c r="AW221" s="114" t="s">
        <v>718</v>
      </c>
      <c r="AX221" s="1075"/>
      <c r="AY221" s="1145">
        <v>100.7</v>
      </c>
      <c r="AZ221" s="1138">
        <f>AY221/AY214-1</f>
        <v>-6.6728452270620964E-2</v>
      </c>
      <c r="BA221" s="114"/>
      <c r="BB221" s="1171">
        <f>BI221</f>
        <v>0</v>
      </c>
      <c r="BC221" s="114"/>
      <c r="BD221" s="114"/>
      <c r="BE221" s="114"/>
      <c r="BF221" s="1150"/>
      <c r="BG221" s="1207"/>
      <c r="BH221" s="1207"/>
      <c r="BI221" s="1150"/>
      <c r="BJ221" s="114"/>
      <c r="BK221" s="114"/>
      <c r="BL221" s="114"/>
      <c r="BM221" s="114"/>
      <c r="BN221" s="114"/>
      <c r="BO221" s="114"/>
      <c r="BP221" s="114"/>
      <c r="BQ221" s="114"/>
      <c r="BR221" s="114"/>
      <c r="BS221" s="114"/>
      <c r="BT221" s="114"/>
      <c r="BU221" s="114"/>
      <c r="BV221" s="114"/>
      <c r="BW221" s="114"/>
      <c r="BX221" s="114"/>
      <c r="BY221" s="114"/>
      <c r="BZ221" s="114"/>
      <c r="CA221" s="114"/>
      <c r="CB221" s="114"/>
      <c r="CC221" s="114"/>
      <c r="CD221" s="114"/>
      <c r="CE221" s="114"/>
      <c r="CF221" s="114"/>
      <c r="CG221" s="114"/>
      <c r="CH221" s="114"/>
      <c r="CI221" s="114"/>
      <c r="CJ221" s="114"/>
      <c r="CK221" s="114"/>
      <c r="CL221" s="114"/>
      <c r="CM221" s="114"/>
      <c r="CN221" s="114"/>
    </row>
    <row r="222" spans="1:92" s="114" customFormat="1" hidden="1" outlineLevel="1">
      <c r="B222" s="245" t="s">
        <v>119</v>
      </c>
      <c r="D222" s="1123">
        <f>(S222/S215-1)*100</f>
        <v>-22.368377290362218</v>
      </c>
      <c r="F222" s="1139"/>
      <c r="H222" s="1126">
        <f>D222-F222</f>
        <v>-22.368377290362218</v>
      </c>
      <c r="J222" s="1063"/>
      <c r="L222" s="1122">
        <f>AVERAGE(L218:L221)</f>
        <v>132.375</v>
      </c>
      <c r="N222" s="1144">
        <f>(L222/L215-1)*100</f>
        <v>-10.481825866441252</v>
      </c>
      <c r="O222" s="246"/>
      <c r="P222" s="1124">
        <f>H222/N222*100</f>
        <v>213.40153495563308</v>
      </c>
      <c r="Q222" s="310"/>
      <c r="S222" s="1095">
        <f>SUM(S218:S221)</f>
        <v>199.91832500000001</v>
      </c>
      <c r="U222" s="1125">
        <f>SUM(U218:U221)</f>
        <v>1.5206971081387231</v>
      </c>
      <c r="W222" s="1126">
        <f>(U222/U215-1)*100</f>
        <v>-12.990845452452039</v>
      </c>
      <c r="X222" s="246"/>
      <c r="AB222" s="1127">
        <f>AVERAGE(AB218:AB221)</f>
        <v>666.1875</v>
      </c>
      <c r="AD222" s="1144">
        <f>Z221/Z214-1</f>
        <v>-0.12527472527472527</v>
      </c>
      <c r="AE222" s="246"/>
      <c r="AF222" s="1124">
        <f>+H222/AD222*100</f>
        <v>17855.4590651137</v>
      </c>
      <c r="AG222" s="310"/>
      <c r="AI222" s="1129">
        <f>SUM(AI218:AI221)</f>
        <v>199.91832500000001</v>
      </c>
      <c r="AK222" s="1097">
        <f>SUM(AK218:AK221)</f>
        <v>301.91060264515392</v>
      </c>
      <c r="AM222" s="1126">
        <f>(AK222/AK215-1)*100</f>
        <v>-13.997511366320248</v>
      </c>
      <c r="AN222" s="246"/>
      <c r="AO222" s="246"/>
      <c r="AP222" s="246"/>
      <c r="AQ222" s="246"/>
      <c r="AR222" s="246"/>
      <c r="AS222" s="1100">
        <f>SUM(AS218:AS221)</f>
        <v>121.481675</v>
      </c>
      <c r="AT222" s="114" t="s">
        <v>718</v>
      </c>
      <c r="AU222" s="1100">
        <f>(AS222/AS215-1)*100</f>
        <v>36.070874385005489</v>
      </c>
      <c r="AV222" s="1124">
        <f>(AS222/qtrSales!AS$150)*100</f>
        <v>15.636397628572457</v>
      </c>
      <c r="AW222" s="114" t="s">
        <v>718</v>
      </c>
      <c r="AX222" s="1075"/>
      <c r="AY222" s="1142">
        <f>SUM(AY218:AY221)</f>
        <v>321.39999999999998</v>
      </c>
      <c r="AZ222" s="1103">
        <f>AY222/AY215-1</f>
        <v>-7.3241061130334573E-2</v>
      </c>
      <c r="BB222" s="1171">
        <f>BI222</f>
        <v>12</v>
      </c>
      <c r="BF222" s="1150"/>
      <c r="BG222" s="1170"/>
      <c r="BH222" s="1170">
        <v>12</v>
      </c>
      <c r="BI222" s="1150">
        <f>SUM(BG222:BH222)</f>
        <v>12</v>
      </c>
    </row>
    <row r="223" spans="1:92" s="310" customFormat="1" hidden="1" outlineLevel="1">
      <c r="B223" s="247"/>
      <c r="D223" s="1219"/>
      <c r="F223" s="1139"/>
      <c r="H223" s="1219"/>
      <c r="L223" s="1220"/>
      <c r="N223" s="1219"/>
      <c r="O223" s="249"/>
      <c r="P223" s="1124"/>
      <c r="S223" s="1211"/>
      <c r="U223" s="1212"/>
      <c r="W223" s="1221"/>
      <c r="X223" s="249"/>
      <c r="AB223" s="1222"/>
      <c r="AD223" s="1219"/>
      <c r="AE223" s="249"/>
      <c r="AF223" s="1124"/>
      <c r="AI223" s="1143"/>
      <c r="AK223" s="1213"/>
      <c r="AM223" s="1126"/>
      <c r="AN223" s="249"/>
      <c r="AO223" s="249"/>
      <c r="AP223" s="249"/>
      <c r="AQ223" s="249"/>
      <c r="AR223" s="249"/>
      <c r="AZ223" s="249"/>
    </row>
    <row r="224" spans="1:92" s="114" customFormat="1" hidden="1" outlineLevel="1">
      <c r="A224" s="1120"/>
      <c r="B224" s="1175">
        <v>2015</v>
      </c>
      <c r="D224" s="1123"/>
      <c r="F224" s="1139"/>
      <c r="H224" s="1126"/>
      <c r="J224" s="1063"/>
      <c r="L224" s="1122"/>
      <c r="N224" s="1144"/>
      <c r="O224" s="246"/>
      <c r="P224" s="1124"/>
      <c r="Q224" s="310"/>
      <c r="S224" s="1211"/>
      <c r="T224" s="310"/>
      <c r="U224" s="1212"/>
      <c r="W224" s="1126"/>
      <c r="X224" s="246"/>
      <c r="AB224" s="1127"/>
      <c r="AD224" s="1144"/>
      <c r="AE224" s="246"/>
      <c r="AF224" s="1124"/>
      <c r="AG224" s="310"/>
      <c r="AI224" s="1129"/>
      <c r="AK224" s="1097"/>
      <c r="AM224" s="1126"/>
      <c r="AN224" s="246"/>
      <c r="AO224" s="246"/>
      <c r="AP224" s="246"/>
      <c r="AQ224" s="246"/>
      <c r="AR224" s="246"/>
      <c r="AS224" s="1100"/>
      <c r="AU224" s="1100"/>
      <c r="AV224" s="1121" t="s">
        <v>76</v>
      </c>
      <c r="AX224" s="1075"/>
      <c r="AY224" s="1142"/>
      <c r="AZ224" s="1103"/>
      <c r="BB224" s="1202" t="s">
        <v>574</v>
      </c>
      <c r="BF224" s="1150"/>
      <c r="BG224" s="246" t="s">
        <v>249</v>
      </c>
      <c r="BH224" s="246" t="s">
        <v>283</v>
      </c>
    </row>
    <row r="225" spans="1:85" s="114" customFormat="1" hidden="1" outlineLevel="1">
      <c r="A225" s="114" t="s">
        <v>115</v>
      </c>
      <c r="B225" s="245" t="s">
        <v>96</v>
      </c>
      <c r="D225" s="1128">
        <f>F225+H225</f>
        <v>-45.054945054945058</v>
      </c>
      <c r="E225" s="114" t="s">
        <v>76</v>
      </c>
      <c r="F225" s="1139"/>
      <c r="G225" s="114" t="s">
        <v>76</v>
      </c>
      <c r="H225" s="1144">
        <f>N225*(P225/100)</f>
        <v>-45.054945054945058</v>
      </c>
      <c r="I225" s="114" t="s">
        <v>76</v>
      </c>
      <c r="J225" s="1047">
        <v>115</v>
      </c>
      <c r="K225" s="1063">
        <f>J225-J221</f>
        <v>-2</v>
      </c>
      <c r="L225" s="1122">
        <f>AVERAGE(J225,J221)</f>
        <v>116</v>
      </c>
      <c r="N225" s="1144">
        <f>(L225/L218-1)*100</f>
        <v>-15.01831501831502</v>
      </c>
      <c r="O225" s="246" t="s">
        <v>76</v>
      </c>
      <c r="P225" s="1302">
        <v>300</v>
      </c>
      <c r="Q225" s="310" t="s">
        <v>76</v>
      </c>
      <c r="S225" s="1160">
        <f>S218*(1+D225/100)+BB225</f>
        <v>25.934203296703298</v>
      </c>
      <c r="T225" s="310"/>
      <c r="U225" s="1125">
        <f>S225/L225</f>
        <v>0.22357071807502843</v>
      </c>
      <c r="W225" s="1144">
        <f>(U225/U218-1)*100</f>
        <v>-35.344827586206883</v>
      </c>
      <c r="X225" s="246" t="s">
        <v>76</v>
      </c>
      <c r="Z225" s="1063">
        <f>Z221+(J225-J221)*(squft!$CR$22/1000)</f>
        <v>588</v>
      </c>
      <c r="AB225" s="1127">
        <f>AVERAGE(Z225,Z221)</f>
        <v>592.5</v>
      </c>
      <c r="AD225" s="1144">
        <f>(Z225/Z218-1)*100</f>
        <v>-14.410480349344979</v>
      </c>
      <c r="AE225" s="246" t="s">
        <v>76</v>
      </c>
      <c r="AF225" s="1124">
        <f>+H225/AD225*100</f>
        <v>312.65401265401266</v>
      </c>
      <c r="AG225" s="310" t="s">
        <v>76</v>
      </c>
      <c r="AI225" s="1129">
        <f>+S225</f>
        <v>25.934203296703298</v>
      </c>
      <c r="AK225" s="1097">
        <f>AI225/AB225*1000</f>
        <v>43.770807251819917</v>
      </c>
      <c r="AM225" s="1144">
        <f>(AK225/AK218-1)*100</f>
        <v>-36.500208652107368</v>
      </c>
      <c r="AN225" s="246" t="s">
        <v>76</v>
      </c>
      <c r="AO225" s="246"/>
      <c r="AP225" s="246"/>
      <c r="AQ225" s="246"/>
      <c r="AR225" s="246"/>
      <c r="AS225" s="1100">
        <f>qtrSales!AS160*(AV225/100)</f>
        <v>0</v>
      </c>
      <c r="AT225" s="114" t="s">
        <v>718</v>
      </c>
      <c r="AU225" s="1100">
        <f>(AS225/AS218-1)*100</f>
        <v>-100</v>
      </c>
      <c r="AV225" s="1124">
        <f>100-AV104-AV327</f>
        <v>0</v>
      </c>
      <c r="AW225" s="114" t="s">
        <v>718</v>
      </c>
      <c r="AX225" s="1075"/>
      <c r="AY225" s="1160">
        <f>AI225+AS225</f>
        <v>25.934203296703298</v>
      </c>
      <c r="AZ225" s="1103">
        <f>AY225/AY218-1</f>
        <v>-0.62139849201892994</v>
      </c>
      <c r="BB225" s="1171">
        <f>BI225</f>
        <v>0</v>
      </c>
      <c r="BF225" s="1150"/>
      <c r="BG225" s="1205"/>
      <c r="BH225" s="1205">
        <f>$BH$215*BI11</f>
        <v>0</v>
      </c>
      <c r="BI225" s="1150">
        <f>SUM(BG225:BH225)</f>
        <v>0</v>
      </c>
    </row>
    <row r="226" spans="1:85" s="114" customFormat="1" hidden="1" outlineLevel="1">
      <c r="A226" s="114" t="s">
        <v>116</v>
      </c>
      <c r="B226" s="245" t="s">
        <v>97</v>
      </c>
      <c r="D226" s="1128">
        <f>F226+H226</f>
        <v>-45.370370370370381</v>
      </c>
      <c r="F226" s="1139"/>
      <c r="H226" s="1144">
        <f>N226*(P226/100)</f>
        <v>-45.370370370370381</v>
      </c>
      <c r="J226" s="1176">
        <v>120</v>
      </c>
      <c r="K226" s="1063">
        <f>J226-J225</f>
        <v>5</v>
      </c>
      <c r="L226" s="1122">
        <f>AVERAGE(J226,J225)</f>
        <v>117.5</v>
      </c>
      <c r="N226" s="1144">
        <f>(L226/L219-1)*100</f>
        <v>-12.962962962962965</v>
      </c>
      <c r="O226" s="246"/>
      <c r="P226" s="1302">
        <v>350</v>
      </c>
      <c r="Q226" s="310"/>
      <c r="S226" s="1160">
        <f>S219*(1+D226/100)+BB226</f>
        <v>21.669410740740741</v>
      </c>
      <c r="T226" s="310"/>
      <c r="U226" s="1131">
        <f>S226/L226</f>
        <v>0.18442051694247438</v>
      </c>
      <c r="W226" s="1144">
        <f>(U226/U219-1)*100</f>
        <v>-37.234042553191507</v>
      </c>
      <c r="X226" s="246"/>
      <c r="Z226" s="1063">
        <f>Z225+(J226-J225)*(squft!$CR$22/1000)</f>
        <v>610.5</v>
      </c>
      <c r="AB226" s="1127">
        <f>AVERAGE(Z226,Z225)</f>
        <v>599.25</v>
      </c>
      <c r="AD226" s="1144">
        <f>(Z226/Z219-1)*100</f>
        <v>-8.7443946188340842</v>
      </c>
      <c r="AE226" s="246"/>
      <c r="AF226" s="1124">
        <f>+H226/AD226*100</f>
        <v>518.85090218423545</v>
      </c>
      <c r="AG226" s="310"/>
      <c r="AI226" s="1132">
        <f>+S226</f>
        <v>21.669410740740741</v>
      </c>
      <c r="AK226" s="1106">
        <f>AI226/AB226*1000</f>
        <v>36.160885674994979</v>
      </c>
      <c r="AM226" s="1144">
        <f>(AK226/AK219-1)*100</f>
        <v>-38.191257590506666</v>
      </c>
      <c r="AN226" s="246"/>
      <c r="AO226" s="246"/>
      <c r="AP226" s="246"/>
      <c r="AQ226" s="246"/>
      <c r="AR226" s="246"/>
      <c r="AS226" s="1100">
        <f>qtrSales!AS161*(AV226/100)</f>
        <v>0</v>
      </c>
      <c r="AT226" s="114" t="s">
        <v>718</v>
      </c>
      <c r="AU226" s="1100">
        <f>(AS226/AS219-1)*100</f>
        <v>-100</v>
      </c>
      <c r="AV226" s="1124">
        <f>100-AV105-AV328</f>
        <v>0</v>
      </c>
      <c r="AW226" s="114" t="s">
        <v>718</v>
      </c>
      <c r="AX226" s="1075"/>
      <c r="AY226" s="1160">
        <f>AI226+AS226</f>
        <v>21.669410740740741</v>
      </c>
      <c r="AZ226" s="1103">
        <f>AY226/AY219-1</f>
        <v>-0.6943665621898345</v>
      </c>
      <c r="BB226" s="1171">
        <f>BI226</f>
        <v>0</v>
      </c>
      <c r="BF226" s="1150"/>
      <c r="BG226" s="1162"/>
      <c r="BH226" s="1206">
        <f>$BH$215*BI12</f>
        <v>0</v>
      </c>
      <c r="BI226" s="1150">
        <f>SUM(BG226:BH226)</f>
        <v>0</v>
      </c>
    </row>
    <row r="227" spans="1:85" s="114" customFormat="1" hidden="1" outlineLevel="1">
      <c r="A227" s="114" t="s">
        <v>117</v>
      </c>
      <c r="B227" s="245" t="s">
        <v>99</v>
      </c>
      <c r="D227" s="1128">
        <f>F227+H227</f>
        <v>-34.210526315789494</v>
      </c>
      <c r="F227" s="1139"/>
      <c r="H227" s="1144">
        <f>N227*(P227/100)</f>
        <v>-34.210526315789494</v>
      </c>
      <c r="J227" s="1176">
        <v>120</v>
      </c>
      <c r="K227" s="1063">
        <f>J227-J226</f>
        <v>0</v>
      </c>
      <c r="L227" s="1122">
        <f>AVERAGE(J227,J226)</f>
        <v>120</v>
      </c>
      <c r="N227" s="1144">
        <f>(L227/L220-1)*100</f>
        <v>-9.7744360902255689</v>
      </c>
      <c r="O227" s="246"/>
      <c r="P227" s="1302">
        <v>350</v>
      </c>
      <c r="Q227" s="310"/>
      <c r="S227" s="1160">
        <f>S220*(1+D227/100)+BB227</f>
        <v>31.897944078947361</v>
      </c>
      <c r="T227" s="310"/>
      <c r="U227" s="1131">
        <f>S227/L227</f>
        <v>0.26581620065789469</v>
      </c>
      <c r="W227" s="1144">
        <f>(U227/U220-1)*100</f>
        <v>-27.083333333333361</v>
      </c>
      <c r="X227" s="246"/>
      <c r="Z227" s="1063">
        <f>Z226+(J227-J226)*(squft!$CR$22/1000)</f>
        <v>610.5</v>
      </c>
      <c r="AB227" s="1127">
        <f>AVERAGE(Z227,Z226)</f>
        <v>610.5</v>
      </c>
      <c r="AD227" s="1144">
        <f>(Z227/Z220-1)*100</f>
        <v>-8.7443946188340842</v>
      </c>
      <c r="AE227" s="246"/>
      <c r="AF227" s="1124">
        <f>+H227/AD227*100</f>
        <v>391.22807017543863</v>
      </c>
      <c r="AG227" s="310"/>
      <c r="AI227" s="1132">
        <f>+S227</f>
        <v>31.897944078947361</v>
      </c>
      <c r="AK227" s="1106">
        <f>AI227/AB227*1000</f>
        <v>52.248884650200431</v>
      </c>
      <c r="AM227" s="1144">
        <f>(AK227/AK220-1)*100</f>
        <v>-27.906375274796346</v>
      </c>
      <c r="AN227" s="246"/>
      <c r="AO227" s="246"/>
      <c r="AP227" s="246"/>
      <c r="AQ227" s="246"/>
      <c r="AR227" s="246"/>
      <c r="AS227" s="1100">
        <f>qtrSales!AS162*(AV227/100)</f>
        <v>0</v>
      </c>
      <c r="AT227" s="114" t="s">
        <v>718</v>
      </c>
      <c r="AU227" s="1100">
        <f>(AS227/AS220-1)*100</f>
        <v>-100</v>
      </c>
      <c r="AV227" s="1124">
        <f>100-AV106-AV329</f>
        <v>0</v>
      </c>
      <c r="AW227" s="114" t="s">
        <v>718</v>
      </c>
      <c r="AX227" s="1075"/>
      <c r="AY227" s="1160">
        <f>AI227+AS227</f>
        <v>31.897944078947361</v>
      </c>
      <c r="AZ227" s="1103">
        <f>AY227/AY220-1</f>
        <v>-0.60765136434259093</v>
      </c>
      <c r="BB227" s="1171">
        <f>BI227</f>
        <v>0</v>
      </c>
      <c r="BF227" s="1150"/>
      <c r="BG227" s="1162"/>
      <c r="BH227" s="1206">
        <f>$BH$215*BI13*0.08</f>
        <v>0</v>
      </c>
      <c r="BI227" s="1150">
        <f>SUM(BG227:BH227)</f>
        <v>0</v>
      </c>
    </row>
    <row r="228" spans="1:85" s="114" customFormat="1" hidden="1" outlineLevel="1">
      <c r="A228" s="114" t="s">
        <v>118</v>
      </c>
      <c r="B228" s="245" t="s">
        <v>100</v>
      </c>
      <c r="D228" s="1107">
        <f>F228+H228</f>
        <v>-156</v>
      </c>
      <c r="F228" s="1139"/>
      <c r="H228" s="1104">
        <f>N228*(P228/100)</f>
        <v>-156</v>
      </c>
      <c r="J228" s="1063">
        <f>squft!CY23</f>
        <v>0</v>
      </c>
      <c r="K228" s="1063">
        <f>J228-J227</f>
        <v>-120</v>
      </c>
      <c r="L228" s="1108">
        <f>AVERAGE(J228,J227)</f>
        <v>60</v>
      </c>
      <c r="N228" s="1104">
        <f>(L228/L221-1)*100</f>
        <v>-52</v>
      </c>
      <c r="O228" s="246"/>
      <c r="P228" s="1953">
        <v>300</v>
      </c>
      <c r="Q228" s="310"/>
      <c r="S228" s="1092">
        <f>S221*(1+D228/100)+BB228</f>
        <v>-36.157609600000001</v>
      </c>
      <c r="T228" s="310"/>
      <c r="U228" s="1133">
        <f>S228/L228</f>
        <v>-0.60262682666666667</v>
      </c>
      <c r="W228" s="1104">
        <f>(U228/U221-1)*100</f>
        <v>-216.66666666666669</v>
      </c>
      <c r="X228" s="246"/>
      <c r="Z228" s="1063">
        <f>squft!DA23</f>
        <v>0</v>
      </c>
      <c r="AB228" s="1110">
        <f>AVERAGE(Z228,Z227)</f>
        <v>305.25</v>
      </c>
      <c r="AD228" s="1104">
        <f>(Z228/Z221-1)*100</f>
        <v>-100</v>
      </c>
      <c r="AE228" s="246"/>
      <c r="AF228" s="1108">
        <f>+H228/AD228*100</f>
        <v>156</v>
      </c>
      <c r="AG228" s="310"/>
      <c r="AI228" s="1111">
        <f>+S228</f>
        <v>-36.157609600000001</v>
      </c>
      <c r="AK228" s="1135">
        <f>AI228/AB228*1000</f>
        <v>-118.45244750204751</v>
      </c>
      <c r="AM228" s="1104">
        <f>(AK228/AK221-1)*100</f>
        <v>-216.12776412776412</v>
      </c>
      <c r="AN228" s="246"/>
      <c r="AO228" s="246"/>
      <c r="AP228" s="246"/>
      <c r="AQ228" s="246"/>
      <c r="AR228" s="246"/>
      <c r="AS228" s="1136">
        <f>qtrSales!AS163*(AV228/100)</f>
        <v>0</v>
      </c>
      <c r="AT228" s="1042" t="s">
        <v>718</v>
      </c>
      <c r="AU228" s="1136">
        <f>(AS228/AS221-1)*100</f>
        <v>-100</v>
      </c>
      <c r="AV228" s="1108">
        <f>100-AV107-AV330</f>
        <v>0</v>
      </c>
      <c r="AW228" s="114" t="s">
        <v>718</v>
      </c>
      <c r="AX228" s="1075"/>
      <c r="AY228" s="1092">
        <f>AI228+AS228</f>
        <v>-36.157609600000001</v>
      </c>
      <c r="AZ228" s="1138">
        <f>AY228/AY221-1</f>
        <v>-1.3590626573982125</v>
      </c>
      <c r="BB228" s="1171">
        <f>BI228</f>
        <v>0</v>
      </c>
      <c r="BF228" s="1150"/>
      <c r="BG228" s="1207"/>
      <c r="BH228" s="1207"/>
      <c r="BI228" s="1150"/>
    </row>
    <row r="229" spans="1:85" s="114" customFormat="1" hidden="1" outlineLevel="1">
      <c r="B229" s="245" t="s">
        <v>119</v>
      </c>
      <c r="D229" s="1123">
        <f>(S229/S222-1)*100</f>
        <v>-78.319171833601843</v>
      </c>
      <c r="F229" s="1139"/>
      <c r="H229" s="1126">
        <f>D229-F229</f>
        <v>-78.319171833601843</v>
      </c>
      <c r="J229" s="1063"/>
      <c r="L229" s="1122">
        <f>AVERAGE(L225:L228)</f>
        <v>103.375</v>
      </c>
      <c r="N229" s="1144">
        <f>(L229/L222-1)*100</f>
        <v>-21.907459867799815</v>
      </c>
      <c r="O229" s="246"/>
      <c r="P229" s="1124">
        <f>H229/N229*100</f>
        <v>357.50001280941524</v>
      </c>
      <c r="Q229" s="310"/>
      <c r="S229" s="1095">
        <f>SUM(S225:S228)</f>
        <v>43.343948516391407</v>
      </c>
      <c r="U229" s="1125">
        <f>SUM(U225:U228)</f>
        <v>7.11806090087308E-2</v>
      </c>
      <c r="W229" s="1126">
        <f>(U229/U222-1)*100</f>
        <v>-95.319211917496631</v>
      </c>
      <c r="X229" s="246"/>
      <c r="AB229" s="1127">
        <f>AVERAGE(AB225:AB228)</f>
        <v>526.875</v>
      </c>
      <c r="AD229" s="1144">
        <f>Z228/Z221-1</f>
        <v>-1</v>
      </c>
      <c r="AE229" s="246"/>
      <c r="AF229" s="1124">
        <f>+H229/AD229*100</f>
        <v>7831.917183360184</v>
      </c>
      <c r="AG229" s="310"/>
      <c r="AI229" s="1129">
        <f>SUM(AI225:AI228)</f>
        <v>43.343948516391407</v>
      </c>
      <c r="AK229" s="1097">
        <f>SUM(AK225:AK228)</f>
        <v>13.728130074967822</v>
      </c>
      <c r="AM229" s="1126">
        <f>(AK229/AK222-1)*100</f>
        <v>-95.452915546956476</v>
      </c>
      <c r="AN229" s="246"/>
      <c r="AO229" s="246"/>
      <c r="AP229" s="246"/>
      <c r="AQ229" s="246"/>
      <c r="AR229" s="246"/>
      <c r="AS229" s="1100">
        <f>SUM(AS225:AS228)</f>
        <v>0</v>
      </c>
      <c r="AT229" s="114" t="s">
        <v>718</v>
      </c>
      <c r="AU229" s="1100">
        <f>(AS229/AS222-1)*100</f>
        <v>-100</v>
      </c>
      <c r="AV229" s="1124">
        <f>(AS229/qtrSales!AS$150)*100</f>
        <v>0</v>
      </c>
      <c r="AW229" s="114" t="s">
        <v>718</v>
      </c>
      <c r="AX229" s="1075"/>
      <c r="AY229" s="1142">
        <f>SUM(AY225:AY228)</f>
        <v>43.343948516391407</v>
      </c>
      <c r="AZ229" s="1103">
        <f>AY229/AY222-1</f>
        <v>-0.86514017263101617</v>
      </c>
      <c r="BB229" s="1171">
        <f>BI229</f>
        <v>12</v>
      </c>
      <c r="BF229" s="1150"/>
      <c r="BG229" s="1170"/>
      <c r="BH229" s="1170">
        <v>12</v>
      </c>
      <c r="BI229" s="1150">
        <f>SUM(BG229:BH229)</f>
        <v>12</v>
      </c>
    </row>
    <row r="230" spans="1:85" s="114" customFormat="1" collapsed="1">
      <c r="B230" s="245"/>
      <c r="D230" s="1123"/>
      <c r="F230" s="1139"/>
      <c r="H230" s="1123"/>
      <c r="L230" s="1122"/>
      <c r="N230" s="1123"/>
      <c r="O230" s="246"/>
      <c r="P230" s="1124"/>
      <c r="Q230" s="310"/>
      <c r="S230" s="2188"/>
      <c r="U230" s="1125"/>
      <c r="W230" s="1126"/>
      <c r="X230" s="246"/>
      <c r="AB230" s="1127"/>
      <c r="AD230" s="1128"/>
      <c r="AE230" s="246"/>
      <c r="AF230" s="1124"/>
      <c r="AG230" s="310"/>
      <c r="AI230" s="1129"/>
      <c r="AK230" s="1097"/>
      <c r="AM230" s="1126"/>
      <c r="AN230" s="246"/>
      <c r="AO230" s="246"/>
      <c r="AP230" s="246"/>
      <c r="AQ230" s="246"/>
      <c r="AR230" s="246"/>
      <c r="AS230" s="1100"/>
      <c r="AU230" s="1100"/>
      <c r="AV230" s="1124"/>
      <c r="AX230" s="1075"/>
      <c r="AY230" s="1142"/>
      <c r="AZ230" s="1103"/>
      <c r="BB230" s="1143"/>
      <c r="BC230" s="310"/>
      <c r="BD230" s="1143"/>
      <c r="BF230" s="1170"/>
      <c r="BG230" s="1170"/>
      <c r="BH230" s="1170"/>
      <c r="BI230" s="246"/>
      <c r="BJ230" s="1158"/>
      <c r="BK230" s="1171"/>
      <c r="BL230" s="1171"/>
    </row>
    <row r="231" spans="1:85" s="310" customFormat="1" collapsed="1">
      <c r="B231" s="247"/>
      <c r="D231" s="1219"/>
      <c r="F231" s="1139"/>
      <c r="H231" s="1219"/>
      <c r="L231" s="1220"/>
      <c r="N231" s="1219"/>
      <c r="O231" s="249"/>
      <c r="P231" s="1124"/>
      <c r="S231" s="1211">
        <v>204.30641879969997</v>
      </c>
      <c r="U231" s="1212"/>
      <c r="W231" s="1221"/>
      <c r="X231" s="249"/>
      <c r="AB231" s="1222"/>
      <c r="AD231" s="1219"/>
      <c r="AE231" s="249"/>
      <c r="AF231" s="1124"/>
      <c r="AI231" s="1143"/>
      <c r="AK231" s="1213"/>
      <c r="AM231" s="1126"/>
      <c r="AN231" s="249"/>
      <c r="AO231" s="249"/>
      <c r="AP231" s="249"/>
      <c r="AQ231" s="249"/>
      <c r="AR231" s="249"/>
      <c r="AZ231" s="249"/>
    </row>
    <row r="232" spans="1:85" s="96" customFormat="1">
      <c r="B232" s="987"/>
      <c r="D232" s="1069"/>
      <c r="F232" s="1139"/>
      <c r="H232" s="1069"/>
      <c r="L232" s="1070"/>
      <c r="N232" s="1069"/>
      <c r="O232" s="373"/>
      <c r="P232" s="1064"/>
      <c r="S232" s="1223">
        <f>S231-13</f>
        <v>191.30641879969997</v>
      </c>
      <c r="T232" s="1042"/>
      <c r="U232" s="2190">
        <f>S232/S121-1</f>
        <v>-4.3603695148863086E-2</v>
      </c>
      <c r="W232" s="1185"/>
      <c r="X232" s="373"/>
      <c r="AB232" s="1224"/>
      <c r="AD232" s="1069"/>
      <c r="AE232" s="373"/>
      <c r="AF232" s="1064"/>
      <c r="AI232" s="1225"/>
      <c r="AK232" s="1226"/>
      <c r="AM232" s="1067"/>
      <c r="AN232" s="373"/>
      <c r="AO232" s="373"/>
      <c r="AP232" s="373"/>
      <c r="AQ232" s="373"/>
      <c r="AR232" s="373"/>
      <c r="AZ232" s="373"/>
      <c r="BB232" s="1042"/>
    </row>
    <row r="233" spans="1:85">
      <c r="A233" s="332"/>
      <c r="B233" s="1018"/>
      <c r="C233" s="332"/>
      <c r="D233" s="332"/>
      <c r="E233" s="332"/>
      <c r="F233" s="332"/>
      <c r="G233" s="332"/>
      <c r="H233" s="332"/>
      <c r="I233" s="332"/>
      <c r="J233" s="332"/>
      <c r="K233" s="332"/>
      <c r="L233" s="332"/>
      <c r="M233" s="332"/>
      <c r="N233" s="332"/>
      <c r="O233" s="1037"/>
      <c r="P233" s="332"/>
      <c r="Q233" s="332"/>
      <c r="R233" s="332"/>
      <c r="S233" s="1037"/>
      <c r="T233" s="332"/>
      <c r="U233" s="1037"/>
      <c r="V233" s="332"/>
      <c r="W233" s="332"/>
      <c r="X233" s="332"/>
      <c r="Y233" s="332"/>
      <c r="Z233" s="332"/>
      <c r="AA233" s="332"/>
      <c r="AB233" s="332"/>
      <c r="AC233" s="332"/>
      <c r="AD233" s="332"/>
      <c r="AE233" s="1037"/>
      <c r="AF233" s="1179"/>
      <c r="AG233" s="332"/>
      <c r="AH233" s="332"/>
      <c r="AI233" s="332"/>
      <c r="AJ233" s="332"/>
      <c r="AK233" s="1037"/>
      <c r="AL233" s="332"/>
      <c r="AM233" s="1037"/>
      <c r="AN233" s="332"/>
      <c r="AO233" s="332"/>
      <c r="AP233" s="332"/>
      <c r="AQ233" s="332"/>
      <c r="AR233" s="332"/>
      <c r="AS233" s="332"/>
      <c r="AT233" s="332"/>
      <c r="AU233" s="332"/>
      <c r="AV233" s="332"/>
      <c r="AW233" s="332"/>
      <c r="AX233" s="332"/>
      <c r="AY233" s="332"/>
      <c r="AZ233" s="1037"/>
      <c r="BA233" s="332"/>
      <c r="BB233" s="332"/>
      <c r="BC233" s="332"/>
      <c r="BD233" s="332"/>
      <c r="BE233" s="332"/>
      <c r="BF233" s="332"/>
      <c r="BG233" s="332"/>
      <c r="BH233" s="332"/>
      <c r="BI233" s="332"/>
      <c r="BJ233" s="332"/>
      <c r="BK233" s="332"/>
      <c r="BL233" s="332"/>
      <c r="BM233" s="332"/>
      <c r="BN233" s="332"/>
      <c r="BO233" s="332"/>
      <c r="BP233" s="332"/>
      <c r="BQ233" s="332"/>
      <c r="BR233" s="332"/>
      <c r="BS233" s="332"/>
      <c r="BT233" s="332"/>
      <c r="BU233" s="332"/>
      <c r="BV233" s="332"/>
      <c r="BW233" s="332"/>
      <c r="BX233" s="332"/>
      <c r="BY233" s="332"/>
      <c r="BZ233" s="332"/>
      <c r="CA233" s="332"/>
      <c r="CB233" s="332"/>
      <c r="CC233" s="332"/>
      <c r="CD233" s="332"/>
      <c r="CE233" s="332"/>
      <c r="CF233" s="332"/>
      <c r="CG233" s="332"/>
    </row>
    <row r="234" spans="1:85">
      <c r="A234" s="1038" t="s">
        <v>61</v>
      </c>
      <c r="B234" s="1039"/>
      <c r="C234" s="1040"/>
      <c r="D234" s="1040"/>
      <c r="E234" s="1040"/>
      <c r="F234" s="1040"/>
      <c r="G234" s="1040"/>
      <c r="H234" s="1040"/>
      <c r="I234" s="1040"/>
      <c r="J234" s="1040"/>
      <c r="K234" s="1040"/>
      <c r="L234" s="1040"/>
      <c r="M234" s="1040"/>
      <c r="N234" s="1040"/>
      <c r="O234" s="1041"/>
      <c r="P234" s="1040"/>
      <c r="Q234" s="1040"/>
      <c r="R234" s="1040"/>
      <c r="S234" s="1180"/>
      <c r="T234" s="1040"/>
      <c r="U234" s="1041"/>
      <c r="V234" s="1040"/>
      <c r="W234" s="1040"/>
      <c r="X234" s="1040"/>
      <c r="Y234" s="1040"/>
      <c r="Z234" s="1227"/>
      <c r="AA234" s="1040"/>
      <c r="AB234" s="1040"/>
      <c r="AC234" s="1040"/>
      <c r="AD234" s="1040"/>
      <c r="AE234" s="1041"/>
      <c r="AF234" s="1041"/>
      <c r="AG234" s="1040"/>
      <c r="AH234" s="1040"/>
      <c r="AI234" s="1040"/>
      <c r="AJ234" s="1040"/>
      <c r="AK234" s="1041"/>
      <c r="AL234" s="1040"/>
      <c r="AM234" s="1041"/>
      <c r="AN234" s="1040"/>
      <c r="AO234" s="1040"/>
      <c r="AP234" s="1040"/>
      <c r="AQ234" s="1040"/>
      <c r="AR234" s="1040"/>
      <c r="AS234" s="1040"/>
      <c r="AT234" s="1040"/>
      <c r="AU234" s="1040"/>
      <c r="AV234" s="1040"/>
      <c r="AW234" s="1040"/>
      <c r="AX234" s="1040"/>
      <c r="AY234" s="1040"/>
      <c r="AZ234" s="1041"/>
      <c r="BA234" s="1040"/>
      <c r="BB234" s="1040"/>
      <c r="BC234" s="1040"/>
      <c r="BD234" s="1040"/>
      <c r="BE234" s="1040"/>
      <c r="BF234" s="1040"/>
      <c r="BG234" s="1040"/>
      <c r="BH234" s="1040"/>
      <c r="BI234" s="1040"/>
      <c r="BJ234" s="1040"/>
      <c r="BK234" s="1040"/>
      <c r="BL234" s="1040"/>
      <c r="BM234" s="1040"/>
      <c r="BN234" s="1040"/>
      <c r="BO234" s="1040"/>
      <c r="BP234" s="1040"/>
      <c r="BQ234" s="1040"/>
      <c r="BR234" s="1040"/>
      <c r="BS234" s="1040"/>
      <c r="BT234" s="1040"/>
      <c r="BU234" s="1040"/>
      <c r="BV234" s="1040"/>
      <c r="BW234" s="1040"/>
      <c r="BX234" s="1040"/>
      <c r="BY234" s="1040"/>
      <c r="BZ234" s="1040"/>
      <c r="CA234" s="1040"/>
      <c r="CB234" s="1040"/>
      <c r="CC234" s="1040"/>
      <c r="CD234" s="1040"/>
      <c r="CE234" s="1040"/>
      <c r="CF234" s="1040"/>
      <c r="CG234" s="1040"/>
    </row>
    <row r="235" spans="1:85" hidden="1" outlineLevel="1">
      <c r="A235" s="1043"/>
      <c r="B235" s="1044" t="str">
        <f>B133</f>
        <v>2002A</v>
      </c>
      <c r="E235" s="86"/>
      <c r="G235" s="86"/>
      <c r="I235" s="86"/>
      <c r="O235" s="86"/>
      <c r="P235" s="97"/>
      <c r="Q235" s="97"/>
      <c r="S235" s="86"/>
      <c r="U235" s="86"/>
      <c r="X235" s="86"/>
      <c r="AE235" s="86"/>
      <c r="AF235" s="199"/>
      <c r="AG235" s="97"/>
      <c r="AK235" s="86"/>
      <c r="AM235" s="86"/>
      <c r="AN235" s="86"/>
      <c r="AO235" s="86"/>
      <c r="AP235" s="86"/>
      <c r="AQ235" s="86"/>
      <c r="AR235" s="86"/>
      <c r="AX235" s="97"/>
      <c r="AZ235" s="86"/>
    </row>
    <row r="236" spans="1:85" hidden="1" outlineLevel="1">
      <c r="A236" s="22" t="s">
        <v>115</v>
      </c>
      <c r="B236" s="200" t="s">
        <v>96</v>
      </c>
      <c r="D236" s="1053"/>
      <c r="E236" s="86" t="s">
        <v>76</v>
      </c>
      <c r="F236" s="1182"/>
      <c r="G236" s="86" t="s">
        <v>76</v>
      </c>
      <c r="H236" s="1053"/>
      <c r="I236" s="86" t="s">
        <v>76</v>
      </c>
      <c r="J236" s="1047">
        <v>43</v>
      </c>
      <c r="L236" s="1048">
        <f>J236</f>
        <v>43</v>
      </c>
      <c r="N236" s="1053"/>
      <c r="O236" s="86" t="s">
        <v>76</v>
      </c>
      <c r="P236" s="1045"/>
      <c r="Q236" s="97" t="s">
        <v>76</v>
      </c>
      <c r="S236" s="1050"/>
      <c r="U236" s="1087"/>
      <c r="W236" s="1082"/>
      <c r="X236" s="86" t="s">
        <v>76</v>
      </c>
      <c r="Z236" s="227">
        <v>274</v>
      </c>
      <c r="AB236" s="1014">
        <f>AVERAGE(Z236,Z160)</f>
        <v>274</v>
      </c>
      <c r="AD236" s="1045"/>
      <c r="AE236" s="86" t="s">
        <v>76</v>
      </c>
      <c r="AF236" s="1049"/>
      <c r="AG236" s="97" t="s">
        <v>76</v>
      </c>
      <c r="AI236" s="1030"/>
      <c r="AK236" s="1055"/>
      <c r="AM236" s="1052"/>
      <c r="AN236" s="86" t="s">
        <v>76</v>
      </c>
      <c r="AO236" s="86"/>
      <c r="AP236" s="86"/>
      <c r="AQ236" s="86"/>
      <c r="AR236" s="86"/>
      <c r="AX236" s="97"/>
      <c r="AZ236" s="86"/>
    </row>
    <row r="237" spans="1:85" hidden="1" outlineLevel="1">
      <c r="A237" s="22" t="s">
        <v>116</v>
      </c>
      <c r="B237" s="200" t="s">
        <v>97</v>
      </c>
      <c r="D237" s="1053"/>
      <c r="F237" s="1112"/>
      <c r="H237" s="1053"/>
      <c r="J237" s="1047">
        <v>60</v>
      </c>
      <c r="K237" s="1057"/>
      <c r="L237" s="1048">
        <f>AVERAGE(J237,J236)</f>
        <v>51.5</v>
      </c>
      <c r="N237" s="1053"/>
      <c r="O237" s="86"/>
      <c r="P237" s="1045"/>
      <c r="Q237" s="97"/>
      <c r="S237" s="1058"/>
      <c r="U237" s="1087"/>
      <c r="W237" s="1082"/>
      <c r="X237" s="86"/>
      <c r="Z237" s="227">
        <v>384</v>
      </c>
      <c r="AA237" s="1057"/>
      <c r="AB237" s="1014">
        <f>AVERAGE(Z237,Z236)</f>
        <v>329</v>
      </c>
      <c r="AD237" s="1045"/>
      <c r="AE237" s="86"/>
      <c r="AF237" s="1049"/>
      <c r="AG237" s="97"/>
      <c r="AI237" s="1059"/>
      <c r="AK237" s="1060"/>
      <c r="AM237" s="1052"/>
      <c r="AN237" s="86"/>
      <c r="AO237" s="86"/>
      <c r="AP237" s="86"/>
      <c r="AQ237" s="86"/>
      <c r="AR237" s="86"/>
      <c r="AX237" s="97"/>
      <c r="AZ237" s="86"/>
    </row>
    <row r="238" spans="1:85" hidden="1" outlineLevel="1">
      <c r="A238" s="22" t="s">
        <v>117</v>
      </c>
      <c r="B238" s="200" t="s">
        <v>99</v>
      </c>
      <c r="D238" s="1053"/>
      <c r="F238" s="1112"/>
      <c r="H238" s="1053"/>
      <c r="J238" s="1047">
        <v>76</v>
      </c>
      <c r="K238" s="1057"/>
      <c r="L238" s="1048">
        <f>AVERAGE(J238,J237)</f>
        <v>68</v>
      </c>
      <c r="N238" s="1053"/>
      <c r="O238" s="86"/>
      <c r="P238" s="1045"/>
      <c r="Q238" s="97"/>
      <c r="S238" s="1058"/>
      <c r="U238" s="1087"/>
      <c r="W238" s="1082"/>
      <c r="X238" s="86"/>
      <c r="Z238" s="227">
        <v>485</v>
      </c>
      <c r="AA238" s="1057"/>
      <c r="AB238" s="1014">
        <f>AVERAGE(Z238,Z237)</f>
        <v>434.5</v>
      </c>
      <c r="AD238" s="1045"/>
      <c r="AE238" s="86"/>
      <c r="AF238" s="1049"/>
      <c r="AG238" s="97"/>
      <c r="AI238" s="1059"/>
      <c r="AK238" s="1060"/>
      <c r="AM238" s="1052"/>
      <c r="AN238" s="86"/>
      <c r="AO238" s="86"/>
      <c r="AP238" s="86"/>
      <c r="AQ238" s="86"/>
      <c r="AR238" s="86"/>
      <c r="AX238" s="97"/>
      <c r="AZ238" s="86"/>
    </row>
    <row r="239" spans="1:85" hidden="1" outlineLevel="1">
      <c r="A239" s="22" t="s">
        <v>118</v>
      </c>
      <c r="B239" s="200" t="s">
        <v>100</v>
      </c>
      <c r="D239" s="1069"/>
      <c r="F239" s="1183"/>
      <c r="H239" s="1069"/>
      <c r="J239" s="1063">
        <f>squft!AY33</f>
        <v>93</v>
      </c>
      <c r="K239" s="39"/>
      <c r="L239" s="1064">
        <f>AVERAGE(J239,J238)</f>
        <v>84.5</v>
      </c>
      <c r="N239" s="1069"/>
      <c r="O239" s="86"/>
      <c r="P239" s="1061"/>
      <c r="Q239" s="97"/>
      <c r="S239" s="1065"/>
      <c r="U239" s="1184"/>
      <c r="W239" s="1185"/>
      <c r="X239" s="86"/>
      <c r="Z239" s="865">
        <f>squft!BA33</f>
        <v>595</v>
      </c>
      <c r="AA239" s="39"/>
      <c r="AB239" s="1068">
        <f>AVERAGE(Z239,Z238)</f>
        <v>540</v>
      </c>
      <c r="AD239" s="1061"/>
      <c r="AE239" s="86"/>
      <c r="AF239" s="1064"/>
      <c r="AG239" s="97"/>
      <c r="AI239" s="1071"/>
      <c r="AK239" s="1072"/>
      <c r="AM239" s="1067"/>
      <c r="AN239" s="86"/>
      <c r="AO239" s="86"/>
      <c r="AP239" s="86"/>
      <c r="AQ239" s="86"/>
      <c r="AR239" s="86"/>
      <c r="AS239" s="1079"/>
      <c r="AT239" s="1079"/>
      <c r="AV239" s="1228"/>
      <c r="AW239" s="1079"/>
      <c r="AX239" s="1229"/>
      <c r="AZ239" s="86"/>
    </row>
    <row r="240" spans="1:85" hidden="1" outlineLevel="1">
      <c r="B240" s="200" t="s">
        <v>119</v>
      </c>
      <c r="D240" s="1053"/>
      <c r="F240" s="1056">
        <v>10</v>
      </c>
      <c r="H240" s="1053"/>
      <c r="L240" s="1048">
        <f>AVERAGE(L236:L239)</f>
        <v>61.75</v>
      </c>
      <c r="N240" s="1053"/>
      <c r="O240" s="86"/>
      <c r="P240" s="1049"/>
      <c r="Q240" s="97"/>
      <c r="S240" s="1081">
        <v>149.72200000000001</v>
      </c>
      <c r="U240" s="1087">
        <f>S240/L240</f>
        <v>2.4246477732793523</v>
      </c>
      <c r="W240" s="1082"/>
      <c r="X240" s="86"/>
      <c r="AB240" s="1014">
        <f>AVERAGE(AB236:AB239)</f>
        <v>394.375</v>
      </c>
      <c r="AD240" s="1019"/>
      <c r="AE240" s="86"/>
      <c r="AF240" s="1049"/>
      <c r="AG240" s="97"/>
      <c r="AI240" s="1030">
        <f>S240</f>
        <v>149.72200000000001</v>
      </c>
      <c r="AK240" s="1085">
        <v>385</v>
      </c>
      <c r="AM240" s="1052"/>
      <c r="AN240" s="86"/>
      <c r="AO240" s="86"/>
      <c r="AP240" s="86"/>
      <c r="AQ240" s="86"/>
      <c r="AR240" s="86"/>
      <c r="AS240" s="1079">
        <v>0</v>
      </c>
      <c r="AT240" s="1079"/>
      <c r="AV240" s="1228">
        <v>0</v>
      </c>
      <c r="AW240" s="1079"/>
      <c r="AX240" s="1229"/>
      <c r="AY240" s="1080">
        <v>149.72200000000001</v>
      </c>
      <c r="AZ240" s="86"/>
    </row>
    <row r="241" spans="1:53" hidden="1" outlineLevel="1">
      <c r="B241" s="200"/>
      <c r="D241" s="114"/>
      <c r="E241" s="114"/>
      <c r="F241" s="114"/>
      <c r="G241" s="114"/>
      <c r="L241" s="86"/>
      <c r="O241" s="86"/>
      <c r="S241" s="86"/>
      <c r="U241" s="86"/>
      <c r="AB241" s="1083"/>
      <c r="AE241" s="86"/>
      <c r="AF241" s="86"/>
      <c r="AK241" s="86"/>
      <c r="AM241" s="86"/>
      <c r="AX241" s="97"/>
      <c r="AZ241" s="86"/>
    </row>
    <row r="242" spans="1:53" hidden="1" outlineLevel="1">
      <c r="A242" s="1043"/>
      <c r="B242" s="1044" t="str">
        <f>B19</f>
        <v>2003A</v>
      </c>
      <c r="E242" s="86"/>
      <c r="G242" s="86"/>
      <c r="I242" s="86"/>
      <c r="L242" s="86"/>
      <c r="N242" s="86"/>
      <c r="O242" s="86"/>
      <c r="P242" s="97"/>
      <c r="Q242" s="97"/>
      <c r="S242" s="86"/>
      <c r="U242" s="86"/>
      <c r="X242" s="86"/>
      <c r="AE242" s="86"/>
      <c r="AF242" s="199"/>
      <c r="AG242" s="97"/>
      <c r="AK242" s="86"/>
      <c r="AM242" s="86"/>
      <c r="AN242" s="86"/>
      <c r="AO242" s="86"/>
      <c r="AP242" s="86"/>
      <c r="AQ242" s="86"/>
      <c r="AR242" s="86"/>
      <c r="AX242" s="97"/>
      <c r="AZ242" s="86"/>
    </row>
    <row r="243" spans="1:53" hidden="1" outlineLevel="1">
      <c r="A243" s="22" t="s">
        <v>115</v>
      </c>
      <c r="B243" s="200" t="s">
        <v>96</v>
      </c>
      <c r="D243" s="1045" t="s">
        <v>251</v>
      </c>
      <c r="E243" s="86" t="s">
        <v>76</v>
      </c>
      <c r="F243" s="1086" t="s">
        <v>251</v>
      </c>
      <c r="G243" s="86" t="s">
        <v>76</v>
      </c>
      <c r="H243" s="1045" t="s">
        <v>251</v>
      </c>
      <c r="I243" s="86" t="s">
        <v>76</v>
      </c>
      <c r="J243" s="1047">
        <v>95</v>
      </c>
      <c r="L243" s="1048">
        <f>AVERAGE(J243,J239)</f>
        <v>94</v>
      </c>
      <c r="N243" s="1045">
        <f>(L243/L236-1)*100</f>
        <v>118.60465116279069</v>
      </c>
      <c r="O243" s="86" t="s">
        <v>76</v>
      </c>
      <c r="P243" s="1045" t="s">
        <v>251</v>
      </c>
      <c r="Q243" s="97" t="s">
        <v>76</v>
      </c>
      <c r="S243" s="1050">
        <f>AY243</f>
        <v>57.08919439999999</v>
      </c>
      <c r="T243" s="22" t="s">
        <v>718</v>
      </c>
      <c r="U243" s="1087">
        <f>S243/L243</f>
        <v>0.60733185531914879</v>
      </c>
      <c r="W243" s="1086" t="s">
        <v>251</v>
      </c>
      <c r="X243" s="86" t="s">
        <v>76</v>
      </c>
      <c r="Z243" s="227">
        <v>608</v>
      </c>
      <c r="AB243" s="1014">
        <f>AVERAGE(Z243,Z239)</f>
        <v>601.5</v>
      </c>
      <c r="AD243" s="1088">
        <f>(Z243/Z236-1)*100</f>
        <v>121.89781021897809</v>
      </c>
      <c r="AE243" s="86" t="s">
        <v>76</v>
      </c>
      <c r="AF243" s="1045" t="s">
        <v>251</v>
      </c>
      <c r="AG243" s="97" t="s">
        <v>76</v>
      </c>
      <c r="AI243" s="1030">
        <f>+S243</f>
        <v>57.08919439999999</v>
      </c>
      <c r="AK243" s="1055">
        <f>AI243/AB243*1000</f>
        <v>94.911378886118015</v>
      </c>
      <c r="AM243" s="1086" t="s">
        <v>251</v>
      </c>
      <c r="AN243" s="86" t="s">
        <v>76</v>
      </c>
      <c r="AO243" s="86"/>
      <c r="AP243" s="86"/>
      <c r="AQ243" s="86"/>
      <c r="AR243" s="86"/>
      <c r="AS243" s="1078"/>
      <c r="AT243" s="1078"/>
      <c r="AU243" s="1045" t="s">
        <v>251</v>
      </c>
      <c r="AV243" s="1049"/>
      <c r="AX243" s="97"/>
      <c r="AY243" s="1186">
        <v>57.08919439999999</v>
      </c>
      <c r="AZ243" s="1045"/>
      <c r="BA243" s="1109"/>
    </row>
    <row r="244" spans="1:53" hidden="1" outlineLevel="1">
      <c r="A244" s="22" t="s">
        <v>116</v>
      </c>
      <c r="B244" s="200" t="s">
        <v>97</v>
      </c>
      <c r="D244" s="1045" t="s">
        <v>251</v>
      </c>
      <c r="F244" s="1086" t="s">
        <v>251</v>
      </c>
      <c r="H244" s="1045" t="s">
        <v>251</v>
      </c>
      <c r="J244" s="1047">
        <v>112</v>
      </c>
      <c r="K244" s="1057"/>
      <c r="L244" s="1048">
        <f>AVERAGE(J244,J243)</f>
        <v>103.5</v>
      </c>
      <c r="N244" s="1045">
        <f>(L244/L237-1)*100</f>
        <v>100.97087378640776</v>
      </c>
      <c r="O244" s="86"/>
      <c r="P244" s="1045" t="s">
        <v>251</v>
      </c>
      <c r="Q244" s="97"/>
      <c r="S244" s="1058">
        <f>AY244</f>
        <v>59.765000000000001</v>
      </c>
      <c r="T244" s="22" t="s">
        <v>718</v>
      </c>
      <c r="U244" s="1090">
        <f>S244/L244</f>
        <v>0.57743961352657003</v>
      </c>
      <c r="W244" s="1086" t="s">
        <v>251</v>
      </c>
      <c r="X244" s="86"/>
      <c r="Z244" s="227">
        <v>717</v>
      </c>
      <c r="AA244" s="1057"/>
      <c r="AB244" s="1014">
        <f>AVERAGE(Z244,Z243)</f>
        <v>662.5</v>
      </c>
      <c r="AD244" s="1088">
        <f>(Z244/Z237-1)*100</f>
        <v>86.71875</v>
      </c>
      <c r="AE244" s="86"/>
      <c r="AF244" s="1045" t="s">
        <v>251</v>
      </c>
      <c r="AG244" s="97"/>
      <c r="AI244" s="1059">
        <f>+S244</f>
        <v>59.765000000000001</v>
      </c>
      <c r="AK244" s="1060">
        <f>AI244/AB244*1000</f>
        <v>90.211320754716979</v>
      </c>
      <c r="AM244" s="1086" t="s">
        <v>251</v>
      </c>
      <c r="AN244" s="86"/>
      <c r="AO244" s="86"/>
      <c r="AP244" s="86"/>
      <c r="AQ244" s="86"/>
      <c r="AR244" s="86"/>
      <c r="AS244" s="1078"/>
      <c r="AT244" s="1078"/>
      <c r="AU244" s="1045" t="s">
        <v>251</v>
      </c>
      <c r="AV244" s="1049"/>
      <c r="AX244" s="97"/>
      <c r="AY244" s="1230">
        <v>59.765000000000001</v>
      </c>
      <c r="AZ244" s="1045"/>
    </row>
    <row r="245" spans="1:53" hidden="1" outlineLevel="1">
      <c r="A245" s="22" t="s">
        <v>117</v>
      </c>
      <c r="B245" s="200" t="s">
        <v>99</v>
      </c>
      <c r="D245" s="1045" t="s">
        <v>251</v>
      </c>
      <c r="F245" s="1086" t="s">
        <v>251</v>
      </c>
      <c r="H245" s="1045" t="s">
        <v>251</v>
      </c>
      <c r="J245" s="1047">
        <v>129</v>
      </c>
      <c r="K245" s="1057"/>
      <c r="L245" s="1048">
        <f>AVERAGE(J245,J244)</f>
        <v>120.5</v>
      </c>
      <c r="N245" s="1045">
        <f>(L245/L238-1)*100</f>
        <v>77.205882352941174</v>
      </c>
      <c r="O245" s="86"/>
      <c r="P245" s="1045" t="s">
        <v>251</v>
      </c>
      <c r="Q245" s="97"/>
      <c r="S245" s="1058">
        <f>AY245-AS245</f>
        <v>81.55</v>
      </c>
      <c r="T245" s="22" t="s">
        <v>718</v>
      </c>
      <c r="U245" s="1090">
        <f>S245/L245</f>
        <v>0.67676348547717835</v>
      </c>
      <c r="W245" s="1086" t="s">
        <v>251</v>
      </c>
      <c r="X245" s="86"/>
      <c r="Z245" s="227">
        <v>828</v>
      </c>
      <c r="AA245" s="1057"/>
      <c r="AB245" s="1014">
        <f>AVERAGE(Z245,Z244)</f>
        <v>772.5</v>
      </c>
      <c r="AD245" s="1088">
        <f>(Z245/Z238-1)*100</f>
        <v>70.721649484536073</v>
      </c>
      <c r="AE245" s="86"/>
      <c r="AF245" s="1045" t="s">
        <v>251</v>
      </c>
      <c r="AG245" s="97"/>
      <c r="AI245" s="1059">
        <f>+S245</f>
        <v>81.55</v>
      </c>
      <c r="AK245" s="1060">
        <f>AI245/AB245*1000</f>
        <v>105.56634304207118</v>
      </c>
      <c r="AM245" s="1086" t="s">
        <v>251</v>
      </c>
      <c r="AN245" s="86"/>
      <c r="AO245" s="86"/>
      <c r="AP245" s="86"/>
      <c r="AQ245" s="86"/>
      <c r="AR245" s="86"/>
      <c r="AS245" s="1078">
        <f>qtrSales!AS$78*(AV245/100)</f>
        <v>2.4300000000000002</v>
      </c>
      <c r="AT245" s="1078"/>
      <c r="AU245" s="1045" t="s">
        <v>251</v>
      </c>
      <c r="AV245" s="793">
        <v>10</v>
      </c>
      <c r="AW245" s="114" t="s">
        <v>718</v>
      </c>
      <c r="AX245" s="1075"/>
      <c r="AY245" s="1230">
        <v>83.98</v>
      </c>
      <c r="AZ245" s="1045"/>
    </row>
    <row r="246" spans="1:53" hidden="1" outlineLevel="1">
      <c r="A246" s="22" t="s">
        <v>118</v>
      </c>
      <c r="B246" s="200" t="s">
        <v>100</v>
      </c>
      <c r="D246" s="1061" t="s">
        <v>251</v>
      </c>
      <c r="F246" s="1062" t="s">
        <v>251</v>
      </c>
      <c r="H246" s="1061" t="s">
        <v>251</v>
      </c>
      <c r="J246" s="1063">
        <f>squft!BC33</f>
        <v>172</v>
      </c>
      <c r="K246" s="39"/>
      <c r="L246" s="1064">
        <f>AVERAGE(J246,J245)</f>
        <v>150.5</v>
      </c>
      <c r="N246" s="1061">
        <f>(L246/L239-1)*100</f>
        <v>78.10650887573965</v>
      </c>
      <c r="O246" s="86"/>
      <c r="P246" s="1061" t="s">
        <v>251</v>
      </c>
      <c r="Q246" s="97"/>
      <c r="S246" s="1065">
        <f>AY246-AS246</f>
        <v>110.25880559999997</v>
      </c>
      <c r="T246" s="22" t="s">
        <v>718</v>
      </c>
      <c r="U246" s="1093">
        <f>S246/L246</f>
        <v>0.7326166485049832</v>
      </c>
      <c r="W246" s="1062" t="s">
        <v>251</v>
      </c>
      <c r="X246" s="86"/>
      <c r="Z246" s="865">
        <f>squft!BE33</f>
        <v>1111</v>
      </c>
      <c r="AA246" s="39"/>
      <c r="AB246" s="1068">
        <f>AVERAGE(Z246,Z245)</f>
        <v>969.5</v>
      </c>
      <c r="AD246" s="1061">
        <f>(Z246/Z239-1)*100</f>
        <v>86.722689075630257</v>
      </c>
      <c r="AE246" s="86"/>
      <c r="AF246" s="1061" t="s">
        <v>251</v>
      </c>
      <c r="AG246" s="97"/>
      <c r="AI246" s="1071">
        <f>+S246</f>
        <v>110.25880559999997</v>
      </c>
      <c r="AK246" s="1072">
        <f>AI246/AB246*1000</f>
        <v>113.72749417225371</v>
      </c>
      <c r="AM246" s="1062" t="s">
        <v>251</v>
      </c>
      <c r="AN246" s="86"/>
      <c r="AO246" s="86"/>
      <c r="AP246" s="86"/>
      <c r="AQ246" s="86"/>
      <c r="AR246" s="86"/>
      <c r="AS246" s="1073">
        <f>qtrSales!AS$79*(AV246/100)</f>
        <v>3.7949999999999999</v>
      </c>
      <c r="AT246" s="1073"/>
      <c r="AU246" s="1061" t="s">
        <v>251</v>
      </c>
      <c r="AV246" s="1074">
        <v>11</v>
      </c>
      <c r="AW246" s="1042" t="s">
        <v>718</v>
      </c>
      <c r="AX246" s="1075"/>
      <c r="AY246" s="1065">
        <f>AY247-SUM(AY243:AY245)</f>
        <v>114.05380559999998</v>
      </c>
      <c r="AZ246" s="1061"/>
    </row>
    <row r="247" spans="1:53" hidden="1" outlineLevel="1">
      <c r="B247" s="200" t="s">
        <v>119</v>
      </c>
      <c r="D247" s="1045">
        <f>(S247/S240-1)*100</f>
        <v>106.15741173641813</v>
      </c>
      <c r="F247" s="1094">
        <v>7</v>
      </c>
      <c r="H247" s="1045">
        <f>D247-F247</f>
        <v>99.157411736418126</v>
      </c>
      <c r="L247" s="1048">
        <f>AVERAGE(L243:L246)</f>
        <v>117.125</v>
      </c>
      <c r="N247" s="1045">
        <f>(L247/L240-1)*100</f>
        <v>89.676113360323882</v>
      </c>
      <c r="O247" s="86"/>
      <c r="P247" s="1049">
        <f>H247/N247*100</f>
        <v>110.57282482571232</v>
      </c>
      <c r="Q247" s="97"/>
      <c r="S247" s="1095">
        <f>SUM(S243:S246)</f>
        <v>308.66299999999995</v>
      </c>
      <c r="U247" s="1087">
        <f>SUM(U243:U246)</f>
        <v>2.5941516028278802</v>
      </c>
      <c r="W247" s="1094">
        <f>(U247/U240-1)*100</f>
        <v>6.9908640511224807</v>
      </c>
      <c r="X247" s="86"/>
      <c r="AB247" s="1014">
        <f>AVERAGE(AB243:AB246)</f>
        <v>751.5</v>
      </c>
      <c r="AD247" s="1019">
        <f>Z246/Z239-1</f>
        <v>0.86722689075630255</v>
      </c>
      <c r="AE247" s="86"/>
      <c r="AF247" s="1049">
        <f>+H247/AD247*100</f>
        <v>11433.848833947439</v>
      </c>
      <c r="AG247" s="97"/>
      <c r="AI247" s="1030">
        <f>SUM(AI243:AI246)</f>
        <v>308.66299999999995</v>
      </c>
      <c r="AK247" s="1055">
        <f>SUM(AK243:AK246)</f>
        <v>404.4165368551599</v>
      </c>
      <c r="AM247" s="1094">
        <f>(AK247/AK240-1)*100</f>
        <v>5.0432563260155661</v>
      </c>
      <c r="AN247" s="86"/>
      <c r="AO247" s="86"/>
      <c r="AP247" s="86"/>
      <c r="AQ247" s="86"/>
      <c r="AR247" s="86"/>
      <c r="AS247" s="1078">
        <f>SUM(AS243:AS246)</f>
        <v>6.2249999999999996</v>
      </c>
      <c r="AT247" s="1078"/>
      <c r="AU247" s="86" t="s">
        <v>251</v>
      </c>
      <c r="AV247" s="1049">
        <f>(AS247/qtrSales!AS$80)*100</f>
        <v>6.8329036946185333</v>
      </c>
      <c r="AW247" s="114" t="s">
        <v>718</v>
      </c>
      <c r="AX247" s="1075"/>
      <c r="AY247" s="1080">
        <v>314.88799999999998</v>
      </c>
      <c r="AZ247" s="1019">
        <f>AY247/AY240-1</f>
        <v>1.1031511735082349</v>
      </c>
    </row>
    <row r="248" spans="1:53" hidden="1" outlineLevel="1">
      <c r="B248" s="200"/>
      <c r="D248" s="246"/>
      <c r="E248" s="114"/>
      <c r="F248" s="1094"/>
      <c r="G248" s="114"/>
      <c r="H248" s="86"/>
      <c r="L248" s="86"/>
      <c r="O248" s="86"/>
      <c r="S248" s="86"/>
      <c r="W248" s="1094"/>
      <c r="AB248" s="1083"/>
      <c r="AE248" s="86"/>
      <c r="AF248" s="1048"/>
      <c r="AK248" s="86"/>
      <c r="AM248" s="1094"/>
      <c r="AX248" s="97"/>
      <c r="AZ248" s="86"/>
    </row>
    <row r="249" spans="1:53" hidden="1" outlineLevel="1">
      <c r="A249" s="1043"/>
      <c r="B249" s="1044" t="str">
        <f>B147</f>
        <v>2004A</v>
      </c>
      <c r="D249" s="86"/>
      <c r="E249" s="86"/>
      <c r="F249" s="1086"/>
      <c r="G249" s="86"/>
      <c r="H249" s="86"/>
      <c r="I249" s="86"/>
      <c r="O249" s="86"/>
      <c r="P249" s="97"/>
      <c r="Q249" s="97"/>
      <c r="S249" s="1190"/>
      <c r="W249" s="1086"/>
      <c r="X249" s="86"/>
      <c r="AE249" s="86"/>
      <c r="AF249" s="199"/>
      <c r="AG249" s="97"/>
      <c r="AK249" s="86"/>
      <c r="AM249" s="1086"/>
      <c r="AN249" s="86"/>
      <c r="AO249" s="86"/>
      <c r="AP249" s="86"/>
      <c r="AQ249" s="86"/>
      <c r="AR249" s="86"/>
      <c r="AX249" s="97"/>
      <c r="AZ249" s="86"/>
    </row>
    <row r="250" spans="1:53" hidden="1" outlineLevel="1">
      <c r="A250" s="22" t="s">
        <v>115</v>
      </c>
      <c r="B250" s="200" t="s">
        <v>96</v>
      </c>
      <c r="D250" s="1045">
        <f>(S250/S243-1)*100</f>
        <v>76.744480388043485</v>
      </c>
      <c r="E250" s="86" t="s">
        <v>76</v>
      </c>
      <c r="F250" s="1094">
        <v>9</v>
      </c>
      <c r="G250" s="86" t="s">
        <v>76</v>
      </c>
      <c r="H250" s="1045">
        <f>D250-F250</f>
        <v>67.744480388043485</v>
      </c>
      <c r="I250" s="86" t="s">
        <v>76</v>
      </c>
      <c r="J250" s="1047">
        <v>177</v>
      </c>
      <c r="L250" s="1048">
        <f>AVERAGE(J250,J246)</f>
        <v>174.5</v>
      </c>
      <c r="N250" s="1045">
        <f>(L250/L243-1)*100</f>
        <v>85.638297872340431</v>
      </c>
      <c r="O250" s="86" t="s">
        <v>76</v>
      </c>
      <c r="P250" s="1049">
        <f>H250/N250*100</f>
        <v>79.105355981069408</v>
      </c>
      <c r="Q250" s="97" t="s">
        <v>76</v>
      </c>
      <c r="S250" s="1050">
        <f>AY250-AS250</f>
        <v>100.902</v>
      </c>
      <c r="T250" s="1076"/>
      <c r="U250" s="1087">
        <f>S250/L250</f>
        <v>0.57823495702005734</v>
      </c>
      <c r="W250" s="1094">
        <f>(U250/U243-1)*100</f>
        <v>-4.7909389313691157</v>
      </c>
      <c r="X250" s="86" t="s">
        <v>76</v>
      </c>
      <c r="Z250" s="227">
        <v>1146</v>
      </c>
      <c r="AB250" s="1014">
        <f>AVERAGE(Z250,Z246)</f>
        <v>1128.5</v>
      </c>
      <c r="AD250" s="1088">
        <f>(Z250/Z243-1)*100</f>
        <v>88.486842105263165</v>
      </c>
      <c r="AE250" s="86" t="s">
        <v>76</v>
      </c>
      <c r="AF250" s="1049">
        <f>+H250/AD250*100</f>
        <v>76.5588179850008</v>
      </c>
      <c r="AG250" s="97" t="s">
        <v>76</v>
      </c>
      <c r="AI250" s="1030">
        <f>+S250</f>
        <v>100.902</v>
      </c>
      <c r="AK250" s="1097">
        <f>AI250/AB250*1000</f>
        <v>89.412494461674797</v>
      </c>
      <c r="AM250" s="1094">
        <f>(AK250/AK243-1)*100</f>
        <v>-5.7937040731872669</v>
      </c>
      <c r="AN250" s="86" t="s">
        <v>76</v>
      </c>
      <c r="AO250" s="86"/>
      <c r="AP250" s="86"/>
      <c r="AQ250" s="86"/>
      <c r="AR250" s="86"/>
      <c r="AS250" s="1078">
        <f>qtrSales!AS$83*(AV250/100)</f>
        <v>4.2079999999999993</v>
      </c>
      <c r="AT250" s="114" t="s">
        <v>718</v>
      </c>
      <c r="AU250" s="1079" t="s">
        <v>251</v>
      </c>
      <c r="AV250" s="793">
        <v>16</v>
      </c>
      <c r="AW250" s="114" t="s">
        <v>718</v>
      </c>
      <c r="AX250" s="1075"/>
      <c r="AY250" s="1081">
        <v>105.11</v>
      </c>
      <c r="AZ250" s="1019">
        <f>AY250/AY243-1</f>
        <v>0.8411540240616886</v>
      </c>
    </row>
    <row r="251" spans="1:53" hidden="1" outlineLevel="1">
      <c r="A251" s="22" t="s">
        <v>116</v>
      </c>
      <c r="B251" s="200" t="s">
        <v>97</v>
      </c>
      <c r="D251" s="1045">
        <f>(S251/S244-1)*100</f>
        <v>76.6460302852838</v>
      </c>
      <c r="F251" s="1094">
        <v>4</v>
      </c>
      <c r="H251" s="1045">
        <f>D251-F251</f>
        <v>72.6460302852838</v>
      </c>
      <c r="J251" s="1047">
        <v>197</v>
      </c>
      <c r="K251" s="1057"/>
      <c r="L251" s="1048">
        <f>AVERAGE(J251,J250)</f>
        <v>187</v>
      </c>
      <c r="N251" s="1045">
        <f>(L251/L244-1)*100</f>
        <v>80.676328502415458</v>
      </c>
      <c r="O251" s="86"/>
      <c r="P251" s="1049">
        <f>H251/N251*100</f>
        <v>90.046277060202073</v>
      </c>
      <c r="Q251" s="97"/>
      <c r="S251" s="1058">
        <f>AY251-AS251</f>
        <v>105.57249999999986</v>
      </c>
      <c r="T251" s="1076"/>
      <c r="U251" s="1090">
        <f>S251/L251</f>
        <v>0.564558823529411</v>
      </c>
      <c r="W251" s="1094">
        <f>(U251/U244-1)*100</f>
        <v>-2.2306730773964056</v>
      </c>
      <c r="X251" s="86"/>
      <c r="Z251" s="227">
        <v>1274</v>
      </c>
      <c r="AA251" s="1057"/>
      <c r="AB251" s="1014">
        <f>AVERAGE(Z251,Z250)</f>
        <v>1210</v>
      </c>
      <c r="AD251" s="1088">
        <f>(Z251/Z244-1)*100</f>
        <v>77.684797768479783</v>
      </c>
      <c r="AE251" s="86"/>
      <c r="AF251" s="1049">
        <f>+H251/AD251*100</f>
        <v>93.513830726298892</v>
      </c>
      <c r="AG251" s="97"/>
      <c r="AI251" s="1059">
        <f>+S251</f>
        <v>105.57249999999986</v>
      </c>
      <c r="AK251" s="1106">
        <f>AI251/AB251*1000</f>
        <v>87.249999999999886</v>
      </c>
      <c r="AM251" s="1094">
        <f>(AK251/AK244-1)*100</f>
        <v>-3.2826487074375854</v>
      </c>
      <c r="AN251" s="86"/>
      <c r="AO251" s="86"/>
      <c r="AP251" s="86"/>
      <c r="AQ251" s="86"/>
      <c r="AR251" s="86"/>
      <c r="AS251" s="1100">
        <f>qtrSales!AS$84*(AV251/100)</f>
        <v>4.4395000000001383</v>
      </c>
      <c r="AT251" s="114" t="s">
        <v>718</v>
      </c>
      <c r="AU251" s="1231" t="s">
        <v>251</v>
      </c>
      <c r="AV251" s="1101">
        <v>19.557268722467573</v>
      </c>
      <c r="AW251" s="114" t="s">
        <v>718</v>
      </c>
      <c r="AX251" s="1075"/>
      <c r="AY251" s="1102">
        <v>110.012</v>
      </c>
      <c r="AZ251" s="1103">
        <f>AY251/AY244-1</f>
        <v>0.84074290972977495</v>
      </c>
    </row>
    <row r="252" spans="1:53" hidden="1" outlineLevel="1">
      <c r="A252" s="22" t="s">
        <v>117</v>
      </c>
      <c r="B252" s="200" t="s">
        <v>99</v>
      </c>
      <c r="D252" s="1045">
        <f>(S252/S245-1)*100</f>
        <v>85.726548129981623</v>
      </c>
      <c r="F252" s="1094">
        <v>13</v>
      </c>
      <c r="H252" s="1045">
        <f>D252-F252</f>
        <v>72.726548129981623</v>
      </c>
      <c r="J252" s="1047">
        <v>224</v>
      </c>
      <c r="K252" s="1057"/>
      <c r="L252" s="1048">
        <f>AVERAGE(J252,J251)</f>
        <v>210.5</v>
      </c>
      <c r="N252" s="1045">
        <f>(L252/L245-1)*100</f>
        <v>74.68879668049793</v>
      </c>
      <c r="O252" s="86"/>
      <c r="P252" s="1049">
        <f>H252/N252*100</f>
        <v>97.372767218475389</v>
      </c>
      <c r="Q252" s="97"/>
      <c r="S252" s="1058">
        <f>AY252-AS252</f>
        <v>151.46</v>
      </c>
      <c r="T252" s="1076"/>
      <c r="U252" s="1090">
        <f>S252/L252</f>
        <v>0.71952494061757721</v>
      </c>
      <c r="W252" s="1094">
        <f>(U252/U245-1)*100</f>
        <v>6.3185228012483829</v>
      </c>
      <c r="X252" s="86"/>
      <c r="Z252" s="227">
        <v>1452</v>
      </c>
      <c r="AA252" s="1057"/>
      <c r="AB252" s="1014">
        <f>AVERAGE(Z252,Z251)</f>
        <v>1363</v>
      </c>
      <c r="AD252" s="1088">
        <f>(Z252/Z245-1)*100</f>
        <v>75.362318840579718</v>
      </c>
      <c r="AE252" s="86"/>
      <c r="AF252" s="1049">
        <f>+H252/AD252*100</f>
        <v>96.502535018629459</v>
      </c>
      <c r="AG252" s="97"/>
      <c r="AI252" s="1059">
        <f>+S252</f>
        <v>151.46</v>
      </c>
      <c r="AK252" s="1060">
        <f>AI252/AB252*1000</f>
        <v>111.12252384446076</v>
      </c>
      <c r="AM252" s="1094">
        <f>(AK252/AK245-1)*100</f>
        <v>5.2632123480637061</v>
      </c>
      <c r="AN252" s="86"/>
      <c r="AO252" s="86"/>
      <c r="AP252" s="86"/>
      <c r="AQ252" s="86"/>
      <c r="AR252" s="86"/>
      <c r="AS252" s="1078">
        <f>qtrSales!AS$85*(AV252/100)</f>
        <v>3.16</v>
      </c>
      <c r="AT252" s="114" t="s">
        <v>718</v>
      </c>
      <c r="AU252" s="1078">
        <f>(AS252/AS245-1)*100</f>
        <v>30.041152263374492</v>
      </c>
      <c r="AV252" s="793">
        <v>10</v>
      </c>
      <c r="AW252" s="114" t="s">
        <v>718</v>
      </c>
      <c r="AX252" s="1075"/>
      <c r="AY252" s="1091">
        <v>154.62</v>
      </c>
      <c r="AZ252" s="1019">
        <f>AY252/AY245-1</f>
        <v>0.84115265539414152</v>
      </c>
    </row>
    <row r="253" spans="1:53" hidden="1" outlineLevel="1">
      <c r="A253" s="22" t="s">
        <v>118</v>
      </c>
      <c r="B253" s="200" t="s">
        <v>100</v>
      </c>
      <c r="D253" s="1061">
        <f>(S253/S246-1)*100</f>
        <v>86.266302162808884</v>
      </c>
      <c r="F253" s="1104">
        <v>19</v>
      </c>
      <c r="H253" s="1061">
        <f>D253-F253</f>
        <v>67.266302162808884</v>
      </c>
      <c r="J253" s="1063">
        <f>squft!BG33</f>
        <v>256</v>
      </c>
      <c r="K253" s="39"/>
      <c r="L253" s="1064">
        <f>AVERAGE(J253,J252)</f>
        <v>240</v>
      </c>
      <c r="N253" s="1107">
        <f>(L253/L246-1)*100</f>
        <v>59.46843853820598</v>
      </c>
      <c r="O253" s="86"/>
      <c r="P253" s="1064">
        <f>H253/N253*100</f>
        <v>113.11260866483505</v>
      </c>
      <c r="Q253" s="97"/>
      <c r="S253" s="1065">
        <f>AY253-AS253</f>
        <v>205.375</v>
      </c>
      <c r="T253" s="1076"/>
      <c r="U253" s="1093">
        <f>S253/L253</f>
        <v>0.85572916666666665</v>
      </c>
      <c r="W253" s="1104">
        <f>(U253/U246-1)*100</f>
        <v>16.804493647928066</v>
      </c>
      <c r="X253" s="86"/>
      <c r="Z253" s="865">
        <f>squft!BI33</f>
        <v>1662.9639999999999</v>
      </c>
      <c r="AA253" s="39"/>
      <c r="AB253" s="1068">
        <f>AVERAGE(Z253,Z252)</f>
        <v>1557.482</v>
      </c>
      <c r="AD253" s="1061">
        <f>(Z253/Z246-1)*100</f>
        <v>49.681728172817287</v>
      </c>
      <c r="AE253" s="86"/>
      <c r="AF253" s="1108">
        <f>+H253/AD253*100</f>
        <v>135.39444909972508</v>
      </c>
      <c r="AG253" s="97"/>
      <c r="AI253" s="1071">
        <f>+S253</f>
        <v>205.375</v>
      </c>
      <c r="AK253" s="1072">
        <f>AI253/AB253*1000</f>
        <v>131.86348221038833</v>
      </c>
      <c r="AM253" s="1104">
        <f>(AK253/AK246-1)*100</f>
        <v>15.946880892904858</v>
      </c>
      <c r="AN253" s="86"/>
      <c r="AO253" s="86"/>
      <c r="AP253" s="86"/>
      <c r="AQ253" s="86"/>
      <c r="AR253" s="86"/>
      <c r="AS253" s="1073">
        <f>qtrSales!AS$86*(AV253/100)</f>
        <v>4.5699999999999994</v>
      </c>
      <c r="AT253" s="1042" t="s">
        <v>718</v>
      </c>
      <c r="AU253" s="1073">
        <f>(AS253/AS246-1)*100</f>
        <v>20.421607378129103</v>
      </c>
      <c r="AV253" s="1074">
        <v>10</v>
      </c>
      <c r="AW253" s="1042" t="s">
        <v>718</v>
      </c>
      <c r="AX253" s="1075"/>
      <c r="AY253" s="1065">
        <f>AY254-SUM(AY250:AY252)</f>
        <v>209.94499999999999</v>
      </c>
      <c r="AZ253" s="309">
        <f>AY253/AY246-1</f>
        <v>0.84075400987759807</v>
      </c>
    </row>
    <row r="254" spans="1:53" hidden="1" outlineLevel="1">
      <c r="B254" s="200" t="s">
        <v>119</v>
      </c>
      <c r="D254" s="1045">
        <f>(S254/S247-1)*100</f>
        <v>82.499846110482935</v>
      </c>
      <c r="F254" s="1094">
        <v>13</v>
      </c>
      <c r="H254" s="1045">
        <f>D254-F254</f>
        <v>69.499846110482935</v>
      </c>
      <c r="L254" s="1048">
        <f>AVERAGE(L250:L253)</f>
        <v>203</v>
      </c>
      <c r="N254" s="1045">
        <f>(L254/L247-1)*100</f>
        <v>73.319103521878333</v>
      </c>
      <c r="O254" s="86"/>
      <c r="P254" s="1049">
        <f>H254/N254*100</f>
        <v>94.790910925069156</v>
      </c>
      <c r="Q254" s="97"/>
      <c r="S254" s="1050">
        <f>SUM(S250:S253)</f>
        <v>563.30949999999984</v>
      </c>
      <c r="U254" s="1087">
        <f>SUM(U250:U253)</f>
        <v>2.7180478878337122</v>
      </c>
      <c r="W254" s="1094">
        <f>(U254/U247-1)*100</f>
        <v>4.7759847524243781</v>
      </c>
      <c r="X254" s="86"/>
      <c r="AB254" s="1014">
        <f>AVERAGE(AB250:AB253)</f>
        <v>1314.7455</v>
      </c>
      <c r="AD254" s="1019">
        <f>Z253/Z246-1</f>
        <v>0.49681728172817285</v>
      </c>
      <c r="AE254" s="86"/>
      <c r="AF254" s="1049">
        <f>+H254/AD254*100</f>
        <v>13989.015412009936</v>
      </c>
      <c r="AG254" s="97"/>
      <c r="AI254" s="1030">
        <f>SUM(AI250:AI253)</f>
        <v>563.30949999999984</v>
      </c>
      <c r="AK254" s="1055">
        <f>SUM(AK250:AK253)</f>
        <v>419.64850051652377</v>
      </c>
      <c r="AM254" s="1094">
        <f>(AK254/AK247-1)*100</f>
        <v>3.7664047518460197</v>
      </c>
      <c r="AN254" s="86"/>
      <c r="AO254" s="86"/>
      <c r="AP254" s="86"/>
      <c r="AQ254" s="86"/>
      <c r="AR254" s="86"/>
      <c r="AS254" s="1078">
        <f>SUM(AS250:AS253)</f>
        <v>16.377500000000136</v>
      </c>
      <c r="AT254" s="114" t="s">
        <v>718</v>
      </c>
      <c r="AU254" s="1078">
        <f>(AS254/AS247-1)*100</f>
        <v>163.09236947791385</v>
      </c>
      <c r="AV254" s="1049">
        <f>(AS254/qtrSales!AS$87)*100</f>
        <v>12.967141726049199</v>
      </c>
      <c r="AW254" s="114" t="s">
        <v>718</v>
      </c>
      <c r="AX254" s="1075"/>
      <c r="AY254" s="1080">
        <v>579.68700000000001</v>
      </c>
      <c r="AZ254" s="1019">
        <f>AY254/AY247-1</f>
        <v>0.84093074362948106</v>
      </c>
    </row>
    <row r="255" spans="1:53" hidden="1" outlineLevel="1">
      <c r="B255" s="200"/>
      <c r="D255" s="246"/>
      <c r="E255" s="114"/>
      <c r="F255" s="1086"/>
      <c r="G255" s="114"/>
      <c r="H255" s="86"/>
      <c r="L255" s="86"/>
      <c r="O255" s="86"/>
      <c r="S255" s="86"/>
      <c r="W255" s="1086"/>
      <c r="AE255" s="86"/>
      <c r="AF255" s="86"/>
      <c r="AK255" s="86"/>
      <c r="AM255" s="1086"/>
      <c r="AX255" s="97"/>
      <c r="AZ255" s="86"/>
    </row>
    <row r="256" spans="1:53" hidden="1" outlineLevel="1">
      <c r="A256" s="1043"/>
      <c r="B256" s="1044" t="str">
        <f>B154</f>
        <v>2005A</v>
      </c>
      <c r="D256" s="86"/>
      <c r="E256" s="86"/>
      <c r="F256" s="1086"/>
      <c r="G256" s="86"/>
      <c r="H256" s="86"/>
      <c r="I256" s="86"/>
      <c r="L256" s="86"/>
      <c r="N256" s="86"/>
      <c r="O256" s="86"/>
      <c r="P256" s="97"/>
      <c r="Q256" s="97"/>
      <c r="S256" s="86"/>
      <c r="W256" s="1086"/>
      <c r="X256" s="86"/>
      <c r="AE256" s="86"/>
      <c r="AF256" s="199"/>
      <c r="AG256" s="97"/>
      <c r="AK256" s="86"/>
      <c r="AM256" s="1086"/>
      <c r="AN256" s="86"/>
      <c r="AO256" s="86"/>
      <c r="AP256" s="86"/>
      <c r="AQ256" s="86"/>
      <c r="AR256" s="86"/>
      <c r="AX256" s="97"/>
      <c r="AZ256" s="86"/>
    </row>
    <row r="257" spans="1:85" hidden="1" outlineLevel="1">
      <c r="A257" s="22" t="s">
        <v>115</v>
      </c>
      <c r="B257" s="200" t="s">
        <v>96</v>
      </c>
      <c r="D257" s="1045">
        <f>(S257/S250-1)*100</f>
        <v>71.431787496779052</v>
      </c>
      <c r="E257" s="86" t="s">
        <v>76</v>
      </c>
      <c r="F257" s="1094">
        <v>21</v>
      </c>
      <c r="G257" s="86" t="s">
        <v>76</v>
      </c>
      <c r="H257" s="1045">
        <f>D257-F257</f>
        <v>50.431787496779052</v>
      </c>
      <c r="I257" s="86" t="s">
        <v>76</v>
      </c>
      <c r="J257" s="1047">
        <v>260</v>
      </c>
      <c r="L257" s="1048">
        <f>AVERAGE(J257,J253)</f>
        <v>258</v>
      </c>
      <c r="N257" s="1045">
        <f>(L257/L250-1)*100</f>
        <v>47.851002865329505</v>
      </c>
      <c r="O257" s="86" t="s">
        <v>76</v>
      </c>
      <c r="P257" s="1049">
        <f>H257/N257*100</f>
        <v>105.39337626572389</v>
      </c>
      <c r="Q257" s="97" t="s">
        <v>76</v>
      </c>
      <c r="S257" s="1050">
        <f>AY257-AS257</f>
        <v>172.97810222000001</v>
      </c>
      <c r="T257" s="1076"/>
      <c r="U257" s="1087">
        <f>S257/L257</f>
        <v>0.67045776054263573</v>
      </c>
      <c r="W257" s="1094">
        <f>(U257/U250-1)*100</f>
        <v>15.949019062743975</v>
      </c>
      <c r="X257" s="86" t="s">
        <v>76</v>
      </c>
      <c r="Z257" s="227">
        <v>1689</v>
      </c>
      <c r="AB257" s="1014">
        <f>AVERAGE(Z257,Z253)</f>
        <v>1675.982</v>
      </c>
      <c r="AD257" s="1088">
        <f>(Z257/Z250-1)*100</f>
        <v>47.382198952879584</v>
      </c>
      <c r="AE257" s="86" t="s">
        <v>76</v>
      </c>
      <c r="AF257" s="1049">
        <f>+H257/AD257*100</f>
        <v>106.43614819762209</v>
      </c>
      <c r="AG257" s="97" t="s">
        <v>76</v>
      </c>
      <c r="AI257" s="1030">
        <f>+S257</f>
        <v>172.97810222000001</v>
      </c>
      <c r="AK257" s="1097">
        <f>AI257/AB257*1000</f>
        <v>103.21000000000001</v>
      </c>
      <c r="AM257" s="1094">
        <f>(AK257/AK250-1)*100</f>
        <v>15.431294721611067</v>
      </c>
      <c r="AN257" s="86" t="s">
        <v>76</v>
      </c>
      <c r="AO257" s="86"/>
      <c r="AP257" s="86"/>
      <c r="AQ257" s="86"/>
      <c r="AR257" s="86"/>
      <c r="AS257" s="1078">
        <f>qtrSales!AS$90*(AV257/100)</f>
        <v>6.2658977799999853</v>
      </c>
      <c r="AT257" s="114" t="s">
        <v>718</v>
      </c>
      <c r="AU257" s="1078">
        <f>(AS257/AS250-1)*100</f>
        <v>48.90441492395405</v>
      </c>
      <c r="AV257" s="793">
        <v>19.828790443037928</v>
      </c>
      <c r="AW257" s="114" t="s">
        <v>718</v>
      </c>
      <c r="AX257" s="1075"/>
      <c r="AY257" s="1081">
        <v>179.244</v>
      </c>
      <c r="AZ257" s="1019">
        <f>AY257/AY250-1</f>
        <v>0.70529921035106069</v>
      </c>
    </row>
    <row r="258" spans="1:85" hidden="1" outlineLevel="1">
      <c r="A258" s="22" t="s">
        <v>116</v>
      </c>
      <c r="B258" s="200" t="s">
        <v>97</v>
      </c>
      <c r="D258" s="1045">
        <f>(S258/S251-1)*100</f>
        <v>82.298231073433186</v>
      </c>
      <c r="F258" s="1094">
        <v>29</v>
      </c>
      <c r="H258" s="1045">
        <f>D258-F258</f>
        <v>53.298231073433186</v>
      </c>
      <c r="J258" s="1047">
        <v>281</v>
      </c>
      <c r="K258" s="1057"/>
      <c r="L258" s="1048">
        <f>AVERAGE(J258,J257)</f>
        <v>270.5</v>
      </c>
      <c r="N258" s="1045">
        <f>(L258/L251-1)*100</f>
        <v>44.652406417112303</v>
      </c>
      <c r="O258" s="86"/>
      <c r="P258" s="1049">
        <f>H258/N258*100</f>
        <v>119.36250551774856</v>
      </c>
      <c r="Q258" s="97"/>
      <c r="S258" s="1058">
        <f>AY258-AS258</f>
        <v>192.45680000000002</v>
      </c>
      <c r="T258" s="1076"/>
      <c r="U258" s="1090">
        <f>S258/L258</f>
        <v>0.71148539741219974</v>
      </c>
      <c r="W258" s="1094">
        <f>(U258/U251-1)*100</f>
        <v>26.025024808621122</v>
      </c>
      <c r="X258" s="86"/>
      <c r="Z258" s="227">
        <v>1826</v>
      </c>
      <c r="AA258" s="1057"/>
      <c r="AB258" s="1014">
        <f>AVERAGE(Z258,Z257)</f>
        <v>1757.5</v>
      </c>
      <c r="AD258" s="1088">
        <f>(Z258/Z251-1)*100</f>
        <v>43.328100470957608</v>
      </c>
      <c r="AE258" s="86"/>
      <c r="AF258" s="1049">
        <f>+H258/AD258*100</f>
        <v>123.01077244122081</v>
      </c>
      <c r="AG258" s="97"/>
      <c r="AI258" s="1059">
        <f>+S258</f>
        <v>192.45680000000002</v>
      </c>
      <c r="AK258" s="1106">
        <f>AI258/AB258*1000</f>
        <v>109.50600284495023</v>
      </c>
      <c r="AM258" s="1094">
        <f>(AK258/AK251-1)*100</f>
        <v>25.508312716275494</v>
      </c>
      <c r="AN258" s="86"/>
      <c r="AO258" s="86"/>
      <c r="AP258" s="86"/>
      <c r="AQ258" s="86"/>
      <c r="AR258" s="86"/>
      <c r="AS258" s="1078">
        <f>qtrSales!AS$91*(AV258/100)</f>
        <v>7.3542000000000005</v>
      </c>
      <c r="AT258" s="114" t="s">
        <v>718</v>
      </c>
      <c r="AU258" s="1078">
        <f>(AS258/AS251-1)*100</f>
        <v>65.653789841193188</v>
      </c>
      <c r="AV258" s="793">
        <v>30.9</v>
      </c>
      <c r="AW258" s="114" t="s">
        <v>718</v>
      </c>
      <c r="AX258" s="1075"/>
      <c r="AY258" s="1091">
        <v>199.81100000000001</v>
      </c>
      <c r="AZ258" s="1019">
        <f>AY258/AY251-1</f>
        <v>0.81626549830927542</v>
      </c>
    </row>
    <row r="259" spans="1:85" hidden="1" outlineLevel="1">
      <c r="A259" s="22" t="s">
        <v>117</v>
      </c>
      <c r="B259" s="200" t="s">
        <v>99</v>
      </c>
      <c r="D259" s="1045">
        <f>(S259/S252-1)*100</f>
        <v>67.453453056912707</v>
      </c>
      <c r="F259" s="1094">
        <v>27</v>
      </c>
      <c r="H259" s="1045">
        <f>D259-F259</f>
        <v>40.453453056912707</v>
      </c>
      <c r="J259" s="1047">
        <v>297</v>
      </c>
      <c r="K259" s="1057"/>
      <c r="L259" s="1048">
        <f>AVERAGE(J259,J258)</f>
        <v>289</v>
      </c>
      <c r="N259" s="1045">
        <f>(L259/L252-1)*100</f>
        <v>37.292161520190014</v>
      </c>
      <c r="O259" s="86"/>
      <c r="P259" s="1049">
        <f>H259/N259*100</f>
        <v>108.47709386598888</v>
      </c>
      <c r="Q259" s="97"/>
      <c r="S259" s="1058">
        <f>AY259-AS259</f>
        <v>253.625</v>
      </c>
      <c r="T259" s="1076"/>
      <c r="U259" s="1090">
        <f>S259/L259</f>
        <v>0.87759515570934254</v>
      </c>
      <c r="W259" s="1094">
        <f>(U259/U252-1)*100</f>
        <v>21.968691586436417</v>
      </c>
      <c r="X259" s="86"/>
      <c r="Z259" s="1047">
        <v>1942</v>
      </c>
      <c r="AA259" s="1057"/>
      <c r="AB259" s="1014">
        <f>AVERAGE(Z259,Z258)</f>
        <v>1884</v>
      </c>
      <c r="AD259" s="1088">
        <f>(Z259/Z252-1)*100</f>
        <v>33.746556473829202</v>
      </c>
      <c r="AE259" s="86"/>
      <c r="AF259" s="1049">
        <f>+H259/AD259*100</f>
        <v>119.87431395640256</v>
      </c>
      <c r="AG259" s="97"/>
      <c r="AI259" s="1059">
        <f>+S259</f>
        <v>253.625</v>
      </c>
      <c r="AK259" s="1060">
        <f>AI259/AB259*1000</f>
        <v>134.62048832271762</v>
      </c>
      <c r="AM259" s="1094">
        <f>(AK259/AK252-1)*100</f>
        <v>21.145996027904456</v>
      </c>
      <c r="AN259" s="86"/>
      <c r="AO259" s="86"/>
      <c r="AP259" s="86"/>
      <c r="AQ259" s="86"/>
      <c r="AR259" s="86"/>
      <c r="AS259" s="1078">
        <f>qtrSales!AS$92*(AV259/100)</f>
        <v>7.6749999999999998</v>
      </c>
      <c r="AT259" s="114" t="s">
        <v>718</v>
      </c>
      <c r="AU259" s="1078">
        <f>(AS259/AS252-1)*100</f>
        <v>142.87974683544303</v>
      </c>
      <c r="AV259" s="793">
        <v>25</v>
      </c>
      <c r="AW259" s="114" t="s">
        <v>718</v>
      </c>
      <c r="AX259" s="1075"/>
      <c r="AY259" s="1091">
        <v>261.3</v>
      </c>
      <c r="AZ259" s="1019">
        <f>AY259/AY252-1</f>
        <v>0.68994955374466427</v>
      </c>
    </row>
    <row r="260" spans="1:85" hidden="1" outlineLevel="1">
      <c r="A260" s="114" t="s">
        <v>118</v>
      </c>
      <c r="B260" s="245" t="s">
        <v>100</v>
      </c>
      <c r="C260" s="114"/>
      <c r="D260" s="1107">
        <f>(S260/S253-1)*100</f>
        <v>66.844552647595862</v>
      </c>
      <c r="E260" s="114"/>
      <c r="F260" s="1104">
        <v>34</v>
      </c>
      <c r="G260" s="114"/>
      <c r="H260" s="1061">
        <f>D260-F260</f>
        <v>32.844552647595862</v>
      </c>
      <c r="I260" s="114"/>
      <c r="J260" s="1063">
        <f>squft!BK33</f>
        <v>318</v>
      </c>
      <c r="K260" s="1057"/>
      <c r="L260" s="1108">
        <f>AVERAGE(J260,J259)</f>
        <v>307.5</v>
      </c>
      <c r="M260" s="114"/>
      <c r="N260" s="1107">
        <f>(L260/L253-1)*100</f>
        <v>28.125</v>
      </c>
      <c r="O260" s="246"/>
      <c r="P260" s="1064">
        <f>H260/N260*100</f>
        <v>116.7806316358964</v>
      </c>
      <c r="Q260" s="310"/>
      <c r="R260" s="114"/>
      <c r="S260" s="1092">
        <f>AY260-AS260</f>
        <v>342.65699999999998</v>
      </c>
      <c r="T260" s="1109"/>
      <c r="U260" s="1093">
        <f>S260/L260</f>
        <v>1.1143317073170731</v>
      </c>
      <c r="V260" s="114"/>
      <c r="W260" s="1104">
        <f>(U260/U253-1)*100</f>
        <v>30.220138651782126</v>
      </c>
      <c r="X260" s="246"/>
      <c r="Y260" s="114"/>
      <c r="Z260" s="1063">
        <f>squft!BM33</f>
        <v>2082.9639999999999</v>
      </c>
      <c r="AA260" s="1057"/>
      <c r="AB260" s="1068">
        <f>AVERAGE(Z260,Z259)</f>
        <v>2012.482</v>
      </c>
      <c r="AC260" s="114"/>
      <c r="AD260" s="1107">
        <f>(Z260/Z253-1)*100</f>
        <v>25.256108971691503</v>
      </c>
      <c r="AE260" s="246"/>
      <c r="AF260" s="1108">
        <f>+H260/AD260*100</f>
        <v>130.04597297394434</v>
      </c>
      <c r="AG260" s="310"/>
      <c r="AH260" s="114"/>
      <c r="AI260" s="1111">
        <f>+S260</f>
        <v>342.65699999999998</v>
      </c>
      <c r="AJ260" s="114"/>
      <c r="AK260" s="1072">
        <f>AI260/AB260*1000</f>
        <v>170.26587070095533</v>
      </c>
      <c r="AL260" s="114"/>
      <c r="AM260" s="1104">
        <f>(AK260/AK253-1)*100</f>
        <v>29.122838140506513</v>
      </c>
      <c r="AN260" s="246"/>
      <c r="AO260" s="246"/>
      <c r="AP260" s="246"/>
      <c r="AQ260" s="246"/>
      <c r="AR260" s="246"/>
      <c r="AS260" s="1073">
        <f>qtrSales!AS$93*(AV260/100)</f>
        <v>16.199999999999996</v>
      </c>
      <c r="AT260" s="1042" t="s">
        <v>718</v>
      </c>
      <c r="AU260" s="1073">
        <f>(AS260/AS253-1)*100</f>
        <v>254.48577680525156</v>
      </c>
      <c r="AV260" s="1074">
        <v>30</v>
      </c>
      <c r="AW260" s="1042" t="s">
        <v>718</v>
      </c>
      <c r="AX260" s="1075"/>
      <c r="AY260" s="1065">
        <f>AY261-SUM(AY257:AY259)</f>
        <v>358.85699999999997</v>
      </c>
      <c r="AZ260" s="309">
        <f>AY260/AY253-1</f>
        <v>0.70929052847174257</v>
      </c>
      <c r="BA260" s="114"/>
      <c r="BC260" s="114"/>
      <c r="BD260" s="114"/>
      <c r="BE260" s="114"/>
      <c r="BF260" s="114"/>
      <c r="BG260" s="114"/>
      <c r="BH260" s="114"/>
      <c r="BI260" s="114"/>
      <c r="BJ260" s="114"/>
      <c r="BK260" s="114"/>
      <c r="BL260" s="114"/>
      <c r="BM260" s="114"/>
      <c r="BN260" s="114"/>
      <c r="BO260" s="114"/>
      <c r="BP260" s="114"/>
      <c r="BQ260" s="114"/>
      <c r="BR260" s="114"/>
      <c r="BS260" s="114"/>
      <c r="BT260" s="114"/>
      <c r="BU260" s="114"/>
      <c r="BV260" s="114"/>
      <c r="BW260" s="114"/>
      <c r="BX260" s="114"/>
      <c r="BY260" s="114"/>
      <c r="BZ260" s="114"/>
      <c r="CA260" s="114"/>
      <c r="CB260" s="114"/>
      <c r="CC260" s="114"/>
      <c r="CD260" s="114"/>
      <c r="CE260" s="114"/>
      <c r="CF260" s="114"/>
      <c r="CG260" s="114"/>
    </row>
    <row r="261" spans="1:85" hidden="1" outlineLevel="1">
      <c r="B261" s="200" t="s">
        <v>119</v>
      </c>
      <c r="D261" s="1045">
        <f>(S261/S254-1)*100</f>
        <v>70.726199756972036</v>
      </c>
      <c r="F261" s="1056">
        <v>29</v>
      </c>
      <c r="H261" s="1045">
        <f>D261-F261</f>
        <v>41.726199756972036</v>
      </c>
      <c r="L261" s="1048">
        <f>AVERAGE(L257:L260)</f>
        <v>281.25</v>
      </c>
      <c r="N261" s="1045">
        <f>(L261/L254-1)*100</f>
        <v>38.546798029556648</v>
      </c>
      <c r="O261" s="86"/>
      <c r="P261" s="1049">
        <f>H261/N261*100</f>
        <v>108.24816039188912</v>
      </c>
      <c r="Q261" s="97"/>
      <c r="S261" s="1050">
        <f>SUM(S257:S260)</f>
        <v>961.71690222000007</v>
      </c>
      <c r="U261" s="1087">
        <f>SUM(U257:U260)</f>
        <v>3.3738700209812515</v>
      </c>
      <c r="W261" s="1052">
        <f>(U261/U254-1)*100</f>
        <v>24.128424524198898</v>
      </c>
      <c r="X261" s="86"/>
      <c r="AB261" s="1014">
        <f>AVERAGE(AB257:AB260)</f>
        <v>1832.491</v>
      </c>
      <c r="AD261" s="1019">
        <f>Z260/Z253-1</f>
        <v>0.25256108971691504</v>
      </c>
      <c r="AE261" s="86"/>
      <c r="AF261" s="1049">
        <f>+H261/AD261*100</f>
        <v>16521.230488726967</v>
      </c>
      <c r="AG261" s="97"/>
      <c r="AI261" s="1030">
        <f>SUM(AI257:AI260)</f>
        <v>961.71690222000007</v>
      </c>
      <c r="AK261" s="1055">
        <f>SUM(AK257:AK260)</f>
        <v>517.60236186862323</v>
      </c>
      <c r="AM261" s="1052">
        <f>(AK261/AK254-1)*100</f>
        <v>23.341882845174734</v>
      </c>
      <c r="AN261" s="86"/>
      <c r="AO261" s="86"/>
      <c r="AP261" s="86"/>
      <c r="AQ261" s="86"/>
      <c r="AR261" s="86"/>
      <c r="AS261" s="1078">
        <f>SUM(AS257:AS260)</f>
        <v>37.495097779999981</v>
      </c>
      <c r="AT261" s="114" t="s">
        <v>718</v>
      </c>
      <c r="AU261" s="1078">
        <f>(AS261/AS254-1)*100</f>
        <v>128.94274327583369</v>
      </c>
      <c r="AV261" s="1049">
        <f>(AS261/qtrSales!AS$94)*100</f>
        <v>26.763096202712333</v>
      </c>
      <c r="AW261" s="114" t="s">
        <v>718</v>
      </c>
      <c r="AX261" s="1075"/>
      <c r="AY261" s="1232">
        <v>999.21199999999999</v>
      </c>
      <c r="AZ261" s="1019">
        <f>AY261/AY254-1</f>
        <v>0.72370951910255021</v>
      </c>
    </row>
    <row r="262" spans="1:85" hidden="1" outlineLevel="1">
      <c r="B262" s="200"/>
      <c r="D262" s="1053"/>
      <c r="F262" s="1112"/>
      <c r="H262" s="1053"/>
      <c r="L262" s="1048"/>
      <c r="N262" s="1045"/>
      <c r="O262" s="86"/>
      <c r="P262" s="1049"/>
      <c r="Q262" s="97"/>
      <c r="S262" s="1050"/>
      <c r="U262" s="1051"/>
      <c r="W262" s="1082"/>
      <c r="X262" s="86"/>
      <c r="Z262" s="865"/>
      <c r="AB262" s="1083"/>
      <c r="AD262" s="1053"/>
      <c r="AE262" s="86"/>
      <c r="AF262" s="1233"/>
      <c r="AG262" s="97"/>
      <c r="AI262" s="1030"/>
      <c r="AK262" s="1055"/>
      <c r="AM262" s="1052"/>
      <c r="AN262" s="86"/>
      <c r="AO262" s="86"/>
      <c r="AP262" s="86"/>
      <c r="AQ262" s="86"/>
      <c r="AR262" s="86"/>
      <c r="AX262" s="97"/>
      <c r="AZ262" s="86"/>
    </row>
    <row r="263" spans="1:85" hidden="1" outlineLevel="1">
      <c r="A263" s="1043"/>
      <c r="B263" s="1113">
        <v>2006</v>
      </c>
      <c r="E263" s="86"/>
      <c r="G263" s="86"/>
      <c r="I263" s="86"/>
      <c r="L263" s="86"/>
      <c r="N263" s="86"/>
      <c r="O263" s="86"/>
      <c r="P263" s="97"/>
      <c r="Q263" s="97"/>
      <c r="S263" s="86"/>
      <c r="X263" s="86"/>
      <c r="AE263" s="86"/>
      <c r="AF263" s="198"/>
      <c r="AG263" s="97"/>
      <c r="AK263" s="86"/>
      <c r="AM263" s="86"/>
      <c r="AN263" s="86"/>
      <c r="AO263" s="86"/>
      <c r="AP263" s="86"/>
      <c r="AQ263" s="86"/>
      <c r="AR263" s="86"/>
      <c r="AX263" s="97"/>
      <c r="AZ263" s="86"/>
    </row>
    <row r="264" spans="1:85" hidden="1" outlineLevel="1">
      <c r="A264" s="22" t="s">
        <v>115</v>
      </c>
      <c r="B264" s="200" t="s">
        <v>96</v>
      </c>
      <c r="D264" s="1045">
        <f>(S264/S257-1)*100</f>
        <v>44.931639775507762</v>
      </c>
      <c r="E264" s="86" t="s">
        <v>76</v>
      </c>
      <c r="F264" s="1094">
        <v>13</v>
      </c>
      <c r="G264" s="86" t="s">
        <v>76</v>
      </c>
      <c r="H264" s="1045">
        <f>D264-F264</f>
        <v>31.931639775507762</v>
      </c>
      <c r="I264" s="86" t="s">
        <v>76</v>
      </c>
      <c r="J264" s="1047">
        <v>327</v>
      </c>
      <c r="L264" s="1048">
        <f>AVERAGE(J264,J260)</f>
        <v>322.5</v>
      </c>
      <c r="N264" s="1045">
        <f>(L264/L257-1)*100</f>
        <v>25</v>
      </c>
      <c r="O264" s="86" t="s">
        <v>76</v>
      </c>
      <c r="P264" s="1049">
        <f>H264/N264*100</f>
        <v>127.72655910203106</v>
      </c>
      <c r="Q264" s="97" t="s">
        <v>76</v>
      </c>
      <c r="S264" s="1050">
        <f>AY264-AS264</f>
        <v>250.7</v>
      </c>
      <c r="T264" s="1076"/>
      <c r="U264" s="1087">
        <f>S264/L264</f>
        <v>0.7773643410852713</v>
      </c>
      <c r="W264" s="1094">
        <f>(U264/U257-1)*100</f>
        <v>15.945311820406193</v>
      </c>
      <c r="X264" s="86" t="s">
        <v>76</v>
      </c>
      <c r="Z264" s="1047">
        <v>2140</v>
      </c>
      <c r="AB264" s="1014">
        <f>AVERAGE(Z264,Z260)</f>
        <v>2111.482</v>
      </c>
      <c r="AD264" s="1088">
        <f>(Z264/Z257-1)*100</f>
        <v>26.702190645352285</v>
      </c>
      <c r="AE264" s="86" t="s">
        <v>76</v>
      </c>
      <c r="AF264" s="1094">
        <f>+H264/AD264*100</f>
        <v>119.58434496858669</v>
      </c>
      <c r="AG264" s="97" t="s">
        <v>76</v>
      </c>
      <c r="AI264" s="1030">
        <f>+S264</f>
        <v>250.7</v>
      </c>
      <c r="AK264" s="1055">
        <f>AI264/AB264*1000</f>
        <v>118.73177228126974</v>
      </c>
      <c r="AM264" s="1052">
        <f>(AK264/AK257-1)*100</f>
        <v>15.039019747378868</v>
      </c>
      <c r="AN264" s="86" t="s">
        <v>76</v>
      </c>
      <c r="AO264" s="86"/>
      <c r="AP264" s="86"/>
      <c r="AQ264" s="86"/>
      <c r="AR264" s="86"/>
      <c r="AS264" s="1078">
        <f>qtrSales!AS$97*(AV264/100)</f>
        <v>8.7999999999999989</v>
      </c>
      <c r="AT264" s="114" t="s">
        <v>718</v>
      </c>
      <c r="AU264" s="1078">
        <f>(AS264/AS257-1)*100</f>
        <v>40.442763494938781</v>
      </c>
      <c r="AV264" s="793">
        <v>25</v>
      </c>
      <c r="AX264" s="97"/>
      <c r="AY264" s="1081">
        <v>259.5</v>
      </c>
      <c r="AZ264" s="1019">
        <f>AY264/AY257-1</f>
        <v>0.44774720492736164</v>
      </c>
    </row>
    <row r="265" spans="1:85" hidden="1" outlineLevel="1">
      <c r="A265" s="22" t="s">
        <v>116</v>
      </c>
      <c r="B265" s="200" t="s">
        <v>97</v>
      </c>
      <c r="D265" s="1045">
        <f>(S265/S258-1)*100</f>
        <v>30.777400434798885</v>
      </c>
      <c r="F265" s="1094">
        <v>3</v>
      </c>
      <c r="H265" s="1045">
        <f>D265-F265</f>
        <v>27.777400434798885</v>
      </c>
      <c r="J265" s="1047">
        <v>355</v>
      </c>
      <c r="K265" s="1057"/>
      <c r="L265" s="1048">
        <f>AVERAGE(J265,J264)</f>
        <v>341</v>
      </c>
      <c r="N265" s="1045">
        <f>(L265/L258-1)*100</f>
        <v>26.062846580406649</v>
      </c>
      <c r="O265" s="86"/>
      <c r="P265" s="1049">
        <f>H265/N265*100</f>
        <v>106.57853642004397</v>
      </c>
      <c r="Q265" s="97"/>
      <c r="S265" s="1058">
        <f>AY265-AS265</f>
        <v>251.69000000000003</v>
      </c>
      <c r="T265" s="1076"/>
      <c r="U265" s="1090">
        <f>S265/L265</f>
        <v>0.7380938416422288</v>
      </c>
      <c r="W265" s="1094">
        <f>(U265/U258-1)*100</f>
        <v>3.7398440399210919</v>
      </c>
      <c r="X265" s="86"/>
      <c r="Z265" s="1047">
        <v>2329</v>
      </c>
      <c r="AA265" s="1057"/>
      <c r="AB265" s="1014">
        <f>AVERAGE(Z265,Z264)</f>
        <v>2234.5</v>
      </c>
      <c r="AD265" s="1088">
        <f>(Z265/Z258-1)*100</f>
        <v>27.546549835706458</v>
      </c>
      <c r="AE265" s="86"/>
      <c r="AF265" s="1094">
        <f>+H265/AD265*100</f>
        <v>100.83803815893195</v>
      </c>
      <c r="AG265" s="97"/>
      <c r="AI265" s="1059">
        <f>+S265</f>
        <v>251.69000000000003</v>
      </c>
      <c r="AK265" s="1060">
        <f>AI265/AB265*1000</f>
        <v>112.63817408816291</v>
      </c>
      <c r="AM265" s="1052">
        <f>(AK265/AK258-1)*100</f>
        <v>2.8602735574665417</v>
      </c>
      <c r="AN265" s="86"/>
      <c r="AO265" s="86"/>
      <c r="AP265" s="86"/>
      <c r="AQ265" s="86"/>
      <c r="AR265" s="86"/>
      <c r="AS265" s="1078">
        <f>qtrSales!AS$98*(AV265/100)</f>
        <v>11.164999999999999</v>
      </c>
      <c r="AT265" s="114" t="s">
        <v>718</v>
      </c>
      <c r="AU265" s="1078">
        <f>(AS265/AS258-1)*100</f>
        <v>51.818008756900788</v>
      </c>
      <c r="AV265" s="793">
        <v>35</v>
      </c>
      <c r="AX265" s="97"/>
      <c r="AY265" s="1091">
        <v>262.85500000000002</v>
      </c>
      <c r="AZ265" s="1019">
        <f>AY265/AY258-1</f>
        <v>0.31551816466560911</v>
      </c>
      <c r="BF265" s="22">
        <f>309-51.5</f>
        <v>257.5</v>
      </c>
    </row>
    <row r="266" spans="1:85" hidden="1" outlineLevel="1">
      <c r="A266" s="22" t="s">
        <v>117</v>
      </c>
      <c r="B266" s="200" t="s">
        <v>99</v>
      </c>
      <c r="D266" s="1045">
        <f>(S266/S259-1)*100</f>
        <v>37.949334647609653</v>
      </c>
      <c r="F266" s="1094">
        <v>8</v>
      </c>
      <c r="H266" s="1045">
        <f>D266-F266</f>
        <v>29.949334647609653</v>
      </c>
      <c r="J266" s="1047">
        <v>372</v>
      </c>
      <c r="K266" s="1057"/>
      <c r="L266" s="1048">
        <f>AVERAGE(J266,J265)</f>
        <v>363.5</v>
      </c>
      <c r="N266" s="1045">
        <f>(L266/L259-1)*100</f>
        <v>25.778546712802775</v>
      </c>
      <c r="O266" s="86"/>
      <c r="P266" s="1049">
        <f>H266/N266*100</f>
        <v>116.17929816321058</v>
      </c>
      <c r="Q266" s="97"/>
      <c r="S266" s="1058">
        <f>AY266-AS266</f>
        <v>349.87399999999997</v>
      </c>
      <c r="T266" s="1076"/>
      <c r="U266" s="1090">
        <f>S266/L266</f>
        <v>0.96251444291609345</v>
      </c>
      <c r="W266" s="1094">
        <f>(U266/U259-1)*100</f>
        <v>9.6763623470679239</v>
      </c>
      <c r="X266" s="86"/>
      <c r="Z266" s="1047">
        <v>2450</v>
      </c>
      <c r="AA266" s="1057"/>
      <c r="AB266" s="1014">
        <f>AVERAGE(Z266,Z265)</f>
        <v>2389.5</v>
      </c>
      <c r="AD266" s="1088">
        <f>(Z266/Z259-1)*100</f>
        <v>26.15859938208034</v>
      </c>
      <c r="AE266" s="86"/>
      <c r="AF266" s="1094">
        <f>+H266/AD266*100</f>
        <v>114.49135410562583</v>
      </c>
      <c r="AG266" s="97"/>
      <c r="AI266" s="1059">
        <f>+S266</f>
        <v>349.87399999999997</v>
      </c>
      <c r="AK266" s="1060">
        <f>AI266/AB266*1000</f>
        <v>146.42142707679429</v>
      </c>
      <c r="AM266" s="1052">
        <f>(AK266/AK259-1)*100</f>
        <v>8.7660792952904742</v>
      </c>
      <c r="AN266" s="86"/>
      <c r="AO266" s="86"/>
      <c r="AP266" s="86"/>
      <c r="AQ266" s="86"/>
      <c r="AR266" s="86"/>
      <c r="AS266" s="1078">
        <f>qtrSales!AS$99*(AV266/100)</f>
        <v>14.159999999999998</v>
      </c>
      <c r="AT266" s="114" t="s">
        <v>718</v>
      </c>
      <c r="AU266" s="1078">
        <f>(AS266/AS259-1)*100</f>
        <v>84.49511400651464</v>
      </c>
      <c r="AV266" s="793">
        <v>30</v>
      </c>
      <c r="AX266" s="97"/>
      <c r="AY266" s="1091">
        <v>364.03399999999999</v>
      </c>
      <c r="AZ266" s="1019">
        <f>AY266/AY259-1</f>
        <v>0.39316494450822792</v>
      </c>
    </row>
    <row r="267" spans="1:85" hidden="1" outlineLevel="1">
      <c r="A267" s="22" t="s">
        <v>118</v>
      </c>
      <c r="B267" s="200" t="s">
        <v>100</v>
      </c>
      <c r="D267" s="1107">
        <f>(S267/S260-1)*100</f>
        <v>30.519440723522351</v>
      </c>
      <c r="E267" s="114"/>
      <c r="F267" s="1104">
        <v>0</v>
      </c>
      <c r="G267" s="114"/>
      <c r="H267" s="1104">
        <f>D267-F267</f>
        <v>30.519440723522351</v>
      </c>
      <c r="J267" s="1063">
        <f>squft!BO33</f>
        <v>393</v>
      </c>
      <c r="K267" s="39"/>
      <c r="L267" s="1064">
        <f>AVERAGE(J267,J266)</f>
        <v>382.5</v>
      </c>
      <c r="N267" s="1061">
        <f>(L267/L260-1)*100</f>
        <v>24.390243902439025</v>
      </c>
      <c r="O267" s="86"/>
      <c r="P267" s="1064">
        <f>H267/N267*100</f>
        <v>125.12970696644163</v>
      </c>
      <c r="Q267" s="97"/>
      <c r="S267" s="1065">
        <f>AY267-AS267</f>
        <v>447.23399999999992</v>
      </c>
      <c r="T267" s="1076"/>
      <c r="U267" s="1093">
        <f>S267/L267</f>
        <v>1.1692392156862743</v>
      </c>
      <c r="W267" s="1104">
        <f>(U267/U260-1)*100</f>
        <v>4.9273935228316912</v>
      </c>
      <c r="X267" s="86"/>
      <c r="Z267" s="865">
        <f>squft!BQ33</f>
        <v>2603.9639999999999</v>
      </c>
      <c r="AA267" s="39"/>
      <c r="AB267" s="1068">
        <f>AVERAGE(Z267,Z266)</f>
        <v>2526.982</v>
      </c>
      <c r="AD267" s="1061">
        <f>(Z267/Z260-1)*100</f>
        <v>25.012434204335744</v>
      </c>
      <c r="AE267" s="86"/>
      <c r="AF267" s="1104">
        <f>+H267/AD267*100</f>
        <v>122.01707548412861</v>
      </c>
      <c r="AG267" s="97"/>
      <c r="AI267" s="1071">
        <f>+S267</f>
        <v>447.23399999999992</v>
      </c>
      <c r="AK267" s="1072">
        <f>AI267/AB267*1000</f>
        <v>176.98345298858479</v>
      </c>
      <c r="AM267" s="1067">
        <f>(AK267/AK260-1)*100</f>
        <v>3.9453486831942941</v>
      </c>
      <c r="AN267" s="86"/>
      <c r="AO267" s="86"/>
      <c r="AP267" s="86"/>
      <c r="AQ267" s="86"/>
      <c r="AR267" s="86"/>
      <c r="AS267" s="1073">
        <f>qtrSales!AS$100*(AV267/100)</f>
        <v>29.609999999999996</v>
      </c>
      <c r="AT267" s="1042" t="s">
        <v>718</v>
      </c>
      <c r="AU267" s="1073">
        <f>(AS267/AS260-1)*100</f>
        <v>82.7777777777778</v>
      </c>
      <c r="AV267" s="1074">
        <v>35</v>
      </c>
      <c r="AX267" s="97"/>
      <c r="AY267" s="1065">
        <f>AY268-SUM(AY264:AY266)</f>
        <v>476.84399999999994</v>
      </c>
      <c r="AZ267" s="309">
        <f>AY267/AY260-1</f>
        <v>0.32878556082227739</v>
      </c>
    </row>
    <row r="268" spans="1:85" hidden="1" outlineLevel="1">
      <c r="B268" s="200" t="s">
        <v>119</v>
      </c>
      <c r="D268" s="1045">
        <f>(S268/S261-1)*100</f>
        <v>35.122716154855496</v>
      </c>
      <c r="F268" s="1198">
        <f>S264/S268*F264+S265/S268*F265+S266/S268*F266+S267/S268*F267</f>
        <v>5.242918419266517</v>
      </c>
      <c r="H268" s="1052">
        <f>D268-F268</f>
        <v>29.87979773558898</v>
      </c>
      <c r="L268" s="1048">
        <f>AVERAGE(L264:L267)</f>
        <v>352.375</v>
      </c>
      <c r="N268" s="1045">
        <f>(L268/L261-1)*100</f>
        <v>25.288888888888895</v>
      </c>
      <c r="O268" s="86"/>
      <c r="P268" s="1049">
        <f>H268/N268*100</f>
        <v>118.15385747816379</v>
      </c>
      <c r="Q268" s="97"/>
      <c r="S268" s="1050">
        <f>SUM(S264:S267)</f>
        <v>1299.4979999999998</v>
      </c>
      <c r="U268" s="1087">
        <f>SUM(U264:U267)</f>
        <v>3.6472118413298675</v>
      </c>
      <c r="W268" s="1094">
        <f>(U268/U261-1)*100</f>
        <v>8.1017294278905805</v>
      </c>
      <c r="X268" s="86"/>
      <c r="AB268" s="1014">
        <f>AVERAGE(AB264:AB267)</f>
        <v>2315.616</v>
      </c>
      <c r="AD268" s="1019">
        <f>Z267/Z260-1</f>
        <v>0.25012434204335743</v>
      </c>
      <c r="AE268" s="86"/>
      <c r="AF268" s="1094">
        <f>+H268/AD268*100</f>
        <v>11945.977545204101</v>
      </c>
      <c r="AG268" s="97"/>
      <c r="AI268" s="1030">
        <f>SUM(AI264:AI267)</f>
        <v>1299.4979999999998</v>
      </c>
      <c r="AK268" s="1055">
        <f>SUM(AK264:AK267)</f>
        <v>554.77482643481176</v>
      </c>
      <c r="AM268" s="1052">
        <f>(AK268/AK261-1)*100</f>
        <v>7.1816644019919496</v>
      </c>
      <c r="AN268" s="86"/>
      <c r="AO268" s="86"/>
      <c r="AP268" s="86"/>
      <c r="AQ268" s="86"/>
      <c r="AR268" s="86"/>
      <c r="AS268" s="1078">
        <f>SUM(AS264:AS267)</f>
        <v>63.734999999999985</v>
      </c>
      <c r="AT268" s="114" t="s">
        <v>718</v>
      </c>
      <c r="AU268" s="1078">
        <f>(AS268/AS261-1)*100</f>
        <v>69.982221073167764</v>
      </c>
      <c r="AV268" s="1049">
        <f>(AS268/qtrSales!AS$101)*100</f>
        <v>32.043740573152334</v>
      </c>
      <c r="AX268" s="97"/>
      <c r="AY268" s="1080">
        <v>1363.2329999999999</v>
      </c>
      <c r="AZ268" s="1019">
        <f>AY268/AY261-1</f>
        <v>0.36430807476291305</v>
      </c>
    </row>
    <row r="269" spans="1:85" hidden="1" outlineLevel="1">
      <c r="B269" s="200"/>
      <c r="D269" s="1053"/>
      <c r="F269" s="1112"/>
      <c r="H269" s="1053"/>
      <c r="L269" s="244"/>
      <c r="N269" s="1045"/>
      <c r="O269" s="86"/>
      <c r="P269" s="1049"/>
      <c r="Q269" s="97"/>
      <c r="S269" s="1050"/>
      <c r="U269" s="1051"/>
      <c r="W269" s="1082"/>
      <c r="X269" s="86"/>
      <c r="AB269" s="1083"/>
      <c r="AD269" s="1053"/>
      <c r="AE269" s="86"/>
      <c r="AF269" s="1233"/>
      <c r="AG269" s="97"/>
      <c r="AI269" s="1030"/>
      <c r="AK269" s="1055"/>
      <c r="AM269" s="1052"/>
      <c r="AN269" s="86"/>
      <c r="AO269" s="86"/>
      <c r="AP269" s="86"/>
      <c r="AQ269" s="86"/>
      <c r="AR269" s="86"/>
      <c r="AX269" s="97"/>
      <c r="AZ269" s="86"/>
    </row>
    <row r="270" spans="1:85" hidden="1" outlineLevel="1">
      <c r="A270" s="1120"/>
      <c r="B270" s="1113">
        <v>2007</v>
      </c>
      <c r="C270" s="114"/>
      <c r="D270" s="114"/>
      <c r="E270" s="246"/>
      <c r="F270" s="114"/>
      <c r="G270" s="246"/>
      <c r="H270" s="114"/>
      <c r="I270" s="246"/>
      <c r="J270" s="114"/>
      <c r="K270" s="114"/>
      <c r="L270" s="246"/>
      <c r="M270" s="114"/>
      <c r="N270" s="246"/>
      <c r="O270" s="246"/>
      <c r="P270" s="310"/>
      <c r="Q270" s="310"/>
      <c r="R270" s="114"/>
      <c r="S270" s="1103"/>
      <c r="T270" s="114"/>
      <c r="U270" s="114"/>
      <c r="V270" s="114"/>
      <c r="W270" s="114"/>
      <c r="X270" s="246"/>
      <c r="Y270" s="114"/>
      <c r="Z270" s="114"/>
      <c r="AA270" s="114"/>
      <c r="AB270" s="114"/>
      <c r="AC270" s="114"/>
      <c r="AD270" s="114"/>
      <c r="AE270" s="246"/>
      <c r="AF270" s="250"/>
      <c r="AG270" s="310"/>
      <c r="AH270" s="114"/>
      <c r="AI270" s="114"/>
      <c r="AJ270" s="114"/>
      <c r="AK270" s="246"/>
      <c r="AL270" s="114"/>
      <c r="AM270" s="246"/>
      <c r="AN270" s="246"/>
      <c r="AO270" s="246"/>
      <c r="AP270" s="246"/>
      <c r="AQ270" s="246"/>
      <c r="AR270" s="246"/>
      <c r="AS270" s="114"/>
      <c r="AT270" s="114"/>
      <c r="AU270" s="114"/>
      <c r="AV270" s="1121" t="s">
        <v>76</v>
      </c>
      <c r="AW270" s="114"/>
      <c r="AX270" s="310"/>
      <c r="AY270" s="114"/>
      <c r="AZ270" s="246"/>
      <c r="BA270" s="114"/>
      <c r="BC270" s="114"/>
      <c r="BD270" s="114"/>
      <c r="BE270" s="114"/>
      <c r="BF270" s="114"/>
      <c r="BG270" s="114"/>
      <c r="BH270" s="114"/>
      <c r="BI270" s="114"/>
      <c r="BJ270" s="114"/>
      <c r="BK270" s="114"/>
      <c r="BL270" s="114"/>
      <c r="BM270" s="114"/>
      <c r="BN270" s="114"/>
      <c r="BO270" s="114"/>
      <c r="BP270" s="114"/>
      <c r="BQ270" s="114"/>
      <c r="BR270" s="114"/>
      <c r="BS270" s="114"/>
      <c r="BT270" s="114"/>
      <c r="BU270" s="114"/>
      <c r="BV270" s="114"/>
      <c r="BW270" s="114"/>
      <c r="BX270" s="114"/>
      <c r="BY270" s="114"/>
      <c r="BZ270" s="114"/>
      <c r="CA270" s="114"/>
      <c r="CB270" s="114"/>
      <c r="CC270" s="114"/>
      <c r="CD270" s="114"/>
      <c r="CE270" s="114"/>
      <c r="CF270" s="114"/>
      <c r="CG270" s="114"/>
    </row>
    <row r="271" spans="1:85" hidden="1" outlineLevel="1">
      <c r="A271" s="114" t="s">
        <v>115</v>
      </c>
      <c r="B271" s="245" t="s">
        <v>96</v>
      </c>
      <c r="C271" s="114"/>
      <c r="D271" s="1045">
        <f>(S271/S264-1)*100</f>
        <v>18.325488631830879</v>
      </c>
      <c r="E271" s="246" t="s">
        <v>76</v>
      </c>
      <c r="F271" s="1144">
        <v>-5</v>
      </c>
      <c r="G271" s="246" t="s">
        <v>76</v>
      </c>
      <c r="H271" s="1045">
        <f>D271-F271</f>
        <v>23.325488631830879</v>
      </c>
      <c r="I271" s="246" t="s">
        <v>76</v>
      </c>
      <c r="J271" s="1047">
        <f>396+3</f>
        <v>399</v>
      </c>
      <c r="K271" s="114"/>
      <c r="L271" s="1122">
        <f>AVERAGE(J271,J267)</f>
        <v>396</v>
      </c>
      <c r="M271" s="114"/>
      <c r="N271" s="1123">
        <f>(L271/L264-1)*100</f>
        <v>22.790697674418613</v>
      </c>
      <c r="O271" s="246" t="s">
        <v>76</v>
      </c>
      <c r="P271" s="1049">
        <f>H271/N271*100</f>
        <v>102.34653175191096</v>
      </c>
      <c r="Q271" s="310" t="s">
        <v>76</v>
      </c>
      <c r="R271" s="114"/>
      <c r="S271" s="1050">
        <f>AY271-AS271</f>
        <v>296.642</v>
      </c>
      <c r="T271" s="1109"/>
      <c r="U271" s="1125">
        <f>S271/L271</f>
        <v>0.74909595959595954</v>
      </c>
      <c r="V271" s="114"/>
      <c r="W271" s="1144">
        <f>(U271/U264-1)*100</f>
        <v>-3.6364391824104669</v>
      </c>
      <c r="X271" s="246" t="s">
        <v>76</v>
      </c>
      <c r="Y271" s="114"/>
      <c r="Z271" s="1047">
        <v>2650</v>
      </c>
      <c r="AA271" s="114"/>
      <c r="AB271" s="1127">
        <f>AVERAGE(Z271,Z267)</f>
        <v>2626.982</v>
      </c>
      <c r="AC271" s="114"/>
      <c r="AD271" s="1128">
        <f>(Z271/Z264-1)*100</f>
        <v>23.831775700934578</v>
      </c>
      <c r="AE271" s="246" t="s">
        <v>76</v>
      </c>
      <c r="AF271" s="1144">
        <f>+H271/AD271*100</f>
        <v>97.875579749251145</v>
      </c>
      <c r="AG271" s="310" t="s">
        <v>76</v>
      </c>
      <c r="AH271" s="114"/>
      <c r="AI271" s="1129">
        <f>+S271</f>
        <v>296.642</v>
      </c>
      <c r="AJ271" s="114"/>
      <c r="AK271" s="1097">
        <f>AI271/AB271*1000</f>
        <v>112.92121529572718</v>
      </c>
      <c r="AL271" s="114"/>
      <c r="AM271" s="1126">
        <f>(AK271/AK264-1)*100</f>
        <v>-4.893851808913996</v>
      </c>
      <c r="AN271" s="246" t="s">
        <v>76</v>
      </c>
      <c r="AO271" s="246"/>
      <c r="AP271" s="246"/>
      <c r="AQ271" s="246"/>
      <c r="AR271" s="246"/>
      <c r="AS271" s="1100">
        <f>qtrSales!AS$104*(AV271/100)</f>
        <v>13.026000000000002</v>
      </c>
      <c r="AT271" s="114" t="s">
        <v>718</v>
      </c>
      <c r="AU271" s="1100">
        <f>(AS271/AS264-1)*100</f>
        <v>48.022727272727316</v>
      </c>
      <c r="AV271" s="1101">
        <f>+AV264+1</f>
        <v>26</v>
      </c>
      <c r="AW271" s="114"/>
      <c r="AX271" s="310"/>
      <c r="AY271" s="1130">
        <v>309.66800000000001</v>
      </c>
      <c r="AZ271" s="1103">
        <f>AY271/AY264-1</f>
        <v>0.19332562620423888</v>
      </c>
      <c r="BA271" s="114"/>
      <c r="BC271" s="114"/>
      <c r="BD271" s="114"/>
      <c r="BE271" s="114"/>
      <c r="BF271" s="114"/>
      <c r="BG271" s="114"/>
      <c r="BH271" s="114"/>
      <c r="BI271" s="114"/>
      <c r="BJ271" s="114"/>
      <c r="BK271" s="114"/>
      <c r="BL271" s="114"/>
      <c r="BM271" s="114"/>
      <c r="BN271" s="114"/>
      <c r="BO271" s="114"/>
      <c r="BP271" s="114"/>
      <c r="BQ271" s="114"/>
      <c r="BR271" s="114"/>
      <c r="BS271" s="114"/>
      <c r="BT271" s="114"/>
      <c r="BU271" s="114"/>
      <c r="BV271" s="114"/>
      <c r="BW271" s="114"/>
      <c r="BX271" s="114"/>
      <c r="BY271" s="114"/>
      <c r="BZ271" s="114"/>
      <c r="CA271" s="114"/>
      <c r="CB271" s="114"/>
      <c r="CC271" s="114"/>
      <c r="CD271" s="114"/>
      <c r="CE271" s="114"/>
      <c r="CF271" s="114"/>
      <c r="CG271" s="114"/>
    </row>
    <row r="272" spans="1:85" hidden="1" outlineLevel="1">
      <c r="A272" s="114" t="s">
        <v>116</v>
      </c>
      <c r="B272" s="245" t="s">
        <v>97</v>
      </c>
      <c r="C272" s="114"/>
      <c r="D272" s="1045">
        <f>(S272/S265-1)*100</f>
        <v>25.250109261392971</v>
      </c>
      <c r="E272" s="114"/>
      <c r="F272" s="1144">
        <v>-3</v>
      </c>
      <c r="G272" s="114"/>
      <c r="H272" s="1045">
        <f>D272-F272</f>
        <v>28.250109261392971</v>
      </c>
      <c r="I272" s="114"/>
      <c r="J272" s="1047">
        <f>J271+20</f>
        <v>419</v>
      </c>
      <c r="K272" s="1057"/>
      <c r="L272" s="1122">
        <f>AVERAGE(J272,J271)</f>
        <v>409</v>
      </c>
      <c r="M272" s="114"/>
      <c r="N272" s="1123">
        <f>(L272/L265-1)*100</f>
        <v>19.941348973607042</v>
      </c>
      <c r="O272" s="246"/>
      <c r="P272" s="1049">
        <f>H272/N272*100</f>
        <v>141.66598909022062</v>
      </c>
      <c r="Q272" s="310"/>
      <c r="R272" s="114"/>
      <c r="S272" s="1089">
        <f>AY272-AS272</f>
        <v>315.24200000000002</v>
      </c>
      <c r="T272" s="1109"/>
      <c r="U272" s="1131">
        <f>S272/L272</f>
        <v>0.77076283618581909</v>
      </c>
      <c r="V272" s="114"/>
      <c r="W272" s="1144">
        <f>(U272/U265-1)*100</f>
        <v>4.4261302154890103</v>
      </c>
      <c r="X272" s="246"/>
      <c r="Y272" s="114"/>
      <c r="Z272" s="1047">
        <v>2799</v>
      </c>
      <c r="AA272" s="1057"/>
      <c r="AB272" s="1127">
        <f>AVERAGE(Z272,Z271)</f>
        <v>2724.5</v>
      </c>
      <c r="AC272" s="114"/>
      <c r="AD272" s="1128">
        <f>(Z272/Z265-1)*100</f>
        <v>20.180334907685694</v>
      </c>
      <c r="AE272" s="246"/>
      <c r="AF272" s="1144">
        <f>+H272/AD272*100</f>
        <v>139.98830738251971</v>
      </c>
      <c r="AG272" s="310"/>
      <c r="AH272" s="114"/>
      <c r="AI272" s="1132">
        <f>+S272</f>
        <v>315.24200000000002</v>
      </c>
      <c r="AJ272" s="114"/>
      <c r="AK272" s="1106">
        <f>AI272/AB272*1000</f>
        <v>115.7063681409433</v>
      </c>
      <c r="AL272" s="114"/>
      <c r="AM272" s="1126">
        <f>(AK272/AK265-1)*100</f>
        <v>2.7239380233373467</v>
      </c>
      <c r="AN272" s="246"/>
      <c r="AO272" s="246"/>
      <c r="AP272" s="246"/>
      <c r="AQ272" s="246"/>
      <c r="AR272" s="246"/>
      <c r="AS272" s="1100">
        <f>qtrSales!AS$105*(AV272/100)</f>
        <v>19.188000000000002</v>
      </c>
      <c r="AT272" s="114" t="s">
        <v>718</v>
      </c>
      <c r="AU272" s="1100">
        <f>(AS272/AS265-1)*100</f>
        <v>71.858486341244983</v>
      </c>
      <c r="AV272" s="1101">
        <f>+AV265+1</f>
        <v>36</v>
      </c>
      <c r="AW272" s="114"/>
      <c r="AX272" s="310"/>
      <c r="AY272" s="1102">
        <v>334.43</v>
      </c>
      <c r="AZ272" s="1103">
        <f>AY272/AY265-1</f>
        <v>0.27229841547621314</v>
      </c>
      <c r="BA272" s="114"/>
      <c r="BC272" s="114"/>
      <c r="BD272" s="114"/>
      <c r="BE272" s="114"/>
      <c r="BF272" s="114"/>
      <c r="BG272" s="114"/>
      <c r="BH272" s="114"/>
      <c r="BI272" s="114"/>
      <c r="BJ272" s="114"/>
      <c r="BK272" s="114"/>
      <c r="BL272" s="114"/>
      <c r="BM272" s="114"/>
      <c r="BN272" s="114"/>
      <c r="BO272" s="114"/>
      <c r="BP272" s="114"/>
      <c r="BQ272" s="114"/>
      <c r="BR272" s="114"/>
      <c r="BS272" s="114"/>
      <c r="BT272" s="114"/>
      <c r="BU272" s="114"/>
      <c r="BV272" s="114"/>
      <c r="BW272" s="114"/>
      <c r="BX272" s="114"/>
      <c r="BY272" s="114"/>
      <c r="BZ272" s="114"/>
      <c r="CA272" s="114"/>
      <c r="CB272" s="114"/>
      <c r="CC272" s="114"/>
      <c r="CD272" s="114"/>
      <c r="CE272" s="114"/>
      <c r="CF272" s="114"/>
      <c r="CG272" s="114"/>
    </row>
    <row r="273" spans="1:92" hidden="1" outlineLevel="1">
      <c r="A273" s="114" t="s">
        <v>117</v>
      </c>
      <c r="B273" s="245" t="s">
        <v>99</v>
      </c>
      <c r="C273" s="114"/>
      <c r="D273" s="1123">
        <f>(S273/S266-1)*100</f>
        <v>12.221256795303459</v>
      </c>
      <c r="E273" s="114"/>
      <c r="F273" s="1144">
        <v>-1</v>
      </c>
      <c r="G273" s="114"/>
      <c r="H273" s="1144">
        <f>D273-F273</f>
        <v>13.221256795303459</v>
      </c>
      <c r="I273" s="114"/>
      <c r="J273" s="1047">
        <f>J272+15</f>
        <v>434</v>
      </c>
      <c r="K273" s="1057"/>
      <c r="L273" s="1122">
        <f>AVERAGE(J273,J272)</f>
        <v>426.5</v>
      </c>
      <c r="M273" s="114"/>
      <c r="N273" s="1123">
        <f>(L273/L266-1)*100</f>
        <v>17.331499312242094</v>
      </c>
      <c r="O273" s="246"/>
      <c r="P273" s="1124">
        <f>H273/N273*100</f>
        <v>76.284553096711221</v>
      </c>
      <c r="Q273" s="310"/>
      <c r="R273" s="114"/>
      <c r="S273" s="1089">
        <f>AY273-AS273</f>
        <v>392.63299999999998</v>
      </c>
      <c r="T273" s="1109"/>
      <c r="U273" s="1131">
        <f>S273/L273</f>
        <v>0.92059320046893311</v>
      </c>
      <c r="V273" s="114"/>
      <c r="W273" s="1144">
        <f>(U273/U266-1)*100</f>
        <v>-4.3553884054095988</v>
      </c>
      <c r="X273" s="246"/>
      <c r="Y273" s="114"/>
      <c r="Z273" s="1047">
        <v>2906</v>
      </c>
      <c r="AA273" s="1057"/>
      <c r="AB273" s="1127">
        <f>AVERAGE(Z273,Z272)</f>
        <v>2852.5</v>
      </c>
      <c r="AC273" s="114"/>
      <c r="AD273" s="1128">
        <f>(Z273/Z266-1)*100</f>
        <v>18.612244897959187</v>
      </c>
      <c r="AE273" s="246"/>
      <c r="AF273" s="1144">
        <f>+H273/AD273*100</f>
        <v>71.035261290555852</v>
      </c>
      <c r="AG273" s="310"/>
      <c r="AH273" s="114"/>
      <c r="AI273" s="1132">
        <f>+S273</f>
        <v>392.63299999999998</v>
      </c>
      <c r="AJ273" s="114"/>
      <c r="AK273" s="1106">
        <f>AI273/AB273*1000</f>
        <v>137.64522348816826</v>
      </c>
      <c r="AL273" s="114"/>
      <c r="AM273" s="1126">
        <f>(AK273/AK266-1)*100</f>
        <v>-5.993797331331252</v>
      </c>
      <c r="AN273" s="246"/>
      <c r="AO273" s="246"/>
      <c r="AP273" s="246"/>
      <c r="AQ273" s="246"/>
      <c r="AR273" s="246"/>
      <c r="AS273" s="1100">
        <f>qtrSales!AS$106*(AV273/100)</f>
        <v>21.855</v>
      </c>
      <c r="AT273" s="114" t="s">
        <v>718</v>
      </c>
      <c r="AU273" s="1100">
        <f>(AS273/AS266-1)*100</f>
        <v>54.343220338983066</v>
      </c>
      <c r="AV273" s="1101">
        <f>+AV266+1</f>
        <v>31</v>
      </c>
      <c r="AW273" s="114"/>
      <c r="AX273" s="310"/>
      <c r="AY273" s="1102">
        <v>414.488</v>
      </c>
      <c r="AZ273" s="1103">
        <f>AY273/AY266-1</f>
        <v>0.13859694424147206</v>
      </c>
      <c r="BA273" s="114"/>
      <c r="BC273" s="114"/>
      <c r="BD273" s="114"/>
      <c r="BE273" s="114"/>
      <c r="BF273" s="114"/>
      <c r="BG273" s="114"/>
      <c r="BH273" s="114"/>
      <c r="BI273" s="114"/>
      <c r="BJ273" s="114"/>
      <c r="BK273" s="114"/>
      <c r="BL273" s="114"/>
      <c r="BM273" s="114"/>
      <c r="BN273" s="114"/>
      <c r="BO273" s="114"/>
      <c r="BP273" s="114"/>
      <c r="BQ273" s="114"/>
      <c r="BR273" s="114"/>
      <c r="BS273" s="114"/>
      <c r="BT273" s="114"/>
      <c r="BU273" s="114"/>
      <c r="BV273" s="114"/>
      <c r="BW273" s="114"/>
      <c r="BX273" s="114"/>
      <c r="BY273" s="114"/>
      <c r="BZ273" s="114"/>
      <c r="CA273" s="114"/>
      <c r="CB273" s="114"/>
      <c r="CC273" s="114"/>
      <c r="CD273" s="114"/>
      <c r="CE273" s="114"/>
      <c r="CF273" s="114"/>
      <c r="CG273" s="114"/>
    </row>
    <row r="274" spans="1:92" hidden="1" outlineLevel="1">
      <c r="A274" s="114" t="s">
        <v>118</v>
      </c>
      <c r="B274" s="245" t="s">
        <v>100</v>
      </c>
      <c r="C274" s="114"/>
      <c r="D274" s="1107">
        <f>(S274/S267-1)*100</f>
        <v>8.7023795149742789</v>
      </c>
      <c r="E274" s="114"/>
      <c r="F274" s="1104">
        <v>-2</v>
      </c>
      <c r="G274" s="114"/>
      <c r="H274" s="1104">
        <f>D274-F274</f>
        <v>10.702379514974279</v>
      </c>
      <c r="I274" s="114"/>
      <c r="J274" s="1063">
        <f>+squft!BS33</f>
        <v>450</v>
      </c>
      <c r="K274" s="1057"/>
      <c r="L274" s="1108">
        <f>AVERAGE(J274,J273)</f>
        <v>442</v>
      </c>
      <c r="M274" s="114"/>
      <c r="N274" s="1107">
        <f>(L274/L267-1)*100</f>
        <v>15.555555555555545</v>
      </c>
      <c r="O274" s="246"/>
      <c r="P274" s="1108">
        <f>H274/N274*100</f>
        <v>68.80101116769184</v>
      </c>
      <c r="Q274" s="310"/>
      <c r="R274" s="114"/>
      <c r="S274" s="1092">
        <f>AY274-AS274</f>
        <v>486.154</v>
      </c>
      <c r="T274" s="1109"/>
      <c r="U274" s="1133">
        <f>S274/L274</f>
        <v>1.0998959276018099</v>
      </c>
      <c r="V274" s="114"/>
      <c r="W274" s="1104">
        <f>(U274/U267-1)*100</f>
        <v>-5.9306331120414946</v>
      </c>
      <c r="X274" s="246"/>
      <c r="Y274" s="114"/>
      <c r="Z274" s="1063">
        <f>+squft!BU33</f>
        <v>3014.9639999999999</v>
      </c>
      <c r="AA274" s="1057"/>
      <c r="AB274" s="1110">
        <f>AVERAGE(Z274,Z273)</f>
        <v>2960.482</v>
      </c>
      <c r="AC274" s="114"/>
      <c r="AD274" s="1107">
        <f>(Z274/Z267-1)*100</f>
        <v>15.783628345092326</v>
      </c>
      <c r="AE274" s="246"/>
      <c r="AF274" s="1104">
        <f>+H274/AD274*100</f>
        <v>67.80683934630288</v>
      </c>
      <c r="AG274" s="310"/>
      <c r="AH274" s="114"/>
      <c r="AI274" s="1111">
        <f>+S274</f>
        <v>486.154</v>
      </c>
      <c r="AJ274" s="114"/>
      <c r="AK274" s="1135">
        <f>AI274/AB274*1000</f>
        <v>164.21447588602126</v>
      </c>
      <c r="AL274" s="114"/>
      <c r="AM274" s="1134">
        <f>(AK274/AK267-1)*100</f>
        <v>-7.2147858384179582</v>
      </c>
      <c r="AN274" s="246"/>
      <c r="AO274" s="246"/>
      <c r="AP274" s="246"/>
      <c r="AQ274" s="246"/>
      <c r="AR274" s="246"/>
      <c r="AS274" s="1136">
        <f>qtrSales!AS$107*(AV274/100)</f>
        <v>44.711999999999996</v>
      </c>
      <c r="AT274" s="1042" t="s">
        <v>718</v>
      </c>
      <c r="AU274" s="1136">
        <f>(AS274/AS267-1)*100</f>
        <v>51.00303951367782</v>
      </c>
      <c r="AV274" s="1137">
        <f>+AV267+1</f>
        <v>36</v>
      </c>
      <c r="AW274" s="114"/>
      <c r="AX274" s="310"/>
      <c r="AY274" s="1065">
        <f>AY275-SUM(AY271:AY273)</f>
        <v>530.86599999999999</v>
      </c>
      <c r="AZ274" s="1138">
        <f>AY274/AY267-1</f>
        <v>0.11329071981612437</v>
      </c>
      <c r="BA274" s="114"/>
      <c r="BC274" s="114"/>
      <c r="BD274" s="114"/>
      <c r="BE274" s="114"/>
      <c r="BF274" s="114"/>
      <c r="BG274" s="114"/>
      <c r="BH274" s="114"/>
      <c r="BI274" s="114"/>
      <c r="BJ274" s="114"/>
      <c r="BK274" s="114"/>
      <c r="BL274" s="114"/>
      <c r="BM274" s="114"/>
      <c r="BN274" s="114"/>
      <c r="BO274" s="114"/>
      <c r="BP274" s="114"/>
      <c r="BQ274" s="114"/>
      <c r="BR274" s="114"/>
      <c r="BS274" s="114"/>
      <c r="BT274" s="114"/>
      <c r="BU274" s="114"/>
      <c r="BV274" s="114"/>
      <c r="BW274" s="114"/>
      <c r="BX274" s="114"/>
      <c r="BY274" s="114"/>
      <c r="BZ274" s="114"/>
      <c r="CA274" s="114"/>
      <c r="CB274" s="114"/>
      <c r="CC274" s="114"/>
      <c r="CD274" s="114"/>
      <c r="CE274" s="114"/>
      <c r="CF274" s="114"/>
      <c r="CG274" s="114"/>
    </row>
    <row r="275" spans="1:92" ht="13.5" hidden="1" outlineLevel="1" thickBot="1">
      <c r="A275" s="114"/>
      <c r="B275" s="245" t="s">
        <v>119</v>
      </c>
      <c r="C275" s="114"/>
      <c r="D275" s="1123">
        <f>(S275/S268-1)*100</f>
        <v>14.711296208228131</v>
      </c>
      <c r="E275" s="114"/>
      <c r="F275" s="1139">
        <v>-2</v>
      </c>
      <c r="G275" s="114"/>
      <c r="H275" s="1126">
        <f>D275-F275</f>
        <v>16.711296208228131</v>
      </c>
      <c r="I275" s="114"/>
      <c r="J275" s="114"/>
      <c r="K275" s="114"/>
      <c r="L275" s="1122">
        <f>AVERAGE(L271:L274)</f>
        <v>418.375</v>
      </c>
      <c r="M275" s="114"/>
      <c r="N275" s="1123">
        <f>(L275/L268-1)*100</f>
        <v>18.730046115643837</v>
      </c>
      <c r="O275" s="246"/>
      <c r="P275" s="1124">
        <f>H275/N275*100</f>
        <v>89.221863657187725</v>
      </c>
      <c r="Q275" s="310"/>
      <c r="R275" s="114"/>
      <c r="S275" s="1095">
        <f>SUM(S271:S274)</f>
        <v>1490.671</v>
      </c>
      <c r="T275" s="114"/>
      <c r="U275" s="1125">
        <f>SUM(U271:U274)</f>
        <v>3.5403479238525213</v>
      </c>
      <c r="V275" s="114"/>
      <c r="W275" s="1144">
        <f>(U275/U268-1)*100</f>
        <v>-2.9300167395371557</v>
      </c>
      <c r="X275" s="246"/>
      <c r="Y275" s="114"/>
      <c r="Z275" s="114"/>
      <c r="AA275" s="114"/>
      <c r="AB275" s="1127">
        <f>AVERAGE(AB271:AB274)</f>
        <v>2791.116</v>
      </c>
      <c r="AC275" s="114"/>
      <c r="AD275" s="1103">
        <f>Z274/Z267-1</f>
        <v>0.15783628345092326</v>
      </c>
      <c r="AE275" s="246"/>
      <c r="AF275" s="1144">
        <f>+H275/AD275*100</f>
        <v>10587.740564370453</v>
      </c>
      <c r="AG275" s="310"/>
      <c r="AH275" s="114"/>
      <c r="AI275" s="1129">
        <f>SUM(AI271:AI274)</f>
        <v>1490.671</v>
      </c>
      <c r="AJ275" s="114"/>
      <c r="AK275" s="1097">
        <f>SUM(AK271:AK274)</f>
        <v>530.48728281086005</v>
      </c>
      <c r="AL275" s="114"/>
      <c r="AM275" s="1126">
        <f>(AK275/AK268-1)*100</f>
        <v>-4.3779101838546719</v>
      </c>
      <c r="AN275" s="246"/>
      <c r="AO275" s="246"/>
      <c r="AP275" s="246"/>
      <c r="AQ275" s="246"/>
      <c r="AR275" s="246"/>
      <c r="AS275" s="1100">
        <f>SUM(AS271:AS274)</f>
        <v>98.781000000000006</v>
      </c>
      <c r="AT275" s="114" t="s">
        <v>718</v>
      </c>
      <c r="AU275" s="1100">
        <f>(AS275/AS268-1)*100</f>
        <v>54.987055777830122</v>
      </c>
      <c r="AV275" s="1124">
        <f>(AS275/qtrSales!AS$101)*100</f>
        <v>49.663650075414786</v>
      </c>
      <c r="AW275" s="114"/>
      <c r="AX275" s="310"/>
      <c r="AY275" s="1140">
        <v>1589.452</v>
      </c>
      <c r="AZ275" s="1103">
        <f>AY275/AY268-1</f>
        <v>0.16594301927843591</v>
      </c>
      <c r="BA275" s="114"/>
      <c r="BC275" s="114"/>
      <c r="BD275" s="114"/>
      <c r="BE275" s="114"/>
      <c r="BF275" s="114"/>
      <c r="BG275" s="114"/>
      <c r="BH275" s="114"/>
      <c r="BI275" s="114"/>
      <c r="BJ275" s="114"/>
      <c r="BK275" s="114"/>
      <c r="BL275" s="114"/>
      <c r="BM275" s="114"/>
      <c r="BN275" s="114"/>
      <c r="BO275" s="114"/>
      <c r="BP275" s="114"/>
      <c r="BQ275" s="114"/>
      <c r="BR275" s="114"/>
      <c r="BS275" s="114"/>
      <c r="BT275" s="114"/>
      <c r="BU275" s="114"/>
      <c r="BV275" s="114"/>
      <c r="BW275" s="114"/>
      <c r="BX275" s="114"/>
      <c r="BY275" s="114"/>
      <c r="BZ275" s="114"/>
      <c r="CA275" s="114"/>
      <c r="CB275" s="114"/>
      <c r="CC275" s="114"/>
      <c r="CD275" s="114"/>
      <c r="CE275" s="114"/>
      <c r="CF275" s="114"/>
      <c r="CG275" s="114"/>
    </row>
    <row r="276" spans="1:92" hidden="1" outlineLevel="1">
      <c r="A276" s="114"/>
      <c r="B276" s="245"/>
      <c r="C276" s="114"/>
      <c r="D276" s="1123"/>
      <c r="E276" s="114"/>
      <c r="F276" s="1139"/>
      <c r="G276" s="114"/>
      <c r="H276" s="1126"/>
      <c r="I276" s="114"/>
      <c r="J276" s="114"/>
      <c r="K276" s="114"/>
      <c r="L276" s="1122"/>
      <c r="M276" s="114"/>
      <c r="N276" s="1123"/>
      <c r="O276" s="246"/>
      <c r="P276" s="1124"/>
      <c r="Q276" s="310"/>
      <c r="R276" s="114"/>
      <c r="S276" s="1200"/>
      <c r="T276" s="114"/>
      <c r="U276" s="1125"/>
      <c r="V276" s="114"/>
      <c r="W276" s="1144"/>
      <c r="X276" s="246"/>
      <c r="Y276" s="114"/>
      <c r="Z276" s="114"/>
      <c r="AA276" s="114"/>
      <c r="AB276" s="1127"/>
      <c r="AC276" s="114"/>
      <c r="AD276" s="1103"/>
      <c r="AE276" s="246"/>
      <c r="AF276" s="1144"/>
      <c r="AG276" s="310"/>
      <c r="AH276" s="114"/>
      <c r="AI276" s="1129"/>
      <c r="AJ276" s="114"/>
      <c r="AK276" s="1097"/>
      <c r="AL276" s="114"/>
      <c r="AM276" s="1126"/>
      <c r="AN276" s="246"/>
      <c r="AO276" s="246"/>
      <c r="AP276" s="246"/>
      <c r="AQ276" s="246"/>
      <c r="AR276" s="246"/>
      <c r="AS276" s="1100"/>
      <c r="AT276" s="114"/>
      <c r="AU276" s="1100"/>
      <c r="AV276" s="1124"/>
      <c r="AW276" s="114"/>
      <c r="AX276" s="310"/>
      <c r="AY276" s="1142"/>
      <c r="AZ276" s="1103"/>
      <c r="BA276" s="114"/>
      <c r="BC276" s="114"/>
      <c r="BD276" s="114"/>
      <c r="BE276" s="114"/>
      <c r="BF276" s="114"/>
      <c r="BG276" s="114"/>
      <c r="BH276" s="114"/>
      <c r="BI276" s="114"/>
      <c r="BJ276" s="114"/>
      <c r="BK276" s="1234"/>
      <c r="BL276" s="1235"/>
      <c r="BM276" s="1235"/>
      <c r="BN276" s="1235"/>
      <c r="BO276" s="1235"/>
      <c r="BP276" s="1235"/>
      <c r="BQ276" s="1235"/>
      <c r="BR276" s="1235"/>
      <c r="BS276" s="1235"/>
      <c r="BT276" s="1235"/>
      <c r="BU276" s="1235"/>
      <c r="BV276" s="1235"/>
      <c r="BW276" s="1235"/>
      <c r="BX276" s="1235"/>
      <c r="BY276" s="1235"/>
      <c r="BZ276" s="1235"/>
      <c r="CA276" s="1235"/>
      <c r="CB276" s="1235"/>
      <c r="CC276" s="1235"/>
      <c r="CD276" s="1236"/>
      <c r="CE276" s="114"/>
      <c r="CF276" s="114"/>
      <c r="CG276" s="114"/>
      <c r="CH276" s="114"/>
      <c r="CI276" s="114"/>
      <c r="CJ276" s="114"/>
      <c r="CK276" s="114"/>
    </row>
    <row r="277" spans="1:92" hidden="1" outlineLevel="1">
      <c r="A277" s="1120"/>
      <c r="B277" s="1113">
        <v>2008</v>
      </c>
      <c r="C277" s="114"/>
      <c r="D277" s="114"/>
      <c r="E277" s="246"/>
      <c r="F277" s="114"/>
      <c r="G277" s="246"/>
      <c r="H277" s="114"/>
      <c r="I277" s="246"/>
      <c r="J277" s="114"/>
      <c r="K277" s="114"/>
      <c r="L277" s="246"/>
      <c r="M277" s="114"/>
      <c r="N277" s="246"/>
      <c r="O277" s="246"/>
      <c r="P277" s="310"/>
      <c r="Q277" s="310"/>
      <c r="R277" s="114"/>
      <c r="S277" s="1103"/>
      <c r="T277" s="114"/>
      <c r="U277" s="1237"/>
      <c r="V277" s="114"/>
      <c r="W277" s="114"/>
      <c r="X277" s="246"/>
      <c r="Y277" s="114"/>
      <c r="Z277" s="114"/>
      <c r="AA277" s="114"/>
      <c r="AB277" s="114"/>
      <c r="AC277" s="114"/>
      <c r="AD277" s="114"/>
      <c r="AE277" s="246"/>
      <c r="AF277" s="250"/>
      <c r="AG277" s="310"/>
      <c r="AH277" s="114"/>
      <c r="AI277" s="114"/>
      <c r="AJ277" s="114"/>
      <c r="AK277" s="246"/>
      <c r="AL277" s="114"/>
      <c r="AM277" s="246"/>
      <c r="AN277" s="246"/>
      <c r="AO277" s="246"/>
      <c r="AP277" s="246"/>
      <c r="AQ277" s="246"/>
      <c r="AR277" s="246"/>
      <c r="AS277" s="114"/>
      <c r="AT277" s="114"/>
      <c r="AU277" s="114"/>
      <c r="AV277" s="1121" t="s">
        <v>76</v>
      </c>
      <c r="AW277" s="114"/>
      <c r="AX277" s="310"/>
      <c r="AY277" s="114"/>
      <c r="AZ277" s="246"/>
      <c r="BA277" s="114"/>
      <c r="BC277" s="114"/>
      <c r="BD277" s="114"/>
      <c r="BE277" s="114"/>
      <c r="BF277" s="114"/>
      <c r="BG277" s="114"/>
      <c r="BH277" s="114"/>
      <c r="BI277" s="114"/>
      <c r="BJ277" s="114"/>
      <c r="BK277" s="1238"/>
      <c r="BL277" s="1239" t="s">
        <v>452</v>
      </c>
      <c r="BM277" s="1239" t="s">
        <v>651</v>
      </c>
      <c r="BN277" s="1239" t="s">
        <v>449</v>
      </c>
      <c r="BO277" s="310"/>
      <c r="BP277" s="310"/>
      <c r="BQ277" s="310"/>
      <c r="BR277" s="310"/>
      <c r="BS277" s="310"/>
      <c r="BT277" s="310"/>
      <c r="BU277" s="310"/>
      <c r="BV277" s="310"/>
      <c r="BW277" s="310"/>
      <c r="BX277" s="310"/>
      <c r="BY277" s="310"/>
      <c r="BZ277" s="310"/>
      <c r="CA277" s="310"/>
      <c r="CB277" s="310"/>
      <c r="CC277" s="310"/>
      <c r="CD277" s="1240"/>
      <c r="CE277" s="114"/>
      <c r="CF277" s="114"/>
      <c r="CG277" s="114"/>
      <c r="CH277" s="114"/>
      <c r="CI277" s="114"/>
      <c r="CJ277" s="114"/>
      <c r="CK277" s="114"/>
    </row>
    <row r="278" spans="1:92" hidden="1" outlineLevel="1">
      <c r="A278" s="114" t="s">
        <v>115</v>
      </c>
      <c r="B278" s="245" t="s">
        <v>96</v>
      </c>
      <c r="C278" s="114"/>
      <c r="D278" s="1045">
        <f>(S278/S271-1)*100</f>
        <v>4.6571287949784601</v>
      </c>
      <c r="E278" s="246" t="s">
        <v>76</v>
      </c>
      <c r="F278" s="1144">
        <v>-8</v>
      </c>
      <c r="G278" s="246" t="s">
        <v>76</v>
      </c>
      <c r="H278" s="1144">
        <f>D278-F278</f>
        <v>12.65712879497846</v>
      </c>
      <c r="I278" s="246" t="s">
        <v>76</v>
      </c>
      <c r="J278" s="1047">
        <f>457+3</f>
        <v>460</v>
      </c>
      <c r="K278" s="114"/>
      <c r="L278" s="1122">
        <f>AVERAGE(J278,J274)</f>
        <v>455</v>
      </c>
      <c r="M278" s="114"/>
      <c r="N278" s="1123">
        <f>(L278/L271-1)*100</f>
        <v>14.8989898989899</v>
      </c>
      <c r="O278" s="246" t="s">
        <v>76</v>
      </c>
      <c r="P278" s="1049">
        <f>H278/N278*100</f>
        <v>84.952932251041872</v>
      </c>
      <c r="Q278" s="310" t="s">
        <v>76</v>
      </c>
      <c r="R278" s="114"/>
      <c r="S278" s="1050">
        <f>AY278-AS278</f>
        <v>310.45699999999999</v>
      </c>
      <c r="T278" s="1109"/>
      <c r="U278" s="1125">
        <f>S278/L278</f>
        <v>0.68232307692307692</v>
      </c>
      <c r="V278" s="114"/>
      <c r="W278" s="1144">
        <f>(U278/U271-1)*100</f>
        <v>-8.9137955982165451</v>
      </c>
      <c r="X278" s="246" t="s">
        <v>76</v>
      </c>
      <c r="Y278" s="114"/>
      <c r="Z278" s="1047">
        <v>3077</v>
      </c>
      <c r="AA278" s="114"/>
      <c r="AB278" s="1127">
        <f>AVERAGE(Z278,Z274)</f>
        <v>3045.982</v>
      </c>
      <c r="AC278" s="114"/>
      <c r="AD278" s="1128">
        <f>(Z278/Z271-1)*100</f>
        <v>16.113207547169807</v>
      </c>
      <c r="AE278" s="246" t="s">
        <v>76</v>
      </c>
      <c r="AF278" s="1144">
        <f>+H278/AD278*100</f>
        <v>78.551267697173131</v>
      </c>
      <c r="AG278" s="310" t="s">
        <v>76</v>
      </c>
      <c r="AH278" s="114"/>
      <c r="AI278" s="1129">
        <f>+S278</f>
        <v>310.45699999999999</v>
      </c>
      <c r="AJ278" s="114"/>
      <c r="AK278" s="1097">
        <f>AI278/AB278*1000</f>
        <v>101.92345194423341</v>
      </c>
      <c r="AL278" s="114"/>
      <c r="AM278" s="1126">
        <f>(AK278/AK271-1)*100</f>
        <v>-9.7393242914468718</v>
      </c>
      <c r="AN278" s="246" t="s">
        <v>76</v>
      </c>
      <c r="AO278" s="246"/>
      <c r="AP278" s="246"/>
      <c r="AQ278" s="246"/>
      <c r="AR278" s="246"/>
      <c r="AS278" s="1100">
        <f>qtrSales!$AS$111*(AV278/100)</f>
        <v>19.71</v>
      </c>
      <c r="AT278" s="114" t="s">
        <v>718</v>
      </c>
      <c r="AU278" s="1100">
        <f>(AS278/AS271-1)*100</f>
        <v>51.312759097190217</v>
      </c>
      <c r="AV278" s="1101">
        <f>+AV271+1</f>
        <v>27</v>
      </c>
      <c r="AW278" s="114"/>
      <c r="AX278" s="310"/>
      <c r="AY278" s="1081">
        <v>330.16699999999997</v>
      </c>
      <c r="AZ278" s="1103">
        <f>AY278/AY271-1</f>
        <v>6.6196700982988022E-2</v>
      </c>
      <c r="BA278" s="114"/>
      <c r="BC278" s="114"/>
      <c r="BD278" s="114"/>
      <c r="BE278" s="114"/>
      <c r="BF278" s="114"/>
      <c r="BG278" s="114"/>
      <c r="BH278" s="114"/>
      <c r="BI278" s="114"/>
      <c r="BJ278" s="114"/>
      <c r="BK278" s="1241" t="s">
        <v>320</v>
      </c>
      <c r="BL278" s="1242">
        <f>yrSales!P36</f>
        <v>483.80919286052762</v>
      </c>
      <c r="BM278" s="1242">
        <f>yrSales!P86</f>
        <v>444.31378763866871</v>
      </c>
      <c r="BN278" s="1242">
        <f>yrSales!P135</f>
        <v>466.69372814739205</v>
      </c>
      <c r="BO278" s="310"/>
      <c r="BP278" s="310"/>
      <c r="BQ278" s="310"/>
      <c r="BR278" s="310"/>
      <c r="BS278" s="310"/>
      <c r="BT278" s="310"/>
      <c r="BU278" s="310"/>
      <c r="BV278" s="310"/>
      <c r="BW278" s="310"/>
      <c r="BX278" s="310"/>
      <c r="BY278" s="310"/>
      <c r="BZ278" s="310"/>
      <c r="CA278" s="310"/>
      <c r="CB278" s="310"/>
      <c r="CC278" s="310"/>
      <c r="CD278" s="1240"/>
      <c r="CE278" s="114"/>
      <c r="CF278" s="114"/>
      <c r="CG278" s="114"/>
      <c r="CH278" s="114"/>
      <c r="CI278" s="114"/>
      <c r="CJ278" s="114"/>
      <c r="CK278" s="114"/>
    </row>
    <row r="279" spans="1:92" hidden="1" outlineLevel="1">
      <c r="A279" s="114" t="s">
        <v>116</v>
      </c>
      <c r="B279" s="245" t="s">
        <v>97</v>
      </c>
      <c r="C279" s="114"/>
      <c r="D279" s="1045">
        <f>(S279/S272-1)*100</f>
        <v>3.5480678336008431</v>
      </c>
      <c r="E279" s="114"/>
      <c r="F279" s="1144">
        <v>-9</v>
      </c>
      <c r="G279" s="114"/>
      <c r="H279" s="1144">
        <f>D279-F279</f>
        <v>12.548067833600843</v>
      </c>
      <c r="I279" s="114"/>
      <c r="J279" s="1047">
        <f>479+3</f>
        <v>482</v>
      </c>
      <c r="K279" s="1057"/>
      <c r="L279" s="1122">
        <f>AVERAGE(J279,J278)</f>
        <v>471</v>
      </c>
      <c r="M279" s="114"/>
      <c r="N279" s="1123">
        <f>(L279/L272-1)*100</f>
        <v>15.158924205378966</v>
      </c>
      <c r="O279" s="246"/>
      <c r="P279" s="1124">
        <f>H279/N279*100</f>
        <v>82.776770063592693</v>
      </c>
      <c r="Q279" s="310"/>
      <c r="R279" s="114"/>
      <c r="S279" s="1089">
        <f>AY279-AS279</f>
        <v>326.42700000000002</v>
      </c>
      <c r="T279" s="1109"/>
      <c r="U279" s="1131">
        <f>S279/L279</f>
        <v>0.69305095541401274</v>
      </c>
      <c r="V279" s="114"/>
      <c r="W279" s="1144">
        <f>(U279/U272-1)*100</f>
        <v>-10.082463388656581</v>
      </c>
      <c r="X279" s="246"/>
      <c r="Y279" s="114"/>
      <c r="Z279" s="1047">
        <v>3223</v>
      </c>
      <c r="AA279" s="1057"/>
      <c r="AB279" s="1127">
        <f>AVERAGE(Z279,Z278)</f>
        <v>3150</v>
      </c>
      <c r="AC279" s="114"/>
      <c r="AD279" s="1128">
        <f>(Z279/Z272-1)*100</f>
        <v>15.148267238299384</v>
      </c>
      <c r="AE279" s="246"/>
      <c r="AF279" s="1144">
        <f>+H279/AD279*100</f>
        <v>82.835004401530142</v>
      </c>
      <c r="AG279" s="310"/>
      <c r="AH279" s="114"/>
      <c r="AI279" s="1132">
        <f>+S279</f>
        <v>326.42700000000002</v>
      </c>
      <c r="AJ279" s="114"/>
      <c r="AK279" s="1106">
        <f>AI279/AB279*1000</f>
        <v>103.62761904761905</v>
      </c>
      <c r="AL279" s="114"/>
      <c r="AM279" s="1126">
        <f>(AK279/AK272-1)*100</f>
        <v>-10.439139424556975</v>
      </c>
      <c r="AN279" s="246"/>
      <c r="AO279" s="246"/>
      <c r="AP279" s="246"/>
      <c r="AQ279" s="246"/>
      <c r="AR279" s="246"/>
      <c r="AS279" s="1100">
        <f>qtrSales!$AS$112*(AV279/100)</f>
        <v>24.346</v>
      </c>
      <c r="AT279" s="114" t="s">
        <v>718</v>
      </c>
      <c r="AU279" s="1100">
        <f>(AS279/AS272-1)*100</f>
        <v>26.881384198457358</v>
      </c>
      <c r="AV279" s="1101">
        <f>+AV272+1</f>
        <v>37</v>
      </c>
      <c r="AW279" s="114"/>
      <c r="AX279" s="310"/>
      <c r="AY279" s="1102">
        <v>350.77300000000002</v>
      </c>
      <c r="AZ279" s="1103">
        <f>AY279/AY272-1</f>
        <v>4.8868223544538569E-2</v>
      </c>
      <c r="BA279" s="114"/>
      <c r="BC279" s="114"/>
      <c r="BD279" s="114"/>
      <c r="BE279" s="114"/>
      <c r="BF279" s="114"/>
      <c r="BG279" s="114"/>
      <c r="BH279" s="114"/>
      <c r="BI279" s="114"/>
      <c r="BJ279" s="114"/>
      <c r="BK279" s="1238" t="s">
        <v>322</v>
      </c>
      <c r="BL279" s="310"/>
      <c r="BM279" s="1243">
        <f>BM278/BL278</f>
        <v>0.91836574045163999</v>
      </c>
      <c r="BN279" s="1243">
        <f>BN278/BL278</f>
        <v>0.96462352314568445</v>
      </c>
      <c r="BO279" s="310"/>
      <c r="BP279" s="310"/>
      <c r="BQ279" s="310"/>
      <c r="BR279" s="310"/>
      <c r="BS279" s="310"/>
      <c r="BT279" s="310"/>
      <c r="BU279" s="310"/>
      <c r="BV279" s="310"/>
      <c r="BW279" s="310"/>
      <c r="BX279" s="310"/>
      <c r="BY279" s="310"/>
      <c r="BZ279" s="310"/>
      <c r="CA279" s="310"/>
      <c r="CB279" s="310"/>
      <c r="CC279" s="310"/>
      <c r="CD279" s="1240"/>
      <c r="CE279" s="114"/>
      <c r="CF279" s="114"/>
      <c r="CG279" s="114"/>
      <c r="CH279" s="114"/>
      <c r="CI279" s="114"/>
      <c r="CJ279" s="114"/>
      <c r="CK279" s="114"/>
    </row>
    <row r="280" spans="1:92" hidden="1" outlineLevel="1">
      <c r="A280" s="114" t="s">
        <v>117</v>
      </c>
      <c r="B280" s="245" t="s">
        <v>99</v>
      </c>
      <c r="C280" s="114"/>
      <c r="D280" s="1045">
        <f>(S280/S273-1)*100</f>
        <v>-7.7369961261534286</v>
      </c>
      <c r="E280" s="114"/>
      <c r="F280" s="1144">
        <v>-18</v>
      </c>
      <c r="G280" s="114"/>
      <c r="H280" s="1144">
        <f>D280-F280</f>
        <v>10.263003873846571</v>
      </c>
      <c r="I280" s="114"/>
      <c r="J280" s="1047">
        <f>495+3+1</f>
        <v>499</v>
      </c>
      <c r="K280" s="1057"/>
      <c r="L280" s="1122">
        <f>AVERAGE(J280,J279)</f>
        <v>490.5</v>
      </c>
      <c r="M280" s="114"/>
      <c r="N280" s="1123">
        <f>(L280/L273-1)*100</f>
        <v>15.005861664712782</v>
      </c>
      <c r="O280" s="246"/>
      <c r="P280" s="1124">
        <f>H280/N280*100</f>
        <v>68.393299253055645</v>
      </c>
      <c r="Q280" s="310"/>
      <c r="R280" s="114"/>
      <c r="S280" s="1089">
        <f>AY280-AS280</f>
        <v>362.255</v>
      </c>
      <c r="T280" s="1109"/>
      <c r="U280" s="1131">
        <f>S280/L280</f>
        <v>0.73854230377166152</v>
      </c>
      <c r="V280" s="114"/>
      <c r="W280" s="1144">
        <f>(U280/U273-1)*100</f>
        <v>-19.77539010765431</v>
      </c>
      <c r="X280" s="246"/>
      <c r="Y280" s="114"/>
      <c r="Z280" s="1047">
        <v>3338</v>
      </c>
      <c r="AA280" s="1057"/>
      <c r="AB280" s="1127">
        <f>AVERAGE(Z280,Z279)</f>
        <v>3280.5</v>
      </c>
      <c r="AC280" s="114"/>
      <c r="AD280" s="1128">
        <f>(Z280/Z273-1)*100</f>
        <v>14.865794907088791</v>
      </c>
      <c r="AE280" s="246"/>
      <c r="AF280" s="1144">
        <f>+H280/AD280*100</f>
        <v>69.037706614347499</v>
      </c>
      <c r="AG280" s="310"/>
      <c r="AH280" s="114"/>
      <c r="AI280" s="1132">
        <f>+S280</f>
        <v>362.255</v>
      </c>
      <c r="AJ280" s="114"/>
      <c r="AK280" s="1106">
        <f>AI280/AB280*1000</f>
        <v>110.42676421277244</v>
      </c>
      <c r="AL280" s="114"/>
      <c r="AM280" s="1126">
        <f>(AK280/AK273-1)*100</f>
        <v>-19.774358009404857</v>
      </c>
      <c r="AN280" s="246"/>
      <c r="AO280" s="246"/>
      <c r="AP280" s="246"/>
      <c r="AQ280" s="246"/>
      <c r="AR280" s="246"/>
      <c r="AS280" s="1100">
        <f>qtrSales!$AS$113*(AV280/100)</f>
        <v>21.376000000000001</v>
      </c>
      <c r="AT280" s="114" t="s">
        <v>718</v>
      </c>
      <c r="AU280" s="1100">
        <f>(AS280/AS273-1)*100</f>
        <v>-2.1917181423015242</v>
      </c>
      <c r="AV280" s="1101">
        <f>+AV273+1</f>
        <v>32</v>
      </c>
      <c r="AW280" s="114"/>
      <c r="AX280" s="310"/>
      <c r="AY280" s="1102">
        <v>383.63099999999997</v>
      </c>
      <c r="AZ280" s="1103">
        <f>AY280/AY273-1</f>
        <v>-7.4446063577232713E-2</v>
      </c>
      <c r="BA280" s="114"/>
      <c r="BC280" s="114"/>
      <c r="BD280" s="114"/>
      <c r="BE280" s="114"/>
      <c r="BF280" s="114"/>
      <c r="BG280" s="246"/>
      <c r="BH280" s="249"/>
      <c r="BI280" s="310"/>
      <c r="BJ280" s="114"/>
      <c r="BK280" s="1238" t="s">
        <v>321</v>
      </c>
      <c r="BL280" s="1242">
        <f>AVERAGE(yrSales!L36:P36)</f>
        <v>463.42371978071003</v>
      </c>
      <c r="BM280" s="1242">
        <f>AVERAGE(yrSales!L86:P86)</f>
        <v>461.66165525268104</v>
      </c>
      <c r="BN280" s="1242">
        <f>AVERAGE(yrSales!L135:P135)</f>
        <v>513.12016484052401</v>
      </c>
      <c r="BO280" s="310"/>
      <c r="BP280" s="310"/>
      <c r="BQ280" s="310"/>
      <c r="BR280" s="310"/>
      <c r="BS280" s="310"/>
      <c r="BT280" s="310"/>
      <c r="BU280" s="310"/>
      <c r="BV280" s="310"/>
      <c r="BW280" s="310"/>
      <c r="BX280" s="310"/>
      <c r="BY280" s="310"/>
      <c r="BZ280" s="310"/>
      <c r="CA280" s="310"/>
      <c r="CB280" s="310"/>
      <c r="CC280" s="310"/>
      <c r="CD280" s="1240"/>
      <c r="CE280" s="114"/>
      <c r="CF280" s="114"/>
      <c r="CG280" s="114"/>
      <c r="CH280" s="114"/>
      <c r="CI280" s="114"/>
      <c r="CJ280" s="114"/>
      <c r="CK280" s="114"/>
    </row>
    <row r="281" spans="1:92" hidden="1" outlineLevel="1">
      <c r="A281" s="114" t="s">
        <v>118</v>
      </c>
      <c r="B281" s="245" t="s">
        <v>100</v>
      </c>
      <c r="C281" s="114"/>
      <c r="D281" s="1061">
        <f>(S281/S274-1)*100</f>
        <v>-15.84518485911871</v>
      </c>
      <c r="E281" s="114"/>
      <c r="F281" s="1104">
        <v>-25</v>
      </c>
      <c r="G281" s="114"/>
      <c r="H281" s="1104">
        <f>D281-F281</f>
        <v>9.1548151408812899</v>
      </c>
      <c r="I281" s="114"/>
      <c r="J281" s="1063">
        <f>+squft!BW33</f>
        <v>515</v>
      </c>
      <c r="K281" s="1057"/>
      <c r="L281" s="1108">
        <f>AVERAGE(J281,J280)</f>
        <v>507</v>
      </c>
      <c r="M281" s="114"/>
      <c r="N281" s="1107">
        <f>(L281/L274-1)*100</f>
        <v>14.705882352941169</v>
      </c>
      <c r="O281" s="246"/>
      <c r="P281" s="1108">
        <f>H281/N281*100</f>
        <v>62.252742957992801</v>
      </c>
      <c r="Q281" s="310"/>
      <c r="R281" s="114"/>
      <c r="S281" s="1092">
        <f>AY281-AS281</f>
        <v>409.12200000000001</v>
      </c>
      <c r="T281" s="1109"/>
      <c r="U281" s="1133">
        <f>S281/L281</f>
        <v>0.8069467455621302</v>
      </c>
      <c r="V281" s="114"/>
      <c r="W281" s="1104">
        <f>(U281/U274-1)*100</f>
        <v>-26.634263723334261</v>
      </c>
      <c r="X281" s="246"/>
      <c r="Y281" s="114"/>
      <c r="Z281" s="1063">
        <f>+squft!BY33</f>
        <v>3473.9639999999999</v>
      </c>
      <c r="AA281" s="1057"/>
      <c r="AB281" s="1110">
        <f>AVERAGE(Z281,Z280)</f>
        <v>3405.982</v>
      </c>
      <c r="AC281" s="114"/>
      <c r="AD281" s="1107">
        <f>(Z281/Z274-1)*100</f>
        <v>15.2240623768642</v>
      </c>
      <c r="AE281" s="246"/>
      <c r="AF281" s="1104">
        <f>+H281/AD281*100</f>
        <v>60.133852018326841</v>
      </c>
      <c r="AG281" s="310"/>
      <c r="AH281" s="114"/>
      <c r="AI281" s="1111">
        <f>+S281</f>
        <v>409.12200000000001</v>
      </c>
      <c r="AJ281" s="114"/>
      <c r="AK281" s="1135">
        <f>AI281/AB281*1000</f>
        <v>120.11866181324505</v>
      </c>
      <c r="AL281" s="114"/>
      <c r="AM281" s="1134">
        <f>(AK281/AK274-1)*100</f>
        <v>-26.852574253796256</v>
      </c>
      <c r="AN281" s="246"/>
      <c r="AO281" s="246"/>
      <c r="AP281" s="246"/>
      <c r="AQ281" s="246"/>
      <c r="AR281" s="246"/>
      <c r="AS281" s="1136">
        <f>qtrSales!$AS$114*(AV281/100)</f>
        <v>40.477999999999994</v>
      </c>
      <c r="AT281" s="1042" t="s">
        <v>718</v>
      </c>
      <c r="AU281" s="1136">
        <f>(AS281/AS274-1)*100</f>
        <v>-9.4694936482376146</v>
      </c>
      <c r="AV281" s="1137">
        <f>+AV274+1</f>
        <v>37</v>
      </c>
      <c r="AW281" s="114"/>
      <c r="AX281" s="310"/>
      <c r="AY281" s="1145">
        <v>449.6</v>
      </c>
      <c r="AZ281" s="1138">
        <f>AY281/AY274-1</f>
        <v>-0.1530819453496739</v>
      </c>
      <c r="BA281" s="114"/>
      <c r="BC281" s="114"/>
      <c r="BD281" s="114"/>
      <c r="BE281" s="114"/>
      <c r="BF281" s="114"/>
      <c r="BG281" s="1163"/>
      <c r="BH281" s="1163"/>
      <c r="BI281" s="310"/>
      <c r="BJ281" s="114"/>
      <c r="BK281" s="1238" t="s">
        <v>322</v>
      </c>
      <c r="BL281" s="310"/>
      <c r="BM281" s="1243">
        <f>BM280/BL280</f>
        <v>0.9961977247757996</v>
      </c>
      <c r="BN281" s="1243">
        <f>BN280/BM280</f>
        <v>1.1114636855852327</v>
      </c>
      <c r="BO281" s="310"/>
      <c r="BP281" s="310"/>
      <c r="BQ281" s="310"/>
      <c r="BR281" s="310"/>
      <c r="BS281" s="310"/>
      <c r="BT281" s="310"/>
      <c r="BU281" s="310" t="s">
        <v>361</v>
      </c>
      <c r="BV281" s="310"/>
      <c r="BW281" s="310"/>
      <c r="BX281" s="310"/>
      <c r="BY281" s="310"/>
      <c r="BZ281" s="310"/>
      <c r="CA281" s="310"/>
      <c r="CB281" s="310"/>
      <c r="CC281" s="310"/>
      <c r="CD281" s="1240"/>
      <c r="CE281" s="114"/>
      <c r="CF281" s="114"/>
      <c r="CG281" s="114"/>
      <c r="CH281" s="114"/>
      <c r="CI281" s="114"/>
      <c r="CJ281" s="114"/>
      <c r="CK281" s="114"/>
    </row>
    <row r="282" spans="1:92" hidden="1" outlineLevel="1">
      <c r="A282" s="114"/>
      <c r="B282" s="245" t="s">
        <v>119</v>
      </c>
      <c r="C282" s="114"/>
      <c r="D282" s="1123">
        <f>(S282/S275-1)*100</f>
        <v>-5.5283828557743497</v>
      </c>
      <c r="E282" s="114"/>
      <c r="F282" s="1139">
        <v>-17</v>
      </c>
      <c r="G282" s="114"/>
      <c r="H282" s="1126">
        <f>D282-F282</f>
        <v>11.47161714422565</v>
      </c>
      <c r="I282" s="114"/>
      <c r="J282" s="114"/>
      <c r="K282" s="114"/>
      <c r="L282" s="1122">
        <f>AVERAGE(L278:L281)</f>
        <v>480.875</v>
      </c>
      <c r="M282" s="114"/>
      <c r="N282" s="1123">
        <f>(L282/L275-1)*100</f>
        <v>14.938751120406323</v>
      </c>
      <c r="O282" s="246"/>
      <c r="P282" s="1049">
        <f>H282/N282*100</f>
        <v>76.791005163446556</v>
      </c>
      <c r="Q282" s="310"/>
      <c r="R282" s="114"/>
      <c r="S282" s="1095">
        <f>SUM(S278:S281)</f>
        <v>1408.261</v>
      </c>
      <c r="T282" s="114"/>
      <c r="U282" s="1125">
        <f>SUM(U278:U281)</f>
        <v>2.9208630816708814</v>
      </c>
      <c r="V282" s="114"/>
      <c r="W282" s="1144">
        <f>(U282/U275-1)*100</f>
        <v>-17.497852061599961</v>
      </c>
      <c r="X282" s="246"/>
      <c r="Y282" s="114"/>
      <c r="Z282" s="114"/>
      <c r="AA282" s="114"/>
      <c r="AB282" s="1127">
        <f>AVERAGE(AB278:AB281)</f>
        <v>3220.616</v>
      </c>
      <c r="AC282" s="114"/>
      <c r="AD282" s="1103">
        <f>Z281/Z274-1</f>
        <v>0.152240623768642</v>
      </c>
      <c r="AE282" s="246"/>
      <c r="AF282" s="1144">
        <f>+H282/AD282*100</f>
        <v>7535.1879546019927</v>
      </c>
      <c r="AG282" s="310"/>
      <c r="AH282" s="114"/>
      <c r="AI282" s="1129">
        <f>SUM(AI278:AI281)</f>
        <v>1408.261</v>
      </c>
      <c r="AJ282" s="114"/>
      <c r="AK282" s="1097">
        <f>SUM(AK278:AK281)</f>
        <v>436.09649701786992</v>
      </c>
      <c r="AL282" s="114"/>
      <c r="AM282" s="1126">
        <f>(AK282/AK275-1)*100</f>
        <v>-17.793223108544186</v>
      </c>
      <c r="AN282" s="246"/>
      <c r="AO282" s="246"/>
      <c r="AP282" s="246"/>
      <c r="AQ282" s="246"/>
      <c r="AR282" s="246"/>
      <c r="AS282" s="1100">
        <f>SUM(AS278:AS281)</f>
        <v>105.91</v>
      </c>
      <c r="AT282" s="114" t="s">
        <v>718</v>
      </c>
      <c r="AU282" s="1100">
        <f>(AS282/AS275-1)*100</f>
        <v>7.216974924327535</v>
      </c>
      <c r="AV282" s="1124">
        <f>(AS282/qtrSales!AS$108)*100</f>
        <v>35.528346192552831</v>
      </c>
      <c r="AW282" s="114"/>
      <c r="AX282" s="310"/>
      <c r="AY282" s="1140">
        <v>1514.204</v>
      </c>
      <c r="AZ282" s="1103">
        <f>AY282/AY275-1</f>
        <v>-4.7342102812793385E-2</v>
      </c>
      <c r="BA282" s="114"/>
      <c r="BC282" s="114"/>
      <c r="BD282" s="114"/>
      <c r="BE282" s="114"/>
      <c r="BF282" s="114"/>
      <c r="BG282" s="114"/>
      <c r="BH282" s="310"/>
      <c r="BI282" s="310"/>
      <c r="BJ282" s="114"/>
      <c r="BK282" s="1238"/>
      <c r="BL282" s="310"/>
      <c r="BM282" s="310"/>
      <c r="BN282" s="310"/>
      <c r="BO282" s="310"/>
      <c r="BP282" s="310"/>
      <c r="BQ282" s="310"/>
      <c r="BR282" s="310"/>
      <c r="BS282" s="310"/>
      <c r="BT282" s="310"/>
      <c r="BU282" s="310" t="s">
        <v>592</v>
      </c>
      <c r="BV282" s="310"/>
      <c r="BW282" s="310"/>
      <c r="BX282" s="310"/>
      <c r="BY282" s="310"/>
      <c r="BZ282" s="310"/>
      <c r="CA282" s="310"/>
      <c r="CB282" s="310"/>
      <c r="CC282" s="310"/>
      <c r="CD282" s="1240"/>
      <c r="CE282" s="114"/>
      <c r="CF282" s="114"/>
      <c r="CG282" s="114"/>
      <c r="CH282" s="114"/>
      <c r="CI282" s="114"/>
      <c r="CJ282" s="114"/>
      <c r="CK282" s="114"/>
    </row>
    <row r="283" spans="1:92" ht="13.5" hidden="1" outlineLevel="1" thickBot="1">
      <c r="A283" s="114"/>
      <c r="B283" s="245"/>
      <c r="C283" s="114"/>
      <c r="D283" s="1123"/>
      <c r="E283" s="114"/>
      <c r="F283" s="1139"/>
      <c r="G283" s="114"/>
      <c r="H283" s="1126"/>
      <c r="I283" s="114"/>
      <c r="J283" s="114"/>
      <c r="K283" s="114"/>
      <c r="L283" s="1122"/>
      <c r="M283" s="114"/>
      <c r="N283" s="1123"/>
      <c r="O283" s="246"/>
      <c r="P283" s="1049"/>
      <c r="Q283" s="310"/>
      <c r="R283" s="114"/>
      <c r="S283" s="1103"/>
      <c r="T283" s="114"/>
      <c r="U283" s="1125"/>
      <c r="V283" s="114"/>
      <c r="W283" s="1144"/>
      <c r="X283" s="246"/>
      <c r="Y283" s="114"/>
      <c r="Z283" s="114"/>
      <c r="AA283" s="114"/>
      <c r="AB283" s="1127"/>
      <c r="AC283" s="114"/>
      <c r="AD283" s="1103"/>
      <c r="AE283" s="246"/>
      <c r="AF283" s="1144"/>
      <c r="AG283" s="310"/>
      <c r="AH283" s="114"/>
      <c r="AI283" s="1129"/>
      <c r="AJ283" s="114"/>
      <c r="AK283" s="1097"/>
      <c r="AL283" s="114"/>
      <c r="AM283" s="1126"/>
      <c r="AN283" s="246"/>
      <c r="AO283" s="246"/>
      <c r="AP283" s="246"/>
      <c r="AQ283" s="246"/>
      <c r="AR283" s="246"/>
      <c r="AS283" s="1100"/>
      <c r="AT283" s="114"/>
      <c r="AU283" s="1100"/>
      <c r="AV283" s="1124"/>
      <c r="AW283" s="114"/>
      <c r="AX283" s="310"/>
      <c r="AY283" s="1142"/>
      <c r="AZ283" s="1103"/>
      <c r="BA283" s="114"/>
      <c r="BC283" s="114"/>
      <c r="BD283" s="114"/>
      <c r="BE283" s="114"/>
      <c r="BF283" s="114"/>
      <c r="BG283" s="114"/>
      <c r="BH283" s="114"/>
      <c r="BI283" s="114"/>
      <c r="BJ283" s="114"/>
      <c r="BK283" s="1238"/>
      <c r="BL283" s="310"/>
      <c r="BM283" s="310"/>
      <c r="BN283" s="310" t="s">
        <v>106</v>
      </c>
      <c r="BO283" s="310"/>
      <c r="BP283" s="310"/>
      <c r="BQ283" s="310"/>
      <c r="BR283" s="310"/>
      <c r="BS283" s="310" t="s">
        <v>259</v>
      </c>
      <c r="BT283" s="310"/>
      <c r="BU283" s="310"/>
      <c r="BV283" s="310"/>
      <c r="BW283" s="310"/>
      <c r="BX283" s="310"/>
      <c r="BY283" s="310"/>
      <c r="BZ283" s="310"/>
      <c r="CA283" s="310"/>
      <c r="CB283" s="310"/>
      <c r="CC283" s="310"/>
      <c r="CD283" s="1240"/>
      <c r="CE283" s="114"/>
      <c r="CF283" s="114"/>
      <c r="CG283" s="114"/>
      <c r="CH283" s="114"/>
      <c r="CI283" s="114"/>
      <c r="CJ283" s="114"/>
      <c r="CK283" s="114"/>
    </row>
    <row r="284" spans="1:92" hidden="1" outlineLevel="1">
      <c r="A284" s="1120"/>
      <c r="B284" s="1113">
        <v>2009</v>
      </c>
      <c r="C284" s="114"/>
      <c r="D284" s="114"/>
      <c r="E284" s="246"/>
      <c r="F284" s="114"/>
      <c r="G284" s="246"/>
      <c r="H284" s="114"/>
      <c r="I284" s="246"/>
      <c r="J284" s="114"/>
      <c r="K284" s="114"/>
      <c r="L284" s="246"/>
      <c r="M284" s="114"/>
      <c r="N284" s="246"/>
      <c r="O284" s="246"/>
      <c r="P284" s="310"/>
      <c r="Q284" s="310"/>
      <c r="R284" s="114"/>
      <c r="S284" s="1103"/>
      <c r="T284" s="114"/>
      <c r="U284" s="1237"/>
      <c r="V284" s="114"/>
      <c r="W284" s="114"/>
      <c r="X284" s="246"/>
      <c r="Y284" s="114"/>
      <c r="Z284" s="114"/>
      <c r="AA284" s="114"/>
      <c r="AB284" s="114"/>
      <c r="AC284" s="114"/>
      <c r="AD284" s="114"/>
      <c r="AE284" s="246"/>
      <c r="AF284" s="250"/>
      <c r="AG284" s="310"/>
      <c r="AH284" s="114"/>
      <c r="AI284" s="114"/>
      <c r="AJ284" s="114"/>
      <c r="AK284" s="246"/>
      <c r="AL284" s="114"/>
      <c r="AM284" s="246"/>
      <c r="AN284" s="246"/>
      <c r="AO284" s="246"/>
      <c r="AP284" s="246"/>
      <c r="AQ284" s="246"/>
      <c r="AR284" s="246"/>
      <c r="AS284" s="114"/>
      <c r="AT284" s="114"/>
      <c r="AU284" s="114"/>
      <c r="AV284" s="1121" t="s">
        <v>76</v>
      </c>
      <c r="AW284" s="114"/>
      <c r="AX284" s="310"/>
      <c r="AY284" s="114"/>
      <c r="AZ284" s="246"/>
      <c r="BA284" s="114"/>
      <c r="BC284" s="114"/>
      <c r="BD284" s="114"/>
      <c r="BE284" s="114"/>
      <c r="BF284" s="114"/>
      <c r="BG284" s="246"/>
      <c r="BH284" s="246" t="s">
        <v>324</v>
      </c>
      <c r="BI284" s="114"/>
      <c r="BJ284" s="114"/>
      <c r="BK284" s="1238"/>
      <c r="BL284" s="1244" t="s">
        <v>452</v>
      </c>
      <c r="BM284" s="1244" t="s">
        <v>452</v>
      </c>
      <c r="BN284" s="1239" t="s">
        <v>452</v>
      </c>
      <c r="BO284" s="1239" t="s">
        <v>452</v>
      </c>
      <c r="BP284" s="1239" t="s">
        <v>452</v>
      </c>
      <c r="BQ284" s="1239" t="s">
        <v>651</v>
      </c>
      <c r="BR284" s="1239" t="s">
        <v>323</v>
      </c>
      <c r="BS284" s="1239" t="s">
        <v>323</v>
      </c>
      <c r="BT284" s="1239" t="s">
        <v>652</v>
      </c>
      <c r="BU284" s="1239" t="s">
        <v>2</v>
      </c>
      <c r="BV284" s="1239" t="s">
        <v>3</v>
      </c>
      <c r="BW284" s="1239" t="s">
        <v>588</v>
      </c>
      <c r="BX284" s="1239" t="s">
        <v>589</v>
      </c>
      <c r="BY284" s="1239" t="s">
        <v>590</v>
      </c>
      <c r="BZ284" s="1239" t="s">
        <v>281</v>
      </c>
      <c r="CA284" s="1239" t="s">
        <v>282</v>
      </c>
      <c r="CB284" s="1239" t="s">
        <v>283</v>
      </c>
      <c r="CC284" s="1239" t="s">
        <v>284</v>
      </c>
      <c r="CD284" s="1245" t="s">
        <v>591</v>
      </c>
      <c r="CE284" s="1246" t="s">
        <v>377</v>
      </c>
      <c r="CF284" s="1247" t="s">
        <v>378</v>
      </c>
      <c r="CG284" s="1247" t="s">
        <v>378</v>
      </c>
      <c r="CH284" s="1247" t="s">
        <v>379</v>
      </c>
      <c r="CI284" s="1247" t="s">
        <v>379</v>
      </c>
      <c r="CJ284" s="1247" t="s">
        <v>593</v>
      </c>
      <c r="CK284" s="1247" t="s">
        <v>380</v>
      </c>
      <c r="CL284" s="1247" t="s">
        <v>380</v>
      </c>
      <c r="CM284" s="1247" t="s">
        <v>380</v>
      </c>
      <c r="CN284" s="1248" t="s">
        <v>380</v>
      </c>
    </row>
    <row r="285" spans="1:92" hidden="1" outlineLevel="1">
      <c r="A285" s="114" t="s">
        <v>115</v>
      </c>
      <c r="B285" s="245" t="s">
        <v>96</v>
      </c>
      <c r="C285" s="114"/>
      <c r="D285" s="1045">
        <f>(S285/S278-1)*100</f>
        <v>-20.510730954689382</v>
      </c>
      <c r="E285" s="246" t="s">
        <v>76</v>
      </c>
      <c r="F285" s="1144">
        <v>-32</v>
      </c>
      <c r="G285" s="246" t="s">
        <v>76</v>
      </c>
      <c r="H285" s="1144">
        <f>D285-F285</f>
        <v>11.489269045310618</v>
      </c>
      <c r="I285" s="246" t="s">
        <v>76</v>
      </c>
      <c r="J285" s="1047">
        <f>507+5+3</f>
        <v>515</v>
      </c>
      <c r="K285" s="1063">
        <f>J285-J281</f>
        <v>0</v>
      </c>
      <c r="L285" s="1122">
        <f>AVERAGE(J285,J281)</f>
        <v>515</v>
      </c>
      <c r="M285" s="114"/>
      <c r="N285" s="1123">
        <f>(L285/L278-1)*100</f>
        <v>13.186813186813184</v>
      </c>
      <c r="O285" s="246" t="s">
        <v>76</v>
      </c>
      <c r="P285" s="1049">
        <f>H285/N285*100</f>
        <v>87.126956926938874</v>
      </c>
      <c r="Q285" s="310" t="s">
        <v>76</v>
      </c>
      <c r="R285" s="114"/>
      <c r="S285" s="1050">
        <f>AY285-AS285</f>
        <v>246.77999999999997</v>
      </c>
      <c r="T285" s="1109"/>
      <c r="U285" s="1125">
        <f>S285/L285</f>
        <v>0.47918446601941744</v>
      </c>
      <c r="V285" s="114"/>
      <c r="W285" s="1144">
        <f>(U285/U278-1)*100</f>
        <v>-29.771616668706159</v>
      </c>
      <c r="X285" s="246" t="s">
        <v>76</v>
      </c>
      <c r="Y285" s="114"/>
      <c r="Z285" s="1047">
        <v>3475</v>
      </c>
      <c r="AA285" s="114"/>
      <c r="AB285" s="1127">
        <f>AVERAGE(Z285,Z281)</f>
        <v>3474.482</v>
      </c>
      <c r="AC285" s="114"/>
      <c r="AD285" s="1128">
        <f>(Z285/Z278-1)*100</f>
        <v>12.934676633084162</v>
      </c>
      <c r="AE285" s="246" t="s">
        <v>76</v>
      </c>
      <c r="AF285" s="1144">
        <f>+H285/AD285*100</f>
        <v>88.825328774926632</v>
      </c>
      <c r="AG285" s="310" t="s">
        <v>76</v>
      </c>
      <c r="AH285" s="114"/>
      <c r="AI285" s="1129">
        <f>+S285</f>
        <v>246.77999999999997</v>
      </c>
      <c r="AJ285" s="114"/>
      <c r="AK285" s="1097">
        <f>AI285/AB285*1000</f>
        <v>71.026414872778147</v>
      </c>
      <c r="AL285" s="114"/>
      <c r="AM285" s="1126">
        <f>(AK285/AK278-1)*100</f>
        <v>-30.313962569046737</v>
      </c>
      <c r="AN285" s="246" t="s">
        <v>76</v>
      </c>
      <c r="AO285" s="246"/>
      <c r="AP285" s="246"/>
      <c r="AQ285" s="246"/>
      <c r="AR285" s="246"/>
      <c r="AS285" s="1100">
        <f>qtrSales!$AS$118*(AV285/100)</f>
        <v>15.620000000000001</v>
      </c>
      <c r="AT285" s="114" t="s">
        <v>718</v>
      </c>
      <c r="AU285" s="1100">
        <f>(AS285/AS278-1)*100</f>
        <v>-20.75088787417554</v>
      </c>
      <c r="AV285" s="1101">
        <f>+AV278+0.5</f>
        <v>27.5</v>
      </c>
      <c r="AW285" s="114"/>
      <c r="AX285" s="310"/>
      <c r="AY285" s="1081">
        <v>262.39999999999998</v>
      </c>
      <c r="AZ285" s="1103">
        <f>AY285/AY278-1</f>
        <v>-0.20525067617296699</v>
      </c>
      <c r="BA285" s="114"/>
      <c r="BC285" s="114"/>
      <c r="BD285" s="114"/>
      <c r="BE285" s="114"/>
      <c r="BF285" s="114"/>
      <c r="BG285" s="1163"/>
      <c r="BH285" s="1205"/>
      <c r="BI285" s="1150"/>
      <c r="BJ285" s="114"/>
      <c r="BK285" s="1238"/>
      <c r="BL285" s="1244" t="s">
        <v>315</v>
      </c>
      <c r="BM285" s="1244" t="s">
        <v>325</v>
      </c>
      <c r="BN285" s="1239" t="s">
        <v>317</v>
      </c>
      <c r="BO285" s="1239" t="s">
        <v>318</v>
      </c>
      <c r="BP285" s="1239" t="s">
        <v>319</v>
      </c>
      <c r="BQ285" s="1239" t="s">
        <v>319</v>
      </c>
      <c r="BR285" s="1239" t="s">
        <v>324</v>
      </c>
      <c r="BS285" s="1239" t="s">
        <v>315</v>
      </c>
      <c r="BT285" s="1239"/>
      <c r="BU285" s="310"/>
      <c r="BV285" s="310"/>
      <c r="BW285" s="310"/>
      <c r="BX285" s="310"/>
      <c r="BY285" s="310"/>
      <c r="BZ285" s="310"/>
      <c r="CA285" s="310"/>
      <c r="CB285" s="310"/>
      <c r="CC285" s="310"/>
      <c r="CD285" s="1240"/>
      <c r="CE285" s="1238"/>
      <c r="CF285" s="310"/>
      <c r="CG285" s="310"/>
      <c r="CH285" s="310"/>
      <c r="CI285" s="310"/>
      <c r="CJ285" s="310"/>
      <c r="CK285" s="310"/>
      <c r="CL285" s="310"/>
      <c r="CM285" s="310"/>
      <c r="CN285" s="1240"/>
    </row>
    <row r="286" spans="1:92" hidden="1" outlineLevel="1">
      <c r="A286" s="114" t="s">
        <v>116</v>
      </c>
      <c r="B286" s="245" t="s">
        <v>97</v>
      </c>
      <c r="C286" s="114"/>
      <c r="D286" s="1045">
        <f>(S286/S279-1)*100</f>
        <v>-22.206955919700277</v>
      </c>
      <c r="E286" s="114"/>
      <c r="F286" s="1144">
        <v>-33</v>
      </c>
      <c r="G286" s="114"/>
      <c r="H286" s="1144">
        <f>D286-F286</f>
        <v>10.793044080299723</v>
      </c>
      <c r="I286" s="114"/>
      <c r="J286" s="1047">
        <f>510+5+5</f>
        <v>520</v>
      </c>
      <c r="K286" s="1047">
        <f>J286-J285</f>
        <v>5</v>
      </c>
      <c r="L286" s="1122">
        <f>AVERAGE(J286,J285)</f>
        <v>517.5</v>
      </c>
      <c r="M286" s="114"/>
      <c r="N286" s="1123">
        <f>(L286/L279-1)*100</f>
        <v>9.8726114649681627</v>
      </c>
      <c r="O286" s="246"/>
      <c r="P286" s="1049">
        <f>H286/N286*100</f>
        <v>109.32309165206804</v>
      </c>
      <c r="Q286" s="310"/>
      <c r="R286" s="114"/>
      <c r="S286" s="1089">
        <f>AY286-AS286</f>
        <v>253.9375</v>
      </c>
      <c r="T286" s="1109"/>
      <c r="U286" s="1131">
        <f>S286/L286</f>
        <v>0.49070048309178743</v>
      </c>
      <c r="V286" s="114"/>
      <c r="W286" s="1144">
        <f>(U286/U279-1)*100</f>
        <v>-29.197055532712714</v>
      </c>
      <c r="X286" s="246"/>
      <c r="Y286" s="114"/>
      <c r="Z286" s="1047">
        <v>3552</v>
      </c>
      <c r="AA286" s="1057"/>
      <c r="AB286" s="1127">
        <f>AVERAGE(Z286,Z285)</f>
        <v>3513.5</v>
      </c>
      <c r="AC286" s="114"/>
      <c r="AD286" s="1128">
        <f>(Z286/Z279-1)*100</f>
        <v>10.207880856345032</v>
      </c>
      <c r="AE286" s="246"/>
      <c r="AF286" s="1144">
        <f>+H286/AD286*100</f>
        <v>105.73246526080841</v>
      </c>
      <c r="AG286" s="310"/>
      <c r="AH286" s="114"/>
      <c r="AI286" s="1132">
        <f>+S286</f>
        <v>253.9375</v>
      </c>
      <c r="AJ286" s="114"/>
      <c r="AK286" s="1106">
        <f>AI286/AB286*1000</f>
        <v>72.274797210758507</v>
      </c>
      <c r="AL286" s="114"/>
      <c r="AM286" s="1126">
        <f>(AK286/AK279-1)*100</f>
        <v>-30.255275692914708</v>
      </c>
      <c r="AN286" s="246"/>
      <c r="AO286" s="246"/>
      <c r="AP286" s="246"/>
      <c r="AQ286" s="246"/>
      <c r="AR286" s="246"/>
      <c r="AS286" s="1100">
        <f>qtrSales!$AS$119*(AV286/100)</f>
        <v>20.362499999999997</v>
      </c>
      <c r="AT286" s="114" t="s">
        <v>718</v>
      </c>
      <c r="AU286" s="1100">
        <f>(AS286/AS279-1)*100</f>
        <v>-16.362030723732868</v>
      </c>
      <c r="AV286" s="1101">
        <f>+AV279+0.5</f>
        <v>37.5</v>
      </c>
      <c r="AW286" s="114"/>
      <c r="AX286" s="310"/>
      <c r="AY286" s="1102">
        <v>274.3</v>
      </c>
      <c r="AZ286" s="1103">
        <f>AY286/AY279-1</f>
        <v>-0.21801278889766318</v>
      </c>
      <c r="BA286" s="114"/>
      <c r="BB286" s="1143">
        <f>BH286</f>
        <v>2.5</v>
      </c>
      <c r="BC286" s="114"/>
      <c r="BD286" s="114"/>
      <c r="BE286" s="114"/>
      <c r="BF286" s="114"/>
      <c r="BG286" s="1163"/>
      <c r="BH286" s="1206">
        <v>2.5</v>
      </c>
      <c r="BI286" s="1150"/>
      <c r="BJ286" s="114"/>
      <c r="BK286" s="1238" t="s">
        <v>326</v>
      </c>
      <c r="BL286" s="1249">
        <v>110</v>
      </c>
      <c r="BM286" s="1250">
        <v>80</v>
      </c>
      <c r="BN286" s="1250">
        <v>65</v>
      </c>
      <c r="BO286" s="1251">
        <f>BO287*BO288</f>
        <v>28.5</v>
      </c>
      <c r="BP286" s="1250">
        <v>50</v>
      </c>
      <c r="BQ286" s="1250">
        <v>10</v>
      </c>
      <c r="BR286" s="1251">
        <f>BR287*BR288</f>
        <v>58.5</v>
      </c>
      <c r="BS286" s="1251">
        <f>BS287*BS288</f>
        <v>30</v>
      </c>
      <c r="BT286" s="1251">
        <f>BT287*BT288</f>
        <v>38</v>
      </c>
      <c r="BU286" s="1251">
        <v>70</v>
      </c>
      <c r="BV286" s="1251">
        <v>22.5</v>
      </c>
      <c r="BW286" s="1251">
        <v>30</v>
      </c>
      <c r="BX286" s="1251">
        <v>17.5</v>
      </c>
      <c r="BY286" s="1251">
        <v>25</v>
      </c>
      <c r="BZ286" s="1251">
        <v>15</v>
      </c>
      <c r="CA286" s="1251">
        <v>25</v>
      </c>
      <c r="CB286" s="1251">
        <v>30</v>
      </c>
      <c r="CC286" s="1251">
        <v>27.5</v>
      </c>
      <c r="CD286" s="1252">
        <v>18</v>
      </c>
      <c r="CE286" s="1253">
        <f t="shared" ref="CE286:CJ286" si="12">CE287*CE288</f>
        <v>35</v>
      </c>
      <c r="CF286" s="1251">
        <f t="shared" si="12"/>
        <v>35</v>
      </c>
      <c r="CG286" s="1251">
        <f t="shared" si="12"/>
        <v>35</v>
      </c>
      <c r="CH286" s="1251">
        <f t="shared" si="12"/>
        <v>35</v>
      </c>
      <c r="CI286" s="1251">
        <f t="shared" si="12"/>
        <v>35</v>
      </c>
      <c r="CJ286" s="1251">
        <f t="shared" si="12"/>
        <v>35</v>
      </c>
      <c r="CK286" s="1251">
        <f>CK287*CK288</f>
        <v>35</v>
      </c>
      <c r="CL286" s="1251">
        <f>CL287*CL288</f>
        <v>35</v>
      </c>
      <c r="CM286" s="1251">
        <f>CM287*CM288</f>
        <v>35</v>
      </c>
      <c r="CN286" s="1252">
        <f>CN287*CN288</f>
        <v>35</v>
      </c>
    </row>
    <row r="287" spans="1:92" hidden="1" outlineLevel="1">
      <c r="A287" s="114" t="s">
        <v>117</v>
      </c>
      <c r="B287" s="245" t="s">
        <v>99</v>
      </c>
      <c r="C287" s="114"/>
      <c r="D287" s="1045">
        <f>(S287/S280-1)*100</f>
        <v>-14.386044821097476</v>
      </c>
      <c r="E287" s="114"/>
      <c r="F287" s="1144">
        <v>-26</v>
      </c>
      <c r="G287" s="114"/>
      <c r="H287" s="1144">
        <f>D287-F287</f>
        <v>11.613955178902524</v>
      </c>
      <c r="I287" s="114"/>
      <c r="J287" s="1047">
        <f>509+6+7</f>
        <v>522</v>
      </c>
      <c r="K287" s="1047">
        <f>J287-J286</f>
        <v>2</v>
      </c>
      <c r="L287" s="1122">
        <f>AVERAGE(J287,J286)</f>
        <v>521</v>
      </c>
      <c r="M287" s="114"/>
      <c r="N287" s="1123">
        <f>(L287/L280-1)*100</f>
        <v>6.2181447502548393</v>
      </c>
      <c r="O287" s="246"/>
      <c r="P287" s="1049">
        <f>H287/N287*100</f>
        <v>186.77524640169477</v>
      </c>
      <c r="Q287" s="310"/>
      <c r="R287" s="114"/>
      <c r="S287" s="1089">
        <f>AY287-AS287</f>
        <v>310.14083333333332</v>
      </c>
      <c r="T287" s="1109"/>
      <c r="U287" s="1131">
        <f>S287/L287</f>
        <v>0.5952799104286628</v>
      </c>
      <c r="V287" s="114"/>
      <c r="W287" s="1144">
        <f>(U287/U280-1)*100</f>
        <v>-19.397994212568737</v>
      </c>
      <c r="X287" s="246"/>
      <c r="Y287" s="114"/>
      <c r="Z287" s="1047">
        <v>3569</v>
      </c>
      <c r="AA287" s="1057"/>
      <c r="AB287" s="1127">
        <f>AVERAGE(Z287,Z286)</f>
        <v>3560.5</v>
      </c>
      <c r="AC287" s="114"/>
      <c r="AD287" s="1128">
        <f>(Z287/Z280-1)*100</f>
        <v>6.9203115638106549</v>
      </c>
      <c r="AE287" s="246"/>
      <c r="AF287" s="1144">
        <f>+H287/AD287*100</f>
        <v>167.82416617825402</v>
      </c>
      <c r="AG287" s="310"/>
      <c r="AH287" s="114"/>
      <c r="AI287" s="1132">
        <f>+S287</f>
        <v>310.14083333333332</v>
      </c>
      <c r="AJ287" s="114"/>
      <c r="AK287" s="1106">
        <f>AI287/AB287*1000</f>
        <v>87.105977624865417</v>
      </c>
      <c r="AL287" s="114"/>
      <c r="AM287" s="1126">
        <f>(AK287/AK280-1)*100</f>
        <v>-21.118781080075909</v>
      </c>
      <c r="AN287" s="246"/>
      <c r="AO287" s="246"/>
      <c r="AP287" s="246"/>
      <c r="AQ287" s="246"/>
      <c r="AR287" s="246"/>
      <c r="AS287" s="1100">
        <f>qtrSales!$AS$120*(AV287/100)</f>
        <v>23.259166666666673</v>
      </c>
      <c r="AT287" s="114" t="s">
        <v>718</v>
      </c>
      <c r="AU287" s="1100">
        <f>(AS287/AS280-1)*100</f>
        <v>8.8097243013972371</v>
      </c>
      <c r="AV287" s="1101">
        <f>+AV280+0.5</f>
        <v>32.5</v>
      </c>
      <c r="AW287" s="114"/>
      <c r="AX287" s="310"/>
      <c r="AY287" s="1102">
        <v>333.4</v>
      </c>
      <c r="AZ287" s="1103">
        <f>AY287/AY280-1</f>
        <v>-0.13093571687376671</v>
      </c>
      <c r="BA287" s="114"/>
      <c r="BB287" s="1143">
        <f>BH287</f>
        <v>14.978289265014153</v>
      </c>
      <c r="BC287" s="114"/>
      <c r="BD287" s="114"/>
      <c r="BE287" s="114"/>
      <c r="BF287" s="114"/>
      <c r="BG287" s="1163"/>
      <c r="BH287" s="1206">
        <f>+BR286*BI6</f>
        <v>14.978289265014153</v>
      </c>
      <c r="BI287" s="1150"/>
      <c r="BJ287" s="114"/>
      <c r="BK287" s="1238" t="s">
        <v>327</v>
      </c>
      <c r="BL287" s="332">
        <v>31.5</v>
      </c>
      <c r="BM287" s="332">
        <v>24</v>
      </c>
      <c r="BN287" s="310">
        <v>27.5</v>
      </c>
      <c r="BO287" s="1254">
        <v>19</v>
      </c>
      <c r="BP287" s="1254">
        <f>32.4-BQ287</f>
        <v>27</v>
      </c>
      <c r="BQ287" s="310">
        <v>5.4</v>
      </c>
      <c r="BR287" s="310">
        <v>39</v>
      </c>
      <c r="BS287" s="310">
        <v>12</v>
      </c>
      <c r="BT287" s="310">
        <v>19</v>
      </c>
      <c r="BU287" s="304">
        <v>20</v>
      </c>
      <c r="BV287" s="310">
        <v>14</v>
      </c>
      <c r="BW287" s="310">
        <v>24</v>
      </c>
      <c r="BX287" s="310">
        <v>12</v>
      </c>
      <c r="BY287" s="310">
        <v>20</v>
      </c>
      <c r="BZ287" s="310">
        <v>12</v>
      </c>
      <c r="CA287" s="310">
        <v>20</v>
      </c>
      <c r="CB287" s="310">
        <v>24</v>
      </c>
      <c r="CC287" s="310">
        <v>20</v>
      </c>
      <c r="CD287" s="1240">
        <v>12</v>
      </c>
      <c r="CE287" s="1238">
        <v>20</v>
      </c>
      <c r="CF287" s="310">
        <v>20</v>
      </c>
      <c r="CG287" s="310">
        <v>20</v>
      </c>
      <c r="CH287" s="310">
        <v>20</v>
      </c>
      <c r="CI287" s="310">
        <v>20</v>
      </c>
      <c r="CJ287" s="310">
        <v>20</v>
      </c>
      <c r="CK287" s="310">
        <v>20</v>
      </c>
      <c r="CL287" s="310">
        <v>20</v>
      </c>
      <c r="CM287" s="310">
        <v>20</v>
      </c>
      <c r="CN287" s="1240">
        <v>20</v>
      </c>
    </row>
    <row r="288" spans="1:92" ht="13.5" hidden="1" outlineLevel="1" thickBot="1">
      <c r="A288" s="114" t="s">
        <v>118</v>
      </c>
      <c r="B288" s="245" t="s">
        <v>100</v>
      </c>
      <c r="C288" s="114"/>
      <c r="D288" s="1045">
        <f>(S288/S281-1)*100</f>
        <v>-7.8972775846813503</v>
      </c>
      <c r="E288" s="114"/>
      <c r="F288" s="1104">
        <v>-19</v>
      </c>
      <c r="G288" s="114"/>
      <c r="H288" s="1144">
        <f>D288-F288</f>
        <v>11.102722415318649</v>
      </c>
      <c r="I288" s="114"/>
      <c r="J288" s="1063">
        <f>squft!$CA$33</f>
        <v>525</v>
      </c>
      <c r="K288" s="1047">
        <f>J288-J287</f>
        <v>3</v>
      </c>
      <c r="L288" s="1108">
        <f>AVERAGE(J288,J287)</f>
        <v>523.5</v>
      </c>
      <c r="M288" s="114"/>
      <c r="N288" s="1107">
        <f>(L288/L281-1)*100</f>
        <v>3.2544378698224907</v>
      </c>
      <c r="O288" s="246"/>
      <c r="P288" s="1064">
        <f>H288/N288*100</f>
        <v>341.15637967069972</v>
      </c>
      <c r="Q288" s="310"/>
      <c r="R288" s="114"/>
      <c r="S288" s="1092">
        <f>AY288-AS288</f>
        <v>376.8125</v>
      </c>
      <c r="T288" s="1109"/>
      <c r="U288" s="1133">
        <f>S288/L288</f>
        <v>0.71979465138490928</v>
      </c>
      <c r="V288" s="114"/>
      <c r="W288" s="1104">
        <f>(U288/U281-1)*100</f>
        <v>-10.800228720980787</v>
      </c>
      <c r="X288" s="246"/>
      <c r="Y288" s="114"/>
      <c r="Z288" s="1063">
        <f>squft!$CC$33</f>
        <v>3597.4639999999999</v>
      </c>
      <c r="AA288" s="1057"/>
      <c r="AB288" s="1110">
        <f>AVERAGE(Z288,Z287)</f>
        <v>3583.232</v>
      </c>
      <c r="AC288" s="114"/>
      <c r="AD288" s="1107">
        <f>(Z288/Z281-1)*100</f>
        <v>3.5550166898678182</v>
      </c>
      <c r="AE288" s="246"/>
      <c r="AF288" s="1104">
        <f>+H288/AD288*100</f>
        <v>312.31140058955577</v>
      </c>
      <c r="AG288" s="310"/>
      <c r="AH288" s="114"/>
      <c r="AI288" s="1111">
        <f>+S288</f>
        <v>376.8125</v>
      </c>
      <c r="AJ288" s="114"/>
      <c r="AK288" s="1135">
        <f>AI288/AB288*1000</f>
        <v>105.15995056976494</v>
      </c>
      <c r="AL288" s="114"/>
      <c r="AM288" s="1134">
        <f>(AK288/AK281-1)*100</f>
        <v>-12.453278298036007</v>
      </c>
      <c r="AN288" s="246"/>
      <c r="AO288" s="246"/>
      <c r="AP288" s="246"/>
      <c r="AQ288" s="246"/>
      <c r="AR288" s="246"/>
      <c r="AS288" s="1136">
        <f>qtrSales!$AS$121*(AV288/100)</f>
        <v>40.287500000000001</v>
      </c>
      <c r="AT288" s="1042" t="s">
        <v>718</v>
      </c>
      <c r="AU288" s="1136">
        <f>(AS288/AS281-1)*100</f>
        <v>-0.47062601907207346</v>
      </c>
      <c r="AV288" s="1137">
        <f>+AV281+0.5</f>
        <v>37.5</v>
      </c>
      <c r="AW288" s="114"/>
      <c r="AX288" s="310"/>
      <c r="AY288" s="1145">
        <v>417.1</v>
      </c>
      <c r="AZ288" s="1138">
        <f>AY288/AY281-1</f>
        <v>-7.2286476868327454E-2</v>
      </c>
      <c r="BA288" s="114"/>
      <c r="BB288" s="1143">
        <f>BH288</f>
        <v>18.856058800262765</v>
      </c>
      <c r="BC288" s="114"/>
      <c r="BD288" s="114"/>
      <c r="BE288" s="114"/>
      <c r="BF288" s="114"/>
      <c r="BG288" s="1163"/>
      <c r="BH288" s="1207">
        <f>+BR286*BI7</f>
        <v>18.856058800262765</v>
      </c>
      <c r="BI288" s="1150"/>
      <c r="BJ288" s="114"/>
      <c r="BK288" s="1255" t="s">
        <v>316</v>
      </c>
      <c r="BL288" s="1256">
        <f>BL286/BL287</f>
        <v>3.4920634920634921</v>
      </c>
      <c r="BM288" s="1256">
        <f>BM286/BM287</f>
        <v>3.3333333333333335</v>
      </c>
      <c r="BN288" s="1257">
        <v>4</v>
      </c>
      <c r="BO288" s="1257">
        <v>1.5</v>
      </c>
      <c r="BP288" s="1257">
        <f>+BO288</f>
        <v>1.5</v>
      </c>
      <c r="BQ288" s="1257">
        <f>BP288</f>
        <v>1.5</v>
      </c>
      <c r="BR288" s="1257">
        <v>1.5</v>
      </c>
      <c r="BS288" s="1257">
        <v>2.5</v>
      </c>
      <c r="BT288" s="1257">
        <v>2</v>
      </c>
      <c r="BU288" s="1257">
        <f t="shared" ref="BU288:CD288" si="13">+BU286/BU287</f>
        <v>3.5</v>
      </c>
      <c r="BV288" s="1257">
        <f t="shared" si="13"/>
        <v>1.6071428571428572</v>
      </c>
      <c r="BW288" s="1257">
        <f t="shared" si="13"/>
        <v>1.25</v>
      </c>
      <c r="BX288" s="1257">
        <f t="shared" si="13"/>
        <v>1.4583333333333333</v>
      </c>
      <c r="BY288" s="1257">
        <f t="shared" si="13"/>
        <v>1.25</v>
      </c>
      <c r="BZ288" s="1257">
        <f t="shared" si="13"/>
        <v>1.25</v>
      </c>
      <c r="CA288" s="1257">
        <f t="shared" si="13"/>
        <v>1.25</v>
      </c>
      <c r="CB288" s="1257">
        <f t="shared" si="13"/>
        <v>1.25</v>
      </c>
      <c r="CC288" s="1257">
        <f t="shared" si="13"/>
        <v>1.375</v>
      </c>
      <c r="CD288" s="1258">
        <f t="shared" si="13"/>
        <v>1.5</v>
      </c>
      <c r="CE288" s="1259">
        <v>1.75</v>
      </c>
      <c r="CF288" s="1257">
        <v>1.75</v>
      </c>
      <c r="CG288" s="1257">
        <v>1.75</v>
      </c>
      <c r="CH288" s="1257">
        <v>1.75</v>
      </c>
      <c r="CI288" s="1257">
        <v>1.75</v>
      </c>
      <c r="CJ288" s="1257">
        <v>1.75</v>
      </c>
      <c r="CK288" s="1257">
        <v>1.75</v>
      </c>
      <c r="CL288" s="1257">
        <v>1.75</v>
      </c>
      <c r="CM288" s="1257">
        <v>1.75</v>
      </c>
      <c r="CN288" s="1258">
        <v>1.75</v>
      </c>
    </row>
    <row r="289" spans="1:85" hidden="1" outlineLevel="1">
      <c r="A289" s="114"/>
      <c r="B289" s="245" t="s">
        <v>119</v>
      </c>
      <c r="C289" s="114"/>
      <c r="D289" s="1123">
        <f>(S289/S282-1)*100</f>
        <v>-15.664011619058304</v>
      </c>
      <c r="E289" s="114"/>
      <c r="F289" s="1139">
        <v>-27</v>
      </c>
      <c r="G289" s="114"/>
      <c r="H289" s="1126">
        <f>D289-F289</f>
        <v>11.335988380941696</v>
      </c>
      <c r="I289" s="114"/>
      <c r="J289" s="114"/>
      <c r="K289" s="114"/>
      <c r="L289" s="1122">
        <f>AVERAGE(L285:L288)</f>
        <v>519.25</v>
      </c>
      <c r="M289" s="114"/>
      <c r="N289" s="1123">
        <f>(L289/L282-1)*100</f>
        <v>7.9802443462438255</v>
      </c>
      <c r="O289" s="246"/>
      <c r="P289" s="1049">
        <f>H289/N289*100</f>
        <v>142.05064267583944</v>
      </c>
      <c r="Q289" s="310"/>
      <c r="R289" s="114"/>
      <c r="S289" s="1095">
        <f>SUM(S285:S288)</f>
        <v>1187.6708333333333</v>
      </c>
      <c r="T289" s="114"/>
      <c r="U289" s="1125">
        <f>SUM(U285:U288)</f>
        <v>2.2849595109247769</v>
      </c>
      <c r="V289" s="114"/>
      <c r="W289" s="1144">
        <f>(U289/U282-1)*100</f>
        <v>-21.771084537873499</v>
      </c>
      <c r="X289" s="246"/>
      <c r="Y289" s="114"/>
      <c r="Z289" s="114"/>
      <c r="AA289" s="114"/>
      <c r="AB289" s="1127">
        <f>AVERAGE(AB285:AB288)</f>
        <v>3532.9285</v>
      </c>
      <c r="AC289" s="114"/>
      <c r="AD289" s="1103">
        <f>Z288/Z281-1</f>
        <v>3.5550166898678182E-2</v>
      </c>
      <c r="AE289" s="246"/>
      <c r="AF289" s="1144">
        <f>+H289/AD289*100</f>
        <v>31887.300032234696</v>
      </c>
      <c r="AG289" s="310"/>
      <c r="AH289" s="114"/>
      <c r="AI289" s="1129">
        <f>SUM(AI285:AI288)</f>
        <v>1187.6708333333333</v>
      </c>
      <c r="AJ289" s="114"/>
      <c r="AK289" s="1097">
        <f>SUM(AK285:AK288)</f>
        <v>335.56714027816702</v>
      </c>
      <c r="AL289" s="114"/>
      <c r="AM289" s="1126">
        <f>(AK289/AK282-1)*100</f>
        <v>-23.052089945034236</v>
      </c>
      <c r="AN289" s="246"/>
      <c r="AO289" s="246"/>
      <c r="AP289" s="246"/>
      <c r="AQ289" s="246"/>
      <c r="AR289" s="246"/>
      <c r="AS289" s="1100">
        <f>SUM(AS285:AS288)</f>
        <v>99.529166666666669</v>
      </c>
      <c r="AT289" s="114" t="s">
        <v>718</v>
      </c>
      <c r="AU289" s="1100">
        <f>(AS289/AS282-1)*100</f>
        <v>-6.0247694583451361</v>
      </c>
      <c r="AV289" s="1124">
        <f>(AS289/qtrSales!AS$122)*100</f>
        <v>34.308571756865447</v>
      </c>
      <c r="AW289" s="114"/>
      <c r="AX289" s="310"/>
      <c r="AY289" s="1142">
        <f>SUM(AY285:AY288)</f>
        <v>1287.2</v>
      </c>
      <c r="AZ289" s="1103">
        <f>AY289/AY282-1</f>
        <v>-0.14991639171472271</v>
      </c>
      <c r="BA289" s="114"/>
      <c r="BB289" s="1129"/>
      <c r="BC289" s="114"/>
      <c r="BD289" s="114"/>
      <c r="BE289" s="114"/>
      <c r="BF289" s="114"/>
      <c r="BG289" s="1217"/>
      <c r="BH289" s="1170">
        <f>SUM(BH286:BH288)</f>
        <v>36.33434806527692</v>
      </c>
      <c r="BI289" s="1150"/>
      <c r="BJ289" s="114"/>
      <c r="BK289" s="114"/>
      <c r="BL289" s="114"/>
      <c r="BM289" s="114"/>
      <c r="BN289" s="114"/>
      <c r="BO289" s="114"/>
      <c r="BP289" s="114"/>
      <c r="BQ289" s="114"/>
      <c r="BR289" s="114"/>
      <c r="BS289" s="114"/>
      <c r="BT289" s="114"/>
      <c r="BU289" s="114"/>
      <c r="BV289" s="114"/>
      <c r="BW289" s="114"/>
      <c r="BX289" s="114"/>
      <c r="BY289" s="114"/>
      <c r="BZ289" s="114"/>
      <c r="CA289" s="114"/>
      <c r="CB289" s="114"/>
      <c r="CC289" s="114"/>
      <c r="CD289" s="114"/>
      <c r="CE289" s="114"/>
      <c r="CF289" s="114"/>
      <c r="CG289" s="114"/>
    </row>
    <row r="290" spans="1:85" hidden="1" outlineLevel="1">
      <c r="A290" s="114"/>
      <c r="B290" s="245"/>
      <c r="C290" s="114"/>
      <c r="D290" s="1123"/>
      <c r="E290" s="114"/>
      <c r="F290" s="1139"/>
      <c r="G290" s="114"/>
      <c r="H290" s="1126"/>
      <c r="I290" s="114"/>
      <c r="J290" s="114"/>
      <c r="K290" s="114"/>
      <c r="L290" s="1122"/>
      <c r="M290" s="114"/>
      <c r="N290" s="1123"/>
      <c r="O290" s="246"/>
      <c r="P290" s="1049"/>
      <c r="Q290" s="310"/>
      <c r="R290" s="114"/>
      <c r="S290" s="1260"/>
      <c r="T290" s="114"/>
      <c r="U290" s="1125"/>
      <c r="V290" s="114"/>
      <c r="W290" s="1144"/>
      <c r="X290" s="246"/>
      <c r="Y290" s="114"/>
      <c r="Z290" s="114"/>
      <c r="AA290" s="114"/>
      <c r="AB290" s="1127"/>
      <c r="AC290" s="114"/>
      <c r="AD290" s="1103"/>
      <c r="AE290" s="246"/>
      <c r="AF290" s="1144"/>
      <c r="AG290" s="310"/>
      <c r="AH290" s="114"/>
      <c r="AI290" s="1129"/>
      <c r="AJ290" s="114"/>
      <c r="AK290" s="1097"/>
      <c r="AL290" s="114"/>
      <c r="AM290" s="1126"/>
      <c r="AN290" s="246"/>
      <c r="AO290" s="246"/>
      <c r="AP290" s="246"/>
      <c r="AQ290" s="246"/>
      <c r="AR290" s="246"/>
      <c r="AS290" s="1100"/>
      <c r="AT290" s="114"/>
      <c r="AU290" s="1100"/>
      <c r="AV290" s="1124"/>
      <c r="AW290" s="114"/>
      <c r="AX290" s="310"/>
      <c r="AY290" s="1142"/>
      <c r="AZ290" s="1103"/>
      <c r="BA290" s="114"/>
      <c r="BB290" s="1129"/>
      <c r="BC290" s="114"/>
      <c r="BD290" s="114"/>
      <c r="BE290" s="114"/>
      <c r="BF290" s="114"/>
      <c r="BG290" s="1170"/>
      <c r="BH290" s="1170"/>
      <c r="BI290" s="1150"/>
      <c r="BJ290" s="114"/>
      <c r="BK290" s="114"/>
      <c r="BL290" s="114"/>
      <c r="BM290" s="114">
        <f>AVERAGE(BM287,BN287,BO287,BP287)</f>
        <v>24.375</v>
      </c>
      <c r="BN290" s="114"/>
      <c r="BO290" s="114"/>
      <c r="BP290" s="114"/>
      <c r="BQ290" s="114"/>
      <c r="BR290" s="1239"/>
      <c r="BS290" s="1239"/>
      <c r="BT290" s="114"/>
      <c r="BU290" s="114"/>
      <c r="BV290" s="114"/>
      <c r="BW290" s="114"/>
      <c r="BX290" s="114"/>
      <c r="BY290" s="114"/>
      <c r="BZ290" s="114"/>
      <c r="CA290" s="114"/>
      <c r="CB290" s="114"/>
      <c r="CC290" s="114"/>
      <c r="CD290" s="114"/>
      <c r="CE290" s="114"/>
      <c r="CF290" s="114"/>
      <c r="CG290" s="114"/>
    </row>
    <row r="291" spans="1:85" hidden="1" outlineLevel="1">
      <c r="A291" s="1120"/>
      <c r="B291" s="1113">
        <v>2010</v>
      </c>
      <c r="C291" s="114"/>
      <c r="D291" s="114"/>
      <c r="E291" s="246"/>
      <c r="F291" s="114"/>
      <c r="G291" s="246"/>
      <c r="H291" s="114"/>
      <c r="I291" s="246"/>
      <c r="J291" s="114"/>
      <c r="K291" s="114"/>
      <c r="L291" s="246"/>
      <c r="M291" s="114"/>
      <c r="N291" s="246"/>
      <c r="O291" s="246"/>
      <c r="P291" s="310"/>
      <c r="Q291" s="310"/>
      <c r="R291" s="114"/>
      <c r="S291" s="1103"/>
      <c r="T291" s="114"/>
      <c r="U291" s="1237"/>
      <c r="V291" s="114"/>
      <c r="W291" s="114"/>
      <c r="X291" s="246"/>
      <c r="Y291" s="114"/>
      <c r="Z291" s="114"/>
      <c r="AA291" s="114"/>
      <c r="AB291" s="114"/>
      <c r="AC291" s="114"/>
      <c r="AD291" s="114"/>
      <c r="AE291" s="246"/>
      <c r="AF291" s="250"/>
      <c r="AG291" s="310"/>
      <c r="AH291" s="114"/>
      <c r="AI291" s="114"/>
      <c r="AJ291" s="114"/>
      <c r="AK291" s="246"/>
      <c r="AL291" s="114"/>
      <c r="AM291" s="246"/>
      <c r="AN291" s="246"/>
      <c r="AO291" s="246"/>
      <c r="AP291" s="246"/>
      <c r="AQ291" s="246"/>
      <c r="AR291" s="246"/>
      <c r="AS291" s="114"/>
      <c r="AT291" s="114"/>
      <c r="AU291" s="114"/>
      <c r="AV291" s="1121" t="s">
        <v>76</v>
      </c>
      <c r="AW291" s="114"/>
      <c r="AX291" s="310"/>
      <c r="AY291" s="114"/>
      <c r="AZ291" s="246"/>
      <c r="BA291" s="114"/>
      <c r="BB291" s="1129"/>
      <c r="BC291" s="114"/>
      <c r="BD291" s="114"/>
      <c r="BE291" s="114"/>
      <c r="BF291" s="114"/>
      <c r="BG291" s="1170" t="s">
        <v>573</v>
      </c>
      <c r="BH291" s="246" t="s">
        <v>324</v>
      </c>
      <c r="BI291" s="1150"/>
      <c r="BJ291" s="114"/>
      <c r="BK291" s="114"/>
      <c r="BL291" s="114"/>
      <c r="BM291" s="1261">
        <f>BM286+BN286+BP286</f>
        <v>195</v>
      </c>
      <c r="BN291" s="114"/>
      <c r="BO291" s="114"/>
      <c r="BP291" s="114"/>
      <c r="BQ291" s="114"/>
      <c r="BR291" s="1239"/>
      <c r="BS291" s="1239"/>
      <c r="BT291" s="114"/>
      <c r="BU291" s="114"/>
      <c r="BV291" s="114"/>
      <c r="BW291" s="114"/>
      <c r="BX291" s="114"/>
      <c r="BY291" s="114"/>
      <c r="BZ291" s="114"/>
      <c r="CA291" s="114"/>
      <c r="CB291" s="114"/>
      <c r="CC291" s="114"/>
      <c r="CD291" s="114"/>
      <c r="CE291" s="114"/>
      <c r="CF291" s="114"/>
      <c r="CG291" s="114"/>
    </row>
    <row r="292" spans="1:85" hidden="1" outlineLevel="1">
      <c r="A292" s="114" t="s">
        <v>115</v>
      </c>
      <c r="B292" s="245" t="s">
        <v>96</v>
      </c>
      <c r="C292" s="114"/>
      <c r="D292" s="1045">
        <f>(S292/S285-1)*100</f>
        <v>11.910406029662068</v>
      </c>
      <c r="E292" s="246" t="s">
        <v>76</v>
      </c>
      <c r="F292" s="1144">
        <v>-2</v>
      </c>
      <c r="G292" s="246" t="s">
        <v>76</v>
      </c>
      <c r="H292" s="1144">
        <f>D292-F292</f>
        <v>13.910406029662068</v>
      </c>
      <c r="I292" s="246" t="s">
        <v>76</v>
      </c>
      <c r="J292" s="1047">
        <f>507+21</f>
        <v>528</v>
      </c>
      <c r="K292" s="1063">
        <f>J292-J288</f>
        <v>3</v>
      </c>
      <c r="L292" s="1122">
        <f>AVERAGE(J292,J288)</f>
        <v>526.5</v>
      </c>
      <c r="M292" s="114"/>
      <c r="N292" s="1123">
        <f>(L292/L285-1)*100</f>
        <v>2.2330097087378542</v>
      </c>
      <c r="O292" s="246" t="s">
        <v>76</v>
      </c>
      <c r="P292" s="1049">
        <f>H292/N292*100</f>
        <v>622.94427002399971</v>
      </c>
      <c r="Q292" s="310" t="s">
        <v>76</v>
      </c>
      <c r="R292" s="114"/>
      <c r="S292" s="1050">
        <f>AY292-AS292</f>
        <v>276.17250000000001</v>
      </c>
      <c r="T292" s="1109"/>
      <c r="U292" s="1125">
        <f>S292/L292</f>
        <v>0.52454415954415956</v>
      </c>
      <c r="V292" s="114"/>
      <c r="W292" s="1144">
        <f>(U292/U285-1)*100</f>
        <v>9.4660191933066749</v>
      </c>
      <c r="X292" s="246" t="s">
        <v>76</v>
      </c>
      <c r="Y292" s="114"/>
      <c r="Z292" s="1047">
        <v>3615</v>
      </c>
      <c r="AA292" s="114"/>
      <c r="AB292" s="1127">
        <f>AVERAGE(Z292,Z288)</f>
        <v>3606.232</v>
      </c>
      <c r="AC292" s="114"/>
      <c r="AD292" s="1128">
        <f>(Z292/Z285-1)*100</f>
        <v>4.0287769784172589</v>
      </c>
      <c r="AE292" s="246" t="s">
        <v>76</v>
      </c>
      <c r="AF292" s="1144">
        <f>+H292/AD292*100</f>
        <v>345.27614966482696</v>
      </c>
      <c r="AG292" s="310" t="s">
        <v>76</v>
      </c>
      <c r="AH292" s="114"/>
      <c r="AI292" s="1129">
        <f>+S292</f>
        <v>276.17250000000001</v>
      </c>
      <c r="AJ292" s="114"/>
      <c r="AK292" s="1097">
        <f>AI292/AB292*1000</f>
        <v>76.582011362552379</v>
      </c>
      <c r="AL292" s="114"/>
      <c r="AM292" s="1126">
        <f>(AK292/AK285-1)*100</f>
        <v>7.8218737348989986</v>
      </c>
      <c r="AN292" s="246" t="s">
        <v>76</v>
      </c>
      <c r="AO292" s="246"/>
      <c r="AP292" s="246"/>
      <c r="AQ292" s="246"/>
      <c r="AR292" s="246"/>
      <c r="AS292" s="1100">
        <f>qtrSales!AS125*(AV292/100)</f>
        <v>22.0275</v>
      </c>
      <c r="AT292" s="114" t="s">
        <v>718</v>
      </c>
      <c r="AU292" s="1100">
        <f>(AS292/AS285-1)*100</f>
        <v>41.021126760563376</v>
      </c>
      <c r="AV292" s="1101">
        <f>+AV285</f>
        <v>27.5</v>
      </c>
      <c r="AW292" s="114"/>
      <c r="AX292" s="310"/>
      <c r="AY292" s="1081">
        <v>298.2</v>
      </c>
      <c r="AZ292" s="1103">
        <f>AY292/AY285-1</f>
        <v>0.13643292682926833</v>
      </c>
      <c r="BA292" s="114"/>
      <c r="BB292" s="1129">
        <f>BI292</f>
        <v>11.977465809965649</v>
      </c>
      <c r="BC292" s="114"/>
      <c r="BD292" s="114"/>
      <c r="BE292" s="114"/>
      <c r="BF292" s="114"/>
      <c r="BG292" s="1262"/>
      <c r="BH292" s="1262">
        <f>BR286*BI4</f>
        <v>11.977465809965649</v>
      </c>
      <c r="BI292" s="1150">
        <f>SUM(BG292:BH292)</f>
        <v>11.977465809965649</v>
      </c>
      <c r="BJ292" s="114"/>
      <c r="BK292" s="114"/>
      <c r="BL292" s="114"/>
      <c r="BM292" s="114"/>
      <c r="BN292" s="114"/>
      <c r="BO292" s="114"/>
      <c r="BP292" s="114"/>
      <c r="BQ292" s="114"/>
      <c r="BR292" s="1251"/>
      <c r="BS292" s="1251"/>
      <c r="BT292" s="114"/>
      <c r="BU292" s="114"/>
      <c r="BV292" s="114"/>
      <c r="BW292" s="114"/>
      <c r="BX292" s="114"/>
      <c r="BY292" s="114"/>
      <c r="BZ292" s="114"/>
      <c r="CA292" s="114"/>
      <c r="CB292" s="114"/>
      <c r="CC292" s="114"/>
      <c r="CD292" s="114"/>
      <c r="CE292" s="114"/>
      <c r="CF292" s="114"/>
      <c r="CG292" s="114"/>
    </row>
    <row r="293" spans="1:85" hidden="1" outlineLevel="1">
      <c r="A293" s="114" t="s">
        <v>116</v>
      </c>
      <c r="B293" s="245" t="s">
        <v>97</v>
      </c>
      <c r="C293" s="114"/>
      <c r="D293" s="1045">
        <f>(S293/S286-1)*100</f>
        <v>15.067683977356626</v>
      </c>
      <c r="E293" s="114"/>
      <c r="F293" s="1144">
        <v>2</v>
      </c>
      <c r="G293" s="114"/>
      <c r="H293" s="1144">
        <f>D293-F293</f>
        <v>13.067683977356626</v>
      </c>
      <c r="I293" s="114"/>
      <c r="J293" s="1047">
        <f>528+2</f>
        <v>530</v>
      </c>
      <c r="K293" s="1063">
        <f>J293-J292</f>
        <v>2</v>
      </c>
      <c r="L293" s="1122">
        <f>AVERAGE(J293,J292)</f>
        <v>529</v>
      </c>
      <c r="M293" s="114"/>
      <c r="N293" s="1123">
        <f>(L293/L286-1)*100</f>
        <v>2.2222222222222143</v>
      </c>
      <c r="O293" s="246"/>
      <c r="P293" s="1049">
        <f>H293/N293*100</f>
        <v>588.04577898105026</v>
      </c>
      <c r="Q293" s="310"/>
      <c r="R293" s="114"/>
      <c r="S293" s="1089">
        <f>AY293-AS293</f>
        <v>292.2</v>
      </c>
      <c r="T293" s="1109"/>
      <c r="U293" s="1131">
        <f>S293/L293</f>
        <v>0.55236294896030247</v>
      </c>
      <c r="V293" s="114"/>
      <c r="W293" s="1144">
        <f>(U293/U286-1)*100</f>
        <v>12.566212586544534</v>
      </c>
      <c r="X293" s="246"/>
      <c r="Y293" s="114"/>
      <c r="Z293" s="1047">
        <v>3629</v>
      </c>
      <c r="AA293" s="1057"/>
      <c r="AB293" s="1127">
        <f>AVERAGE(Z293,Z292)</f>
        <v>3622</v>
      </c>
      <c r="AC293" s="114"/>
      <c r="AD293" s="1128">
        <f>(Z293/Z286-1)*100</f>
        <v>2.1677927927927998</v>
      </c>
      <c r="AE293" s="246"/>
      <c r="AF293" s="1144">
        <f>+H293/AD293*100</f>
        <v>602.81056477364393</v>
      </c>
      <c r="AG293" s="310"/>
      <c r="AH293" s="114"/>
      <c r="AI293" s="1132">
        <f>+S293</f>
        <v>292.2</v>
      </c>
      <c r="AJ293" s="114"/>
      <c r="AK293" s="1106">
        <f>AI293/AB293*1000</f>
        <v>80.673660960795132</v>
      </c>
      <c r="AL293" s="114"/>
      <c r="AM293" s="1126">
        <f>(AK293/AK286-1)*100</f>
        <v>11.62073651420279</v>
      </c>
      <c r="AN293" s="246"/>
      <c r="AO293" s="246"/>
      <c r="AP293" s="246"/>
      <c r="AQ293" s="246"/>
      <c r="AR293" s="246"/>
      <c r="AS293" s="1100">
        <f>qtrSales!AS126*(AV293/100)</f>
        <v>30</v>
      </c>
      <c r="AT293" s="114" t="s">
        <v>718</v>
      </c>
      <c r="AU293" s="1100">
        <f>(AS293/AS286-1)*100</f>
        <v>47.329650092081053</v>
      </c>
      <c r="AV293" s="1101">
        <f>+AV286</f>
        <v>37.5</v>
      </c>
      <c r="AW293" s="114"/>
      <c r="AX293" s="310"/>
      <c r="AY293" s="1102">
        <v>322.2</v>
      </c>
      <c r="AZ293" s="1103">
        <f>AY293/AY286-1</f>
        <v>0.17462632154575264</v>
      </c>
      <c r="BA293" s="114"/>
      <c r="BB293" s="1129">
        <f>BI293</f>
        <v>10.188186124757431</v>
      </c>
      <c r="BC293" s="1129"/>
      <c r="BD293" s="114"/>
      <c r="BE293" s="114"/>
      <c r="BF293" s="114"/>
      <c r="BG293" s="1263"/>
      <c r="BH293" s="1263">
        <f>+BR286-BH292-BH288-BH287-BH286</f>
        <v>10.188186124757431</v>
      </c>
      <c r="BI293" s="1150">
        <f>SUM(BG293:BH293)</f>
        <v>10.188186124757431</v>
      </c>
      <c r="BJ293" s="114"/>
      <c r="BK293" s="114"/>
      <c r="BL293" s="114"/>
      <c r="BM293" s="114"/>
      <c r="BN293" s="114"/>
      <c r="BO293" s="114"/>
      <c r="BP293" s="114"/>
      <c r="BQ293" s="114"/>
      <c r="BR293" s="310"/>
      <c r="BS293" s="310"/>
      <c r="BT293" s="114"/>
      <c r="BU293" s="114"/>
      <c r="BV293" s="114"/>
      <c r="BW293" s="114"/>
      <c r="BX293" s="114"/>
      <c r="BY293" s="114"/>
      <c r="BZ293" s="114"/>
      <c r="CA293" s="114"/>
      <c r="CB293" s="114"/>
      <c r="CC293" s="114"/>
      <c r="CD293" s="114"/>
      <c r="CE293" s="114"/>
      <c r="CF293" s="114"/>
      <c r="CG293" s="114"/>
    </row>
    <row r="294" spans="1:85" hidden="1" outlineLevel="1">
      <c r="A294" s="114" t="s">
        <v>117</v>
      </c>
      <c r="B294" s="245" t="s">
        <v>99</v>
      </c>
      <c r="C294" s="114"/>
      <c r="D294" s="1045">
        <f>(S294/S287-1)*100</f>
        <v>16.705045288565135</v>
      </c>
      <c r="E294" s="114"/>
      <c r="F294" s="1144">
        <v>7</v>
      </c>
      <c r="G294" s="114"/>
      <c r="H294" s="1144">
        <f>D294-F294</f>
        <v>9.7050452885651346</v>
      </c>
      <c r="I294" s="114"/>
      <c r="J294" s="1047">
        <v>537</v>
      </c>
      <c r="K294" s="1063">
        <f>J294-J293</f>
        <v>7</v>
      </c>
      <c r="L294" s="1122">
        <f>AVERAGE(J294,J293)</f>
        <v>533.5</v>
      </c>
      <c r="M294" s="114"/>
      <c r="N294" s="1123">
        <f>(L294/L287-1)*100</f>
        <v>2.399232245681393</v>
      </c>
      <c r="O294" s="246"/>
      <c r="P294" s="1049">
        <f>H294/N294*100</f>
        <v>404.50628762739296</v>
      </c>
      <c r="Q294" s="310"/>
      <c r="R294" s="114"/>
      <c r="S294" s="1089">
        <f>AY294-AS294</f>
        <v>361.95</v>
      </c>
      <c r="T294" s="1109"/>
      <c r="U294" s="1131">
        <f>S294/L294</f>
        <v>0.67844423617619487</v>
      </c>
      <c r="V294" s="114"/>
      <c r="W294" s="1144">
        <f>(U294/U287-1)*100</f>
        <v>13.970625295862105</v>
      </c>
      <c r="X294" s="246"/>
      <c r="Y294" s="114"/>
      <c r="Z294" s="1047">
        <v>3684</v>
      </c>
      <c r="AA294" s="1057"/>
      <c r="AB294" s="1127">
        <f>AVERAGE(Z294,Z293)</f>
        <v>3656.5</v>
      </c>
      <c r="AC294" s="114"/>
      <c r="AD294" s="1128">
        <f>(Z294/Z287-1)*100</f>
        <v>3.222191089941151</v>
      </c>
      <c r="AE294" s="246"/>
      <c r="AF294" s="1144">
        <f>+H294/AD294*100</f>
        <v>301.19397073816577</v>
      </c>
      <c r="AG294" s="310"/>
      <c r="AH294" s="114"/>
      <c r="AI294" s="1132">
        <f>+S294</f>
        <v>361.95</v>
      </c>
      <c r="AJ294" s="114"/>
      <c r="AK294" s="1106">
        <f>AI294/AB294*1000</f>
        <v>98.988103377546835</v>
      </c>
      <c r="AL294" s="114"/>
      <c r="AM294" s="1126">
        <f>(AK294/AK287-1)*100</f>
        <v>13.640999247897234</v>
      </c>
      <c r="AN294" s="246"/>
      <c r="AO294" s="246"/>
      <c r="AP294" s="246"/>
      <c r="AQ294" s="246"/>
      <c r="AR294" s="246"/>
      <c r="AS294" s="1100">
        <f>qtrSales!AS127*(AV294/100)</f>
        <v>30.55</v>
      </c>
      <c r="AT294" s="114" t="s">
        <v>718</v>
      </c>
      <c r="AU294" s="1100">
        <f>(AS294/AS287-1)*100</f>
        <v>31.346064275733543</v>
      </c>
      <c r="AV294" s="1101">
        <f>+AV287</f>
        <v>32.5</v>
      </c>
      <c r="AW294" s="114"/>
      <c r="AX294" s="310"/>
      <c r="AY294" s="1102">
        <v>392.5</v>
      </c>
      <c r="AZ294" s="1103">
        <f>AY294/AY287-1</f>
        <v>0.17726454709058204</v>
      </c>
      <c r="BA294" s="114"/>
      <c r="BB294" s="1129">
        <f>BI294</f>
        <v>0</v>
      </c>
      <c r="BC294" s="114"/>
      <c r="BD294" s="114"/>
      <c r="BE294" s="114"/>
      <c r="BF294" s="114"/>
      <c r="BG294" s="1263"/>
      <c r="BH294" s="1263"/>
      <c r="BI294" s="1150">
        <f>SUM(BG294:BH294)</f>
        <v>0</v>
      </c>
      <c r="BJ294" s="114"/>
      <c r="BK294" s="114"/>
      <c r="BL294" s="114"/>
      <c r="BM294" s="114"/>
      <c r="BN294" s="114"/>
      <c r="BO294" s="114"/>
      <c r="BP294" s="114"/>
      <c r="BQ294" s="114"/>
      <c r="BR294" s="1264"/>
      <c r="BS294" s="1264"/>
      <c r="BT294" s="114"/>
      <c r="BU294" s="114"/>
      <c r="BV294" s="114"/>
      <c r="BW294" s="114"/>
      <c r="BX294" s="114"/>
      <c r="BY294" s="114"/>
      <c r="BZ294" s="114"/>
      <c r="CA294" s="114"/>
      <c r="CB294" s="114"/>
      <c r="CC294" s="114"/>
      <c r="CD294" s="114"/>
      <c r="CE294" s="114"/>
      <c r="CF294" s="114"/>
      <c r="CG294" s="114"/>
    </row>
    <row r="295" spans="1:85" hidden="1" outlineLevel="1">
      <c r="A295" s="114" t="s">
        <v>118</v>
      </c>
      <c r="B295" s="245" t="s">
        <v>100</v>
      </c>
      <c r="C295" s="114"/>
      <c r="D295" s="1061">
        <f>(S295/S288-1)*100</f>
        <v>28.26339359761154</v>
      </c>
      <c r="E295" s="114"/>
      <c r="F295" s="1104">
        <v>13</v>
      </c>
      <c r="G295" s="114"/>
      <c r="H295" s="1104">
        <f>D295-F295</f>
        <v>15.26339359761154</v>
      </c>
      <c r="I295" s="114"/>
      <c r="J295" s="1063">
        <f>squft!$CE$33</f>
        <v>540</v>
      </c>
      <c r="K295" s="1063">
        <f>J295-J294</f>
        <v>3</v>
      </c>
      <c r="L295" s="1108">
        <f>AVERAGE(J295,J294)</f>
        <v>538.5</v>
      </c>
      <c r="M295" s="114"/>
      <c r="N295" s="1107">
        <f>(L295/L288-1)*100</f>
        <v>2.8653295128939771</v>
      </c>
      <c r="O295" s="246"/>
      <c r="P295" s="1064">
        <f>H295/N295*100</f>
        <v>532.69243655664377</v>
      </c>
      <c r="Q295" s="310"/>
      <c r="R295" s="114"/>
      <c r="S295" s="1092">
        <f>AY295-AS295</f>
        <v>483.3125</v>
      </c>
      <c r="T295" s="1109"/>
      <c r="U295" s="1133">
        <f>S295/L295</f>
        <v>0.89751624883936865</v>
      </c>
      <c r="V295" s="114"/>
      <c r="W295" s="1104">
        <f>(U295/U288-1)*100</f>
        <v>24.690597118569446</v>
      </c>
      <c r="X295" s="246"/>
      <c r="Y295" s="114"/>
      <c r="Z295" s="1063">
        <f>squft!$CG$33</f>
        <v>3739.4639999999999</v>
      </c>
      <c r="AA295" s="1057"/>
      <c r="AB295" s="1110">
        <f>AVERAGE(Z295,Z294)</f>
        <v>3711.732</v>
      </c>
      <c r="AC295" s="114"/>
      <c r="AD295" s="1107">
        <f>(Z295/Z288-1)*100</f>
        <v>3.9472250451985103</v>
      </c>
      <c r="AE295" s="246"/>
      <c r="AF295" s="1104">
        <f>+H295/AD295*100</f>
        <v>386.68668299463343</v>
      </c>
      <c r="AG295" s="310"/>
      <c r="AH295" s="114"/>
      <c r="AI295" s="1111">
        <f>+S295</f>
        <v>483.3125</v>
      </c>
      <c r="AJ295" s="114"/>
      <c r="AK295" s="1135">
        <f>AI295/AB295*1000</f>
        <v>130.21212199587686</v>
      </c>
      <c r="AL295" s="114"/>
      <c r="AM295" s="1134">
        <f>(AK295/AK288-1)*100</f>
        <v>23.822920503839406</v>
      </c>
      <c r="AN295" s="246"/>
      <c r="AO295" s="246"/>
      <c r="AP295" s="246"/>
      <c r="AQ295" s="246"/>
      <c r="AR295" s="246"/>
      <c r="AS295" s="1100">
        <f>qtrSales!AS128*(AV295/100)</f>
        <v>56.587499999999991</v>
      </c>
      <c r="AT295" s="1042" t="s">
        <v>718</v>
      </c>
      <c r="AU295" s="1136">
        <f>(AS295/AS288-1)*100</f>
        <v>40.459199503568087</v>
      </c>
      <c r="AV295" s="1137">
        <f>+AV288</f>
        <v>37.5</v>
      </c>
      <c r="AW295" s="114"/>
      <c r="AX295" s="310"/>
      <c r="AY295" s="1145">
        <v>539.9</v>
      </c>
      <c r="AZ295" s="1138">
        <f>AY295/AY288-1</f>
        <v>0.29441380963797648</v>
      </c>
      <c r="BA295" s="114"/>
      <c r="BB295" s="1129">
        <f>BI295</f>
        <v>9.6697737437244964</v>
      </c>
      <c r="BC295" s="114"/>
      <c r="BD295" s="114"/>
      <c r="BE295" s="114"/>
      <c r="BF295" s="114"/>
      <c r="BG295" s="1265">
        <f>$BG$296*BI7</f>
        <v>9.6697737437244964</v>
      </c>
      <c r="BH295" s="1265"/>
      <c r="BI295" s="1150">
        <f>SUM(BG295:BH295)</f>
        <v>9.6697737437244964</v>
      </c>
      <c r="BJ295" s="114"/>
      <c r="BK295" s="114"/>
      <c r="BL295" s="114"/>
      <c r="BM295" s="114"/>
      <c r="BN295" s="114"/>
      <c r="BO295" s="114"/>
      <c r="BP295" s="114"/>
      <c r="BQ295" s="114"/>
      <c r="BR295" s="114"/>
      <c r="BS295" s="114"/>
      <c r="BT295" s="114"/>
      <c r="BU295" s="114"/>
      <c r="BV295" s="114"/>
      <c r="BW295" s="114"/>
      <c r="BX295" s="114"/>
      <c r="BY295" s="114"/>
      <c r="BZ295" s="114"/>
      <c r="CA295" s="114"/>
      <c r="CB295" s="114"/>
      <c r="CC295" s="114"/>
      <c r="CD295" s="114"/>
      <c r="CE295" s="114"/>
      <c r="CF295" s="114"/>
      <c r="CG295" s="114"/>
    </row>
    <row r="296" spans="1:85" hidden="1" outlineLevel="1">
      <c r="A296" s="114"/>
      <c r="B296" s="245" t="s">
        <v>119</v>
      </c>
      <c r="C296" s="114"/>
      <c r="D296" s="1123">
        <f>(S296/S289-1)*100</f>
        <v>19.025824355092769</v>
      </c>
      <c r="E296" s="114"/>
      <c r="F296" s="1139">
        <f>S292/S296*F292+S293/S296*F293+S294/S296*F294+S295/S296*F295</f>
        <v>6.2595843340041801</v>
      </c>
      <c r="G296" s="114"/>
      <c r="H296" s="1126">
        <f>D296-F296</f>
        <v>12.766240021088588</v>
      </c>
      <c r="I296" s="114"/>
      <c r="J296" s="114"/>
      <c r="K296" s="114"/>
      <c r="L296" s="1122">
        <f>AVERAGE(L292:L295)</f>
        <v>531.875</v>
      </c>
      <c r="M296" s="114"/>
      <c r="N296" s="1123">
        <f>(L296/L289-1)*100</f>
        <v>2.4313914299470385</v>
      </c>
      <c r="O296" s="246"/>
      <c r="P296" s="1049">
        <f>H296/N296*100</f>
        <v>525.05902027328716</v>
      </c>
      <c r="Q296" s="310"/>
      <c r="R296" s="114"/>
      <c r="S296" s="1095">
        <f>SUM(S292:S295)</f>
        <v>1413.635</v>
      </c>
      <c r="T296" s="114"/>
      <c r="U296" s="1125">
        <f>SUM(U292:U295)</f>
        <v>2.6528675935200257</v>
      </c>
      <c r="V296" s="114"/>
      <c r="W296" s="1144">
        <f>(U296/U289-1)*100</f>
        <v>16.101295486253385</v>
      </c>
      <c r="X296" s="246"/>
      <c r="Y296" s="114"/>
      <c r="Z296" s="114"/>
      <c r="AA296" s="114"/>
      <c r="AB296" s="1127">
        <f>AVERAGE(AB292:AB295)</f>
        <v>3649.116</v>
      </c>
      <c r="AC296" s="114"/>
      <c r="AD296" s="1103">
        <f>Z295/Z288-1</f>
        <v>3.9472250451985103E-2</v>
      </c>
      <c r="AE296" s="246"/>
      <c r="AF296" s="1144">
        <f>+H296/AD296*100</f>
        <v>32342.316120581261</v>
      </c>
      <c r="AG296" s="310"/>
      <c r="AH296" s="114"/>
      <c r="AI296" s="1129">
        <f>SUM(AI292:AI295)</f>
        <v>1413.635</v>
      </c>
      <c r="AJ296" s="114"/>
      <c r="AK296" s="1097">
        <f>SUM(AK292:AK295)</f>
        <v>386.45589769677122</v>
      </c>
      <c r="AL296" s="114"/>
      <c r="AM296" s="1126">
        <f>(AK296/AK289-1)*100</f>
        <v>15.165000177436983</v>
      </c>
      <c r="AN296" s="246"/>
      <c r="AO296" s="246"/>
      <c r="AP296" s="246"/>
      <c r="AQ296" s="246"/>
      <c r="AR296" s="246"/>
      <c r="AS296" s="1100">
        <f>SUM(AS292:AS295)</f>
        <v>139.16499999999999</v>
      </c>
      <c r="AT296" s="114" t="s">
        <v>718</v>
      </c>
      <c r="AU296" s="1100">
        <f>(AS296/AS289-1)*100</f>
        <v>39.823334868338421</v>
      </c>
      <c r="AV296" s="1124">
        <f>(AS296/qtrSales!AS$129)*100</f>
        <v>34.361728395061725</v>
      </c>
      <c r="AW296" s="114"/>
      <c r="AX296" s="310"/>
      <c r="AY296" s="1142">
        <f>SUM(AY292:AY295)</f>
        <v>1552.8</v>
      </c>
      <c r="AZ296" s="1103">
        <f>AY296/AY289-1</f>
        <v>0.20633934120571773</v>
      </c>
      <c r="BA296" s="114"/>
      <c r="BB296" s="1129"/>
      <c r="BC296" s="114"/>
      <c r="BD296" s="114"/>
      <c r="BE296" s="114"/>
      <c r="BF296" s="114"/>
      <c r="BG296" s="1170">
        <f>+BS286</f>
        <v>30</v>
      </c>
      <c r="BH296" s="1170">
        <f>+BH293+BH292+BH288+BH287+BH286</f>
        <v>58.5</v>
      </c>
      <c r="BI296" s="1150"/>
      <c r="BJ296" s="114"/>
      <c r="BK296" s="114"/>
      <c r="BL296" s="114"/>
      <c r="BM296" s="114"/>
      <c r="BN296" s="114"/>
      <c r="BO296" s="114"/>
      <c r="BP296" s="114"/>
      <c r="BQ296" s="114"/>
      <c r="BR296" s="114"/>
      <c r="BS296" s="114"/>
      <c r="BT296" s="114"/>
      <c r="BU296" s="114"/>
      <c r="BV296" s="114"/>
      <c r="BW296" s="114"/>
      <c r="BX296" s="114"/>
      <c r="BY296" s="114"/>
      <c r="BZ296" s="114"/>
      <c r="CA296" s="114"/>
      <c r="CB296" s="114"/>
      <c r="CC296" s="114"/>
      <c r="CD296" s="114"/>
      <c r="CE296" s="114"/>
      <c r="CF296" s="114"/>
      <c r="CG296" s="114"/>
    </row>
    <row r="297" spans="1:85" hidden="1" outlineLevel="1">
      <c r="A297" s="114"/>
      <c r="B297" s="245"/>
      <c r="C297" s="114"/>
      <c r="D297" s="1123"/>
      <c r="E297" s="114"/>
      <c r="F297" s="1139"/>
      <c r="G297" s="114"/>
      <c r="H297" s="1126"/>
      <c r="I297" s="114"/>
      <c r="J297" s="114"/>
      <c r="K297" s="114"/>
      <c r="L297" s="1122"/>
      <c r="M297" s="114"/>
      <c r="N297" s="1123"/>
      <c r="O297" s="246"/>
      <c r="P297" s="1049"/>
      <c r="Q297" s="310"/>
      <c r="R297" s="114"/>
      <c r="S297" s="1260"/>
      <c r="T297" s="114"/>
      <c r="U297" s="1125"/>
      <c r="V297" s="114"/>
      <c r="W297" s="1144"/>
      <c r="X297" s="246"/>
      <c r="Y297" s="114"/>
      <c r="Z297" s="114"/>
      <c r="AA297" s="114"/>
      <c r="AB297" s="1127"/>
      <c r="AC297" s="114"/>
      <c r="AD297" s="1103"/>
      <c r="AE297" s="246"/>
      <c r="AF297" s="1144"/>
      <c r="AG297" s="310"/>
      <c r="AH297" s="114"/>
      <c r="AI297" s="1129"/>
      <c r="AJ297" s="114"/>
      <c r="AK297" s="1097"/>
      <c r="AL297" s="114"/>
      <c r="AM297" s="1126"/>
      <c r="AN297" s="246"/>
      <c r="AO297" s="246"/>
      <c r="AP297" s="246"/>
      <c r="AQ297" s="246"/>
      <c r="AR297" s="246"/>
      <c r="AS297" s="1100"/>
      <c r="AT297" s="114"/>
      <c r="AU297" s="1100"/>
      <c r="AV297" s="1124"/>
      <c r="AW297" s="114"/>
      <c r="AX297" s="310"/>
      <c r="AY297" s="1142"/>
      <c r="AZ297" s="1103"/>
      <c r="BA297" s="114"/>
      <c r="BB297" s="1129"/>
      <c r="BC297" s="114"/>
      <c r="BD297" s="114"/>
      <c r="BE297" s="114"/>
      <c r="BF297" s="114"/>
      <c r="BG297" s="1170"/>
      <c r="BH297" s="1170"/>
      <c r="BI297" s="1150"/>
      <c r="BJ297" s="114"/>
      <c r="BK297" s="114"/>
      <c r="BL297" s="114"/>
      <c r="BM297" s="114"/>
      <c r="BN297" s="114"/>
      <c r="BO297" s="114"/>
      <c r="BP297" s="114"/>
      <c r="BQ297" s="114"/>
      <c r="BR297" s="114"/>
      <c r="BS297" s="114"/>
      <c r="BT297" s="114"/>
      <c r="BU297" s="114"/>
      <c r="BV297" s="114"/>
      <c r="BW297" s="114"/>
      <c r="BX297" s="114"/>
      <c r="BY297" s="114"/>
      <c r="BZ297" s="114"/>
      <c r="CA297" s="114"/>
      <c r="CB297" s="114"/>
      <c r="CC297" s="114"/>
      <c r="CD297" s="114"/>
      <c r="CE297" s="114"/>
      <c r="CF297" s="114"/>
      <c r="CG297" s="114"/>
    </row>
    <row r="298" spans="1:85" hidden="1" outlineLevel="1">
      <c r="A298" s="1120"/>
      <c r="B298" s="1113">
        <v>2011</v>
      </c>
      <c r="C298" s="114"/>
      <c r="D298" s="114"/>
      <c r="E298" s="246"/>
      <c r="F298" s="114"/>
      <c r="G298" s="246"/>
      <c r="H298" s="114"/>
      <c r="I298" s="246"/>
      <c r="J298" s="114"/>
      <c r="K298" s="114"/>
      <c r="L298" s="246"/>
      <c r="M298" s="114"/>
      <c r="N298" s="246"/>
      <c r="O298" s="246"/>
      <c r="P298" s="310"/>
      <c r="Q298" s="310"/>
      <c r="R298" s="114"/>
      <c r="S298" s="1103"/>
      <c r="T298" s="114"/>
      <c r="U298" s="1237"/>
      <c r="V298" s="114"/>
      <c r="W298" s="114"/>
      <c r="X298" s="246"/>
      <c r="Y298" s="114"/>
      <c r="Z298" s="114"/>
      <c r="AA298" s="114"/>
      <c r="AB298" s="114"/>
      <c r="AC298" s="114"/>
      <c r="AD298" s="114"/>
      <c r="AE298" s="246"/>
      <c r="AF298" s="250"/>
      <c r="AG298" s="310"/>
      <c r="AH298" s="114"/>
      <c r="AI298" s="114"/>
      <c r="AJ298" s="114"/>
      <c r="AK298" s="246"/>
      <c r="AL298" s="114"/>
      <c r="AM298" s="246"/>
      <c r="AN298" s="246"/>
      <c r="AO298" s="246"/>
      <c r="AP298" s="246"/>
      <c r="AQ298" s="246"/>
      <c r="AR298" s="246"/>
      <c r="AS298" s="114"/>
      <c r="AT298" s="114"/>
      <c r="AU298" s="114"/>
      <c r="AV298" s="1121" t="s">
        <v>76</v>
      </c>
      <c r="AW298" s="114"/>
      <c r="AX298" s="310"/>
      <c r="AY298" s="114"/>
      <c r="AZ298" s="246"/>
      <c r="BA298" s="114"/>
      <c r="BB298" s="1129"/>
      <c r="BC298" s="114"/>
      <c r="BD298" s="114"/>
      <c r="BE298" s="114"/>
      <c r="BF298" s="114"/>
      <c r="BG298" s="1170" t="s">
        <v>573</v>
      </c>
      <c r="BH298" s="246" t="s">
        <v>324</v>
      </c>
      <c r="BI298" s="1150"/>
      <c r="BJ298" s="114"/>
      <c r="BK298" s="114"/>
      <c r="BL298" s="114"/>
      <c r="BN298" s="114"/>
      <c r="BO298" s="114"/>
      <c r="BP298" s="114"/>
      <c r="BQ298" s="114"/>
      <c r="BR298" s="114"/>
      <c r="BS298" s="114"/>
      <c r="BT298" s="114"/>
      <c r="BU298" s="114"/>
      <c r="BV298" s="114"/>
      <c r="BW298" s="114"/>
      <c r="BX298" s="114"/>
      <c r="BY298" s="114"/>
      <c r="BZ298" s="114"/>
      <c r="CA298" s="114"/>
      <c r="CB298" s="114"/>
      <c r="CC298" s="114"/>
      <c r="CD298" s="114"/>
      <c r="CE298" s="114"/>
      <c r="CF298" s="114"/>
      <c r="CG298" s="114"/>
    </row>
    <row r="299" spans="1:85" hidden="1" outlineLevel="1">
      <c r="A299" s="114" t="s">
        <v>115</v>
      </c>
      <c r="B299" s="245" t="s">
        <v>96</v>
      </c>
      <c r="C299" s="114"/>
      <c r="D299" s="1045">
        <f>(S299/S292-1)*100</f>
        <v>33.304365930713601</v>
      </c>
      <c r="E299" s="246" t="s">
        <v>76</v>
      </c>
      <c r="F299" s="1144">
        <v>11</v>
      </c>
      <c r="G299" s="246" t="s">
        <v>76</v>
      </c>
      <c r="H299" s="1144">
        <f>D299-F299</f>
        <v>22.304365930713601</v>
      </c>
      <c r="I299" s="246" t="s">
        <v>76</v>
      </c>
      <c r="J299" s="1047">
        <f>502+40</f>
        <v>542</v>
      </c>
      <c r="K299" s="1063">
        <f>J299-J295</f>
        <v>2</v>
      </c>
      <c r="L299" s="1122">
        <f>AVERAGE(J299,J295)</f>
        <v>541</v>
      </c>
      <c r="M299" s="114"/>
      <c r="N299" s="1123">
        <f>(L299/L292-1)*100</f>
        <v>2.7540360873694159</v>
      </c>
      <c r="O299" s="246" t="s">
        <v>76</v>
      </c>
      <c r="P299" s="1049">
        <f>H299/N299*100</f>
        <v>809.87921810487808</v>
      </c>
      <c r="Q299" s="310" t="s">
        <v>76</v>
      </c>
      <c r="R299" s="114"/>
      <c r="S299" s="1050">
        <f>AY299-AS299</f>
        <v>368.15000000000003</v>
      </c>
      <c r="T299" s="1109"/>
      <c r="U299" s="1125">
        <f>S299/L299</f>
        <v>0.68049907578558233</v>
      </c>
      <c r="V299" s="114"/>
      <c r="W299" s="1144">
        <f>(U299/U292-1)*100</f>
        <v>29.731513239409814</v>
      </c>
      <c r="X299" s="246" t="s">
        <v>76</v>
      </c>
      <c r="Y299" s="114"/>
      <c r="Z299" s="1047">
        <v>3755</v>
      </c>
      <c r="AA299" s="114"/>
      <c r="AB299" s="1127">
        <f>AVERAGE(Z299,Z295)</f>
        <v>3747.232</v>
      </c>
      <c r="AC299" s="114"/>
      <c r="AD299" s="1128">
        <f>(Z299/Z292-1)*100</f>
        <v>3.8727524204702712</v>
      </c>
      <c r="AE299" s="246" t="s">
        <v>76</v>
      </c>
      <c r="AF299" s="1144">
        <f>+H299/AD299*100</f>
        <v>575.93059171092489</v>
      </c>
      <c r="AG299" s="310" t="s">
        <v>76</v>
      </c>
      <c r="AH299" s="114"/>
      <c r="AI299" s="1129">
        <f>+S299</f>
        <v>368.15000000000003</v>
      </c>
      <c r="AJ299" s="114"/>
      <c r="AK299" s="1097">
        <f>AI299/AB299*1000</f>
        <v>98.245851871461397</v>
      </c>
      <c r="AL299" s="114"/>
      <c r="AM299" s="1126">
        <f>(AK299/AK292-1)*100</f>
        <v>28.288419334337767</v>
      </c>
      <c r="AN299" s="246" t="s">
        <v>76</v>
      </c>
      <c r="AO299" s="246"/>
      <c r="AP299" s="246"/>
      <c r="AQ299" s="246"/>
      <c r="AR299" s="246"/>
      <c r="AS299" s="1100">
        <f>qtrSales!$AS$132*(AV299/100)</f>
        <v>26.450000000000003</v>
      </c>
      <c r="AT299" s="114" t="s">
        <v>718</v>
      </c>
      <c r="AU299" s="1100">
        <f>(AS299/AS292-1)*100</f>
        <v>20.077176256951557</v>
      </c>
      <c r="AV299" s="1101">
        <v>25</v>
      </c>
      <c r="AW299" s="114"/>
      <c r="AX299" s="310"/>
      <c r="AY299" s="1081">
        <v>394.6</v>
      </c>
      <c r="AZ299" s="1103">
        <f>AY299/AY292-1</f>
        <v>0.3232729711602953</v>
      </c>
      <c r="BA299" s="114"/>
      <c r="BB299" s="1129">
        <f>BI299</f>
        <v>6.1422901589567429</v>
      </c>
      <c r="BC299" s="114"/>
      <c r="BD299" s="114"/>
      <c r="BE299" s="114"/>
      <c r="BF299" s="114"/>
      <c r="BG299" s="1262">
        <f>+BG296*BI4</f>
        <v>6.1422901589567429</v>
      </c>
      <c r="BH299" s="1262">
        <f>59*BI11</f>
        <v>0</v>
      </c>
      <c r="BI299" s="1150">
        <f>SUM(BG299:BH299)</f>
        <v>6.1422901589567429</v>
      </c>
      <c r="BJ299" s="114"/>
      <c r="BK299" s="114"/>
      <c r="BL299" s="114"/>
      <c r="BM299" s="114"/>
      <c r="BN299" s="114"/>
      <c r="BO299" s="114"/>
      <c r="BP299" s="114"/>
      <c r="BQ299" s="114"/>
      <c r="BR299" s="114"/>
      <c r="BS299" s="114"/>
      <c r="BT299" s="114"/>
      <c r="BU299" s="114"/>
      <c r="BV299" s="114"/>
      <c r="BW299" s="114"/>
      <c r="BX299" s="114"/>
      <c r="BY299" s="114"/>
      <c r="BZ299" s="114"/>
      <c r="CA299" s="114"/>
      <c r="CB299" s="114"/>
      <c r="CC299" s="114"/>
      <c r="CD299" s="114"/>
      <c r="CE299" s="114"/>
      <c r="CF299" s="114"/>
      <c r="CG299" s="114"/>
    </row>
    <row r="300" spans="1:85" hidden="1" outlineLevel="1">
      <c r="A300" s="114" t="s">
        <v>116</v>
      </c>
      <c r="B300" s="245" t="s">
        <v>97</v>
      </c>
      <c r="C300" s="114"/>
      <c r="D300" s="1045">
        <f>(S300/S293-1)*100</f>
        <v>36.379192334017809</v>
      </c>
      <c r="E300" s="114"/>
      <c r="F300" s="1144">
        <v>12</v>
      </c>
      <c r="G300" s="114"/>
      <c r="H300" s="1144">
        <f>D300-F300</f>
        <v>24.379192334017809</v>
      </c>
      <c r="I300" s="114"/>
      <c r="J300" s="1047">
        <f>501+44</f>
        <v>545</v>
      </c>
      <c r="K300" s="1063">
        <f>J300-J299</f>
        <v>3</v>
      </c>
      <c r="L300" s="1122">
        <f>AVERAGE(J300,J299)</f>
        <v>543.5</v>
      </c>
      <c r="M300" s="114"/>
      <c r="N300" s="1123">
        <f>(L300/L293-1)*100</f>
        <v>2.7410207939508435</v>
      </c>
      <c r="O300" s="246"/>
      <c r="P300" s="1049">
        <f>H300/N300*100</f>
        <v>889.42018928934169</v>
      </c>
      <c r="Q300" s="310"/>
      <c r="R300" s="114"/>
      <c r="S300" s="1089">
        <f>AY300-AS300</f>
        <v>398.5</v>
      </c>
      <c r="T300" s="1109"/>
      <c r="U300" s="1131">
        <f>S300/L300</f>
        <v>0.73321067157313713</v>
      </c>
      <c r="V300" s="114"/>
      <c r="W300" s="1144">
        <f>(U300/U293-1)*100</f>
        <v>32.74074102059874</v>
      </c>
      <c r="X300" s="246"/>
      <c r="Y300" s="114"/>
      <c r="Z300" s="1047">
        <v>3778</v>
      </c>
      <c r="AA300" s="1057"/>
      <c r="AB300" s="1127">
        <f>AVERAGE(Z300,Z299)</f>
        <v>3766.5</v>
      </c>
      <c r="AC300" s="114"/>
      <c r="AD300" s="1128">
        <f>(Z300/Z293-1)*100</f>
        <v>4.1058142739046621</v>
      </c>
      <c r="AE300" s="246"/>
      <c r="AF300" s="1144">
        <f>+H300/AD300*100</f>
        <v>593.7724092627551</v>
      </c>
      <c r="AG300" s="310"/>
      <c r="AH300" s="114"/>
      <c r="AI300" s="1132">
        <f>+S300</f>
        <v>398.5</v>
      </c>
      <c r="AJ300" s="114"/>
      <c r="AK300" s="1106">
        <f>AI300/AB300*1000</f>
        <v>105.80114164343556</v>
      </c>
      <c r="AL300" s="114"/>
      <c r="AM300" s="1126">
        <f>(AK300/AK293-1)*100</f>
        <v>31.147068799631626</v>
      </c>
      <c r="AN300" s="246"/>
      <c r="AO300" s="246"/>
      <c r="AP300" s="246"/>
      <c r="AQ300" s="246"/>
      <c r="AR300" s="246"/>
      <c r="AS300" s="1100">
        <f>qtrSales!$AS$133*(AV300/100)</f>
        <v>35.699999999999996</v>
      </c>
      <c r="AT300" s="114" t="s">
        <v>718</v>
      </c>
      <c r="AU300" s="1100">
        <f>(AS300/AS293-1)*100</f>
        <v>18.999999999999993</v>
      </c>
      <c r="AV300" s="1101">
        <v>35</v>
      </c>
      <c r="AW300" s="114"/>
      <c r="AX300" s="310"/>
      <c r="AY300" s="1102">
        <v>434.2</v>
      </c>
      <c r="AZ300" s="1103">
        <f>AY300/AY293-1</f>
        <v>0.34761018001241473</v>
      </c>
      <c r="BA300" s="114"/>
      <c r="BB300" s="1129">
        <f>BI300</f>
        <v>6.5067621152602202</v>
      </c>
      <c r="BC300" s="1129"/>
      <c r="BD300" s="114"/>
      <c r="BE300" s="114"/>
      <c r="BF300" s="114"/>
      <c r="BG300" s="1263">
        <f>+BG296*BI5</f>
        <v>6.5067621152602202</v>
      </c>
      <c r="BH300" s="1263"/>
      <c r="BI300" s="1150">
        <f>SUM(BG300:BH300)</f>
        <v>6.5067621152602202</v>
      </c>
      <c r="BJ300" s="114"/>
      <c r="BK300" s="114"/>
      <c r="BL300" s="114"/>
      <c r="BM300" s="114"/>
      <c r="BN300" s="114"/>
      <c r="BO300" s="114"/>
      <c r="BP300" s="114"/>
      <c r="BQ300" s="114"/>
      <c r="BR300" s="114"/>
      <c r="BS300" s="114"/>
      <c r="BT300" s="114"/>
      <c r="BU300" s="114"/>
      <c r="BV300" s="114"/>
      <c r="BW300" s="114"/>
      <c r="BX300" s="114"/>
      <c r="BY300" s="114"/>
      <c r="BZ300" s="114"/>
      <c r="CA300" s="114"/>
      <c r="CB300" s="114"/>
      <c r="CC300" s="114"/>
      <c r="CD300" s="114"/>
      <c r="CE300" s="114"/>
      <c r="CF300" s="114"/>
      <c r="CG300" s="114"/>
    </row>
    <row r="301" spans="1:85" hidden="1" outlineLevel="1">
      <c r="A301" s="114" t="s">
        <v>117</v>
      </c>
      <c r="B301" s="245" t="s">
        <v>99</v>
      </c>
      <c r="C301" s="114"/>
      <c r="D301" s="1045">
        <f>(S301/S294-1)*100</f>
        <v>32.139798314684342</v>
      </c>
      <c r="E301" s="114"/>
      <c r="F301" s="1144">
        <v>8</v>
      </c>
      <c r="G301" s="114"/>
      <c r="H301" s="1144">
        <f>D301-F301</f>
        <v>24.139798314684342</v>
      </c>
      <c r="I301" s="114"/>
      <c r="J301" s="1047">
        <f>501+63</f>
        <v>564</v>
      </c>
      <c r="K301" s="1063">
        <f>J301-J300</f>
        <v>19</v>
      </c>
      <c r="L301" s="1122">
        <f>AVERAGE(J301,J300)</f>
        <v>554.5</v>
      </c>
      <c r="M301" s="114"/>
      <c r="N301" s="1123">
        <f>(L301/L294-1)*100</f>
        <v>3.9362699156513692</v>
      </c>
      <c r="O301" s="246"/>
      <c r="P301" s="1049">
        <f>H301/N301*100</f>
        <v>613.26582861352676</v>
      </c>
      <c r="Q301" s="310"/>
      <c r="R301" s="114"/>
      <c r="S301" s="1089">
        <f>AY301-AS301</f>
        <v>478.28</v>
      </c>
      <c r="T301" s="1109"/>
      <c r="U301" s="1131">
        <f>S301/L301</f>
        <v>0.86254283137962118</v>
      </c>
      <c r="V301" s="114"/>
      <c r="W301" s="1144">
        <f>(U301/U294-1)*100</f>
        <v>27.135405592216589</v>
      </c>
      <c r="X301" s="246"/>
      <c r="Y301" s="114"/>
      <c r="Z301" s="1047">
        <v>3944</v>
      </c>
      <c r="AA301" s="1057"/>
      <c r="AB301" s="1127">
        <f>AVERAGE(Z301,Z300)</f>
        <v>3861</v>
      </c>
      <c r="AC301" s="114"/>
      <c r="AD301" s="1128">
        <f>(Z301/Z294-1)*100</f>
        <v>7.0575461454940314</v>
      </c>
      <c r="AE301" s="246"/>
      <c r="AF301" s="1144">
        <f>+H301/AD301*100</f>
        <v>342.04237304345031</v>
      </c>
      <c r="AG301" s="310"/>
      <c r="AH301" s="114"/>
      <c r="AI301" s="1132">
        <f>+S301</f>
        <v>478.28</v>
      </c>
      <c r="AJ301" s="114"/>
      <c r="AK301" s="1106">
        <f>AI301/AB301*1000</f>
        <v>123.87464387464387</v>
      </c>
      <c r="AL301" s="114"/>
      <c r="AM301" s="1126">
        <f>(AK301/AK294-1)*100</f>
        <v>25.140940828190427</v>
      </c>
      <c r="AN301" s="246"/>
      <c r="AO301" s="246"/>
      <c r="AP301" s="246"/>
      <c r="AQ301" s="246"/>
      <c r="AR301" s="246"/>
      <c r="AS301" s="1100">
        <f>qtrSales!$AS$134*(AV301/100)</f>
        <v>39.72</v>
      </c>
      <c r="AT301" s="114" t="s">
        <v>718</v>
      </c>
      <c r="AU301" s="1100">
        <f>(AS301/AS294-1)*100</f>
        <v>30.016366612111291</v>
      </c>
      <c r="AV301" s="1101">
        <v>30</v>
      </c>
      <c r="AW301" s="114"/>
      <c r="AX301" s="310"/>
      <c r="AY301" s="1102">
        <v>518</v>
      </c>
      <c r="AZ301" s="1103">
        <f>AY301/AY294-1</f>
        <v>0.31974522292993623</v>
      </c>
      <c r="BA301" s="114"/>
      <c r="BB301" s="1129">
        <f>BI301</f>
        <v>7.6811739820585405</v>
      </c>
      <c r="BC301" s="114"/>
      <c r="BD301" s="114"/>
      <c r="BE301" s="114"/>
      <c r="BF301" s="114"/>
      <c r="BG301" s="1263">
        <f>+BG296*BI6</f>
        <v>7.6811739820585405</v>
      </c>
      <c r="BH301" s="1263"/>
      <c r="BI301" s="1150">
        <f>SUM(BG301:BH301)</f>
        <v>7.6811739820585405</v>
      </c>
      <c r="BJ301" s="114"/>
      <c r="BK301" s="114"/>
      <c r="BL301" s="114"/>
      <c r="BM301" s="114"/>
      <c r="BN301" s="114"/>
      <c r="BO301" s="114"/>
      <c r="BP301" s="114"/>
      <c r="BQ301" s="114"/>
      <c r="BR301" s="114"/>
      <c r="BS301" s="114"/>
      <c r="BT301" s="114"/>
      <c r="BU301" s="114"/>
      <c r="BV301" s="114"/>
      <c r="BW301" s="114"/>
      <c r="BX301" s="114"/>
      <c r="BY301" s="114"/>
      <c r="BZ301" s="114"/>
      <c r="CA301" s="114"/>
      <c r="CB301" s="114"/>
      <c r="CC301" s="114"/>
      <c r="CD301" s="114"/>
      <c r="CE301" s="114"/>
      <c r="CF301" s="114"/>
      <c r="CG301" s="114"/>
    </row>
    <row r="302" spans="1:85" hidden="1" outlineLevel="1">
      <c r="A302" s="114" t="s">
        <v>118</v>
      </c>
      <c r="B302" s="245" t="s">
        <v>100</v>
      </c>
      <c r="C302" s="114"/>
      <c r="D302" s="1061">
        <f>(S302/S295-1)*100</f>
        <v>24.328876244665707</v>
      </c>
      <c r="E302" s="114"/>
      <c r="F302" s="1104">
        <v>-2</v>
      </c>
      <c r="G302" s="114"/>
      <c r="H302" s="1104">
        <f>D302-F302</f>
        <v>26.328876244665707</v>
      </c>
      <c r="I302" s="114"/>
      <c r="J302" s="1063">
        <f>squft!$CI$33</f>
        <v>570</v>
      </c>
      <c r="K302" s="1063">
        <f>J302-J301</f>
        <v>6</v>
      </c>
      <c r="L302" s="1108">
        <f>AVERAGE(J302,J301)</f>
        <v>567</v>
      </c>
      <c r="M302" s="114"/>
      <c r="N302" s="1107">
        <f>(L302/L295-1)*100</f>
        <v>5.2924791086351064</v>
      </c>
      <c r="O302" s="246"/>
      <c r="P302" s="1064">
        <f>H302/N302*100</f>
        <v>497.47718799131439</v>
      </c>
      <c r="Q302" s="310"/>
      <c r="R302" s="114"/>
      <c r="S302" s="1092">
        <f>AY302-AS302</f>
        <v>600.89699999999993</v>
      </c>
      <c r="T302" s="1109"/>
      <c r="U302" s="1133">
        <f>S302/L302</f>
        <v>1.0597830687830687</v>
      </c>
      <c r="V302" s="114"/>
      <c r="W302" s="1104">
        <f>(U302/U295-1)*100</f>
        <v>18.079541195330663</v>
      </c>
      <c r="X302" s="246"/>
      <c r="Y302" s="114"/>
      <c r="Z302" s="1063">
        <f>squft!$CK$33</f>
        <v>4006.6639999999998</v>
      </c>
      <c r="AA302" s="1057"/>
      <c r="AB302" s="1110">
        <f>AVERAGE(Z302,Z301)</f>
        <v>3975.3319999999999</v>
      </c>
      <c r="AC302" s="114"/>
      <c r="AD302" s="1107">
        <f>(Z302/Z295-1)*100</f>
        <v>7.1454090746695176</v>
      </c>
      <c r="AE302" s="246"/>
      <c r="AF302" s="1104">
        <f>+H302/AD302*100</f>
        <v>368.47262304409696</v>
      </c>
      <c r="AG302" s="310"/>
      <c r="AH302" s="114"/>
      <c r="AI302" s="1111">
        <f>+S302</f>
        <v>600.89699999999993</v>
      </c>
      <c r="AJ302" s="114"/>
      <c r="AK302" s="1135">
        <f>AI302/AB302*1000</f>
        <v>151.15643171438259</v>
      </c>
      <c r="AL302" s="114"/>
      <c r="AM302" s="1134">
        <f>(AK302/AK295-1)*100</f>
        <v>16.084761846649688</v>
      </c>
      <c r="AN302" s="246"/>
      <c r="AO302" s="246"/>
      <c r="AP302" s="246"/>
      <c r="AQ302" s="246"/>
      <c r="AR302" s="246"/>
      <c r="AS302" s="1100">
        <f>qtrSales!$AS$135*(AV302/100)</f>
        <v>74.304999999999993</v>
      </c>
      <c r="AT302" s="1042" t="s">
        <v>718</v>
      </c>
      <c r="AU302" s="1136">
        <f>(AS302/AS295-1)*100</f>
        <v>31.309918268168779</v>
      </c>
      <c r="AV302" s="1137">
        <v>35</v>
      </c>
      <c r="AW302" s="114"/>
      <c r="AX302" s="310"/>
      <c r="AY302" s="1145">
        <f>2022.002-AY301-AY300-AY299</f>
        <v>675.20199999999988</v>
      </c>
      <c r="AZ302" s="1138">
        <f>AY302/AY295-1</f>
        <v>0.2506056677162436</v>
      </c>
      <c r="BA302" s="114"/>
      <c r="BB302" s="1129">
        <f>BI302</f>
        <v>0</v>
      </c>
      <c r="BC302" s="114"/>
      <c r="BD302" s="114"/>
      <c r="BE302" s="114"/>
      <c r="BF302" s="114"/>
      <c r="BG302" s="1265"/>
      <c r="BH302" s="1265"/>
      <c r="BI302" s="1150">
        <f>SUM(BG302:BH302)</f>
        <v>0</v>
      </c>
      <c r="BJ302" s="114"/>
      <c r="BK302" s="114"/>
      <c r="BL302" s="114"/>
      <c r="BM302" s="114"/>
      <c r="BN302" s="114"/>
      <c r="BO302" s="114"/>
      <c r="BP302" s="114"/>
      <c r="BQ302" s="114"/>
      <c r="BR302" s="114"/>
      <c r="BS302" s="114"/>
      <c r="BT302" s="114"/>
      <c r="BU302" s="114"/>
      <c r="BV302" s="114"/>
      <c r="BW302" s="114"/>
      <c r="BX302" s="114"/>
      <c r="BY302" s="114"/>
      <c r="BZ302" s="114"/>
      <c r="CA302" s="114"/>
      <c r="CB302" s="114"/>
      <c r="CC302" s="114"/>
      <c r="CD302" s="114"/>
      <c r="CE302" s="114"/>
      <c r="CF302" s="114"/>
      <c r="CG302" s="114"/>
    </row>
    <row r="303" spans="1:85" hidden="1" outlineLevel="1">
      <c r="A303" s="114"/>
      <c r="B303" s="245" t="s">
        <v>119</v>
      </c>
      <c r="C303" s="114"/>
      <c r="D303" s="1123">
        <f>(S303/S296-1)*100</f>
        <v>30.573097015849203</v>
      </c>
      <c r="E303" s="114"/>
      <c r="F303" s="1139">
        <v>8</v>
      </c>
      <c r="G303" s="114"/>
      <c r="H303" s="1126">
        <f>D303-F303</f>
        <v>22.573097015849203</v>
      </c>
      <c r="I303" s="114"/>
      <c r="J303" s="114"/>
      <c r="K303" s="114"/>
      <c r="L303" s="1122">
        <f>AVERAGE(L299:L302)</f>
        <v>551.5</v>
      </c>
      <c r="M303" s="114"/>
      <c r="N303" s="1123">
        <f>(L303/L296-1)*100</f>
        <v>3.6897767332549902</v>
      </c>
      <c r="O303" s="246"/>
      <c r="P303" s="1124">
        <f>H303/N303*100</f>
        <v>611.77406243591383</v>
      </c>
      <c r="Q303" s="310"/>
      <c r="R303" s="114"/>
      <c r="S303" s="1095">
        <f>SUM(S299:S302)</f>
        <v>1845.827</v>
      </c>
      <c r="T303" s="114"/>
      <c r="U303" s="1125">
        <f>SUM(U299:U302)</f>
        <v>3.3360356475214097</v>
      </c>
      <c r="V303" s="114"/>
      <c r="W303" s="1144">
        <f>(U303/U296-1)*100</f>
        <v>25.752059984829657</v>
      </c>
      <c r="X303" s="246"/>
      <c r="Y303" s="114"/>
      <c r="Z303" s="114"/>
      <c r="AA303" s="114"/>
      <c r="AB303" s="1127">
        <f>AVERAGE(AB299:AB302)</f>
        <v>3837.5160000000001</v>
      </c>
      <c r="AC303" s="114"/>
      <c r="AD303" s="1103">
        <f>Z302/Z295-1</f>
        <v>7.1454090746695176E-2</v>
      </c>
      <c r="AE303" s="246"/>
      <c r="AF303" s="1144">
        <f>+H303/AD303*100</f>
        <v>31591.049273680994</v>
      </c>
      <c r="AG303" s="310"/>
      <c r="AH303" s="114"/>
      <c r="AI303" s="1129">
        <f>SUM(AI299:AI302)</f>
        <v>1845.827</v>
      </c>
      <c r="AJ303" s="114"/>
      <c r="AK303" s="1097">
        <f>SUM(AK299:AK302)</f>
        <v>479.07806910392344</v>
      </c>
      <c r="AL303" s="114"/>
      <c r="AM303" s="1126">
        <f>(AK303/AK296-1)*100</f>
        <v>23.967074110957753</v>
      </c>
      <c r="AN303" s="246"/>
      <c r="AO303" s="246"/>
      <c r="AP303" s="246"/>
      <c r="AQ303" s="246"/>
      <c r="AR303" s="246"/>
      <c r="AS303" s="1100">
        <f>SUM(AS299:AS302)</f>
        <v>176.17500000000001</v>
      </c>
      <c r="AT303" s="114" t="s">
        <v>718</v>
      </c>
      <c r="AU303" s="1100">
        <f>(AS303/AS296-1)*100</f>
        <v>26.594330471023618</v>
      </c>
      <c r="AV303" s="1124">
        <f>(AS303/qtrSales!AS$136)*100</f>
        <v>31.886877828054299</v>
      </c>
      <c r="AW303" s="114"/>
      <c r="AX303" s="310"/>
      <c r="AY303" s="1142">
        <f>SUM(AY299:AY302)</f>
        <v>2022.002</v>
      </c>
      <c r="AZ303" s="1103">
        <f>AY303/AY296-1</f>
        <v>0.30216512107161253</v>
      </c>
      <c r="BA303" s="114"/>
      <c r="BB303" s="1129"/>
      <c r="BC303" s="114"/>
      <c r="BD303" s="114"/>
      <c r="BE303" s="114"/>
      <c r="BF303" s="114"/>
      <c r="BG303" s="1170">
        <f>+BG301+BG300+BG299+BG295</f>
        <v>30</v>
      </c>
      <c r="BH303" s="1170"/>
      <c r="BI303" s="1150"/>
      <c r="BJ303" s="114"/>
      <c r="BK303" s="114"/>
      <c r="BL303" s="114"/>
      <c r="BM303" s="114"/>
      <c r="BN303" s="114"/>
      <c r="BO303" s="114"/>
      <c r="BP303" s="114"/>
      <c r="BQ303" s="114"/>
      <c r="BR303" s="114"/>
      <c r="BS303" s="114"/>
      <c r="BT303" s="114"/>
      <c r="BU303" s="114"/>
      <c r="BV303" s="114"/>
      <c r="BW303" s="114"/>
      <c r="BX303" s="114"/>
      <c r="BY303" s="114"/>
      <c r="BZ303" s="114"/>
      <c r="CA303" s="114"/>
      <c r="CB303" s="114"/>
      <c r="CC303" s="114"/>
      <c r="CD303" s="114"/>
      <c r="CE303" s="114"/>
      <c r="CF303" s="114"/>
      <c r="CG303" s="114"/>
    </row>
    <row r="304" spans="1:85" s="97" customFormat="1" hidden="1" outlineLevel="1">
      <c r="A304" s="310"/>
      <c r="B304" s="247"/>
      <c r="C304" s="310"/>
      <c r="D304" s="1128"/>
      <c r="E304" s="310"/>
      <c r="F304" s="1210"/>
      <c r="G304" s="310"/>
      <c r="H304" s="1126"/>
      <c r="I304" s="310"/>
      <c r="J304" s="310"/>
      <c r="K304" s="310"/>
      <c r="L304" s="1124"/>
      <c r="M304" s="310"/>
      <c r="N304" s="1128"/>
      <c r="O304" s="249"/>
      <c r="P304" s="1049"/>
      <c r="Q304" s="310"/>
      <c r="R304" s="310"/>
      <c r="S304" s="1211"/>
      <c r="T304" s="310"/>
      <c r="U304" s="1212"/>
      <c r="V304" s="310"/>
      <c r="W304" s="1144"/>
      <c r="X304" s="249"/>
      <c r="Y304" s="310"/>
      <c r="Z304" s="310"/>
      <c r="AA304" s="310"/>
      <c r="AB304" s="1127"/>
      <c r="AC304" s="310"/>
      <c r="AD304" s="1216"/>
      <c r="AE304" s="249"/>
      <c r="AF304" s="1144"/>
      <c r="AG304" s="310"/>
      <c r="AH304" s="310"/>
      <c r="AI304" s="1143"/>
      <c r="AJ304" s="310"/>
      <c r="AK304" s="1213"/>
      <c r="AL304" s="310"/>
      <c r="AM304" s="1126"/>
      <c r="AN304" s="249"/>
      <c r="AO304" s="249"/>
      <c r="AP304" s="249"/>
      <c r="AQ304" s="249"/>
      <c r="AR304" s="249"/>
      <c r="AS304" s="1214"/>
      <c r="AT304" s="310"/>
      <c r="AU304" s="1214"/>
      <c r="AV304" s="1124"/>
      <c r="AW304" s="310"/>
      <c r="AX304" s="310"/>
      <c r="AY304" s="1215"/>
      <c r="AZ304" s="1216"/>
      <c r="BA304" s="310"/>
      <c r="BB304" s="1143"/>
      <c r="BC304" s="310"/>
      <c r="BD304" s="310"/>
      <c r="BE304" s="310"/>
      <c r="BF304" s="310"/>
      <c r="BG304" s="1217"/>
      <c r="BH304" s="1217"/>
      <c r="BI304" s="1163"/>
      <c r="BJ304" s="310"/>
      <c r="BK304" s="310"/>
      <c r="BL304" s="310"/>
      <c r="BM304" s="310"/>
      <c r="BN304" s="310"/>
      <c r="BO304" s="310"/>
      <c r="BP304" s="310"/>
      <c r="BQ304" s="310"/>
      <c r="BR304" s="310"/>
      <c r="BS304" s="310"/>
      <c r="BT304" s="310"/>
      <c r="BU304" s="310"/>
      <c r="BV304" s="310"/>
      <c r="BW304" s="310"/>
      <c r="BX304" s="310"/>
      <c r="BY304" s="310"/>
      <c r="BZ304" s="310"/>
      <c r="CA304" s="310"/>
      <c r="CB304" s="310"/>
      <c r="CC304" s="310"/>
      <c r="CD304" s="310"/>
      <c r="CE304" s="310"/>
      <c r="CF304" s="310"/>
      <c r="CG304" s="310"/>
    </row>
    <row r="305" spans="1:92" collapsed="1">
      <c r="A305" s="1120"/>
      <c r="B305" s="1172">
        <v>2012</v>
      </c>
      <c r="C305" s="114"/>
      <c r="D305" s="114"/>
      <c r="E305" s="246"/>
      <c r="F305" s="114"/>
      <c r="G305" s="246"/>
      <c r="H305" s="114"/>
      <c r="I305" s="246"/>
      <c r="J305" s="114"/>
      <c r="K305" s="114"/>
      <c r="L305" s="246"/>
      <c r="M305" s="114"/>
      <c r="N305" s="246"/>
      <c r="O305" s="246"/>
      <c r="P305" s="310"/>
      <c r="Q305" s="310"/>
      <c r="R305" s="114"/>
      <c r="S305" s="1103"/>
      <c r="T305" s="114"/>
      <c r="U305" s="1237"/>
      <c r="V305" s="114"/>
      <c r="W305" s="114"/>
      <c r="X305" s="246"/>
      <c r="Y305" s="114"/>
      <c r="Z305" s="114"/>
      <c r="AA305" s="114"/>
      <c r="AB305" s="114"/>
      <c r="AC305" s="114"/>
      <c r="AD305" s="114"/>
      <c r="AE305" s="246"/>
      <c r="AF305" s="250"/>
      <c r="AG305" s="310"/>
      <c r="AH305" s="114"/>
      <c r="AI305" s="114"/>
      <c r="AJ305" s="114"/>
      <c r="AK305" s="246"/>
      <c r="AL305" s="114"/>
      <c r="AM305" s="246"/>
      <c r="AN305" s="246"/>
      <c r="AO305" s="246"/>
      <c r="AP305" s="246"/>
      <c r="AQ305" s="246"/>
      <c r="AR305" s="246"/>
      <c r="AS305" s="114"/>
      <c r="AT305" s="114"/>
      <c r="AU305" s="114"/>
      <c r="AV305" s="1121" t="s">
        <v>76</v>
      </c>
      <c r="AW305" s="114"/>
      <c r="AX305" s="310"/>
      <c r="AY305" s="114"/>
      <c r="AZ305" s="246"/>
      <c r="BA305" s="114"/>
      <c r="BB305" s="1129"/>
      <c r="BC305" s="114"/>
      <c r="BD305" s="114"/>
      <c r="BE305" s="114"/>
      <c r="BF305" s="114"/>
      <c r="BG305" s="1170" t="s">
        <v>573</v>
      </c>
      <c r="BH305" s="246" t="s">
        <v>324</v>
      </c>
      <c r="BI305" s="1150"/>
      <c r="BJ305" s="114"/>
      <c r="BK305" s="114"/>
      <c r="BL305" s="114"/>
      <c r="BM305" s="114"/>
      <c r="BN305" s="114"/>
      <c r="BO305" s="114"/>
      <c r="BP305" s="114"/>
      <c r="BQ305" s="114"/>
      <c r="BR305" s="114"/>
      <c r="BS305" s="114"/>
      <c r="BT305" s="114"/>
      <c r="BU305" s="114"/>
      <c r="BV305" s="114"/>
      <c r="BW305" s="114"/>
      <c r="BX305" s="114"/>
      <c r="BY305" s="114"/>
      <c r="BZ305" s="114"/>
      <c r="CA305" s="114"/>
      <c r="CB305" s="114"/>
      <c r="CC305" s="114"/>
      <c r="CD305" s="114"/>
      <c r="CE305" s="114"/>
      <c r="CF305" s="114"/>
      <c r="CG305" s="114"/>
      <c r="CH305" s="114"/>
      <c r="CI305" s="114"/>
      <c r="CJ305" s="114"/>
      <c r="CK305" s="114"/>
      <c r="CL305" s="114"/>
      <c r="CM305" s="114"/>
      <c r="CN305" s="114"/>
    </row>
    <row r="306" spans="1:92">
      <c r="A306" s="114" t="s">
        <v>115</v>
      </c>
      <c r="B306" s="245" t="s">
        <v>96</v>
      </c>
      <c r="C306" s="114"/>
      <c r="D306" s="1045">
        <f>(S306/S299-1)*100</f>
        <v>15.869822083389916</v>
      </c>
      <c r="E306" s="246" t="s">
        <v>76</v>
      </c>
      <c r="F306" s="1046">
        <v>-5</v>
      </c>
      <c r="G306" s="246" t="s">
        <v>76</v>
      </c>
      <c r="H306" s="1144">
        <f>D306-F306</f>
        <v>20.869822083389916</v>
      </c>
      <c r="I306" s="246" t="s">
        <v>76</v>
      </c>
      <c r="J306" s="1047">
        <f>491+84</f>
        <v>575</v>
      </c>
      <c r="K306" s="1063">
        <f>J306-J302</f>
        <v>5</v>
      </c>
      <c r="L306" s="1122">
        <f>AVERAGE(J306,J302)</f>
        <v>572.5</v>
      </c>
      <c r="M306" s="114"/>
      <c r="N306" s="1123">
        <f>(L306/L299-1)*100</f>
        <v>5.8225508317929719</v>
      </c>
      <c r="O306" s="246" t="s">
        <v>76</v>
      </c>
      <c r="P306" s="1049">
        <f>H306/N306*100</f>
        <v>358.43091260679216</v>
      </c>
      <c r="Q306" s="310" t="s">
        <v>76</v>
      </c>
      <c r="R306" s="114"/>
      <c r="S306" s="1050">
        <f>AY306-AS306</f>
        <v>426.57474999999999</v>
      </c>
      <c r="T306" s="1109"/>
      <c r="U306" s="1125">
        <f>S306/L306</f>
        <v>0.74510873362445418</v>
      </c>
      <c r="V306" s="114"/>
      <c r="W306" s="1144">
        <f>(U306/U299-1)*100</f>
        <v>9.4944519600243638</v>
      </c>
      <c r="X306" s="246" t="s">
        <v>76</v>
      </c>
      <c r="Y306" s="114"/>
      <c r="Z306" s="1047">
        <v>4067</v>
      </c>
      <c r="AA306" s="114"/>
      <c r="AB306" s="1127">
        <f>AVERAGE(Z306,Z302)</f>
        <v>4036.8319999999999</v>
      </c>
      <c r="AC306" s="114"/>
      <c r="AD306" s="1128">
        <f>(Z306/Z299-1)*100</f>
        <v>8.3089214380825496</v>
      </c>
      <c r="AE306" s="246" t="s">
        <v>76</v>
      </c>
      <c r="AF306" s="1144">
        <f>+H306/AD306*100</f>
        <v>251.17366001002947</v>
      </c>
      <c r="AG306" s="310" t="s">
        <v>76</v>
      </c>
      <c r="AH306" s="114"/>
      <c r="AI306" s="1129">
        <f>+S306</f>
        <v>426.57474999999999</v>
      </c>
      <c r="AJ306" s="114"/>
      <c r="AK306" s="1097">
        <f>AI306/AB306*1000</f>
        <v>105.6706719526599</v>
      </c>
      <c r="AL306" s="114"/>
      <c r="AM306" s="1126">
        <f>(AK306/AK299-1)*100</f>
        <v>7.5573878588916621</v>
      </c>
      <c r="AN306" s="246" t="s">
        <v>76</v>
      </c>
      <c r="AO306" s="246"/>
      <c r="AP306" s="246"/>
      <c r="AQ306" s="246"/>
      <c r="AR306" s="246"/>
      <c r="AS306" s="1100">
        <f>qtrSales!$AS$139*(AV306/100)</f>
        <v>37.057250000000003</v>
      </c>
      <c r="AT306" s="114" t="s">
        <v>718</v>
      </c>
      <c r="AU306" s="1100">
        <f>(AS306/AS299-1)*100</f>
        <v>40.103024574669192</v>
      </c>
      <c r="AV306" s="1101">
        <v>25</v>
      </c>
      <c r="AW306" s="114"/>
      <c r="AX306" s="310"/>
      <c r="AY306" s="1081">
        <v>463.63200000000001</v>
      </c>
      <c r="AZ306" s="1103">
        <f>AY306/AY299-1</f>
        <v>0.17494171312721729</v>
      </c>
      <c r="BA306" s="114"/>
      <c r="BB306" s="1129">
        <f>BI306</f>
        <v>0</v>
      </c>
      <c r="BC306" s="114"/>
      <c r="BD306" s="114"/>
      <c r="BE306" s="114"/>
      <c r="BF306" s="114"/>
      <c r="BG306" s="1262">
        <f>+BG303*BI11</f>
        <v>0</v>
      </c>
      <c r="BH306" s="1262">
        <f>59*BI18</f>
        <v>0</v>
      </c>
      <c r="BI306" s="1150">
        <f>SUM(BG306:BH306)</f>
        <v>0</v>
      </c>
      <c r="BJ306" s="114"/>
      <c r="BK306" s="114"/>
      <c r="BL306" s="114"/>
      <c r="BM306" s="114"/>
      <c r="BN306" s="114"/>
      <c r="BO306" s="114"/>
      <c r="BP306" s="114"/>
      <c r="BQ306" s="114"/>
      <c r="BR306" s="114"/>
      <c r="BS306" s="114"/>
      <c r="BT306" s="114"/>
      <c r="BU306" s="114"/>
      <c r="BV306" s="114"/>
      <c r="BW306" s="114"/>
      <c r="BX306" s="114"/>
      <c r="BY306" s="114"/>
      <c r="BZ306" s="114"/>
      <c r="CA306" s="114"/>
      <c r="CB306" s="114"/>
      <c r="CC306" s="114"/>
      <c r="CD306" s="114"/>
      <c r="CE306" s="114"/>
      <c r="CF306" s="114"/>
      <c r="CG306" s="114"/>
      <c r="CH306" s="114"/>
      <c r="CI306" s="114"/>
      <c r="CJ306" s="114"/>
      <c r="CK306" s="114"/>
      <c r="CL306" s="114"/>
      <c r="CM306" s="114"/>
      <c r="CN306" s="114"/>
    </row>
    <row r="307" spans="1:92">
      <c r="A307" s="114" t="s">
        <v>116</v>
      </c>
      <c r="B307" s="245" t="s">
        <v>97</v>
      </c>
      <c r="C307" s="114"/>
      <c r="D307" s="1045">
        <f>(S307/S300-1)*100</f>
        <v>10.64115432873276</v>
      </c>
      <c r="E307" s="114"/>
      <c r="F307" s="1144">
        <v>-10</v>
      </c>
      <c r="G307" s="114"/>
      <c r="H307" s="1144">
        <f>D307-F307</f>
        <v>20.64115432873276</v>
      </c>
      <c r="I307" s="114"/>
      <c r="J307" s="1047">
        <f>486+92</f>
        <v>578</v>
      </c>
      <c r="K307" s="1063">
        <f>J307-J306</f>
        <v>3</v>
      </c>
      <c r="L307" s="1122">
        <f>AVERAGE(J307,J306)</f>
        <v>576.5</v>
      </c>
      <c r="M307" s="114"/>
      <c r="N307" s="1123">
        <f>(L307/L300-1)*100</f>
        <v>6.0717571297148165</v>
      </c>
      <c r="O307" s="246"/>
      <c r="P307" s="1049">
        <f>H307/N307*100</f>
        <v>339.95355689897713</v>
      </c>
      <c r="Q307" s="310"/>
      <c r="R307" s="114"/>
      <c r="S307" s="1050">
        <f>AY307-AS307</f>
        <v>440.90500000000003</v>
      </c>
      <c r="T307" s="1109"/>
      <c r="U307" s="1131">
        <f>S307/L307</f>
        <v>0.76479618386817005</v>
      </c>
      <c r="V307" s="114"/>
      <c r="W307" s="1144">
        <f>(U307/U300-1)*100</f>
        <v>4.30783586759107</v>
      </c>
      <c r="X307" s="246"/>
      <c r="Y307" s="114"/>
      <c r="Z307" s="1063">
        <f>Z306+(SegqtrSales!J307-SegqtrSales!J306)*(squft!$CN$29/1000)</f>
        <v>4092.2</v>
      </c>
      <c r="AA307" s="1057"/>
      <c r="AB307" s="1127">
        <f>AVERAGE(Z307,Z306)</f>
        <v>4079.6</v>
      </c>
      <c r="AC307" s="114"/>
      <c r="AD307" s="1128">
        <f>(Z307/Z300-1)*100</f>
        <v>8.3165696135521383</v>
      </c>
      <c r="AE307" s="246"/>
      <c r="AF307" s="1144">
        <f>+H307/AD307*100</f>
        <v>248.19312875223559</v>
      </c>
      <c r="AG307" s="310"/>
      <c r="AH307" s="114"/>
      <c r="AI307" s="1132">
        <f>+S307</f>
        <v>440.90500000000003</v>
      </c>
      <c r="AJ307" s="114"/>
      <c r="AK307" s="1106">
        <f>AI307/AB307*1000</f>
        <v>108.07554662221787</v>
      </c>
      <c r="AL307" s="114"/>
      <c r="AM307" s="1126">
        <f>(AK307/AK300-1)*100</f>
        <v>2.1496979554789464</v>
      </c>
      <c r="AN307" s="246"/>
      <c r="AO307" s="246"/>
      <c r="AP307" s="246"/>
      <c r="AQ307" s="246"/>
      <c r="AR307" s="246"/>
      <c r="AS307" s="1100">
        <f>qtrSales!$AS$140*(AV307/100)</f>
        <v>44.695</v>
      </c>
      <c r="AT307" s="114" t="s">
        <v>718</v>
      </c>
      <c r="AU307" s="1100">
        <f>(AS307/AS300-1)*100</f>
        <v>25.19607843137257</v>
      </c>
      <c r="AV307" s="1101">
        <v>35</v>
      </c>
      <c r="AW307" s="114"/>
      <c r="AX307" s="310"/>
      <c r="AY307" s="1081">
        <v>485.6</v>
      </c>
      <c r="AZ307" s="1103">
        <f>AY307/AY300-1</f>
        <v>0.11837862736066329</v>
      </c>
      <c r="BA307" s="114"/>
      <c r="BB307" s="1129">
        <f>BI307</f>
        <v>0</v>
      </c>
      <c r="BC307" s="1129"/>
      <c r="BD307" s="114"/>
      <c r="BE307" s="114"/>
      <c r="BF307" s="114"/>
      <c r="BG307" s="1263">
        <f>+BG303*BI12</f>
        <v>0</v>
      </c>
      <c r="BH307" s="1263"/>
      <c r="BI307" s="1150">
        <f>SUM(BG307:BH307)</f>
        <v>0</v>
      </c>
      <c r="BJ307" s="114"/>
      <c r="BK307" s="114"/>
      <c r="BL307" s="114"/>
      <c r="BM307" s="114"/>
      <c r="BN307" s="114"/>
      <c r="BO307" s="114"/>
      <c r="BP307" s="114"/>
      <c r="BQ307" s="114"/>
      <c r="BR307" s="114"/>
      <c r="BS307" s="114"/>
      <c r="BT307" s="114"/>
      <c r="BU307" s="114"/>
      <c r="BV307" s="114"/>
      <c r="BW307" s="114"/>
      <c r="BX307" s="114"/>
      <c r="BY307" s="114"/>
      <c r="BZ307" s="114"/>
      <c r="CA307" s="114"/>
      <c r="CB307" s="114"/>
      <c r="CC307" s="114"/>
      <c r="CD307" s="114"/>
      <c r="CE307" s="114"/>
      <c r="CF307" s="114"/>
      <c r="CG307" s="114"/>
      <c r="CH307" s="114"/>
      <c r="CI307" s="114"/>
      <c r="CJ307" s="114"/>
      <c r="CK307" s="114"/>
      <c r="CL307" s="114"/>
      <c r="CM307" s="114"/>
      <c r="CN307" s="114"/>
    </row>
    <row r="308" spans="1:92">
      <c r="A308" s="114" t="s">
        <v>117</v>
      </c>
      <c r="B308" s="245" t="s">
        <v>99</v>
      </c>
      <c r="C308" s="114"/>
      <c r="D308" s="1045">
        <f>(S308/S301-1)*100</f>
        <v>16.042903738395921</v>
      </c>
      <c r="E308" s="114"/>
      <c r="F308" s="1144">
        <v>-1</v>
      </c>
      <c r="G308" s="114"/>
      <c r="H308" s="1144">
        <f>D308-F308</f>
        <v>17.042903738395921</v>
      </c>
      <c r="I308" s="114"/>
      <c r="J308" s="1047">
        <v>578</v>
      </c>
      <c r="K308" s="1063">
        <f>J308-J307</f>
        <v>0</v>
      </c>
      <c r="L308" s="1122">
        <f>AVERAGE(J308,J307)</f>
        <v>578</v>
      </c>
      <c r="M308" s="114"/>
      <c r="N308" s="1123">
        <f>(L308/L301-1)*100</f>
        <v>4.2380522993687997</v>
      </c>
      <c r="O308" s="246"/>
      <c r="P308" s="1049">
        <f>H308/N308*100</f>
        <v>402.14000523151236</v>
      </c>
      <c r="Q308" s="310"/>
      <c r="R308" s="114"/>
      <c r="S308" s="1050">
        <f>AY308-AS308</f>
        <v>555.01</v>
      </c>
      <c r="T308" s="1109"/>
      <c r="U308" s="1131">
        <f>S308/L308</f>
        <v>0.96022491349480965</v>
      </c>
      <c r="V308" s="114"/>
      <c r="W308" s="1144">
        <f>(U308/U301-1)*100</f>
        <v>11.324896406471519</v>
      </c>
      <c r="X308" s="246"/>
      <c r="Y308" s="114"/>
      <c r="Z308" s="1063">
        <f>Z307+(SegqtrSales!J308-SegqtrSales!J307)*(squft!$CN$29/1000)</f>
        <v>4092.2</v>
      </c>
      <c r="AA308" s="1057"/>
      <c r="AB308" s="1127">
        <f>AVERAGE(Z308,Z307)</f>
        <v>4092.2</v>
      </c>
      <c r="AC308" s="114"/>
      <c r="AD308" s="1128">
        <f>(Z308/Z301-1)*100</f>
        <v>3.7576064908722007</v>
      </c>
      <c r="AE308" s="246"/>
      <c r="AF308" s="1144">
        <f>+H308/AD308*100</f>
        <v>453.55743822020037</v>
      </c>
      <c r="AG308" s="310"/>
      <c r="AH308" s="114"/>
      <c r="AI308" s="1132">
        <f>+S308</f>
        <v>555.01</v>
      </c>
      <c r="AJ308" s="114"/>
      <c r="AK308" s="1106">
        <f>AI308/AB308*1000</f>
        <v>135.62631347441476</v>
      </c>
      <c r="AL308" s="114"/>
      <c r="AM308" s="1126">
        <f>(AK308/AK301-1)*100</f>
        <v>9.4867433981591134</v>
      </c>
      <c r="AN308" s="246"/>
      <c r="AO308" s="246"/>
      <c r="AP308" s="246"/>
      <c r="AQ308" s="246"/>
      <c r="AR308" s="246"/>
      <c r="AS308" s="1100">
        <f>qtrSales!$AS$141*(AV308/100)</f>
        <v>47.49</v>
      </c>
      <c r="AT308" s="114" t="s">
        <v>718</v>
      </c>
      <c r="AU308" s="1100">
        <f>(AS308/AS301-1)*100</f>
        <v>19.561933534743204</v>
      </c>
      <c r="AV308" s="1101">
        <v>30</v>
      </c>
      <c r="AW308" s="114"/>
      <c r="AX308" s="310"/>
      <c r="AY308" s="1102">
        <v>602.5</v>
      </c>
      <c r="AZ308" s="1103">
        <f>AY308/AY301-1</f>
        <v>0.16312741312741319</v>
      </c>
      <c r="BA308" s="114"/>
      <c r="BB308" s="1129">
        <f>BI308</f>
        <v>0</v>
      </c>
      <c r="BC308" s="114"/>
      <c r="BD308" s="114"/>
      <c r="BE308" s="114"/>
      <c r="BF308" s="114"/>
      <c r="BG308" s="1263">
        <f>+BG303*BI27</f>
        <v>0</v>
      </c>
      <c r="BH308" s="1263"/>
      <c r="BI308" s="1150">
        <f>SUM(BG308:BH308)</f>
        <v>0</v>
      </c>
      <c r="BJ308" s="114"/>
      <c r="BK308" s="114"/>
      <c r="BL308" s="114"/>
      <c r="BM308" s="114"/>
      <c r="BN308" s="114"/>
      <c r="BO308" s="114"/>
      <c r="BP308" s="114"/>
      <c r="BQ308" s="114"/>
      <c r="BR308" s="114"/>
      <c r="BS308" s="114"/>
      <c r="BT308" s="114"/>
      <c r="BU308" s="114"/>
      <c r="BV308" s="114"/>
      <c r="BW308" s="114"/>
      <c r="BX308" s="114"/>
      <c r="BY308" s="114"/>
      <c r="BZ308" s="114"/>
      <c r="CA308" s="114"/>
      <c r="CB308" s="114"/>
      <c r="CC308" s="114"/>
      <c r="CD308" s="114"/>
      <c r="CE308" s="114"/>
      <c r="CF308" s="114"/>
      <c r="CG308" s="114"/>
      <c r="CH308" s="114"/>
      <c r="CI308" s="114"/>
      <c r="CJ308" s="114"/>
      <c r="CK308" s="114"/>
      <c r="CL308" s="114"/>
      <c r="CM308" s="114"/>
      <c r="CN308" s="114"/>
    </row>
    <row r="309" spans="1:92">
      <c r="A309" s="114" t="s">
        <v>118</v>
      </c>
      <c r="B309" s="245" t="s">
        <v>100</v>
      </c>
      <c r="C309" s="114"/>
      <c r="D309" s="1061">
        <f>(S309/S302-1)*100</f>
        <v>11.410108554377896</v>
      </c>
      <c r="E309" s="114"/>
      <c r="F309" s="1104">
        <v>-2</v>
      </c>
      <c r="G309" s="114"/>
      <c r="H309" s="1104">
        <f>D309-F309</f>
        <v>13.410108554377896</v>
      </c>
      <c r="I309" s="114"/>
      <c r="J309" s="1063">
        <f>squft!CM33</f>
        <v>585</v>
      </c>
      <c r="K309" s="1063">
        <f>J309-J308</f>
        <v>7</v>
      </c>
      <c r="L309" s="1108">
        <f>AVERAGE(J309,J308)</f>
        <v>581.5</v>
      </c>
      <c r="M309" s="114"/>
      <c r="N309" s="1107">
        <f>(L309/L302-1)*100</f>
        <v>2.5573192239858988</v>
      </c>
      <c r="O309" s="246"/>
      <c r="P309" s="1064">
        <f>H309/N309*100</f>
        <v>524.38148622980987</v>
      </c>
      <c r="Q309" s="310"/>
      <c r="R309" s="114"/>
      <c r="S309" s="1266">
        <f>AY309-AS309</f>
        <v>669.46</v>
      </c>
      <c r="T309" s="1109"/>
      <c r="U309" s="1133">
        <f>S309/L309</f>
        <v>1.1512639724849527</v>
      </c>
      <c r="V309" s="114"/>
      <c r="W309" s="1104">
        <f>(U309/U302-1)*100</f>
        <v>8.6320404992816115</v>
      </c>
      <c r="X309" s="246"/>
      <c r="Y309" s="114"/>
      <c r="Z309" s="1063">
        <f>Z308+(SegqtrSales!J309-SegqtrSales!J308)*(squft!$CN$29/1000)</f>
        <v>4151</v>
      </c>
      <c r="AA309" s="1057"/>
      <c r="AB309" s="1110">
        <f>AVERAGE(Z309,Z308)</f>
        <v>4121.6000000000004</v>
      </c>
      <c r="AC309" s="114"/>
      <c r="AD309" s="1107">
        <f>(Z309/Z302-1)*100</f>
        <v>3.6023984042585111</v>
      </c>
      <c r="AE309" s="246"/>
      <c r="AF309" s="1104">
        <f>+H309/AD309*100</f>
        <v>372.25501039877696</v>
      </c>
      <c r="AG309" s="310"/>
      <c r="AH309" s="114"/>
      <c r="AI309" s="1111">
        <f>+S309</f>
        <v>669.46</v>
      </c>
      <c r="AJ309" s="114"/>
      <c r="AK309" s="1135">
        <f>AI309/AB309*1000</f>
        <v>162.42721273291923</v>
      </c>
      <c r="AL309" s="114"/>
      <c r="AM309" s="1134">
        <f>(AK309/AK302-1)*100</f>
        <v>7.4563688033026043</v>
      </c>
      <c r="AN309" s="246"/>
      <c r="AO309" s="246"/>
      <c r="AP309" s="246"/>
      <c r="AQ309" s="246"/>
      <c r="AR309" s="246"/>
      <c r="AS309" s="1100">
        <f>qtrSales!$AS$142*(AV309/100)</f>
        <v>93.239999999999981</v>
      </c>
      <c r="AT309" s="1042" t="s">
        <v>718</v>
      </c>
      <c r="AU309" s="1136">
        <f>(AS309/AS302-1)*100</f>
        <v>25.482807348092319</v>
      </c>
      <c r="AV309" s="1137">
        <v>35</v>
      </c>
      <c r="AW309" s="114"/>
      <c r="AX309" s="310"/>
      <c r="AY309" s="1145">
        <v>762.7</v>
      </c>
      <c r="AZ309" s="1138">
        <f>AY309/AY302-1</f>
        <v>0.12958788629180629</v>
      </c>
      <c r="BA309" s="114"/>
      <c r="BB309" s="1129">
        <f>BI309</f>
        <v>0</v>
      </c>
      <c r="BC309" s="114"/>
      <c r="BD309" s="114"/>
      <c r="BE309" s="114"/>
      <c r="BF309" s="114"/>
      <c r="BG309" s="1265"/>
      <c r="BH309" s="1265"/>
      <c r="BI309" s="1150">
        <f>SUM(BG309:BH309)</f>
        <v>0</v>
      </c>
      <c r="BJ309" s="114"/>
      <c r="BK309" s="114"/>
      <c r="BL309" s="114"/>
      <c r="BM309" s="114"/>
      <c r="BN309" s="114"/>
      <c r="BO309" s="114"/>
      <c r="BP309" s="114"/>
      <c r="BQ309" s="114"/>
      <c r="BR309" s="114"/>
      <c r="BS309" s="114"/>
      <c r="BT309" s="114"/>
      <c r="BU309" s="114"/>
      <c r="BV309" s="114"/>
      <c r="BW309" s="114"/>
      <c r="BX309" s="114"/>
      <c r="BY309" s="114"/>
      <c r="BZ309" s="114"/>
      <c r="CA309" s="114"/>
      <c r="CB309" s="114"/>
      <c r="CC309" s="114"/>
      <c r="CD309" s="114"/>
      <c r="CE309" s="114"/>
      <c r="CF309" s="114"/>
      <c r="CG309" s="114"/>
      <c r="CH309" s="114"/>
      <c r="CI309" s="114"/>
      <c r="CJ309" s="114"/>
      <c r="CK309" s="114"/>
      <c r="CL309" s="114"/>
      <c r="CM309" s="114"/>
      <c r="CN309" s="114"/>
    </row>
    <row r="310" spans="1:92">
      <c r="A310" s="114"/>
      <c r="B310" s="245" t="s">
        <v>119</v>
      </c>
      <c r="C310" s="114"/>
      <c r="D310" s="1123">
        <f>(S310/S303-1)*100</f>
        <v>13.334009633622212</v>
      </c>
      <c r="E310" s="114"/>
      <c r="F310" s="1139">
        <v>-1</v>
      </c>
      <c r="G310" s="114"/>
      <c r="H310" s="1126">
        <f>D310-F310</f>
        <v>14.334009633622212</v>
      </c>
      <c r="I310" s="114"/>
      <c r="J310" s="114"/>
      <c r="K310" s="114"/>
      <c r="L310" s="1122">
        <f>AVERAGE(L306:L309)</f>
        <v>577.125</v>
      </c>
      <c r="M310" s="114"/>
      <c r="N310" s="1123">
        <f>(L310/L303-1)*100</f>
        <v>4.6464188576609278</v>
      </c>
      <c r="O310" s="246"/>
      <c r="P310" s="1124">
        <f>H310/N310*100</f>
        <v>308.49585611483496</v>
      </c>
      <c r="Q310" s="310"/>
      <c r="R310" s="114"/>
      <c r="S310" s="1095">
        <f>SUM(S306:S309)</f>
        <v>2091.9497499999998</v>
      </c>
      <c r="T310" s="114"/>
      <c r="U310" s="1125">
        <f>SUM(U306:U309)</f>
        <v>3.6213938034723867</v>
      </c>
      <c r="V310" s="114"/>
      <c r="W310" s="1144">
        <f>(U310/U303-1)*100</f>
        <v>8.5538101537671274</v>
      </c>
      <c r="X310" s="246"/>
      <c r="Y310" s="114"/>
      <c r="Z310" s="114"/>
      <c r="AA310" s="114"/>
      <c r="AB310" s="1127">
        <f>AVERAGE(AB306:AB309)</f>
        <v>4082.558</v>
      </c>
      <c r="AC310" s="114"/>
      <c r="AD310" s="1103">
        <f>Z309/Z302-1</f>
        <v>3.6023984042585111E-2</v>
      </c>
      <c r="AE310" s="246"/>
      <c r="AF310" s="1144">
        <f>+H310/AD310*100</f>
        <v>39790.184274669671</v>
      </c>
      <c r="AG310" s="310"/>
      <c r="AH310" s="114"/>
      <c r="AI310" s="1129">
        <f>SUM(AI306:AI309)</f>
        <v>2091.9497499999998</v>
      </c>
      <c r="AJ310" s="114"/>
      <c r="AK310" s="1097">
        <f>SUM(AK306:AK309)</f>
        <v>511.79974478221175</v>
      </c>
      <c r="AL310" s="114"/>
      <c r="AM310" s="1126">
        <f>(AK310/AK303-1)*100</f>
        <v>6.83013433269688</v>
      </c>
      <c r="AN310" s="246"/>
      <c r="AO310" s="246"/>
      <c r="AP310" s="246"/>
      <c r="AQ310" s="246"/>
      <c r="AR310" s="246"/>
      <c r="AS310" s="1100">
        <f>SUM(AS306:AS309)</f>
        <v>222.48224999999999</v>
      </c>
      <c r="AT310" s="114" t="s">
        <v>718</v>
      </c>
      <c r="AU310" s="1100">
        <f>(AS310/AS303-1)*100</f>
        <v>26.284802043422715</v>
      </c>
      <c r="AV310" s="1124">
        <f>(AS310/qtrSales!AS$143)*100</f>
        <v>31.754644754927359</v>
      </c>
      <c r="AW310" s="114"/>
      <c r="AX310" s="310"/>
      <c r="AY310" s="1140">
        <f>SUM(AY306:AY309)</f>
        <v>2314.4319999999998</v>
      </c>
      <c r="AZ310" s="1103">
        <f>AY310/AY303-1</f>
        <v>0.14462399146984017</v>
      </c>
      <c r="BA310" s="114"/>
      <c r="BB310" s="1129"/>
      <c r="BC310" s="114"/>
      <c r="BD310" s="114"/>
      <c r="BE310" s="114"/>
      <c r="BF310" s="114"/>
      <c r="BG310" s="1170">
        <f>+BG308+BG307+BG306+BG302</f>
        <v>0</v>
      </c>
      <c r="BH310" s="1170"/>
      <c r="BI310" s="1150"/>
      <c r="BJ310" s="114"/>
      <c r="BK310" s="114"/>
      <c r="BL310" s="114"/>
      <c r="BM310" s="114"/>
      <c r="BN310" s="114"/>
      <c r="BO310" s="114"/>
      <c r="BP310" s="114"/>
      <c r="BQ310" s="114"/>
      <c r="BR310" s="114"/>
      <c r="BS310" s="114"/>
      <c r="BT310" s="114"/>
      <c r="BU310" s="114"/>
      <c r="BV310" s="114"/>
      <c r="BW310" s="114"/>
      <c r="BX310" s="114"/>
      <c r="BY310" s="114"/>
      <c r="BZ310" s="114"/>
      <c r="CA310" s="114"/>
      <c r="CB310" s="114"/>
      <c r="CC310" s="114"/>
      <c r="CD310" s="114"/>
      <c r="CE310" s="114"/>
      <c r="CF310" s="114"/>
      <c r="CG310" s="114"/>
      <c r="CH310" s="114"/>
      <c r="CI310" s="114"/>
      <c r="CJ310" s="114"/>
      <c r="CK310" s="114"/>
      <c r="CL310" s="114"/>
      <c r="CM310" s="114"/>
      <c r="CN310" s="114"/>
    </row>
    <row r="311" spans="1:92" s="97" customFormat="1">
      <c r="A311" s="310"/>
      <c r="B311" s="247"/>
      <c r="C311" s="310"/>
      <c r="D311" s="1128"/>
      <c r="E311" s="310"/>
      <c r="F311" s="1210"/>
      <c r="G311" s="310"/>
      <c r="H311" s="1126"/>
      <c r="I311" s="310"/>
      <c r="J311" s="310"/>
      <c r="K311" s="310"/>
      <c r="L311" s="1124"/>
      <c r="M311" s="310"/>
      <c r="N311" s="1128"/>
      <c r="O311" s="249"/>
      <c r="P311" s="1124"/>
      <c r="Q311" s="310"/>
      <c r="R311" s="310"/>
      <c r="S311" s="1211"/>
      <c r="T311" s="310"/>
      <c r="U311" s="1212"/>
      <c r="V311" s="310"/>
      <c r="W311" s="1144"/>
      <c r="X311" s="249"/>
      <c r="Y311" s="310"/>
      <c r="Z311" s="310"/>
      <c r="AA311" s="310"/>
      <c r="AB311" s="1127"/>
      <c r="AC311" s="310"/>
      <c r="AD311" s="1216"/>
      <c r="AE311" s="249"/>
      <c r="AF311" s="1144"/>
      <c r="AG311" s="310"/>
      <c r="AH311" s="310"/>
      <c r="AI311" s="1143"/>
      <c r="AJ311" s="310"/>
      <c r="AK311" s="1213"/>
      <c r="AL311" s="310"/>
      <c r="AM311" s="1126"/>
      <c r="AN311" s="249"/>
      <c r="AO311" s="249"/>
      <c r="AP311" s="249"/>
      <c r="AQ311" s="249"/>
      <c r="AR311" s="249"/>
      <c r="AS311" s="1214"/>
      <c r="AT311" s="310"/>
      <c r="AU311" s="1214"/>
      <c r="AV311" s="1124"/>
      <c r="AW311" s="310"/>
      <c r="AX311" s="310"/>
      <c r="AY311" s="1215"/>
      <c r="AZ311" s="1216"/>
      <c r="BA311" s="310"/>
      <c r="BB311" s="1143"/>
      <c r="BC311" s="310"/>
      <c r="BD311" s="310"/>
      <c r="BE311" s="310"/>
      <c r="BF311" s="310"/>
      <c r="BG311" s="1217"/>
      <c r="BH311" s="1217"/>
      <c r="BI311" s="1163"/>
      <c r="BJ311" s="310"/>
      <c r="BK311" s="310"/>
      <c r="BL311" s="310"/>
      <c r="BM311" s="310"/>
      <c r="BN311" s="310"/>
      <c r="BO311" s="310"/>
      <c r="BP311" s="310"/>
      <c r="BQ311" s="310"/>
      <c r="BR311" s="310"/>
      <c r="BS311" s="310"/>
      <c r="BT311" s="310"/>
      <c r="BU311" s="310"/>
      <c r="BV311" s="310"/>
      <c r="BW311" s="310"/>
      <c r="BX311" s="310"/>
      <c r="BY311" s="310"/>
      <c r="BZ311" s="310"/>
      <c r="CA311" s="310"/>
      <c r="CB311" s="310"/>
      <c r="CC311" s="310"/>
      <c r="CD311" s="310"/>
      <c r="CE311" s="310"/>
      <c r="CF311" s="310"/>
      <c r="CG311" s="310"/>
      <c r="CH311" s="310"/>
      <c r="CI311" s="310"/>
      <c r="CJ311" s="310"/>
      <c r="CK311" s="310"/>
      <c r="CL311" s="310"/>
      <c r="CM311" s="310"/>
      <c r="CN311" s="310"/>
    </row>
    <row r="312" spans="1:92" ht="13.5" customHeight="1">
      <c r="A312" s="1120"/>
      <c r="B312" s="1172">
        <v>2013</v>
      </c>
      <c r="C312" s="114"/>
      <c r="D312" s="1123"/>
      <c r="E312" s="114"/>
      <c r="F312" s="1139"/>
      <c r="G312" s="114"/>
      <c r="H312" s="1126"/>
      <c r="I312" s="114"/>
      <c r="J312" s="114"/>
      <c r="K312" s="114"/>
      <c r="L312" s="1122"/>
      <c r="M312" s="114"/>
      <c r="N312" s="1123"/>
      <c r="O312" s="246"/>
      <c r="P312" s="1124"/>
      <c r="Q312" s="310"/>
      <c r="R312" s="114"/>
      <c r="S312" s="1211"/>
      <c r="T312" s="310"/>
      <c r="U312" s="1212"/>
      <c r="V312" s="114"/>
      <c r="W312" s="1144"/>
      <c r="X312" s="246"/>
      <c r="Y312" s="114"/>
      <c r="Z312" s="114"/>
      <c r="AA312" s="114"/>
      <c r="AB312" s="1127"/>
      <c r="AC312" s="114"/>
      <c r="AD312" s="1103"/>
      <c r="AE312" s="246"/>
      <c r="AF312" s="1144"/>
      <c r="AG312" s="310"/>
      <c r="AH312" s="114"/>
      <c r="AI312" s="1129"/>
      <c r="AJ312" s="114"/>
      <c r="AK312" s="1097"/>
      <c r="AL312" s="114"/>
      <c r="AM312" s="1126"/>
      <c r="AN312" s="246"/>
      <c r="AO312" s="246"/>
      <c r="AP312" s="246"/>
      <c r="AQ312" s="246"/>
      <c r="AR312" s="246"/>
      <c r="AS312" s="1100"/>
      <c r="AT312" s="114"/>
      <c r="AU312" s="1100"/>
      <c r="AV312" s="1121" t="s">
        <v>76</v>
      </c>
      <c r="AW312" s="114"/>
      <c r="AX312" s="310"/>
      <c r="AY312" s="1142"/>
      <c r="AZ312" s="1103"/>
      <c r="BA312" s="114"/>
      <c r="BB312" s="1129"/>
      <c r="BC312" s="114"/>
      <c r="BD312" s="114"/>
      <c r="BE312" s="114"/>
      <c r="BF312" s="114"/>
      <c r="BG312" s="1170"/>
      <c r="BH312" s="1170"/>
      <c r="BI312" s="1150"/>
      <c r="BJ312" s="114"/>
      <c r="BK312" s="114"/>
      <c r="BL312" s="114"/>
      <c r="BM312" s="114"/>
      <c r="BN312" s="114"/>
      <c r="BO312" s="114"/>
      <c r="BP312" s="114"/>
      <c r="BQ312" s="114"/>
      <c r="BR312" s="114"/>
      <c r="BS312" s="114"/>
      <c r="BT312" s="114"/>
      <c r="BU312" s="114"/>
      <c r="BV312" s="114"/>
      <c r="BW312" s="114"/>
      <c r="BX312" s="114"/>
      <c r="BY312" s="114"/>
      <c r="BZ312" s="114"/>
      <c r="CA312" s="114"/>
      <c r="CB312" s="114"/>
      <c r="CC312" s="114"/>
      <c r="CD312" s="114"/>
      <c r="CE312" s="114"/>
      <c r="CF312" s="114"/>
      <c r="CG312" s="114"/>
      <c r="CH312" s="114"/>
      <c r="CI312" s="114"/>
      <c r="CJ312" s="114"/>
      <c r="CK312" s="114"/>
      <c r="CL312" s="114"/>
      <c r="CM312" s="114"/>
      <c r="CN312" s="114"/>
    </row>
    <row r="313" spans="1:92">
      <c r="A313" s="114" t="s">
        <v>115</v>
      </c>
      <c r="B313" s="245" t="s">
        <v>96</v>
      </c>
      <c r="C313" s="114"/>
      <c r="D313" s="1045">
        <f>(S313/S306-1)*100</f>
        <v>-9.0381580250589177</v>
      </c>
      <c r="E313" s="114" t="s">
        <v>76</v>
      </c>
      <c r="F313" s="1144">
        <v>-18</v>
      </c>
      <c r="G313" s="114" t="s">
        <v>76</v>
      </c>
      <c r="H313" s="1144">
        <f>D313-F313</f>
        <v>8.9618419749410823</v>
      </c>
      <c r="I313" s="114" t="s">
        <v>76</v>
      </c>
      <c r="J313" s="1218">
        <f>481+112</f>
        <v>593</v>
      </c>
      <c r="K313" s="1063">
        <f>J313-J309</f>
        <v>8</v>
      </c>
      <c r="L313" s="1122">
        <f>AVERAGE(J313,J309)</f>
        <v>589</v>
      </c>
      <c r="M313" s="114"/>
      <c r="N313" s="1123">
        <f>(L313/L307-1)*100</f>
        <v>2.1682567215958404</v>
      </c>
      <c r="O313" s="246" t="s">
        <v>76</v>
      </c>
      <c r="P313" s="1049">
        <f>H313/N313*100</f>
        <v>413.3201518842821</v>
      </c>
      <c r="Q313" s="310" t="s">
        <v>76</v>
      </c>
      <c r="R313" s="114"/>
      <c r="S313" s="1050">
        <f>AY313-AS313</f>
        <v>388.02024999999998</v>
      </c>
      <c r="T313" s="310"/>
      <c r="U313" s="1125">
        <f>S313/L313</f>
        <v>0.65877801358234289</v>
      </c>
      <c r="V313" s="114"/>
      <c r="W313" s="1144">
        <f>(U313/U307-1)*100</f>
        <v>-13.862277626649588</v>
      </c>
      <c r="X313" s="246" t="s">
        <v>76</v>
      </c>
      <c r="Y313" s="114"/>
      <c r="Z313" s="1267">
        <f>squft!CS28</f>
        <v>4168.6639999999998</v>
      </c>
      <c r="AA313" s="114"/>
      <c r="AB313" s="1127">
        <f>AVERAGE(Z313,Z309)</f>
        <v>4159.8320000000003</v>
      </c>
      <c r="AC313" s="114"/>
      <c r="AD313" s="1128">
        <f>(Z313/Z306-1)*100</f>
        <v>2.499729530366368</v>
      </c>
      <c r="AE313" s="246" t="s">
        <v>76</v>
      </c>
      <c r="AF313" s="1144">
        <f>+H313/AD313*100</f>
        <v>358.51246569174253</v>
      </c>
      <c r="AG313" s="310" t="s">
        <v>76</v>
      </c>
      <c r="AH313" s="114"/>
      <c r="AI313" s="1129">
        <f>+S313</f>
        <v>388.02024999999998</v>
      </c>
      <c r="AJ313" s="114"/>
      <c r="AK313" s="1097">
        <f>AI313/AB313*1000</f>
        <v>93.277865548416372</v>
      </c>
      <c r="AL313" s="114"/>
      <c r="AM313" s="1126">
        <f>(AK313/AK306-1)*100</f>
        <v>-11.727763413670223</v>
      </c>
      <c r="AN313" s="246" t="s">
        <v>76</v>
      </c>
      <c r="AO313" s="246"/>
      <c r="AP313" s="246"/>
      <c r="AQ313" s="246"/>
      <c r="AR313" s="246"/>
      <c r="AS313" s="1100">
        <f>qtrSales!$AS146*(AV313/100)</f>
        <v>33.179749999999999</v>
      </c>
      <c r="AT313" s="114" t="s">
        <v>718</v>
      </c>
      <c r="AU313" s="1100">
        <f>(AS313/AS306-1)*100</f>
        <v>-10.463539523305165</v>
      </c>
      <c r="AV313" s="1101">
        <v>25</v>
      </c>
      <c r="AW313" s="114"/>
      <c r="AX313" s="310"/>
      <c r="AY313" s="1102">
        <v>421.2</v>
      </c>
      <c r="AZ313" s="1103">
        <f>AY313/AY306-1</f>
        <v>-9.1520861372812901E-2</v>
      </c>
      <c r="BA313" s="114"/>
      <c r="BB313" s="1129"/>
      <c r="BC313" s="114"/>
      <c r="BD313" s="114"/>
      <c r="BE313" s="114"/>
      <c r="BF313" s="114"/>
      <c r="BG313" s="1170"/>
      <c r="BH313" s="1170"/>
      <c r="BI313" s="1150"/>
      <c r="BJ313" s="114"/>
      <c r="BK313" s="114"/>
      <c r="BL313" s="114"/>
      <c r="BM313" s="114"/>
      <c r="BN313" s="114"/>
      <c r="BO313" s="114"/>
      <c r="BP313" s="114"/>
      <c r="BQ313" s="114"/>
      <c r="BR313" s="114"/>
      <c r="BS313" s="114"/>
      <c r="BT313" s="114"/>
      <c r="BU313" s="114"/>
      <c r="BV313" s="114"/>
      <c r="BW313" s="114"/>
      <c r="BX313" s="114"/>
      <c r="BY313" s="114"/>
      <c r="BZ313" s="114"/>
      <c r="CA313" s="114"/>
      <c r="CB313" s="114"/>
      <c r="CC313" s="114"/>
      <c r="CD313" s="114"/>
      <c r="CE313" s="114"/>
      <c r="CF313" s="114"/>
      <c r="CG313" s="114"/>
      <c r="CH313" s="114"/>
      <c r="CI313" s="114"/>
      <c r="CJ313" s="114"/>
      <c r="CK313" s="114"/>
      <c r="CL313" s="114"/>
      <c r="CM313" s="114"/>
      <c r="CN313" s="114"/>
    </row>
    <row r="314" spans="1:92">
      <c r="A314" s="114" t="s">
        <v>116</v>
      </c>
      <c r="B314" s="245" t="s">
        <v>97</v>
      </c>
      <c r="C314" s="114"/>
      <c r="D314" s="1045">
        <f>(S314/S307-1)*100</f>
        <v>-1.4538279221147477</v>
      </c>
      <c r="E314" s="114"/>
      <c r="F314" s="1144">
        <v>-13</v>
      </c>
      <c r="G314" s="114"/>
      <c r="H314" s="1144">
        <f>D314-F314</f>
        <v>11.546172077885252</v>
      </c>
      <c r="I314" s="114"/>
      <c r="J314" s="1047">
        <f>478+116</f>
        <v>594</v>
      </c>
      <c r="K314" s="1063">
        <f>J314-J313</f>
        <v>1</v>
      </c>
      <c r="L314" s="1122">
        <f>AVERAGE(J314,J313)</f>
        <v>593.5</v>
      </c>
      <c r="M314" s="114"/>
      <c r="N314" s="1123">
        <f>(L314/L308-1)*100</f>
        <v>2.6816608996539815</v>
      </c>
      <c r="O314" s="246"/>
      <c r="P314" s="1049">
        <f>H314/N314*100</f>
        <v>430.56048135597871</v>
      </c>
      <c r="Q314" s="310"/>
      <c r="R314" s="114"/>
      <c r="S314" s="1050">
        <f>AY314-AS314</f>
        <v>434.495</v>
      </c>
      <c r="T314" s="310"/>
      <c r="U314" s="1131">
        <f>S314/L314</f>
        <v>0.73208930075821399</v>
      </c>
      <c r="V314" s="114"/>
      <c r="W314" s="1144">
        <f>(U314/U308-1)*100</f>
        <v>-23.758560055089507</v>
      </c>
      <c r="X314" s="246"/>
      <c r="Y314" s="114"/>
      <c r="Z314" s="1063">
        <f>Z313+(SegqtrSales!J314-SegqtrSales!J313)*(squft!$CR$29/1000)</f>
        <v>4177.0639999999994</v>
      </c>
      <c r="AA314" s="114"/>
      <c r="AB314" s="1127">
        <f>AVERAGE(Z314,Z313)</f>
        <v>4172.8639999999996</v>
      </c>
      <c r="AC314" s="114"/>
      <c r="AD314" s="1128">
        <f>(Z314/Z307-1)*100</f>
        <v>2.0737989345584129</v>
      </c>
      <c r="AE314" s="246"/>
      <c r="AF314" s="1144">
        <f>+H314/AD314*100</f>
        <v>556.76429790161171</v>
      </c>
      <c r="AG314" s="310"/>
      <c r="AH314" s="114"/>
      <c r="AI314" s="1132">
        <f>+S314</f>
        <v>434.495</v>
      </c>
      <c r="AJ314" s="114"/>
      <c r="AK314" s="1106">
        <f>AI314/AB314*1000</f>
        <v>104.12393023113144</v>
      </c>
      <c r="AL314" s="114"/>
      <c r="AM314" s="1126">
        <f>(AK314/AK307-1)*100</f>
        <v>-3.6563464304274595</v>
      </c>
      <c r="AN314" s="246"/>
      <c r="AO314" s="246"/>
      <c r="AP314" s="246"/>
      <c r="AQ314" s="246"/>
      <c r="AR314" s="246"/>
      <c r="AS314" s="1100">
        <f>qtrSales!$AS147*(AV314/100)</f>
        <v>54.005000000000003</v>
      </c>
      <c r="AT314" s="114" t="s">
        <v>718</v>
      </c>
      <c r="AU314" s="1100">
        <f>(AS314/AS307-1)*100</f>
        <v>20.830070477682085</v>
      </c>
      <c r="AV314" s="1101">
        <v>35</v>
      </c>
      <c r="AW314" s="114"/>
      <c r="AX314" s="310"/>
      <c r="AY314" s="1102">
        <v>488.5</v>
      </c>
      <c r="AZ314" s="1103">
        <f>AY314/AY307-1</f>
        <v>5.9719934102140382E-3</v>
      </c>
      <c r="BA314" s="114"/>
      <c r="BB314" s="1129"/>
      <c r="BC314" s="114"/>
      <c r="BD314" s="114"/>
      <c r="BE314" s="114"/>
      <c r="BF314" s="114"/>
      <c r="BG314" s="1170"/>
      <c r="BH314" s="1170"/>
      <c r="BI314" s="1150"/>
      <c r="BJ314" s="114"/>
      <c r="BK314" s="114"/>
      <c r="BL314" s="114"/>
      <c r="BM314" s="114"/>
      <c r="BN314" s="114"/>
      <c r="BO314" s="114"/>
      <c r="BP314" s="114"/>
      <c r="BQ314" s="114"/>
      <c r="BR314" s="114"/>
      <c r="BS314" s="114"/>
      <c r="BT314" s="114"/>
      <c r="BU314" s="114"/>
      <c r="BV314" s="114"/>
      <c r="BW314" s="114"/>
      <c r="BX314" s="114"/>
      <c r="BY314" s="114"/>
      <c r="BZ314" s="114"/>
      <c r="CA314" s="114"/>
      <c r="CB314" s="114"/>
      <c r="CC314" s="114"/>
      <c r="CD314" s="114"/>
      <c r="CE314" s="114"/>
      <c r="CF314" s="114"/>
      <c r="CG314" s="114"/>
      <c r="CH314" s="114"/>
      <c r="CI314" s="114"/>
      <c r="CJ314" s="114"/>
      <c r="CK314" s="114"/>
      <c r="CL314" s="114"/>
      <c r="CM314" s="114"/>
      <c r="CN314" s="114"/>
    </row>
    <row r="315" spans="1:92">
      <c r="A315" s="114" t="s">
        <v>117</v>
      </c>
      <c r="B315" s="245" t="s">
        <v>99</v>
      </c>
      <c r="C315" s="114"/>
      <c r="D315" s="1045">
        <f>(S315/S308-1)*100</f>
        <v>-13.223185167834817</v>
      </c>
      <c r="E315" s="114"/>
      <c r="F315" s="1144">
        <v>-16</v>
      </c>
      <c r="G315" s="114"/>
      <c r="H315" s="1144">
        <f>D315-F315</f>
        <v>2.7768148321651829</v>
      </c>
      <c r="I315" s="114"/>
      <c r="J315" s="1047">
        <f>475+122</f>
        <v>597</v>
      </c>
      <c r="K315" s="1063">
        <f>J315-J314</f>
        <v>3</v>
      </c>
      <c r="L315" s="1122">
        <f>AVERAGE(J315,J314)</f>
        <v>595.5</v>
      </c>
      <c r="M315" s="114"/>
      <c r="N315" s="1123">
        <f>(L315/L309-1)*100</f>
        <v>2.4075666380051652</v>
      </c>
      <c r="O315" s="246"/>
      <c r="P315" s="1049">
        <f>H315/N315*100</f>
        <v>115.33698749314641</v>
      </c>
      <c r="Q315" s="310"/>
      <c r="R315" s="114"/>
      <c r="S315" s="1050">
        <f>AY315-AS315</f>
        <v>481.62</v>
      </c>
      <c r="T315" s="310"/>
      <c r="U315" s="1131">
        <f>S315/L315</f>
        <v>0.80876574307304783</v>
      </c>
      <c r="V315" s="114"/>
      <c r="W315" s="1144">
        <f>(U315/U309-1)*100</f>
        <v>-29.749756580381604</v>
      </c>
      <c r="X315" s="246"/>
      <c r="Y315" s="114"/>
      <c r="Z315" s="1063">
        <f>Z314+(SegqtrSales!J315-SegqtrSales!J314)*(squft!$CR$29/1000)</f>
        <v>4202.2639999999992</v>
      </c>
      <c r="AA315" s="114"/>
      <c r="AB315" s="1127">
        <f>AVERAGE(Z315,Z314)</f>
        <v>4189.6639999999989</v>
      </c>
      <c r="AC315" s="114"/>
      <c r="AD315" s="1128">
        <f>(Z315/Z308-1)*100</f>
        <v>2.6896046136552387</v>
      </c>
      <c r="AE315" s="246"/>
      <c r="AF315" s="1144">
        <f>+H315/AD315*100</f>
        <v>103.24249215171533</v>
      </c>
      <c r="AG315" s="310"/>
      <c r="AH315" s="114"/>
      <c r="AI315" s="1132">
        <f>+S315</f>
        <v>481.62</v>
      </c>
      <c r="AJ315" s="114"/>
      <c r="AK315" s="1106">
        <f>AI315/AB315*1000</f>
        <v>114.95432569294343</v>
      </c>
      <c r="AL315" s="114"/>
      <c r="AM315" s="1126">
        <f>(AK315/AK308-1)*100</f>
        <v>-15.241871029231358</v>
      </c>
      <c r="AN315" s="246"/>
      <c r="AO315" s="246"/>
      <c r="AP315" s="246"/>
      <c r="AQ315" s="246"/>
      <c r="AR315" s="246"/>
      <c r="AS315" s="1100">
        <f>qtrSales!$AS148*(AV315/100)</f>
        <v>52.379999999999995</v>
      </c>
      <c r="AT315" s="114" t="s">
        <v>718</v>
      </c>
      <c r="AU315" s="1100">
        <f>(AS315/AS308-1)*100</f>
        <v>10.296904611497148</v>
      </c>
      <c r="AV315" s="1101">
        <v>30</v>
      </c>
      <c r="AW315" s="114"/>
      <c r="AX315" s="310"/>
      <c r="AY315" s="1102">
        <v>534</v>
      </c>
      <c r="AZ315" s="1103">
        <f>AY315/AY308-1</f>
        <v>-0.11369294605809133</v>
      </c>
      <c r="BA315" s="114"/>
      <c r="BB315" s="1129"/>
      <c r="BC315" s="114"/>
      <c r="BD315" s="114"/>
      <c r="BE315" s="114"/>
      <c r="BF315" s="114"/>
      <c r="BG315" s="1170"/>
      <c r="BH315" s="1170"/>
      <c r="BI315" s="1150"/>
      <c r="BJ315" s="114"/>
      <c r="BK315" s="114"/>
      <c r="BL315" s="114"/>
      <c r="BM315" s="114"/>
      <c r="BN315" s="114"/>
      <c r="BO315" s="114"/>
      <c r="BP315" s="114"/>
      <c r="BQ315" s="114"/>
      <c r="BR315" s="114"/>
      <c r="BS315" s="114"/>
      <c r="BT315" s="114"/>
      <c r="BU315" s="114"/>
      <c r="BV315" s="114"/>
      <c r="BW315" s="114"/>
      <c r="BX315" s="114"/>
      <c r="BY315" s="114"/>
      <c r="BZ315" s="114"/>
      <c r="CA315" s="114"/>
      <c r="CB315" s="114"/>
      <c r="CC315" s="114"/>
      <c r="CD315" s="114"/>
      <c r="CE315" s="114"/>
      <c r="CF315" s="114"/>
      <c r="CG315" s="114"/>
      <c r="CH315" s="114"/>
      <c r="CI315" s="114"/>
      <c r="CJ315" s="114"/>
      <c r="CK315" s="114"/>
      <c r="CL315" s="114"/>
      <c r="CM315" s="114"/>
      <c r="CN315" s="114"/>
    </row>
    <row r="316" spans="1:92">
      <c r="A316" s="114" t="s">
        <v>118</v>
      </c>
      <c r="B316" s="245" t="s">
        <v>100</v>
      </c>
      <c r="C316" s="114"/>
      <c r="D316" s="1061">
        <f>(S316/S309-1)*100</f>
        <v>-14.299853613360025</v>
      </c>
      <c r="E316" s="114"/>
      <c r="F316" s="1104">
        <v>-10</v>
      </c>
      <c r="G316" s="114"/>
      <c r="H316" s="1104">
        <f>D316-F316</f>
        <v>-4.2998536133600247</v>
      </c>
      <c r="I316" s="114"/>
      <c r="J316" s="1063">
        <f>squft!CQ33</f>
        <v>587</v>
      </c>
      <c r="K316" s="1063">
        <f>J316-J315</f>
        <v>-10</v>
      </c>
      <c r="L316" s="1108">
        <f>AVERAGE(J316,J315)</f>
        <v>592</v>
      </c>
      <c r="M316" s="114"/>
      <c r="N316" s="1107">
        <f>(L316/L309-1)*100</f>
        <v>1.8056749785038795</v>
      </c>
      <c r="O316" s="246"/>
      <c r="P316" s="1064">
        <f>H316/N316*100</f>
        <v>-238.12998820655622</v>
      </c>
      <c r="Q316" s="310"/>
      <c r="R316" s="114"/>
      <c r="S316" s="1266">
        <f>AY316-AS316</f>
        <v>573.72820000000002</v>
      </c>
      <c r="T316" s="310"/>
      <c r="U316" s="1133">
        <f>S316/L316</f>
        <v>0.96913547297297298</v>
      </c>
      <c r="V316" s="114"/>
      <c r="W316" s="1104">
        <f>(U316/U309-1)*100</f>
        <v>-15.819873101636572</v>
      </c>
      <c r="X316" s="246"/>
      <c r="Y316" s="114"/>
      <c r="Z316" s="1063">
        <f>Z315+(SegqtrSales!J316-SegqtrSales!J315)*(squft!$CR$29/1000)</f>
        <v>4118.2639999999992</v>
      </c>
      <c r="AA316" s="114"/>
      <c r="AB316" s="1110">
        <f>AVERAGE(Z316,Z315)</f>
        <v>4160.2639999999992</v>
      </c>
      <c r="AC316" s="114"/>
      <c r="AD316" s="1107">
        <f>(Z316/Z309-1)*100</f>
        <v>-0.78862924596484474</v>
      </c>
      <c r="AE316" s="246"/>
      <c r="AF316" s="1104">
        <f>+H316/AD316*100</f>
        <v>545.23131564812684</v>
      </c>
      <c r="AG316" s="310"/>
      <c r="AH316" s="114"/>
      <c r="AI316" s="1111">
        <f>+S316</f>
        <v>573.72820000000002</v>
      </c>
      <c r="AJ316" s="114"/>
      <c r="AK316" s="1135">
        <f>AI316/AB316*1000</f>
        <v>137.90668092217228</v>
      </c>
      <c r="AL316" s="114"/>
      <c r="AM316" s="1134">
        <f>(AK316/AK309-1)*100</f>
        <v>-15.096320005851672</v>
      </c>
      <c r="AN316" s="246"/>
      <c r="AO316" s="246"/>
      <c r="AP316" s="246"/>
      <c r="AQ316" s="246"/>
      <c r="AR316" s="246"/>
      <c r="AS316" s="1100">
        <f>qtrSales!$AS149*(AV316/100)</f>
        <v>110.37180000000002</v>
      </c>
      <c r="AT316" s="1042" t="s">
        <v>718</v>
      </c>
      <c r="AU316" s="1136">
        <f>(AS316/AS309-1)*100</f>
        <v>18.373873873873926</v>
      </c>
      <c r="AV316" s="1137">
        <v>35</v>
      </c>
      <c r="AW316" s="114"/>
      <c r="AX316" s="310"/>
      <c r="AY316" s="1145">
        <v>684.1</v>
      </c>
      <c r="AZ316" s="1103">
        <f>AY316/AY309-1</f>
        <v>-0.10305493641012198</v>
      </c>
      <c r="BA316" s="114"/>
      <c r="BB316" s="1129"/>
      <c r="BC316" s="114"/>
      <c r="BD316" s="114"/>
      <c r="BE316" s="114"/>
      <c r="BF316" s="114"/>
      <c r="BG316" s="1170"/>
      <c r="BH316" s="1170"/>
      <c r="BI316" s="1150"/>
      <c r="BJ316" s="114"/>
      <c r="BK316" s="114"/>
      <c r="BL316" s="114"/>
      <c r="BM316" s="114"/>
      <c r="BN316" s="114"/>
      <c r="BO316" s="114"/>
      <c r="BP316" s="114"/>
      <c r="BQ316" s="114"/>
      <c r="BR316" s="114"/>
      <c r="BS316" s="114"/>
      <c r="BT316" s="114"/>
      <c r="BU316" s="114"/>
      <c r="BV316" s="114"/>
      <c r="BW316" s="114"/>
      <c r="BX316" s="114"/>
      <c r="BY316" s="114"/>
      <c r="BZ316" s="114"/>
      <c r="CA316" s="114"/>
      <c r="CB316" s="114"/>
      <c r="CC316" s="114"/>
      <c r="CD316" s="114"/>
      <c r="CE316" s="114"/>
      <c r="CF316" s="114"/>
      <c r="CG316" s="114"/>
      <c r="CH316" s="114"/>
      <c r="CI316" s="114"/>
      <c r="CJ316" s="114"/>
      <c r="CK316" s="114"/>
      <c r="CL316" s="114"/>
      <c r="CM316" s="114"/>
      <c r="CN316" s="114"/>
    </row>
    <row r="317" spans="1:92">
      <c r="A317" s="114"/>
      <c r="B317" s="245" t="s">
        <v>119</v>
      </c>
      <c r="C317" s="114"/>
      <c r="D317" s="1123">
        <f>(S317/S310-1)*100</f>
        <v>-10.233816562754438</v>
      </c>
      <c r="E317" s="114"/>
      <c r="F317" s="1139">
        <v>-14</v>
      </c>
      <c r="G317" s="114"/>
      <c r="H317" s="1126">
        <f>D317-F317</f>
        <v>3.7661834372455623</v>
      </c>
      <c r="I317" s="114"/>
      <c r="J317" s="114"/>
      <c r="K317" s="114"/>
      <c r="L317" s="1122">
        <f>AVERAGE(L313:L316)</f>
        <v>592.5</v>
      </c>
      <c r="M317" s="114"/>
      <c r="N317" s="1123">
        <f>(L317/L310-1)*100</f>
        <v>2.6640675763482724</v>
      </c>
      <c r="O317" s="246"/>
      <c r="P317" s="1124">
        <f>H317/N317*100</f>
        <v>141.36966609563251</v>
      </c>
      <c r="Q317" s="310"/>
      <c r="R317" s="114"/>
      <c r="S317" s="1095">
        <f>SUM(S313:S316)</f>
        <v>1877.8634499999998</v>
      </c>
      <c r="T317" s="114"/>
      <c r="U317" s="1125">
        <f>SUM(U313:U316)</f>
        <v>3.1687685303865774</v>
      </c>
      <c r="V317" s="114"/>
      <c r="W317" s="1144">
        <f>(U317/U310-1)*100</f>
        <v>-12.498648245650834</v>
      </c>
      <c r="X317" s="246"/>
      <c r="Y317" s="114"/>
      <c r="Z317" s="114"/>
      <c r="AA317" s="114"/>
      <c r="AB317" s="1127">
        <f>AVERAGE(AB313:AB316)</f>
        <v>4170.655999999999</v>
      </c>
      <c r="AC317" s="114"/>
      <c r="AD317" s="1103">
        <f>Z316/Z309-1</f>
        <v>-7.8862924596484474E-3</v>
      </c>
      <c r="AE317" s="246"/>
      <c r="AF317" s="1144">
        <f>+H317/AD317*100</f>
        <v>-47756.071138825733</v>
      </c>
      <c r="AG317" s="310"/>
      <c r="AH317" s="114"/>
      <c r="AI317" s="1129">
        <f>SUM(AI313:AI316)</f>
        <v>1877.8634499999998</v>
      </c>
      <c r="AJ317" s="114"/>
      <c r="AK317" s="1097">
        <f>SUM(AK313:AK316)</f>
        <v>450.26280239466348</v>
      </c>
      <c r="AL317" s="114"/>
      <c r="AM317" s="1126">
        <f>(AK317/AK310-1)*100</f>
        <v>-12.023636786636994</v>
      </c>
      <c r="AN317" s="246"/>
      <c r="AO317" s="246"/>
      <c r="AP317" s="246"/>
      <c r="AQ317" s="246"/>
      <c r="AR317" s="246"/>
      <c r="AS317" s="1100">
        <f>SUM(AS313:AS316)</f>
        <v>249.93655000000001</v>
      </c>
      <c r="AT317" s="114" t="s">
        <v>718</v>
      </c>
      <c r="AU317" s="1100">
        <f>(AS317/AS310-1)*100</f>
        <v>12.339995662575332</v>
      </c>
      <c r="AV317" s="1124">
        <f>(AS317/qtrSales!AS$150)*100</f>
        <v>32.170344026896089</v>
      </c>
      <c r="AW317" s="114"/>
      <c r="AX317" s="310"/>
      <c r="AY317" s="1140">
        <f>SUM(AY313:AY316)</f>
        <v>2127.8000000000002</v>
      </c>
      <c r="AZ317" s="1103">
        <f>AY317/AY310-1</f>
        <v>-8.0638359649365166E-2</v>
      </c>
      <c r="BA317" s="114"/>
      <c r="BB317" s="1129"/>
      <c r="BC317" s="114"/>
      <c r="BD317" s="114"/>
      <c r="BE317" s="114"/>
      <c r="BF317" s="114"/>
      <c r="BG317" s="1170"/>
      <c r="BH317" s="1170"/>
      <c r="BI317" s="1150"/>
      <c r="BJ317" s="114"/>
      <c r="BK317" s="114"/>
      <c r="BL317" s="114"/>
      <c r="BM317" s="114"/>
      <c r="BN317" s="114"/>
      <c r="BO317" s="114"/>
      <c r="BP317" s="114"/>
      <c r="BQ317" s="114"/>
      <c r="BR317" s="114"/>
      <c r="BS317" s="114"/>
      <c r="BT317" s="114"/>
      <c r="BU317" s="114"/>
      <c r="BV317" s="114"/>
      <c r="BW317" s="114"/>
      <c r="BX317" s="114"/>
      <c r="BY317" s="114"/>
      <c r="BZ317" s="114"/>
      <c r="CA317" s="114"/>
      <c r="CB317" s="114"/>
      <c r="CC317" s="114"/>
      <c r="CD317" s="114"/>
      <c r="CE317" s="114"/>
      <c r="CF317" s="114"/>
      <c r="CG317" s="114"/>
    </row>
    <row r="318" spans="1:92" s="97" customFormat="1">
      <c r="A318" s="310"/>
      <c r="B318" s="247"/>
      <c r="C318" s="310"/>
      <c r="D318" s="1128"/>
      <c r="E318" s="310"/>
      <c r="F318" s="1210"/>
      <c r="G318" s="310"/>
      <c r="H318" s="1126"/>
      <c r="I318" s="310"/>
      <c r="J318" s="310"/>
      <c r="K318" s="310"/>
      <c r="L318" s="1124"/>
      <c r="M318" s="310"/>
      <c r="N318" s="1128"/>
      <c r="O318" s="249"/>
      <c r="P318" s="1049"/>
      <c r="Q318" s="310"/>
      <c r="R318" s="310"/>
      <c r="S318" s="1211"/>
      <c r="T318" s="310"/>
      <c r="U318" s="1212"/>
      <c r="V318" s="310"/>
      <c r="W318" s="1144"/>
      <c r="X318" s="249"/>
      <c r="Y318" s="310"/>
      <c r="Z318" s="310"/>
      <c r="AA318" s="310"/>
      <c r="AB318" s="1127"/>
      <c r="AC318" s="310"/>
      <c r="AD318" s="1216"/>
      <c r="AE318" s="249"/>
      <c r="AF318" s="1144"/>
      <c r="AG318" s="310"/>
      <c r="AH318" s="310"/>
      <c r="AI318" s="1143"/>
      <c r="AJ318" s="310"/>
      <c r="AK318" s="1213"/>
      <c r="AL318" s="310"/>
      <c r="AM318" s="1126"/>
      <c r="AN318" s="249"/>
      <c r="AO318" s="249"/>
      <c r="AP318" s="249"/>
      <c r="AQ318" s="249"/>
      <c r="AR318" s="249"/>
      <c r="AS318" s="1214"/>
      <c r="AT318" s="310"/>
      <c r="AU318" s="1214"/>
      <c r="AV318" s="1124"/>
      <c r="AW318" s="310"/>
      <c r="AX318" s="310"/>
      <c r="AY318" s="1215"/>
      <c r="AZ318" s="1216"/>
      <c r="BA318" s="310"/>
      <c r="BB318" s="1143"/>
      <c r="BC318" s="310"/>
      <c r="BD318" s="310"/>
      <c r="BE318" s="310"/>
      <c r="BF318" s="310"/>
      <c r="BG318" s="1217"/>
      <c r="BH318" s="1217"/>
      <c r="BI318" s="1163"/>
      <c r="BJ318" s="310"/>
      <c r="BK318" s="310"/>
      <c r="BL318" s="310"/>
      <c r="BM318" s="310"/>
      <c r="BN318" s="310"/>
      <c r="BO318" s="310"/>
      <c r="BP318" s="310"/>
      <c r="BQ318" s="310"/>
      <c r="BR318" s="310"/>
      <c r="BS318" s="310"/>
      <c r="BT318" s="310"/>
      <c r="BU318" s="310"/>
      <c r="BV318" s="310"/>
      <c r="BW318" s="310"/>
      <c r="BX318" s="310"/>
      <c r="BY318" s="310"/>
      <c r="BZ318" s="310"/>
      <c r="CA318" s="310"/>
      <c r="CB318" s="310"/>
      <c r="CC318" s="310"/>
      <c r="CD318" s="310"/>
      <c r="CE318" s="310"/>
      <c r="CF318" s="310"/>
      <c r="CG318" s="310"/>
    </row>
    <row r="319" spans="1:92" s="114" customFormat="1" ht="13.5" customHeight="1">
      <c r="A319" s="1120"/>
      <c r="B319" s="1172">
        <v>2014</v>
      </c>
      <c r="D319" s="1123"/>
      <c r="F319" s="1139"/>
      <c r="H319" s="1126"/>
      <c r="L319" s="1122"/>
      <c r="N319" s="1123"/>
      <c r="O319" s="246"/>
      <c r="P319" s="1049"/>
      <c r="Q319" s="310"/>
      <c r="S319" s="1211"/>
      <c r="T319" s="310"/>
      <c r="U319" s="1212"/>
      <c r="W319" s="1144"/>
      <c r="X319" s="246"/>
      <c r="AB319" s="1127"/>
      <c r="AD319" s="1103"/>
      <c r="AE319" s="246"/>
      <c r="AF319" s="1144"/>
      <c r="AG319" s="310"/>
      <c r="AI319" s="1129"/>
      <c r="AK319" s="1097"/>
      <c r="AM319" s="1126"/>
      <c r="AN319" s="246"/>
      <c r="AO319" s="246"/>
      <c r="AP319" s="246"/>
      <c r="AQ319" s="246"/>
      <c r="AR319" s="246"/>
      <c r="AS319" s="1100"/>
      <c r="AU319" s="1100"/>
      <c r="AV319" s="1121" t="s">
        <v>76</v>
      </c>
      <c r="AX319" s="310"/>
      <c r="AY319" s="1142"/>
      <c r="AZ319" s="1103"/>
      <c r="BB319" s="1129"/>
      <c r="BG319" s="1170"/>
      <c r="BH319" s="1170"/>
      <c r="BI319" s="1150"/>
    </row>
    <row r="320" spans="1:92" s="114" customFormat="1">
      <c r="A320" s="114" t="s">
        <v>115</v>
      </c>
      <c r="B320" s="245" t="s">
        <v>96</v>
      </c>
      <c r="D320" s="1045">
        <f>(S320/S313-1)*100</f>
        <v>-2.3245565147695046</v>
      </c>
      <c r="E320" s="114" t="s">
        <v>76</v>
      </c>
      <c r="F320" s="1144">
        <v>-7</v>
      </c>
      <c r="G320" s="114" t="s">
        <v>76</v>
      </c>
      <c r="H320" s="1144">
        <f>D320-F320</f>
        <v>4.6754434852304954</v>
      </c>
      <c r="I320" s="114" t="s">
        <v>76</v>
      </c>
      <c r="J320" s="1047">
        <f>456+129</f>
        <v>585</v>
      </c>
      <c r="K320" s="1063">
        <f>J320-J316</f>
        <v>-2</v>
      </c>
      <c r="L320" s="1122">
        <f>AVERAGE(J320,J316)</f>
        <v>586</v>
      </c>
      <c r="N320" s="1123">
        <f>(L320/L313-1)*100</f>
        <v>-0.50933786078098953</v>
      </c>
      <c r="O320" s="246" t="s">
        <v>76</v>
      </c>
      <c r="P320" s="1049">
        <f>H320/N320*100</f>
        <v>-917.94540426691196</v>
      </c>
      <c r="Q320" s="310" t="s">
        <v>76</v>
      </c>
      <c r="S320" s="1050">
        <f>AY320-AS320</f>
        <v>379.00050000000005</v>
      </c>
      <c r="T320" s="310"/>
      <c r="U320" s="1125">
        <f>S320/L320</f>
        <v>0.64675853242320824</v>
      </c>
      <c r="W320" s="1144">
        <f>(U320/U313-1)*100</f>
        <v>-1.8245115822512648</v>
      </c>
      <c r="X320" s="246" t="s">
        <v>76</v>
      </c>
      <c r="Z320" s="1063">
        <f>Z316+(SegqtrSales!J320-SegqtrSales!J316)*(squft!$CV$29/1000)</f>
        <v>4101.463999999999</v>
      </c>
      <c r="AB320" s="1127">
        <f>AVERAGE(Z320,Z316)</f>
        <v>4109.8639999999996</v>
      </c>
      <c r="AD320" s="1128">
        <f>(Z320/Z313-1)*100</f>
        <v>-1.6120272586133244</v>
      </c>
      <c r="AE320" s="246" t="s">
        <v>76</v>
      </c>
      <c r="AF320" s="1144">
        <f>+H320/AD320*100</f>
        <v>-290.0350140017074</v>
      </c>
      <c r="AG320" s="310" t="s">
        <v>76</v>
      </c>
      <c r="AI320" s="1129">
        <f>+S320</f>
        <v>379.00050000000005</v>
      </c>
      <c r="AK320" s="1097">
        <f>AI320/AB320*1000</f>
        <v>92.217285048848353</v>
      </c>
      <c r="AM320" s="1126">
        <f>(AK320/AK313-1)*100</f>
        <v>-1.1370119731325956</v>
      </c>
      <c r="AN320" s="246" t="s">
        <v>76</v>
      </c>
      <c r="AO320" s="246"/>
      <c r="AP320" s="246"/>
      <c r="AQ320" s="246"/>
      <c r="AR320" s="246"/>
      <c r="AS320" s="1100">
        <f>qtrSales!$AS153*(AV320/100)</f>
        <v>42.599499999999999</v>
      </c>
      <c r="AT320" s="114" t="s">
        <v>718</v>
      </c>
      <c r="AU320" s="1100">
        <f>(AS320/AS313-1)*100</f>
        <v>28.390057188495987</v>
      </c>
      <c r="AV320" s="1101">
        <v>25</v>
      </c>
      <c r="AX320" s="310"/>
      <c r="AY320" s="1102">
        <v>421.6</v>
      </c>
      <c r="AZ320" s="1103">
        <f>AY320/AY313-1</f>
        <v>9.496676163343043E-4</v>
      </c>
      <c r="BB320" s="1129"/>
      <c r="BG320" s="1170"/>
      <c r="BH320" s="1170"/>
      <c r="BI320" s="1150"/>
    </row>
    <row r="321" spans="1:92" s="114" customFormat="1">
      <c r="A321" s="114" t="s">
        <v>116</v>
      </c>
      <c r="B321" s="245" t="s">
        <v>97</v>
      </c>
      <c r="D321" s="1045">
        <f>(S321/S314-1)*100</f>
        <v>-5.0522100369394307</v>
      </c>
      <c r="F321" s="1144">
        <v>-10</v>
      </c>
      <c r="H321" s="1144">
        <f>D321-F321</f>
        <v>4.9477899630605693</v>
      </c>
      <c r="J321" s="1176">
        <v>585</v>
      </c>
      <c r="K321" s="1063">
        <f>J321-J320</f>
        <v>0</v>
      </c>
      <c r="L321" s="1122">
        <f>AVERAGE(J321,J320)</f>
        <v>585</v>
      </c>
      <c r="N321" s="1123">
        <f>(L321/L314-1)*100</f>
        <v>-1.432181971356361</v>
      </c>
      <c r="O321" s="246"/>
      <c r="P321" s="1049">
        <f>H321/N321*100</f>
        <v>-345.47215800899374</v>
      </c>
      <c r="Q321" s="310"/>
      <c r="S321" s="1050">
        <f>AY321-AS321</f>
        <v>412.54340000000002</v>
      </c>
      <c r="T321" s="310"/>
      <c r="U321" s="1131">
        <f>S321/L321</f>
        <v>0.70520239316239319</v>
      </c>
      <c r="W321" s="1144">
        <f>(U321/U314-1)*100</f>
        <v>-3.6726267639718868</v>
      </c>
      <c r="X321" s="246"/>
      <c r="Z321" s="1063">
        <f>Z320+(SegqtrSales!J321-SegqtrSales!J320)*(squft!$CV$29/1000)</f>
        <v>4101.463999999999</v>
      </c>
      <c r="AB321" s="1127">
        <f>AVERAGE(Z321,Z320)</f>
        <v>4101.463999999999</v>
      </c>
      <c r="AD321" s="1128">
        <f>(Z321/Z314-1)*100</f>
        <v>-1.8098836886387248</v>
      </c>
      <c r="AE321" s="246"/>
      <c r="AF321" s="1144">
        <f>+H321/AD321*100</f>
        <v>-273.37612876007358</v>
      </c>
      <c r="AG321" s="310"/>
      <c r="AI321" s="1132">
        <f>+S321</f>
        <v>412.54340000000002</v>
      </c>
      <c r="AK321" s="1106">
        <f>AI321/AB321*1000</f>
        <v>100.58442546368812</v>
      </c>
      <c r="AM321" s="1126">
        <f>(AK321/AK314-1)*100</f>
        <v>-3.3993192146958173</v>
      </c>
      <c r="AN321" s="246"/>
      <c r="AO321" s="246"/>
      <c r="AP321" s="246"/>
      <c r="AQ321" s="246"/>
      <c r="AR321" s="246"/>
      <c r="AS321" s="1100">
        <f>qtrSales!$AS154*(AV321/100)</f>
        <v>52.056599999999996</v>
      </c>
      <c r="AT321" s="114" t="s">
        <v>718</v>
      </c>
      <c r="AU321" s="1100">
        <f>(AS321/AS314-1)*100</f>
        <v>-3.6078140912878531</v>
      </c>
      <c r="AV321" s="1101">
        <v>30</v>
      </c>
      <c r="AX321" s="310"/>
      <c r="AY321" s="1177">
        <v>464.6</v>
      </c>
      <c r="AZ321" s="1103">
        <f>AY321/AY314-1</f>
        <v>-4.8925281473899629E-2</v>
      </c>
      <c r="BB321" s="1129"/>
      <c r="BG321" s="1170"/>
      <c r="BH321" s="1170"/>
      <c r="BI321" s="1150"/>
    </row>
    <row r="322" spans="1:92" s="114" customFormat="1">
      <c r="A322" s="114" t="s">
        <v>117</v>
      </c>
      <c r="B322" s="245" t="s">
        <v>99</v>
      </c>
      <c r="D322" s="1045">
        <f>(S322/S315-1)*100</f>
        <v>-14.487458992566749</v>
      </c>
      <c r="F322" s="1144">
        <v>-12</v>
      </c>
      <c r="H322" s="1144">
        <f>D322-F322</f>
        <v>-2.487458992566749</v>
      </c>
      <c r="J322" s="1176">
        <v>585</v>
      </c>
      <c r="K322" s="1063">
        <f>J322-J321</f>
        <v>0</v>
      </c>
      <c r="L322" s="1122">
        <f>AVERAGE(J322,J321)</f>
        <v>585</v>
      </c>
      <c r="N322" s="1123">
        <f>(L322/L315-1)*100</f>
        <v>-1.7632241813602012</v>
      </c>
      <c r="O322" s="246"/>
      <c r="P322" s="1049">
        <f>H322/N322*100</f>
        <v>141.07446000699991</v>
      </c>
      <c r="Q322" s="310"/>
      <c r="S322" s="1050">
        <f>AY322-AS322</f>
        <v>411.84550000000002</v>
      </c>
      <c r="T322" s="310"/>
      <c r="U322" s="1131">
        <f>S322/L322</f>
        <v>0.70400940170940174</v>
      </c>
      <c r="W322" s="1144">
        <f>(U322/U315-1)*100</f>
        <v>-12.952618512946145</v>
      </c>
      <c r="X322" s="246"/>
      <c r="Z322" s="1063">
        <f>Z321+(SegqtrSales!J322-SegqtrSales!J321)*(squft!$CV$29/1000)</f>
        <v>4101.463999999999</v>
      </c>
      <c r="AB322" s="1127">
        <f>AVERAGE(Z322,Z321)</f>
        <v>4101.463999999999</v>
      </c>
      <c r="AD322" s="1128">
        <f>(Z322/Z315-1)*100</f>
        <v>-2.3987069827121843</v>
      </c>
      <c r="AE322" s="246"/>
      <c r="AF322" s="1144">
        <f>+H322/AD322*100</f>
        <v>103.69999380892342</v>
      </c>
      <c r="AG322" s="310"/>
      <c r="AI322" s="1132">
        <f>+S322</f>
        <v>411.84550000000002</v>
      </c>
      <c r="AK322" s="1106">
        <f>AI322/AB322*1000</f>
        <v>100.41426671061848</v>
      </c>
      <c r="AM322" s="1126">
        <f>(AK322/AK315-1)*100</f>
        <v>-12.648553148981245</v>
      </c>
      <c r="AN322" s="246"/>
      <c r="AO322" s="246"/>
      <c r="AP322" s="246"/>
      <c r="AQ322" s="246"/>
      <c r="AR322" s="246"/>
      <c r="AS322" s="1100">
        <f>qtrSales!$AS155*(AV322/100)</f>
        <v>56.254499999999993</v>
      </c>
      <c r="AT322" s="114" t="s">
        <v>718</v>
      </c>
      <c r="AU322" s="1100">
        <f>(AS322/AS315-1)*100</f>
        <v>7.3969072164948413</v>
      </c>
      <c r="AV322" s="1101">
        <v>30</v>
      </c>
      <c r="AX322" s="310"/>
      <c r="AY322" s="1177">
        <v>468.1</v>
      </c>
      <c r="AZ322" s="1103">
        <f>AY322/AY315-1</f>
        <v>-0.12340823970037451</v>
      </c>
      <c r="BB322" s="1129"/>
      <c r="BG322" s="1170"/>
      <c r="BH322" s="1170"/>
      <c r="BI322" s="1150"/>
    </row>
    <row r="323" spans="1:92">
      <c r="A323" s="114" t="s">
        <v>118</v>
      </c>
      <c r="B323" s="245" t="s">
        <v>100</v>
      </c>
      <c r="C323" s="114"/>
      <c r="D323" s="1061">
        <f>(S323/S316-1)*100</f>
        <v>-12.298558794913694</v>
      </c>
      <c r="E323" s="114"/>
      <c r="F323" s="1104">
        <v>-11</v>
      </c>
      <c r="G323" s="114"/>
      <c r="H323" s="1104">
        <f>D323-F323</f>
        <v>-1.2985587949136939</v>
      </c>
      <c r="I323" s="114"/>
      <c r="J323" s="1063">
        <f>squft!CU33</f>
        <v>568</v>
      </c>
      <c r="K323" s="1063">
        <f>J323-J322</f>
        <v>-17</v>
      </c>
      <c r="L323" s="1108">
        <f>AVERAGE(J323,J322)</f>
        <v>576.5</v>
      </c>
      <c r="M323" s="114"/>
      <c r="N323" s="1107">
        <f>(L323/L315-1)*100</f>
        <v>-3.1905961376994085</v>
      </c>
      <c r="O323" s="246"/>
      <c r="P323" s="1064">
        <f>H323/N323*100</f>
        <v>40.699566440584505</v>
      </c>
      <c r="Q323" s="310"/>
      <c r="R323" s="114"/>
      <c r="S323" s="1266">
        <f>AY323-AS323</f>
        <v>503.16789999999997</v>
      </c>
      <c r="T323" s="310"/>
      <c r="U323" s="1133">
        <f>S323/L323</f>
        <v>0.87279774501300955</v>
      </c>
      <c r="V323" s="114"/>
      <c r="W323" s="1104">
        <f>(U323/U315-1)*100</f>
        <v>7.9172495235345641</v>
      </c>
      <c r="X323" s="246"/>
      <c r="Y323" s="114"/>
      <c r="Z323" s="1063">
        <f>Z322+(SegqtrSales!J323-SegqtrSales!J322)*(squft!$CV$29/1000)</f>
        <v>3958.6639999999989</v>
      </c>
      <c r="AA323" s="114"/>
      <c r="AB323" s="1110">
        <f>AVERAGE(Z323,Z322)</f>
        <v>4030.0639999999989</v>
      </c>
      <c r="AC323" s="114"/>
      <c r="AD323" s="1107">
        <f>(Z323/Z316-1)*100</f>
        <v>-3.8754193514548896</v>
      </c>
      <c r="AE323" s="246"/>
      <c r="AF323" s="1104">
        <f>+H323/AD323*100</f>
        <v>33.507568527421313</v>
      </c>
      <c r="AG323" s="310"/>
      <c r="AH323" s="114"/>
      <c r="AI323" s="1111">
        <f>+S323</f>
        <v>503.16789999999997</v>
      </c>
      <c r="AJ323" s="114"/>
      <c r="AK323" s="1135">
        <f>AI323/AB323*1000</f>
        <v>124.85357552634402</v>
      </c>
      <c r="AL323" s="114"/>
      <c r="AM323" s="1134">
        <f>(AK323/AK316-1)*100</f>
        <v>-9.465172614222217</v>
      </c>
      <c r="AN323" s="246"/>
      <c r="AO323" s="246"/>
      <c r="AP323" s="246"/>
      <c r="AQ323" s="246"/>
      <c r="AR323" s="246"/>
      <c r="AS323" s="1100">
        <f>qtrSales!$AS156*(AV323/100)</f>
        <v>90.332100000000011</v>
      </c>
      <c r="AT323" s="1042" t="s">
        <v>718</v>
      </c>
      <c r="AU323" s="1136">
        <f>(AS323/AS316-1)*100</f>
        <v>-18.156539985757234</v>
      </c>
      <c r="AV323" s="1137">
        <v>30</v>
      </c>
      <c r="AW323" s="114"/>
      <c r="AX323" s="310"/>
      <c r="AY323" s="1145">
        <v>593.5</v>
      </c>
      <c r="AZ323" s="1103">
        <f>AY323/AY316-1</f>
        <v>-0.13243677824879407</v>
      </c>
      <c r="BA323" s="114"/>
      <c r="BB323" s="1129"/>
      <c r="BC323" s="114"/>
      <c r="BD323" s="114"/>
      <c r="BE323" s="114"/>
      <c r="BF323" s="114"/>
      <c r="BG323" s="1170"/>
      <c r="BH323" s="1170"/>
      <c r="BI323" s="1150"/>
      <c r="BJ323" s="114"/>
      <c r="BK323" s="114"/>
      <c r="BL323" s="114"/>
      <c r="BM323" s="114"/>
      <c r="BN323" s="114"/>
      <c r="BO323" s="114"/>
      <c r="BP323" s="114"/>
      <c r="BQ323" s="114"/>
      <c r="BR323" s="114"/>
      <c r="BS323" s="114"/>
      <c r="BT323" s="114"/>
      <c r="BU323" s="114"/>
      <c r="BV323" s="114"/>
      <c r="BW323" s="114"/>
      <c r="BX323" s="114"/>
      <c r="BY323" s="114"/>
      <c r="BZ323" s="114"/>
      <c r="CA323" s="114"/>
      <c r="CB323" s="114"/>
      <c r="CC323" s="114"/>
      <c r="CD323" s="114"/>
      <c r="CE323" s="114"/>
      <c r="CF323" s="114"/>
      <c r="CG323" s="114"/>
      <c r="CH323" s="114"/>
      <c r="CI323" s="114"/>
      <c r="CJ323" s="114"/>
      <c r="CK323" s="114"/>
      <c r="CL323" s="114"/>
      <c r="CM323" s="114"/>
      <c r="CN323" s="114"/>
    </row>
    <row r="324" spans="1:92" s="114" customFormat="1">
      <c r="B324" s="245" t="s">
        <v>119</v>
      </c>
      <c r="D324" s="1123">
        <f>(S324/S317-1)*100</f>
        <v>-9.1223965192996239</v>
      </c>
      <c r="F324" s="1139">
        <v>-10</v>
      </c>
      <c r="H324" s="1126">
        <f>D324-F324</f>
        <v>0.87760348070037608</v>
      </c>
      <c r="L324" s="1122">
        <f>AVERAGE(L320:L323)</f>
        <v>583.125</v>
      </c>
      <c r="N324" s="1123">
        <f>(L324/L316-1)*100</f>
        <v>-1.4991554054054057</v>
      </c>
      <c r="O324" s="246"/>
      <c r="P324" s="1124">
        <f>H324/N324*100</f>
        <v>-58.539860346436342</v>
      </c>
      <c r="Q324" s="310"/>
      <c r="S324" s="1095">
        <f>SUM(S320:S323)</f>
        <v>1706.5572999999999</v>
      </c>
      <c r="U324" s="1125">
        <f>SUM(U320:U323)</f>
        <v>2.9287680723080127</v>
      </c>
      <c r="W324" s="1144">
        <f>(U324/U316-1)*100</f>
        <v>202.20419683159091</v>
      </c>
      <c r="X324" s="246"/>
      <c r="AB324" s="1127">
        <f>AVERAGE(AB320:AB323)</f>
        <v>4085.713999999999</v>
      </c>
      <c r="AD324" s="1103">
        <f>Z323/Z316-1</f>
        <v>-3.8754193514548896E-2</v>
      </c>
      <c r="AE324" s="246"/>
      <c r="AF324" s="1144">
        <f>+H324/AD324*100</f>
        <v>-2264.5381082976501</v>
      </c>
      <c r="AG324" s="310"/>
      <c r="AI324" s="1129">
        <f>SUM(AI320:AI323)</f>
        <v>1706.5572999999999</v>
      </c>
      <c r="AK324" s="1097">
        <f>SUM(AK320:AK323)</f>
        <v>418.06955274949894</v>
      </c>
      <c r="AM324" s="1126">
        <f>(AK324/AK317-1)*100</f>
        <v>-7.1498799087885923</v>
      </c>
      <c r="AN324" s="246"/>
      <c r="AO324" s="246"/>
      <c r="AP324" s="246"/>
      <c r="AQ324" s="246"/>
      <c r="AR324" s="246"/>
      <c r="AS324" s="1100">
        <f>SUM(AS320:AS323)</f>
        <v>241.24270000000001</v>
      </c>
      <c r="AT324" s="114" t="s">
        <v>718</v>
      </c>
      <c r="AU324" s="1100">
        <f>(AS324/AS317-1)*100</f>
        <v>-3.4784228237126569</v>
      </c>
      <c r="AV324" s="1124">
        <f>(AS324/qtrSales!AS$150)*100</f>
        <v>31.051323437797652</v>
      </c>
      <c r="AX324" s="310"/>
      <c r="AY324" s="1142">
        <f>SUM(AY320:AY323)</f>
        <v>1947.8000000000002</v>
      </c>
      <c r="AZ324" s="1103">
        <f>AY324/AY317-1</f>
        <v>-8.4594416768493219E-2</v>
      </c>
      <c r="BB324" s="1129"/>
      <c r="BG324" s="1170"/>
      <c r="BH324" s="1170"/>
      <c r="BI324" s="1150"/>
    </row>
    <row r="325" spans="1:92" s="97" customFormat="1">
      <c r="A325" s="310"/>
      <c r="B325" s="247"/>
      <c r="C325" s="310"/>
      <c r="D325" s="1128"/>
      <c r="E325" s="310"/>
      <c r="F325" s="1210"/>
      <c r="G325" s="310"/>
      <c r="H325" s="1126"/>
      <c r="I325" s="310"/>
      <c r="J325" s="310"/>
      <c r="K325" s="310"/>
      <c r="L325" s="1124"/>
      <c r="M325" s="310"/>
      <c r="N325" s="1128"/>
      <c r="O325" s="249"/>
      <c r="P325" s="1049"/>
      <c r="Q325" s="310"/>
      <c r="R325" s="310"/>
      <c r="S325" s="1211"/>
      <c r="T325" s="310"/>
      <c r="U325" s="1212"/>
      <c r="V325" s="310"/>
      <c r="W325" s="1144"/>
      <c r="X325" s="249"/>
      <c r="Y325" s="310"/>
      <c r="Z325" s="310"/>
      <c r="AA325" s="310"/>
      <c r="AB325" s="1127"/>
      <c r="AC325" s="310"/>
      <c r="AD325" s="1216"/>
      <c r="AE325" s="249"/>
      <c r="AF325" s="1144"/>
      <c r="AG325" s="310"/>
      <c r="AH325" s="310"/>
      <c r="AI325" s="1143"/>
      <c r="AJ325" s="310"/>
      <c r="AK325" s="1213"/>
      <c r="AL325" s="310"/>
      <c r="AM325" s="1126"/>
      <c r="AN325" s="249"/>
      <c r="AO325" s="249"/>
      <c r="AP325" s="249"/>
      <c r="AQ325" s="249"/>
      <c r="AR325" s="249"/>
      <c r="AS325" s="1214"/>
      <c r="AT325" s="310"/>
      <c r="AU325" s="1214"/>
      <c r="AV325" s="1124"/>
      <c r="AW325" s="310"/>
      <c r="AX325" s="310"/>
      <c r="AY325" s="1215"/>
      <c r="AZ325" s="1216"/>
      <c r="BA325" s="310"/>
      <c r="BB325" s="1143"/>
      <c r="BC325" s="310"/>
      <c r="BD325" s="310"/>
      <c r="BE325" s="310"/>
      <c r="BF325" s="310"/>
      <c r="BG325" s="1217"/>
      <c r="BH325" s="1217"/>
      <c r="BI325" s="1163"/>
      <c r="BJ325" s="310"/>
      <c r="BK325" s="310"/>
      <c r="BL325" s="310"/>
      <c r="BM325" s="310"/>
      <c r="BN325" s="310"/>
      <c r="BO325" s="310"/>
      <c r="BP325" s="310"/>
      <c r="BQ325" s="310"/>
      <c r="BR325" s="310"/>
      <c r="BS325" s="310"/>
      <c r="BT325" s="310"/>
      <c r="BU325" s="310"/>
      <c r="BV325" s="310"/>
      <c r="BW325" s="310"/>
      <c r="BX325" s="310"/>
      <c r="BY325" s="310"/>
      <c r="BZ325" s="310"/>
      <c r="CA325" s="310"/>
      <c r="CB325" s="310"/>
      <c r="CC325" s="310"/>
      <c r="CD325" s="310"/>
      <c r="CE325" s="310"/>
      <c r="CF325" s="310"/>
      <c r="CG325" s="310"/>
    </row>
    <row r="326" spans="1:92" s="114" customFormat="1" ht="13.5" customHeight="1">
      <c r="A326" s="1120"/>
      <c r="B326" s="1172">
        <v>2015</v>
      </c>
      <c r="D326" s="1123"/>
      <c r="F326" s="1139"/>
      <c r="H326" s="1126"/>
      <c r="L326" s="1122"/>
      <c r="N326" s="1123"/>
      <c r="O326" s="246"/>
      <c r="P326" s="1049"/>
      <c r="Q326" s="310"/>
      <c r="S326" s="1211"/>
      <c r="T326" s="310"/>
      <c r="U326" s="1212"/>
      <c r="W326" s="1144"/>
      <c r="X326" s="246"/>
      <c r="AB326" s="1127"/>
      <c r="AD326" s="1103"/>
      <c r="AE326" s="246"/>
      <c r="AF326" s="1144"/>
      <c r="AG326" s="310"/>
      <c r="AI326" s="1129"/>
      <c r="AK326" s="1097"/>
      <c r="AM326" s="1126"/>
      <c r="AN326" s="246"/>
      <c r="AO326" s="246"/>
      <c r="AP326" s="246"/>
      <c r="AQ326" s="246"/>
      <c r="AR326" s="246"/>
      <c r="AS326" s="1100"/>
      <c r="AU326" s="1100"/>
      <c r="AV326" s="1121" t="s">
        <v>76</v>
      </c>
      <c r="AX326" s="310"/>
      <c r="AY326" s="1142"/>
      <c r="AZ326" s="1103"/>
      <c r="BB326" s="1129"/>
      <c r="BG326" s="1170"/>
      <c r="BH326" s="1170"/>
      <c r="BI326" s="1150"/>
    </row>
    <row r="327" spans="1:92" s="114" customFormat="1">
      <c r="A327" s="114" t="s">
        <v>115</v>
      </c>
      <c r="B327" s="245" t="s">
        <v>96</v>
      </c>
      <c r="D327" s="1045">
        <f>(S327/S320-1)*100</f>
        <v>-13.401635354043073</v>
      </c>
      <c r="E327" s="114" t="s">
        <v>76</v>
      </c>
      <c r="F327" s="1144">
        <v>-6</v>
      </c>
      <c r="G327" s="114" t="s">
        <v>76</v>
      </c>
      <c r="H327" s="1144">
        <f>D327-F327</f>
        <v>-7.4016353540430728</v>
      </c>
      <c r="I327" s="114" t="s">
        <v>76</v>
      </c>
      <c r="J327" s="1047">
        <v>569</v>
      </c>
      <c r="K327" s="1063">
        <f>J327-J323</f>
        <v>1</v>
      </c>
      <c r="L327" s="1122">
        <f>AVERAGE(J327,J323)</f>
        <v>568.5</v>
      </c>
      <c r="N327" s="1123">
        <f>(L327/L320-1)*100</f>
        <v>-2.9863481228668887</v>
      </c>
      <c r="O327" s="246" t="s">
        <v>76</v>
      </c>
      <c r="P327" s="1049">
        <f>H327/N327*100</f>
        <v>247.84904671252849</v>
      </c>
      <c r="Q327" s="310" t="s">
        <v>76</v>
      </c>
      <c r="S327" s="1050">
        <f>AY327-AS327</f>
        <v>328.208235</v>
      </c>
      <c r="T327" s="310"/>
      <c r="U327" s="1125">
        <f>S327/L327</f>
        <v>0.57732319261213716</v>
      </c>
      <c r="W327" s="1144">
        <f>(U327/U320-1)*100</f>
        <v>-10.735898535565958</v>
      </c>
      <c r="X327" s="246" t="s">
        <v>76</v>
      </c>
      <c r="Z327" s="1063">
        <f>Z323+(SegqtrSales!J327-SegqtrSales!J323)*(squft!$CZ$29/1000)</f>
        <v>3966.6639999999989</v>
      </c>
      <c r="AB327" s="1127">
        <f>AVERAGE(Z327,Z323)</f>
        <v>3962.6639999999989</v>
      </c>
      <c r="AD327" s="1128">
        <f>(Z327/Z320-1)*100</f>
        <v>-3.286631310185828</v>
      </c>
      <c r="AE327" s="246" t="s">
        <v>76</v>
      </c>
      <c r="AF327" s="1144">
        <f>+H327/AD327*100</f>
        <v>225.2043096864607</v>
      </c>
      <c r="AG327" s="310" t="s">
        <v>76</v>
      </c>
      <c r="AI327" s="1129">
        <f>+S327</f>
        <v>328.208235</v>
      </c>
      <c r="AK327" s="1097">
        <f>AI327/AB327*1000</f>
        <v>82.825148687852447</v>
      </c>
      <c r="AM327" s="1126">
        <f>(AK327/AK320-1)*100</f>
        <v>-10.184789495831293</v>
      </c>
      <c r="AN327" s="246" t="s">
        <v>76</v>
      </c>
      <c r="AO327" s="246"/>
      <c r="AP327" s="246"/>
      <c r="AQ327" s="246"/>
      <c r="AR327" s="246"/>
      <c r="AS327" s="1100">
        <f>qtrSales!$AS160*(AV327/100)</f>
        <v>40.791765000000005</v>
      </c>
      <c r="AT327" s="114" t="s">
        <v>718</v>
      </c>
      <c r="AU327" s="1100">
        <f>(AS327/AS320-1)*100</f>
        <v>-4.2435591967041724</v>
      </c>
      <c r="AV327" s="1101">
        <v>25</v>
      </c>
      <c r="AX327" s="310"/>
      <c r="AY327" s="1102">
        <v>369</v>
      </c>
      <c r="AZ327" s="1103">
        <f>AY327/AY320-1</f>
        <v>-0.1247628083491461</v>
      </c>
      <c r="BB327" s="1129"/>
      <c r="BG327" s="1170"/>
      <c r="BH327" s="1170"/>
      <c r="BI327" s="1150"/>
    </row>
    <row r="328" spans="1:92" s="114" customFormat="1">
      <c r="A328" s="114" t="s">
        <v>116</v>
      </c>
      <c r="B328" s="245" t="s">
        <v>97</v>
      </c>
      <c r="D328" s="1045">
        <f>(S328/S321-1)*100</f>
        <v>-6.5355615918228143</v>
      </c>
      <c r="F328" s="1144">
        <v>-1</v>
      </c>
      <c r="H328" s="1144">
        <f>D328-F328</f>
        <v>-5.5355615918228143</v>
      </c>
      <c r="J328" s="1176">
        <f>429+137</f>
        <v>566</v>
      </c>
      <c r="K328" s="1063">
        <f>J328-J327</f>
        <v>-3</v>
      </c>
      <c r="L328" s="1122">
        <f>AVERAGE(J328,J327)</f>
        <v>567.5</v>
      </c>
      <c r="N328" s="1123">
        <f>(L328/L321-1)*100</f>
        <v>-2.9914529914529919</v>
      </c>
      <c r="O328" s="246"/>
      <c r="P328" s="1049">
        <f>H328/N328*100</f>
        <v>185.04591606950547</v>
      </c>
      <c r="Q328" s="310"/>
      <c r="S328" s="1050">
        <f>AY328-AS328</f>
        <v>385.58137200000004</v>
      </c>
      <c r="T328" s="310"/>
      <c r="U328" s="1131">
        <f>S328/L328</f>
        <v>0.67943854096916312</v>
      </c>
      <c r="W328" s="1144">
        <f>(U328/U321-1)*100</f>
        <v>-3.6533982928922404</v>
      </c>
      <c r="X328" s="246"/>
      <c r="Z328" s="1063">
        <f>Z327+(SegqtrSales!J328-SegqtrSales!J327)*(squft!$CZ$29/1000)</f>
        <v>3942.6639999999989</v>
      </c>
      <c r="AB328" s="1127">
        <f>AVERAGE(Z328,Z327)</f>
        <v>3954.6639999999989</v>
      </c>
      <c r="AD328" s="1128">
        <f>(Z328/Z321-1)*100</f>
        <v>-3.8717882200111964</v>
      </c>
      <c r="AE328" s="246"/>
      <c r="AF328" s="1144">
        <f>+H328/AD328*100</f>
        <v>142.97170395871515</v>
      </c>
      <c r="AG328" s="310"/>
      <c r="AI328" s="1132">
        <f>+S328</f>
        <v>385.58137200000004</v>
      </c>
      <c r="AK328" s="1106">
        <f>AI328/AB328*1000</f>
        <v>97.500412677284373</v>
      </c>
      <c r="AM328" s="1126">
        <f>(AK328/AK321-1)*100</f>
        <v>-3.0660937537661859</v>
      </c>
      <c r="AN328" s="246"/>
      <c r="AO328" s="246"/>
      <c r="AP328" s="246"/>
      <c r="AQ328" s="246"/>
      <c r="AR328" s="246"/>
      <c r="AS328" s="1100">
        <f>qtrSales!$AS161*(AV328/100)</f>
        <v>51.518628</v>
      </c>
      <c r="AT328" s="114" t="s">
        <v>718</v>
      </c>
      <c r="AU328" s="1100">
        <f>(AS328/AS321-1)*100</f>
        <v>-1.0334366823803287</v>
      </c>
      <c r="AV328" s="1101">
        <v>30</v>
      </c>
      <c r="AX328" s="310"/>
      <c r="AY328" s="2013">
        <v>437.1</v>
      </c>
      <c r="AZ328" s="1103">
        <f>AY328/AY321-1</f>
        <v>-5.9190701678863533E-2</v>
      </c>
      <c r="BB328" s="1129"/>
      <c r="BG328" s="1170"/>
      <c r="BH328" s="1170"/>
      <c r="BI328" s="1150"/>
    </row>
    <row r="329" spans="1:92" s="114" customFormat="1">
      <c r="A329" s="114" t="s">
        <v>117</v>
      </c>
      <c r="B329" s="245" t="s">
        <v>99</v>
      </c>
      <c r="D329" s="1045">
        <f>(S329/S322-1)*100</f>
        <v>2.5364851625186979E-2</v>
      </c>
      <c r="F329" s="1144">
        <v>3</v>
      </c>
      <c r="H329" s="1144">
        <f>D329-F329</f>
        <v>-2.974635148374813</v>
      </c>
      <c r="J329" s="1176">
        <f>431+139</f>
        <v>570</v>
      </c>
      <c r="K329" s="1063">
        <f>J329-J328</f>
        <v>4</v>
      </c>
      <c r="L329" s="1122">
        <f>AVERAGE(J329,J328)</f>
        <v>568</v>
      </c>
      <c r="N329" s="1123">
        <f>(L329/L322-1)*100</f>
        <v>-2.9059829059829068</v>
      </c>
      <c r="O329" s="246"/>
      <c r="P329" s="1049">
        <f>H329/N329*100</f>
        <v>102.36244481172147</v>
      </c>
      <c r="Q329" s="310"/>
      <c r="S329" s="1050">
        <f>AY329-AS329</f>
        <v>411.94996400000002</v>
      </c>
      <c r="T329" s="310"/>
      <c r="U329" s="1131">
        <f>S329/L329</f>
        <v>0.72526402112676058</v>
      </c>
      <c r="W329" s="1144">
        <f>(U329/U322-1)*100</f>
        <v>3.0190817573956474</v>
      </c>
      <c r="X329" s="246"/>
      <c r="Z329" s="1063">
        <f>Z328+(SegqtrSales!J329-SegqtrSales!J328)*(squft!$CZ$29/1000)</f>
        <v>3974.6639999999989</v>
      </c>
      <c r="AB329" s="1127">
        <f>AVERAGE(Z329,Z328)</f>
        <v>3958.6639999999989</v>
      </c>
      <c r="AD329" s="1128">
        <f>(Z329/Z322-1)*100</f>
        <v>-3.0915790069107052</v>
      </c>
      <c r="AE329" s="246"/>
      <c r="AF329" s="1144">
        <f>+H329/AD329*100</f>
        <v>96.217342067775604</v>
      </c>
      <c r="AG329" s="310"/>
      <c r="AI329" s="1132">
        <f>+S329</f>
        <v>411.94996400000002</v>
      </c>
      <c r="AK329" s="1106">
        <f>AI329/AB329*1000</f>
        <v>104.06287676852598</v>
      </c>
      <c r="AM329" s="1126">
        <f>(AK329/AK322-1)*100</f>
        <v>3.6335574390264247</v>
      </c>
      <c r="AN329" s="246"/>
      <c r="AO329" s="246"/>
      <c r="AP329" s="246"/>
      <c r="AQ329" s="246"/>
      <c r="AR329" s="246"/>
      <c r="AS329" s="1100">
        <f>qtrSales!$AS162*(AV329/100)</f>
        <v>55.350035999999996</v>
      </c>
      <c r="AT329" s="114" t="s">
        <v>718</v>
      </c>
      <c r="AU329" s="1100">
        <f>(AS329/AS322-1)*100</f>
        <v>-1.6078073754099642</v>
      </c>
      <c r="AV329" s="1101">
        <v>30</v>
      </c>
      <c r="AX329" s="310"/>
      <c r="AY329" s="1177">
        <v>467.3</v>
      </c>
      <c r="AZ329" s="1103">
        <f>AY329/AY322-1</f>
        <v>-1.7090365306559052E-3</v>
      </c>
      <c r="BB329" s="1129"/>
      <c r="BG329" s="1170"/>
      <c r="BH329" s="1170"/>
      <c r="BI329" s="1150"/>
    </row>
    <row r="330" spans="1:92" s="114" customFormat="1">
      <c r="A330" s="114" t="s">
        <v>118</v>
      </c>
      <c r="B330" s="245" t="s">
        <v>100</v>
      </c>
      <c r="D330" s="1061">
        <f>(S330/S323-1)*100</f>
        <v>1.3804497464961596</v>
      </c>
      <c r="F330" s="1104">
        <v>4</v>
      </c>
      <c r="H330" s="1104">
        <f>D330-F330</f>
        <v>-2.6195502535038404</v>
      </c>
      <c r="J330" s="1063">
        <f>squft!CY33</f>
        <v>553</v>
      </c>
      <c r="K330" s="1063">
        <f>J330-J329</f>
        <v>-17</v>
      </c>
      <c r="L330" s="1108">
        <f>AVERAGE(J330,J329)</f>
        <v>561.5</v>
      </c>
      <c r="N330" s="1107">
        <f>(L330/L322-1)*100</f>
        <v>-4.0170940170940135</v>
      </c>
      <c r="O330" s="246"/>
      <c r="P330" s="1064">
        <f>H330/N330*100</f>
        <v>65.210080778712694</v>
      </c>
      <c r="Q330" s="310"/>
      <c r="S330" s="1266">
        <f>AY330-AS330</f>
        <v>510.11387999999999</v>
      </c>
      <c r="T330" s="310"/>
      <c r="U330" s="1133">
        <f>S330/L330</f>
        <v>0.90848420302760458</v>
      </c>
      <c r="W330" s="1104">
        <f>(U330/U322-1)*100</f>
        <v>29.044328218020745</v>
      </c>
      <c r="X330" s="246"/>
      <c r="Z330" s="1063">
        <f>Z329+(SegqtrSales!J330-SegqtrSales!J329)*(squft!$CZ$29/1000)</f>
        <v>3838.6639999999989</v>
      </c>
      <c r="AB330" s="1110">
        <f>AVERAGE(Z330,Z329)</f>
        <v>3906.6639999999989</v>
      </c>
      <c r="AD330" s="1107">
        <f>(Z330/Z323-1)*100</f>
        <v>-3.0313257199903854</v>
      </c>
      <c r="AE330" s="246"/>
      <c r="AF330" s="1104">
        <f>+H330/AD330*100</f>
        <v>86.415994039470917</v>
      </c>
      <c r="AG330" s="310"/>
      <c r="AI330" s="1111">
        <f>+S330</f>
        <v>510.11387999999999</v>
      </c>
      <c r="AK330" s="1135">
        <f>AI330/AB330*1000</f>
        <v>130.57531438588015</v>
      </c>
      <c r="AM330" s="1134">
        <f>(AK330/AK323-1)*100</f>
        <v>4.5827593125908006</v>
      </c>
      <c r="AN330" s="246"/>
      <c r="AO330" s="246"/>
      <c r="AP330" s="246"/>
      <c r="AQ330" s="246"/>
      <c r="AR330" s="246"/>
      <c r="AS330" s="1136">
        <f>qtrSales!$AS163*(AV330/100)</f>
        <v>93.486120000000014</v>
      </c>
      <c r="AT330" s="1042" t="s">
        <v>718</v>
      </c>
      <c r="AU330" s="1136">
        <f>(AS330/AS323-1)*100</f>
        <v>3.4915827264062393</v>
      </c>
      <c r="AV330" s="1137">
        <v>30</v>
      </c>
      <c r="AX330" s="310"/>
      <c r="AY330" s="1145">
        <v>603.6</v>
      </c>
      <c r="AZ330" s="1138">
        <f>AY330/AY323-1</f>
        <v>1.7017691659646283E-2</v>
      </c>
      <c r="BB330" s="1129"/>
      <c r="BG330" s="1170"/>
      <c r="BH330" s="1170"/>
      <c r="BI330" s="1150"/>
    </row>
    <row r="331" spans="1:92" s="114" customFormat="1">
      <c r="B331" s="245" t="s">
        <v>119</v>
      </c>
      <c r="D331" s="1123">
        <f>(S331/S324-1)*100</f>
        <v>-4.1430691486304072</v>
      </c>
      <c r="F331" s="1139">
        <v>0</v>
      </c>
      <c r="H331" s="1126">
        <f>D331-F331</f>
        <v>-4.1430691486304072</v>
      </c>
      <c r="L331" s="1122">
        <f>AVERAGE(L327:L330)</f>
        <v>566.375</v>
      </c>
      <c r="N331" s="1123">
        <f>(L331/L323-1)*100</f>
        <v>-1.7562879444926294</v>
      </c>
      <c r="O331" s="246"/>
      <c r="P331" s="1124">
        <f>H331/N331*100</f>
        <v>235.89919646275831</v>
      </c>
      <c r="Q331" s="310"/>
      <c r="S331" s="1095">
        <f>SUM(S327:S330)</f>
        <v>1635.8534509999999</v>
      </c>
      <c r="U331" s="1125">
        <f>SUM(U327:U330)</f>
        <v>2.8905099577356652</v>
      </c>
      <c r="W331" s="1144">
        <f>(U331/U323-1)*100</f>
        <v>231.17752357306793</v>
      </c>
      <c r="X331" s="246"/>
      <c r="AB331" s="1127">
        <f>AVERAGE(AB327:AB330)</f>
        <v>3945.6639999999989</v>
      </c>
      <c r="AD331" s="1103">
        <f>Z330/Z323-1</f>
        <v>-3.0313257199903854E-2</v>
      </c>
      <c r="AE331" s="246"/>
      <c r="AF331" s="1144">
        <f>+H331/AD331*100</f>
        <v>13667.515573494848</v>
      </c>
      <c r="AG331" s="310"/>
      <c r="AI331" s="1129">
        <f>SUM(AI327:AI330)</f>
        <v>1635.8534509999999</v>
      </c>
      <c r="AK331" s="1097">
        <f>SUM(AK327:AK330)</f>
        <v>414.96375251954294</v>
      </c>
      <c r="AM331" s="1126">
        <f>(AK331/AK324-1)*100</f>
        <v>-0.74289079640701416</v>
      </c>
      <c r="AN331" s="246"/>
      <c r="AO331" s="246"/>
      <c r="AP331" s="246"/>
      <c r="AQ331" s="246"/>
      <c r="AR331" s="246"/>
      <c r="AS331" s="1100">
        <f>SUM(AS327:AS330)</f>
        <v>241.14654899999999</v>
      </c>
      <c r="AT331" s="114" t="s">
        <v>718</v>
      </c>
      <c r="AU331" s="1100">
        <f>(AS331/AS324-1)*100</f>
        <v>-3.9856542809391104E-2</v>
      </c>
      <c r="AV331" s="1124">
        <f>(AS331/qtrSales!AS$150)*100</f>
        <v>31.038947453778782</v>
      </c>
      <c r="AX331" s="310"/>
      <c r="AY331" s="1142">
        <f>SUM(AY327:AY330)</f>
        <v>1877</v>
      </c>
      <c r="AZ331" s="1103">
        <f>AY331/AY324-1</f>
        <v>-3.6348701098675495E-2</v>
      </c>
      <c r="BB331" s="1129"/>
      <c r="BG331" s="1170"/>
      <c r="BH331" s="1170"/>
      <c r="BI331" s="1150"/>
    </row>
    <row r="332" spans="1:92" s="97" customFormat="1">
      <c r="A332" s="310"/>
      <c r="B332" s="247"/>
      <c r="C332" s="310"/>
      <c r="D332" s="1128"/>
      <c r="E332" s="310"/>
      <c r="F332" s="1210"/>
      <c r="G332" s="310"/>
      <c r="H332" s="1126"/>
      <c r="I332" s="310"/>
      <c r="J332" s="310"/>
      <c r="K332" s="310"/>
      <c r="L332" s="1124"/>
      <c r="M332" s="310"/>
      <c r="N332" s="1128"/>
      <c r="O332" s="249"/>
      <c r="P332" s="1049"/>
      <c r="Q332" s="310"/>
      <c r="R332" s="310"/>
      <c r="S332" s="2188"/>
      <c r="T332" s="310"/>
      <c r="U332" s="1212"/>
      <c r="V332" s="310"/>
      <c r="W332" s="1144"/>
      <c r="X332" s="249"/>
      <c r="Y332" s="310"/>
      <c r="Z332" s="310"/>
      <c r="AA332" s="310"/>
      <c r="AB332" s="1127"/>
      <c r="AC332" s="310"/>
      <c r="AD332" s="1216"/>
      <c r="AE332" s="249"/>
      <c r="AF332" s="1144"/>
      <c r="AG332" s="310"/>
      <c r="AH332" s="310"/>
      <c r="AI332" s="1143"/>
      <c r="AJ332" s="310"/>
      <c r="AK332" s="1213"/>
      <c r="AL332" s="310"/>
      <c r="AM332" s="1126"/>
      <c r="AN332" s="249"/>
      <c r="AO332" s="249"/>
      <c r="AP332" s="249"/>
      <c r="AQ332" s="249"/>
      <c r="AR332" s="249"/>
      <c r="AS332" s="1214"/>
      <c r="AT332" s="310"/>
      <c r="AU332" s="1214"/>
      <c r="AV332" s="1124"/>
      <c r="AW332" s="310"/>
      <c r="AX332" s="310"/>
      <c r="AY332" s="1215"/>
      <c r="AZ332" s="1216"/>
      <c r="BA332" s="310"/>
      <c r="BB332" s="1143"/>
      <c r="BC332" s="310"/>
      <c r="BD332" s="310"/>
      <c r="BE332" s="310"/>
      <c r="BF332" s="310"/>
      <c r="BG332" s="1217"/>
      <c r="BH332" s="1217"/>
      <c r="BI332" s="1163"/>
      <c r="BJ332" s="310"/>
      <c r="BK332" s="310"/>
      <c r="BL332" s="310"/>
      <c r="BM332" s="310"/>
      <c r="BN332" s="310"/>
      <c r="BO332" s="310"/>
      <c r="BP332" s="310"/>
      <c r="BQ332" s="310"/>
      <c r="BR332" s="310"/>
      <c r="BS332" s="310"/>
      <c r="BT332" s="310"/>
      <c r="BU332" s="310"/>
      <c r="BV332" s="310"/>
      <c r="BW332" s="310"/>
      <c r="BX332" s="310"/>
      <c r="BY332" s="310"/>
      <c r="BZ332" s="310"/>
      <c r="CA332" s="310"/>
      <c r="CB332" s="310"/>
      <c r="CC332" s="310"/>
      <c r="CD332" s="310"/>
      <c r="CE332" s="310"/>
      <c r="CF332" s="310"/>
      <c r="CG332" s="310"/>
    </row>
    <row r="333" spans="1:92" s="114" customFormat="1" ht="13.5" customHeight="1">
      <c r="A333" s="1120"/>
      <c r="B333" s="1172">
        <v>2016</v>
      </c>
      <c r="D333" s="1123"/>
      <c r="F333" s="1139"/>
      <c r="H333" s="1126"/>
      <c r="L333" s="1122"/>
      <c r="N333" s="1123"/>
      <c r="O333" s="246"/>
      <c r="P333" s="1049"/>
      <c r="Q333" s="310"/>
      <c r="S333" s="1211"/>
      <c r="T333" s="310"/>
      <c r="U333" s="1212"/>
      <c r="W333" s="1144"/>
      <c r="X333" s="246"/>
      <c r="AB333" s="1127"/>
      <c r="AD333" s="1103"/>
      <c r="AE333" s="246"/>
      <c r="AF333" s="1144"/>
      <c r="AG333" s="310"/>
      <c r="AI333" s="1129"/>
      <c r="AK333" s="1097"/>
      <c r="AM333" s="1126"/>
      <c r="AN333" s="246"/>
      <c r="AO333" s="246"/>
      <c r="AP333" s="246"/>
      <c r="AQ333" s="246"/>
      <c r="AR333" s="246"/>
      <c r="AS333" s="1100"/>
      <c r="AU333" s="1100"/>
      <c r="AV333" s="1121" t="s">
        <v>76</v>
      </c>
      <c r="AX333" s="310"/>
      <c r="AY333" s="1142"/>
      <c r="AZ333" s="1103"/>
      <c r="BB333" s="1129"/>
      <c r="BG333" s="1170"/>
      <c r="BH333" s="1170"/>
      <c r="BI333" s="1150"/>
    </row>
    <row r="334" spans="1:92" s="114" customFormat="1">
      <c r="A334" s="114" t="s">
        <v>115</v>
      </c>
      <c r="B334" s="245" t="s">
        <v>96</v>
      </c>
      <c r="D334" s="1045">
        <f>(S334/S327-1)*100</f>
        <v>-2.2050680721036775</v>
      </c>
      <c r="E334" s="114" t="s">
        <v>76</v>
      </c>
      <c r="F334" s="1144">
        <v>0</v>
      </c>
      <c r="G334" s="114" t="s">
        <v>76</v>
      </c>
      <c r="H334" s="1144">
        <f>D334-F334</f>
        <v>-2.2050680721036775</v>
      </c>
      <c r="I334" s="114" t="s">
        <v>76</v>
      </c>
      <c r="J334" s="1047">
        <f>411+141</f>
        <v>552</v>
      </c>
      <c r="K334" s="1063">
        <f>J334-J330</f>
        <v>-1</v>
      </c>
      <c r="L334" s="1122">
        <f>AVERAGE(J334,J330)</f>
        <v>552.5</v>
      </c>
      <c r="N334" s="1123">
        <f>(L334/L327-1)*100</f>
        <v>-2.8144239226033374</v>
      </c>
      <c r="O334" s="246" t="s">
        <v>76</v>
      </c>
      <c r="P334" s="1049">
        <f>H334/N334*100</f>
        <v>78.348824936933923</v>
      </c>
      <c r="Q334" s="310" t="s">
        <v>76</v>
      </c>
      <c r="S334" s="1050">
        <f>AY334-AS334</f>
        <v>320.97102000000001</v>
      </c>
      <c r="T334" s="310"/>
      <c r="U334" s="1125">
        <f>S334/L334</f>
        <v>0.58094302262443442</v>
      </c>
      <c r="W334" s="1144">
        <f>(U334/U327-1)*100</f>
        <v>0.6270023547675363</v>
      </c>
      <c r="X334" s="246" t="s">
        <v>76</v>
      </c>
      <c r="Z334" s="1063">
        <f>Z330+(SegqtrSales!J334-SegqtrSales!J330)*(squft!$CZ$29/1000)</f>
        <v>3830.6639999999989</v>
      </c>
      <c r="AB334" s="1127">
        <f>AVERAGE(Z334,Z330)</f>
        <v>3834.6639999999989</v>
      </c>
      <c r="AD334" s="1128">
        <f>(Z334/Z327-1)*100</f>
        <v>-3.428573733494944</v>
      </c>
      <c r="AE334" s="246" t="s">
        <v>76</v>
      </c>
      <c r="AF334" s="1144">
        <f>+H334/AD334*100</f>
        <v>64.314442199728447</v>
      </c>
      <c r="AG334" s="310" t="s">
        <v>76</v>
      </c>
      <c r="AI334" s="1129">
        <f>+S334</f>
        <v>320.97102000000001</v>
      </c>
      <c r="AK334" s="1097">
        <f>AI334/AB334*1000</f>
        <v>83.702514744447001</v>
      </c>
      <c r="AM334" s="1126">
        <f>(AK334/AK327-1)*100</f>
        <v>1.0592991023790743</v>
      </c>
      <c r="AN334" s="246" t="s">
        <v>76</v>
      </c>
      <c r="AO334" s="246"/>
      <c r="AP334" s="246"/>
      <c r="AQ334" s="246"/>
      <c r="AR334" s="246"/>
      <c r="AS334" s="1100">
        <f>qtrSales!$AS167*(AV334/100)</f>
        <v>41.128979999999999</v>
      </c>
      <c r="AT334" s="114" t="s">
        <v>718</v>
      </c>
      <c r="AU334" s="1100">
        <f>(AS334/AS327-1)*100</f>
        <v>0.82667420740434316</v>
      </c>
      <c r="AV334" s="1101">
        <v>25</v>
      </c>
      <c r="AX334" s="310"/>
      <c r="AY334" s="2028">
        <v>362.1</v>
      </c>
      <c r="AZ334" s="1103">
        <f>AY334/AY327-1</f>
        <v>-1.8699186991869898E-2</v>
      </c>
      <c r="BB334" s="1129"/>
      <c r="BG334" s="1170"/>
      <c r="BH334" s="1170"/>
      <c r="BI334" s="1150"/>
    </row>
    <row r="335" spans="1:92" s="114" customFormat="1">
      <c r="A335" s="114" t="s">
        <v>116</v>
      </c>
      <c r="B335" s="245" t="s">
        <v>97</v>
      </c>
      <c r="D335" s="1045">
        <f>(S335/S328-1)*100</f>
        <v>-5.0623327311569488</v>
      </c>
      <c r="F335" s="1144">
        <v>-2</v>
      </c>
      <c r="H335" s="1144">
        <f>D335-F335</f>
        <v>-3.0623327311569488</v>
      </c>
      <c r="J335" s="1176">
        <f>411+143</f>
        <v>554</v>
      </c>
      <c r="K335" s="1063">
        <f>J335-J334</f>
        <v>2</v>
      </c>
      <c r="L335" s="1122">
        <f>AVERAGE(J335,J334)</f>
        <v>553</v>
      </c>
      <c r="N335" s="1123">
        <f>(L335/L328-1)*100</f>
        <v>-2.5550660792951541</v>
      </c>
      <c r="O335" s="246"/>
      <c r="P335" s="1049">
        <f>H335/N335*100</f>
        <v>119.85336723665989</v>
      </c>
      <c r="Q335" s="310"/>
      <c r="S335" s="1050">
        <f>AY335-AS335</f>
        <v>366.06196</v>
      </c>
      <c r="T335" s="310"/>
      <c r="U335" s="1131">
        <f>S335/L335</f>
        <v>0.66195652802893312</v>
      </c>
      <c r="W335" s="1144">
        <f>(U335/U328-1)*100</f>
        <v>-2.5730087250118827</v>
      </c>
      <c r="X335" s="246"/>
      <c r="Z335" s="1063">
        <f>Z334+(SegqtrSales!J335-SegqtrSales!J334)*(squft!$CZ$29/1000)</f>
        <v>3846.6639999999989</v>
      </c>
      <c r="AB335" s="1127">
        <f>AVERAGE(Z335,Z334)</f>
        <v>3838.6639999999989</v>
      </c>
      <c r="AD335" s="1128">
        <f>(Z335/Z328-1)*100</f>
        <v>-2.4349018835995162</v>
      </c>
      <c r="AE335" s="246"/>
      <c r="AF335" s="1144">
        <f>+H335/AD335*100</f>
        <v>125.76821890785601</v>
      </c>
      <c r="AG335" s="310"/>
      <c r="AI335" s="1132">
        <f>+S335</f>
        <v>366.06196</v>
      </c>
      <c r="AK335" s="1106">
        <f>AI335/AB335*1000</f>
        <v>95.36181338090546</v>
      </c>
      <c r="AM335" s="1126">
        <f>(AK335/AK328-1)*100</f>
        <v>-2.1934258919061644</v>
      </c>
      <c r="AN335" s="246"/>
      <c r="AO335" s="246"/>
      <c r="AP335" s="246"/>
      <c r="AQ335" s="246"/>
      <c r="AR335" s="246"/>
      <c r="AS335" s="1100">
        <f>qtrSales!$AS168*(AV335/100)</f>
        <v>54.038040000000002</v>
      </c>
      <c r="AT335" s="114" t="s">
        <v>718</v>
      </c>
      <c r="AU335" s="1100">
        <f>(AS335/AS328-1)*100</f>
        <v>4.8902932741143657</v>
      </c>
      <c r="AV335" s="1101">
        <v>30</v>
      </c>
      <c r="AX335" s="310"/>
      <c r="AY335" s="2033">
        <v>420.1</v>
      </c>
      <c r="AZ335" s="1103">
        <f>AY335/AY328-1</f>
        <v>-3.8892701898878945E-2</v>
      </c>
      <c r="BB335" s="1129"/>
      <c r="BG335" s="1170"/>
      <c r="BH335" s="1170"/>
      <c r="BI335" s="1150"/>
    </row>
    <row r="336" spans="1:92" s="114" customFormat="1">
      <c r="A336" s="114" t="s">
        <v>117</v>
      </c>
      <c r="B336" s="245" t="s">
        <v>99</v>
      </c>
      <c r="D336" s="1045">
        <f>(S336/S329-1)*100</f>
        <v>-1.2500571549995509</v>
      </c>
      <c r="F336" s="1144">
        <v>0</v>
      </c>
      <c r="H336" s="1144">
        <f>D336-F336</f>
        <v>-1.2500571549995509</v>
      </c>
      <c r="J336" s="1176">
        <f>412+144</f>
        <v>556</v>
      </c>
      <c r="K336" s="1063">
        <f>J336-J335</f>
        <v>2</v>
      </c>
      <c r="L336" s="1122">
        <f>AVERAGE(J336,J335)</f>
        <v>555</v>
      </c>
      <c r="N336" s="1123">
        <f>(L336/L329-1)*100</f>
        <v>-2.2887323943661997</v>
      </c>
      <c r="O336" s="246"/>
      <c r="P336" s="1049">
        <f>H336/N336*100</f>
        <v>54.617881849211095</v>
      </c>
      <c r="Q336" s="310"/>
      <c r="S336" s="1050">
        <f>AY336-AS336</f>
        <v>406.80035399999997</v>
      </c>
      <c r="T336" s="310"/>
      <c r="U336" s="1131">
        <f>S336/L336</f>
        <v>0.73297361081081081</v>
      </c>
      <c r="W336" s="1144">
        <f>(U336/U329-1)*100</f>
        <v>1.0630045692977763</v>
      </c>
      <c r="X336" s="246"/>
      <c r="Z336" s="1063">
        <f>Z335+(SegqtrSales!J336-SegqtrSales!J335)*(squft!$CZ$29/1000)</f>
        <v>3862.6639999999989</v>
      </c>
      <c r="AB336" s="1127">
        <f>AVERAGE(Z336,Z335)</f>
        <v>3854.6639999999989</v>
      </c>
      <c r="AD336" s="1128">
        <f>(Z336/Z329-1)*100</f>
        <v>-2.8178482508206981</v>
      </c>
      <c r="AE336" s="246"/>
      <c r="AF336" s="1144">
        <f>+H336/AD336*100</f>
        <v>44.362117606420853</v>
      </c>
      <c r="AG336" s="310"/>
      <c r="AI336" s="1132">
        <f>+S336</f>
        <v>406.80035399999997</v>
      </c>
      <c r="AK336" s="1106">
        <f>AI336/AB336*1000</f>
        <v>105.53458200247806</v>
      </c>
      <c r="AM336" s="1126">
        <f>(AK336/AK329-1)*100</f>
        <v>1.4142461554524255</v>
      </c>
      <c r="AN336" s="246"/>
      <c r="AO336" s="246"/>
      <c r="AP336" s="246"/>
      <c r="AQ336" s="246"/>
      <c r="AR336" s="246"/>
      <c r="AS336" s="1100">
        <f>qtrSales!$AS169*(AV336/100)</f>
        <v>56.699646000000008</v>
      </c>
      <c r="AT336" s="114" t="s">
        <v>718</v>
      </c>
      <c r="AU336" s="1100">
        <f>(AS336/AS329-1)*100</f>
        <v>2.4383181972998491</v>
      </c>
      <c r="AV336" s="1101">
        <v>30</v>
      </c>
      <c r="AX336" s="310"/>
      <c r="AY336" s="2033">
        <v>463.5</v>
      </c>
      <c r="AZ336" s="1103">
        <f>AY336/AY329-1</f>
        <v>-8.1318210999358209E-3</v>
      </c>
      <c r="BB336" s="1129"/>
      <c r="BG336" s="1170"/>
      <c r="BH336" s="1170"/>
      <c r="BI336" s="1150"/>
    </row>
    <row r="337" spans="1:61" s="114" customFormat="1">
      <c r="A337" s="114" t="s">
        <v>118</v>
      </c>
      <c r="B337" s="245" t="s">
        <v>100</v>
      </c>
      <c r="D337" s="1061">
        <f>(S337/S330-1)*100</f>
        <v>-2.4495783176885833</v>
      </c>
      <c r="F337" s="1104">
        <v>1</v>
      </c>
      <c r="H337" s="1104">
        <f>D337-F337</f>
        <v>-3.4495783176885833</v>
      </c>
      <c r="J337" s="1063">
        <f>squft!DC33</f>
        <v>543</v>
      </c>
      <c r="K337" s="1063">
        <f>J337-J336</f>
        <v>-13</v>
      </c>
      <c r="L337" s="1108">
        <f>AVERAGE(J337,J336)</f>
        <v>549.5</v>
      </c>
      <c r="N337" s="1107">
        <f>(L337/L329-1)*100</f>
        <v>-3.2570422535211252</v>
      </c>
      <c r="O337" s="246"/>
      <c r="P337" s="1064">
        <f>H337/N337*100</f>
        <v>105.91137753768196</v>
      </c>
      <c r="Q337" s="310"/>
      <c r="S337" s="1266">
        <f>AY337-AS337</f>
        <v>497.61824100000001</v>
      </c>
      <c r="T337" s="310"/>
      <c r="U337" s="1133">
        <f>S337/L337</f>
        <v>0.90558369608735212</v>
      </c>
      <c r="W337" s="1104">
        <f>(U337/U329-1)*100</f>
        <v>24.862625155519137</v>
      </c>
      <c r="X337" s="246"/>
      <c r="Z337" s="1063">
        <f>Z336+(SegqtrSales!J337-SegqtrSales!J336)*(squft!$CZ$29/1000)</f>
        <v>3758.6639999999989</v>
      </c>
      <c r="AB337" s="1110">
        <f>AVERAGE(Z337,Z336)</f>
        <v>3810.6639999999989</v>
      </c>
      <c r="AD337" s="1107">
        <f>(Z337/Z330-1)*100</f>
        <v>-2.0840584119891759</v>
      </c>
      <c r="AE337" s="246"/>
      <c r="AF337" s="1104">
        <f>+H337/AD337*100</f>
        <v>165.52215129114623</v>
      </c>
      <c r="AG337" s="310"/>
      <c r="AI337" s="1111">
        <f>+S337</f>
        <v>497.61824100000001</v>
      </c>
      <c r="AK337" s="1135">
        <f>AI337/AB337*1000</f>
        <v>130.58570396130443</v>
      </c>
      <c r="AM337" s="1134">
        <f>(AK337/AK330-1)*100</f>
        <v>7.9567684543979667E-3</v>
      </c>
      <c r="AN337" s="246"/>
      <c r="AO337" s="246"/>
      <c r="AP337" s="246"/>
      <c r="AQ337" s="246"/>
      <c r="AR337" s="246"/>
      <c r="AS337" s="1136">
        <f>qtrSales!$AS170*(AV337/100)</f>
        <v>96.381759000000002</v>
      </c>
      <c r="AT337" s="1042" t="s">
        <v>718</v>
      </c>
      <c r="AU337" s="1136">
        <f>(AS337/AS330-1)*100</f>
        <v>3.0973999134844776</v>
      </c>
      <c r="AV337" s="1137">
        <v>30</v>
      </c>
      <c r="AX337" s="310"/>
      <c r="AY337" s="1145">
        <v>594</v>
      </c>
      <c r="AZ337" s="1138">
        <f>AY337/AY330-1</f>
        <v>-1.5904572564612418E-2</v>
      </c>
      <c r="BB337" s="1129"/>
      <c r="BG337" s="1170"/>
      <c r="BH337" s="1170"/>
      <c r="BI337" s="1150"/>
    </row>
    <row r="338" spans="1:61" s="114" customFormat="1">
      <c r="B338" s="245" t="s">
        <v>119</v>
      </c>
      <c r="D338" s="1123">
        <f>(S338/S331-1)*100</f>
        <v>-2.7142942402852088</v>
      </c>
      <c r="F338" s="1139">
        <v>0</v>
      </c>
      <c r="H338" s="1126">
        <f>D338-F338</f>
        <v>-2.7142942402852088</v>
      </c>
      <c r="L338" s="1122">
        <f>AVERAGE(L334:L337)</f>
        <v>552.5</v>
      </c>
      <c r="N338" s="1123">
        <f>(L338/L330-1)*100</f>
        <v>-1.6028495102404228</v>
      </c>
      <c r="O338" s="246"/>
      <c r="P338" s="1124">
        <f>H338/N338*100</f>
        <v>169.34180176890547</v>
      </c>
      <c r="Q338" s="310"/>
      <c r="S338" s="1095">
        <f>SUM(S334:S337)</f>
        <v>1591.451575</v>
      </c>
      <c r="U338" s="1125">
        <f>SUM(U334:U337)</f>
        <v>2.8814568575515307</v>
      </c>
      <c r="W338" s="1144">
        <f>(U338/U330-1)*100</f>
        <v>217.17192747532857</v>
      </c>
      <c r="X338" s="246"/>
      <c r="AB338" s="1127">
        <f>AVERAGE(AB334:AB337)</f>
        <v>3834.6639999999989</v>
      </c>
      <c r="AD338" s="1103">
        <f>Z337/Z330-1</f>
        <v>-2.0840584119891759E-2</v>
      </c>
      <c r="AE338" s="246"/>
      <c r="AF338" s="1144">
        <f>+H338/AD338*100</f>
        <v>13024.079481987697</v>
      </c>
      <c r="AG338" s="310"/>
      <c r="AI338" s="1129">
        <f>SUM(AI334:AI337)</f>
        <v>1591.451575</v>
      </c>
      <c r="AK338" s="1097">
        <f>SUM(AK334:AK337)</f>
        <v>415.18461408913498</v>
      </c>
      <c r="AM338" s="1126">
        <f>(AK338/AK331-1)*100</f>
        <v>5.3224304111143539E-2</v>
      </c>
      <c r="AN338" s="246"/>
      <c r="AO338" s="246"/>
      <c r="AP338" s="246"/>
      <c r="AQ338" s="246"/>
      <c r="AR338" s="246"/>
      <c r="AS338" s="1100">
        <f>SUM(AS334:AS337)</f>
        <v>248.248425</v>
      </c>
      <c r="AT338" s="114" t="s">
        <v>718</v>
      </c>
      <c r="AU338" s="1100">
        <f>(AS338/AS331-1)*100</f>
        <v>2.9450456701331396</v>
      </c>
      <c r="AV338" s="1124">
        <f>(AS338/qtrSales!AS$150)*100</f>
        <v>31.953058631821197</v>
      </c>
      <c r="AX338" s="310"/>
      <c r="AY338" s="1142">
        <f>SUM(AY334:AY337)</f>
        <v>1839.7</v>
      </c>
      <c r="AZ338" s="1103">
        <f>AY338/AY331-1</f>
        <v>-1.9872136387852901E-2</v>
      </c>
      <c r="BB338" s="1129"/>
      <c r="BG338" s="1170"/>
      <c r="BH338" s="1170"/>
      <c r="BI338" s="1150"/>
    </row>
    <row r="339" spans="1:61" s="114" customFormat="1">
      <c r="B339" s="245"/>
      <c r="D339" s="1123"/>
      <c r="F339" s="1139"/>
      <c r="H339" s="1126"/>
      <c r="L339" s="1122"/>
      <c r="N339" s="1123"/>
      <c r="O339" s="246"/>
      <c r="P339" s="1124"/>
      <c r="Q339" s="310"/>
      <c r="S339" s="2188"/>
      <c r="U339" s="1125"/>
      <c r="W339" s="1144"/>
      <c r="X339" s="246"/>
      <c r="AB339" s="1127"/>
      <c r="AD339" s="1103"/>
      <c r="AE339" s="246"/>
      <c r="AF339" s="1144"/>
      <c r="AG339" s="310"/>
      <c r="AI339" s="1129"/>
      <c r="AK339" s="1097"/>
      <c r="AM339" s="1126"/>
      <c r="AN339" s="246"/>
      <c r="AO339" s="246"/>
      <c r="AP339" s="246"/>
      <c r="AQ339" s="246"/>
      <c r="AR339" s="246"/>
      <c r="AS339" s="1100"/>
      <c r="AU339" s="1100"/>
      <c r="AV339" s="1124"/>
      <c r="AX339" s="310"/>
      <c r="AY339" s="1142"/>
      <c r="AZ339" s="1103"/>
      <c r="BB339" s="1129"/>
      <c r="BG339" s="1170"/>
      <c r="BH339" s="1170"/>
      <c r="BI339" s="1150"/>
    </row>
    <row r="340" spans="1:61" s="114" customFormat="1" ht="13.5" customHeight="1">
      <c r="A340" s="1120"/>
      <c r="B340" s="1175">
        <v>2017</v>
      </c>
      <c r="D340" s="1123"/>
      <c r="F340" s="1139"/>
      <c r="H340" s="1126"/>
      <c r="L340" s="1122"/>
      <c r="N340" s="1123"/>
      <c r="O340" s="246"/>
      <c r="P340" s="1049"/>
      <c r="Q340" s="310"/>
      <c r="S340" s="1211"/>
      <c r="T340" s="310"/>
      <c r="U340" s="1212"/>
      <c r="W340" s="1144"/>
      <c r="X340" s="246"/>
      <c r="AB340" s="1127"/>
      <c r="AD340" s="1103"/>
      <c r="AE340" s="246"/>
      <c r="AF340" s="1144"/>
      <c r="AG340" s="310"/>
      <c r="AI340" s="1129"/>
      <c r="AK340" s="1097"/>
      <c r="AM340" s="1126"/>
      <c r="AN340" s="246"/>
      <c r="AO340" s="246"/>
      <c r="AP340" s="246"/>
      <c r="AQ340" s="246"/>
      <c r="AR340" s="246"/>
      <c r="AS340" s="1100"/>
      <c r="AU340" s="1100"/>
      <c r="AV340" s="1121" t="s">
        <v>76</v>
      </c>
      <c r="AX340" s="310"/>
      <c r="AY340" s="1142"/>
      <c r="AZ340" s="1103"/>
      <c r="BB340" s="1129"/>
      <c r="BG340" s="1170"/>
      <c r="BH340" s="1170"/>
      <c r="BI340" s="1150"/>
    </row>
    <row r="341" spans="1:61" s="114" customFormat="1">
      <c r="A341" s="114" t="s">
        <v>115</v>
      </c>
      <c r="B341" s="245" t="s">
        <v>96</v>
      </c>
      <c r="D341" s="1045">
        <f>(S341/S334-1)*100</f>
        <v>2.83664160708339</v>
      </c>
      <c r="E341" s="114" t="s">
        <v>76</v>
      </c>
      <c r="F341" s="1123">
        <v>3</v>
      </c>
      <c r="G341" s="114" t="s">
        <v>76</v>
      </c>
      <c r="H341" s="1144">
        <f>D341-F341</f>
        <v>-0.16335839291661003</v>
      </c>
      <c r="I341" s="114" t="s">
        <v>76</v>
      </c>
      <c r="J341" s="2049">
        <f>397+145</f>
        <v>542</v>
      </c>
      <c r="K341" s="1063">
        <f>J341-J337</f>
        <v>-1</v>
      </c>
      <c r="L341" s="1122">
        <f>AVERAGE(J341,J337)</f>
        <v>542.5</v>
      </c>
      <c r="N341" s="1123">
        <f>(L341/L334-1)*100</f>
        <v>-1.8099547511312264</v>
      </c>
      <c r="O341" s="246" t="s">
        <v>76</v>
      </c>
      <c r="P341" s="1124">
        <f>H341/N341*100</f>
        <v>9.0255512086426801</v>
      </c>
      <c r="Q341" s="310" t="s">
        <v>76</v>
      </c>
      <c r="S341" s="1050">
        <f>AY341-AS341</f>
        <v>330.07581749999997</v>
      </c>
      <c r="T341" s="310"/>
      <c r="U341" s="1125">
        <f>S341/L341</f>
        <v>0.60843468663594469</v>
      </c>
      <c r="W341" s="1144">
        <f>(U341/U334-1)*100</f>
        <v>4.7322479039881626</v>
      </c>
      <c r="X341" s="246" t="s">
        <v>76</v>
      </c>
      <c r="Z341" s="1063">
        <f>Z337+(SegqtrSales!J341-SegqtrSales!J337)*(squft!$DH$29/1000)</f>
        <v>3750.6639999999989</v>
      </c>
      <c r="AB341" s="1127">
        <f>AVERAGE(Z341,Z337)</f>
        <v>3754.6639999999989</v>
      </c>
      <c r="AD341" s="1128">
        <f>(Z341/Z334-1)*100</f>
        <v>-2.0884107820471898</v>
      </c>
      <c r="AE341" s="246" t="s">
        <v>76</v>
      </c>
      <c r="AF341" s="1144">
        <f>+H341/AD341*100</f>
        <v>7.8221389355438973</v>
      </c>
      <c r="AG341" s="310" t="s">
        <v>76</v>
      </c>
      <c r="AI341" s="1129">
        <f>+S341</f>
        <v>330.07581749999997</v>
      </c>
      <c r="AK341" s="1097">
        <f>AI341/AB341*1000</f>
        <v>87.910880307798536</v>
      </c>
      <c r="AM341" s="1126">
        <f>(AK341/AK334-1)*100</f>
        <v>5.0277647884297672</v>
      </c>
      <c r="AN341" s="246" t="s">
        <v>76</v>
      </c>
      <c r="AO341" s="246"/>
      <c r="AP341" s="246"/>
      <c r="AQ341" s="246"/>
      <c r="AR341" s="246"/>
      <c r="AS341" s="1100">
        <f>qtrSales!$AS174*(AV341/100)</f>
        <v>44.624182500000003</v>
      </c>
      <c r="AT341" s="114" t="s">
        <v>718</v>
      </c>
      <c r="AU341" s="1100">
        <f>(AS341/AS334-1)*100</f>
        <v>8.4981502094144012</v>
      </c>
      <c r="AV341" s="1101">
        <v>25</v>
      </c>
      <c r="AX341" s="310"/>
      <c r="AY341" s="2163">
        <v>374.7</v>
      </c>
      <c r="AZ341" s="1103">
        <f>AY341/AY334-1</f>
        <v>3.4797017398508601E-2</v>
      </c>
      <c r="BB341" s="1129"/>
      <c r="BG341" s="1170"/>
      <c r="BH341" s="1170"/>
      <c r="BI341" s="1150"/>
    </row>
    <row r="342" spans="1:61" s="114" customFormat="1">
      <c r="A342" s="114" t="s">
        <v>116</v>
      </c>
      <c r="B342" s="245" t="s">
        <v>97</v>
      </c>
      <c r="D342" s="1045">
        <f>(S342/S335-1)*100</f>
        <v>6.6728943919767136</v>
      </c>
      <c r="F342" s="1123">
        <v>5</v>
      </c>
      <c r="H342" s="1144">
        <f>D342-F342</f>
        <v>1.6728943919767136</v>
      </c>
      <c r="J342" s="2049">
        <f>397+145</f>
        <v>542</v>
      </c>
      <c r="K342" s="1063">
        <f>J342-J341</f>
        <v>0</v>
      </c>
      <c r="L342" s="1122">
        <f>AVERAGE(J342,J341)</f>
        <v>542</v>
      </c>
      <c r="N342" s="1123">
        <f>(L342/L335-1)*100</f>
        <v>-1.9891500904159143</v>
      </c>
      <c r="O342" s="246"/>
      <c r="P342" s="1049">
        <f>H342/N342*100</f>
        <v>-84.100963523920186</v>
      </c>
      <c r="Q342" s="310"/>
      <c r="S342" s="1050">
        <f>AY342-AS342</f>
        <v>390.48888800000003</v>
      </c>
      <c r="T342" s="310"/>
      <c r="U342" s="1131">
        <f>S342/L342</f>
        <v>0.72045920295202959</v>
      </c>
      <c r="W342" s="1144">
        <f>(U342/U335-1)*100</f>
        <v>8.8378424331422956</v>
      </c>
      <c r="X342" s="246"/>
      <c r="Z342" s="1063">
        <f>Z341+(SegqtrSales!J342-SegqtrSales!J341)*(squft!$DH$29/1000)</f>
        <v>3750.6639999999989</v>
      </c>
      <c r="AB342" s="1127">
        <f>AVERAGE(Z342,Z341)</f>
        <v>3750.6639999999989</v>
      </c>
      <c r="AD342" s="1128">
        <f>(Z342/Z335-1)*100</f>
        <v>-2.4956689744672245</v>
      </c>
      <c r="AE342" s="246"/>
      <c r="AF342" s="1144">
        <f>+H342/AD342*100</f>
        <v>-67.03190243144499</v>
      </c>
      <c r="AG342" s="310"/>
      <c r="AI342" s="1132">
        <f>+S342</f>
        <v>390.48888800000003</v>
      </c>
      <c r="AK342" s="1106">
        <f>AI342/AB342*1000</f>
        <v>104.11193537997544</v>
      </c>
      <c r="AM342" s="1126">
        <f>(AK342/AK335-1)*100</f>
        <v>9.1757084820935688</v>
      </c>
      <c r="AN342" s="246"/>
      <c r="AO342" s="246"/>
      <c r="AP342" s="246"/>
      <c r="AQ342" s="246"/>
      <c r="AR342" s="246"/>
      <c r="AS342" s="1100">
        <f>qtrSales!$AS175*(AV342/100)</f>
        <v>56.111111999999999</v>
      </c>
      <c r="AT342" s="114" t="s">
        <v>718</v>
      </c>
      <c r="AU342" s="1100">
        <f>(AS342/AS335-1)*100</f>
        <v>3.8363197480885569</v>
      </c>
      <c r="AV342" s="1101">
        <v>30</v>
      </c>
      <c r="AX342" s="310"/>
      <c r="AY342" s="2157">
        <v>446.6</v>
      </c>
      <c r="AZ342" s="1103">
        <f>AY342/AY335-1</f>
        <v>6.3080218995477333E-2</v>
      </c>
      <c r="BB342" s="1129"/>
      <c r="BG342" s="1170"/>
      <c r="BH342" s="1170"/>
      <c r="BI342" s="1150"/>
    </row>
    <row r="343" spans="1:61" s="114" customFormat="1">
      <c r="A343" s="114" t="s">
        <v>117</v>
      </c>
      <c r="B343" s="245" t="s">
        <v>99</v>
      </c>
      <c r="D343" s="1045">
        <f>(S343/S336-1)*100</f>
        <v>9.6960540009756393</v>
      </c>
      <c r="F343" s="2245">
        <v>8</v>
      </c>
      <c r="H343" s="1144">
        <f>D343-F343</f>
        <v>1.6960540009756393</v>
      </c>
      <c r="J343" s="2049">
        <f>396+145</f>
        <v>541</v>
      </c>
      <c r="K343" s="1063">
        <f>J343-J342</f>
        <v>-1</v>
      </c>
      <c r="L343" s="1122">
        <f>AVERAGE(J343,J342)</f>
        <v>541.5</v>
      </c>
      <c r="N343" s="1123">
        <f>(L343/L336-1)*100</f>
        <v>-2.4324324324324298</v>
      </c>
      <c r="O343" s="246"/>
      <c r="P343" s="1049">
        <f>H343/N343*100</f>
        <v>-69.726664484554135</v>
      </c>
      <c r="Q343" s="310"/>
      <c r="S343" s="1050">
        <f>AY343-AS343</f>
        <v>446.24393600000002</v>
      </c>
      <c r="T343" s="310"/>
      <c r="U343" s="1131">
        <f>S343/L343</f>
        <v>0.82408852446906744</v>
      </c>
      <c r="W343" s="1144">
        <f>(U343/U336-1)*100</f>
        <v>12.430858671360067</v>
      </c>
      <c r="X343" s="246"/>
      <c r="Z343" s="1063">
        <f>Z342+(SegqtrSales!J343-SegqtrSales!J342)*(squft!$DH$29/1000)</f>
        <v>3742.6639999999989</v>
      </c>
      <c r="AB343" s="1127">
        <f>AVERAGE(Z343,Z342)</f>
        <v>3746.6639999999989</v>
      </c>
      <c r="AD343" s="1128">
        <f>(Z343/Z336-1)*100</f>
        <v>-3.106664208950094</v>
      </c>
      <c r="AE343" s="246"/>
      <c r="AF343" s="1144">
        <f>+H343/AD343*100</f>
        <v>-54.59405609687137</v>
      </c>
      <c r="AG343" s="310"/>
      <c r="AI343" s="1132">
        <f>+S343</f>
        <v>446.24393600000002</v>
      </c>
      <c r="AK343" s="1106">
        <f>AI343/AB343*1000</f>
        <v>119.10433815255389</v>
      </c>
      <c r="AM343" s="1126">
        <f>(AK343/AK336-1)*100</f>
        <v>12.858113324177655</v>
      </c>
      <c r="AN343" s="246"/>
      <c r="AO343" s="246"/>
      <c r="AP343" s="246"/>
      <c r="AQ343" s="246"/>
      <c r="AR343" s="246"/>
      <c r="AS343" s="1100">
        <f>qtrSales!$AS176*(AV343/100)</f>
        <v>61.856063999999989</v>
      </c>
      <c r="AT343" s="114" t="s">
        <v>718</v>
      </c>
      <c r="AU343" s="1100">
        <f>(AS343/AS336-1)*100</f>
        <v>9.0942684192419456</v>
      </c>
      <c r="AV343" s="1101">
        <v>30</v>
      </c>
      <c r="AX343" s="310"/>
      <c r="AY343" s="2157">
        <v>508.1</v>
      </c>
      <c r="AZ343" s="1103">
        <f>AY343/AY336-1</f>
        <v>9.6224379719525466E-2</v>
      </c>
      <c r="BB343" s="1129"/>
      <c r="BG343" s="1170"/>
      <c r="BH343" s="1170"/>
      <c r="BI343" s="1150"/>
    </row>
    <row r="344" spans="1:61" s="114" customFormat="1">
      <c r="A344" s="114" t="s">
        <v>118</v>
      </c>
      <c r="B344" s="245" t="s">
        <v>100</v>
      </c>
      <c r="D344" s="1107">
        <f>(S344/S337-1)*100</f>
        <v>18.061967105422116</v>
      </c>
      <c r="F344" s="2262">
        <v>11</v>
      </c>
      <c r="H344" s="1104">
        <f>D344-F344</f>
        <v>7.0619671054221165</v>
      </c>
      <c r="J344" s="2051">
        <f>squft!DG33</f>
        <v>538</v>
      </c>
      <c r="K344" s="1063">
        <f>J344-J343</f>
        <v>-3</v>
      </c>
      <c r="L344" s="1108">
        <f>AVERAGE(J344,J343)</f>
        <v>539.5</v>
      </c>
      <c r="N344" s="1107">
        <f>(L344/L337-1)*100</f>
        <v>-1.8198362147406777</v>
      </c>
      <c r="O344" s="246"/>
      <c r="P344" s="1049">
        <f>H344/N344*100</f>
        <v>-388.05509244294439</v>
      </c>
      <c r="Q344" s="310"/>
      <c r="S344" s="1266">
        <f>AY344-AS344</f>
        <v>587.49788400000011</v>
      </c>
      <c r="T344" s="310"/>
      <c r="U344" s="1133">
        <f>S344/L344</f>
        <v>1.0889673475440225</v>
      </c>
      <c r="W344" s="1104">
        <f>(U344/U336-1)*100</f>
        <v>48.568424767627526</v>
      </c>
      <c r="X344" s="246"/>
      <c r="Z344" s="1063">
        <f>Z343+(SegqtrSales!J344-SegqtrSales!J343)*(squft!$DH$29/1000)</f>
        <v>3718.6639999999989</v>
      </c>
      <c r="AB344" s="1110">
        <f>AVERAGE(Z344,Z343)</f>
        <v>3730.6639999999989</v>
      </c>
      <c r="AD344" s="1107">
        <f>(Z344/Z337-1)*100</f>
        <v>-1.0642079206867106</v>
      </c>
      <c r="AE344" s="246"/>
      <c r="AF344" s="1104">
        <f>+H344/AD344*100</f>
        <v>-663.58903820835872</v>
      </c>
      <c r="AG344" s="310"/>
      <c r="AI344" s="1111">
        <f>+S344</f>
        <v>587.49788400000011</v>
      </c>
      <c r="AK344" s="1135">
        <f>AI344/AB344*1000</f>
        <v>157.4781014854193</v>
      </c>
      <c r="AM344" s="1134">
        <f>(AK344/AK337-1)*100</f>
        <v>20.59367657280746</v>
      </c>
      <c r="AN344" s="246"/>
      <c r="AO344" s="246"/>
      <c r="AP344" s="246"/>
      <c r="AQ344" s="246"/>
      <c r="AR344" s="246"/>
      <c r="AS344" s="1136">
        <f>qtrSales!$AS177*(AV344/100)</f>
        <v>121.70211599999999</v>
      </c>
      <c r="AT344" s="1042" t="s">
        <v>718</v>
      </c>
      <c r="AU344" s="1136">
        <f>(AS344/AS337-1)*100</f>
        <v>26.270901530236635</v>
      </c>
      <c r="AV344" s="1137">
        <v>30</v>
      </c>
      <c r="AX344" s="310"/>
      <c r="AY344" s="2261">
        <v>709.2</v>
      </c>
      <c r="AZ344" s="1138">
        <f>AY344/AY337-1</f>
        <v>0.19393939393939408</v>
      </c>
      <c r="BB344" s="1129"/>
      <c r="BG344" s="1170"/>
      <c r="BH344" s="1170"/>
      <c r="BI344" s="1150"/>
    </row>
    <row r="345" spans="1:61" s="114" customFormat="1">
      <c r="B345" s="245" t="s">
        <v>119</v>
      </c>
      <c r="D345" s="1123">
        <f>(S345/S338-1)*100</f>
        <v>10.233107501244575</v>
      </c>
      <c r="F345" s="1139">
        <f>S341/S345*F341+S342/S345*F342+S343/S345*F343+S344/S345*F344</f>
        <v>7.3961419603121694</v>
      </c>
      <c r="H345" s="1126">
        <f>D345-F345</f>
        <v>2.8369655409324057</v>
      </c>
      <c r="L345" s="1122">
        <f>AVERAGE(L341:L344)</f>
        <v>541.375</v>
      </c>
      <c r="N345" s="1123">
        <f>(L345/L337-1)*100</f>
        <v>-1.4786169244767944</v>
      </c>
      <c r="O345" s="246"/>
      <c r="P345" s="1124">
        <f>H345/N345*100</f>
        <v>-191.8661618144443</v>
      </c>
      <c r="Q345" s="310"/>
      <c r="S345" s="1095">
        <f>SUM(S341:S344)</f>
        <v>1754.3065255000001</v>
      </c>
      <c r="U345" s="1125">
        <f>SUM(U341:U344)</f>
        <v>3.241949761601064</v>
      </c>
      <c r="W345" s="1144">
        <f>(U345/U337-1)*100</f>
        <v>257.99559727148039</v>
      </c>
      <c r="X345" s="246"/>
      <c r="AB345" s="1127">
        <f>AVERAGE(AB341:AB344)</f>
        <v>3745.6639999999989</v>
      </c>
      <c r="AD345" s="1103">
        <f>Z344/Z337-1</f>
        <v>-1.0642079206867106E-2</v>
      </c>
      <c r="AE345" s="246"/>
      <c r="AF345" s="1144">
        <f>+H345/AD345*100</f>
        <v>-26658.000619857939</v>
      </c>
      <c r="AG345" s="310"/>
      <c r="AI345" s="1129">
        <f>SUM(AI341:AI344)</f>
        <v>1754.3065255000001</v>
      </c>
      <c r="AK345" s="1097">
        <f>SUM(AK341:AK344)</f>
        <v>468.60525532574718</v>
      </c>
      <c r="AM345" s="1126">
        <f>(AK345/AK338-1)*100</f>
        <v>12.866719869620091</v>
      </c>
      <c r="AN345" s="246"/>
      <c r="AO345" s="246"/>
      <c r="AP345" s="246"/>
      <c r="AQ345" s="246"/>
      <c r="AR345" s="246"/>
      <c r="AS345" s="1100">
        <f>SUM(AS341:AS344)</f>
        <v>284.2934745</v>
      </c>
      <c r="AT345" s="114" t="s">
        <v>718</v>
      </c>
      <c r="AU345" s="1100">
        <f>(AS345/AS338-1)*100</f>
        <v>14.519749521069469</v>
      </c>
      <c r="AV345" s="1124">
        <f>(AS345/qtrSales!AS$150)*100</f>
        <v>36.592562709482102</v>
      </c>
      <c r="AX345" s="310"/>
      <c r="AY345" s="1142">
        <f>SUM(AY341:AY344)</f>
        <v>2038.6000000000001</v>
      </c>
      <c r="AZ345" s="1103">
        <f>AY345/AY338-1</f>
        <v>0.10811545360656627</v>
      </c>
      <c r="BB345" s="1129"/>
      <c r="BG345" s="1170"/>
      <c r="BH345" s="1170"/>
      <c r="BI345" s="1150"/>
    </row>
    <row r="346" spans="1:61" s="114" customFormat="1">
      <c r="B346" s="245"/>
      <c r="D346" s="1123"/>
      <c r="F346" s="1139"/>
      <c r="H346" s="2200"/>
      <c r="L346" s="1122"/>
      <c r="N346" s="1123"/>
      <c r="O346" s="246"/>
      <c r="P346" s="1124"/>
      <c r="Q346" s="310"/>
      <c r="S346" s="2188"/>
      <c r="U346" s="1125"/>
      <c r="W346" s="1144"/>
      <c r="X346" s="246"/>
      <c r="AB346" s="1127"/>
      <c r="AD346" s="1103"/>
      <c r="AE346" s="246"/>
      <c r="AF346" s="1144"/>
      <c r="AG346" s="310"/>
      <c r="AI346" s="1129"/>
      <c r="AK346" s="1097"/>
      <c r="AM346" s="1126"/>
      <c r="AN346" s="246"/>
      <c r="AO346" s="246"/>
      <c r="AP346" s="246"/>
      <c r="AQ346" s="246"/>
      <c r="AR346" s="246"/>
      <c r="AS346" s="1100"/>
      <c r="AU346" s="1100"/>
      <c r="AV346" s="1124"/>
      <c r="AX346" s="310"/>
      <c r="AY346" s="1142"/>
      <c r="AZ346" s="1103"/>
      <c r="BB346" s="1129"/>
      <c r="BG346" s="1170"/>
      <c r="BH346" s="1170"/>
      <c r="BI346" s="1150"/>
    </row>
    <row r="347" spans="1:61" s="114" customFormat="1" ht="13.5" customHeight="1">
      <c r="A347" s="1120"/>
      <c r="B347" s="1175">
        <v>2018</v>
      </c>
      <c r="D347" s="1123"/>
      <c r="F347" s="1139"/>
      <c r="H347" s="1126"/>
      <c r="L347" s="1122"/>
      <c r="N347" s="1123"/>
      <c r="O347" s="246"/>
      <c r="P347" s="1049"/>
      <c r="Q347" s="310"/>
      <c r="S347" s="1211"/>
      <c r="T347" s="310"/>
      <c r="U347" s="1212"/>
      <c r="W347" s="1144"/>
      <c r="X347" s="246"/>
      <c r="AB347" s="1127"/>
      <c r="AD347" s="1103"/>
      <c r="AE347" s="246"/>
      <c r="AF347" s="1144"/>
      <c r="AG347" s="310"/>
      <c r="AI347" s="1129"/>
      <c r="AK347" s="1097"/>
      <c r="AM347" s="1126"/>
      <c r="AN347" s="246"/>
      <c r="AO347" s="246"/>
      <c r="AP347" s="246"/>
      <c r="AQ347" s="246"/>
      <c r="AR347" s="246"/>
      <c r="AS347" s="1100"/>
      <c r="AU347" s="1100"/>
      <c r="AV347" s="1121" t="s">
        <v>76</v>
      </c>
      <c r="AX347" s="310"/>
      <c r="AY347" s="1142"/>
      <c r="AZ347" s="1103"/>
      <c r="BB347" s="1129"/>
      <c r="BG347" s="1170"/>
      <c r="BH347" s="1170"/>
      <c r="BI347" s="1150"/>
    </row>
    <row r="348" spans="1:61" s="114" customFormat="1">
      <c r="A348" s="114" t="s">
        <v>115</v>
      </c>
      <c r="B348" s="245" t="s">
        <v>96</v>
      </c>
      <c r="D348" s="1045">
        <f t="shared" ref="D348:D349" si="14">F348+H348</f>
        <v>7.7</v>
      </c>
      <c r="E348" s="114" t="s">
        <v>76</v>
      </c>
      <c r="F348" s="2172">
        <v>3</v>
      </c>
      <c r="G348" s="114" t="s">
        <v>76</v>
      </c>
      <c r="H348" s="1144">
        <f>1+0.5+3+0.2</f>
        <v>4.7</v>
      </c>
      <c r="I348" s="114" t="s">
        <v>76</v>
      </c>
      <c r="J348" s="2049">
        <v>541</v>
      </c>
      <c r="K348" s="1063">
        <f>J348-J344</f>
        <v>3</v>
      </c>
      <c r="L348" s="1122">
        <f>AVERAGE(J348,J344)</f>
        <v>539.5</v>
      </c>
      <c r="N348" s="1123">
        <f>(L348/L341-1)*100</f>
        <v>-0.55299539170506895</v>
      </c>
      <c r="O348" s="246" t="s">
        <v>76</v>
      </c>
      <c r="P348" s="2179">
        <v>-20</v>
      </c>
      <c r="Q348" s="310" t="s">
        <v>76</v>
      </c>
      <c r="S348" s="1050">
        <f t="shared" ref="S348:S349" si="15">S341*(1+D348/100)</f>
        <v>355.49165544749997</v>
      </c>
      <c r="T348" s="310"/>
      <c r="U348" s="1125">
        <f>S348/L348</f>
        <v>0.65892799897590359</v>
      </c>
      <c r="W348" s="1144">
        <f>(U348/U341-1)*100</f>
        <v>8.298887859128822</v>
      </c>
      <c r="X348" s="246" t="s">
        <v>76</v>
      </c>
      <c r="Z348" s="1063">
        <f>Z344+(SegqtrSales!J348-SegqtrSales!J344)*(squft!$DH$29/1000)</f>
        <v>3742.6639999999989</v>
      </c>
      <c r="AB348" s="1127">
        <f>AVERAGE(Z348,Z344)</f>
        <v>3730.6639999999989</v>
      </c>
      <c r="AD348" s="1128">
        <f>(Z348/Z341-1)*100</f>
        <v>-0.21329556579848807</v>
      </c>
      <c r="AE348" s="246" t="s">
        <v>76</v>
      </c>
      <c r="AF348" s="1144">
        <f>+H348/AD348*100</f>
        <v>-2203.5150999999437</v>
      </c>
      <c r="AG348" s="310" t="s">
        <v>76</v>
      </c>
      <c r="AI348" s="1129">
        <f>+S348</f>
        <v>355.49165544749997</v>
      </c>
      <c r="AK348" s="1097">
        <f>AI348/AB348*1000</f>
        <v>95.2891108519824</v>
      </c>
      <c r="AM348" s="1126">
        <f>(AK348/AK341-1)*100</f>
        <v>8.392852532417816</v>
      </c>
      <c r="AN348" s="246" t="s">
        <v>76</v>
      </c>
      <c r="AO348" s="246"/>
      <c r="AP348" s="246"/>
      <c r="AQ348" s="246"/>
      <c r="AR348" s="246"/>
      <c r="AS348" s="1100">
        <f>qtrSales!$AS181*(AV348/100)</f>
        <v>45.962907975000007</v>
      </c>
      <c r="AT348" s="114" t="s">
        <v>718</v>
      </c>
      <c r="AU348" s="1100">
        <f>(AS348/AS341-1)*100</f>
        <v>3.0000000000000027</v>
      </c>
      <c r="AV348" s="1101">
        <v>25</v>
      </c>
      <c r="AX348" s="310"/>
      <c r="AY348" s="1160">
        <f t="shared" ref="AY348:AY349" si="16">AI348+AS348</f>
        <v>401.45456342249997</v>
      </c>
      <c r="AZ348" s="1103">
        <f>AY348/AY341-1</f>
        <v>7.1402624559647743E-2</v>
      </c>
      <c r="BB348" s="1129"/>
      <c r="BG348" s="1170"/>
      <c r="BH348" s="1170"/>
      <c r="BI348" s="1150"/>
    </row>
    <row r="349" spans="1:61" s="114" customFormat="1">
      <c r="A349" s="114" t="s">
        <v>116</v>
      </c>
      <c r="B349" s="245" t="s">
        <v>97</v>
      </c>
      <c r="D349" s="1045">
        <f t="shared" si="14"/>
        <v>8.6999999999999993</v>
      </c>
      <c r="F349" s="2172">
        <v>2</v>
      </c>
      <c r="H349" s="1144">
        <f>1+2.5+0.2+3</f>
        <v>6.7</v>
      </c>
      <c r="J349" s="2049">
        <v>538</v>
      </c>
      <c r="K349" s="1063">
        <f>J349-J348</f>
        <v>-3</v>
      </c>
      <c r="L349" s="1122">
        <f>AVERAGE(J349,J348)</f>
        <v>539.5</v>
      </c>
      <c r="N349" s="1123">
        <f>(L349/L342-1)*100</f>
        <v>-0.46125461254612476</v>
      </c>
      <c r="O349" s="246"/>
      <c r="P349" s="2179">
        <v>-20</v>
      </c>
      <c r="Q349" s="310"/>
      <c r="S349" s="1050">
        <f t="shared" si="15"/>
        <v>424.46142125599999</v>
      </c>
      <c r="T349" s="310"/>
      <c r="U349" s="1131">
        <f>S349/L349</f>
        <v>0.78676815802780353</v>
      </c>
      <c r="W349" s="1144">
        <f>(U349/U342-1)*100</f>
        <v>9.203707136237238</v>
      </c>
      <c r="X349" s="246"/>
      <c r="Z349" s="1063">
        <f>Z348+(SegqtrSales!J349-SegqtrSales!J348)*(squft!$DH$29/1000)</f>
        <v>3718.6639999999989</v>
      </c>
      <c r="AB349" s="1127">
        <f>AVERAGE(Z349,Z348)</f>
        <v>3730.6639999999989</v>
      </c>
      <c r="AD349" s="1128">
        <f>(Z349/Z342-1)*100</f>
        <v>-0.85318226319393009</v>
      </c>
      <c r="AE349" s="246"/>
      <c r="AF349" s="1144">
        <f>+H349/AD349*100</f>
        <v>-785.2952750000004</v>
      </c>
      <c r="AG349" s="310"/>
      <c r="AI349" s="1132">
        <f>+S349</f>
        <v>424.46142125599999</v>
      </c>
      <c r="AK349" s="1106">
        <f>AI349/AB349*1000</f>
        <v>113.7763736578797</v>
      </c>
      <c r="AM349" s="1126">
        <f>(AK349/AK342-1)*100</f>
        <v>9.2827380863031106</v>
      </c>
      <c r="AN349" s="246"/>
      <c r="AO349" s="246"/>
      <c r="AP349" s="246"/>
      <c r="AQ349" s="246"/>
      <c r="AR349" s="246"/>
      <c r="AS349" s="1100">
        <f>qtrSales!$AS182*(AV349/100)</f>
        <v>58.916667599999997</v>
      </c>
      <c r="AT349" s="114" t="s">
        <v>718</v>
      </c>
      <c r="AU349" s="1100">
        <f>(AS349/AS342-1)*100</f>
        <v>5.0000000000000044</v>
      </c>
      <c r="AV349" s="1101">
        <v>30</v>
      </c>
      <c r="AX349" s="310"/>
      <c r="AY349" s="1160">
        <f t="shared" si="16"/>
        <v>483.37808885599998</v>
      </c>
      <c r="AZ349" s="1103">
        <f>AY349/AY342-1</f>
        <v>8.2351296139722141E-2</v>
      </c>
      <c r="BB349" s="1129"/>
      <c r="BG349" s="1170"/>
      <c r="BH349" s="1170"/>
      <c r="BI349" s="1150"/>
    </row>
    <row r="350" spans="1:61" s="114" customFormat="1">
      <c r="A350" s="114" t="s">
        <v>117</v>
      </c>
      <c r="B350" s="245" t="s">
        <v>99</v>
      </c>
      <c r="D350" s="1128">
        <f>F350+H350</f>
        <v>1.7000000000000002</v>
      </c>
      <c r="F350" s="2171">
        <v>-1</v>
      </c>
      <c r="H350" s="1144">
        <f>0.5-1+3+0.2</f>
        <v>2.7</v>
      </c>
      <c r="J350" s="2049">
        <v>535</v>
      </c>
      <c r="K350" s="1063">
        <f>J350-J349</f>
        <v>-3</v>
      </c>
      <c r="L350" s="1122">
        <f>AVERAGE(J350,J349)</f>
        <v>536.5</v>
      </c>
      <c r="N350" s="1123">
        <f>(L350/L343-1)*100</f>
        <v>-0.92336103416436055</v>
      </c>
      <c r="O350" s="246"/>
      <c r="P350" s="2170">
        <v>-15</v>
      </c>
      <c r="Q350" s="310"/>
      <c r="S350" s="1050">
        <f>S343*(1+D350/100)</f>
        <v>453.83008291199997</v>
      </c>
      <c r="T350" s="310"/>
      <c r="U350" s="1131">
        <f>S350/L350</f>
        <v>0.84590882183038207</v>
      </c>
      <c r="W350" s="1144">
        <f>(U350/U343-1)*100</f>
        <v>2.6478098788443427</v>
      </c>
      <c r="X350" s="246"/>
      <c r="Z350" s="1063">
        <f>Z349+(SegqtrSales!J350-SegqtrSales!J349)*(squft!$DH$29/1000)</f>
        <v>3694.6639999999989</v>
      </c>
      <c r="AB350" s="1127">
        <f>AVERAGE(Z350,Z349)</f>
        <v>3706.6639999999989</v>
      </c>
      <c r="AD350" s="1128">
        <f>(Z350/Z343-1)*100</f>
        <v>-1.2825089294684178</v>
      </c>
      <c r="AE350" s="246"/>
      <c r="AF350" s="1144">
        <f>+H350/AD350*100</f>
        <v>-210.52485000000064</v>
      </c>
      <c r="AG350" s="310"/>
      <c r="AI350" s="1132">
        <f>+S350</f>
        <v>453.83008291199997</v>
      </c>
      <c r="AK350" s="1106">
        <f>AI350/AB350*1000</f>
        <v>122.43626153112342</v>
      </c>
      <c r="AM350" s="1126">
        <f>(AK350/AK343-1)*100</f>
        <v>2.7974828039444288</v>
      </c>
      <c r="AN350" s="246"/>
      <c r="AO350" s="246"/>
      <c r="AP350" s="246"/>
      <c r="AQ350" s="246"/>
      <c r="AR350" s="246"/>
      <c r="AS350" s="1100">
        <f>qtrSales!$AS183*(AV350/100)</f>
        <v>62.783904959999987</v>
      </c>
      <c r="AT350" s="114" t="s">
        <v>718</v>
      </c>
      <c r="AU350" s="1100">
        <f>(AS350/AS343-1)*100</f>
        <v>1.4999999999999902</v>
      </c>
      <c r="AV350" s="1101">
        <v>30</v>
      </c>
      <c r="AX350" s="310"/>
      <c r="AY350" s="1160">
        <f>AI350+AS350</f>
        <v>516.61398787199994</v>
      </c>
      <c r="AZ350" s="1103">
        <f>AY350/AY343-1</f>
        <v>1.6756520118086815E-2</v>
      </c>
      <c r="BB350" s="1129"/>
      <c r="BG350" s="1170"/>
      <c r="BH350" s="1170"/>
      <c r="BI350" s="1150"/>
    </row>
    <row r="351" spans="1:61" s="114" customFormat="1">
      <c r="A351" s="114" t="s">
        <v>118</v>
      </c>
      <c r="B351" s="245" t="s">
        <v>100</v>
      </c>
      <c r="D351" s="1107">
        <f>F351+H351</f>
        <v>-8.3000000000000007</v>
      </c>
      <c r="F351" s="1387">
        <v>-3</v>
      </c>
      <c r="H351" s="1104">
        <f>0.5-6+0.2</f>
        <v>-5.3</v>
      </c>
      <c r="J351" s="2051">
        <f>squft!DK33</f>
        <v>526</v>
      </c>
      <c r="K351" s="1063">
        <f>J351-J350</f>
        <v>-9</v>
      </c>
      <c r="L351" s="1108">
        <f>AVERAGE(J351,J350)</f>
        <v>530.5</v>
      </c>
      <c r="N351" s="1107">
        <f>(L351/L344-1)*100</f>
        <v>-1.6682113067655213</v>
      </c>
      <c r="O351" s="246"/>
      <c r="P351" s="1049">
        <f>H351/N351*100</f>
        <v>317.70555555555597</v>
      </c>
      <c r="Q351" s="310"/>
      <c r="S351" s="1092">
        <f>S344*(1+D351/100)</f>
        <v>538.73555962800015</v>
      </c>
      <c r="T351" s="310"/>
      <c r="U351" s="1133">
        <f>S351/L351</f>
        <v>1.0155241463298776</v>
      </c>
      <c r="W351" s="1104">
        <f>(U351/U344-1)*100</f>
        <v>-6.7442978322337481</v>
      </c>
      <c r="X351" s="246"/>
      <c r="Z351" s="1063">
        <f>Z350+(SegqtrSales!J351-SegqtrSales!J350)*(squft!$DH$29/1000)</f>
        <v>3622.6639999999989</v>
      </c>
      <c r="AB351" s="1110">
        <f>AVERAGE(Z351,Z350)</f>
        <v>3658.6639999999989</v>
      </c>
      <c r="AD351" s="1107">
        <f>(Z351/Z344-1)*100</f>
        <v>-2.5815723066133445</v>
      </c>
      <c r="AE351" s="246"/>
      <c r="AF351" s="1104">
        <f>+H351/AD351*100</f>
        <v>205.30124166666656</v>
      </c>
      <c r="AG351" s="310"/>
      <c r="AI351" s="1111">
        <f>+S351</f>
        <v>538.73555962800015</v>
      </c>
      <c r="AK351" s="1135">
        <f>AI351/AB351*1000</f>
        <v>147.24925809749141</v>
      </c>
      <c r="AM351" s="1134">
        <f>(AK351/AK344-1)*100</f>
        <v>-6.4954068479641691</v>
      </c>
      <c r="AN351" s="246"/>
      <c r="AO351" s="246"/>
      <c r="AP351" s="246"/>
      <c r="AQ351" s="246"/>
      <c r="AR351" s="246"/>
      <c r="AS351" s="1136">
        <f>qtrSales!$AS184*(AV351/100)</f>
        <v>119.26807367999999</v>
      </c>
      <c r="AT351" s="1042" t="s">
        <v>718</v>
      </c>
      <c r="AU351" s="1136">
        <f>(AS351/AS344-1)*100</f>
        <v>-2.0000000000000018</v>
      </c>
      <c r="AV351" s="1137">
        <v>30</v>
      </c>
      <c r="AX351" s="310"/>
      <c r="AY351" s="1092">
        <f>AI351+AS351</f>
        <v>658.00363330800019</v>
      </c>
      <c r="AZ351" s="1138">
        <f>AY351/AY344-1</f>
        <v>-7.2188898324872852E-2</v>
      </c>
      <c r="BB351" s="1129"/>
      <c r="BG351" s="1170"/>
      <c r="BH351" s="1170"/>
      <c r="BI351" s="1150"/>
    </row>
    <row r="352" spans="1:61" s="114" customFormat="1">
      <c r="B352" s="245" t="s">
        <v>119</v>
      </c>
      <c r="D352" s="1123">
        <f>(S352/S345-1)*100</f>
        <v>1.0381420509343098</v>
      </c>
      <c r="F352" s="1139">
        <f>S348/S352*F348+S349/S352*F349+S350/S352*F350+S351/S352*F351</f>
        <v>-8.7242493556005662E-2</v>
      </c>
      <c r="H352" s="1126">
        <f>D352-F352</f>
        <v>1.1253845444903154</v>
      </c>
      <c r="L352" s="1122">
        <f>AVERAGE(L348:L351)</f>
        <v>536.5</v>
      </c>
      <c r="N352" s="1123">
        <f>(L352/L345-1)*100</f>
        <v>-0.90048487647195197</v>
      </c>
      <c r="O352" s="246"/>
      <c r="P352" s="1124">
        <f>H352/N352*100</f>
        <v>-124.97539646634684</v>
      </c>
      <c r="Q352" s="310"/>
      <c r="S352" s="1095">
        <f>SUM(S348:S351)</f>
        <v>1772.5187192435001</v>
      </c>
      <c r="U352" s="1125">
        <f>SUM(U348:U351)</f>
        <v>3.307129125163967</v>
      </c>
      <c r="W352" s="1144">
        <f>(U352/U345-1)*100</f>
        <v>2.0104988774012789</v>
      </c>
      <c r="X352" s="246"/>
      <c r="AB352" s="1127">
        <f>AVERAGE(AB348:AB351)</f>
        <v>3706.6639999999989</v>
      </c>
      <c r="AD352" s="1103">
        <f>Z351/Z344-1</f>
        <v>-2.5815723066133445E-2</v>
      </c>
      <c r="AE352" s="246"/>
      <c r="AF352" s="1144">
        <f>+H352/AD352*100</f>
        <v>-4359.2989497422213</v>
      </c>
      <c r="AG352" s="310"/>
      <c r="AI352" s="1129">
        <f>SUM(AI348:AI351)</f>
        <v>1772.5187192435001</v>
      </c>
      <c r="AK352" s="1097">
        <f>SUM(AK348:AK351)</f>
        <v>478.7510041384769</v>
      </c>
      <c r="AM352" s="1126">
        <f>(AK352/AK345-1)*100</f>
        <v>2.1650949701101707</v>
      </c>
      <c r="AN352" s="246"/>
      <c r="AO352" s="246"/>
      <c r="AP352" s="246"/>
      <c r="AQ352" s="246"/>
      <c r="AR352" s="246"/>
      <c r="AS352" s="1100">
        <f>SUM(AS348:AS351)</f>
        <v>286.93155421500001</v>
      </c>
      <c r="AT352" s="114" t="s">
        <v>718</v>
      </c>
      <c r="AU352" s="1100">
        <f>(AS352/AS345-1)*100</f>
        <v>0.9279424086816368</v>
      </c>
      <c r="AV352" s="1124">
        <f>(AS352/qtrSales!AS$150)*100</f>
        <v>36.932120617286806</v>
      </c>
      <c r="AX352" s="310"/>
      <c r="AY352" s="1142">
        <f>SUM(AY348:AY351)</f>
        <v>2059.4502734585003</v>
      </c>
      <c r="AZ352" s="1103">
        <f>AY352/AY345-1</f>
        <v>1.0227741321740424E-2</v>
      </c>
      <c r="BB352" s="1129"/>
      <c r="BG352" s="1170"/>
      <c r="BH352" s="1170"/>
      <c r="BI352" s="1150"/>
    </row>
    <row r="353" spans="1:61" s="114" customFormat="1">
      <c r="B353" s="245"/>
      <c r="D353" s="1123"/>
      <c r="F353" s="1139"/>
      <c r="H353" s="1126"/>
      <c r="L353" s="1122"/>
      <c r="N353" s="1123"/>
      <c r="O353" s="246"/>
      <c r="P353" s="1124"/>
      <c r="Q353" s="310"/>
      <c r="S353" s="1095"/>
      <c r="U353" s="1125"/>
      <c r="W353" s="1144"/>
      <c r="X353" s="246"/>
      <c r="AB353" s="1127"/>
      <c r="AD353" s="1103"/>
      <c r="AE353" s="246"/>
      <c r="AF353" s="1144"/>
      <c r="AG353" s="310"/>
      <c r="AI353" s="1129"/>
      <c r="AK353" s="1097"/>
      <c r="AM353" s="1126"/>
      <c r="AN353" s="246"/>
      <c r="AO353" s="246"/>
      <c r="AP353" s="246"/>
      <c r="AQ353" s="246"/>
      <c r="AR353" s="246"/>
      <c r="AS353" s="1100"/>
      <c r="AU353" s="1100"/>
      <c r="AV353" s="1124"/>
      <c r="AX353" s="310"/>
      <c r="AY353" s="1142"/>
      <c r="AZ353" s="1103"/>
      <c r="BB353" s="1129"/>
      <c r="BG353" s="1170"/>
      <c r="BH353" s="1170"/>
      <c r="BI353" s="1150"/>
    </row>
    <row r="354" spans="1:61" s="114" customFormat="1" hidden="1" outlineLevel="1">
      <c r="B354" s="1303" t="s">
        <v>763</v>
      </c>
      <c r="D354" s="1123"/>
      <c r="F354" s="1139"/>
      <c r="H354" s="1126"/>
      <c r="L354" s="1122"/>
      <c r="N354" s="1123"/>
      <c r="O354" s="246"/>
      <c r="P354" s="1124"/>
      <c r="Q354" s="310"/>
      <c r="S354" s="1095"/>
      <c r="U354" s="1125"/>
      <c r="W354" s="1144"/>
      <c r="X354" s="246"/>
      <c r="AB354" s="1127"/>
      <c r="AD354" s="1103"/>
      <c r="AE354" s="246"/>
      <c r="AF354" s="1144"/>
      <c r="AG354" s="310"/>
      <c r="AI354" s="1129"/>
      <c r="AK354" s="1097"/>
      <c r="AM354" s="1126"/>
      <c r="AN354" s="246"/>
      <c r="AO354" s="246"/>
      <c r="AP354" s="246"/>
      <c r="AQ354" s="246"/>
      <c r="AR354" s="246"/>
      <c r="AS354" s="1100"/>
      <c r="AU354" s="1100"/>
      <c r="AV354" s="1124"/>
      <c r="AX354" s="310"/>
      <c r="AY354" s="1142"/>
      <c r="AZ354" s="1103"/>
      <c r="BB354" s="1129"/>
      <c r="BG354" s="1170"/>
      <c r="BH354" s="1170"/>
      <c r="BI354" s="1150"/>
    </row>
    <row r="355" spans="1:61" ht="12.75" hidden="1" customHeight="1" outlineLevel="1">
      <c r="A355" s="22" t="s">
        <v>116</v>
      </c>
      <c r="B355" s="200" t="s">
        <v>97</v>
      </c>
      <c r="D355" s="1053"/>
      <c r="F355" s="1270"/>
      <c r="H355" s="1053"/>
      <c r="J355" s="1057"/>
      <c r="K355" s="1057"/>
      <c r="L355" s="244"/>
      <c r="N355" s="1053"/>
      <c r="O355" s="86"/>
      <c r="P355" s="1054"/>
      <c r="Q355" s="97"/>
      <c r="S355" s="1058"/>
      <c r="U355" s="1271"/>
      <c r="W355" s="1082"/>
      <c r="X355" s="86"/>
      <c r="Z355" s="227"/>
      <c r="AA355" s="1057"/>
      <c r="AB355" s="1014"/>
      <c r="AD355" s="1053"/>
      <c r="AE355" s="86"/>
      <c r="AF355" s="1233"/>
      <c r="AG355" s="97"/>
      <c r="AI355" s="1059"/>
      <c r="AK355" s="1060"/>
      <c r="AM355" s="1052"/>
      <c r="AN355" s="86"/>
      <c r="AO355" s="86"/>
      <c r="AP355" s="86"/>
      <c r="AQ355" s="86"/>
      <c r="AR355" s="86"/>
      <c r="AX355" s="97"/>
      <c r="AZ355" s="86"/>
    </row>
    <row r="356" spans="1:61" ht="12.75" hidden="1" customHeight="1" outlineLevel="1">
      <c r="A356" s="22" t="s">
        <v>117</v>
      </c>
      <c r="B356" s="200" t="s">
        <v>99</v>
      </c>
      <c r="D356" s="1046" t="s">
        <v>251</v>
      </c>
      <c r="F356" s="1046" t="s">
        <v>251</v>
      </c>
      <c r="H356" s="1046" t="s">
        <v>251</v>
      </c>
      <c r="J356" s="1047">
        <v>3</v>
      </c>
      <c r="K356" s="1057"/>
      <c r="L356" s="1048">
        <v>4</v>
      </c>
      <c r="N356" s="1045" t="s">
        <v>444</v>
      </c>
      <c r="O356" s="86"/>
      <c r="P356" s="1045" t="s">
        <v>444</v>
      </c>
      <c r="Q356" s="97"/>
      <c r="S356" s="1272">
        <f>S358-S357</f>
        <v>0.39999999999999902</v>
      </c>
      <c r="T356" s="22" t="s">
        <v>718</v>
      </c>
      <c r="U356" s="1058">
        <f>S356/L356</f>
        <v>9.9999999999999756E-2</v>
      </c>
      <c r="W356" s="1052" t="s">
        <v>444</v>
      </c>
      <c r="X356" s="86"/>
      <c r="Z356" s="227">
        <v>28</v>
      </c>
      <c r="AA356" s="1057"/>
      <c r="AB356" s="1014">
        <f>AVERAGE(Z356,Z355)</f>
        <v>28</v>
      </c>
      <c r="AD356" s="1045" t="s">
        <v>444</v>
      </c>
      <c r="AE356" s="86"/>
      <c r="AF356" s="1045" t="s">
        <v>444</v>
      </c>
      <c r="AG356" s="97"/>
      <c r="AI356" s="1273" t="s">
        <v>444</v>
      </c>
      <c r="AK356" s="1060" t="s">
        <v>444</v>
      </c>
      <c r="AM356" s="1052" t="s">
        <v>444</v>
      </c>
      <c r="AN356" s="86"/>
      <c r="AO356" s="86"/>
      <c r="AP356" s="86"/>
      <c r="AQ356" s="86"/>
      <c r="AR356" s="86"/>
      <c r="AS356" s="1079">
        <f>0</f>
        <v>0</v>
      </c>
      <c r="AT356" s="1079"/>
      <c r="AV356" s="1228">
        <v>0</v>
      </c>
      <c r="AX356" s="97"/>
      <c r="AZ356" s="86"/>
    </row>
    <row r="357" spans="1:61" ht="12.75" hidden="1" customHeight="1" outlineLevel="1">
      <c r="A357" s="22" t="s">
        <v>118</v>
      </c>
      <c r="B357" s="200" t="s">
        <v>100</v>
      </c>
      <c r="D357" s="1104" t="s">
        <v>251</v>
      </c>
      <c r="F357" s="1104" t="s">
        <v>251</v>
      </c>
      <c r="H357" s="1104" t="s">
        <v>251</v>
      </c>
      <c r="J357" s="1063">
        <f>squft!BG42</f>
        <v>4</v>
      </c>
      <c r="K357" s="39"/>
      <c r="L357" s="1064">
        <f>AVERAGE(J357,J356)</f>
        <v>3.5</v>
      </c>
      <c r="N357" s="1061" t="s">
        <v>444</v>
      </c>
      <c r="O357" s="86"/>
      <c r="P357" s="1061" t="s">
        <v>444</v>
      </c>
      <c r="Q357" s="97"/>
      <c r="S357" s="1065">
        <f>AK357*Z357/1000</f>
        <v>3.7400000000000007</v>
      </c>
      <c r="T357" s="22" t="s">
        <v>718</v>
      </c>
      <c r="U357" s="1065">
        <f>S357/L357</f>
        <v>1.0685714285714287</v>
      </c>
      <c r="W357" s="1067" t="s">
        <v>444</v>
      </c>
      <c r="X357" s="86"/>
      <c r="Z357" s="865">
        <f>squft!BI42</f>
        <v>37.4</v>
      </c>
      <c r="AA357" s="39"/>
      <c r="AB357" s="1068">
        <f>AVERAGE(Z357,Z356)</f>
        <v>32.700000000000003</v>
      </c>
      <c r="AD357" s="1061" t="s">
        <v>444</v>
      </c>
      <c r="AE357" s="86"/>
      <c r="AF357" s="1061" t="s">
        <v>444</v>
      </c>
      <c r="AG357" s="97"/>
      <c r="AI357" s="1071">
        <f>(100*AB357/1000)</f>
        <v>3.2700000000000005</v>
      </c>
      <c r="AK357" s="1274">
        <f>AI357/(AB357/1000)</f>
        <v>100.00000000000001</v>
      </c>
      <c r="AM357" s="1067" t="s">
        <v>444</v>
      </c>
      <c r="AN357" s="86"/>
      <c r="AO357" s="86"/>
      <c r="AP357" s="86"/>
      <c r="AQ357" s="86"/>
      <c r="AR357" s="86"/>
      <c r="AS357" s="1275">
        <v>0</v>
      </c>
      <c r="AT357" s="1275"/>
      <c r="AU357" s="96"/>
      <c r="AV357" s="1276">
        <v>0</v>
      </c>
      <c r="AX357" s="97"/>
      <c r="AZ357" s="86"/>
    </row>
    <row r="358" spans="1:61" ht="12.75" hidden="1" customHeight="1" outlineLevel="1">
      <c r="B358" s="200" t="s">
        <v>119</v>
      </c>
      <c r="D358" s="1046" t="s">
        <v>251</v>
      </c>
      <c r="F358" s="1046" t="s">
        <v>251</v>
      </c>
      <c r="H358" s="1046" t="s">
        <v>251</v>
      </c>
      <c r="L358" s="1048">
        <f>AVERAGE(L331:L357)</f>
        <v>484.76388888888891</v>
      </c>
      <c r="N358" s="1045" t="s">
        <v>444</v>
      </c>
      <c r="O358" s="86"/>
      <c r="P358" s="1045" t="s">
        <v>444</v>
      </c>
      <c r="Q358" s="97"/>
      <c r="S358" s="1081">
        <v>4.1399999999999997</v>
      </c>
      <c r="U358" s="1081">
        <v>1.2549999999999999</v>
      </c>
      <c r="W358" s="1052" t="s">
        <v>444</v>
      </c>
      <c r="X358" s="86"/>
      <c r="AB358" s="1014">
        <f>AVERAGE(AB331:AB357)</f>
        <v>3357.8513333333308</v>
      </c>
      <c r="AD358" s="1019" t="s">
        <v>444</v>
      </c>
      <c r="AE358" s="86"/>
      <c r="AF358" s="1045" t="s">
        <v>444</v>
      </c>
      <c r="AG358" s="97"/>
      <c r="AI358" s="1030">
        <f>SUM(AI331:AI357)</f>
        <v>11875.677090487001</v>
      </c>
      <c r="AK358" s="1277">
        <v>136</v>
      </c>
      <c r="AM358" s="1052" t="s">
        <v>444</v>
      </c>
      <c r="AN358" s="86"/>
      <c r="AO358" s="86"/>
      <c r="AP358" s="86"/>
      <c r="AQ358" s="86"/>
      <c r="AR358" s="86"/>
      <c r="AS358" s="1079">
        <v>0</v>
      </c>
      <c r="AT358" s="1079"/>
      <c r="AV358" s="1228">
        <v>0</v>
      </c>
      <c r="AX358" s="97"/>
      <c r="AY358" s="1278">
        <v>4.1399999999999997</v>
      </c>
      <c r="AZ358" s="86"/>
    </row>
    <row r="359" spans="1:61" ht="12.75" hidden="1" customHeight="1" outlineLevel="1">
      <c r="B359" s="200"/>
      <c r="D359" s="246"/>
      <c r="E359" s="114"/>
      <c r="F359" s="246"/>
      <c r="G359" s="114"/>
      <c r="H359" s="86"/>
      <c r="L359" s="86"/>
      <c r="N359" s="86"/>
      <c r="O359" s="86"/>
      <c r="S359" s="86"/>
      <c r="U359" s="86"/>
      <c r="W359" s="86"/>
      <c r="AB359" s="1083"/>
      <c r="AE359" s="86"/>
      <c r="AF359" s="86"/>
      <c r="AK359" s="86"/>
      <c r="AM359" s="86"/>
      <c r="AX359" s="97"/>
      <c r="AZ359" s="86"/>
    </row>
    <row r="360" spans="1:61" ht="12.75" hidden="1" customHeight="1" outlineLevel="1">
      <c r="A360" s="1043"/>
      <c r="B360" s="1113">
        <v>2005</v>
      </c>
      <c r="D360" s="86"/>
      <c r="E360" s="86"/>
      <c r="F360" s="86"/>
      <c r="G360" s="86"/>
      <c r="H360" s="86"/>
      <c r="I360" s="86"/>
      <c r="L360" s="86"/>
      <c r="N360" s="86"/>
      <c r="O360" s="86"/>
      <c r="P360" s="97"/>
      <c r="Q360" s="97"/>
      <c r="S360" s="86"/>
      <c r="U360" s="86"/>
      <c r="W360" s="86"/>
      <c r="X360" s="86"/>
      <c r="AE360" s="86"/>
      <c r="AF360" s="199"/>
      <c r="AG360" s="97"/>
      <c r="AK360" s="86"/>
      <c r="AM360" s="86"/>
      <c r="AN360" s="86"/>
      <c r="AO360" s="86"/>
      <c r="AP360" s="86"/>
      <c r="AQ360" s="86"/>
      <c r="AR360" s="86"/>
      <c r="AX360" s="97"/>
      <c r="AZ360" s="86"/>
    </row>
    <row r="361" spans="1:61" ht="12.75" hidden="1" customHeight="1" outlineLevel="1">
      <c r="A361" s="22" t="s">
        <v>115</v>
      </c>
      <c r="B361" s="200" t="s">
        <v>96</v>
      </c>
      <c r="D361" s="1045" t="s">
        <v>444</v>
      </c>
      <c r="E361" s="86" t="s">
        <v>76</v>
      </c>
      <c r="F361" s="1045" t="s">
        <v>444</v>
      </c>
      <c r="G361" s="86" t="s">
        <v>76</v>
      </c>
      <c r="H361" s="1045" t="s">
        <v>444</v>
      </c>
      <c r="I361" s="86" t="s">
        <v>76</v>
      </c>
      <c r="J361" s="1047">
        <v>5</v>
      </c>
      <c r="L361" s="1048">
        <f>AVERAGE(J361,J357)</f>
        <v>4.5</v>
      </c>
      <c r="N361" s="1052" t="s">
        <v>444</v>
      </c>
      <c r="O361" s="86" t="s">
        <v>76</v>
      </c>
      <c r="P361" s="1046" t="s">
        <v>251</v>
      </c>
      <c r="Q361" s="97" t="s">
        <v>76</v>
      </c>
      <c r="S361" s="1081">
        <v>2.4239999999999999</v>
      </c>
      <c r="U361" s="1050">
        <f>S361/L361</f>
        <v>0.53866666666666663</v>
      </c>
      <c r="W361" s="1052" t="s">
        <v>444</v>
      </c>
      <c r="X361" s="86" t="s">
        <v>76</v>
      </c>
      <c r="Z361" s="227">
        <v>47</v>
      </c>
      <c r="AB361" s="1014">
        <f>AVERAGE(Z361,Z357)</f>
        <v>42.2</v>
      </c>
      <c r="AD361" s="1052" t="s">
        <v>444</v>
      </c>
      <c r="AE361" s="86" t="s">
        <v>76</v>
      </c>
      <c r="AF361" s="1052" t="s">
        <v>444</v>
      </c>
      <c r="AG361" s="97" t="s">
        <v>76</v>
      </c>
      <c r="AI361" s="1030">
        <f>+S361</f>
        <v>2.4239999999999999</v>
      </c>
      <c r="AK361" s="1097">
        <f>AI361/(AB361/1000)</f>
        <v>57.440758293838861</v>
      </c>
      <c r="AM361" s="1052" t="s">
        <v>444</v>
      </c>
      <c r="AN361" s="86" t="s">
        <v>76</v>
      </c>
      <c r="AO361" s="86"/>
      <c r="AP361" s="86"/>
      <c r="AQ361" s="86"/>
      <c r="AR361" s="86"/>
      <c r="AS361" s="1079">
        <v>0</v>
      </c>
      <c r="AT361" s="1079"/>
      <c r="AV361" s="1228">
        <v>0</v>
      </c>
      <c r="AX361" s="97"/>
      <c r="AZ361" s="86"/>
    </row>
    <row r="362" spans="1:61" ht="12.75" hidden="1" customHeight="1" outlineLevel="1">
      <c r="A362" s="22" t="s">
        <v>116</v>
      </c>
      <c r="B362" s="200" t="s">
        <v>97</v>
      </c>
      <c r="D362" s="1045" t="s">
        <v>444</v>
      </c>
      <c r="F362" s="1045" t="s">
        <v>444</v>
      </c>
      <c r="H362" s="1045" t="s">
        <v>444</v>
      </c>
      <c r="J362" s="1047">
        <v>5</v>
      </c>
      <c r="K362" s="1057"/>
      <c r="L362" s="1048">
        <f>AVERAGE(J362,J361)</f>
        <v>5</v>
      </c>
      <c r="N362" s="1052" t="s">
        <v>444</v>
      </c>
      <c r="O362" s="86"/>
      <c r="P362" s="1046" t="s">
        <v>251</v>
      </c>
      <c r="Q362" s="97"/>
      <c r="S362" s="1091">
        <v>2.87</v>
      </c>
      <c r="U362" s="1058">
        <f>S362/L362</f>
        <v>0.57400000000000007</v>
      </c>
      <c r="W362" s="1052" t="s">
        <v>444</v>
      </c>
      <c r="X362" s="86"/>
      <c r="Z362" s="227">
        <v>47</v>
      </c>
      <c r="AA362" s="1057"/>
      <c r="AB362" s="1014">
        <f>AVERAGE(Z362,Z361)</f>
        <v>47</v>
      </c>
      <c r="AD362" s="1052" t="s">
        <v>444</v>
      </c>
      <c r="AE362" s="86"/>
      <c r="AF362" s="1052" t="s">
        <v>444</v>
      </c>
      <c r="AG362" s="97"/>
      <c r="AI362" s="1059">
        <f>+S362</f>
        <v>2.87</v>
      </c>
      <c r="AK362" s="1106">
        <f>AI362/(AB362/1000)</f>
        <v>61.063829787234042</v>
      </c>
      <c r="AM362" s="1052" t="s">
        <v>444</v>
      </c>
      <c r="AN362" s="86"/>
      <c r="AO362" s="86"/>
      <c r="AP362" s="86"/>
      <c r="AQ362" s="86"/>
      <c r="AR362" s="86"/>
      <c r="AS362" s="1079">
        <v>0</v>
      </c>
      <c r="AT362" s="1079"/>
      <c r="AV362" s="1228">
        <v>0</v>
      </c>
      <c r="AX362" s="97"/>
      <c r="AZ362" s="86"/>
    </row>
    <row r="363" spans="1:61" ht="12.75" hidden="1" customHeight="1" outlineLevel="1">
      <c r="A363" s="22" t="s">
        <v>117</v>
      </c>
      <c r="B363" s="200" t="s">
        <v>99</v>
      </c>
      <c r="D363" s="1045" t="s">
        <v>444</v>
      </c>
      <c r="F363" s="1045" t="s">
        <v>444</v>
      </c>
      <c r="H363" s="1045" t="s">
        <v>444</v>
      </c>
      <c r="J363" s="1047">
        <v>6</v>
      </c>
      <c r="K363" s="1057"/>
      <c r="L363" s="1048">
        <f>AVERAGE(J363,J362)</f>
        <v>5.5</v>
      </c>
      <c r="N363" s="1045">
        <f>(L363/L356-1)*100</f>
        <v>37.5</v>
      </c>
      <c r="O363" s="86"/>
      <c r="P363" s="1046" t="s">
        <v>251</v>
      </c>
      <c r="Q363" s="97"/>
      <c r="S363" s="1279">
        <v>4.1180000000000003</v>
      </c>
      <c r="T363" s="22" t="s">
        <v>718</v>
      </c>
      <c r="U363" s="1058">
        <f>S363/L363</f>
        <v>0.7487272727272728</v>
      </c>
      <c r="W363" s="1082">
        <f>(U363/U356-1)*100</f>
        <v>648.72727272727457</v>
      </c>
      <c r="X363" s="86"/>
      <c r="Z363" s="1047">
        <v>58</v>
      </c>
      <c r="AA363" s="1057"/>
      <c r="AB363" s="1014">
        <f>AVERAGE(Z363,Z362)</f>
        <v>52.5</v>
      </c>
      <c r="AD363" s="1045">
        <f>(AB363/AB356-1)*100</f>
        <v>87.5</v>
      </c>
      <c r="AE363" s="86"/>
      <c r="AF363" s="1049" t="s">
        <v>444</v>
      </c>
      <c r="AG363" s="97"/>
      <c r="AI363" s="1059">
        <f>+S363</f>
        <v>4.1180000000000003</v>
      </c>
      <c r="AK363" s="1060">
        <f>AI363/(AB363/1000)</f>
        <v>78.438095238095244</v>
      </c>
      <c r="AM363" s="1052" t="s">
        <v>444</v>
      </c>
      <c r="AN363" s="86"/>
      <c r="AO363" s="86"/>
      <c r="AP363" s="86"/>
      <c r="AQ363" s="86"/>
      <c r="AR363" s="86"/>
      <c r="AS363" s="1079">
        <v>0</v>
      </c>
      <c r="AT363" s="1079"/>
      <c r="AV363" s="1228">
        <v>0</v>
      </c>
      <c r="AX363" s="97"/>
      <c r="AZ363" s="86"/>
    </row>
    <row r="364" spans="1:61" ht="12.75" hidden="1" customHeight="1" outlineLevel="1">
      <c r="A364" s="22" t="s">
        <v>118</v>
      </c>
      <c r="B364" s="200" t="s">
        <v>100</v>
      </c>
      <c r="D364" s="1280">
        <f>S364/S357*100</f>
        <v>213.903743315508</v>
      </c>
      <c r="F364" s="1061" t="s">
        <v>444</v>
      </c>
      <c r="G364" s="22" t="s">
        <v>718</v>
      </c>
      <c r="H364" s="1061" t="s">
        <v>444</v>
      </c>
      <c r="J364" s="1063">
        <f>squft!BK42</f>
        <v>8</v>
      </c>
      <c r="K364" s="39"/>
      <c r="L364" s="1064">
        <f>AVERAGE(J364,J363)</f>
        <v>7</v>
      </c>
      <c r="N364" s="1061">
        <f>(L364/L357-1)*100</f>
        <v>100</v>
      </c>
      <c r="O364" s="86"/>
      <c r="P364" s="1074">
        <v>125</v>
      </c>
      <c r="Q364" s="97"/>
      <c r="S364" s="1281">
        <v>8</v>
      </c>
      <c r="T364" s="22" t="s">
        <v>718</v>
      </c>
      <c r="U364" s="1065">
        <f>S364/L364</f>
        <v>1.1428571428571428</v>
      </c>
      <c r="W364" s="1185">
        <f>(U364/U357-1)*100</f>
        <v>6.9518716577539941</v>
      </c>
      <c r="X364" s="86"/>
      <c r="Z364" s="865">
        <f>squft!BM42</f>
        <v>69.400000000000006</v>
      </c>
      <c r="AA364" s="39"/>
      <c r="AB364" s="1068">
        <f>AVERAGE(Z364,Z363)</f>
        <v>63.7</v>
      </c>
      <c r="AD364" s="1061">
        <f>(AB364/AB357-1)*100</f>
        <v>94.801223241590222</v>
      </c>
      <c r="AE364" s="86"/>
      <c r="AF364" s="1064" t="s">
        <v>444</v>
      </c>
      <c r="AG364" s="97"/>
      <c r="AI364" s="1071">
        <f>+S364</f>
        <v>8</v>
      </c>
      <c r="AK364" s="1072">
        <f>AI364/(AB364/1000)</f>
        <v>125.58869701726843</v>
      </c>
      <c r="AM364" s="1067">
        <f>(AK364/AK357-1)*100</f>
        <v>25.588697017268402</v>
      </c>
      <c r="AN364" s="86"/>
      <c r="AO364" s="86"/>
      <c r="AP364" s="86"/>
      <c r="AQ364" s="86"/>
      <c r="AR364" s="86"/>
      <c r="AS364" s="1275">
        <v>0</v>
      </c>
      <c r="AT364" s="1275"/>
      <c r="AU364" s="96"/>
      <c r="AV364" s="1276">
        <v>0</v>
      </c>
      <c r="AX364" s="97"/>
      <c r="AZ364" s="86"/>
    </row>
    <row r="365" spans="1:61" ht="12.75" hidden="1" customHeight="1" outlineLevel="1">
      <c r="B365" s="200" t="s">
        <v>119</v>
      </c>
      <c r="D365" s="1229">
        <f>(S365/S358-1)*100</f>
        <v>320.5797101449275</v>
      </c>
      <c r="F365" s="1045" t="s">
        <v>444</v>
      </c>
      <c r="H365" s="1045" t="s">
        <v>444</v>
      </c>
      <c r="L365" s="1048">
        <f>AVERAGE(L361:L364)</f>
        <v>5.5</v>
      </c>
      <c r="N365" s="1045">
        <f>(L365/L358-1)*100</f>
        <v>-98.865427040655533</v>
      </c>
      <c r="O365" s="86"/>
      <c r="P365" s="1049" t="s">
        <v>444</v>
      </c>
      <c r="Q365" s="97"/>
      <c r="S365" s="1050">
        <f>SUM(S361:S364)</f>
        <v>17.411999999999999</v>
      </c>
      <c r="U365" s="1050">
        <f>SUM(U361:U364)</f>
        <v>3.0042510822510824</v>
      </c>
      <c r="W365" s="1082">
        <f>(U365/U358-1)*100</f>
        <v>139.38255635466791</v>
      </c>
      <c r="X365" s="86"/>
      <c r="Z365" s="865"/>
      <c r="AB365" s="1014">
        <f>AVERAGE(AB361:AB364)</f>
        <v>51.349999999999994</v>
      </c>
      <c r="AD365" s="1019">
        <f>Z364/Z357-1</f>
        <v>0.8556149732620324</v>
      </c>
      <c r="AE365" s="86"/>
      <c r="AF365" s="1052" t="s">
        <v>444</v>
      </c>
      <c r="AG365" s="97"/>
      <c r="AI365" s="1030">
        <f>SUM(AI361:AI364)</f>
        <v>17.411999999999999</v>
      </c>
      <c r="AK365" s="1055">
        <f>SUM(AK361:AK364)</f>
        <v>322.5313803364366</v>
      </c>
      <c r="AM365" s="1052">
        <f>(AK365/AK358-1)*100</f>
        <v>137.15542671796808</v>
      </c>
      <c r="AN365" s="86"/>
      <c r="AO365" s="86"/>
      <c r="AP365" s="86"/>
      <c r="AQ365" s="86"/>
      <c r="AR365" s="86"/>
      <c r="AS365" s="1079">
        <v>0</v>
      </c>
      <c r="AT365" s="1079"/>
      <c r="AV365" s="1228">
        <v>0</v>
      </c>
      <c r="AX365" s="97"/>
      <c r="AY365" s="1278">
        <v>16.547999999999998</v>
      </c>
      <c r="AZ365" s="86"/>
    </row>
    <row r="366" spans="1:61" ht="12.75" hidden="1" customHeight="1" outlineLevel="1">
      <c r="B366" s="200"/>
      <c r="D366" s="114"/>
      <c r="E366" s="114"/>
      <c r="F366" s="114"/>
      <c r="G366" s="114"/>
      <c r="O366" s="86"/>
      <c r="S366" s="86"/>
      <c r="AE366" s="86"/>
      <c r="AF366" s="1048"/>
      <c r="AK366" s="86"/>
      <c r="AM366" s="86"/>
      <c r="AX366" s="97"/>
      <c r="AZ366" s="86"/>
    </row>
    <row r="367" spans="1:61" ht="12.75" hidden="1" customHeight="1" outlineLevel="1">
      <c r="A367" s="1043"/>
      <c r="B367" s="1113">
        <v>2006</v>
      </c>
      <c r="E367" s="86"/>
      <c r="G367" s="86"/>
      <c r="I367" s="86"/>
      <c r="N367" s="86"/>
      <c r="O367" s="86"/>
      <c r="P367" s="97"/>
      <c r="Q367" s="97"/>
      <c r="S367" s="86"/>
      <c r="U367" s="86"/>
      <c r="W367" s="86"/>
      <c r="X367" s="86"/>
      <c r="AE367" s="86"/>
      <c r="AF367" s="198"/>
      <c r="AG367" s="97"/>
      <c r="AK367" s="86"/>
      <c r="AM367" s="86"/>
      <c r="AN367" s="86"/>
      <c r="AO367" s="86"/>
      <c r="AP367" s="86"/>
      <c r="AQ367" s="86"/>
      <c r="AR367" s="86"/>
      <c r="AX367" s="97"/>
      <c r="AZ367" s="86"/>
    </row>
    <row r="368" spans="1:61" ht="12.75" hidden="1" customHeight="1" outlineLevel="1">
      <c r="A368" s="22" t="s">
        <v>115</v>
      </c>
      <c r="B368" s="200" t="s">
        <v>96</v>
      </c>
      <c r="D368" s="1045">
        <f>(S368/S361-1)*100</f>
        <v>129.86798679867982</v>
      </c>
      <c r="E368" s="86" t="s">
        <v>76</v>
      </c>
      <c r="F368" s="1282">
        <v>5</v>
      </c>
      <c r="G368" s="86" t="s">
        <v>76</v>
      </c>
      <c r="H368" s="1045">
        <f>D368-F368</f>
        <v>124.86798679867982</v>
      </c>
      <c r="I368" s="86" t="s">
        <v>76</v>
      </c>
      <c r="J368" s="1047">
        <v>10</v>
      </c>
      <c r="L368" s="1048">
        <f>AVERAGE(J368,J364)</f>
        <v>9</v>
      </c>
      <c r="N368" s="1094">
        <f>(L368/L361-1)*100</f>
        <v>100</v>
      </c>
      <c r="O368" s="86" t="s">
        <v>76</v>
      </c>
      <c r="P368" s="1049">
        <f>H368/N368*100</f>
        <v>124.86798679867984</v>
      </c>
      <c r="Q368" s="97" t="s">
        <v>76</v>
      </c>
      <c r="S368" s="1050">
        <f>+AY368</f>
        <v>5.5719999999999992</v>
      </c>
      <c r="U368" s="1050">
        <f>S368/L368</f>
        <v>0.61911111111111106</v>
      </c>
      <c r="W368" s="1094" t="s">
        <v>444</v>
      </c>
      <c r="X368" s="86" t="s">
        <v>76</v>
      </c>
      <c r="Z368" s="227">
        <v>89</v>
      </c>
      <c r="AB368" s="1014">
        <f>AVERAGE(Z368,Z364)</f>
        <v>79.2</v>
      </c>
      <c r="AD368" s="1094" t="s">
        <v>444</v>
      </c>
      <c r="AE368" s="86" t="s">
        <v>76</v>
      </c>
      <c r="AF368" s="1094" t="s">
        <v>444</v>
      </c>
      <c r="AG368" s="97" t="s">
        <v>76</v>
      </c>
      <c r="AI368" s="1030">
        <f>+S368</f>
        <v>5.5719999999999992</v>
      </c>
      <c r="AK368" s="1055">
        <f>AI368/(AB368/1000)</f>
        <v>70.353535353535335</v>
      </c>
      <c r="AM368" s="1052" t="s">
        <v>444</v>
      </c>
      <c r="AN368" s="86" t="s">
        <v>76</v>
      </c>
      <c r="AO368" s="86"/>
      <c r="AP368" s="86"/>
      <c r="AQ368" s="86"/>
      <c r="AR368" s="86"/>
      <c r="AS368" s="1079">
        <v>0</v>
      </c>
      <c r="AT368" s="1079"/>
      <c r="AV368" s="1228">
        <v>0</v>
      </c>
      <c r="AX368" s="97"/>
      <c r="AY368" s="1091">
        <f>12.424-AY369</f>
        <v>5.5719999999999992</v>
      </c>
      <c r="AZ368" s="86"/>
    </row>
    <row r="369" spans="1:85" ht="12.75" hidden="1" customHeight="1" outlineLevel="1">
      <c r="A369" s="22" t="s">
        <v>116</v>
      </c>
      <c r="B369" s="200" t="s">
        <v>97</v>
      </c>
      <c r="D369" s="1045">
        <f>(S369/S362-1)*100</f>
        <v>138.74564459930312</v>
      </c>
      <c r="F369" s="1045">
        <v>24</v>
      </c>
      <c r="H369" s="1045">
        <f>D369-F369</f>
        <v>114.74564459930312</v>
      </c>
      <c r="J369" s="1047">
        <v>10</v>
      </c>
      <c r="K369" s="1057"/>
      <c r="L369" s="1048">
        <f>AVERAGE(J369,J368)</f>
        <v>10</v>
      </c>
      <c r="N369" s="1094">
        <f>(L369/L362-1)*100</f>
        <v>100</v>
      </c>
      <c r="O369" s="86"/>
      <c r="P369" s="1049">
        <f>H369/N369*100</f>
        <v>114.74564459930312</v>
      </c>
      <c r="Q369" s="97"/>
      <c r="S369" s="1058">
        <f>+AY369</f>
        <v>6.8520000000000003</v>
      </c>
      <c r="U369" s="1058">
        <f>S369/L369</f>
        <v>0.68520000000000003</v>
      </c>
      <c r="W369" s="1094" t="s">
        <v>444</v>
      </c>
      <c r="X369" s="86"/>
      <c r="Z369" s="227">
        <v>89</v>
      </c>
      <c r="AA369" s="1057"/>
      <c r="AB369" s="1014">
        <f>AVERAGE(Z369,Z368)</f>
        <v>89</v>
      </c>
      <c r="AD369" s="1094" t="s">
        <v>444</v>
      </c>
      <c r="AE369" s="86"/>
      <c r="AF369" s="1094" t="s">
        <v>444</v>
      </c>
      <c r="AG369" s="97"/>
      <c r="AI369" s="1059">
        <f>+S369</f>
        <v>6.8520000000000003</v>
      </c>
      <c r="AK369" s="1060">
        <f>AI369/(AB369/1000)</f>
        <v>76.988764044943821</v>
      </c>
      <c r="AM369" s="1052" t="s">
        <v>444</v>
      </c>
      <c r="AN369" s="86"/>
      <c r="AO369" s="86"/>
      <c r="AP369" s="86"/>
      <c r="AQ369" s="86"/>
      <c r="AR369" s="86"/>
      <c r="AS369" s="1079">
        <v>0</v>
      </c>
      <c r="AT369" s="1079"/>
      <c r="AV369" s="1228">
        <v>0</v>
      </c>
      <c r="AX369" s="97"/>
      <c r="AY369" s="1091">
        <v>6.8520000000000003</v>
      </c>
      <c r="AZ369" s="86"/>
    </row>
    <row r="370" spans="1:85" ht="12.75" hidden="1" customHeight="1" outlineLevel="1">
      <c r="A370" s="22" t="s">
        <v>117</v>
      </c>
      <c r="B370" s="200" t="s">
        <v>99</v>
      </c>
      <c r="D370" s="1045">
        <f>(S370/S363-1)*100</f>
        <v>97.887323943661926</v>
      </c>
      <c r="F370" s="1045">
        <v>20</v>
      </c>
      <c r="H370" s="1045">
        <f>D370-F370</f>
        <v>77.887323943661926</v>
      </c>
      <c r="J370" s="1047">
        <v>11</v>
      </c>
      <c r="K370" s="1057"/>
      <c r="L370" s="1048">
        <f>AVERAGE(J370,J369)</f>
        <v>10.5</v>
      </c>
      <c r="N370" s="1094">
        <f>(L370/L363-1)*100</f>
        <v>90.909090909090921</v>
      </c>
      <c r="O370" s="86"/>
      <c r="P370" s="1049">
        <f>H370/N370*100</f>
        <v>85.676056338028104</v>
      </c>
      <c r="Q370" s="97"/>
      <c r="S370" s="1058">
        <f>+AY370</f>
        <v>8.1489999999999991</v>
      </c>
      <c r="U370" s="1058">
        <f>S370/L370</f>
        <v>0.77609523809523806</v>
      </c>
      <c r="W370" s="1094">
        <f>(U370/U363-1)*100</f>
        <v>3.6552649228705381</v>
      </c>
      <c r="X370" s="86"/>
      <c r="Z370" s="227">
        <v>89</v>
      </c>
      <c r="AA370" s="1057"/>
      <c r="AB370" s="1014">
        <f>AVERAGE(Z370,Z369)</f>
        <v>89</v>
      </c>
      <c r="AD370" s="1094">
        <f>(AB370/AB363-1)*100</f>
        <v>69.523809523809518</v>
      </c>
      <c r="AE370" s="86"/>
      <c r="AF370" s="1094" t="s">
        <v>444</v>
      </c>
      <c r="AG370" s="97"/>
      <c r="AI370" s="1059">
        <f>+S370</f>
        <v>8.1489999999999991</v>
      </c>
      <c r="AK370" s="1060">
        <f>AI370/(AB370/1000)</f>
        <v>91.561797752808985</v>
      </c>
      <c r="AM370" s="1052" t="s">
        <v>444</v>
      </c>
      <c r="AN370" s="86"/>
      <c r="AO370" s="86"/>
      <c r="AP370" s="86"/>
      <c r="AQ370" s="86"/>
      <c r="AR370" s="86"/>
      <c r="AS370" s="1079">
        <v>0</v>
      </c>
      <c r="AT370" s="1079"/>
      <c r="AV370" s="1228">
        <v>0</v>
      </c>
      <c r="AX370" s="97"/>
      <c r="AY370" s="1102">
        <v>8.1489999999999991</v>
      </c>
      <c r="AZ370" s="86"/>
    </row>
    <row r="371" spans="1:85" ht="12.75" hidden="1" customHeight="1" outlineLevel="1">
      <c r="A371" s="22" t="s">
        <v>118</v>
      </c>
      <c r="B371" s="200" t="s">
        <v>100</v>
      </c>
      <c r="D371" s="1107">
        <f>F371+H371</f>
        <v>123.85714285714288</v>
      </c>
      <c r="F371" s="1061">
        <v>6</v>
      </c>
      <c r="H371" s="1104">
        <f>N371*P371/100</f>
        <v>117.85714285714288</v>
      </c>
      <c r="J371" s="1063">
        <f>squft!BO42</f>
        <v>14</v>
      </c>
      <c r="K371" s="39"/>
      <c r="L371" s="1064">
        <f>AVERAGE(J371,J370)</f>
        <v>12.5</v>
      </c>
      <c r="N371" s="1104">
        <f>(L371/L364-1)*100</f>
        <v>78.571428571428584</v>
      </c>
      <c r="O371" s="86"/>
      <c r="P371" s="1074">
        <v>150</v>
      </c>
      <c r="Q371" s="97"/>
      <c r="S371" s="1065">
        <f>+AY371</f>
        <v>13.408999999999999</v>
      </c>
      <c r="U371" s="1065">
        <f>S371/L371</f>
        <v>1.0727199999999999</v>
      </c>
      <c r="W371" s="1104">
        <f>(U371/U364-1)*100</f>
        <v>-6.137000000000004</v>
      </c>
      <c r="X371" s="86"/>
      <c r="Z371" s="865">
        <f>squft!BQ42</f>
        <v>130.4</v>
      </c>
      <c r="AA371" s="39"/>
      <c r="AB371" s="1068">
        <f>AVERAGE(Z371,Z370)</f>
        <v>109.7</v>
      </c>
      <c r="AD371" s="1104">
        <f>(AB371/AB364-1)*100</f>
        <v>72.213500784929366</v>
      </c>
      <c r="AE371" s="86"/>
      <c r="AF371" s="1104">
        <f>+H371/AD371*100</f>
        <v>163.20652173913044</v>
      </c>
      <c r="AG371" s="97"/>
      <c r="AI371" s="1071">
        <f>+S371</f>
        <v>13.408999999999999</v>
      </c>
      <c r="AK371" s="1072">
        <f>AI371/(AB371/1000)</f>
        <v>122.23336371923426</v>
      </c>
      <c r="AM371" s="1067">
        <f>(AK371/AK364-1)*100</f>
        <v>-2.6716841385597045</v>
      </c>
      <c r="AN371" s="86"/>
      <c r="AO371" s="86"/>
      <c r="AP371" s="86"/>
      <c r="AQ371" s="86"/>
      <c r="AR371" s="86"/>
      <c r="AS371" s="1275">
        <v>0</v>
      </c>
      <c r="AT371" s="1275"/>
      <c r="AU371" s="96"/>
      <c r="AV371" s="1276">
        <v>0</v>
      </c>
      <c r="AX371" s="97"/>
      <c r="AY371" s="1065">
        <f>AY372-SUM(AY368:AY370)</f>
        <v>13.408999999999999</v>
      </c>
      <c r="AZ371" s="86"/>
    </row>
    <row r="372" spans="1:85" ht="12.75" hidden="1" customHeight="1" outlineLevel="1">
      <c r="B372" s="200" t="s">
        <v>119</v>
      </c>
      <c r="D372" s="1045">
        <f>(S372/S365-1)*100</f>
        <v>95.164254537100874</v>
      </c>
      <c r="F372" s="1198">
        <f>S368/S372*F368+S369/S372*F369+S370/S372*F370+S371/S372*F371</f>
        <v>12.822729680419044</v>
      </c>
      <c r="H372" s="1052">
        <f>D372-F372</f>
        <v>82.341524856681829</v>
      </c>
      <c r="L372" s="1048">
        <f>AVERAGE(L368:L371)</f>
        <v>10.5</v>
      </c>
      <c r="N372" s="1094">
        <f>(L372/L365-1)*100</f>
        <v>90.909090909090921</v>
      </c>
      <c r="O372" s="86"/>
      <c r="P372" s="1049" t="s">
        <v>444</v>
      </c>
      <c r="Q372" s="97"/>
      <c r="S372" s="1050">
        <f>SUM(S368:S371)</f>
        <v>33.981999999999999</v>
      </c>
      <c r="U372" s="1050">
        <f>SUM(U368:U371)</f>
        <v>3.153126349206349</v>
      </c>
      <c r="W372" s="1094">
        <f>(U372/U365-1)*100</f>
        <v>4.955486837795009</v>
      </c>
      <c r="X372" s="86"/>
      <c r="AB372" s="1014">
        <f>AVERAGE(AB368:AB371)</f>
        <v>91.724999999999994</v>
      </c>
      <c r="AD372" s="1094">
        <f>Z371/Z364-1</f>
        <v>0.87896253602305463</v>
      </c>
      <c r="AE372" s="86"/>
      <c r="AF372" s="1094" t="s">
        <v>444</v>
      </c>
      <c r="AG372" s="97"/>
      <c r="AI372" s="1030">
        <f>SUM(AI368:AI371)</f>
        <v>33.981999999999999</v>
      </c>
      <c r="AK372" s="1055">
        <f>SUM(AK368:AK371)</f>
        <v>361.13746087052243</v>
      </c>
      <c r="AM372" s="1052">
        <f>(AK372/AK365-1)*100</f>
        <v>11.969712991590264</v>
      </c>
      <c r="AN372" s="86"/>
      <c r="AO372" s="86"/>
      <c r="AP372" s="86"/>
      <c r="AQ372" s="86"/>
      <c r="AR372" s="86"/>
      <c r="AS372" s="1079">
        <v>0</v>
      </c>
      <c r="AT372" s="1079"/>
      <c r="AV372" s="1228">
        <v>0</v>
      </c>
      <c r="AX372" s="97"/>
      <c r="AY372" s="1080">
        <v>33.981999999999999</v>
      </c>
      <c r="AZ372" s="86"/>
    </row>
    <row r="373" spans="1:85" ht="12.75" hidden="1" customHeight="1" outlineLevel="1">
      <c r="B373" s="200"/>
      <c r="D373" s="114"/>
      <c r="E373" s="114"/>
      <c r="F373" s="114"/>
      <c r="G373" s="114"/>
      <c r="O373" s="86"/>
      <c r="S373" s="86"/>
      <c r="AE373" s="86"/>
      <c r="AF373" s="1283"/>
      <c r="AK373" s="86"/>
      <c r="AM373" s="86"/>
      <c r="AX373" s="97"/>
      <c r="AZ373" s="86"/>
    </row>
    <row r="374" spans="1:85" ht="12.75" hidden="1" customHeight="1" outlineLevel="1">
      <c r="A374" s="1120"/>
      <c r="B374" s="1113">
        <v>2007</v>
      </c>
      <c r="C374" s="114"/>
      <c r="D374" s="114"/>
      <c r="E374" s="246"/>
      <c r="F374" s="114"/>
      <c r="G374" s="246"/>
      <c r="H374" s="114"/>
      <c r="I374" s="246"/>
      <c r="J374" s="114"/>
      <c r="K374" s="114"/>
      <c r="L374" s="114"/>
      <c r="M374" s="114"/>
      <c r="N374" s="246"/>
      <c r="O374" s="246"/>
      <c r="P374" s="310"/>
      <c r="Q374" s="310"/>
      <c r="R374" s="114"/>
      <c r="S374" s="1103"/>
      <c r="T374" s="114"/>
      <c r="U374" s="246"/>
      <c r="V374" s="114"/>
      <c r="W374" s="246"/>
      <c r="X374" s="246"/>
      <c r="Y374" s="114"/>
      <c r="Z374" s="114"/>
      <c r="AA374" s="114"/>
      <c r="AB374" s="114"/>
      <c r="AC374" s="114"/>
      <c r="AD374" s="114"/>
      <c r="AE374" s="246"/>
      <c r="AF374" s="250"/>
      <c r="AG374" s="310"/>
      <c r="AH374" s="114"/>
      <c r="AI374" s="114"/>
      <c r="AJ374" s="114"/>
      <c r="AK374" s="246"/>
      <c r="AL374" s="114"/>
      <c r="AM374" s="246"/>
      <c r="AN374" s="246"/>
      <c r="AO374" s="246"/>
      <c r="AP374" s="246"/>
      <c r="AQ374" s="246"/>
      <c r="AR374" s="246"/>
      <c r="AS374" s="114"/>
      <c r="AT374" s="114"/>
      <c r="AU374" s="114"/>
      <c r="AV374" s="114"/>
      <c r="AW374" s="114"/>
      <c r="AX374" s="310"/>
      <c r="AY374" s="114"/>
      <c r="AZ374" s="246"/>
      <c r="BA374" s="114"/>
      <c r="BC374" s="114"/>
      <c r="BD374" s="114"/>
      <c r="BE374" s="114"/>
      <c r="BF374" s="114"/>
      <c r="BG374" s="114"/>
      <c r="BH374" s="114"/>
      <c r="BI374" s="114"/>
      <c r="BJ374" s="114"/>
      <c r="BK374" s="114"/>
      <c r="BL374" s="114"/>
      <c r="BM374" s="114"/>
      <c r="BN374" s="114"/>
      <c r="BO374" s="114"/>
      <c r="BP374" s="114"/>
      <c r="BQ374" s="114"/>
      <c r="BR374" s="114"/>
      <c r="BS374" s="114"/>
      <c r="BT374" s="114"/>
      <c r="BU374" s="114"/>
      <c r="BV374" s="114"/>
      <c r="BW374" s="114"/>
      <c r="BX374" s="114"/>
      <c r="BY374" s="114"/>
      <c r="BZ374" s="114"/>
      <c r="CA374" s="114"/>
      <c r="CB374" s="114"/>
      <c r="CC374" s="114"/>
      <c r="CD374" s="114"/>
      <c r="CE374" s="114"/>
      <c r="CF374" s="114"/>
      <c r="CG374" s="114"/>
    </row>
    <row r="375" spans="1:85" ht="12.75" hidden="1" customHeight="1" outlineLevel="1">
      <c r="A375" s="114" t="s">
        <v>115</v>
      </c>
      <c r="B375" s="245" t="s">
        <v>96</v>
      </c>
      <c r="C375" s="114"/>
      <c r="D375" s="1045">
        <f>(S375/S368-1)*100</f>
        <v>83.9554917444365</v>
      </c>
      <c r="E375" s="246" t="s">
        <v>76</v>
      </c>
      <c r="F375" s="1123">
        <v>-3</v>
      </c>
      <c r="G375" s="246" t="s">
        <v>76</v>
      </c>
      <c r="H375" s="1045">
        <f>D375-F375</f>
        <v>86.9554917444365</v>
      </c>
      <c r="I375" s="246" t="s">
        <v>76</v>
      </c>
      <c r="J375" s="1047">
        <v>16</v>
      </c>
      <c r="K375" s="114"/>
      <c r="L375" s="1122">
        <f>AVERAGE(J375,J371)</f>
        <v>15</v>
      </c>
      <c r="M375" s="114"/>
      <c r="N375" s="1144">
        <f>(L375/L368-1)*100</f>
        <v>66.666666666666671</v>
      </c>
      <c r="O375" s="246" t="s">
        <v>76</v>
      </c>
      <c r="P375" s="1049">
        <f>H375/N375*100</f>
        <v>130.43323761665476</v>
      </c>
      <c r="Q375" s="310" t="s">
        <v>76</v>
      </c>
      <c r="R375" s="114"/>
      <c r="S375" s="1050">
        <f>AY375-AS375</f>
        <v>10.25</v>
      </c>
      <c r="T375" s="114"/>
      <c r="U375" s="1095">
        <f>S375/L375</f>
        <v>0.68333333333333335</v>
      </c>
      <c r="V375" s="114"/>
      <c r="W375" s="1144">
        <f>(U375/U368-1)*100</f>
        <v>10.373295046661891</v>
      </c>
      <c r="X375" s="246" t="s">
        <v>76</v>
      </c>
      <c r="Y375" s="114"/>
      <c r="Z375" s="1047">
        <v>149</v>
      </c>
      <c r="AA375" s="114"/>
      <c r="AB375" s="1127">
        <f>AVERAGE(Z375,Z371)</f>
        <v>139.69999999999999</v>
      </c>
      <c r="AC375" s="114"/>
      <c r="AD375" s="1144">
        <f>(AB375/AB368-1)*100</f>
        <v>76.388888888888857</v>
      </c>
      <c r="AE375" s="246" t="s">
        <v>76</v>
      </c>
      <c r="AF375" s="1144">
        <f>+H375/AD375*100</f>
        <v>113.83264373817146</v>
      </c>
      <c r="AG375" s="310" t="s">
        <v>76</v>
      </c>
      <c r="AH375" s="114"/>
      <c r="AI375" s="1129">
        <f>+S375</f>
        <v>10.25</v>
      </c>
      <c r="AJ375" s="114"/>
      <c r="AK375" s="1097">
        <f>AI375/(AB375/1000)</f>
        <v>73.371510379384404</v>
      </c>
      <c r="AL375" s="114"/>
      <c r="AM375" s="1126" t="s">
        <v>444</v>
      </c>
      <c r="AN375" s="246" t="s">
        <v>76</v>
      </c>
      <c r="AO375" s="246"/>
      <c r="AP375" s="246"/>
      <c r="AQ375" s="246"/>
      <c r="AR375" s="246"/>
      <c r="AS375" s="1231">
        <v>0</v>
      </c>
      <c r="AT375" s="1231"/>
      <c r="AU375" s="114"/>
      <c r="AV375" s="1284">
        <v>0</v>
      </c>
      <c r="AW375" s="114"/>
      <c r="AX375" s="310"/>
      <c r="AY375" s="1102">
        <v>10.25</v>
      </c>
      <c r="AZ375" s="246"/>
      <c r="BA375" s="114"/>
      <c r="BC375" s="114"/>
      <c r="BD375" s="114"/>
      <c r="BE375" s="114"/>
      <c r="BF375" s="114"/>
      <c r="BG375" s="114"/>
      <c r="BH375" s="114"/>
      <c r="BI375" s="114"/>
      <c r="BJ375" s="114"/>
      <c r="BK375" s="114"/>
      <c r="BL375" s="114"/>
      <c r="BM375" s="114"/>
      <c r="BN375" s="114"/>
      <c r="BO375" s="114"/>
      <c r="BP375" s="114"/>
      <c r="BQ375" s="114"/>
      <c r="BR375" s="114"/>
      <c r="BS375" s="114"/>
      <c r="BT375" s="114"/>
      <c r="BU375" s="114"/>
      <c r="BV375" s="114"/>
      <c r="BW375" s="114"/>
      <c r="BX375" s="114"/>
      <c r="BY375" s="114"/>
      <c r="BZ375" s="114"/>
      <c r="CA375" s="114"/>
      <c r="CB375" s="114"/>
      <c r="CC375" s="114"/>
      <c r="CD375" s="114"/>
      <c r="CE375" s="114"/>
      <c r="CF375" s="114"/>
      <c r="CG375" s="114"/>
    </row>
    <row r="376" spans="1:85" ht="12.75" hidden="1" customHeight="1" outlineLevel="1">
      <c r="A376" s="114" t="s">
        <v>116</v>
      </c>
      <c r="B376" s="245" t="s">
        <v>97</v>
      </c>
      <c r="C376" s="114"/>
      <c r="D376" s="1045">
        <f>(S376/S369-1)*100</f>
        <v>71.409807355516605</v>
      </c>
      <c r="E376" s="114"/>
      <c r="F376" s="1123">
        <v>2</v>
      </c>
      <c r="G376" s="114"/>
      <c r="H376" s="1045">
        <f>D376-F376</f>
        <v>69.409807355516605</v>
      </c>
      <c r="I376" s="114"/>
      <c r="J376" s="1047">
        <v>17</v>
      </c>
      <c r="K376" s="1057"/>
      <c r="L376" s="1122">
        <f>AVERAGE(J376,J375)</f>
        <v>16.5</v>
      </c>
      <c r="M376" s="114"/>
      <c r="N376" s="1144">
        <f>(L376/L369-1)*100</f>
        <v>64.999999999999986</v>
      </c>
      <c r="O376" s="246"/>
      <c r="P376" s="1049">
        <f>H376/N376*100</f>
        <v>106.7843190084871</v>
      </c>
      <c r="Q376" s="310"/>
      <c r="R376" s="114"/>
      <c r="S376" s="1089">
        <f>AY376-AS376</f>
        <v>11.744999999999999</v>
      </c>
      <c r="T376" s="114"/>
      <c r="U376" s="1089">
        <f>S376/L376</f>
        <v>0.71181818181818179</v>
      </c>
      <c r="V376" s="114"/>
      <c r="W376" s="1144">
        <f>(U376/U369-1)*100</f>
        <v>3.8847317306161422</v>
      </c>
      <c r="X376" s="246"/>
      <c r="Y376" s="114"/>
      <c r="Z376" s="1047">
        <v>159</v>
      </c>
      <c r="AA376" s="1057"/>
      <c r="AB376" s="1127">
        <f>AVERAGE(Z376,Z375)</f>
        <v>154</v>
      </c>
      <c r="AC376" s="114"/>
      <c r="AD376" s="1144">
        <f>(AB376/AB369-1)*100</f>
        <v>73.033707865168537</v>
      </c>
      <c r="AE376" s="246"/>
      <c r="AF376" s="1144">
        <f>+H376/AD376*100</f>
        <v>95.038043917553509</v>
      </c>
      <c r="AG376" s="310"/>
      <c r="AH376" s="114"/>
      <c r="AI376" s="1132">
        <f>+S376</f>
        <v>11.744999999999999</v>
      </c>
      <c r="AJ376" s="114"/>
      <c r="AK376" s="1106">
        <f>AI376/(AB376/1000)</f>
        <v>76.266233766233768</v>
      </c>
      <c r="AL376" s="114"/>
      <c r="AM376" s="1126" t="s">
        <v>444</v>
      </c>
      <c r="AN376" s="246"/>
      <c r="AO376" s="246"/>
      <c r="AP376" s="246"/>
      <c r="AQ376" s="246"/>
      <c r="AR376" s="246"/>
      <c r="AS376" s="1231">
        <v>0</v>
      </c>
      <c r="AT376" s="1231"/>
      <c r="AU376" s="114"/>
      <c r="AV376" s="1284">
        <v>0</v>
      </c>
      <c r="AW376" s="114"/>
      <c r="AX376" s="310"/>
      <c r="AY376" s="1102">
        <v>11.744999999999999</v>
      </c>
      <c r="AZ376" s="246"/>
      <c r="BA376" s="114"/>
      <c r="BC376" s="114"/>
      <c r="BD376" s="114"/>
      <c r="BE376" s="114"/>
      <c r="BF376" s="114"/>
      <c r="BG376" s="114"/>
      <c r="BH376" s="114"/>
      <c r="BI376" s="114"/>
      <c r="BJ376" s="114"/>
      <c r="BK376" s="114"/>
      <c r="BL376" s="114"/>
      <c r="BM376" s="114"/>
      <c r="BN376" s="114"/>
      <c r="BO376" s="114"/>
      <c r="BP376" s="114"/>
      <c r="BQ376" s="114"/>
      <c r="BR376" s="114"/>
      <c r="BS376" s="114"/>
      <c r="BT376" s="114"/>
      <c r="BU376" s="114"/>
      <c r="BV376" s="114"/>
      <c r="BW376" s="114"/>
      <c r="BX376" s="114"/>
      <c r="BY376" s="114"/>
      <c r="BZ376" s="114"/>
      <c r="CA376" s="114"/>
      <c r="CB376" s="114"/>
      <c r="CC376" s="114"/>
      <c r="CD376" s="114"/>
      <c r="CE376" s="114"/>
      <c r="CF376" s="114"/>
      <c r="CG376" s="114"/>
    </row>
    <row r="377" spans="1:85" ht="12.75" hidden="1" customHeight="1" outlineLevel="1">
      <c r="A377" s="114" t="s">
        <v>117</v>
      </c>
      <c r="B377" s="245" t="s">
        <v>99</v>
      </c>
      <c r="C377" s="114"/>
      <c r="D377" s="1123">
        <f>(S377/S370-1)*100</f>
        <v>54.669284574794453</v>
      </c>
      <c r="E377" s="114"/>
      <c r="F377" s="1123">
        <v>-7</v>
      </c>
      <c r="G377" s="114"/>
      <c r="H377" s="1144">
        <f>D377-F377</f>
        <v>61.669284574794453</v>
      </c>
      <c r="I377" s="114"/>
      <c r="J377" s="1047">
        <v>20</v>
      </c>
      <c r="K377" s="1057"/>
      <c r="L377" s="1122">
        <f>AVERAGE(J377,J376)</f>
        <v>18.5</v>
      </c>
      <c r="M377" s="114"/>
      <c r="N377" s="1144">
        <f>(L377/L370-1)*100</f>
        <v>76.19047619047619</v>
      </c>
      <c r="O377" s="246"/>
      <c r="P377" s="1124">
        <f>H377/N377*100</f>
        <v>80.940936004417722</v>
      </c>
      <c r="Q377" s="310"/>
      <c r="R377" s="114"/>
      <c r="S377" s="1089">
        <f>AY377-AS377</f>
        <v>12.603999999999999</v>
      </c>
      <c r="T377" s="114"/>
      <c r="U377" s="1089">
        <f>S377/L377</f>
        <v>0.68129729729729727</v>
      </c>
      <c r="V377" s="114"/>
      <c r="W377" s="1144">
        <f>(U377/U370-1)*100</f>
        <v>-12.214730376468008</v>
      </c>
      <c r="X377" s="246"/>
      <c r="Y377" s="114"/>
      <c r="Z377" s="1047">
        <v>185</v>
      </c>
      <c r="AA377" s="1057"/>
      <c r="AB377" s="1127">
        <f>AVERAGE(Z377,Z376)</f>
        <v>172</v>
      </c>
      <c r="AC377" s="114"/>
      <c r="AD377" s="1144">
        <f>(AB377/AB370-1)*100</f>
        <v>93.258426966292134</v>
      </c>
      <c r="AE377" s="246"/>
      <c r="AF377" s="1144">
        <f>+H377/AD377*100</f>
        <v>66.127305146466341</v>
      </c>
      <c r="AG377" s="310"/>
      <c r="AH377" s="114"/>
      <c r="AI377" s="1132">
        <f>+S377</f>
        <v>12.603999999999999</v>
      </c>
      <c r="AJ377" s="114"/>
      <c r="AK377" s="1106">
        <f>AI377/(AB377/1000)</f>
        <v>73.279069767441868</v>
      </c>
      <c r="AL377" s="114"/>
      <c r="AM377" s="1126" t="s">
        <v>444</v>
      </c>
      <c r="AN377" s="246"/>
      <c r="AO377" s="246"/>
      <c r="AP377" s="246"/>
      <c r="AQ377" s="246"/>
      <c r="AR377" s="246"/>
      <c r="AS377" s="1231">
        <v>0</v>
      </c>
      <c r="AT377" s="1231"/>
      <c r="AU377" s="114"/>
      <c r="AV377" s="1284">
        <v>0</v>
      </c>
      <c r="AW377" s="114"/>
      <c r="AX377" s="310"/>
      <c r="AY377" s="1102">
        <v>12.603999999999999</v>
      </c>
      <c r="AZ377" s="246"/>
      <c r="BA377" s="114"/>
      <c r="BC377" s="114"/>
      <c r="BD377" s="114"/>
      <c r="BE377" s="114"/>
      <c r="BF377" s="114"/>
      <c r="BG377" s="114"/>
      <c r="BH377" s="114"/>
      <c r="BI377" s="114"/>
      <c r="BJ377" s="114"/>
      <c r="BK377" s="114"/>
      <c r="BL377" s="114"/>
      <c r="BM377" s="114"/>
      <c r="BN377" s="114"/>
      <c r="BO377" s="114"/>
      <c r="BP377" s="114"/>
      <c r="BQ377" s="114"/>
      <c r="BR377" s="114"/>
      <c r="BS377" s="114"/>
      <c r="BT377" s="114"/>
      <c r="BU377" s="114"/>
      <c r="BV377" s="114"/>
      <c r="BW377" s="114"/>
      <c r="BX377" s="114"/>
      <c r="BY377" s="114"/>
      <c r="BZ377" s="114"/>
      <c r="CA377" s="114"/>
      <c r="CB377" s="114"/>
      <c r="CC377" s="114"/>
      <c r="CD377" s="114"/>
      <c r="CE377" s="114"/>
      <c r="CF377" s="114"/>
      <c r="CG377" s="114"/>
    </row>
    <row r="378" spans="1:85" ht="12.75" hidden="1" customHeight="1" outlineLevel="1">
      <c r="A378" s="114" t="s">
        <v>118</v>
      </c>
      <c r="B378" s="245" t="s">
        <v>100</v>
      </c>
      <c r="C378" s="114"/>
      <c r="D378" s="1107">
        <f>(S378/S371-1)*100</f>
        <v>27.526288313819091</v>
      </c>
      <c r="E378" s="114"/>
      <c r="F378" s="1104">
        <v>-19</v>
      </c>
      <c r="G378" s="114"/>
      <c r="H378" s="1104">
        <f>D378-F378</f>
        <v>46.526288313819094</v>
      </c>
      <c r="I378" s="114"/>
      <c r="J378" s="1063">
        <f>+squft!BS42</f>
        <v>22</v>
      </c>
      <c r="K378" s="1057"/>
      <c r="L378" s="1108">
        <f>AVERAGE(J378,J377)</f>
        <v>21</v>
      </c>
      <c r="M378" s="114"/>
      <c r="N378" s="1104">
        <f>(L378/L371-1)*100</f>
        <v>68</v>
      </c>
      <c r="O378" s="246"/>
      <c r="P378" s="1108">
        <f>H378/N378*100</f>
        <v>68.421012226204553</v>
      </c>
      <c r="Q378" s="310"/>
      <c r="R378" s="114"/>
      <c r="S378" s="1092">
        <f>AY378-AS378</f>
        <v>17.100000000000001</v>
      </c>
      <c r="T378" s="114"/>
      <c r="U378" s="1092">
        <f>S378/L378</f>
        <v>0.81428571428571439</v>
      </c>
      <c r="V378" s="114"/>
      <c r="W378" s="1104">
        <f>(U378/U371-1)*100</f>
        <v>-24.09149505129815</v>
      </c>
      <c r="X378" s="246"/>
      <c r="Y378" s="114"/>
      <c r="Z378" s="1063">
        <f>+squft!BU42</f>
        <v>204.4</v>
      </c>
      <c r="AA378" s="1057"/>
      <c r="AB378" s="1110">
        <f>AVERAGE(Z378,Z377)</f>
        <v>194.7</v>
      </c>
      <c r="AC378" s="114"/>
      <c r="AD378" s="1104">
        <f>(AB378/AB371-1)*100</f>
        <v>77.484047402005444</v>
      </c>
      <c r="AE378" s="246"/>
      <c r="AF378" s="1104">
        <f>+H378/AD378*100</f>
        <v>60.046280329717128</v>
      </c>
      <c r="AG378" s="310"/>
      <c r="AH378" s="114"/>
      <c r="AI378" s="1111">
        <f>+S378</f>
        <v>17.100000000000001</v>
      </c>
      <c r="AJ378" s="114"/>
      <c r="AK378" s="1135">
        <f>AI378/(AB378/1000)</f>
        <v>87.827426810477675</v>
      </c>
      <c r="AL378" s="114"/>
      <c r="AM378" s="1134">
        <f>(AK378/AK371-1)*100</f>
        <v>-28.147746132378238</v>
      </c>
      <c r="AN378" s="246"/>
      <c r="AO378" s="246"/>
      <c r="AP378" s="246"/>
      <c r="AQ378" s="246"/>
      <c r="AR378" s="246"/>
      <c r="AS378" s="1280">
        <v>0</v>
      </c>
      <c r="AT378" s="1280"/>
      <c r="AU378" s="1042"/>
      <c r="AV378" s="1285">
        <v>0</v>
      </c>
      <c r="AW378" s="114"/>
      <c r="AX378" s="310"/>
      <c r="AY378" s="1281">
        <v>17.100000000000001</v>
      </c>
      <c r="AZ378" s="246"/>
      <c r="BA378" s="114"/>
      <c r="BC378" s="114"/>
      <c r="BD378" s="114"/>
      <c r="BE378" s="114"/>
      <c r="BF378" s="114"/>
      <c r="BG378" s="114"/>
      <c r="BH378" s="114"/>
      <c r="BI378" s="114"/>
      <c r="BJ378" s="114"/>
      <c r="BK378" s="114"/>
      <c r="BL378" s="114"/>
      <c r="BM378" s="114"/>
      <c r="BN378" s="114"/>
      <c r="BO378" s="114"/>
      <c r="BP378" s="114"/>
      <c r="BQ378" s="114"/>
      <c r="BR378" s="114"/>
      <c r="BS378" s="114"/>
      <c r="BT378" s="114"/>
      <c r="BU378" s="114"/>
      <c r="BV378" s="114"/>
      <c r="BW378" s="114"/>
      <c r="BX378" s="114"/>
      <c r="BY378" s="114"/>
      <c r="BZ378" s="114"/>
      <c r="CA378" s="114"/>
      <c r="CB378" s="114"/>
      <c r="CC378" s="114"/>
      <c r="CD378" s="114"/>
      <c r="CE378" s="114"/>
      <c r="CF378" s="114"/>
      <c r="CG378" s="114"/>
    </row>
    <row r="379" spans="1:85" ht="12.75" hidden="1" customHeight="1" outlineLevel="1">
      <c r="A379" s="114"/>
      <c r="B379" s="245" t="s">
        <v>119</v>
      </c>
      <c r="C379" s="114"/>
      <c r="D379" s="1123">
        <f>(S379/S372-1)*100</f>
        <v>52.136425166264488</v>
      </c>
      <c r="E379" s="114"/>
      <c r="F379" s="1139">
        <v>-9</v>
      </c>
      <c r="G379" s="114"/>
      <c r="H379" s="1126">
        <f>D379-F379</f>
        <v>61.136425166264488</v>
      </c>
      <c r="I379" s="114"/>
      <c r="J379" s="114"/>
      <c r="K379" s="114"/>
      <c r="L379" s="1122">
        <f>AVERAGE(L375:L378)</f>
        <v>17.75</v>
      </c>
      <c r="M379" s="114"/>
      <c r="N379" s="1144">
        <f>(L379/L372-1)*100</f>
        <v>69.047619047619051</v>
      </c>
      <c r="O379" s="246"/>
      <c r="P379" s="1049">
        <f>H379/N379*100</f>
        <v>88.542408861486493</v>
      </c>
      <c r="Q379" s="310"/>
      <c r="R379" s="114"/>
      <c r="S379" s="1095">
        <f>SUM(S375:S378)</f>
        <v>51.698999999999998</v>
      </c>
      <c r="T379" s="114"/>
      <c r="U379" s="1095">
        <f>SUM(U375:U378)</f>
        <v>2.8907345267345268</v>
      </c>
      <c r="V379" s="114"/>
      <c r="W379" s="1144">
        <f>(U379/U372-1)*100</f>
        <v>-8.3216399665641987</v>
      </c>
      <c r="X379" s="246"/>
      <c r="Y379" s="114"/>
      <c r="Z379" s="114"/>
      <c r="AA379" s="114"/>
      <c r="AB379" s="1127">
        <f>AVERAGE(AB375:AB378)</f>
        <v>165.1</v>
      </c>
      <c r="AC379" s="114"/>
      <c r="AD379" s="1144">
        <f>Z378/Z371-1</f>
        <v>0.56748466257668717</v>
      </c>
      <c r="AE379" s="246"/>
      <c r="AF379" s="1144" t="s">
        <v>444</v>
      </c>
      <c r="AG379" s="310"/>
      <c r="AH379" s="114"/>
      <c r="AI379" s="1129">
        <f>SUM(AI375:AI378)</f>
        <v>51.698999999999998</v>
      </c>
      <c r="AJ379" s="114"/>
      <c r="AK379" s="1097">
        <f>SUM(AK375:AK378)</f>
        <v>310.7442407235377</v>
      </c>
      <c r="AL379" s="114"/>
      <c r="AM379" s="1126">
        <f>(AK379/AK372-1)*100</f>
        <v>-13.954027373818212</v>
      </c>
      <c r="AN379" s="246"/>
      <c r="AO379" s="246"/>
      <c r="AP379" s="246"/>
      <c r="AQ379" s="246"/>
      <c r="AR379" s="246"/>
      <c r="AS379" s="1231">
        <v>0</v>
      </c>
      <c r="AT379" s="1231"/>
      <c r="AU379" s="114"/>
      <c r="AV379" s="1284">
        <v>0</v>
      </c>
      <c r="AW379" s="114"/>
      <c r="AX379" s="310"/>
      <c r="AY379" s="1140">
        <v>50.191000000000003</v>
      </c>
      <c r="AZ379" s="246"/>
      <c r="BA379" s="114"/>
      <c r="BC379" s="114"/>
      <c r="BD379" s="114"/>
      <c r="BE379" s="114"/>
      <c r="BF379" s="114"/>
      <c r="BG379" s="114"/>
      <c r="BH379" s="114"/>
      <c r="BI379" s="114"/>
      <c r="BJ379" s="114"/>
      <c r="BK379" s="114"/>
      <c r="BL379" s="114"/>
      <c r="BM379" s="114"/>
      <c r="BN379" s="114"/>
      <c r="BO379" s="114"/>
      <c r="BP379" s="114"/>
      <c r="BQ379" s="114"/>
      <c r="BR379" s="114"/>
      <c r="BS379" s="114"/>
      <c r="BT379" s="114"/>
      <c r="BU379" s="114"/>
      <c r="BV379" s="114"/>
      <c r="BW379" s="114"/>
      <c r="BX379" s="114"/>
      <c r="BY379" s="114"/>
      <c r="BZ379" s="114"/>
      <c r="CA379" s="114"/>
      <c r="CB379" s="114"/>
      <c r="CC379" s="114"/>
      <c r="CD379" s="114"/>
      <c r="CE379" s="114"/>
      <c r="CF379" s="114"/>
      <c r="CG379" s="114"/>
    </row>
    <row r="380" spans="1:85" ht="12.75" hidden="1" customHeight="1" outlineLevel="1">
      <c r="A380" s="114"/>
      <c r="B380" s="245"/>
      <c r="C380" s="114"/>
      <c r="D380" s="1123"/>
      <c r="E380" s="114"/>
      <c r="F380" s="1139"/>
      <c r="G380" s="114"/>
      <c r="H380" s="1126"/>
      <c r="I380" s="114"/>
      <c r="J380" s="114"/>
      <c r="K380" s="114"/>
      <c r="L380" s="1122"/>
      <c r="M380" s="114"/>
      <c r="N380" s="1144"/>
      <c r="O380" s="246"/>
      <c r="P380" s="1124"/>
      <c r="Q380" s="310"/>
      <c r="R380" s="114"/>
      <c r="S380" s="1200">
        <f>S379/qtrSales!$S$108</f>
        <v>1.4972089689475169E-2</v>
      </c>
      <c r="T380" s="114"/>
      <c r="U380" s="1095"/>
      <c r="V380" s="114"/>
      <c r="W380" s="1144"/>
      <c r="X380" s="246"/>
      <c r="Y380" s="114"/>
      <c r="Z380" s="114"/>
      <c r="AA380" s="114"/>
      <c r="AB380" s="1127"/>
      <c r="AC380" s="114"/>
      <c r="AD380" s="1144"/>
      <c r="AE380" s="246"/>
      <c r="AF380" s="1144"/>
      <c r="AG380" s="310"/>
      <c r="AH380" s="114"/>
      <c r="AI380" s="1129"/>
      <c r="AJ380" s="114"/>
      <c r="AK380" s="1097"/>
      <c r="AL380" s="114"/>
      <c r="AM380" s="1126"/>
      <c r="AN380" s="246"/>
      <c r="AO380" s="246"/>
      <c r="AP380" s="246"/>
      <c r="AQ380" s="246"/>
      <c r="AR380" s="246"/>
      <c r="AS380" s="1231"/>
      <c r="AT380" s="1231"/>
      <c r="AU380" s="114"/>
      <c r="AV380" s="1284"/>
      <c r="AW380" s="114"/>
      <c r="AX380" s="310"/>
      <c r="AY380" s="1142"/>
      <c r="AZ380" s="246"/>
      <c r="BA380" s="114"/>
      <c r="BC380" s="114"/>
      <c r="BD380" s="114"/>
      <c r="BE380" s="114"/>
      <c r="BF380" s="114"/>
      <c r="BG380" s="114"/>
      <c r="BH380" s="114"/>
      <c r="BI380" s="114"/>
      <c r="BJ380" s="114"/>
      <c r="BK380" s="114"/>
      <c r="BL380" s="114"/>
      <c r="BM380" s="114"/>
      <c r="BN380" s="114"/>
      <c r="BO380" s="114"/>
      <c r="BP380" s="114"/>
      <c r="BQ380" s="114"/>
      <c r="BR380" s="114"/>
      <c r="BS380" s="114"/>
      <c r="BT380" s="114"/>
      <c r="BU380" s="114"/>
      <c r="BV380" s="114"/>
      <c r="BW380" s="114"/>
      <c r="BX380" s="114"/>
      <c r="BY380" s="114"/>
      <c r="BZ380" s="114"/>
      <c r="CA380" s="114"/>
      <c r="CB380" s="114"/>
      <c r="CC380" s="114"/>
      <c r="CD380" s="114"/>
      <c r="CE380" s="114"/>
      <c r="CF380" s="114"/>
      <c r="CG380" s="114"/>
    </row>
    <row r="381" spans="1:85" ht="12.75" hidden="1" customHeight="1" outlineLevel="1">
      <c r="A381" s="1120"/>
      <c r="B381" s="1113">
        <v>2008</v>
      </c>
      <c r="C381" s="114"/>
      <c r="D381" s="114"/>
      <c r="E381" s="246"/>
      <c r="F381" s="114"/>
      <c r="G381" s="246"/>
      <c r="H381" s="114"/>
      <c r="I381" s="246"/>
      <c r="J381" s="114"/>
      <c r="K381" s="114"/>
      <c r="L381" s="114"/>
      <c r="M381" s="114"/>
      <c r="N381" s="246"/>
      <c r="O381" s="246"/>
      <c r="P381" s="310"/>
      <c r="Q381" s="310"/>
      <c r="R381" s="114"/>
      <c r="S381" s="1103"/>
      <c r="T381" s="114"/>
      <c r="U381" s="246"/>
      <c r="V381" s="114"/>
      <c r="W381" s="246"/>
      <c r="X381" s="246"/>
      <c r="Y381" s="114"/>
      <c r="Z381" s="114"/>
      <c r="AA381" s="114"/>
      <c r="AB381" s="114"/>
      <c r="AC381" s="114"/>
      <c r="AD381" s="114"/>
      <c r="AE381" s="246"/>
      <c r="AF381" s="250"/>
      <c r="AG381" s="310"/>
      <c r="AH381" s="114"/>
      <c r="AI381" s="114"/>
      <c r="AJ381" s="114"/>
      <c r="AK381" s="246"/>
      <c r="AL381" s="114"/>
      <c r="AM381" s="246"/>
      <c r="AN381" s="246"/>
      <c r="AO381" s="246"/>
      <c r="AP381" s="246"/>
      <c r="AQ381" s="246"/>
      <c r="AR381" s="246"/>
      <c r="AS381" s="114"/>
      <c r="AT381" s="114"/>
      <c r="AU381" s="114"/>
      <c r="AV381" s="114"/>
      <c r="AW381" s="114"/>
      <c r="AX381" s="310"/>
      <c r="AY381" s="114"/>
      <c r="AZ381" s="246"/>
      <c r="BA381" s="114"/>
      <c r="BC381" s="114"/>
      <c r="BD381" s="114"/>
      <c r="BE381" s="114"/>
      <c r="BF381" s="114"/>
      <c r="BG381" s="114"/>
      <c r="BH381" s="114"/>
      <c r="BI381" s="114"/>
      <c r="BJ381" s="114"/>
      <c r="BK381" s="114"/>
      <c r="BL381" s="114"/>
      <c r="BM381" s="114"/>
      <c r="BN381" s="114"/>
      <c r="BO381" s="114"/>
      <c r="BP381" s="114"/>
      <c r="BQ381" s="114"/>
      <c r="BR381" s="114"/>
      <c r="BS381" s="114"/>
      <c r="BT381" s="114"/>
      <c r="BU381" s="114"/>
      <c r="BV381" s="114"/>
      <c r="BW381" s="114"/>
      <c r="BX381" s="114"/>
      <c r="BY381" s="114"/>
      <c r="BZ381" s="114"/>
      <c r="CA381" s="114"/>
      <c r="CB381" s="114"/>
      <c r="CC381" s="114"/>
      <c r="CD381" s="114"/>
      <c r="CE381" s="114"/>
      <c r="CF381" s="114"/>
      <c r="CG381" s="114"/>
    </row>
    <row r="382" spans="1:85" ht="12.75" hidden="1" customHeight="1" outlineLevel="1">
      <c r="A382" s="114" t="s">
        <v>115</v>
      </c>
      <c r="B382" s="245" t="s">
        <v>96</v>
      </c>
      <c r="C382" s="114"/>
      <c r="D382" s="1045">
        <f>(S382/S375-1)*100</f>
        <v>27.209756097560977</v>
      </c>
      <c r="E382" s="246" t="s">
        <v>76</v>
      </c>
      <c r="F382" s="1123">
        <v>-17</v>
      </c>
      <c r="G382" s="246" t="s">
        <v>76</v>
      </c>
      <c r="H382" s="1144">
        <f>D382-F382</f>
        <v>44.209756097560977</v>
      </c>
      <c r="I382" s="246" t="s">
        <v>76</v>
      </c>
      <c r="J382" s="1047">
        <v>23</v>
      </c>
      <c r="K382" s="114"/>
      <c r="L382" s="1122">
        <f>AVERAGE(J382,J378)</f>
        <v>22.5</v>
      </c>
      <c r="M382" s="114"/>
      <c r="N382" s="1144">
        <f>(L382/L375-1)*100</f>
        <v>50</v>
      </c>
      <c r="O382" s="246" t="s">
        <v>76</v>
      </c>
      <c r="P382" s="1049">
        <f>H382/N382*100</f>
        <v>88.419512195121953</v>
      </c>
      <c r="Q382" s="310" t="s">
        <v>76</v>
      </c>
      <c r="R382" s="114"/>
      <c r="S382" s="1050">
        <f>AY382-AS382</f>
        <v>13.039</v>
      </c>
      <c r="T382" s="114"/>
      <c r="U382" s="1095">
        <f>S382/L382</f>
        <v>0.57951111111111109</v>
      </c>
      <c r="V382" s="114"/>
      <c r="W382" s="1144">
        <f>(U382/U375-1)*100</f>
        <v>-15.193495934959355</v>
      </c>
      <c r="X382" s="246" t="s">
        <v>76</v>
      </c>
      <c r="Y382" s="114"/>
      <c r="Z382" s="1047">
        <v>218</v>
      </c>
      <c r="AA382" s="114"/>
      <c r="AB382" s="1127">
        <f>AVERAGE(Z382,Z378)</f>
        <v>211.2</v>
      </c>
      <c r="AC382" s="114"/>
      <c r="AD382" s="1144">
        <f>(AB382/AB375-1)*100</f>
        <v>51.181102362204726</v>
      </c>
      <c r="AE382" s="246" t="s">
        <v>76</v>
      </c>
      <c r="AF382" s="1144">
        <f>+H382/AD382*100</f>
        <v>86.379061913696063</v>
      </c>
      <c r="AG382" s="310" t="s">
        <v>76</v>
      </c>
      <c r="AH382" s="114"/>
      <c r="AI382" s="1129">
        <f>+S382</f>
        <v>13.039</v>
      </c>
      <c r="AJ382" s="114"/>
      <c r="AK382" s="1097">
        <f>AI382/(AB382/1000)</f>
        <v>61.737689393939391</v>
      </c>
      <c r="AL382" s="114"/>
      <c r="AM382" s="1126" t="s">
        <v>444</v>
      </c>
      <c r="AN382" s="246" t="s">
        <v>76</v>
      </c>
      <c r="AO382" s="246"/>
      <c r="AP382" s="246"/>
      <c r="AQ382" s="246"/>
      <c r="AR382" s="246"/>
      <c r="AS382" s="1231">
        <v>0</v>
      </c>
      <c r="AT382" s="1231"/>
      <c r="AU382" s="114"/>
      <c r="AV382" s="1284">
        <v>0</v>
      </c>
      <c r="AW382" s="114"/>
      <c r="AX382" s="310"/>
      <c r="AY382" s="1081">
        <v>13.039</v>
      </c>
      <c r="AZ382" s="246"/>
      <c r="BA382" s="114"/>
      <c r="BC382" s="114"/>
      <c r="BD382" s="114"/>
      <c r="BE382" s="114"/>
      <c r="BF382" s="114"/>
      <c r="BG382" s="114"/>
      <c r="BH382" s="114"/>
      <c r="BI382" s="114"/>
      <c r="BJ382" s="114"/>
      <c r="BK382" s="114"/>
      <c r="BL382" s="114"/>
      <c r="BM382" s="114"/>
      <c r="BN382" s="114"/>
      <c r="BO382" s="114"/>
      <c r="BP382" s="114"/>
      <c r="BQ382" s="114"/>
      <c r="BR382" s="114"/>
      <c r="BS382" s="114"/>
      <c r="BT382" s="114"/>
      <c r="BU382" s="114"/>
      <c r="BV382" s="114"/>
      <c r="BW382" s="114"/>
      <c r="BX382" s="114"/>
      <c r="BY382" s="114"/>
      <c r="BZ382" s="114"/>
      <c r="CA382" s="114"/>
      <c r="CB382" s="114"/>
      <c r="CC382" s="114"/>
      <c r="CD382" s="114"/>
      <c r="CE382" s="114"/>
      <c r="CF382" s="114"/>
      <c r="CG382" s="114"/>
    </row>
    <row r="383" spans="1:85" ht="12.75" hidden="1" customHeight="1" outlineLevel="1">
      <c r="A383" s="114" t="s">
        <v>116</v>
      </c>
      <c r="B383" s="245" t="s">
        <v>97</v>
      </c>
      <c r="C383" s="114"/>
      <c r="D383" s="1123">
        <f>(S383/S376-1)*100</f>
        <v>6.4367816091954078</v>
      </c>
      <c r="E383" s="114"/>
      <c r="F383" s="1123">
        <v>-22</v>
      </c>
      <c r="G383" s="114"/>
      <c r="H383" s="1144">
        <f>D383-F383</f>
        <v>28.436781609195407</v>
      </c>
      <c r="I383" s="114"/>
      <c r="J383" s="1047">
        <v>25</v>
      </c>
      <c r="K383" s="1057"/>
      <c r="L383" s="1122">
        <f>AVERAGE(J383,J382)</f>
        <v>24</v>
      </c>
      <c r="M383" s="114"/>
      <c r="N383" s="1144">
        <f>(L383/L376-1)*100</f>
        <v>45.45454545454546</v>
      </c>
      <c r="O383" s="246"/>
      <c r="P383" s="1124">
        <f>H383/N383*100</f>
        <v>62.560919540229889</v>
      </c>
      <c r="Q383" s="310"/>
      <c r="R383" s="114"/>
      <c r="S383" s="1089">
        <f>AY383-AS383</f>
        <v>12.500999999999999</v>
      </c>
      <c r="T383" s="114"/>
      <c r="U383" s="1089">
        <f>S383/L383</f>
        <v>0.52087499999999998</v>
      </c>
      <c r="V383" s="114"/>
      <c r="W383" s="1144">
        <f>(U383/U376-1)*100</f>
        <v>-26.824712643678161</v>
      </c>
      <c r="X383" s="246"/>
      <c r="Y383" s="114"/>
      <c r="Z383" s="1047">
        <v>238</v>
      </c>
      <c r="AA383" s="1057"/>
      <c r="AB383" s="1127">
        <f>AVERAGE(Z383,Z382)</f>
        <v>228</v>
      </c>
      <c r="AC383" s="114"/>
      <c r="AD383" s="1144">
        <f>(AB383/AB376-1)*100</f>
        <v>48.05194805194806</v>
      </c>
      <c r="AE383" s="246"/>
      <c r="AF383" s="1144">
        <f>+H383/AD383*100</f>
        <v>59.179248213730972</v>
      </c>
      <c r="AG383" s="310"/>
      <c r="AH383" s="114"/>
      <c r="AI383" s="1132">
        <f>+S383</f>
        <v>12.500999999999999</v>
      </c>
      <c r="AJ383" s="114"/>
      <c r="AK383" s="1106">
        <f>AI383/(AB383/1000)</f>
        <v>54.828947368421048</v>
      </c>
      <c r="AL383" s="114"/>
      <c r="AM383" s="1126" t="s">
        <v>444</v>
      </c>
      <c r="AN383" s="246"/>
      <c r="AO383" s="246"/>
      <c r="AP383" s="246"/>
      <c r="AQ383" s="246"/>
      <c r="AR383" s="246"/>
      <c r="AS383" s="1231">
        <v>0</v>
      </c>
      <c r="AT383" s="1231"/>
      <c r="AU383" s="114"/>
      <c r="AV383" s="1284">
        <v>0</v>
      </c>
      <c r="AW383" s="114"/>
      <c r="AX383" s="310"/>
      <c r="AY383" s="1102">
        <v>12.500999999999999</v>
      </c>
      <c r="AZ383" s="246"/>
      <c r="BA383" s="114"/>
      <c r="BC383" s="114"/>
      <c r="BD383" s="114"/>
      <c r="BE383" s="114"/>
      <c r="BF383" s="114"/>
      <c r="BG383" s="114"/>
      <c r="BH383" s="114"/>
      <c r="BI383" s="114"/>
      <c r="BJ383" s="114"/>
      <c r="BK383" s="114"/>
      <c r="BL383" s="114"/>
      <c r="BM383" s="114"/>
      <c r="BN383" s="114"/>
      <c r="BO383" s="114"/>
      <c r="BP383" s="114"/>
      <c r="BQ383" s="114"/>
      <c r="BR383" s="114"/>
      <c r="BS383" s="114"/>
      <c r="BT383" s="114"/>
      <c r="BU383" s="114"/>
      <c r="BV383" s="114"/>
      <c r="BW383" s="114"/>
      <c r="BX383" s="114"/>
      <c r="BY383" s="114"/>
      <c r="BZ383" s="114"/>
      <c r="CA383" s="114"/>
      <c r="CB383" s="114"/>
      <c r="CC383" s="114"/>
      <c r="CD383" s="114"/>
      <c r="CE383" s="114"/>
      <c r="CF383" s="114"/>
      <c r="CG383" s="114"/>
    </row>
    <row r="384" spans="1:85" ht="12.75" hidden="1" customHeight="1" outlineLevel="1">
      <c r="A384" s="114" t="s">
        <v>117</v>
      </c>
      <c r="B384" s="245" t="s">
        <v>99</v>
      </c>
      <c r="C384" s="114"/>
      <c r="D384" s="1123">
        <f>(S384/S377-1)*100</f>
        <v>7.3706759758806806</v>
      </c>
      <c r="E384" s="114"/>
      <c r="F384" s="1123">
        <v>-25</v>
      </c>
      <c r="G384" s="114"/>
      <c r="H384" s="1144">
        <f>D384-F384</f>
        <v>32.37067597588068</v>
      </c>
      <c r="I384" s="114"/>
      <c r="J384" s="1047">
        <v>27</v>
      </c>
      <c r="K384" s="1057"/>
      <c r="L384" s="1122">
        <f>AVERAGE(J384,J383)</f>
        <v>26</v>
      </c>
      <c r="M384" s="114"/>
      <c r="N384" s="1144">
        <f>(L384/L377-1)*100</f>
        <v>40.540540540540547</v>
      </c>
      <c r="O384" s="246"/>
      <c r="P384" s="1124">
        <f>H384/N384*100</f>
        <v>79.847667407172324</v>
      </c>
      <c r="Q384" s="310"/>
      <c r="R384" s="114"/>
      <c r="S384" s="1089">
        <f>AY384-AS384</f>
        <v>13.532999999999999</v>
      </c>
      <c r="T384" s="114"/>
      <c r="U384" s="1089">
        <f>S384/L384</f>
        <v>0.52049999999999996</v>
      </c>
      <c r="V384" s="114"/>
      <c r="W384" s="1144">
        <f>(U384/U377-1)*100</f>
        <v>-23.601634401777215</v>
      </c>
      <c r="X384" s="246"/>
      <c r="Y384" s="114"/>
      <c r="Z384" s="1047">
        <v>254</v>
      </c>
      <c r="AA384" s="1057"/>
      <c r="AB384" s="1127">
        <f>AVERAGE(Z384,Z383)</f>
        <v>246</v>
      </c>
      <c r="AC384" s="114"/>
      <c r="AD384" s="1144">
        <f>(AB384/AB377-1)*100</f>
        <v>43.023255813953497</v>
      </c>
      <c r="AE384" s="246"/>
      <c r="AF384" s="1144">
        <f>+H384/AD384*100</f>
        <v>75.23994956556048</v>
      </c>
      <c r="AG384" s="310"/>
      <c r="AH384" s="114"/>
      <c r="AI384" s="1132">
        <f>+S384</f>
        <v>13.532999999999999</v>
      </c>
      <c r="AJ384" s="114"/>
      <c r="AK384" s="1106">
        <f>AI384/(AB384/1000)</f>
        <v>55.012195121951216</v>
      </c>
      <c r="AL384" s="114"/>
      <c r="AM384" s="1126" t="s">
        <v>444</v>
      </c>
      <c r="AN384" s="246"/>
      <c r="AO384" s="246"/>
      <c r="AP384" s="246"/>
      <c r="AQ384" s="246"/>
      <c r="AR384" s="246"/>
      <c r="AS384" s="1231">
        <v>0</v>
      </c>
      <c r="AT384" s="1231"/>
      <c r="AU384" s="114"/>
      <c r="AV384" s="1284">
        <v>0</v>
      </c>
      <c r="AW384" s="114"/>
      <c r="AX384" s="310"/>
      <c r="AY384" s="1102">
        <v>13.532999999999999</v>
      </c>
      <c r="AZ384" s="246"/>
      <c r="BA384" s="114"/>
      <c r="BC384" s="114"/>
      <c r="BD384" s="114"/>
      <c r="BE384" s="114"/>
      <c r="BF384" s="114"/>
      <c r="BG384" s="114"/>
      <c r="BH384" s="114"/>
      <c r="BI384" s="114"/>
      <c r="BJ384" s="114"/>
      <c r="BK384" s="114"/>
      <c r="BL384" s="114"/>
      <c r="BM384" s="114"/>
      <c r="BN384" s="114"/>
      <c r="BO384" s="114"/>
      <c r="BP384" s="114"/>
      <c r="BQ384" s="114"/>
      <c r="BR384" s="114"/>
      <c r="BS384" s="114"/>
      <c r="BT384" s="114"/>
      <c r="BU384" s="114"/>
      <c r="BV384" s="114"/>
      <c r="BW384" s="114"/>
      <c r="BX384" s="114"/>
      <c r="BY384" s="114"/>
      <c r="BZ384" s="114"/>
      <c r="CA384" s="114"/>
      <c r="CB384" s="114"/>
      <c r="CC384" s="114"/>
      <c r="CD384" s="114"/>
      <c r="CE384" s="114"/>
      <c r="CF384" s="114"/>
      <c r="CG384" s="114"/>
    </row>
    <row r="385" spans="1:85" ht="12.75" hidden="1" customHeight="1" outlineLevel="1">
      <c r="A385" s="114" t="s">
        <v>118</v>
      </c>
      <c r="B385" s="245" t="s">
        <v>100</v>
      </c>
      <c r="C385" s="114"/>
      <c r="D385" s="1107">
        <f>(S385/S378-1)*100</f>
        <v>0</v>
      </c>
      <c r="E385" s="114"/>
      <c r="F385" s="1104">
        <v>-25</v>
      </c>
      <c r="G385" s="114"/>
      <c r="H385" s="1104">
        <f>D385-F385</f>
        <v>25</v>
      </c>
      <c r="I385" s="114"/>
      <c r="J385" s="1063">
        <f>+squft!BW42</f>
        <v>28</v>
      </c>
      <c r="K385" s="1057"/>
      <c r="L385" s="1108">
        <f>AVERAGE(J385,J384)</f>
        <v>27.5</v>
      </c>
      <c r="M385" s="114"/>
      <c r="N385" s="1104">
        <f>(L385/L378-1)*100</f>
        <v>30.952380952380953</v>
      </c>
      <c r="O385" s="246"/>
      <c r="P385" s="1108">
        <f>H385/N385*100</f>
        <v>80.769230769230774</v>
      </c>
      <c r="Q385" s="310"/>
      <c r="R385" s="114"/>
      <c r="S385" s="1092">
        <f>AY385-AS385</f>
        <v>17.100000000000001</v>
      </c>
      <c r="T385" s="114"/>
      <c r="U385" s="1092">
        <f>S385/L385</f>
        <v>0.62181818181818183</v>
      </c>
      <c r="V385" s="114"/>
      <c r="W385" s="1104">
        <f>(U385/U378-1)*100</f>
        <v>-23.636363636363644</v>
      </c>
      <c r="X385" s="246"/>
      <c r="Y385" s="114"/>
      <c r="Z385" s="1063">
        <f>+squft!BY42</f>
        <v>262.39999999999998</v>
      </c>
      <c r="AA385" s="1057"/>
      <c r="AB385" s="1110">
        <f>AVERAGE(Z385,Z384)</f>
        <v>258.2</v>
      </c>
      <c r="AC385" s="114"/>
      <c r="AD385" s="1104">
        <f>(AB385/AB378-1)*100</f>
        <v>32.614278376990249</v>
      </c>
      <c r="AE385" s="246"/>
      <c r="AF385" s="1104">
        <f>+H385/AD385*100</f>
        <v>76.653543307086593</v>
      </c>
      <c r="AG385" s="310"/>
      <c r="AH385" s="114"/>
      <c r="AI385" s="1111">
        <f>+S385</f>
        <v>17.100000000000001</v>
      </c>
      <c r="AJ385" s="114"/>
      <c r="AK385" s="1135">
        <f>AI385/(AB385/1000)</f>
        <v>66.227730441518219</v>
      </c>
      <c r="AL385" s="114"/>
      <c r="AM385" s="1134">
        <f>(AK385/AK378-1)*100</f>
        <v>-24.593338497288919</v>
      </c>
      <c r="AN385" s="246"/>
      <c r="AO385" s="246"/>
      <c r="AP385" s="246"/>
      <c r="AQ385" s="246"/>
      <c r="AR385" s="246"/>
      <c r="AS385" s="1280">
        <v>0</v>
      </c>
      <c r="AT385" s="1280"/>
      <c r="AU385" s="1042"/>
      <c r="AV385" s="1285">
        <v>0</v>
      </c>
      <c r="AW385" s="114"/>
      <c r="AX385" s="310"/>
      <c r="AY385" s="1145">
        <v>17.100000000000001</v>
      </c>
      <c r="AZ385" s="246"/>
      <c r="BA385" s="114"/>
      <c r="BC385" s="114"/>
      <c r="BD385" s="114"/>
      <c r="BE385" s="114"/>
      <c r="BF385" s="114"/>
      <c r="BG385" s="114"/>
      <c r="BH385" s="114"/>
      <c r="BI385" s="114"/>
      <c r="BJ385" s="114"/>
      <c r="BK385" s="114"/>
      <c r="BL385" s="114"/>
      <c r="BM385" s="114"/>
      <c r="BN385" s="114"/>
      <c r="BO385" s="114"/>
      <c r="BP385" s="114"/>
      <c r="BQ385" s="114"/>
      <c r="BR385" s="114"/>
      <c r="BS385" s="114"/>
      <c r="BT385" s="114"/>
      <c r="BU385" s="114"/>
      <c r="BV385" s="114"/>
      <c r="BW385" s="114"/>
      <c r="BX385" s="114"/>
      <c r="BY385" s="114"/>
      <c r="BZ385" s="114"/>
      <c r="CA385" s="114"/>
      <c r="CB385" s="114"/>
      <c r="CC385" s="114"/>
      <c r="CD385" s="114"/>
      <c r="CE385" s="114"/>
      <c r="CF385" s="114"/>
      <c r="CG385" s="114"/>
    </row>
    <row r="386" spans="1:85" ht="12.75" hidden="1" customHeight="1" outlineLevel="1">
      <c r="A386" s="114"/>
      <c r="B386" s="245" t="s">
        <v>119</v>
      </c>
      <c r="C386" s="114"/>
      <c r="D386" s="1123">
        <f>(S386/S379-1)*100</f>
        <v>8.6539391477591607</v>
      </c>
      <c r="E386" s="114"/>
      <c r="F386" s="1139">
        <v>-23</v>
      </c>
      <c r="G386" s="114"/>
      <c r="H386" s="1126">
        <f>D386-F386</f>
        <v>31.653939147759161</v>
      </c>
      <c r="I386" s="114"/>
      <c r="J386" s="114"/>
      <c r="K386" s="114"/>
      <c r="L386" s="1122">
        <f>AVERAGE(L382:L385)</f>
        <v>25</v>
      </c>
      <c r="M386" s="114"/>
      <c r="N386" s="1144">
        <f>(L386/L379-1)*100</f>
        <v>40.845070422535201</v>
      </c>
      <c r="O386" s="246"/>
      <c r="P386" s="1049">
        <f>H386/N386*100</f>
        <v>77.497575154858652</v>
      </c>
      <c r="Q386" s="310"/>
      <c r="R386" s="114"/>
      <c r="S386" s="1095">
        <f>SUM(S382:S385)</f>
        <v>56.173000000000002</v>
      </c>
      <c r="T386" s="114"/>
      <c r="U386" s="1095">
        <f>SUM(U382:U385)</f>
        <v>2.2427042929292931</v>
      </c>
      <c r="V386" s="114"/>
      <c r="W386" s="1144">
        <f>(U386/U379-1)*100</f>
        <v>-22.417493817298784</v>
      </c>
      <c r="X386" s="246"/>
      <c r="Y386" s="114"/>
      <c r="Z386" s="114"/>
      <c r="AA386" s="114"/>
      <c r="AB386" s="1127">
        <f>AVERAGE(AB382:AB385)</f>
        <v>235.85000000000002</v>
      </c>
      <c r="AC386" s="114"/>
      <c r="AD386" s="1144">
        <f>Z385/Z378-1</f>
        <v>0.28375733855185903</v>
      </c>
      <c r="AE386" s="246"/>
      <c r="AF386" s="1144" t="s">
        <v>444</v>
      </c>
      <c r="AG386" s="310"/>
      <c r="AH386" s="114"/>
      <c r="AI386" s="1129">
        <f>SUM(AI382:AI385)</f>
        <v>56.173000000000002</v>
      </c>
      <c r="AJ386" s="114"/>
      <c r="AK386" s="1097">
        <f>SUM(AK382:AK385)</f>
        <v>237.80656232582987</v>
      </c>
      <c r="AL386" s="114"/>
      <c r="AM386" s="1126">
        <f>(AK386/AK379-1)*100</f>
        <v>-23.47193248952243</v>
      </c>
      <c r="AN386" s="246"/>
      <c r="AO386" s="246"/>
      <c r="AP386" s="246"/>
      <c r="AQ386" s="246"/>
      <c r="AR386" s="246"/>
      <c r="AS386" s="1231">
        <v>0</v>
      </c>
      <c r="AT386" s="1231"/>
      <c r="AU386" s="114"/>
      <c r="AV386" s="1284">
        <v>0</v>
      </c>
      <c r="AW386" s="114"/>
      <c r="AX386" s="310"/>
      <c r="AY386" s="1140">
        <v>56.218000000000004</v>
      </c>
      <c r="AZ386" s="246"/>
      <c r="BA386" s="114"/>
      <c r="BC386" s="114"/>
      <c r="BD386" s="114"/>
      <c r="BE386" s="114"/>
      <c r="BF386" s="114"/>
      <c r="BG386" s="114"/>
      <c r="BH386" s="114"/>
      <c r="BI386" s="114"/>
      <c r="BJ386" s="114"/>
      <c r="BK386" s="114"/>
      <c r="BL386" s="114"/>
      <c r="BM386" s="114"/>
      <c r="BN386" s="114"/>
      <c r="BO386" s="114"/>
      <c r="BP386" s="114"/>
      <c r="BQ386" s="114"/>
      <c r="BR386" s="114"/>
      <c r="BS386" s="114"/>
      <c r="BT386" s="114"/>
      <c r="BU386" s="114"/>
      <c r="BV386" s="114"/>
      <c r="BW386" s="114"/>
      <c r="BX386" s="114"/>
      <c r="BY386" s="114"/>
      <c r="BZ386" s="114"/>
      <c r="CA386" s="114"/>
      <c r="CB386" s="114"/>
      <c r="CC386" s="114"/>
      <c r="CD386" s="114"/>
      <c r="CE386" s="114"/>
      <c r="CF386" s="114"/>
      <c r="CG386" s="114"/>
    </row>
    <row r="387" spans="1:85" ht="12.75" hidden="1" customHeight="1" outlineLevel="1">
      <c r="A387" s="114"/>
      <c r="B387" s="245"/>
      <c r="C387" s="114"/>
      <c r="D387" s="1123"/>
      <c r="E387" s="114"/>
      <c r="F387" s="1139"/>
      <c r="G387" s="114"/>
      <c r="H387" s="1126"/>
      <c r="I387" s="114"/>
      <c r="J387" s="114"/>
      <c r="K387" s="114"/>
      <c r="L387" s="1122"/>
      <c r="M387" s="114"/>
      <c r="N387" s="1144"/>
      <c r="O387" s="246"/>
      <c r="P387" s="1049"/>
      <c r="Q387" s="310"/>
      <c r="R387" s="114"/>
      <c r="S387" s="1095"/>
      <c r="T387" s="114"/>
      <c r="U387" s="1095"/>
      <c r="V387" s="114"/>
      <c r="W387" s="1144"/>
      <c r="X387" s="246"/>
      <c r="Y387" s="114"/>
      <c r="Z387" s="114"/>
      <c r="AA387" s="114"/>
      <c r="AB387" s="1127"/>
      <c r="AC387" s="114"/>
      <c r="AD387" s="1144"/>
      <c r="AE387" s="246"/>
      <c r="AF387" s="1144"/>
      <c r="AG387" s="310"/>
      <c r="AH387" s="114"/>
      <c r="AI387" s="1129"/>
      <c r="AJ387" s="114"/>
      <c r="AK387" s="1097"/>
      <c r="AL387" s="114"/>
      <c r="AM387" s="1126"/>
      <c r="AN387" s="246"/>
      <c r="AO387" s="246"/>
      <c r="AP387" s="246"/>
      <c r="AQ387" s="246"/>
      <c r="AR387" s="246"/>
      <c r="AS387" s="1231"/>
      <c r="AT387" s="1231"/>
      <c r="AU387" s="114"/>
      <c r="AV387" s="1284"/>
      <c r="AW387" s="114"/>
      <c r="AX387" s="310"/>
      <c r="AY387" s="1142"/>
      <c r="AZ387" s="246"/>
      <c r="BA387" s="114"/>
      <c r="BC387" s="114"/>
      <c r="BD387" s="114"/>
      <c r="BE387" s="114"/>
      <c r="BF387" s="114"/>
      <c r="BG387" s="114"/>
      <c r="BH387" s="114"/>
      <c r="BI387" s="114"/>
      <c r="BJ387" s="114"/>
      <c r="BK387" s="114"/>
      <c r="BL387" s="114"/>
      <c r="BM387" s="114"/>
      <c r="BN387" s="114"/>
      <c r="BO387" s="114"/>
      <c r="BP387" s="114"/>
      <c r="BQ387" s="114"/>
      <c r="BR387" s="114"/>
      <c r="BS387" s="114"/>
      <c r="BT387" s="114"/>
      <c r="BU387" s="114"/>
      <c r="BV387" s="114"/>
      <c r="BW387" s="114"/>
      <c r="BX387" s="114"/>
      <c r="BY387" s="114"/>
      <c r="BZ387" s="114"/>
      <c r="CA387" s="114"/>
      <c r="CB387" s="114"/>
      <c r="CC387" s="114"/>
      <c r="CD387" s="114"/>
      <c r="CE387" s="114"/>
      <c r="CF387" s="114"/>
      <c r="CG387" s="114"/>
    </row>
    <row r="388" spans="1:85" ht="12.75" hidden="1" customHeight="1" outlineLevel="1">
      <c r="A388" s="1120"/>
      <c r="B388" s="1113">
        <v>2009</v>
      </c>
      <c r="C388" s="114"/>
      <c r="D388" s="114"/>
      <c r="E388" s="246"/>
      <c r="F388" s="114"/>
      <c r="G388" s="246"/>
      <c r="H388" s="114"/>
      <c r="I388" s="246"/>
      <c r="J388" s="114"/>
      <c r="K388" s="114"/>
      <c r="L388" s="114"/>
      <c r="M388" s="114"/>
      <c r="N388" s="246"/>
      <c r="O388" s="246"/>
      <c r="P388" s="310"/>
      <c r="Q388" s="310"/>
      <c r="R388" s="114"/>
      <c r="S388" s="1103"/>
      <c r="T388" s="114"/>
      <c r="U388" s="246"/>
      <c r="V388" s="114"/>
      <c r="W388" s="246"/>
      <c r="X388" s="246"/>
      <c r="Y388" s="114"/>
      <c r="Z388" s="114"/>
      <c r="AA388" s="114"/>
      <c r="AB388" s="114"/>
      <c r="AC388" s="114"/>
      <c r="AD388" s="114"/>
      <c r="AE388" s="246"/>
      <c r="AF388" s="250"/>
      <c r="AG388" s="310"/>
      <c r="AH388" s="114"/>
      <c r="AI388" s="114"/>
      <c r="AJ388" s="114"/>
      <c r="AK388" s="246"/>
      <c r="AL388" s="114"/>
      <c r="AM388" s="246"/>
      <c r="AN388" s="246"/>
      <c r="AO388" s="246"/>
      <c r="AP388" s="246"/>
      <c r="AQ388" s="246"/>
      <c r="AR388" s="246"/>
      <c r="AS388" s="114"/>
      <c r="AT388" s="114"/>
      <c r="AU388" s="114"/>
      <c r="AV388" s="114"/>
      <c r="AW388" s="114"/>
      <c r="AX388" s="310"/>
      <c r="AY388" s="114"/>
      <c r="AZ388" s="246"/>
      <c r="BA388" s="114"/>
      <c r="BC388" s="114"/>
      <c r="BD388" s="114"/>
      <c r="BE388" s="114"/>
      <c r="BF388" s="114"/>
      <c r="BG388" s="114"/>
      <c r="BH388" s="114"/>
      <c r="BI388" s="114"/>
      <c r="BJ388" s="114"/>
      <c r="BK388" s="114"/>
      <c r="BL388" s="114"/>
      <c r="BM388" s="114"/>
      <c r="BN388" s="114"/>
      <c r="BO388" s="114"/>
      <c r="BP388" s="114"/>
      <c r="BQ388" s="114"/>
      <c r="BR388" s="114"/>
      <c r="BS388" s="114"/>
      <c r="BT388" s="114"/>
      <c r="BU388" s="114"/>
      <c r="BV388" s="114"/>
      <c r="BW388" s="114"/>
      <c r="BX388" s="114"/>
      <c r="BY388" s="114"/>
      <c r="BZ388" s="114"/>
      <c r="CA388" s="114"/>
      <c r="CB388" s="114"/>
      <c r="CC388" s="114"/>
      <c r="CD388" s="114"/>
      <c r="CE388" s="114"/>
      <c r="CF388" s="114"/>
      <c r="CG388" s="114"/>
    </row>
    <row r="389" spans="1:85" ht="12.75" hidden="1" customHeight="1" outlineLevel="1">
      <c r="A389" s="114" t="s">
        <v>115</v>
      </c>
      <c r="B389" s="245" t="s">
        <v>96</v>
      </c>
      <c r="C389" s="114"/>
      <c r="D389" s="1045">
        <f>(S389/S382-1)*100</f>
        <v>-20.239282153539374</v>
      </c>
      <c r="E389" s="246" t="s">
        <v>76</v>
      </c>
      <c r="F389" s="1144">
        <v>-34</v>
      </c>
      <c r="G389" s="246" t="s">
        <v>76</v>
      </c>
      <c r="H389" s="1144">
        <f>D389-F389</f>
        <v>13.760717846460626</v>
      </c>
      <c r="I389" s="246" t="s">
        <v>76</v>
      </c>
      <c r="J389" s="1047">
        <f>29</f>
        <v>29</v>
      </c>
      <c r="K389" s="114"/>
      <c r="L389" s="1122">
        <f>AVERAGE(J389,J385)</f>
        <v>28.5</v>
      </c>
      <c r="M389" s="114"/>
      <c r="N389" s="1144">
        <f>(L389/L382-1)*100</f>
        <v>26.666666666666661</v>
      </c>
      <c r="O389" s="246" t="s">
        <v>76</v>
      </c>
      <c r="P389" s="1049">
        <f>H389/N389*100</f>
        <v>51.602691924227365</v>
      </c>
      <c r="Q389" s="310" t="s">
        <v>76</v>
      </c>
      <c r="R389" s="114"/>
      <c r="S389" s="1050">
        <f>AY389-AS389</f>
        <v>10.4</v>
      </c>
      <c r="T389" s="114"/>
      <c r="U389" s="1095">
        <f>S389/L389</f>
        <v>0.36491228070175441</v>
      </c>
      <c r="V389" s="114"/>
      <c r="W389" s="1144">
        <f>(U389/U382-1)*100</f>
        <v>-37.031012226478452</v>
      </c>
      <c r="X389" s="246" t="s">
        <v>76</v>
      </c>
      <c r="Y389" s="114"/>
      <c r="Z389" s="1047">
        <v>267</v>
      </c>
      <c r="AA389" s="114"/>
      <c r="AB389" s="1127">
        <f>AVERAGE(Z389,Z385)</f>
        <v>264.7</v>
      </c>
      <c r="AC389" s="114"/>
      <c r="AD389" s="1144">
        <f>(AB389/AB382-1)*100</f>
        <v>25.331439393939405</v>
      </c>
      <c r="AE389" s="246" t="s">
        <v>76</v>
      </c>
      <c r="AF389" s="1144">
        <f>+H389/AD389*100</f>
        <v>54.322684283597809</v>
      </c>
      <c r="AG389" s="310" t="s">
        <v>76</v>
      </c>
      <c r="AH389" s="114"/>
      <c r="AI389" s="1129">
        <f>+S389</f>
        <v>10.4</v>
      </c>
      <c r="AJ389" s="114"/>
      <c r="AK389" s="1097">
        <f>AI389/(AB389/1000)</f>
        <v>39.289761994710993</v>
      </c>
      <c r="AL389" s="114"/>
      <c r="AM389" s="1126" t="s">
        <v>444</v>
      </c>
      <c r="AN389" s="246" t="s">
        <v>76</v>
      </c>
      <c r="AO389" s="246"/>
      <c r="AP389" s="246"/>
      <c r="AQ389" s="246"/>
      <c r="AR389" s="246"/>
      <c r="AS389" s="1231">
        <v>0</v>
      </c>
      <c r="AT389" s="1231"/>
      <c r="AU389" s="114"/>
      <c r="AV389" s="1284">
        <v>0</v>
      </c>
      <c r="AW389" s="114"/>
      <c r="AX389" s="310"/>
      <c r="AY389" s="1081">
        <v>10.4</v>
      </c>
      <c r="AZ389" s="246"/>
      <c r="BA389" s="114"/>
      <c r="BC389" s="114"/>
      <c r="BD389" s="114"/>
      <c r="BE389" s="114"/>
      <c r="BF389" s="114"/>
      <c r="BG389" s="114"/>
      <c r="BH389" s="114"/>
      <c r="BI389" s="114"/>
      <c r="BJ389" s="114"/>
      <c r="BK389" s="114"/>
      <c r="BL389" s="114"/>
      <c r="BM389" s="114"/>
      <c r="BN389" s="114"/>
      <c r="BO389" s="114"/>
      <c r="BP389" s="114"/>
      <c r="BQ389" s="114"/>
      <c r="BR389" s="114"/>
      <c r="BS389" s="114"/>
      <c r="BT389" s="114"/>
      <c r="BU389" s="114"/>
      <c r="BV389" s="114"/>
      <c r="BW389" s="114"/>
      <c r="BX389" s="114"/>
      <c r="BY389" s="114"/>
      <c r="BZ389" s="114"/>
      <c r="CA389" s="114"/>
      <c r="CB389" s="114"/>
      <c r="CC389" s="114"/>
      <c r="CD389" s="114"/>
      <c r="CE389" s="114"/>
      <c r="CF389" s="114"/>
      <c r="CG389" s="114"/>
    </row>
    <row r="390" spans="1:85" ht="12.75" hidden="1" customHeight="1" outlineLevel="1">
      <c r="A390" s="114" t="s">
        <v>116</v>
      </c>
      <c r="B390" s="245" t="s">
        <v>97</v>
      </c>
      <c r="C390" s="114"/>
      <c r="D390" s="1045">
        <f>(S390/S383-1)*100</f>
        <v>-10.407167426605868</v>
      </c>
      <c r="E390" s="114"/>
      <c r="F390" s="1144">
        <v>-31</v>
      </c>
      <c r="G390" s="114"/>
      <c r="H390" s="1144">
        <f>D390-F390</f>
        <v>20.592832573394134</v>
      </c>
      <c r="I390" s="114"/>
      <c r="J390" s="1047">
        <f>+J389</f>
        <v>29</v>
      </c>
      <c r="K390" s="1057"/>
      <c r="L390" s="1122">
        <f>AVERAGE(J390,J389)</f>
        <v>29</v>
      </c>
      <c r="M390" s="114"/>
      <c r="N390" s="1144">
        <f>(L390/L383-1)*100</f>
        <v>20.833333333333325</v>
      </c>
      <c r="O390" s="246"/>
      <c r="P390" s="1049">
        <f>H390/N390*100</f>
        <v>98.845596352291878</v>
      </c>
      <c r="Q390" s="310"/>
      <c r="R390" s="114"/>
      <c r="S390" s="1089">
        <f>AY390-AS390</f>
        <v>11.2</v>
      </c>
      <c r="T390" s="114"/>
      <c r="U390" s="1089">
        <f>S390/L390</f>
        <v>0.38620689655172413</v>
      </c>
      <c r="V390" s="114"/>
      <c r="W390" s="1144">
        <f>(U390/U383-1)*100</f>
        <v>-25.854207525466922</v>
      </c>
      <c r="X390" s="246"/>
      <c r="Y390" s="114"/>
      <c r="Z390" s="1047">
        <v>267</v>
      </c>
      <c r="AA390" s="1057"/>
      <c r="AB390" s="1127">
        <f>AVERAGE(Z390,Z389)</f>
        <v>267</v>
      </c>
      <c r="AC390" s="114"/>
      <c r="AD390" s="1144">
        <f>(AB390/AB383-1)*100</f>
        <v>17.105263157894733</v>
      </c>
      <c r="AE390" s="246"/>
      <c r="AF390" s="1144">
        <f>+H390/AD390*100</f>
        <v>120.38886735215036</v>
      </c>
      <c r="AG390" s="310"/>
      <c r="AH390" s="114"/>
      <c r="AI390" s="1132">
        <f>+S390</f>
        <v>11.2</v>
      </c>
      <c r="AJ390" s="114"/>
      <c r="AK390" s="1106">
        <f>AI390/(AB390/1000)</f>
        <v>41.947565543071157</v>
      </c>
      <c r="AL390" s="114"/>
      <c r="AM390" s="1126" t="s">
        <v>444</v>
      </c>
      <c r="AN390" s="246"/>
      <c r="AO390" s="246"/>
      <c r="AP390" s="246"/>
      <c r="AQ390" s="246"/>
      <c r="AR390" s="246"/>
      <c r="AS390" s="1231">
        <v>0</v>
      </c>
      <c r="AT390" s="1231"/>
      <c r="AU390" s="114"/>
      <c r="AV390" s="1284">
        <v>0</v>
      </c>
      <c r="AW390" s="114"/>
      <c r="AX390" s="310"/>
      <c r="AY390" s="1102">
        <v>11.2</v>
      </c>
      <c r="AZ390" s="246"/>
      <c r="BA390" s="114"/>
      <c r="BC390" s="114"/>
      <c r="BD390" s="114"/>
      <c r="BE390" s="114"/>
      <c r="BF390" s="114"/>
      <c r="BG390" s="114"/>
      <c r="BH390" s="114"/>
      <c r="BI390" s="114"/>
      <c r="BJ390" s="114"/>
      <c r="BK390" s="114"/>
      <c r="BL390" s="114"/>
      <c r="BM390" s="114"/>
      <c r="BN390" s="114"/>
      <c r="BO390" s="114"/>
      <c r="BP390" s="114"/>
      <c r="BQ390" s="114"/>
      <c r="BR390" s="114"/>
      <c r="BS390" s="114"/>
      <c r="BT390" s="114"/>
      <c r="BU390" s="114"/>
      <c r="BV390" s="114"/>
      <c r="BW390" s="114"/>
      <c r="BX390" s="114"/>
      <c r="BY390" s="114"/>
      <c r="BZ390" s="114"/>
      <c r="CA390" s="114"/>
      <c r="CB390" s="114"/>
      <c r="CC390" s="114"/>
      <c r="CD390" s="114"/>
      <c r="CE390" s="114"/>
      <c r="CF390" s="114"/>
      <c r="CG390" s="114"/>
    </row>
    <row r="391" spans="1:85" ht="12.75" hidden="1" customHeight="1" outlineLevel="1">
      <c r="A391" s="114" t="s">
        <v>117</v>
      </c>
      <c r="B391" s="245" t="s">
        <v>99</v>
      </c>
      <c r="C391" s="114"/>
      <c r="D391" s="1123">
        <f>F391+H391</f>
        <v>-24.61538461538462</v>
      </c>
      <c r="E391" s="114"/>
      <c r="F391" s="1123">
        <v>-30</v>
      </c>
      <c r="G391" s="114"/>
      <c r="H391" s="1144">
        <f>N391*P391/100</f>
        <v>5.3846153846153815</v>
      </c>
      <c r="I391" s="114"/>
      <c r="J391" s="1047">
        <v>27</v>
      </c>
      <c r="K391" s="1057"/>
      <c r="L391" s="1122">
        <f>AVERAGE(J391,J390)</f>
        <v>28</v>
      </c>
      <c r="M391" s="114"/>
      <c r="N391" s="1144">
        <f>(L391/L384-1)*100</f>
        <v>7.6923076923076872</v>
      </c>
      <c r="O391" s="246"/>
      <c r="P391" s="1101">
        <v>70</v>
      </c>
      <c r="Q391" s="310"/>
      <c r="R391" s="114"/>
      <c r="S391" s="1089">
        <f>S384*(1+D391/100)</f>
        <v>10.201799999999999</v>
      </c>
      <c r="T391" s="114"/>
      <c r="U391" s="1089">
        <f>S391/L391</f>
        <v>0.36434999999999995</v>
      </c>
      <c r="V391" s="114"/>
      <c r="W391" s="1144">
        <f>(U391/U384-1)*100</f>
        <v>-30.000000000000004</v>
      </c>
      <c r="X391" s="246"/>
      <c r="Y391" s="114"/>
      <c r="Z391" s="1047">
        <v>256</v>
      </c>
      <c r="AA391" s="1057"/>
      <c r="AB391" s="1127">
        <f>AVERAGE(Z391,Z390)</f>
        <v>261.5</v>
      </c>
      <c r="AC391" s="114"/>
      <c r="AD391" s="1144">
        <f>(AB391/AB384-1)*100</f>
        <v>6.3008130081300795</v>
      </c>
      <c r="AE391" s="246"/>
      <c r="AF391" s="1144">
        <f>+H391/AD391*100</f>
        <v>85.459057071960274</v>
      </c>
      <c r="AG391" s="310"/>
      <c r="AH391" s="114"/>
      <c r="AI391" s="1132">
        <f>+S391</f>
        <v>10.201799999999999</v>
      </c>
      <c r="AJ391" s="114"/>
      <c r="AK391" s="1106">
        <f>AI391/(AB391/1000)</f>
        <v>39.012619502868063</v>
      </c>
      <c r="AL391" s="114"/>
      <c r="AM391" s="1126" t="s">
        <v>444</v>
      </c>
      <c r="AN391" s="246"/>
      <c r="AO391" s="246"/>
      <c r="AP391" s="246"/>
      <c r="AQ391" s="246"/>
      <c r="AR391" s="246"/>
      <c r="AS391" s="1231">
        <v>0</v>
      </c>
      <c r="AT391" s="1231"/>
      <c r="AU391" s="114"/>
      <c r="AV391" s="1284">
        <v>0</v>
      </c>
      <c r="AW391" s="114"/>
      <c r="AX391" s="310"/>
      <c r="AY391" s="1089">
        <f>AI391+AS391</f>
        <v>10.201799999999999</v>
      </c>
      <c r="AZ391" s="246"/>
      <c r="BA391" s="114"/>
      <c r="BC391" s="114"/>
      <c r="BD391" s="114"/>
      <c r="BE391" s="114"/>
      <c r="BF391" s="114"/>
      <c r="BG391" s="114"/>
      <c r="BH391" s="114"/>
      <c r="BI391" s="114"/>
      <c r="BJ391" s="114"/>
      <c r="BK391" s="114"/>
      <c r="BL391" s="114"/>
      <c r="BM391" s="114"/>
      <c r="BN391" s="114"/>
      <c r="BO391" s="114"/>
      <c r="BP391" s="114"/>
      <c r="BQ391" s="114"/>
      <c r="BR391" s="114"/>
      <c r="BS391" s="114"/>
      <c r="BT391" s="114"/>
      <c r="BU391" s="114"/>
      <c r="BV391" s="114"/>
      <c r="BW391" s="114"/>
      <c r="BX391" s="114"/>
      <c r="BY391" s="114"/>
      <c r="BZ391" s="114"/>
      <c r="CA391" s="114"/>
      <c r="CB391" s="114"/>
      <c r="CC391" s="114"/>
      <c r="CD391" s="114"/>
      <c r="CE391" s="114"/>
      <c r="CF391" s="114"/>
      <c r="CG391" s="114"/>
    </row>
    <row r="392" spans="1:85" ht="12.75" hidden="1" customHeight="1" outlineLevel="1">
      <c r="A392" s="114" t="s">
        <v>118</v>
      </c>
      <c r="B392" s="245" t="s">
        <v>100</v>
      </c>
      <c r="C392" s="114"/>
      <c r="D392" s="1107">
        <f>F392+H392</f>
        <v>-23.813818181818178</v>
      </c>
      <c r="E392" s="114"/>
      <c r="F392" s="1104">
        <v>-13.631999999999998</v>
      </c>
      <c r="G392" s="114"/>
      <c r="H392" s="1104">
        <f>N392*P392/100</f>
        <v>-10.181818181818182</v>
      </c>
      <c r="I392" s="114"/>
      <c r="J392" s="1063">
        <f>squft!$CA$42</f>
        <v>0</v>
      </c>
      <c r="K392" s="1057"/>
      <c r="L392" s="1108">
        <f>AVERAGE(J392,J391)</f>
        <v>13.5</v>
      </c>
      <c r="M392" s="114"/>
      <c r="N392" s="1104">
        <f>(L392/L385-1)*100</f>
        <v>-50.909090909090907</v>
      </c>
      <c r="O392" s="246"/>
      <c r="P392" s="1137">
        <v>20</v>
      </c>
      <c r="Q392" s="310"/>
      <c r="R392" s="114"/>
      <c r="S392" s="1092">
        <f>S385*(1+D392/100)</f>
        <v>13.027837090909092</v>
      </c>
      <c r="T392" s="114"/>
      <c r="U392" s="1092">
        <f>S392/L392</f>
        <v>0.96502496969696971</v>
      </c>
      <c r="V392" s="114"/>
      <c r="W392" s="1104">
        <f>(U392/U385-1)*100</f>
        <v>55.194074074074081</v>
      </c>
      <c r="X392" s="246"/>
      <c r="Y392" s="114"/>
      <c r="Z392" s="1063">
        <f>squft!$CC$42</f>
        <v>0.31999999999999318</v>
      </c>
      <c r="AA392" s="1057"/>
      <c r="AB392" s="1110">
        <f>AVERAGE(Z392,Z391)</f>
        <v>128.16</v>
      </c>
      <c r="AC392" s="114"/>
      <c r="AD392" s="1104">
        <f>(AB392/AB385-1)*100</f>
        <v>-50.364058869093718</v>
      </c>
      <c r="AE392" s="246"/>
      <c r="AF392" s="1104">
        <f>+H392/AD392*100</f>
        <v>20.216436900534106</v>
      </c>
      <c r="AG392" s="310"/>
      <c r="AH392" s="114"/>
      <c r="AI392" s="1111">
        <f>+S392</f>
        <v>13.027837090909092</v>
      </c>
      <c r="AJ392" s="114"/>
      <c r="AK392" s="1135">
        <f>AI392/(AB392/1000)</f>
        <v>101.65291113381002</v>
      </c>
      <c r="AL392" s="114"/>
      <c r="AM392" s="1134">
        <f>(AK392/AK385-1)*100</f>
        <v>53.489951197366906</v>
      </c>
      <c r="AN392" s="246"/>
      <c r="AO392" s="246"/>
      <c r="AP392" s="246"/>
      <c r="AQ392" s="246"/>
      <c r="AR392" s="246"/>
      <c r="AS392" s="1280">
        <v>0</v>
      </c>
      <c r="AT392" s="1280"/>
      <c r="AU392" s="1042"/>
      <c r="AV392" s="1285">
        <v>0</v>
      </c>
      <c r="AW392" s="114"/>
      <c r="AX392" s="310"/>
      <c r="AY392" s="1092">
        <f>AI392+AS392</f>
        <v>13.027837090909092</v>
      </c>
      <c r="AZ392" s="246"/>
      <c r="BA392" s="114"/>
      <c r="BC392" s="114"/>
      <c r="BD392" s="114"/>
      <c r="BE392" s="114"/>
      <c r="BF392" s="114"/>
      <c r="BG392" s="114"/>
      <c r="BH392" s="114"/>
      <c r="BI392" s="114"/>
      <c r="BJ392" s="114"/>
      <c r="BK392" s="114"/>
      <c r="BL392" s="114"/>
      <c r="BM392" s="114"/>
      <c r="BN392" s="114"/>
      <c r="BO392" s="114"/>
      <c r="BP392" s="114"/>
      <c r="BQ392" s="114"/>
      <c r="BR392" s="114"/>
      <c r="BS392" s="114"/>
      <c r="BT392" s="114"/>
      <c r="BU392" s="114"/>
      <c r="BV392" s="114"/>
      <c r="BW392" s="114"/>
      <c r="BX392" s="114"/>
      <c r="BY392" s="114"/>
      <c r="BZ392" s="114"/>
      <c r="CA392" s="114"/>
      <c r="CB392" s="114"/>
      <c r="CC392" s="114"/>
      <c r="CD392" s="114"/>
      <c r="CE392" s="114"/>
      <c r="CF392" s="114"/>
      <c r="CG392" s="114"/>
    </row>
    <row r="393" spans="1:85" ht="12.75" hidden="1" customHeight="1" outlineLevel="1">
      <c r="A393" s="114"/>
      <c r="B393" s="245" t="s">
        <v>119</v>
      </c>
      <c r="C393" s="114"/>
      <c r="D393" s="1123">
        <f>(S393/S386-1)*100</f>
        <v>-20.193621328914091</v>
      </c>
      <c r="E393" s="114"/>
      <c r="F393" s="1139">
        <f>S389/S393*F389+S390/S393*F390+S391/S393*F391+S392/S393*F392</f>
        <v>-26.421125667855666</v>
      </c>
      <c r="G393" s="114"/>
      <c r="H393" s="1126">
        <f>D393-F393</f>
        <v>6.227504338941575</v>
      </c>
      <c r="I393" s="114"/>
      <c r="J393" s="114"/>
      <c r="K393" s="114"/>
      <c r="L393" s="1122">
        <f>AVERAGE(L389:L392)</f>
        <v>24.75</v>
      </c>
      <c r="M393" s="114"/>
      <c r="N393" s="1144">
        <f>(L393/L386-1)*100</f>
        <v>-1.0000000000000009</v>
      </c>
      <c r="O393" s="246"/>
      <c r="P393" s="1049">
        <f>H393/N393*100</f>
        <v>-622.75043389415691</v>
      </c>
      <c r="Q393" s="310"/>
      <c r="R393" s="114"/>
      <c r="S393" s="1095">
        <f>SUM(S389:S392)</f>
        <v>44.829637090909088</v>
      </c>
      <c r="T393" s="114"/>
      <c r="U393" s="1095">
        <f>SUM(U389:U392)</f>
        <v>2.0804941469504481</v>
      </c>
      <c r="V393" s="114"/>
      <c r="W393" s="1144">
        <f>(U393/U386-1)*100</f>
        <v>-7.2327924145084381</v>
      </c>
      <c r="X393" s="246"/>
      <c r="Y393" s="114"/>
      <c r="Z393" s="114"/>
      <c r="AA393" s="114"/>
      <c r="AB393" s="1127">
        <f>AVERAGE(AB389:AB392)</f>
        <v>230.34</v>
      </c>
      <c r="AC393" s="114"/>
      <c r="AD393" s="1144">
        <f>Z392/Z385-1</f>
        <v>-0.99878048780487805</v>
      </c>
      <c r="AE393" s="246"/>
      <c r="AF393" s="1144" t="s">
        <v>444</v>
      </c>
      <c r="AG393" s="310"/>
      <c r="AH393" s="114"/>
      <c r="AI393" s="1129">
        <f>SUM(AI389:AI392)</f>
        <v>44.829637090909088</v>
      </c>
      <c r="AJ393" s="114"/>
      <c r="AK393" s="1097">
        <f>SUM(AK389:AK392)</f>
        <v>221.90285817446022</v>
      </c>
      <c r="AL393" s="114"/>
      <c r="AM393" s="1126">
        <f>(AK393/AK386-1)*100</f>
        <v>-6.6876641232377914</v>
      </c>
      <c r="AN393" s="246"/>
      <c r="AO393" s="246"/>
      <c r="AP393" s="246"/>
      <c r="AQ393" s="246"/>
      <c r="AR393" s="246"/>
      <c r="AS393" s="1231">
        <v>0</v>
      </c>
      <c r="AT393" s="1231"/>
      <c r="AU393" s="114"/>
      <c r="AV393" s="1284">
        <v>0</v>
      </c>
      <c r="AW393" s="114"/>
      <c r="AX393" s="310"/>
      <c r="AY393" s="1142">
        <f>SUM(AY389:AY392)</f>
        <v>44.829637090909088</v>
      </c>
      <c r="AZ393" s="246"/>
      <c r="BA393" s="114"/>
      <c r="BC393" s="114"/>
      <c r="BD393" s="114"/>
      <c r="BE393" s="114"/>
      <c r="BF393" s="114"/>
      <c r="BG393" s="114"/>
      <c r="BH393" s="114"/>
      <c r="BI393" s="114"/>
      <c r="BJ393" s="114"/>
      <c r="BK393" s="114"/>
      <c r="BL393" s="114"/>
      <c r="BM393" s="114"/>
      <c r="BN393" s="114"/>
      <c r="BO393" s="114"/>
      <c r="BP393" s="114"/>
      <c r="BQ393" s="114"/>
      <c r="BR393" s="114"/>
      <c r="BS393" s="114"/>
      <c r="BT393" s="114"/>
      <c r="BU393" s="114"/>
      <c r="BV393" s="114"/>
      <c r="BW393" s="114"/>
      <c r="BX393" s="114"/>
      <c r="BY393" s="114"/>
      <c r="BZ393" s="114"/>
      <c r="CA393" s="114"/>
      <c r="CB393" s="114"/>
      <c r="CC393" s="114"/>
      <c r="CD393" s="114"/>
      <c r="CE393" s="114"/>
      <c r="CF393" s="114"/>
      <c r="CG393" s="114"/>
    </row>
    <row r="394" spans="1:85" ht="12.75" hidden="1" customHeight="1" outlineLevel="1">
      <c r="A394" s="114"/>
      <c r="B394" s="245"/>
      <c r="C394" s="114"/>
      <c r="D394" s="1123"/>
      <c r="E394" s="114"/>
      <c r="F394" s="1139"/>
      <c r="G394" s="114"/>
      <c r="H394" s="1126"/>
      <c r="I394" s="114"/>
      <c r="J394" s="114"/>
      <c r="K394" s="114"/>
      <c r="L394" s="1122"/>
      <c r="M394" s="114"/>
      <c r="N394" s="1144"/>
      <c r="O394" s="246"/>
      <c r="P394" s="1049"/>
      <c r="Q394" s="310"/>
      <c r="R394" s="114"/>
      <c r="S394" s="1103"/>
      <c r="T394" s="114"/>
      <c r="U394" s="1095"/>
      <c r="V394" s="114"/>
      <c r="W394" s="1144"/>
      <c r="X394" s="246"/>
      <c r="Y394" s="114"/>
      <c r="Z394" s="114"/>
      <c r="AA394" s="114"/>
      <c r="AB394" s="1127"/>
      <c r="AC394" s="114"/>
      <c r="AD394" s="1144"/>
      <c r="AE394" s="246"/>
      <c r="AF394" s="1144"/>
      <c r="AG394" s="310"/>
      <c r="AH394" s="114"/>
      <c r="AI394" s="1129"/>
      <c r="AJ394" s="114"/>
      <c r="AK394" s="1097"/>
      <c r="AL394" s="114"/>
      <c r="AM394" s="1126"/>
      <c r="AN394" s="246"/>
      <c r="AO394" s="246"/>
      <c r="AP394" s="246"/>
      <c r="AQ394" s="246"/>
      <c r="AR394" s="246"/>
      <c r="AS394" s="1231"/>
      <c r="AT394" s="1231"/>
      <c r="AU394" s="114"/>
      <c r="AV394" s="1284"/>
      <c r="AW394" s="114"/>
      <c r="AX394" s="310"/>
      <c r="AY394" s="1142"/>
      <c r="AZ394" s="246"/>
      <c r="BA394" s="114"/>
      <c r="BC394" s="114"/>
      <c r="BD394" s="114"/>
      <c r="BE394" s="114"/>
      <c r="BF394" s="114"/>
      <c r="BG394" s="114"/>
      <c r="BH394" s="114"/>
      <c r="BI394" s="114"/>
      <c r="BJ394" s="114"/>
      <c r="BK394" s="114"/>
      <c r="BL394" s="114"/>
      <c r="BM394" s="114"/>
      <c r="BN394" s="114"/>
      <c r="BO394" s="114"/>
      <c r="BP394" s="114"/>
      <c r="BQ394" s="114"/>
      <c r="BR394" s="114"/>
      <c r="BS394" s="114"/>
      <c r="BT394" s="114"/>
      <c r="BU394" s="114"/>
      <c r="BV394" s="114"/>
      <c r="BW394" s="114"/>
      <c r="BX394" s="114"/>
      <c r="BY394" s="114"/>
      <c r="BZ394" s="114"/>
      <c r="CA394" s="114"/>
      <c r="CB394" s="114"/>
      <c r="CC394" s="114"/>
      <c r="CD394" s="114"/>
      <c r="CE394" s="114"/>
      <c r="CF394" s="114"/>
      <c r="CG394" s="114"/>
    </row>
    <row r="395" spans="1:85" ht="12.75" hidden="1" customHeight="1" outlineLevel="1">
      <c r="A395" s="114"/>
      <c r="B395" s="245"/>
      <c r="C395" s="114"/>
      <c r="D395" s="1123"/>
      <c r="E395" s="114"/>
      <c r="F395" s="1139"/>
      <c r="G395" s="114"/>
      <c r="H395" s="1126"/>
      <c r="I395" s="114"/>
      <c r="J395" s="114"/>
      <c r="K395" s="114"/>
      <c r="L395" s="1122"/>
      <c r="M395" s="114"/>
      <c r="N395" s="1144"/>
      <c r="O395" s="246"/>
      <c r="P395" s="1049"/>
      <c r="Q395" s="310"/>
      <c r="R395" s="114"/>
      <c r="S395" s="1103"/>
      <c r="T395" s="114"/>
      <c r="U395" s="1095"/>
      <c r="V395" s="114"/>
      <c r="W395" s="1144"/>
      <c r="X395" s="246"/>
      <c r="Y395" s="114"/>
      <c r="Z395" s="114"/>
      <c r="AA395" s="114"/>
      <c r="AB395" s="1127"/>
      <c r="AC395" s="114"/>
      <c r="AD395" s="1144"/>
      <c r="AE395" s="246"/>
      <c r="AF395" s="1144"/>
      <c r="AG395" s="310"/>
      <c r="AH395" s="114"/>
      <c r="AI395" s="1129"/>
      <c r="AJ395" s="114"/>
      <c r="AK395" s="1097"/>
      <c r="AL395" s="114"/>
      <c r="AM395" s="1126"/>
      <c r="AN395" s="246"/>
      <c r="AO395" s="246"/>
      <c r="AP395" s="246"/>
      <c r="AQ395" s="246"/>
      <c r="AR395" s="246"/>
      <c r="AS395" s="1231"/>
      <c r="AT395" s="1231"/>
      <c r="AU395" s="114"/>
      <c r="AV395" s="1284"/>
      <c r="AW395" s="114"/>
      <c r="AX395" s="310"/>
      <c r="AY395" s="1142"/>
      <c r="AZ395" s="246"/>
      <c r="BA395" s="114"/>
      <c r="BC395" s="114"/>
      <c r="BD395" s="114"/>
      <c r="BE395" s="114"/>
      <c r="BF395" s="114"/>
      <c r="BG395" s="114"/>
      <c r="BH395" s="114"/>
      <c r="BI395" s="114"/>
      <c r="BJ395" s="114"/>
      <c r="BK395" s="114"/>
      <c r="BL395" s="114"/>
      <c r="BM395" s="114"/>
      <c r="BN395" s="114"/>
      <c r="BO395" s="114"/>
      <c r="BP395" s="114"/>
      <c r="BQ395" s="114"/>
      <c r="BR395" s="114"/>
      <c r="BS395" s="114"/>
      <c r="BT395" s="114"/>
      <c r="BU395" s="114"/>
      <c r="BV395" s="114"/>
      <c r="BW395" s="114"/>
      <c r="BX395" s="114"/>
      <c r="BY395" s="114"/>
      <c r="BZ395" s="114"/>
      <c r="CA395" s="114"/>
      <c r="CB395" s="114"/>
      <c r="CC395" s="114"/>
      <c r="CD395" s="114"/>
      <c r="CE395" s="114"/>
      <c r="CF395" s="114"/>
      <c r="CG395" s="114"/>
    </row>
    <row r="396" spans="1:85" ht="12.75" hidden="1" customHeight="1" outlineLevel="1">
      <c r="A396" s="114"/>
      <c r="B396" s="245"/>
      <c r="C396" s="114"/>
      <c r="D396" s="1123"/>
      <c r="E396" s="114"/>
      <c r="F396" s="1139"/>
      <c r="G396" s="114"/>
      <c r="H396" s="1126"/>
      <c r="I396" s="114"/>
      <c r="J396" s="114"/>
      <c r="K396" s="114"/>
      <c r="L396" s="1122"/>
      <c r="M396" s="114"/>
      <c r="N396" s="1144"/>
      <c r="O396" s="246"/>
      <c r="P396" s="1049"/>
      <c r="Q396" s="310"/>
      <c r="R396" s="114"/>
      <c r="S396" s="1103"/>
      <c r="T396" s="114"/>
      <c r="U396" s="1095"/>
      <c r="V396" s="114"/>
      <c r="W396" s="1144"/>
      <c r="X396" s="246"/>
      <c r="Y396" s="114"/>
      <c r="Z396" s="114"/>
      <c r="AA396" s="114"/>
      <c r="AB396" s="1127"/>
      <c r="AC396" s="114"/>
      <c r="AD396" s="1144"/>
      <c r="AE396" s="246"/>
      <c r="AF396" s="1144"/>
      <c r="AG396" s="310"/>
      <c r="AH396" s="114"/>
      <c r="AI396" s="1129"/>
      <c r="AJ396" s="114"/>
      <c r="AK396" s="1097"/>
      <c r="AL396" s="114"/>
      <c r="AM396" s="1126"/>
      <c r="AN396" s="246"/>
      <c r="AO396" s="246"/>
      <c r="AP396" s="246"/>
      <c r="AQ396" s="246"/>
      <c r="AR396" s="246"/>
      <c r="AS396" s="1231"/>
      <c r="AT396" s="1231"/>
      <c r="AU396" s="114"/>
      <c r="AV396" s="1284"/>
      <c r="AW396" s="114"/>
      <c r="AX396" s="310"/>
      <c r="AY396" s="1142"/>
      <c r="AZ396" s="246"/>
      <c r="BA396" s="114"/>
      <c r="BC396" s="114"/>
      <c r="BD396" s="114"/>
      <c r="BE396" s="114"/>
      <c r="BF396" s="114"/>
      <c r="BG396" s="114"/>
      <c r="BH396" s="114"/>
      <c r="BI396" s="114"/>
      <c r="BJ396" s="114"/>
      <c r="BK396" s="114"/>
      <c r="BL396" s="114"/>
      <c r="BM396" s="114"/>
      <c r="BN396" s="114"/>
      <c r="BO396" s="114"/>
      <c r="BP396" s="114"/>
      <c r="BQ396" s="114"/>
      <c r="BR396" s="114"/>
      <c r="BS396" s="114"/>
      <c r="BT396" s="114"/>
      <c r="BU396" s="114"/>
      <c r="BV396" s="114"/>
      <c r="BW396" s="114"/>
      <c r="BX396" s="114"/>
      <c r="BY396" s="114"/>
      <c r="BZ396" s="114"/>
      <c r="CA396" s="114"/>
      <c r="CB396" s="114"/>
      <c r="CC396" s="114"/>
      <c r="CD396" s="114"/>
      <c r="CE396" s="114"/>
      <c r="CF396" s="114"/>
      <c r="CG396" s="114"/>
    </row>
    <row r="397" spans="1:85" ht="12.75" hidden="1" customHeight="1" outlineLevel="1">
      <c r="A397" s="114"/>
      <c r="B397" s="245"/>
      <c r="C397" s="114"/>
      <c r="D397" s="1123"/>
      <c r="E397" s="114"/>
      <c r="F397" s="1139"/>
      <c r="G397" s="114"/>
      <c r="H397" s="1126"/>
      <c r="I397" s="114"/>
      <c r="J397" s="114"/>
      <c r="K397" s="114"/>
      <c r="L397" s="1122"/>
      <c r="M397" s="114"/>
      <c r="N397" s="1144"/>
      <c r="O397" s="246"/>
      <c r="P397" s="1049"/>
      <c r="Q397" s="310"/>
      <c r="R397" s="114"/>
      <c r="S397" s="1103"/>
      <c r="T397" s="114"/>
      <c r="U397" s="1095"/>
      <c r="V397" s="114"/>
      <c r="W397" s="1144"/>
      <c r="X397" s="246"/>
      <c r="Y397" s="114"/>
      <c r="Z397" s="114"/>
      <c r="AA397" s="114"/>
      <c r="AB397" s="1127"/>
      <c r="AC397" s="114"/>
      <c r="AD397" s="1144"/>
      <c r="AE397" s="246"/>
      <c r="AF397" s="1144"/>
      <c r="AG397" s="310"/>
      <c r="AH397" s="114"/>
      <c r="AI397" s="1129"/>
      <c r="AJ397" s="114"/>
      <c r="AK397" s="1097"/>
      <c r="AL397" s="114"/>
      <c r="AM397" s="1126"/>
      <c r="AN397" s="246"/>
      <c r="AO397" s="246"/>
      <c r="AP397" s="246"/>
      <c r="AQ397" s="246"/>
      <c r="AR397" s="246"/>
      <c r="AS397" s="1231"/>
      <c r="AT397" s="1231"/>
      <c r="AU397" s="114"/>
      <c r="AV397" s="1284"/>
      <c r="AW397" s="114"/>
      <c r="AX397" s="310"/>
      <c r="AY397" s="1142"/>
      <c r="AZ397" s="246"/>
      <c r="BA397" s="114"/>
      <c r="BC397" s="114"/>
      <c r="BD397" s="114"/>
      <c r="BE397" s="114"/>
      <c r="BF397" s="114"/>
      <c r="BG397" s="114"/>
      <c r="BH397" s="114"/>
      <c r="BI397" s="114"/>
      <c r="BJ397" s="114"/>
      <c r="BK397" s="114"/>
      <c r="BL397" s="114"/>
      <c r="BM397" s="114"/>
      <c r="BN397" s="114"/>
      <c r="BO397" s="114"/>
      <c r="BP397" s="114"/>
      <c r="BQ397" s="114"/>
      <c r="BR397" s="114"/>
      <c r="BS397" s="114"/>
      <c r="BT397" s="114"/>
      <c r="BU397" s="114"/>
      <c r="BV397" s="114"/>
      <c r="BW397" s="114"/>
      <c r="BX397" s="114"/>
      <c r="BY397" s="114"/>
      <c r="BZ397" s="114"/>
      <c r="CA397" s="114"/>
      <c r="CB397" s="114"/>
      <c r="CC397" s="114"/>
      <c r="CD397" s="114"/>
      <c r="CE397" s="114"/>
      <c r="CF397" s="114"/>
      <c r="CG397" s="114"/>
    </row>
    <row r="398" spans="1:85" ht="12.75" hidden="1" customHeight="1" outlineLevel="1">
      <c r="A398" s="114"/>
      <c r="B398" s="245"/>
      <c r="C398" s="114"/>
      <c r="D398" s="1123"/>
      <c r="E398" s="114"/>
      <c r="F398" s="1139"/>
      <c r="G398" s="114"/>
      <c r="H398" s="1126"/>
      <c r="I398" s="114"/>
      <c r="J398" s="114"/>
      <c r="K398" s="114"/>
      <c r="L398" s="1122"/>
      <c r="M398" s="114"/>
      <c r="N398" s="1144"/>
      <c r="O398" s="246"/>
      <c r="P398" s="1049"/>
      <c r="Q398" s="310"/>
      <c r="R398" s="114"/>
      <c r="S398" s="1103"/>
      <c r="T398" s="114"/>
      <c r="U398" s="1095"/>
      <c r="V398" s="114"/>
      <c r="W398" s="1144"/>
      <c r="X398" s="246"/>
      <c r="Y398" s="114"/>
      <c r="Z398" s="114"/>
      <c r="AA398" s="114"/>
      <c r="AB398" s="1127"/>
      <c r="AC398" s="114"/>
      <c r="AD398" s="1144"/>
      <c r="AE398" s="246"/>
      <c r="AF398" s="1144"/>
      <c r="AG398" s="310"/>
      <c r="AH398" s="114"/>
      <c r="AI398" s="1129"/>
      <c r="AJ398" s="114"/>
      <c r="AK398" s="1097"/>
      <c r="AL398" s="114"/>
      <c r="AM398" s="1126"/>
      <c r="AN398" s="246"/>
      <c r="AO398" s="246"/>
      <c r="AP398" s="246"/>
      <c r="AQ398" s="246"/>
      <c r="AR398" s="246"/>
      <c r="AS398" s="1231"/>
      <c r="AT398" s="1231"/>
      <c r="AU398" s="114"/>
      <c r="AV398" s="1284"/>
      <c r="AW398" s="114"/>
      <c r="AX398" s="310"/>
      <c r="AY398" s="1142"/>
      <c r="AZ398" s="246"/>
      <c r="BA398" s="114"/>
      <c r="BC398" s="114"/>
      <c r="BD398" s="114"/>
      <c r="BE398" s="114"/>
      <c r="BF398" s="114"/>
      <c r="BG398" s="114"/>
      <c r="BH398" s="114"/>
      <c r="BI398" s="114"/>
      <c r="BJ398" s="114"/>
      <c r="BK398" s="114"/>
      <c r="BL398" s="114"/>
      <c r="BM398" s="114"/>
      <c r="BN398" s="114"/>
      <c r="BO398" s="114"/>
      <c r="BP398" s="114"/>
      <c r="BQ398" s="114"/>
      <c r="BR398" s="114"/>
      <c r="BS398" s="114"/>
      <c r="BT398" s="114"/>
      <c r="BU398" s="114"/>
      <c r="BV398" s="114"/>
      <c r="BW398" s="114"/>
      <c r="BX398" s="114"/>
      <c r="BY398" s="114"/>
      <c r="BZ398" s="114"/>
      <c r="CA398" s="114"/>
      <c r="CB398" s="114"/>
      <c r="CC398" s="114"/>
      <c r="CD398" s="114"/>
      <c r="CE398" s="114"/>
      <c r="CF398" s="114"/>
      <c r="CG398" s="114"/>
    </row>
    <row r="399" spans="1:85" ht="12.75" hidden="1" customHeight="1" outlineLevel="1">
      <c r="A399" s="114"/>
      <c r="B399" s="245"/>
      <c r="C399" s="114"/>
      <c r="D399" s="1123"/>
      <c r="E399" s="114"/>
      <c r="F399" s="1139"/>
      <c r="G399" s="114"/>
      <c r="H399" s="1126"/>
      <c r="I399" s="114"/>
      <c r="J399" s="114"/>
      <c r="K399" s="114"/>
      <c r="L399" s="1122"/>
      <c r="M399" s="114"/>
      <c r="N399" s="1144"/>
      <c r="O399" s="246"/>
      <c r="P399" s="1049"/>
      <c r="Q399" s="310"/>
      <c r="R399" s="114"/>
      <c r="S399" s="1103"/>
      <c r="T399" s="114"/>
      <c r="U399" s="1095"/>
      <c r="V399" s="114"/>
      <c r="W399" s="1144"/>
      <c r="X399" s="246"/>
      <c r="Y399" s="114"/>
      <c r="Z399" s="114"/>
      <c r="AA399" s="114"/>
      <c r="AB399" s="1127"/>
      <c r="AC399" s="114"/>
      <c r="AD399" s="1144"/>
      <c r="AE399" s="246"/>
      <c r="AF399" s="1144"/>
      <c r="AG399" s="310"/>
      <c r="AH399" s="114"/>
      <c r="AI399" s="1129"/>
      <c r="AJ399" s="114"/>
      <c r="AK399" s="1097"/>
      <c r="AL399" s="114"/>
      <c r="AM399" s="1126"/>
      <c r="AN399" s="246"/>
      <c r="AO399" s="246"/>
      <c r="AP399" s="246"/>
      <c r="AQ399" s="246"/>
      <c r="AR399" s="246"/>
      <c r="AS399" s="1231"/>
      <c r="AT399" s="1231"/>
      <c r="AU399" s="114"/>
      <c r="AV399" s="1284"/>
      <c r="AW399" s="114"/>
      <c r="AX399" s="310"/>
      <c r="AY399" s="1142"/>
      <c r="AZ399" s="246"/>
      <c r="BA399" s="114"/>
      <c r="BC399" s="114"/>
      <c r="BD399" s="114"/>
      <c r="BE399" s="114"/>
      <c r="BF399" s="114"/>
      <c r="BG399" s="114"/>
      <c r="BH399" s="114"/>
      <c r="BI399" s="114"/>
      <c r="BJ399" s="114"/>
      <c r="BK399" s="114"/>
      <c r="BL399" s="114"/>
      <c r="BM399" s="114"/>
      <c r="BN399" s="114"/>
      <c r="BO399" s="114"/>
      <c r="BP399" s="114"/>
      <c r="BQ399" s="114"/>
      <c r="BR399" s="114"/>
      <c r="BS399" s="114"/>
      <c r="BT399" s="114"/>
      <c r="BU399" s="114"/>
      <c r="BV399" s="114"/>
      <c r="BW399" s="114"/>
      <c r="BX399" s="114"/>
      <c r="BY399" s="114"/>
      <c r="BZ399" s="114"/>
      <c r="CA399" s="114"/>
      <c r="CB399" s="114"/>
      <c r="CC399" s="114"/>
      <c r="CD399" s="114"/>
      <c r="CE399" s="114"/>
      <c r="CF399" s="114"/>
      <c r="CG399" s="114"/>
    </row>
    <row r="400" spans="1:85" ht="12.75" hidden="1" customHeight="1" outlineLevel="1">
      <c r="A400" s="114"/>
      <c r="B400" s="245"/>
      <c r="C400" s="114"/>
      <c r="D400" s="1123"/>
      <c r="E400" s="114"/>
      <c r="F400" s="1139"/>
      <c r="G400" s="114"/>
      <c r="H400" s="1126"/>
      <c r="I400" s="114"/>
      <c r="J400" s="114"/>
      <c r="K400" s="114"/>
      <c r="L400" s="1122"/>
      <c r="M400" s="114"/>
      <c r="N400" s="1144"/>
      <c r="O400" s="246"/>
      <c r="P400" s="1049"/>
      <c r="Q400" s="310"/>
      <c r="R400" s="114"/>
      <c r="S400" s="1103"/>
      <c r="T400" s="114"/>
      <c r="U400" s="1095"/>
      <c r="V400" s="114"/>
      <c r="W400" s="1144"/>
      <c r="X400" s="246"/>
      <c r="Y400" s="114"/>
      <c r="Z400" s="114"/>
      <c r="AA400" s="114"/>
      <c r="AB400" s="1127"/>
      <c r="AC400" s="114"/>
      <c r="AD400" s="1144"/>
      <c r="AE400" s="246"/>
      <c r="AF400" s="1144"/>
      <c r="AG400" s="310"/>
      <c r="AH400" s="114"/>
      <c r="AI400" s="1129"/>
      <c r="AJ400" s="114"/>
      <c r="AK400" s="1097"/>
      <c r="AL400" s="114"/>
      <c r="AM400" s="1126"/>
      <c r="AN400" s="246"/>
      <c r="AO400" s="246"/>
      <c r="AP400" s="246"/>
      <c r="AQ400" s="246"/>
      <c r="AR400" s="246"/>
      <c r="AS400" s="1231"/>
      <c r="AT400" s="1231"/>
      <c r="AU400" s="114"/>
      <c r="AV400" s="1284"/>
      <c r="AW400" s="114"/>
      <c r="AX400" s="310"/>
      <c r="AY400" s="1142"/>
      <c r="AZ400" s="246"/>
      <c r="BA400" s="114"/>
      <c r="BC400" s="114"/>
      <c r="BD400" s="114"/>
      <c r="BE400" s="114"/>
      <c r="BF400" s="114"/>
      <c r="BG400" s="114"/>
      <c r="BH400" s="114"/>
      <c r="BI400" s="114"/>
      <c r="BJ400" s="114"/>
      <c r="BK400" s="114"/>
      <c r="BL400" s="114"/>
      <c r="BM400" s="114"/>
      <c r="BN400" s="114"/>
      <c r="BO400" s="114"/>
      <c r="BP400" s="114"/>
      <c r="BQ400" s="114"/>
      <c r="BR400" s="114"/>
      <c r="BS400" s="114"/>
      <c r="BT400" s="114"/>
      <c r="BU400" s="114"/>
      <c r="BV400" s="114"/>
      <c r="BW400" s="114"/>
      <c r="BX400" s="114"/>
      <c r="BY400" s="114"/>
      <c r="BZ400" s="114"/>
      <c r="CA400" s="114"/>
      <c r="CB400" s="114"/>
      <c r="CC400" s="114"/>
      <c r="CD400" s="114"/>
      <c r="CE400" s="114"/>
      <c r="CF400" s="114"/>
      <c r="CG400" s="114"/>
    </row>
    <row r="401" spans="1:85" ht="12.75" hidden="1" customHeight="1" outlineLevel="1">
      <c r="A401" s="114"/>
      <c r="B401" s="245"/>
      <c r="C401" s="114"/>
      <c r="D401" s="1123"/>
      <c r="E401" s="114"/>
      <c r="F401" s="1139"/>
      <c r="G401" s="114"/>
      <c r="H401" s="1126"/>
      <c r="I401" s="114"/>
      <c r="J401" s="114"/>
      <c r="K401" s="114"/>
      <c r="L401" s="1122"/>
      <c r="M401" s="114"/>
      <c r="N401" s="1144"/>
      <c r="O401" s="246"/>
      <c r="P401" s="1049"/>
      <c r="Q401" s="310"/>
      <c r="R401" s="114"/>
      <c r="S401" s="1103"/>
      <c r="T401" s="114"/>
      <c r="U401" s="1095"/>
      <c r="V401" s="114"/>
      <c r="W401" s="1144"/>
      <c r="X401" s="246"/>
      <c r="Y401" s="114"/>
      <c r="Z401" s="114"/>
      <c r="AA401" s="114"/>
      <c r="AB401" s="1127"/>
      <c r="AC401" s="114"/>
      <c r="AD401" s="1144"/>
      <c r="AE401" s="246"/>
      <c r="AF401" s="1144"/>
      <c r="AG401" s="310"/>
      <c r="AH401" s="114"/>
      <c r="AI401" s="1129"/>
      <c r="AJ401" s="114"/>
      <c r="AK401" s="1097"/>
      <c r="AL401" s="114"/>
      <c r="AM401" s="1126"/>
      <c r="AN401" s="246"/>
      <c r="AO401" s="246"/>
      <c r="AP401" s="246"/>
      <c r="AQ401" s="246"/>
      <c r="AR401" s="246"/>
      <c r="AS401" s="1231"/>
      <c r="AT401" s="1231"/>
      <c r="AU401" s="114"/>
      <c r="AV401" s="1284"/>
      <c r="AW401" s="114"/>
      <c r="AX401" s="310"/>
      <c r="AY401" s="1142"/>
      <c r="AZ401" s="246"/>
      <c r="BA401" s="114"/>
      <c r="BC401" s="114"/>
      <c r="BD401" s="114"/>
      <c r="BE401" s="114"/>
      <c r="BF401" s="114"/>
      <c r="BG401" s="114"/>
      <c r="BH401" s="114"/>
      <c r="BI401" s="114"/>
      <c r="BJ401" s="114"/>
      <c r="BK401" s="114"/>
      <c r="BL401" s="114"/>
      <c r="BM401" s="114"/>
      <c r="BN401" s="114"/>
      <c r="BO401" s="114"/>
      <c r="BP401" s="114"/>
      <c r="BQ401" s="114"/>
      <c r="BR401" s="114"/>
      <c r="BS401" s="114"/>
      <c r="BT401" s="114"/>
      <c r="BU401" s="114"/>
      <c r="BV401" s="114"/>
      <c r="BW401" s="114"/>
      <c r="BX401" s="114"/>
      <c r="BY401" s="114"/>
      <c r="BZ401" s="114"/>
      <c r="CA401" s="114"/>
      <c r="CB401" s="114"/>
      <c r="CC401" s="114"/>
      <c r="CD401" s="114"/>
      <c r="CE401" s="114"/>
      <c r="CF401" s="114"/>
      <c r="CG401" s="114"/>
    </row>
    <row r="402" spans="1:85" ht="12.75" hidden="1" customHeight="1" outlineLevel="1">
      <c r="A402" s="22" t="s">
        <v>7</v>
      </c>
      <c r="B402" s="200"/>
      <c r="S402" s="86"/>
      <c r="AF402" s="201"/>
      <c r="AK402" s="86"/>
      <c r="AM402" s="86"/>
      <c r="AX402" s="97"/>
      <c r="AZ402" s="86"/>
    </row>
    <row r="403" spans="1:85" ht="12.75" hidden="1" customHeight="1" outlineLevel="1">
      <c r="A403" s="22" t="s">
        <v>400</v>
      </c>
      <c r="B403" s="200"/>
      <c r="S403" s="1286"/>
      <c r="AF403" s="201"/>
      <c r="AK403" s="86"/>
      <c r="AM403" s="86"/>
      <c r="AX403" s="97"/>
      <c r="AZ403" s="86"/>
    </row>
    <row r="404" spans="1:85" s="114" customFormat="1" collapsed="1">
      <c r="B404" s="245"/>
      <c r="D404" s="1123"/>
      <c r="F404" s="1139"/>
      <c r="H404" s="1126"/>
      <c r="L404" s="1122"/>
      <c r="N404" s="1123"/>
      <c r="O404" s="246"/>
      <c r="P404" s="1124"/>
      <c r="Q404" s="310"/>
      <c r="S404" s="1095"/>
      <c r="U404" s="1125"/>
      <c r="W404" s="1144"/>
      <c r="X404" s="246"/>
      <c r="AB404" s="1127"/>
      <c r="AD404" s="1103"/>
      <c r="AE404" s="246"/>
      <c r="AF404" s="1144"/>
      <c r="AG404" s="310"/>
      <c r="AI404" s="1129"/>
      <c r="AK404" s="1097"/>
      <c r="AM404" s="1126"/>
      <c r="AN404" s="246"/>
      <c r="AO404" s="246"/>
      <c r="AP404" s="246"/>
      <c r="AQ404" s="246"/>
      <c r="AR404" s="246"/>
      <c r="AS404" s="1100"/>
      <c r="AU404" s="1100"/>
      <c r="AV404" s="1124"/>
      <c r="AX404" s="310"/>
      <c r="AY404" s="1142"/>
      <c r="AZ404" s="1103"/>
      <c r="BB404" s="1129"/>
      <c r="BG404" s="1170"/>
      <c r="BH404" s="1170"/>
      <c r="BI404" s="1150"/>
    </row>
    <row r="405" spans="1:85" collapsed="1">
      <c r="A405" s="96"/>
      <c r="B405" s="987"/>
      <c r="C405" s="96"/>
      <c r="D405" s="96"/>
      <c r="E405" s="96"/>
      <c r="F405" s="96"/>
      <c r="G405" s="96"/>
      <c r="H405" s="96"/>
      <c r="I405" s="96"/>
      <c r="J405" s="96"/>
      <c r="K405" s="96"/>
      <c r="L405" s="96"/>
      <c r="M405" s="96"/>
      <c r="N405" s="96"/>
      <c r="O405" s="96"/>
      <c r="P405" s="96"/>
      <c r="Q405" s="96"/>
      <c r="R405" s="96"/>
      <c r="S405" s="2191"/>
      <c r="T405" s="2192"/>
      <c r="U405" s="2193"/>
      <c r="V405" s="2192"/>
      <c r="W405" s="2192"/>
      <c r="X405" s="96"/>
      <c r="Y405" s="96"/>
      <c r="Z405" s="96"/>
      <c r="AA405" s="96"/>
      <c r="AB405" s="96"/>
      <c r="AC405" s="96"/>
      <c r="AD405" s="96"/>
      <c r="AE405" s="96"/>
      <c r="AF405" s="1287"/>
      <c r="AG405" s="96"/>
      <c r="AH405" s="96"/>
      <c r="AI405" s="96"/>
      <c r="AJ405" s="96"/>
      <c r="AK405" s="373"/>
      <c r="AL405" s="96"/>
      <c r="AM405" s="373"/>
      <c r="AN405" s="96"/>
      <c r="AO405" s="96"/>
      <c r="AP405" s="96"/>
      <c r="AQ405" s="96"/>
      <c r="AR405" s="96"/>
      <c r="AS405" s="96"/>
      <c r="AT405" s="96"/>
      <c r="AU405" s="96"/>
      <c r="AV405" s="96"/>
      <c r="AW405" s="96"/>
      <c r="AX405" s="96"/>
      <c r="AY405" s="96"/>
      <c r="AZ405" s="373"/>
      <c r="BA405" s="96"/>
      <c r="BB405" s="1042"/>
      <c r="BC405" s="96"/>
      <c r="BD405" s="96"/>
      <c r="BE405" s="96"/>
      <c r="BF405" s="96"/>
      <c r="BG405" s="96"/>
      <c r="BH405" s="96"/>
      <c r="BI405" s="96"/>
      <c r="BJ405" s="96"/>
      <c r="BK405" s="96"/>
      <c r="BL405" s="96"/>
      <c r="BM405" s="96"/>
      <c r="BN405" s="96"/>
      <c r="BO405" s="96"/>
      <c r="BP405" s="96"/>
      <c r="BQ405" s="96"/>
      <c r="BR405" s="96"/>
      <c r="BS405" s="96"/>
      <c r="BT405" s="96"/>
      <c r="BU405" s="96"/>
      <c r="BV405" s="96"/>
      <c r="BW405" s="96"/>
      <c r="BX405" s="96"/>
      <c r="BY405" s="96"/>
      <c r="BZ405" s="96"/>
      <c r="CA405" s="96"/>
      <c r="CB405" s="96"/>
      <c r="CC405" s="96"/>
      <c r="CD405" s="96"/>
      <c r="CE405" s="96"/>
      <c r="CF405" s="96"/>
      <c r="CG405" s="96"/>
    </row>
    <row r="406" spans="1:85" hidden="1" outlineLevel="1">
      <c r="A406" s="332"/>
      <c r="B406" s="1018"/>
      <c r="C406" s="332"/>
      <c r="D406" s="332"/>
      <c r="E406" s="332"/>
      <c r="F406" s="332"/>
      <c r="G406" s="332"/>
      <c r="H406" s="332"/>
      <c r="I406" s="332"/>
      <c r="J406" s="332"/>
      <c r="K406" s="332"/>
      <c r="L406" s="332"/>
      <c r="M406" s="332"/>
      <c r="N406" s="332"/>
      <c r="O406" s="1037"/>
      <c r="P406" s="332"/>
      <c r="Q406" s="332"/>
      <c r="R406" s="332"/>
      <c r="S406" s="1037"/>
      <c r="T406" s="332"/>
      <c r="U406" s="332"/>
      <c r="V406" s="332"/>
      <c r="W406" s="332"/>
      <c r="X406" s="332"/>
      <c r="Y406" s="332"/>
      <c r="Z406" s="332"/>
      <c r="AA406" s="332"/>
      <c r="AB406" s="332"/>
      <c r="AC406" s="332"/>
      <c r="AD406" s="332"/>
      <c r="AE406" s="1037"/>
      <c r="AF406" s="1268"/>
      <c r="AG406" s="332"/>
      <c r="AH406" s="332"/>
      <c r="AI406" s="332"/>
      <c r="AJ406" s="332"/>
      <c r="AK406" s="1037"/>
      <c r="AL406" s="332"/>
      <c r="AM406" s="1037"/>
      <c r="AN406" s="332"/>
      <c r="AO406" s="332"/>
      <c r="AP406" s="332"/>
      <c r="AQ406" s="332"/>
      <c r="AR406" s="332"/>
      <c r="AS406" s="332"/>
      <c r="AT406" s="332"/>
      <c r="AU406" s="332"/>
      <c r="AV406" s="332"/>
      <c r="AW406" s="332"/>
      <c r="AX406" s="332"/>
      <c r="AY406" s="332"/>
      <c r="AZ406" s="1037"/>
      <c r="BA406" s="332"/>
      <c r="BB406" s="310"/>
      <c r="BC406" s="332"/>
      <c r="BD406" s="332"/>
      <c r="BE406" s="332"/>
      <c r="BF406" s="332"/>
      <c r="BG406" s="332"/>
      <c r="BH406" s="332"/>
      <c r="BI406" s="332"/>
      <c r="BJ406" s="332"/>
      <c r="BK406" s="332"/>
      <c r="BL406" s="332"/>
      <c r="BM406" s="332"/>
      <c r="BN406" s="332"/>
      <c r="BO406" s="332"/>
      <c r="BP406" s="332"/>
      <c r="BQ406" s="332"/>
      <c r="BR406" s="332"/>
      <c r="BS406" s="332"/>
      <c r="BT406" s="332"/>
      <c r="BU406" s="332"/>
      <c r="BV406" s="332"/>
      <c r="BW406" s="332"/>
      <c r="BX406" s="332"/>
      <c r="BY406" s="332"/>
      <c r="BZ406" s="332"/>
      <c r="CA406" s="332"/>
      <c r="CB406" s="332"/>
      <c r="CC406" s="332"/>
      <c r="CD406" s="332"/>
      <c r="CE406" s="332"/>
      <c r="CF406" s="332"/>
      <c r="CG406" s="332"/>
    </row>
    <row r="407" spans="1:85" hidden="1" outlineLevel="1">
      <c r="A407" s="1038" t="s">
        <v>432</v>
      </c>
      <c r="B407" s="1039"/>
      <c r="C407" s="1040"/>
      <c r="D407" s="1040"/>
      <c r="E407" s="1040"/>
      <c r="F407" s="1040"/>
      <c r="G407" s="1040"/>
      <c r="H407" s="1040"/>
      <c r="I407" s="1040"/>
      <c r="J407" s="1040"/>
      <c r="K407" s="1040"/>
      <c r="L407" s="1040"/>
      <c r="M407" s="1040"/>
      <c r="N407" s="1040"/>
      <c r="O407" s="1041"/>
      <c r="P407" s="1040"/>
      <c r="Q407" s="1040"/>
      <c r="R407" s="1040"/>
      <c r="S407" s="1180"/>
      <c r="T407" s="1040"/>
      <c r="U407" s="1040"/>
      <c r="V407" s="1040"/>
      <c r="W407" s="1040"/>
      <c r="X407" s="1040"/>
      <c r="Y407" s="1040"/>
      <c r="Z407" s="1181"/>
      <c r="AA407" s="1040"/>
      <c r="AB407" s="1040"/>
      <c r="AC407" s="1040"/>
      <c r="AD407" s="1040"/>
      <c r="AE407" s="1041"/>
      <c r="AF407" s="1269"/>
      <c r="AG407" s="1040"/>
      <c r="AH407" s="1040"/>
      <c r="AI407" s="1040"/>
      <c r="AJ407" s="1040"/>
      <c r="AK407" s="1041"/>
      <c r="AL407" s="1040"/>
      <c r="AM407" s="1041"/>
      <c r="AN407" s="1040"/>
      <c r="AO407" s="1040"/>
      <c r="AP407" s="1040"/>
      <c r="AQ407" s="1040"/>
      <c r="AR407" s="1040"/>
      <c r="AS407" s="1040"/>
      <c r="AT407" s="1040"/>
      <c r="AU407" s="1040"/>
      <c r="AV407" s="1040"/>
      <c r="AW407" s="1040"/>
      <c r="AX407" s="1040"/>
      <c r="AY407" s="1040"/>
      <c r="AZ407" s="1041"/>
      <c r="BA407" s="1040"/>
      <c r="BB407" s="1042"/>
      <c r="BC407" s="1040"/>
      <c r="BD407" s="1040"/>
      <c r="BE407" s="1040"/>
      <c r="BF407" s="1040"/>
      <c r="BG407" s="1040"/>
      <c r="BH407" s="1040"/>
      <c r="BI407" s="1040"/>
      <c r="BJ407" s="1040"/>
      <c r="BK407" s="1040"/>
      <c r="BL407" s="1040"/>
      <c r="BM407" s="1040"/>
      <c r="BN407" s="1040"/>
      <c r="BO407" s="1040"/>
      <c r="BP407" s="1040"/>
      <c r="BQ407" s="1040"/>
      <c r="BR407" s="1040"/>
      <c r="BS407" s="1040"/>
      <c r="BT407" s="1040"/>
      <c r="BU407" s="1040"/>
      <c r="BV407" s="1040"/>
      <c r="BW407" s="1040"/>
      <c r="BX407" s="1040"/>
      <c r="BY407" s="1040"/>
      <c r="BZ407" s="1040"/>
      <c r="CA407" s="1040"/>
      <c r="CB407" s="1040"/>
      <c r="CC407" s="1040"/>
      <c r="CD407" s="1040"/>
      <c r="CE407" s="1040"/>
      <c r="CF407" s="1040"/>
      <c r="CG407" s="1040"/>
    </row>
    <row r="408" spans="1:85" hidden="1" outlineLevel="1">
      <c r="B408" s="200"/>
      <c r="S408" s="86"/>
      <c r="AF408" s="201"/>
      <c r="AK408" s="86"/>
      <c r="AM408" s="86"/>
      <c r="AX408" s="97"/>
      <c r="AZ408" s="86"/>
    </row>
    <row r="409" spans="1:85" hidden="1" outlineLevel="1">
      <c r="A409" s="1120"/>
      <c r="B409" s="1113">
        <v>2008</v>
      </c>
      <c r="C409" s="114"/>
      <c r="D409" s="114"/>
      <c r="E409" s="246"/>
      <c r="F409" s="114"/>
      <c r="G409" s="246"/>
      <c r="H409" s="114"/>
      <c r="I409" s="246"/>
      <c r="J409" s="114"/>
      <c r="K409" s="114"/>
      <c r="L409" s="114"/>
      <c r="M409" s="114"/>
      <c r="N409" s="246"/>
      <c r="O409" s="246"/>
      <c r="P409" s="310"/>
      <c r="Q409" s="310"/>
      <c r="R409" s="114"/>
      <c r="S409" s="1103"/>
      <c r="T409" s="114"/>
      <c r="U409" s="246"/>
      <c r="V409" s="114"/>
      <c r="W409" s="246"/>
      <c r="X409" s="246"/>
      <c r="Y409" s="114"/>
      <c r="Z409" s="114"/>
      <c r="AA409" s="114"/>
      <c r="AB409" s="114"/>
      <c r="AC409" s="114"/>
      <c r="AD409" s="114"/>
      <c r="AE409" s="246"/>
      <c r="AF409" s="250"/>
      <c r="AG409" s="310"/>
      <c r="AH409" s="114"/>
      <c r="AI409" s="114"/>
      <c r="AJ409" s="114"/>
      <c r="AK409" s="246"/>
      <c r="AL409" s="114"/>
      <c r="AM409" s="246"/>
      <c r="AN409" s="246"/>
      <c r="AO409" s="246"/>
      <c r="AP409" s="246"/>
      <c r="AQ409" s="246"/>
      <c r="AR409" s="246"/>
      <c r="AS409" s="114"/>
      <c r="AT409" s="114"/>
      <c r="AU409" s="114"/>
      <c r="AV409" s="114"/>
      <c r="AW409" s="114"/>
      <c r="AX409" s="310"/>
      <c r="AY409" s="114"/>
      <c r="AZ409" s="246"/>
      <c r="BA409" s="114"/>
      <c r="BC409" s="114"/>
      <c r="BD409" s="114"/>
      <c r="BE409" s="114"/>
      <c r="BF409" s="114"/>
      <c r="BG409" s="114"/>
      <c r="BH409" s="114"/>
      <c r="BI409" s="114"/>
      <c r="BJ409" s="114"/>
      <c r="BK409" s="114"/>
      <c r="BL409" s="114"/>
      <c r="BM409" s="114"/>
      <c r="BN409" s="114"/>
      <c r="BO409" s="114"/>
      <c r="BP409" s="114"/>
      <c r="BQ409" s="114"/>
      <c r="BR409" s="114"/>
      <c r="BS409" s="114"/>
      <c r="BT409" s="114"/>
      <c r="BU409" s="114"/>
      <c r="BV409" s="114"/>
      <c r="BW409" s="114"/>
      <c r="BX409" s="114"/>
      <c r="BY409" s="114"/>
      <c r="BZ409" s="114"/>
      <c r="CA409" s="114"/>
      <c r="CB409" s="114"/>
      <c r="CC409" s="114"/>
      <c r="CD409" s="114"/>
      <c r="CE409" s="114"/>
      <c r="CF409" s="114"/>
      <c r="CG409" s="114"/>
    </row>
    <row r="410" spans="1:85" hidden="1" outlineLevel="1">
      <c r="A410" s="114" t="s">
        <v>115</v>
      </c>
      <c r="B410" s="245" t="s">
        <v>96</v>
      </c>
      <c r="C410" s="114"/>
      <c r="D410" s="1123"/>
      <c r="E410" s="246" t="s">
        <v>76</v>
      </c>
      <c r="F410" s="1288"/>
      <c r="G410" s="246" t="s">
        <v>76</v>
      </c>
      <c r="H410" s="1144"/>
      <c r="I410" s="246" t="s">
        <v>76</v>
      </c>
      <c r="J410" s="1047">
        <v>5</v>
      </c>
      <c r="K410" s="114"/>
      <c r="L410" s="1122">
        <f>AVERAGE(J410,J406)</f>
        <v>5</v>
      </c>
      <c r="M410" s="114"/>
      <c r="N410" s="1144"/>
      <c r="O410" s="246" t="s">
        <v>76</v>
      </c>
      <c r="P410" s="1289"/>
      <c r="Q410" s="310" t="s">
        <v>76</v>
      </c>
      <c r="R410" s="114"/>
      <c r="S410" s="1081"/>
      <c r="T410" s="114"/>
      <c r="U410" s="1095"/>
      <c r="V410" s="114"/>
      <c r="W410" s="1144"/>
      <c r="X410" s="246" t="s">
        <v>76</v>
      </c>
      <c r="Y410" s="114"/>
      <c r="Z410" s="1047">
        <v>57</v>
      </c>
      <c r="AA410" s="114"/>
      <c r="AB410" s="1127"/>
      <c r="AC410" s="114"/>
      <c r="AD410" s="1144"/>
      <c r="AE410" s="246"/>
      <c r="AF410" s="1144"/>
      <c r="AG410" s="310"/>
      <c r="AH410" s="114"/>
      <c r="AI410" s="1129"/>
      <c r="AJ410" s="114"/>
      <c r="AK410" s="1097"/>
      <c r="AL410" s="114"/>
      <c r="AM410" s="1126"/>
      <c r="AN410" s="246"/>
      <c r="AO410" s="246"/>
      <c r="AP410" s="246"/>
      <c r="AQ410" s="246"/>
      <c r="AR410" s="246"/>
      <c r="AS410" s="1231"/>
      <c r="AT410" s="1231"/>
      <c r="AU410" s="114"/>
      <c r="AV410" s="1284"/>
      <c r="AW410" s="114"/>
      <c r="AX410" s="310"/>
      <c r="AY410" s="1081">
        <v>3.069</v>
      </c>
      <c r="AZ410" s="1260">
        <f>S48/$S$52</f>
        <v>0.20511054480336113</v>
      </c>
      <c r="BA410" s="114"/>
      <c r="BC410" s="114"/>
      <c r="BD410" s="114"/>
      <c r="BE410" s="114"/>
      <c r="BF410" s="114"/>
      <c r="BG410" s="114"/>
      <c r="BH410" s="114"/>
      <c r="BI410" s="114"/>
      <c r="BJ410" s="114"/>
      <c r="BK410" s="114"/>
      <c r="BL410" s="114"/>
      <c r="BM410" s="114"/>
      <c r="BN410" s="114"/>
      <c r="BO410" s="114"/>
      <c r="BP410" s="114"/>
      <c r="BQ410" s="114"/>
      <c r="BR410" s="114"/>
      <c r="BS410" s="114"/>
      <c r="BT410" s="114"/>
      <c r="BU410" s="114"/>
      <c r="BV410" s="114"/>
      <c r="BW410" s="114"/>
      <c r="BX410" s="114"/>
      <c r="BY410" s="114"/>
      <c r="BZ410" s="114"/>
      <c r="CA410" s="114"/>
      <c r="CB410" s="114"/>
      <c r="CC410" s="114"/>
      <c r="CD410" s="114"/>
      <c r="CE410" s="114"/>
      <c r="CF410" s="114"/>
      <c r="CG410" s="114"/>
    </row>
    <row r="411" spans="1:85" hidden="1" outlineLevel="1">
      <c r="A411" s="114" t="s">
        <v>116</v>
      </c>
      <c r="B411" s="245" t="s">
        <v>97</v>
      </c>
      <c r="C411" s="114"/>
      <c r="D411" s="1123"/>
      <c r="E411" s="114"/>
      <c r="F411" s="1288"/>
      <c r="G411" s="114"/>
      <c r="H411" s="1144"/>
      <c r="I411" s="114"/>
      <c r="J411" s="1047">
        <v>8</v>
      </c>
      <c r="K411" s="1057"/>
      <c r="L411" s="1122">
        <f>AVERAGE(J411,J410)</f>
        <v>6.5</v>
      </c>
      <c r="M411" s="114"/>
      <c r="N411" s="1144"/>
      <c r="O411" s="246"/>
      <c r="P411" s="1101"/>
      <c r="Q411" s="310"/>
      <c r="R411" s="114"/>
      <c r="S411" s="1102"/>
      <c r="T411" s="114"/>
      <c r="U411" s="1089"/>
      <c r="V411" s="114"/>
      <c r="W411" s="1144"/>
      <c r="X411" s="246"/>
      <c r="Y411" s="114"/>
      <c r="Z411" s="1047">
        <v>88</v>
      </c>
      <c r="AA411" s="1057"/>
      <c r="AB411" s="1127"/>
      <c r="AC411" s="114"/>
      <c r="AD411" s="1144"/>
      <c r="AE411" s="246"/>
      <c r="AF411" s="1144"/>
      <c r="AG411" s="310"/>
      <c r="AH411" s="114"/>
      <c r="AI411" s="1132"/>
      <c r="AJ411" s="114"/>
      <c r="AK411" s="1106"/>
      <c r="AL411" s="114"/>
      <c r="AM411" s="1126"/>
      <c r="AN411" s="246"/>
      <c r="AO411" s="246"/>
      <c r="AP411" s="246"/>
      <c r="AQ411" s="246"/>
      <c r="AR411" s="246"/>
      <c r="AS411" s="1231"/>
      <c r="AT411" s="1231"/>
      <c r="AU411" s="114"/>
      <c r="AV411" s="1284"/>
      <c r="AW411" s="114"/>
      <c r="AX411" s="310"/>
      <c r="AY411" s="1102">
        <v>4.1849999999999996</v>
      </c>
      <c r="AZ411" s="1260">
        <f>S49/$S$52</f>
        <v>0.22997178841790789</v>
      </c>
      <c r="BA411" s="114"/>
      <c r="BC411" s="114"/>
      <c r="BD411" s="114"/>
      <c r="BE411" s="114"/>
      <c r="BF411" s="114"/>
      <c r="BG411" s="114"/>
      <c r="BH411" s="114"/>
      <c r="BI411" s="114"/>
      <c r="BJ411" s="114"/>
      <c r="BK411" s="114"/>
      <c r="BL411" s="114"/>
      <c r="BM411" s="114"/>
      <c r="BN411" s="114"/>
      <c r="BO411" s="114"/>
      <c r="BP411" s="114"/>
      <c r="BQ411" s="114"/>
      <c r="BR411" s="114"/>
      <c r="BS411" s="114"/>
      <c r="BT411" s="114"/>
      <c r="BU411" s="114"/>
      <c r="BV411" s="114"/>
      <c r="BW411" s="114"/>
      <c r="BX411" s="114"/>
      <c r="BY411" s="114"/>
      <c r="BZ411" s="114"/>
      <c r="CA411" s="114"/>
      <c r="CB411" s="114"/>
      <c r="CC411" s="114"/>
      <c r="CD411" s="114"/>
      <c r="CE411" s="114"/>
      <c r="CF411" s="114"/>
      <c r="CG411" s="114"/>
    </row>
    <row r="412" spans="1:85" hidden="1" outlineLevel="1">
      <c r="A412" s="114" t="s">
        <v>117</v>
      </c>
      <c r="B412" s="245" t="s">
        <v>99</v>
      </c>
      <c r="C412" s="114"/>
      <c r="D412" s="1123"/>
      <c r="E412" s="114"/>
      <c r="F412" s="1288"/>
      <c r="G412" s="114"/>
      <c r="H412" s="1144"/>
      <c r="I412" s="114"/>
      <c r="J412" s="1047">
        <v>13</v>
      </c>
      <c r="K412" s="1057"/>
      <c r="L412" s="1122">
        <f>AVERAGE(J412,J411)</f>
        <v>10.5</v>
      </c>
      <c r="M412" s="114"/>
      <c r="N412" s="1144"/>
      <c r="O412" s="246"/>
      <c r="P412" s="1101"/>
      <c r="Q412" s="310"/>
      <c r="R412" s="114"/>
      <c r="S412" s="1102"/>
      <c r="T412" s="114"/>
      <c r="U412" s="1089"/>
      <c r="V412" s="114"/>
      <c r="W412" s="1144"/>
      <c r="X412" s="246"/>
      <c r="Y412" s="114"/>
      <c r="Z412" s="1047">
        <v>138</v>
      </c>
      <c r="AA412" s="1057"/>
      <c r="AB412" s="1127"/>
      <c r="AC412" s="114"/>
      <c r="AD412" s="1144"/>
      <c r="AE412" s="246"/>
      <c r="AF412" s="1144"/>
      <c r="AG412" s="310"/>
      <c r="AH412" s="114"/>
      <c r="AI412" s="1132"/>
      <c r="AJ412" s="114"/>
      <c r="AK412" s="1106"/>
      <c r="AL412" s="114"/>
      <c r="AM412" s="1126"/>
      <c r="AN412" s="246"/>
      <c r="AO412" s="246"/>
      <c r="AP412" s="246"/>
      <c r="AQ412" s="246"/>
      <c r="AR412" s="246"/>
      <c r="AS412" s="1231"/>
      <c r="AT412" s="1231"/>
      <c r="AU412" s="114"/>
      <c r="AV412" s="1284"/>
      <c r="AW412" s="114"/>
      <c r="AX412" s="310"/>
      <c r="AY412" s="1102">
        <v>3.8820000000000001</v>
      </c>
      <c r="AZ412" s="1260">
        <f>S50/$S$52</f>
        <v>0.25947017871426925</v>
      </c>
      <c r="BA412" s="114"/>
      <c r="BC412" s="114"/>
      <c r="BD412" s="114"/>
      <c r="BE412" s="114"/>
      <c r="BF412" s="114"/>
      <c r="BG412" s="114"/>
      <c r="BH412" s="114"/>
      <c r="BI412" s="114"/>
      <c r="BJ412" s="114"/>
      <c r="BK412" s="114"/>
      <c r="BL412" s="114"/>
      <c r="BM412" s="114"/>
      <c r="BN412" s="114"/>
      <c r="BO412" s="114"/>
      <c r="BP412" s="114"/>
      <c r="BQ412" s="114"/>
      <c r="BR412" s="114"/>
      <c r="BS412" s="114"/>
      <c r="BT412" s="114"/>
      <c r="BU412" s="114"/>
      <c r="BV412" s="114"/>
      <c r="BW412" s="114"/>
      <c r="BX412" s="114"/>
      <c r="BY412" s="114"/>
      <c r="BZ412" s="114"/>
      <c r="CA412" s="114"/>
      <c r="CB412" s="114"/>
      <c r="CC412" s="114"/>
      <c r="CD412" s="114"/>
      <c r="CE412" s="114"/>
      <c r="CF412" s="114"/>
      <c r="CG412" s="114"/>
    </row>
    <row r="413" spans="1:85" hidden="1" outlineLevel="1">
      <c r="A413" s="114" t="s">
        <v>118</v>
      </c>
      <c r="B413" s="245" t="s">
        <v>100</v>
      </c>
      <c r="C413" s="114"/>
      <c r="D413" s="1107"/>
      <c r="E413" s="114"/>
      <c r="F413" s="1290"/>
      <c r="G413" s="114"/>
      <c r="H413" s="1104"/>
      <c r="I413" s="114"/>
      <c r="J413" s="1063">
        <f>squft!BW50</f>
        <v>14</v>
      </c>
      <c r="K413" s="1057"/>
      <c r="L413" s="1108">
        <f>AVERAGE(J413,J412)</f>
        <v>13.5</v>
      </c>
      <c r="M413" s="114"/>
      <c r="N413" s="1104"/>
      <c r="O413" s="246"/>
      <c r="P413" s="1137"/>
      <c r="Q413" s="310"/>
      <c r="R413" s="114"/>
      <c r="S413" s="1145"/>
      <c r="T413" s="114"/>
      <c r="U413" s="1092"/>
      <c r="V413" s="114"/>
      <c r="W413" s="1104"/>
      <c r="X413" s="246"/>
      <c r="Y413" s="114"/>
      <c r="Z413" s="1047">
        <f>AVERAGE(Z412,Z417)</f>
        <v>149.5</v>
      </c>
      <c r="AA413" s="1057"/>
      <c r="AB413" s="1110"/>
      <c r="AC413" s="114"/>
      <c r="AD413" s="1104"/>
      <c r="AE413" s="246"/>
      <c r="AF413" s="1104"/>
      <c r="AG413" s="310"/>
      <c r="AH413" s="114"/>
      <c r="AI413" s="1111"/>
      <c r="AJ413" s="114"/>
      <c r="AK413" s="1135"/>
      <c r="AL413" s="114"/>
      <c r="AM413" s="1134"/>
      <c r="AN413" s="246"/>
      <c r="AO413" s="246"/>
      <c r="AP413" s="246"/>
      <c r="AQ413" s="246"/>
      <c r="AR413" s="246"/>
      <c r="AS413" s="1280"/>
      <c r="AT413" s="1280"/>
      <c r="AU413" s="1042"/>
      <c r="AV413" s="1285"/>
      <c r="AW413" s="114"/>
      <c r="AX413" s="310"/>
      <c r="AY413" s="1145">
        <f>AY414-AY412-AY411-AY410</f>
        <v>6.7200000000000015</v>
      </c>
      <c r="AZ413" s="1260">
        <f>S51/$S$52</f>
        <v>0.30544748806446181</v>
      </c>
      <c r="BA413" s="114"/>
      <c r="BC413" s="114"/>
      <c r="BD413" s="114"/>
      <c r="BE413" s="114"/>
      <c r="BF413" s="114"/>
      <c r="BG413" s="114"/>
      <c r="BH413" s="114"/>
      <c r="BI413" s="114"/>
      <c r="BJ413" s="114"/>
      <c r="BK413" s="114"/>
      <c r="BL413" s="114"/>
      <c r="BM413" s="114"/>
      <c r="BN413" s="114"/>
      <c r="BO413" s="114"/>
      <c r="BP413" s="114"/>
      <c r="BQ413" s="114"/>
      <c r="BR413" s="114"/>
      <c r="BS413" s="114"/>
      <c r="BT413" s="114"/>
      <c r="BU413" s="114"/>
      <c r="BV413" s="114"/>
      <c r="BW413" s="114"/>
      <c r="BX413" s="114"/>
      <c r="BY413" s="114"/>
      <c r="BZ413" s="114"/>
      <c r="CA413" s="114"/>
      <c r="CB413" s="114"/>
      <c r="CC413" s="114"/>
      <c r="CD413" s="114"/>
      <c r="CE413" s="114"/>
      <c r="CF413" s="114"/>
      <c r="CG413" s="114"/>
    </row>
    <row r="414" spans="1:85" hidden="1" outlineLevel="1">
      <c r="A414" s="114"/>
      <c r="B414" s="245" t="s">
        <v>119</v>
      </c>
      <c r="C414" s="114"/>
      <c r="D414" s="1123"/>
      <c r="E414" s="114"/>
      <c r="F414" s="1139"/>
      <c r="G414" s="114"/>
      <c r="H414" s="1126"/>
      <c r="I414" s="114"/>
      <c r="J414" s="114"/>
      <c r="K414" s="114"/>
      <c r="L414" s="1122">
        <f>AVERAGE(L410:L413)</f>
        <v>8.875</v>
      </c>
      <c r="M414" s="114"/>
      <c r="N414" s="1144"/>
      <c r="O414" s="246"/>
      <c r="P414" s="1049"/>
      <c r="Q414" s="310"/>
      <c r="R414" s="114"/>
      <c r="S414" s="1095"/>
      <c r="T414" s="114"/>
      <c r="U414" s="1095"/>
      <c r="V414" s="114"/>
      <c r="W414" s="1144"/>
      <c r="X414" s="246"/>
      <c r="Y414" s="114"/>
      <c r="Z414" s="114"/>
      <c r="AA414" s="114"/>
      <c r="AB414" s="1127"/>
      <c r="AC414" s="114"/>
      <c r="AD414" s="1144"/>
      <c r="AE414" s="246"/>
      <c r="AF414" s="1144"/>
      <c r="AG414" s="310"/>
      <c r="AH414" s="114"/>
      <c r="AI414" s="1129"/>
      <c r="AJ414" s="114"/>
      <c r="AK414" s="1097"/>
      <c r="AL414" s="114"/>
      <c r="AM414" s="1126"/>
      <c r="AN414" s="246"/>
      <c r="AO414" s="246"/>
      <c r="AP414" s="246"/>
      <c r="AQ414" s="246"/>
      <c r="AR414" s="246"/>
      <c r="AS414" s="1231"/>
      <c r="AT414" s="1231"/>
      <c r="AU414" s="114"/>
      <c r="AV414" s="1284"/>
      <c r="AW414" s="114"/>
      <c r="AX414" s="310"/>
      <c r="AY414" s="1140">
        <v>17.856000000000002</v>
      </c>
      <c r="AZ414" s="246"/>
      <c r="BA414" s="114"/>
      <c r="BC414" s="114"/>
      <c r="BD414" s="114"/>
      <c r="BE414" s="114"/>
      <c r="BF414" s="114"/>
      <c r="BG414" s="114"/>
      <c r="BH414" s="114"/>
      <c r="BI414" s="114"/>
      <c r="BJ414" s="114"/>
      <c r="BK414" s="114"/>
      <c r="BL414" s="114"/>
      <c r="BM414" s="114"/>
      <c r="BN414" s="114"/>
      <c r="BO414" s="114"/>
      <c r="BP414" s="114"/>
      <c r="BQ414" s="114"/>
      <c r="BR414" s="114"/>
      <c r="BS414" s="114"/>
      <c r="BT414" s="114"/>
      <c r="BU414" s="114"/>
      <c r="BV414" s="114"/>
      <c r="BW414" s="114"/>
      <c r="BX414" s="114"/>
      <c r="BY414" s="114"/>
      <c r="BZ414" s="114"/>
      <c r="CA414" s="114"/>
      <c r="CB414" s="114"/>
      <c r="CC414" s="114"/>
      <c r="CD414" s="114"/>
      <c r="CE414" s="114"/>
      <c r="CF414" s="114"/>
      <c r="CG414" s="114"/>
    </row>
    <row r="415" spans="1:85" hidden="1" outlineLevel="1">
      <c r="B415" s="200"/>
      <c r="S415" s="86"/>
      <c r="Z415" s="865">
        <f>Z413-Z412</f>
        <v>11.5</v>
      </c>
      <c r="AF415" s="201"/>
      <c r="AK415" s="86"/>
      <c r="AM415" s="86"/>
      <c r="AX415" s="97"/>
      <c r="AZ415" s="86"/>
    </row>
    <row r="416" spans="1:85" hidden="1" outlineLevel="1">
      <c r="A416" s="1120"/>
      <c r="B416" s="1113">
        <v>2009</v>
      </c>
      <c r="C416" s="114"/>
      <c r="D416" s="114"/>
      <c r="E416" s="246"/>
      <c r="F416" s="114"/>
      <c r="G416" s="246"/>
      <c r="H416" s="114"/>
      <c r="I416" s="246"/>
      <c r="J416" s="114"/>
      <c r="K416" s="114"/>
      <c r="L416" s="114"/>
      <c r="M416" s="114"/>
      <c r="N416" s="246"/>
      <c r="O416" s="246"/>
      <c r="P416" s="310"/>
      <c r="Q416" s="310"/>
      <c r="R416" s="114"/>
      <c r="S416" s="1103"/>
      <c r="T416" s="114"/>
      <c r="U416" s="246"/>
      <c r="V416" s="114"/>
      <c r="W416" s="246"/>
      <c r="X416" s="246"/>
      <c r="Y416" s="114"/>
      <c r="Z416" s="114"/>
      <c r="AA416" s="114"/>
      <c r="AB416" s="114"/>
      <c r="AC416" s="114"/>
      <c r="AD416" s="114"/>
      <c r="AE416" s="246"/>
      <c r="AF416" s="250"/>
      <c r="AG416" s="310"/>
      <c r="AH416" s="114"/>
      <c r="AI416" s="114"/>
      <c r="AJ416" s="114"/>
      <c r="AK416" s="246"/>
      <c r="AL416" s="114"/>
      <c r="AM416" s="246"/>
      <c r="AN416" s="246"/>
      <c r="AO416" s="246"/>
      <c r="AP416" s="246"/>
      <c r="AQ416" s="246"/>
      <c r="AR416" s="246"/>
      <c r="AS416" s="114"/>
      <c r="AT416" s="114"/>
      <c r="AU416" s="114"/>
      <c r="AV416" s="114"/>
      <c r="AW416" s="114"/>
      <c r="AX416" s="310"/>
      <c r="AY416" s="114"/>
      <c r="AZ416" s="246"/>
      <c r="BA416" s="114"/>
      <c r="BC416" s="114"/>
      <c r="BD416" s="114"/>
      <c r="BE416" s="114"/>
      <c r="BF416" s="114"/>
      <c r="BG416" s="114"/>
      <c r="BH416" s="114"/>
      <c r="BI416" s="114"/>
      <c r="BJ416" s="114"/>
      <c r="BK416" s="114"/>
      <c r="BL416" s="114"/>
      <c r="BM416" s="114"/>
      <c r="BN416" s="114"/>
      <c r="BO416" s="114"/>
      <c r="BP416" s="114"/>
      <c r="BQ416" s="114"/>
      <c r="BR416" s="114"/>
      <c r="BS416" s="114"/>
      <c r="BT416" s="114"/>
      <c r="BU416" s="114"/>
      <c r="BV416" s="114"/>
      <c r="BW416" s="114"/>
      <c r="BX416" s="114"/>
      <c r="BY416" s="114"/>
      <c r="BZ416" s="114"/>
      <c r="CA416" s="114"/>
      <c r="CB416" s="114"/>
      <c r="CC416" s="114"/>
      <c r="CD416" s="114"/>
      <c r="CE416" s="114"/>
      <c r="CF416" s="114"/>
      <c r="CG416" s="114"/>
    </row>
    <row r="417" spans="1:85" hidden="1" outlineLevel="1">
      <c r="A417" s="114" t="s">
        <v>115</v>
      </c>
      <c r="B417" s="245" t="s">
        <v>96</v>
      </c>
      <c r="C417" s="114"/>
      <c r="D417" s="1045" t="e">
        <f>(S417/S410-1)*100</f>
        <v>#DIV/0!</v>
      </c>
      <c r="E417" s="246" t="s">
        <v>76</v>
      </c>
      <c r="F417" s="1288">
        <v>5</v>
      </c>
      <c r="G417" s="246" t="s">
        <v>76</v>
      </c>
      <c r="H417" s="1144" t="e">
        <f>D417-F417</f>
        <v>#DIV/0!</v>
      </c>
      <c r="I417" s="246" t="s">
        <v>76</v>
      </c>
      <c r="J417" s="1047">
        <v>16</v>
      </c>
      <c r="K417" s="1063">
        <f>J417-J413</f>
        <v>2</v>
      </c>
      <c r="L417" s="1122">
        <f>AVERAGE(J417,J413)</f>
        <v>15</v>
      </c>
      <c r="M417" s="114"/>
      <c r="N417" s="1144">
        <f>(L417/L410-1)*100</f>
        <v>200</v>
      </c>
      <c r="O417" s="246" t="s">
        <v>76</v>
      </c>
      <c r="P417" s="1124" t="e">
        <f>H417/N417*100</f>
        <v>#DIV/0!</v>
      </c>
      <c r="Q417" s="310" t="s">
        <v>76</v>
      </c>
      <c r="R417" s="114"/>
      <c r="S417" s="1102"/>
      <c r="T417" s="114"/>
      <c r="U417" s="1095"/>
      <c r="V417" s="114"/>
      <c r="W417" s="1144"/>
      <c r="X417" s="246" t="s">
        <v>76</v>
      </c>
      <c r="Y417" s="114"/>
      <c r="Z417" s="1047">
        <v>161</v>
      </c>
      <c r="AA417" s="114"/>
      <c r="AB417" s="1127"/>
      <c r="AC417" s="114"/>
      <c r="AD417" s="1144"/>
      <c r="AE417" s="246"/>
      <c r="AF417" s="1144"/>
      <c r="AG417" s="310"/>
      <c r="AH417" s="114"/>
      <c r="AI417" s="1129"/>
      <c r="AJ417" s="114"/>
      <c r="AK417" s="1097"/>
      <c r="AL417" s="114"/>
      <c r="AM417" s="1126"/>
      <c r="AN417" s="246"/>
      <c r="AO417" s="246"/>
      <c r="AP417" s="246"/>
      <c r="AQ417" s="246"/>
      <c r="AR417" s="246"/>
      <c r="AS417" s="1231"/>
      <c r="AT417" s="1231"/>
      <c r="AU417" s="114"/>
      <c r="AV417" s="1284"/>
      <c r="AW417" s="114"/>
      <c r="AX417" s="310"/>
      <c r="AY417" s="1050"/>
      <c r="AZ417" s="1260">
        <f>S55/$S$52</f>
        <v>0.21158618375784821</v>
      </c>
      <c r="BA417" s="114"/>
      <c r="BC417" s="114"/>
      <c r="BD417" s="114"/>
      <c r="BE417" s="114"/>
      <c r="BF417" s="114"/>
      <c r="BG417" s="114"/>
      <c r="BH417" s="114"/>
      <c r="BI417" s="114"/>
      <c r="BJ417" s="114"/>
      <c r="BK417" s="114"/>
      <c r="BL417" s="114"/>
      <c r="BM417" s="114"/>
      <c r="BN417" s="114"/>
      <c r="BO417" s="114"/>
      <c r="BP417" s="114"/>
      <c r="BQ417" s="114"/>
      <c r="BR417" s="114"/>
      <c r="BS417" s="114"/>
      <c r="BT417" s="114"/>
      <c r="BU417" s="114"/>
      <c r="BV417" s="114"/>
      <c r="BW417" s="114"/>
      <c r="BX417" s="114"/>
      <c r="BY417" s="114"/>
      <c r="BZ417" s="114"/>
      <c r="CA417" s="114"/>
      <c r="CB417" s="114"/>
      <c r="CC417" s="114"/>
      <c r="CD417" s="114"/>
      <c r="CE417" s="114"/>
      <c r="CF417" s="114"/>
      <c r="CG417" s="114"/>
    </row>
    <row r="418" spans="1:85" hidden="1" outlineLevel="1">
      <c r="A418" s="114" t="s">
        <v>116</v>
      </c>
      <c r="B418" s="245" t="s">
        <v>97</v>
      </c>
      <c r="C418" s="114"/>
      <c r="D418" s="1045" t="e">
        <f>(S418/S411-1)*100</f>
        <v>#DIV/0!</v>
      </c>
      <c r="E418" s="114"/>
      <c r="F418" s="1288">
        <v>5</v>
      </c>
      <c r="G418" s="114"/>
      <c r="H418" s="1144" t="e">
        <f>D418-F418</f>
        <v>#DIV/0!</v>
      </c>
      <c r="I418" s="114"/>
      <c r="J418" s="1047">
        <f>+J417</f>
        <v>16</v>
      </c>
      <c r="K418" s="1047">
        <f>J418-J417</f>
        <v>0</v>
      </c>
      <c r="L418" s="1122">
        <f>AVERAGE(J418,J417)</f>
        <v>16</v>
      </c>
      <c r="M418" s="114"/>
      <c r="N418" s="1144">
        <f>(L418/L411-1)*100</f>
        <v>146.15384615384616</v>
      </c>
      <c r="O418" s="246"/>
      <c r="P418" s="1124" t="e">
        <f>H418/N418*100</f>
        <v>#DIV/0!</v>
      </c>
      <c r="Q418" s="310"/>
      <c r="R418" s="114"/>
      <c r="S418" s="1102"/>
      <c r="T418" s="114"/>
      <c r="U418" s="1089"/>
      <c r="V418" s="114"/>
      <c r="W418" s="1144"/>
      <c r="X418" s="246"/>
      <c r="Y418" s="114"/>
      <c r="Z418" s="1047">
        <v>161</v>
      </c>
      <c r="AA418" s="1057"/>
      <c r="AB418" s="1127"/>
      <c r="AC418" s="114"/>
      <c r="AD418" s="1144"/>
      <c r="AE418" s="246"/>
      <c r="AF418" s="1144"/>
      <c r="AG418" s="310"/>
      <c r="AH418" s="114"/>
      <c r="AI418" s="1132"/>
      <c r="AJ418" s="114"/>
      <c r="AK418" s="1106"/>
      <c r="AL418" s="114"/>
      <c r="AM418" s="1126"/>
      <c r="AN418" s="246"/>
      <c r="AO418" s="246"/>
      <c r="AP418" s="246"/>
      <c r="AQ418" s="246"/>
      <c r="AR418" s="246"/>
      <c r="AS418" s="1231"/>
      <c r="AT418" s="1231"/>
      <c r="AU418" s="114"/>
      <c r="AV418" s="1284"/>
      <c r="AW418" s="114"/>
      <c r="AX418" s="310"/>
      <c r="AY418" s="1102"/>
      <c r="AZ418" s="1260">
        <f>S56/$S$52</f>
        <v>0.23690159497387855</v>
      </c>
      <c r="BA418" s="114"/>
      <c r="BC418" s="114"/>
      <c r="BD418" s="114"/>
      <c r="BE418" s="114"/>
      <c r="BF418" s="114"/>
      <c r="BG418" s="114"/>
      <c r="BH418" s="114"/>
      <c r="BI418" s="114"/>
      <c r="BJ418" s="114"/>
      <c r="BK418" s="114"/>
      <c r="BL418" s="114"/>
      <c r="BM418" s="114"/>
      <c r="BN418" s="114"/>
      <c r="BO418" s="114"/>
      <c r="BP418" s="114"/>
      <c r="BQ418" s="114"/>
      <c r="BR418" s="114"/>
      <c r="BS418" s="114"/>
      <c r="BT418" s="114"/>
      <c r="BU418" s="114"/>
      <c r="BV418" s="114"/>
      <c r="BW418" s="114"/>
      <c r="BX418" s="114"/>
      <c r="BY418" s="114"/>
      <c r="BZ418" s="114"/>
      <c r="CA418" s="114"/>
      <c r="CB418" s="114"/>
      <c r="CC418" s="114"/>
      <c r="CD418" s="114"/>
      <c r="CE418" s="114"/>
      <c r="CF418" s="114"/>
      <c r="CG418" s="114"/>
    </row>
    <row r="419" spans="1:85" hidden="1" outlineLevel="1">
      <c r="A419" s="114" t="s">
        <v>117</v>
      </c>
      <c r="B419" s="245" t="s">
        <v>99</v>
      </c>
      <c r="C419" s="114"/>
      <c r="D419" s="1045" t="e">
        <f>(S419/S412-1)*100</f>
        <v>#DIV/0!</v>
      </c>
      <c r="E419" s="114"/>
      <c r="F419" s="1288">
        <v>5</v>
      </c>
      <c r="G419" s="114"/>
      <c r="H419" s="1144" t="e">
        <f>D419-F419</f>
        <v>#DIV/0!</v>
      </c>
      <c r="I419" s="114"/>
      <c r="J419" s="1047">
        <f>+J418</f>
        <v>16</v>
      </c>
      <c r="K419" s="1047">
        <f>J419-J418</f>
        <v>0</v>
      </c>
      <c r="L419" s="1122">
        <f>AVERAGE(J419,J418)</f>
        <v>16</v>
      </c>
      <c r="M419" s="114"/>
      <c r="N419" s="1144">
        <f>(L419/L412-1)*100</f>
        <v>52.380952380952372</v>
      </c>
      <c r="O419" s="246"/>
      <c r="P419" s="1124" t="e">
        <f>H419/N419*100</f>
        <v>#DIV/0!</v>
      </c>
      <c r="Q419" s="310"/>
      <c r="R419" s="114"/>
      <c r="S419" s="1102"/>
      <c r="T419" s="114"/>
      <c r="U419" s="1089"/>
      <c r="V419" s="114"/>
      <c r="W419" s="1144"/>
      <c r="X419" s="246"/>
      <c r="Y419" s="114"/>
      <c r="Z419" s="1047">
        <v>161</v>
      </c>
      <c r="AA419" s="1057"/>
      <c r="AB419" s="1127"/>
      <c r="AC419" s="114"/>
      <c r="AD419" s="1144"/>
      <c r="AE419" s="246"/>
      <c r="AF419" s="1144"/>
      <c r="AG419" s="310"/>
      <c r="AH419" s="114"/>
      <c r="AI419" s="1132"/>
      <c r="AJ419" s="114"/>
      <c r="AK419" s="1106"/>
      <c r="AL419" s="114"/>
      <c r="AM419" s="1126"/>
      <c r="AN419" s="246"/>
      <c r="AO419" s="246"/>
      <c r="AP419" s="246"/>
      <c r="AQ419" s="246"/>
      <c r="AR419" s="246"/>
      <c r="AS419" s="1231"/>
      <c r="AT419" s="1231"/>
      <c r="AU419" s="114"/>
      <c r="AV419" s="1284"/>
      <c r="AW419" s="114"/>
      <c r="AX419" s="310"/>
      <c r="AY419" s="1089"/>
      <c r="AZ419" s="1260">
        <f>S57/$S$52</f>
        <v>0.23802678497755417</v>
      </c>
      <c r="BA419" s="114"/>
      <c r="BC419" s="114"/>
      <c r="BD419" s="114"/>
      <c r="BE419" s="114"/>
      <c r="BF419" s="114"/>
      <c r="BG419" s="114"/>
      <c r="BH419" s="114"/>
      <c r="BI419" s="114"/>
      <c r="BJ419" s="114"/>
      <c r="BK419" s="114"/>
      <c r="BL419" s="114"/>
      <c r="BM419" s="114"/>
      <c r="BN419" s="114"/>
      <c r="BO419" s="114"/>
      <c r="BP419" s="114"/>
      <c r="BQ419" s="114"/>
      <c r="BR419" s="114"/>
      <c r="BS419" s="114"/>
      <c r="BT419" s="114"/>
      <c r="BU419" s="114"/>
      <c r="BV419" s="114"/>
      <c r="BW419" s="114"/>
      <c r="BX419" s="114"/>
      <c r="BY419" s="114"/>
      <c r="BZ419" s="114"/>
      <c r="CA419" s="114"/>
      <c r="CB419" s="114"/>
      <c r="CC419" s="114"/>
      <c r="CD419" s="114"/>
      <c r="CE419" s="114"/>
      <c r="CF419" s="114"/>
      <c r="CG419" s="114"/>
    </row>
    <row r="420" spans="1:85" hidden="1" outlineLevel="1">
      <c r="A420" s="114" t="s">
        <v>118</v>
      </c>
      <c r="B420" s="245" t="s">
        <v>100</v>
      </c>
      <c r="C420" s="114"/>
      <c r="D420" s="1045" t="e">
        <f>(S420/S413-1)*100</f>
        <v>#DIV/0!</v>
      </c>
      <c r="E420" s="114"/>
      <c r="F420" s="1290">
        <v>5</v>
      </c>
      <c r="G420" s="114"/>
      <c r="H420" s="1144" t="e">
        <f>D420-F420</f>
        <v>#DIV/0!</v>
      </c>
      <c r="I420" s="114"/>
      <c r="J420" s="1063">
        <f>squft!$CA$50</f>
        <v>16</v>
      </c>
      <c r="K420" s="1047">
        <f>J420-J419</f>
        <v>0</v>
      </c>
      <c r="L420" s="1108">
        <f>AVERAGE(J420,J419)</f>
        <v>16</v>
      </c>
      <c r="M420" s="114"/>
      <c r="N420" s="1104">
        <f>(L420/L413-1)*100</f>
        <v>18.518518518518512</v>
      </c>
      <c r="O420" s="246"/>
      <c r="P420" s="1108" t="e">
        <f>H420/N420*100</f>
        <v>#DIV/0!</v>
      </c>
      <c r="Q420" s="310"/>
      <c r="R420" s="114"/>
      <c r="S420" s="1145"/>
      <c r="T420" s="114"/>
      <c r="U420" s="1092"/>
      <c r="V420" s="114"/>
      <c r="W420" s="1104"/>
      <c r="X420" s="246"/>
      <c r="Y420" s="114"/>
      <c r="Z420" s="1047">
        <v>161</v>
      </c>
      <c r="AA420" s="1057"/>
      <c r="AB420" s="1110"/>
      <c r="AC420" s="114"/>
      <c r="AD420" s="1104"/>
      <c r="AE420" s="246"/>
      <c r="AF420" s="1104"/>
      <c r="AG420" s="310"/>
      <c r="AH420" s="114"/>
      <c r="AI420" s="1111"/>
      <c r="AJ420" s="114"/>
      <c r="AK420" s="1135"/>
      <c r="AL420" s="114"/>
      <c r="AM420" s="1134"/>
      <c r="AN420" s="246"/>
      <c r="AO420" s="246"/>
      <c r="AP420" s="246"/>
      <c r="AQ420" s="246"/>
      <c r="AR420" s="246"/>
      <c r="AS420" s="1280"/>
      <c r="AT420" s="1280"/>
      <c r="AU420" s="1042"/>
      <c r="AV420" s="1285"/>
      <c r="AW420" s="114"/>
      <c r="AX420" s="310"/>
      <c r="AY420" s="1092"/>
      <c r="AZ420" s="1260">
        <f>S58/$S$52</f>
        <v>0.23101173675463835</v>
      </c>
      <c r="BA420" s="114"/>
      <c r="BC420" s="114"/>
      <c r="BD420" s="114"/>
      <c r="BE420" s="114"/>
      <c r="BF420" s="114"/>
      <c r="BG420" s="114"/>
      <c r="BH420" s="114"/>
      <c r="BI420" s="114"/>
      <c r="BJ420" s="114"/>
      <c r="BK420" s="114"/>
      <c r="BL420" s="114"/>
      <c r="BM420" s="114"/>
      <c r="BN420" s="114"/>
      <c r="BO420" s="114"/>
      <c r="BP420" s="114"/>
      <c r="BQ420" s="114"/>
      <c r="BR420" s="114"/>
      <c r="BS420" s="114"/>
      <c r="BT420" s="114"/>
      <c r="BU420" s="114"/>
      <c r="BV420" s="114"/>
      <c r="BW420" s="114"/>
      <c r="BX420" s="114"/>
      <c r="BY420" s="114"/>
      <c r="BZ420" s="114"/>
      <c r="CA420" s="114"/>
      <c r="CB420" s="114"/>
      <c r="CC420" s="114"/>
      <c r="CD420" s="114"/>
      <c r="CE420" s="114"/>
      <c r="CF420" s="114"/>
      <c r="CG420" s="114"/>
    </row>
    <row r="421" spans="1:85" hidden="1" outlineLevel="1">
      <c r="A421" s="114"/>
      <c r="B421" s="245" t="s">
        <v>119</v>
      </c>
      <c r="C421" s="114"/>
      <c r="D421" s="1123" t="e">
        <f>(S421/S414-1)*100</f>
        <v>#DIV/0!</v>
      </c>
      <c r="E421" s="114"/>
      <c r="F421" s="1139" t="e">
        <f>S417/S421*F417+S418/S421*F418+S419/S421*F419+S420/S421*F420</f>
        <v>#DIV/0!</v>
      </c>
      <c r="G421" s="114"/>
      <c r="H421" s="1126" t="e">
        <f>D421-F421</f>
        <v>#DIV/0!</v>
      </c>
      <c r="I421" s="114"/>
      <c r="J421" s="114"/>
      <c r="K421" s="114"/>
      <c r="L421" s="1122">
        <f>AVERAGE(L417:L420)</f>
        <v>15.75</v>
      </c>
      <c r="M421" s="114"/>
      <c r="N421" s="1144">
        <f>(L421/L414-1)*100</f>
        <v>77.464788732394368</v>
      </c>
      <c r="O421" s="246"/>
      <c r="P421" s="1049"/>
      <c r="Q421" s="310"/>
      <c r="R421" s="114"/>
      <c r="S421" s="1095"/>
      <c r="T421" s="114"/>
      <c r="U421" s="1095"/>
      <c r="V421" s="114"/>
      <c r="W421" s="1144"/>
      <c r="X421" s="246"/>
      <c r="Y421" s="114"/>
      <c r="Z421" s="114"/>
      <c r="AA421" s="114"/>
      <c r="AB421" s="1127"/>
      <c r="AC421" s="114"/>
      <c r="AD421" s="1144"/>
      <c r="AE421" s="246"/>
      <c r="AF421" s="1144"/>
      <c r="AG421" s="310"/>
      <c r="AH421" s="114"/>
      <c r="AI421" s="1129"/>
      <c r="AJ421" s="114"/>
      <c r="AK421" s="1097"/>
      <c r="AL421" s="114"/>
      <c r="AM421" s="1126"/>
      <c r="AN421" s="246"/>
      <c r="AO421" s="246"/>
      <c r="AP421" s="246"/>
      <c r="AQ421" s="246"/>
      <c r="AR421" s="246"/>
      <c r="AS421" s="1231"/>
      <c r="AT421" s="1231"/>
      <c r="AU421" s="114"/>
      <c r="AV421" s="1284"/>
      <c r="AW421" s="114"/>
      <c r="AX421" s="310"/>
      <c r="AY421" s="1142"/>
      <c r="AZ421" s="246"/>
      <c r="BA421" s="114"/>
      <c r="BC421" s="114"/>
      <c r="BD421" s="114"/>
      <c r="BE421" s="114"/>
      <c r="BF421" s="114"/>
      <c r="BG421" s="114"/>
      <c r="BH421" s="114"/>
      <c r="BI421" s="114"/>
      <c r="BJ421" s="114"/>
      <c r="BK421" s="114"/>
      <c r="BL421" s="114"/>
      <c r="BM421" s="114"/>
      <c r="BN421" s="114"/>
      <c r="BO421" s="114"/>
      <c r="BP421" s="114"/>
      <c r="BQ421" s="114"/>
      <c r="BR421" s="114"/>
      <c r="BS421" s="114"/>
      <c r="BT421" s="114"/>
      <c r="BU421" s="114"/>
      <c r="BV421" s="114"/>
      <c r="BW421" s="114"/>
      <c r="BX421" s="114"/>
      <c r="BY421" s="114"/>
      <c r="BZ421" s="114"/>
      <c r="CA421" s="114"/>
      <c r="CB421" s="114"/>
      <c r="CC421" s="114"/>
      <c r="CD421" s="114"/>
      <c r="CE421" s="114"/>
      <c r="CF421" s="114"/>
      <c r="CG421" s="114"/>
    </row>
    <row r="422" spans="1:85" hidden="1" outlineLevel="1">
      <c r="B422" s="200"/>
      <c r="S422" s="86"/>
      <c r="AF422" s="201"/>
      <c r="AK422" s="86"/>
      <c r="AM422" s="86"/>
      <c r="AX422" s="97"/>
      <c r="AZ422" s="86"/>
    </row>
    <row r="423" spans="1:85" hidden="1" outlineLevel="1">
      <c r="A423" s="1120"/>
      <c r="B423" s="1113">
        <v>2010</v>
      </c>
      <c r="C423" s="114"/>
      <c r="D423" s="114"/>
      <c r="E423" s="246"/>
      <c r="F423" s="114"/>
      <c r="G423" s="246"/>
      <c r="H423" s="114"/>
      <c r="I423" s="246"/>
      <c r="J423" s="114"/>
      <c r="K423" s="114"/>
      <c r="L423" s="114"/>
      <c r="M423" s="114"/>
      <c r="N423" s="246"/>
      <c r="O423" s="246"/>
      <c r="P423" s="310"/>
      <c r="Q423" s="310"/>
      <c r="R423" s="114"/>
      <c r="S423" s="1103"/>
      <c r="T423" s="114"/>
      <c r="U423" s="246"/>
      <c r="V423" s="114"/>
      <c r="W423" s="246"/>
      <c r="X423" s="246"/>
      <c r="Y423" s="114"/>
      <c r="Z423" s="114"/>
      <c r="AA423" s="114"/>
      <c r="AB423" s="114"/>
      <c r="AC423" s="114"/>
      <c r="AD423" s="114"/>
      <c r="AE423" s="246"/>
      <c r="AF423" s="250"/>
      <c r="AG423" s="310"/>
      <c r="AH423" s="114"/>
      <c r="AI423" s="114"/>
      <c r="AJ423" s="114"/>
      <c r="AK423" s="246"/>
      <c r="AL423" s="114"/>
      <c r="AM423" s="246"/>
      <c r="AN423" s="246"/>
      <c r="AO423" s="246"/>
      <c r="AP423" s="246"/>
      <c r="AQ423" s="246"/>
      <c r="AR423" s="246"/>
      <c r="AS423" s="114"/>
      <c r="AT423" s="114"/>
      <c r="AU423" s="114"/>
      <c r="AV423" s="114"/>
      <c r="AW423" s="114"/>
      <c r="AX423" s="310"/>
      <c r="AY423" s="114"/>
      <c r="AZ423" s="246"/>
      <c r="BA423" s="114"/>
      <c r="BC423" s="114"/>
      <c r="BD423" s="114"/>
      <c r="BE423" s="114"/>
      <c r="BF423" s="114"/>
      <c r="BG423" s="114"/>
      <c r="BH423" s="114"/>
      <c r="BI423" s="114"/>
      <c r="BJ423" s="114"/>
      <c r="BK423" s="114"/>
      <c r="BL423" s="114"/>
      <c r="BM423" s="114"/>
      <c r="BN423" s="114"/>
      <c r="BO423" s="114"/>
      <c r="BP423" s="114"/>
      <c r="BQ423" s="114"/>
      <c r="BR423" s="114"/>
      <c r="BS423" s="114"/>
      <c r="BT423" s="114"/>
      <c r="BU423" s="114"/>
      <c r="BV423" s="114"/>
      <c r="BW423" s="114"/>
      <c r="BX423" s="114"/>
      <c r="BY423" s="114"/>
      <c r="BZ423" s="114"/>
      <c r="CA423" s="114"/>
      <c r="CB423" s="114"/>
      <c r="CC423" s="114"/>
      <c r="CD423" s="114"/>
      <c r="CE423" s="114"/>
      <c r="CF423" s="114"/>
      <c r="CG423" s="114"/>
    </row>
    <row r="424" spans="1:85" hidden="1" outlineLevel="1">
      <c r="A424" s="114" t="s">
        <v>115</v>
      </c>
      <c r="B424" s="245" t="s">
        <v>96</v>
      </c>
      <c r="C424" s="114"/>
      <c r="D424" s="1045" t="e">
        <f>(S424/S417-1)*100</f>
        <v>#DIV/0!</v>
      </c>
      <c r="E424" s="246" t="s">
        <v>76</v>
      </c>
      <c r="F424" s="1288">
        <v>5</v>
      </c>
      <c r="G424" s="246" t="s">
        <v>76</v>
      </c>
      <c r="H424" s="1144" t="e">
        <f>D424-F424</f>
        <v>#DIV/0!</v>
      </c>
      <c r="I424" s="246" t="s">
        <v>76</v>
      </c>
      <c r="J424" s="1047">
        <v>16</v>
      </c>
      <c r="K424" s="1063">
        <f>J424-J420</f>
        <v>0</v>
      </c>
      <c r="L424" s="1122">
        <f>AVERAGE(J424,J420)</f>
        <v>16</v>
      </c>
      <c r="M424" s="114"/>
      <c r="N424" s="1144">
        <f>(L424/L417-1)*100</f>
        <v>6.6666666666666652</v>
      </c>
      <c r="O424" s="246" t="s">
        <v>76</v>
      </c>
      <c r="P424" s="1124" t="e">
        <f>H424/N424*100</f>
        <v>#DIV/0!</v>
      </c>
      <c r="Q424" s="310" t="s">
        <v>76</v>
      </c>
      <c r="R424" s="114"/>
      <c r="S424" s="1102"/>
      <c r="T424" s="114"/>
      <c r="U424" s="1095"/>
      <c r="V424" s="114"/>
      <c r="W424" s="1144"/>
      <c r="X424" s="246" t="s">
        <v>76</v>
      </c>
      <c r="Y424" s="114"/>
      <c r="Z424" s="1047">
        <v>161</v>
      </c>
      <c r="AA424" s="114"/>
      <c r="AB424" s="1127"/>
      <c r="AC424" s="114"/>
      <c r="AD424" s="1144"/>
      <c r="AE424" s="246"/>
      <c r="AF424" s="1144"/>
      <c r="AG424" s="310"/>
      <c r="AH424" s="114"/>
      <c r="AI424" s="1129"/>
      <c r="AJ424" s="114"/>
      <c r="AK424" s="1097"/>
      <c r="AL424" s="114"/>
      <c r="AM424" s="1126"/>
      <c r="AN424" s="246"/>
      <c r="AO424" s="246"/>
      <c r="AP424" s="246"/>
      <c r="AQ424" s="246"/>
      <c r="AR424" s="246"/>
      <c r="AS424" s="1231"/>
      <c r="AT424" s="1231"/>
      <c r="AU424" s="114"/>
      <c r="AV424" s="1284"/>
      <c r="AW424" s="114"/>
      <c r="AX424" s="310"/>
      <c r="AY424" s="1050"/>
      <c r="AZ424" s="1260">
        <f>S62/$S$52</f>
        <v>0.15552444424137987</v>
      </c>
      <c r="BA424" s="114"/>
      <c r="BC424" s="114"/>
      <c r="BD424" s="114"/>
      <c r="BE424" s="114"/>
      <c r="BF424" s="114"/>
      <c r="BG424" s="114"/>
      <c r="BH424" s="114"/>
      <c r="BI424" s="114"/>
      <c r="BJ424" s="114"/>
      <c r="BK424" s="114"/>
      <c r="BL424" s="114"/>
      <c r="BM424" s="114"/>
      <c r="BN424" s="114"/>
      <c r="BO424" s="114"/>
      <c r="BP424" s="114"/>
      <c r="BQ424" s="114"/>
      <c r="BR424" s="114"/>
      <c r="BS424" s="114"/>
      <c r="BT424" s="114"/>
      <c r="BU424" s="114"/>
      <c r="BV424" s="114"/>
      <c r="BW424" s="114"/>
      <c r="BX424" s="114"/>
      <c r="BY424" s="114"/>
      <c r="BZ424" s="114"/>
      <c r="CA424" s="114"/>
      <c r="CB424" s="114"/>
      <c r="CC424" s="114"/>
      <c r="CD424" s="114"/>
      <c r="CE424" s="114"/>
      <c r="CF424" s="114"/>
      <c r="CG424" s="114"/>
    </row>
    <row r="425" spans="1:85" hidden="1" outlineLevel="1">
      <c r="A425" s="114" t="s">
        <v>116</v>
      </c>
      <c r="B425" s="245" t="s">
        <v>97</v>
      </c>
      <c r="C425" s="114"/>
      <c r="D425" s="1045" t="e">
        <f>(S425/S418-1)*100</f>
        <v>#DIV/0!</v>
      </c>
      <c r="E425" s="114"/>
      <c r="F425" s="1288">
        <v>5</v>
      </c>
      <c r="G425" s="114"/>
      <c r="H425" s="1144" t="e">
        <f>D425-F425</f>
        <v>#DIV/0!</v>
      </c>
      <c r="I425" s="114"/>
      <c r="J425" s="1047">
        <v>17</v>
      </c>
      <c r="K425" s="1063">
        <f>J425-J424</f>
        <v>1</v>
      </c>
      <c r="L425" s="1122">
        <f>AVERAGE(J425,J424)</f>
        <v>16.5</v>
      </c>
      <c r="M425" s="114"/>
      <c r="N425" s="1144">
        <f>(L425/L418-1)*100</f>
        <v>3.125</v>
      </c>
      <c r="O425" s="246"/>
      <c r="P425" s="1124" t="e">
        <f>H425/N425*100</f>
        <v>#DIV/0!</v>
      </c>
      <c r="Q425" s="310"/>
      <c r="R425" s="114"/>
      <c r="S425" s="1102"/>
      <c r="T425" s="114"/>
      <c r="U425" s="1089"/>
      <c r="V425" s="114"/>
      <c r="W425" s="1144"/>
      <c r="X425" s="246"/>
      <c r="Y425" s="114"/>
      <c r="Z425" s="1047">
        <v>166</v>
      </c>
      <c r="AA425" s="1057"/>
      <c r="AB425" s="1127"/>
      <c r="AC425" s="114"/>
      <c r="AD425" s="1144"/>
      <c r="AE425" s="246"/>
      <c r="AF425" s="1144"/>
      <c r="AG425" s="310"/>
      <c r="AH425" s="114"/>
      <c r="AI425" s="1132"/>
      <c r="AJ425" s="114"/>
      <c r="AK425" s="1106"/>
      <c r="AL425" s="114"/>
      <c r="AM425" s="1126"/>
      <c r="AN425" s="246"/>
      <c r="AO425" s="246"/>
      <c r="AP425" s="246"/>
      <c r="AQ425" s="246"/>
      <c r="AR425" s="246"/>
      <c r="AS425" s="1231"/>
      <c r="AT425" s="1231"/>
      <c r="AU425" s="114"/>
      <c r="AV425" s="1284"/>
      <c r="AW425" s="114"/>
      <c r="AX425" s="310"/>
      <c r="AY425" s="1102"/>
      <c r="AZ425" s="1260">
        <f>S63/$S$52</f>
        <v>0.17437478646962432</v>
      </c>
      <c r="BA425" s="114"/>
      <c r="BC425" s="114"/>
      <c r="BD425" s="114"/>
      <c r="BE425" s="114"/>
      <c r="BF425" s="114"/>
      <c r="BG425" s="114"/>
      <c r="BH425" s="114"/>
      <c r="BI425" s="114"/>
      <c r="BJ425" s="114"/>
      <c r="BK425" s="114"/>
      <c r="BL425" s="114"/>
      <c r="BM425" s="114"/>
      <c r="BN425" s="114"/>
      <c r="BO425" s="114"/>
      <c r="BP425" s="114"/>
      <c r="BQ425" s="114"/>
      <c r="BR425" s="114"/>
      <c r="BS425" s="114"/>
      <c r="BT425" s="114"/>
      <c r="BU425" s="114"/>
      <c r="BV425" s="114"/>
      <c r="BW425" s="114"/>
      <c r="BX425" s="114"/>
      <c r="BY425" s="114"/>
      <c r="BZ425" s="114"/>
      <c r="CA425" s="114"/>
      <c r="CB425" s="114"/>
      <c r="CC425" s="114"/>
      <c r="CD425" s="114"/>
      <c r="CE425" s="114"/>
      <c r="CF425" s="114"/>
      <c r="CG425" s="114"/>
    </row>
    <row r="426" spans="1:85" hidden="1" outlineLevel="1">
      <c r="A426" s="114" t="s">
        <v>117</v>
      </c>
      <c r="B426" s="245" t="s">
        <v>99</v>
      </c>
      <c r="C426" s="114"/>
      <c r="D426" s="1045" t="e">
        <f>(S426/S419-1)*100</f>
        <v>#DIV/0!</v>
      </c>
      <c r="E426" s="114"/>
      <c r="F426" s="1288">
        <v>5</v>
      </c>
      <c r="G426" s="114"/>
      <c r="H426" s="1144" t="e">
        <f>D426-F426</f>
        <v>#DIV/0!</v>
      </c>
      <c r="I426" s="114"/>
      <c r="J426" s="1047">
        <v>17</v>
      </c>
      <c r="K426" s="1063">
        <f>J426-J425</f>
        <v>0</v>
      </c>
      <c r="L426" s="1122">
        <f>AVERAGE(J426,J425)</f>
        <v>17</v>
      </c>
      <c r="M426" s="114"/>
      <c r="N426" s="1144">
        <f>(L426/L419-1)*100</f>
        <v>6.25</v>
      </c>
      <c r="O426" s="246"/>
      <c r="P426" s="1124" t="e">
        <f>H426/N426*100</f>
        <v>#DIV/0!</v>
      </c>
      <c r="Q426" s="310"/>
      <c r="R426" s="114"/>
      <c r="S426" s="1102"/>
      <c r="T426" s="114"/>
      <c r="U426" s="1089"/>
      <c r="V426" s="114"/>
      <c r="W426" s="1144"/>
      <c r="X426" s="246"/>
      <c r="Y426" s="114"/>
      <c r="Z426" s="1047">
        <v>166</v>
      </c>
      <c r="AA426" s="1057"/>
      <c r="AB426" s="1127"/>
      <c r="AC426" s="114"/>
      <c r="AD426" s="1144"/>
      <c r="AE426" s="246"/>
      <c r="AF426" s="1144"/>
      <c r="AG426" s="310"/>
      <c r="AH426" s="114"/>
      <c r="AI426" s="1132"/>
      <c r="AJ426" s="114"/>
      <c r="AK426" s="1106"/>
      <c r="AL426" s="114"/>
      <c r="AM426" s="1126"/>
      <c r="AN426" s="246"/>
      <c r="AO426" s="246"/>
      <c r="AP426" s="246"/>
      <c r="AQ426" s="246"/>
      <c r="AR426" s="246"/>
      <c r="AS426" s="1231"/>
      <c r="AT426" s="1231"/>
      <c r="AU426" s="114"/>
      <c r="AV426" s="1284"/>
      <c r="AW426" s="114"/>
      <c r="AX426" s="310"/>
      <c r="AY426" s="1102">
        <v>9.3000000000000007</v>
      </c>
      <c r="AZ426" s="1260">
        <f>S64/$S$52</f>
        <v>0.19455296655776194</v>
      </c>
      <c r="BA426" s="114"/>
      <c r="BC426" s="114"/>
      <c r="BD426" s="114"/>
      <c r="BE426" s="114"/>
      <c r="BF426" s="114"/>
      <c r="BG426" s="114"/>
      <c r="BH426" s="114"/>
      <c r="BI426" s="114"/>
      <c r="BJ426" s="114"/>
      <c r="BK426" s="114"/>
      <c r="BL426" s="114"/>
      <c r="BM426" s="114"/>
      <c r="BN426" s="114"/>
      <c r="BO426" s="114"/>
      <c r="BP426" s="114"/>
      <c r="BQ426" s="114"/>
      <c r="BR426" s="114"/>
      <c r="BS426" s="114"/>
      <c r="BT426" s="114"/>
      <c r="BU426" s="114"/>
      <c r="BV426" s="114"/>
      <c r="BW426" s="114"/>
      <c r="BX426" s="114"/>
      <c r="BY426" s="114"/>
      <c r="BZ426" s="114"/>
      <c r="CA426" s="114"/>
      <c r="CB426" s="114"/>
      <c r="CC426" s="114"/>
      <c r="CD426" s="114"/>
      <c r="CE426" s="114"/>
      <c r="CF426" s="114"/>
      <c r="CG426" s="114"/>
    </row>
    <row r="427" spans="1:85" hidden="1" outlineLevel="1">
      <c r="A427" s="114" t="s">
        <v>118</v>
      </c>
      <c r="B427" s="245" t="s">
        <v>100</v>
      </c>
      <c r="C427" s="114"/>
      <c r="D427" s="1107" t="e">
        <f>(S427/S420-1)*100</f>
        <v>#DIV/0!</v>
      </c>
      <c r="E427" s="114"/>
      <c r="F427" s="1290">
        <v>5</v>
      </c>
      <c r="G427" s="114"/>
      <c r="H427" s="1104" t="e">
        <f>D427-F427</f>
        <v>#DIV/0!</v>
      </c>
      <c r="I427" s="114"/>
      <c r="J427" s="1063">
        <f>squft!$CE$50</f>
        <v>19</v>
      </c>
      <c r="K427" s="1047">
        <f>J427-J426</f>
        <v>2</v>
      </c>
      <c r="L427" s="1108">
        <f>AVERAGE(J427,J426)</f>
        <v>18</v>
      </c>
      <c r="M427" s="114"/>
      <c r="N427" s="1104">
        <f>(L427/L420-1)*100</f>
        <v>12.5</v>
      </c>
      <c r="O427" s="246"/>
      <c r="P427" s="1108" t="e">
        <f>H427/N427*100</f>
        <v>#DIV/0!</v>
      </c>
      <c r="Q427" s="310"/>
      <c r="R427" s="114"/>
      <c r="S427" s="1145"/>
      <c r="T427" s="114"/>
      <c r="U427" s="1092"/>
      <c r="V427" s="114"/>
      <c r="W427" s="1104"/>
      <c r="X427" s="246"/>
      <c r="Y427" s="114"/>
      <c r="Z427" s="1291">
        <f>+squft!CG50</f>
        <v>183</v>
      </c>
      <c r="AA427" s="1057"/>
      <c r="AB427" s="1110"/>
      <c r="AC427" s="114"/>
      <c r="AD427" s="1104"/>
      <c r="AE427" s="246"/>
      <c r="AF427" s="1104"/>
      <c r="AG427" s="310"/>
      <c r="AH427" s="114"/>
      <c r="AI427" s="1111"/>
      <c r="AJ427" s="114"/>
      <c r="AK427" s="1135"/>
      <c r="AL427" s="114"/>
      <c r="AM427" s="1134"/>
      <c r="AN427" s="246"/>
      <c r="AO427" s="246"/>
      <c r="AP427" s="246"/>
      <c r="AQ427" s="246"/>
      <c r="AR427" s="246"/>
      <c r="AS427" s="1280"/>
      <c r="AT427" s="1280"/>
      <c r="AU427" s="1042"/>
      <c r="AV427" s="1285"/>
      <c r="AW427" s="114"/>
      <c r="AX427" s="310"/>
      <c r="AY427" s="1092"/>
      <c r="AZ427" s="1260">
        <f>S65/$S$52</f>
        <v>0.22781835659976224</v>
      </c>
      <c r="BA427" s="114"/>
      <c r="BC427" s="114"/>
      <c r="BD427" s="114"/>
      <c r="BE427" s="114"/>
      <c r="BF427" s="114"/>
      <c r="BG427" s="114"/>
      <c r="BH427" s="114"/>
      <c r="BI427" s="114"/>
      <c r="BJ427" s="114"/>
      <c r="BK427" s="114"/>
      <c r="BL427" s="114"/>
      <c r="BM427" s="114"/>
      <c r="BN427" s="114"/>
      <c r="BO427" s="114"/>
      <c r="BP427" s="114"/>
      <c r="BQ427" s="114"/>
      <c r="BR427" s="114"/>
      <c r="BS427" s="114"/>
      <c r="BT427" s="114"/>
      <c r="BU427" s="114"/>
      <c r="BV427" s="114"/>
      <c r="BW427" s="114"/>
      <c r="BX427" s="114"/>
      <c r="BY427" s="114"/>
      <c r="BZ427" s="114"/>
      <c r="CA427" s="114"/>
      <c r="CB427" s="114"/>
      <c r="CC427" s="114"/>
      <c r="CD427" s="114"/>
      <c r="CE427" s="114"/>
      <c r="CF427" s="114"/>
      <c r="CG427" s="114"/>
    </row>
    <row r="428" spans="1:85" hidden="1" outlineLevel="1">
      <c r="A428" s="114"/>
      <c r="B428" s="245" t="s">
        <v>119</v>
      </c>
      <c r="C428" s="114"/>
      <c r="D428" s="1123" t="e">
        <f>(S428/S421-1)*100</f>
        <v>#DIV/0!</v>
      </c>
      <c r="E428" s="114"/>
      <c r="F428" s="1139" t="e">
        <f>S424/S428*F424+S425/S428*F425+S426/S428*F426+S427/S428*F427</f>
        <v>#DIV/0!</v>
      </c>
      <c r="G428" s="114"/>
      <c r="H428" s="1126" t="e">
        <f>D428-F428</f>
        <v>#DIV/0!</v>
      </c>
      <c r="I428" s="114"/>
      <c r="J428" s="114"/>
      <c r="K428" s="114"/>
      <c r="L428" s="1122">
        <f>AVERAGE(L424:L427)</f>
        <v>16.875</v>
      </c>
      <c r="M428" s="114"/>
      <c r="N428" s="1144">
        <f>(L428/L421-1)*100</f>
        <v>7.1428571428571397</v>
      </c>
      <c r="O428" s="246"/>
      <c r="P428" s="1049"/>
      <c r="Q428" s="310"/>
      <c r="R428" s="114"/>
      <c r="S428" s="1095"/>
      <c r="T428" s="114"/>
      <c r="U428" s="1095"/>
      <c r="V428" s="114"/>
      <c r="W428" s="1144"/>
      <c r="X428" s="246"/>
      <c r="Y428" s="114"/>
      <c r="Z428" s="114"/>
      <c r="AA428" s="114"/>
      <c r="AB428" s="1127"/>
      <c r="AC428" s="114"/>
      <c r="AD428" s="1144"/>
      <c r="AE428" s="246"/>
      <c r="AF428" s="1144"/>
      <c r="AG428" s="310"/>
      <c r="AH428" s="114"/>
      <c r="AI428" s="1129"/>
      <c r="AJ428" s="114"/>
      <c r="AK428" s="1097"/>
      <c r="AL428" s="114"/>
      <c r="AM428" s="1126"/>
      <c r="AN428" s="246"/>
      <c r="AO428" s="246"/>
      <c r="AP428" s="246"/>
      <c r="AQ428" s="246"/>
      <c r="AR428" s="246"/>
      <c r="AS428" s="1231"/>
      <c r="AT428" s="1231"/>
      <c r="AU428" s="114"/>
      <c r="AV428" s="1284"/>
      <c r="AW428" s="114"/>
      <c r="AX428" s="310"/>
      <c r="AY428" s="1142"/>
      <c r="AZ428" s="246"/>
      <c r="BA428" s="114"/>
      <c r="BC428" s="114"/>
      <c r="BD428" s="114"/>
      <c r="BE428" s="114"/>
      <c r="BF428" s="114"/>
      <c r="BG428" s="114"/>
      <c r="BH428" s="114"/>
      <c r="BI428" s="114"/>
      <c r="BJ428" s="114"/>
      <c r="BK428" s="114"/>
      <c r="BL428" s="114"/>
      <c r="BM428" s="114"/>
      <c r="BN428" s="114"/>
      <c r="BO428" s="114"/>
      <c r="BP428" s="114"/>
      <c r="BQ428" s="114"/>
      <c r="BR428" s="114"/>
      <c r="BS428" s="114"/>
      <c r="BT428" s="114"/>
      <c r="BU428" s="114"/>
      <c r="BV428" s="114"/>
      <c r="BW428" s="114"/>
      <c r="BX428" s="114"/>
      <c r="BY428" s="114"/>
      <c r="BZ428" s="114"/>
      <c r="CA428" s="114"/>
      <c r="CB428" s="114"/>
      <c r="CC428" s="114"/>
      <c r="CD428" s="114"/>
      <c r="CE428" s="114"/>
      <c r="CF428" s="114"/>
      <c r="CG428" s="114"/>
    </row>
    <row r="429" spans="1:85" hidden="1" outlineLevel="1">
      <c r="B429" s="200"/>
      <c r="S429" s="86"/>
      <c r="AF429" s="201"/>
      <c r="AK429" s="86"/>
      <c r="AM429" s="86"/>
      <c r="AX429" s="97"/>
      <c r="AZ429" s="86"/>
    </row>
    <row r="430" spans="1:85" hidden="1" outlineLevel="1">
      <c r="A430" s="1120"/>
      <c r="B430" s="1113">
        <v>2011</v>
      </c>
      <c r="C430" s="114"/>
      <c r="D430" s="114"/>
      <c r="E430" s="246"/>
      <c r="F430" s="114"/>
      <c r="G430" s="246"/>
      <c r="H430" s="114"/>
      <c r="I430" s="246"/>
      <c r="J430" s="114"/>
      <c r="K430" s="114"/>
      <c r="L430" s="114"/>
      <c r="M430" s="114"/>
      <c r="N430" s="246"/>
      <c r="O430" s="246"/>
      <c r="P430" s="310"/>
      <c r="Q430" s="310"/>
      <c r="R430" s="114"/>
      <c r="S430" s="1103"/>
      <c r="T430" s="114"/>
      <c r="U430" s="246"/>
      <c r="V430" s="114"/>
      <c r="W430" s="246"/>
      <c r="X430" s="246"/>
      <c r="Y430" s="114"/>
      <c r="Z430" s="114"/>
      <c r="AA430" s="114"/>
      <c r="AB430" s="114"/>
      <c r="AC430" s="114"/>
      <c r="AD430" s="114"/>
      <c r="AE430" s="246"/>
      <c r="AF430" s="250"/>
      <c r="AG430" s="310"/>
      <c r="AH430" s="114"/>
      <c r="AI430" s="114"/>
      <c r="AJ430" s="114"/>
      <c r="AK430" s="246"/>
      <c r="AL430" s="114"/>
      <c r="AM430" s="246"/>
      <c r="AN430" s="246"/>
      <c r="AO430" s="246"/>
      <c r="AP430" s="246"/>
      <c r="AQ430" s="246"/>
      <c r="AR430" s="246"/>
      <c r="AS430" s="114"/>
      <c r="AT430" s="114"/>
      <c r="AU430" s="114"/>
      <c r="AV430" s="114"/>
      <c r="AW430" s="114"/>
      <c r="AX430" s="310"/>
      <c r="AY430" s="114"/>
      <c r="AZ430" s="246"/>
      <c r="BA430" s="114"/>
      <c r="BC430" s="114"/>
      <c r="BD430" s="114"/>
      <c r="BE430" s="114"/>
      <c r="BF430" s="114"/>
      <c r="BG430" s="114"/>
      <c r="BH430" s="114"/>
      <c r="BI430" s="114"/>
      <c r="BJ430" s="114"/>
      <c r="BK430" s="114"/>
      <c r="BL430" s="114"/>
      <c r="BM430" s="114"/>
      <c r="BN430" s="114"/>
      <c r="BO430" s="114"/>
      <c r="BP430" s="114"/>
      <c r="BQ430" s="114"/>
      <c r="BR430" s="114"/>
      <c r="BS430" s="114"/>
      <c r="BT430" s="114"/>
      <c r="BU430" s="114"/>
      <c r="BV430" s="114"/>
      <c r="BW430" s="114"/>
      <c r="BX430" s="114"/>
      <c r="BY430" s="114"/>
      <c r="BZ430" s="114"/>
      <c r="CA430" s="114"/>
      <c r="CB430" s="114"/>
      <c r="CC430" s="114"/>
      <c r="CD430" s="114"/>
      <c r="CE430" s="114"/>
      <c r="CF430" s="114"/>
      <c r="CG430" s="114"/>
    </row>
    <row r="431" spans="1:85" hidden="1" outlineLevel="1">
      <c r="A431" s="114" t="s">
        <v>115</v>
      </c>
      <c r="B431" s="245" t="s">
        <v>96</v>
      </c>
      <c r="C431" s="114"/>
      <c r="D431" s="1045" t="e">
        <f>(S431/S424-1)*100</f>
        <v>#DIV/0!</v>
      </c>
      <c r="E431" s="246" t="s">
        <v>76</v>
      </c>
      <c r="F431" s="1288">
        <v>28</v>
      </c>
      <c r="G431" s="246" t="s">
        <v>76</v>
      </c>
      <c r="H431" s="1144" t="e">
        <f>D431-F431</f>
        <v>#DIV/0!</v>
      </c>
      <c r="I431" s="246" t="s">
        <v>76</v>
      </c>
      <c r="J431" s="1047">
        <v>19</v>
      </c>
      <c r="K431" s="1063">
        <f>J431-J427</f>
        <v>0</v>
      </c>
      <c r="L431" s="1122">
        <f>AVERAGE(J431,J427)</f>
        <v>19</v>
      </c>
      <c r="M431" s="114"/>
      <c r="N431" s="1144">
        <f>(L431/L424-1)*100</f>
        <v>18.75</v>
      </c>
      <c r="O431" s="246" t="s">
        <v>76</v>
      </c>
      <c r="P431" s="1124" t="e">
        <f>H431/N431*100</f>
        <v>#DIV/0!</v>
      </c>
      <c r="Q431" s="310" t="s">
        <v>76</v>
      </c>
      <c r="R431" s="114"/>
      <c r="S431" s="1102"/>
      <c r="T431" s="114"/>
      <c r="U431" s="1095"/>
      <c r="V431" s="114"/>
      <c r="W431" s="1144"/>
      <c r="X431" s="246" t="s">
        <v>76</v>
      </c>
      <c r="Y431" s="114"/>
      <c r="Z431" s="1047">
        <v>183</v>
      </c>
      <c r="AA431" s="114"/>
      <c r="AB431" s="1127"/>
      <c r="AC431" s="114"/>
      <c r="AD431" s="1144"/>
      <c r="AE431" s="246"/>
      <c r="AF431" s="1144"/>
      <c r="AG431" s="310"/>
      <c r="AH431" s="114"/>
      <c r="AI431" s="1129"/>
      <c r="AJ431" s="114"/>
      <c r="AK431" s="1097"/>
      <c r="AL431" s="114"/>
      <c r="AM431" s="1126"/>
      <c r="AN431" s="246"/>
      <c r="AO431" s="246"/>
      <c r="AP431" s="246"/>
      <c r="AQ431" s="246"/>
      <c r="AR431" s="246"/>
      <c r="AS431" s="1231"/>
      <c r="AT431" s="1231"/>
      <c r="AU431" s="114"/>
      <c r="AV431" s="1284"/>
      <c r="AW431" s="114"/>
      <c r="AX431" s="310"/>
      <c r="AY431" s="1050"/>
      <c r="AZ431" s="1260">
        <f>S69/$S$52</f>
        <v>0.17214452349567211</v>
      </c>
      <c r="BA431" s="114"/>
      <c r="BC431" s="114"/>
      <c r="BD431" s="114"/>
      <c r="BE431" s="114"/>
      <c r="BF431" s="114"/>
      <c r="BG431" s="114"/>
      <c r="BH431" s="114"/>
      <c r="BI431" s="114"/>
      <c r="BJ431" s="114"/>
      <c r="BK431" s="114"/>
      <c r="BL431" s="114"/>
      <c r="BM431" s="114"/>
      <c r="BN431" s="114"/>
      <c r="BO431" s="114"/>
      <c r="BP431" s="114"/>
      <c r="BQ431" s="114"/>
      <c r="BR431" s="114"/>
      <c r="BS431" s="114"/>
      <c r="BT431" s="114"/>
      <c r="BU431" s="114"/>
      <c r="BV431" s="114"/>
      <c r="BW431" s="114"/>
      <c r="BX431" s="114"/>
      <c r="BY431" s="114"/>
      <c r="BZ431" s="114"/>
      <c r="CA431" s="114"/>
      <c r="CB431" s="114"/>
      <c r="CC431" s="114"/>
      <c r="CD431" s="114"/>
      <c r="CE431" s="114"/>
      <c r="CF431" s="114"/>
      <c r="CG431" s="114"/>
    </row>
    <row r="432" spans="1:85" hidden="1" outlineLevel="1">
      <c r="A432" s="114" t="s">
        <v>116</v>
      </c>
      <c r="B432" s="245" t="s">
        <v>97</v>
      </c>
      <c r="C432" s="114"/>
      <c r="D432" s="1045" t="e">
        <f>(S432/S425-1)*100</f>
        <v>#DIV/0!</v>
      </c>
      <c r="E432" s="114"/>
      <c r="F432" s="1288">
        <v>30</v>
      </c>
      <c r="G432" s="114"/>
      <c r="H432" s="1144" t="e">
        <f>D432-F432</f>
        <v>#DIV/0!</v>
      </c>
      <c r="I432" s="114"/>
      <c r="J432" s="1047">
        <f>18+1</f>
        <v>19</v>
      </c>
      <c r="K432" s="1063">
        <f>J432-J431</f>
        <v>0</v>
      </c>
      <c r="L432" s="1122">
        <f>AVERAGE(J432,J431)</f>
        <v>19</v>
      </c>
      <c r="M432" s="114"/>
      <c r="N432" s="1144">
        <f>(L432/L425-1)*100</f>
        <v>15.151515151515159</v>
      </c>
      <c r="O432" s="246"/>
      <c r="P432" s="1124" t="e">
        <f>H432/N432*100</f>
        <v>#DIV/0!</v>
      </c>
      <c r="Q432" s="310"/>
      <c r="R432" s="114"/>
      <c r="S432" s="1102"/>
      <c r="T432" s="114"/>
      <c r="U432" s="1089"/>
      <c r="V432" s="114"/>
      <c r="W432" s="1144"/>
      <c r="X432" s="246"/>
      <c r="Y432" s="114"/>
      <c r="Z432" s="1047">
        <v>183</v>
      </c>
      <c r="AA432" s="1057"/>
      <c r="AB432" s="1127"/>
      <c r="AC432" s="114"/>
      <c r="AD432" s="1144"/>
      <c r="AE432" s="246"/>
      <c r="AF432" s="1144"/>
      <c r="AG432" s="310"/>
      <c r="AH432" s="114"/>
      <c r="AI432" s="1132"/>
      <c r="AJ432" s="114"/>
      <c r="AK432" s="1106"/>
      <c r="AL432" s="114"/>
      <c r="AM432" s="1126"/>
      <c r="AN432" s="246"/>
      <c r="AO432" s="246"/>
      <c r="AP432" s="246"/>
      <c r="AQ432" s="246"/>
      <c r="AR432" s="246"/>
      <c r="AS432" s="1231"/>
      <c r="AT432" s="1231"/>
      <c r="AU432" s="114"/>
      <c r="AV432" s="1284"/>
      <c r="AW432" s="114"/>
      <c r="AX432" s="310"/>
      <c r="AY432" s="1102"/>
      <c r="AZ432" s="1260">
        <f>S70/$S$52</f>
        <v>0.19939730731803124</v>
      </c>
      <c r="BA432" s="114"/>
      <c r="BC432" s="114"/>
      <c r="BD432" s="114"/>
      <c r="BE432" s="114"/>
      <c r="BF432" s="114"/>
      <c r="BG432" s="114"/>
      <c r="BH432" s="114"/>
      <c r="BI432" s="114"/>
      <c r="BJ432" s="114"/>
      <c r="BK432" s="114"/>
      <c r="BL432" s="114"/>
      <c r="BM432" s="114"/>
      <c r="BN432" s="114"/>
      <c r="BO432" s="114"/>
      <c r="BP432" s="114"/>
      <c r="BQ432" s="114"/>
      <c r="BR432" s="114"/>
      <c r="BS432" s="114"/>
      <c r="BT432" s="114"/>
      <c r="BU432" s="114"/>
      <c r="BV432" s="114"/>
      <c r="BW432" s="114"/>
      <c r="BX432" s="114"/>
      <c r="BY432" s="114"/>
      <c r="BZ432" s="114"/>
      <c r="CA432" s="114"/>
      <c r="CB432" s="114"/>
      <c r="CC432" s="114"/>
      <c r="CD432" s="114"/>
      <c r="CE432" s="114"/>
      <c r="CF432" s="114"/>
      <c r="CG432" s="114"/>
    </row>
    <row r="433" spans="1:85" hidden="1" outlineLevel="1">
      <c r="A433" s="114" t="s">
        <v>117</v>
      </c>
      <c r="B433" s="245" t="s">
        <v>99</v>
      </c>
      <c r="C433" s="114"/>
      <c r="D433" s="1045" t="e">
        <f>(S433/S426-1)*100</f>
        <v>#DIV/0!</v>
      </c>
      <c r="E433" s="114"/>
      <c r="F433" s="1288">
        <v>30</v>
      </c>
      <c r="G433" s="114"/>
      <c r="H433" s="1144" t="e">
        <f>D433-F433</f>
        <v>#DIV/0!</v>
      </c>
      <c r="I433" s="114"/>
      <c r="J433" s="1047">
        <v>19</v>
      </c>
      <c r="K433" s="1063">
        <f>J433-J432</f>
        <v>0</v>
      </c>
      <c r="L433" s="1122">
        <f>AVERAGE(J433,J432)</f>
        <v>19</v>
      </c>
      <c r="M433" s="114"/>
      <c r="N433" s="1144">
        <f>(L433/L426-1)*100</f>
        <v>11.764705882352944</v>
      </c>
      <c r="O433" s="246"/>
      <c r="P433" s="1124" t="e">
        <f>H433/N433*100</f>
        <v>#DIV/0!</v>
      </c>
      <c r="Q433" s="310"/>
      <c r="R433" s="114"/>
      <c r="S433" s="1102"/>
      <c r="T433" s="114"/>
      <c r="U433" s="1089"/>
      <c r="V433" s="114"/>
      <c r="W433" s="1144"/>
      <c r="X433" s="246"/>
      <c r="Y433" s="114"/>
      <c r="Z433" s="1047">
        <v>183</v>
      </c>
      <c r="AA433" s="1057"/>
      <c r="AB433" s="1127"/>
      <c r="AC433" s="114"/>
      <c r="AD433" s="1144"/>
      <c r="AE433" s="246"/>
      <c r="AF433" s="1144"/>
      <c r="AG433" s="310"/>
      <c r="AH433" s="114"/>
      <c r="AI433" s="1132"/>
      <c r="AJ433" s="114"/>
      <c r="AK433" s="1106"/>
      <c r="AL433" s="114"/>
      <c r="AM433" s="1126"/>
      <c r="AN433" s="246"/>
      <c r="AO433" s="246"/>
      <c r="AP433" s="246"/>
      <c r="AQ433" s="246"/>
      <c r="AR433" s="246"/>
      <c r="AS433" s="1231"/>
      <c r="AT433" s="1231"/>
      <c r="AU433" s="114"/>
      <c r="AV433" s="1284"/>
      <c r="AW433" s="114"/>
      <c r="AX433" s="310"/>
      <c r="AY433" s="1102">
        <v>17.600000000000001</v>
      </c>
      <c r="AZ433" s="1260">
        <f>S71/$S$52</f>
        <v>0.22731565807589785</v>
      </c>
      <c r="BA433" s="114"/>
      <c r="BC433" s="114"/>
      <c r="BD433" s="114"/>
      <c r="BE433" s="114"/>
      <c r="BF433" s="114"/>
      <c r="BG433" s="114"/>
      <c r="BH433" s="114"/>
      <c r="BI433" s="114"/>
      <c r="BJ433" s="114"/>
      <c r="BK433" s="114"/>
      <c r="BL433" s="114"/>
      <c r="BM433" s="114"/>
      <c r="BN433" s="114"/>
      <c r="BO433" s="114"/>
      <c r="BP433" s="114"/>
      <c r="BQ433" s="114"/>
      <c r="BR433" s="114"/>
      <c r="BS433" s="114"/>
      <c r="BT433" s="114"/>
      <c r="BU433" s="114"/>
      <c r="BV433" s="114"/>
      <c r="BW433" s="114"/>
      <c r="BX433" s="114"/>
      <c r="BY433" s="114"/>
      <c r="BZ433" s="114"/>
      <c r="CA433" s="114"/>
      <c r="CB433" s="114"/>
      <c r="CC433" s="114"/>
      <c r="CD433" s="114"/>
      <c r="CE433" s="114"/>
      <c r="CF433" s="114"/>
      <c r="CG433" s="114"/>
    </row>
    <row r="434" spans="1:85" hidden="1" outlineLevel="1">
      <c r="A434" s="114" t="s">
        <v>118</v>
      </c>
      <c r="B434" s="245" t="s">
        <v>100</v>
      </c>
      <c r="C434" s="114"/>
      <c r="D434" s="1107" t="e">
        <f>(S434/S427-1)*100</f>
        <v>#DIV/0!</v>
      </c>
      <c r="E434" s="114"/>
      <c r="F434" s="1290">
        <v>30</v>
      </c>
      <c r="G434" s="114"/>
      <c r="H434" s="1104" t="e">
        <f>D434-F434</f>
        <v>#DIV/0!</v>
      </c>
      <c r="I434" s="114"/>
      <c r="J434" s="1063">
        <f>squft!$CI$50</f>
        <v>20</v>
      </c>
      <c r="K434" s="1063">
        <f>J434-J433</f>
        <v>1</v>
      </c>
      <c r="L434" s="1108">
        <f>AVERAGE(J434,J433)</f>
        <v>19.5</v>
      </c>
      <c r="M434" s="114"/>
      <c r="N434" s="1104">
        <f>(L434/L427-1)*100</f>
        <v>8.333333333333325</v>
      </c>
      <c r="O434" s="246"/>
      <c r="P434" s="1108" t="e">
        <f>H434/N434*100</f>
        <v>#DIV/0!</v>
      </c>
      <c r="Q434" s="310"/>
      <c r="R434" s="114"/>
      <c r="S434" s="1145"/>
      <c r="T434" s="114"/>
      <c r="U434" s="1092"/>
      <c r="V434" s="114"/>
      <c r="W434" s="1104"/>
      <c r="X434" s="246"/>
      <c r="Y434" s="114"/>
      <c r="Z434" s="1291">
        <f>+squft!CK50</f>
        <v>183</v>
      </c>
      <c r="AA434" s="1057"/>
      <c r="AB434" s="1110"/>
      <c r="AC434" s="114"/>
      <c r="AD434" s="1104"/>
      <c r="AE434" s="246"/>
      <c r="AF434" s="1104"/>
      <c r="AG434" s="310"/>
      <c r="AH434" s="114"/>
      <c r="AI434" s="1111"/>
      <c r="AJ434" s="114"/>
      <c r="AK434" s="1135"/>
      <c r="AL434" s="114"/>
      <c r="AM434" s="1134"/>
      <c r="AN434" s="246"/>
      <c r="AO434" s="246"/>
      <c r="AP434" s="246"/>
      <c r="AQ434" s="246"/>
      <c r="AR434" s="246"/>
      <c r="AS434" s="1280"/>
      <c r="AT434" s="1280"/>
      <c r="AU434" s="1042"/>
      <c r="AV434" s="1285"/>
      <c r="AW434" s="114"/>
      <c r="AX434" s="310"/>
      <c r="AY434" s="1092"/>
      <c r="AZ434" s="1260">
        <f>S72/$S$52</f>
        <v>0.25965907424821966</v>
      </c>
      <c r="BA434" s="114"/>
      <c r="BC434" s="114"/>
      <c r="BD434" s="114"/>
      <c r="BE434" s="114"/>
      <c r="BF434" s="114"/>
      <c r="BG434" s="114"/>
      <c r="BH434" s="114"/>
      <c r="BI434" s="114"/>
      <c r="BJ434" s="114"/>
      <c r="BK434" s="114"/>
      <c r="BL434" s="114"/>
      <c r="BM434" s="114"/>
      <c r="BN434" s="114"/>
      <c r="BO434" s="114"/>
      <c r="BP434" s="114"/>
      <c r="BQ434" s="114"/>
      <c r="BR434" s="114"/>
      <c r="BS434" s="114"/>
      <c r="BT434" s="114"/>
      <c r="BU434" s="114"/>
      <c r="BV434" s="114"/>
      <c r="BW434" s="114"/>
      <c r="BX434" s="114"/>
      <c r="BY434" s="114"/>
      <c r="BZ434" s="114"/>
      <c r="CA434" s="114"/>
      <c r="CB434" s="114"/>
      <c r="CC434" s="114"/>
      <c r="CD434" s="114"/>
      <c r="CE434" s="114"/>
      <c r="CF434" s="114"/>
      <c r="CG434" s="114"/>
    </row>
    <row r="435" spans="1:85" hidden="1" outlineLevel="1">
      <c r="A435" s="114"/>
      <c r="B435" s="245" t="s">
        <v>119</v>
      </c>
      <c r="C435" s="114"/>
      <c r="D435" s="1123" t="e">
        <f>(S435/S428-1)*100</f>
        <v>#DIV/0!</v>
      </c>
      <c r="E435" s="114"/>
      <c r="F435" s="1139" t="e">
        <f>S431/S435*F431+S432/S435*F432+S433/S435*F433+S434/S435*F434</f>
        <v>#DIV/0!</v>
      </c>
      <c r="G435" s="114"/>
      <c r="H435" s="1126" t="e">
        <f>D435-F435</f>
        <v>#DIV/0!</v>
      </c>
      <c r="I435" s="114"/>
      <c r="J435" s="114"/>
      <c r="K435" s="114"/>
      <c r="L435" s="1122">
        <f>AVERAGE(L431:L434)</f>
        <v>19.125</v>
      </c>
      <c r="M435" s="114"/>
      <c r="N435" s="1144">
        <f>(L435/L428-1)*100</f>
        <v>13.33333333333333</v>
      </c>
      <c r="O435" s="246"/>
      <c r="P435" s="1049"/>
      <c r="Q435" s="310"/>
      <c r="R435" s="114"/>
      <c r="S435" s="1095"/>
      <c r="T435" s="114"/>
      <c r="U435" s="1095"/>
      <c r="V435" s="114"/>
      <c r="W435" s="1144"/>
      <c r="X435" s="246"/>
      <c r="Y435" s="114"/>
      <c r="Z435" s="114"/>
      <c r="AA435" s="114"/>
      <c r="AB435" s="1127"/>
      <c r="AC435" s="114"/>
      <c r="AD435" s="1144"/>
      <c r="AE435" s="246"/>
      <c r="AF435" s="1144"/>
      <c r="AG435" s="310"/>
      <c r="AH435" s="114"/>
      <c r="AI435" s="1129"/>
      <c r="AJ435" s="114"/>
      <c r="AK435" s="1097"/>
      <c r="AL435" s="114"/>
      <c r="AM435" s="1126"/>
      <c r="AN435" s="246"/>
      <c r="AO435" s="246"/>
      <c r="AP435" s="246"/>
      <c r="AQ435" s="246"/>
      <c r="AR435" s="246"/>
      <c r="AS435" s="1231"/>
      <c r="AT435" s="1231"/>
      <c r="AU435" s="114"/>
      <c r="AV435" s="1284"/>
      <c r="AW435" s="114"/>
      <c r="AX435" s="310"/>
      <c r="AY435" s="1142"/>
      <c r="AZ435" s="246"/>
      <c r="BA435" s="114"/>
      <c r="BC435" s="114"/>
      <c r="BD435" s="114"/>
      <c r="BE435" s="114"/>
      <c r="BF435" s="114"/>
      <c r="BG435" s="114"/>
      <c r="BH435" s="114"/>
      <c r="BI435" s="114"/>
      <c r="BJ435" s="114"/>
      <c r="BK435" s="114"/>
      <c r="BL435" s="114"/>
      <c r="BM435" s="114"/>
      <c r="BN435" s="114"/>
      <c r="BO435" s="114"/>
      <c r="BP435" s="114"/>
      <c r="BQ435" s="114"/>
      <c r="BR435" s="114"/>
      <c r="BS435" s="114"/>
      <c r="BT435" s="114"/>
      <c r="BU435" s="114"/>
      <c r="BV435" s="114"/>
      <c r="BW435" s="114"/>
      <c r="BX435" s="114"/>
      <c r="BY435" s="114"/>
      <c r="BZ435" s="114"/>
      <c r="CA435" s="114"/>
      <c r="CB435" s="114"/>
      <c r="CC435" s="114"/>
      <c r="CD435" s="114"/>
      <c r="CE435" s="114"/>
      <c r="CF435" s="114"/>
      <c r="CG435" s="114"/>
    </row>
    <row r="436" spans="1:85" hidden="1" outlineLevel="1"/>
    <row r="437" spans="1:85" hidden="1" outlineLevel="1">
      <c r="A437" s="1120"/>
      <c r="B437" s="1113">
        <v>2012</v>
      </c>
      <c r="C437" s="114"/>
      <c r="D437" s="114"/>
      <c r="E437" s="246"/>
      <c r="F437" s="114"/>
      <c r="G437" s="246"/>
      <c r="H437" s="114"/>
      <c r="I437" s="246"/>
      <c r="J437" s="114"/>
      <c r="K437" s="114"/>
      <c r="L437" s="114"/>
      <c r="M437" s="114"/>
      <c r="N437" s="246"/>
      <c r="O437" s="246"/>
      <c r="P437" s="310"/>
      <c r="Q437" s="310"/>
      <c r="R437" s="114"/>
      <c r="S437" s="1103"/>
      <c r="T437" s="114"/>
      <c r="U437" s="246"/>
      <c r="V437" s="114"/>
      <c r="W437" s="246"/>
      <c r="X437" s="246"/>
      <c r="Y437" s="114"/>
      <c r="Z437" s="114"/>
      <c r="AA437" s="114"/>
      <c r="AB437" s="114"/>
      <c r="AC437" s="114"/>
      <c r="AD437" s="114"/>
      <c r="AE437" s="246"/>
      <c r="AF437" s="250"/>
      <c r="AG437" s="310"/>
      <c r="AH437" s="114"/>
      <c r="AI437" s="114"/>
      <c r="AJ437" s="114"/>
      <c r="AK437" s="246"/>
      <c r="AL437" s="114"/>
      <c r="AM437" s="246"/>
      <c r="AN437" s="246"/>
      <c r="AO437" s="246"/>
      <c r="AP437" s="246"/>
      <c r="AQ437" s="246"/>
      <c r="AR437" s="246"/>
      <c r="AS437" s="114"/>
      <c r="AT437" s="114"/>
      <c r="AU437" s="114"/>
      <c r="AV437" s="114"/>
      <c r="AW437" s="114"/>
      <c r="AX437" s="310"/>
      <c r="AY437" s="114"/>
      <c r="AZ437" s="246"/>
      <c r="BA437" s="114"/>
      <c r="BC437" s="114"/>
      <c r="BD437" s="114"/>
      <c r="BE437" s="114"/>
      <c r="BF437" s="114"/>
      <c r="BG437" s="114"/>
      <c r="BH437" s="114"/>
      <c r="BI437" s="114"/>
      <c r="BJ437" s="114"/>
      <c r="BK437" s="114"/>
      <c r="BL437" s="114"/>
      <c r="BM437" s="114"/>
      <c r="BN437" s="114"/>
      <c r="BO437" s="114"/>
      <c r="BP437" s="114"/>
      <c r="BQ437" s="114"/>
      <c r="BR437" s="114"/>
      <c r="BS437" s="114"/>
      <c r="BT437" s="114"/>
      <c r="BU437" s="114"/>
      <c r="BV437" s="114"/>
      <c r="BW437" s="114"/>
      <c r="BX437" s="114"/>
      <c r="BY437" s="114"/>
      <c r="BZ437" s="114"/>
      <c r="CA437" s="114"/>
      <c r="CB437" s="114"/>
      <c r="CC437" s="114"/>
      <c r="CD437" s="114"/>
      <c r="CE437" s="114"/>
      <c r="CF437" s="114"/>
      <c r="CG437" s="114"/>
    </row>
    <row r="438" spans="1:85" hidden="1" outlineLevel="1">
      <c r="A438" s="114" t="s">
        <v>115</v>
      </c>
      <c r="B438" s="245" t="s">
        <v>96</v>
      </c>
      <c r="C438" s="114"/>
      <c r="D438" s="1045" t="e">
        <f>(S438/S431-1)*100</f>
        <v>#DIV/0!</v>
      </c>
      <c r="E438" s="246" t="s">
        <v>76</v>
      </c>
      <c r="F438" s="1288">
        <v>15</v>
      </c>
      <c r="G438" s="246" t="s">
        <v>76</v>
      </c>
      <c r="H438" s="1144" t="e">
        <f>D438-F438</f>
        <v>#DIV/0!</v>
      </c>
      <c r="I438" s="246" t="s">
        <v>76</v>
      </c>
      <c r="J438" s="1047">
        <f>18+3</f>
        <v>21</v>
      </c>
      <c r="K438" s="1063">
        <f>J438-J434</f>
        <v>1</v>
      </c>
      <c r="L438" s="1122">
        <f>AVERAGE(J438,J434)</f>
        <v>20.5</v>
      </c>
      <c r="M438" s="114"/>
      <c r="N438" s="1144">
        <f>(L438/L431-1)*100</f>
        <v>7.8947368421052655</v>
      </c>
      <c r="O438" s="246" t="s">
        <v>76</v>
      </c>
      <c r="P438" s="1124" t="e">
        <f>H438/N438*100</f>
        <v>#DIV/0!</v>
      </c>
      <c r="Q438" s="310" t="s">
        <v>76</v>
      </c>
      <c r="R438" s="114"/>
      <c r="S438" s="1102"/>
      <c r="T438" s="114"/>
      <c r="U438" s="1095"/>
      <c r="V438" s="114"/>
      <c r="W438" s="1144"/>
      <c r="X438" s="246" t="s">
        <v>76</v>
      </c>
      <c r="Y438" s="114"/>
      <c r="Z438" s="1047">
        <v>199</v>
      </c>
      <c r="AA438" s="114"/>
      <c r="AB438" s="1127"/>
      <c r="AC438" s="114"/>
      <c r="AD438" s="1144"/>
      <c r="AE438" s="246"/>
      <c r="AF438" s="1144"/>
      <c r="AG438" s="310"/>
      <c r="AH438" s="114"/>
      <c r="AI438" s="1129"/>
      <c r="AJ438" s="114"/>
      <c r="AK438" s="1097"/>
      <c r="AL438" s="114"/>
      <c r="AM438" s="1126"/>
      <c r="AN438" s="246"/>
      <c r="AO438" s="246"/>
      <c r="AP438" s="246"/>
      <c r="AQ438" s="246"/>
      <c r="AR438" s="246"/>
      <c r="AS438" s="1231"/>
      <c r="AT438" s="1231"/>
      <c r="AU438" s="114"/>
      <c r="AV438" s="1284"/>
      <c r="AW438" s="114"/>
      <c r="AX438" s="310"/>
      <c r="AY438" s="1050"/>
      <c r="AZ438" s="1260">
        <f>S76/$S$52</f>
        <v>0.18720229347819417</v>
      </c>
      <c r="BA438" s="114"/>
      <c r="BC438" s="114"/>
      <c r="BD438" s="114"/>
      <c r="BE438" s="114"/>
      <c r="BF438" s="114"/>
      <c r="BG438" s="114"/>
      <c r="BH438" s="114"/>
      <c r="BI438" s="114"/>
      <c r="BJ438" s="114"/>
      <c r="BK438" s="114"/>
      <c r="BL438" s="114"/>
      <c r="BM438" s="114"/>
      <c r="BN438" s="114"/>
      <c r="BO438" s="114"/>
      <c r="BP438" s="114"/>
      <c r="BQ438" s="114"/>
      <c r="BR438" s="114"/>
      <c r="BS438" s="114"/>
      <c r="BT438" s="114"/>
      <c r="BU438" s="114"/>
      <c r="BV438" s="114"/>
      <c r="BW438" s="114"/>
      <c r="BX438" s="114"/>
      <c r="BY438" s="114"/>
      <c r="BZ438" s="114"/>
      <c r="CA438" s="114"/>
      <c r="CB438" s="114"/>
      <c r="CC438" s="114"/>
      <c r="CD438" s="114"/>
      <c r="CE438" s="114"/>
      <c r="CF438" s="114"/>
      <c r="CG438" s="114"/>
    </row>
    <row r="439" spans="1:85" hidden="1" outlineLevel="1">
      <c r="A439" s="114" t="s">
        <v>116</v>
      </c>
      <c r="B439" s="245" t="s">
        <v>97</v>
      </c>
      <c r="C439" s="114"/>
      <c r="D439" s="1045" t="e">
        <f>(S439/S432-1)*100</f>
        <v>#DIV/0!</v>
      </c>
      <c r="E439" s="114"/>
      <c r="F439" s="1288">
        <v>7</v>
      </c>
      <c r="G439" s="114"/>
      <c r="H439" s="1144" t="e">
        <f>D439-F439</f>
        <v>#DIV/0!</v>
      </c>
      <c r="I439" s="114"/>
      <c r="J439" s="1047">
        <f>18+7</f>
        <v>25</v>
      </c>
      <c r="K439" s="1063">
        <f>J439-J438</f>
        <v>4</v>
      </c>
      <c r="L439" s="1122">
        <f>AVERAGE(J439,J438)</f>
        <v>23</v>
      </c>
      <c r="M439" s="114"/>
      <c r="N439" s="1144">
        <f>(L439/L432-1)*100</f>
        <v>21.052631578947366</v>
      </c>
      <c r="O439" s="246"/>
      <c r="P439" s="1124" t="e">
        <f>H439/N439*100</f>
        <v>#DIV/0!</v>
      </c>
      <c r="Q439" s="310"/>
      <c r="R439" s="114"/>
      <c r="S439" s="1292"/>
      <c r="T439" s="114"/>
      <c r="U439" s="1089"/>
      <c r="V439" s="114"/>
      <c r="W439" s="1144"/>
      <c r="X439" s="246"/>
      <c r="Y439" s="114"/>
      <c r="Z439" s="1293">
        <f>Z438+(J439-J438)*12</f>
        <v>247</v>
      </c>
      <c r="AA439" s="1057"/>
      <c r="AB439" s="1127"/>
      <c r="AC439" s="114"/>
      <c r="AD439" s="1144"/>
      <c r="AE439" s="246"/>
      <c r="AF439" s="1144"/>
      <c r="AG439" s="310"/>
      <c r="AH439" s="114"/>
      <c r="AI439" s="1132"/>
      <c r="AJ439" s="114"/>
      <c r="AK439" s="1106"/>
      <c r="AL439" s="114"/>
      <c r="AM439" s="1126"/>
      <c r="AN439" s="246"/>
      <c r="AO439" s="246"/>
      <c r="AP439" s="246"/>
      <c r="AQ439" s="246"/>
      <c r="AR439" s="246"/>
      <c r="AS439" s="1231"/>
      <c r="AT439" s="1231"/>
      <c r="AU439" s="114"/>
      <c r="AV439" s="1284"/>
      <c r="AW439" s="114"/>
      <c r="AX439" s="310"/>
      <c r="AY439" s="1102"/>
      <c r="AZ439" s="1260">
        <f>S77/$S$52</f>
        <v>0.2242401387325178</v>
      </c>
      <c r="BA439" s="114"/>
      <c r="BC439" s="114"/>
      <c r="BD439" s="114"/>
      <c r="BE439" s="114"/>
      <c r="BF439" s="114"/>
      <c r="BG439" s="114"/>
      <c r="BH439" s="114"/>
      <c r="BI439" s="114"/>
      <c r="BJ439" s="114"/>
      <c r="BK439" s="114"/>
      <c r="BL439" s="114"/>
      <c r="BM439" s="114"/>
      <c r="BN439" s="114"/>
      <c r="BO439" s="114"/>
      <c r="BP439" s="114"/>
      <c r="BQ439" s="114"/>
      <c r="BR439" s="114"/>
      <c r="BS439" s="114"/>
      <c r="BT439" s="114"/>
      <c r="BU439" s="114"/>
      <c r="BV439" s="114"/>
      <c r="BW439" s="114"/>
      <c r="BX439" s="114"/>
      <c r="BY439" s="114"/>
      <c r="BZ439" s="114"/>
      <c r="CA439" s="114"/>
      <c r="CB439" s="114"/>
      <c r="CC439" s="114"/>
      <c r="CD439" s="114"/>
      <c r="CE439" s="114"/>
      <c r="CF439" s="114"/>
      <c r="CG439" s="114"/>
    </row>
    <row r="440" spans="1:85" hidden="1" outlineLevel="1">
      <c r="A440" s="114" t="s">
        <v>117</v>
      </c>
      <c r="B440" s="245" t="s">
        <v>99</v>
      </c>
      <c r="C440" s="114"/>
      <c r="D440" s="1045" t="e">
        <f>(S440/S433-1)*100</f>
        <v>#DIV/0!</v>
      </c>
      <c r="E440" s="114"/>
      <c r="F440" s="1288">
        <v>7</v>
      </c>
      <c r="G440" s="114"/>
      <c r="H440" s="1144" t="e">
        <f>D440-F440</f>
        <v>#DIV/0!</v>
      </c>
      <c r="I440" s="114"/>
      <c r="J440" s="1047">
        <f>18+7</f>
        <v>25</v>
      </c>
      <c r="K440" s="1063">
        <f>J440-J439</f>
        <v>0</v>
      </c>
      <c r="L440" s="1122">
        <f>AVERAGE(J440,J439)</f>
        <v>25</v>
      </c>
      <c r="M440" s="114"/>
      <c r="N440" s="1144">
        <f>(L440/L433-1)*100</f>
        <v>31.578947368421062</v>
      </c>
      <c r="O440" s="246"/>
      <c r="P440" s="1124" t="e">
        <f>H440/N440*100</f>
        <v>#DIV/0!</v>
      </c>
      <c r="Q440" s="310"/>
      <c r="R440" s="114"/>
      <c r="S440" s="1292"/>
      <c r="T440" s="114"/>
      <c r="U440" s="1089"/>
      <c r="V440" s="114"/>
      <c r="W440" s="1144"/>
      <c r="X440" s="246"/>
      <c r="Y440" s="114"/>
      <c r="Z440" s="1293">
        <f>Z439+(J440-J439)*12</f>
        <v>247</v>
      </c>
      <c r="AA440" s="1057"/>
      <c r="AB440" s="1127"/>
      <c r="AC440" s="114"/>
      <c r="AD440" s="1144"/>
      <c r="AE440" s="246"/>
      <c r="AF440" s="1144"/>
      <c r="AG440" s="310"/>
      <c r="AH440" s="114"/>
      <c r="AI440" s="1132"/>
      <c r="AJ440" s="114"/>
      <c r="AK440" s="1106"/>
      <c r="AL440" s="114"/>
      <c r="AM440" s="1126"/>
      <c r="AN440" s="246"/>
      <c r="AO440" s="246"/>
      <c r="AP440" s="246"/>
      <c r="AQ440" s="246"/>
      <c r="AR440" s="246"/>
      <c r="AS440" s="1231"/>
      <c r="AT440" s="1231"/>
      <c r="AU440" s="114"/>
      <c r="AV440" s="1284"/>
      <c r="AW440" s="114"/>
      <c r="AX440" s="310"/>
      <c r="AY440" s="1089"/>
      <c r="AZ440" s="1260" t="e">
        <f>#REF!/$S$52</f>
        <v>#REF!</v>
      </c>
      <c r="BA440" s="114"/>
      <c r="BC440" s="114"/>
      <c r="BD440" s="114"/>
      <c r="BE440" s="114"/>
      <c r="BF440" s="114"/>
      <c r="BG440" s="114"/>
      <c r="BH440" s="114"/>
      <c r="BI440" s="114"/>
      <c r="BJ440" s="114"/>
      <c r="BK440" s="114"/>
      <c r="BL440" s="114"/>
      <c r="BM440" s="114"/>
      <c r="BN440" s="114"/>
      <c r="BO440" s="114"/>
      <c r="BP440" s="114"/>
      <c r="BQ440" s="114"/>
      <c r="BR440" s="114"/>
      <c r="BS440" s="114"/>
      <c r="BT440" s="114"/>
      <c r="BU440" s="114"/>
      <c r="BV440" s="114"/>
      <c r="BW440" s="114"/>
      <c r="BX440" s="114"/>
      <c r="BY440" s="114"/>
      <c r="BZ440" s="114"/>
      <c r="CA440" s="114"/>
      <c r="CB440" s="114"/>
      <c r="CC440" s="114"/>
      <c r="CD440" s="114"/>
      <c r="CE440" s="114"/>
      <c r="CF440" s="114"/>
      <c r="CG440" s="114"/>
    </row>
    <row r="441" spans="1:85" hidden="1" outlineLevel="1">
      <c r="A441" s="114" t="s">
        <v>118</v>
      </c>
      <c r="B441" s="245" t="s">
        <v>100</v>
      </c>
      <c r="C441" s="114"/>
      <c r="D441" s="1107">
        <f>F441+H441</f>
        <v>20</v>
      </c>
      <c r="E441" s="114"/>
      <c r="F441" s="1294">
        <v>5</v>
      </c>
      <c r="G441" s="114"/>
      <c r="H441" s="1295">
        <v>15</v>
      </c>
      <c r="I441" s="114"/>
      <c r="J441" s="1047">
        <v>27</v>
      </c>
      <c r="K441" s="1063">
        <f>J441-J440</f>
        <v>2</v>
      </c>
      <c r="L441" s="1108">
        <f>AVERAGE(J441,J440)</f>
        <v>26</v>
      </c>
      <c r="M441" s="114"/>
      <c r="N441" s="1104">
        <f>(L441/L434-1)*100</f>
        <v>33.333333333333329</v>
      </c>
      <c r="O441" s="246"/>
      <c r="P441" s="1296">
        <v>100</v>
      </c>
      <c r="Q441" s="310"/>
      <c r="R441" s="114"/>
      <c r="S441" s="1297"/>
      <c r="T441" s="114"/>
      <c r="U441" s="1092"/>
      <c r="V441" s="114"/>
      <c r="W441" s="1104"/>
      <c r="X441" s="246"/>
      <c r="Y441" s="114"/>
      <c r="Z441" s="1293">
        <f>Z440+(J441-J440)*12</f>
        <v>271</v>
      </c>
      <c r="AA441" s="1057"/>
      <c r="AB441" s="1110"/>
      <c r="AC441" s="114"/>
      <c r="AD441" s="1104"/>
      <c r="AE441" s="246"/>
      <c r="AF441" s="1104"/>
      <c r="AG441" s="310"/>
      <c r="AH441" s="114"/>
      <c r="AI441" s="1111"/>
      <c r="AJ441" s="114"/>
      <c r="AK441" s="1135"/>
      <c r="AL441" s="114"/>
      <c r="AM441" s="1134"/>
      <c r="AN441" s="246"/>
      <c r="AO441" s="246"/>
      <c r="AP441" s="246"/>
      <c r="AQ441" s="246"/>
      <c r="AR441" s="246"/>
      <c r="AS441" s="1280"/>
      <c r="AT441" s="1280"/>
      <c r="AU441" s="1042"/>
      <c r="AV441" s="1285"/>
      <c r="AW441" s="114"/>
      <c r="AX441" s="310"/>
      <c r="AY441" s="1092"/>
      <c r="AZ441" s="1260">
        <f>S131/$S$52</f>
        <v>0</v>
      </c>
      <c r="BA441" s="114"/>
      <c r="BC441" s="114"/>
      <c r="BD441" s="114"/>
      <c r="BE441" s="114"/>
      <c r="BF441" s="114"/>
      <c r="BG441" s="114"/>
      <c r="BH441" s="114"/>
      <c r="BI441" s="114"/>
      <c r="BJ441" s="114"/>
      <c r="BK441" s="114"/>
      <c r="BL441" s="114"/>
      <c r="BM441" s="114"/>
      <c r="BN441" s="114"/>
      <c r="BO441" s="114"/>
      <c r="BP441" s="114"/>
      <c r="BQ441" s="114"/>
      <c r="BR441" s="114"/>
      <c r="BS441" s="114"/>
      <c r="BT441" s="114"/>
      <c r="BU441" s="114"/>
      <c r="BV441" s="114"/>
      <c r="BW441" s="114"/>
      <c r="BX441" s="114"/>
      <c r="BY441" s="114"/>
      <c r="BZ441" s="114"/>
      <c r="CA441" s="114"/>
      <c r="CB441" s="114"/>
      <c r="CC441" s="114"/>
      <c r="CD441" s="114"/>
      <c r="CE441" s="114"/>
      <c r="CF441" s="114"/>
      <c r="CG441" s="114"/>
    </row>
    <row r="442" spans="1:85" hidden="1" outlineLevel="1">
      <c r="A442" s="114"/>
      <c r="B442" s="245" t="s">
        <v>119</v>
      </c>
      <c r="C442" s="114"/>
      <c r="D442" s="1123" t="e">
        <f>(S442/S435-1)*100</f>
        <v>#DIV/0!</v>
      </c>
      <c r="E442" s="114"/>
      <c r="F442" s="1139" t="e">
        <f>S438/S442*F438+S439/S442*F439+S440/S442*F440+S441/S442*F441</f>
        <v>#DIV/0!</v>
      </c>
      <c r="G442" s="114"/>
      <c r="H442" s="1126" t="e">
        <f>D442-F442</f>
        <v>#DIV/0!</v>
      </c>
      <c r="I442" s="114"/>
      <c r="J442" s="114"/>
      <c r="K442" s="114"/>
      <c r="L442" s="1122">
        <f>AVERAGE(L438:L441)</f>
        <v>23.625</v>
      </c>
      <c r="M442" s="114"/>
      <c r="N442" s="1144">
        <f>(L442/L435-1)*100</f>
        <v>23.529411764705888</v>
      </c>
      <c r="O442" s="246"/>
      <c r="P442" s="1049"/>
      <c r="Q442" s="310"/>
      <c r="R442" s="114"/>
      <c r="S442" s="1095"/>
      <c r="T442" s="114"/>
      <c r="U442" s="1095"/>
      <c r="V442" s="114"/>
      <c r="W442" s="1144"/>
      <c r="X442" s="246"/>
      <c r="Y442" s="114"/>
      <c r="Z442" s="114"/>
      <c r="AA442" s="114"/>
      <c r="AB442" s="1127"/>
      <c r="AC442" s="114"/>
      <c r="AD442" s="1144"/>
      <c r="AE442" s="246"/>
      <c r="AF442" s="1144"/>
      <c r="AG442" s="310"/>
      <c r="AH442" s="114"/>
      <c r="AI442" s="1129"/>
      <c r="AJ442" s="114"/>
      <c r="AK442" s="1097"/>
      <c r="AL442" s="114"/>
      <c r="AM442" s="1126"/>
      <c r="AN442" s="246"/>
      <c r="AO442" s="246"/>
      <c r="AP442" s="246"/>
      <c r="AQ442" s="246"/>
      <c r="AR442" s="246"/>
      <c r="AS442" s="1231"/>
      <c r="AT442" s="1231"/>
      <c r="AU442" s="114"/>
      <c r="AV442" s="1284"/>
      <c r="AW442" s="114"/>
      <c r="AX442" s="310"/>
      <c r="AY442" s="1142"/>
      <c r="AZ442" s="246"/>
      <c r="BA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row>
    <row r="443" spans="1:85" hidden="1" outlineLevel="1"/>
    <row r="444" spans="1:85" hidden="1" outlineLevel="1">
      <c r="A444" s="1120"/>
      <c r="B444" s="1175">
        <v>2013</v>
      </c>
    </row>
    <row r="445" spans="1:85" hidden="1" outlineLevel="1">
      <c r="A445" s="114" t="s">
        <v>115</v>
      </c>
      <c r="B445" s="245" t="s">
        <v>96</v>
      </c>
      <c r="D445" s="1123">
        <f>F445+H445</f>
        <v>32.146341463414643</v>
      </c>
      <c r="E445" s="246" t="s">
        <v>76</v>
      </c>
      <c r="F445" s="1288">
        <v>-2</v>
      </c>
      <c r="G445" s="246" t="s">
        <v>76</v>
      </c>
      <c r="H445" s="1144">
        <f>N445*P445/100</f>
        <v>34.146341463414643</v>
      </c>
      <c r="I445" s="246" t="s">
        <v>76</v>
      </c>
      <c r="J445" s="1218">
        <f>20+8</f>
        <v>28</v>
      </c>
      <c r="K445" s="1063">
        <f>J445-J441</f>
        <v>1</v>
      </c>
      <c r="L445" s="1122">
        <f>AVERAGE(J445,J441)</f>
        <v>27.5</v>
      </c>
      <c r="N445" s="1144">
        <f>(L445/L438-1)*100</f>
        <v>34.146341463414643</v>
      </c>
      <c r="O445" s="246" t="s">
        <v>76</v>
      </c>
      <c r="P445" s="1101">
        <v>100</v>
      </c>
      <c r="Q445" s="310" t="s">
        <v>76</v>
      </c>
      <c r="S445" s="1298"/>
      <c r="Z445" s="1293">
        <f>Z441+(J445-J441)*12</f>
        <v>283</v>
      </c>
    </row>
    <row r="446" spans="1:85" hidden="1" outlineLevel="1">
      <c r="A446" s="114" t="s">
        <v>116</v>
      </c>
      <c r="B446" s="245" t="s">
        <v>97</v>
      </c>
      <c r="D446" s="1123">
        <f>F446+H446</f>
        <v>21.739130434782613</v>
      </c>
      <c r="E446" s="114"/>
      <c r="F446" s="1288">
        <v>0</v>
      </c>
      <c r="H446" s="1144">
        <f>N446*P446/100</f>
        <v>21.739130434782613</v>
      </c>
      <c r="J446" s="1047">
        <f>20+8</f>
        <v>28</v>
      </c>
      <c r="K446" s="1063">
        <f>J446-J445</f>
        <v>0</v>
      </c>
      <c r="L446" s="1122">
        <f>AVERAGE(J446,J445)</f>
        <v>28</v>
      </c>
      <c r="N446" s="1144">
        <f>(L446/L439-1)*100</f>
        <v>21.739130434782616</v>
      </c>
      <c r="O446" s="246"/>
      <c r="P446" s="1101">
        <v>100</v>
      </c>
      <c r="S446" s="1298"/>
      <c r="Z446" s="1293">
        <f>Z445+(J446-J445)*12</f>
        <v>283</v>
      </c>
    </row>
    <row r="447" spans="1:85" hidden="1" outlineLevel="1">
      <c r="A447" s="114" t="s">
        <v>117</v>
      </c>
      <c r="B447" s="245" t="s">
        <v>99</v>
      </c>
      <c r="D447" s="1123">
        <f>F447+H447</f>
        <v>4.0000000000000036</v>
      </c>
      <c r="E447" s="114"/>
      <c r="F447" s="1288">
        <v>0</v>
      </c>
      <c r="H447" s="1144">
        <f>N447*P447/100</f>
        <v>4.0000000000000036</v>
      </c>
      <c r="J447" s="1293">
        <v>24</v>
      </c>
      <c r="K447" s="1063">
        <f>J447-J446</f>
        <v>-4</v>
      </c>
      <c r="L447" s="1122">
        <f>AVERAGE(J447,J446)</f>
        <v>26</v>
      </c>
      <c r="N447" s="1144">
        <f>(L447/L440-1)*100</f>
        <v>4.0000000000000036</v>
      </c>
      <c r="O447" s="246"/>
      <c r="P447" s="1101">
        <v>100</v>
      </c>
      <c r="S447" s="1089"/>
      <c r="Z447" s="1293">
        <f>Z446+(J447-J446)*12</f>
        <v>235</v>
      </c>
    </row>
    <row r="448" spans="1:85" hidden="1" outlineLevel="1">
      <c r="A448" s="114" t="s">
        <v>118</v>
      </c>
      <c r="B448" s="245" t="s">
        <v>100</v>
      </c>
      <c r="D448" s="1107">
        <f>F448+H448</f>
        <v>-40.384615384615387</v>
      </c>
      <c r="E448" s="114"/>
      <c r="F448" s="1290">
        <v>0</v>
      </c>
      <c r="H448" s="1104">
        <f>N448*P448/100</f>
        <v>-40.384615384615387</v>
      </c>
      <c r="J448" s="1063">
        <f>squft!CQ50</f>
        <v>7</v>
      </c>
      <c r="K448" s="1063">
        <f>J448-J447</f>
        <v>-17</v>
      </c>
      <c r="L448" s="1108">
        <f>AVERAGE(J448,J447)</f>
        <v>15.5</v>
      </c>
      <c r="N448" s="1104">
        <f>(L448/L441-1)*100</f>
        <v>-40.384615384615387</v>
      </c>
      <c r="O448" s="246"/>
      <c r="P448" s="1137">
        <v>100</v>
      </c>
      <c r="S448" s="1092"/>
      <c r="Z448" s="1293">
        <f>Z447+(J448-J447)*12</f>
        <v>31</v>
      </c>
    </row>
    <row r="449" spans="1:51" hidden="1" outlineLevel="1">
      <c r="A449" s="114"/>
      <c r="B449" s="245" t="s">
        <v>119</v>
      </c>
      <c r="D449" s="1123" t="e">
        <f>(S449/S442-1)*100</f>
        <v>#DIV/0!</v>
      </c>
      <c r="E449" s="114"/>
      <c r="F449" s="1139" t="e">
        <f>S445/S449*F445+S446/S449*F446+S447/S449*F447+S448/S449*F448</f>
        <v>#DIV/0!</v>
      </c>
      <c r="H449" s="1123" t="e">
        <f>D449-F449</f>
        <v>#DIV/0!</v>
      </c>
      <c r="L449" s="1122">
        <f>AVERAGE(L445:L448)</f>
        <v>24.25</v>
      </c>
      <c r="N449" s="1144">
        <f>(L449/L442-1)*100</f>
        <v>2.6455026455026509</v>
      </c>
      <c r="O449" s="246"/>
      <c r="S449" s="1095"/>
    </row>
    <row r="450" spans="1:51" collapsed="1">
      <c r="S450" s="2187"/>
    </row>
    <row r="451" spans="1:51" hidden="1" outlineLevel="1">
      <c r="A451" s="1120"/>
      <c r="B451" s="1175">
        <v>2014</v>
      </c>
    </row>
    <row r="452" spans="1:51" hidden="1" outlineLevel="1">
      <c r="A452" s="114" t="s">
        <v>115</v>
      </c>
      <c r="B452" s="245" t="s">
        <v>96</v>
      </c>
      <c r="D452" s="1123">
        <f>F452+H452</f>
        <v>-34.545454545454547</v>
      </c>
      <c r="E452" s="246" t="s">
        <v>76</v>
      </c>
      <c r="F452" s="1288">
        <v>0</v>
      </c>
      <c r="G452" s="246" t="s">
        <v>76</v>
      </c>
      <c r="H452" s="1144">
        <f>N452*P452/100</f>
        <v>-34.545454545454547</v>
      </c>
      <c r="I452" s="246" t="s">
        <v>76</v>
      </c>
      <c r="J452" s="1299">
        <v>29</v>
      </c>
      <c r="K452" s="1063">
        <f>J452-J448</f>
        <v>22</v>
      </c>
      <c r="L452" s="1122">
        <f>AVERAGE(J452,J448)</f>
        <v>18</v>
      </c>
      <c r="N452" s="1144">
        <f>(L452/L445-1)*100</f>
        <v>-34.545454545454547</v>
      </c>
      <c r="O452" s="246" t="s">
        <v>76</v>
      </c>
      <c r="P452" s="1101">
        <v>100</v>
      </c>
      <c r="Q452" s="310" t="s">
        <v>76</v>
      </c>
      <c r="S452" s="1089"/>
      <c r="Z452" s="1293">
        <f>Z448+(J452-J448)*12</f>
        <v>295</v>
      </c>
    </row>
    <row r="453" spans="1:51" hidden="1" outlineLevel="1">
      <c r="A453" s="114" t="s">
        <v>116</v>
      </c>
      <c r="B453" s="245" t="s">
        <v>97</v>
      </c>
      <c r="D453" s="1123">
        <f>F453+H453</f>
        <v>5.3571428571428603</v>
      </c>
      <c r="E453" s="114"/>
      <c r="F453" s="1288">
        <v>0</v>
      </c>
      <c r="H453" s="1144">
        <f>N453*P453/100</f>
        <v>5.3571428571428603</v>
      </c>
      <c r="J453" s="1299">
        <v>30</v>
      </c>
      <c r="K453" s="1063">
        <f>J453-J452</f>
        <v>1</v>
      </c>
      <c r="L453" s="1122">
        <f>AVERAGE(J453,J452)</f>
        <v>29.5</v>
      </c>
      <c r="N453" s="1144">
        <f>(L453/L446-1)*100</f>
        <v>5.3571428571428603</v>
      </c>
      <c r="O453" s="246"/>
      <c r="P453" s="1101">
        <v>100</v>
      </c>
      <c r="S453" s="1089"/>
      <c r="Z453" s="1293">
        <f>Z452+(J453-J452)*12</f>
        <v>307</v>
      </c>
    </row>
    <row r="454" spans="1:51" hidden="1" outlineLevel="1">
      <c r="A454" s="114" t="s">
        <v>117</v>
      </c>
      <c r="B454" s="245" t="s">
        <v>99</v>
      </c>
      <c r="D454" s="1123">
        <f>F454+H454</f>
        <v>15.384615384615374</v>
      </c>
      <c r="E454" s="114"/>
      <c r="F454" s="1288">
        <v>0</v>
      </c>
      <c r="H454" s="1144">
        <f>N454*P454/100</f>
        <v>15.384615384615374</v>
      </c>
      <c r="J454" s="1293">
        <f>J453</f>
        <v>30</v>
      </c>
      <c r="K454" s="1063">
        <f>J454-J453</f>
        <v>0</v>
      </c>
      <c r="L454" s="1122">
        <f>AVERAGE(J454,J453)</f>
        <v>30</v>
      </c>
      <c r="N454" s="1144">
        <f>(L454/L447-1)*100</f>
        <v>15.384615384615374</v>
      </c>
      <c r="O454" s="246"/>
      <c r="P454" s="1101">
        <v>100</v>
      </c>
      <c r="S454" s="1089"/>
      <c r="Z454" s="1293">
        <f>Z453+(J454-J453)*12</f>
        <v>307</v>
      </c>
    </row>
    <row r="455" spans="1:51" hidden="1" outlineLevel="1">
      <c r="A455" s="114" t="s">
        <v>118</v>
      </c>
      <c r="B455" s="245" t="s">
        <v>100</v>
      </c>
      <c r="D455" s="1107">
        <f>F455+H455</f>
        <v>19.354838709677423</v>
      </c>
      <c r="E455" s="114"/>
      <c r="F455" s="1290">
        <v>0</v>
      </c>
      <c r="H455" s="1104">
        <f>N455*P455/100</f>
        <v>19.354838709677423</v>
      </c>
      <c r="J455" s="1063">
        <f>squft!CU46</f>
        <v>7</v>
      </c>
      <c r="K455" s="1063">
        <f>J455-J454</f>
        <v>-23</v>
      </c>
      <c r="L455" s="1108">
        <f>AVERAGE(J455,J454)</f>
        <v>18.5</v>
      </c>
      <c r="N455" s="1104">
        <f>(L455/L448-1)*100</f>
        <v>19.354838709677423</v>
      </c>
      <c r="O455" s="246"/>
      <c r="P455" s="1137">
        <v>100</v>
      </c>
      <c r="S455" s="1092"/>
      <c r="Z455" s="1293">
        <f>Z454+(J455-J454)*12</f>
        <v>31</v>
      </c>
    </row>
    <row r="456" spans="1:51" hidden="1" outlineLevel="1">
      <c r="A456" s="114"/>
      <c r="B456" s="245" t="s">
        <v>119</v>
      </c>
      <c r="D456" s="1123" t="e">
        <f>(S456/S449-1)*100</f>
        <v>#DIV/0!</v>
      </c>
      <c r="E456" s="114"/>
      <c r="H456" s="1123" t="e">
        <f>D456-F456</f>
        <v>#DIV/0!</v>
      </c>
      <c r="L456" s="1122">
        <f>AVERAGE(L452:L455)</f>
        <v>24</v>
      </c>
      <c r="N456" s="1144">
        <f>(L456/L449-1)*100</f>
        <v>-1.0309278350515427</v>
      </c>
      <c r="O456" s="246"/>
      <c r="S456" s="1095"/>
    </row>
    <row r="457" spans="1:51" collapsed="1">
      <c r="F457" s="1053">
        <f>F334+F341</f>
        <v>3</v>
      </c>
      <c r="S457" s="1059"/>
      <c r="AI457" s="1300"/>
      <c r="AY457" s="1030"/>
    </row>
    <row r="458" spans="1:51">
      <c r="F458" s="1053">
        <f t="shared" ref="F458:F460" si="17">F335+F342</f>
        <v>3</v>
      </c>
    </row>
    <row r="459" spans="1:51">
      <c r="F459" s="1053">
        <f t="shared" si="17"/>
        <v>8</v>
      </c>
    </row>
    <row r="460" spans="1:51">
      <c r="F460" s="1053">
        <f t="shared" si="17"/>
        <v>12</v>
      </c>
    </row>
    <row r="461" spans="1:51">
      <c r="F461" s="243"/>
    </row>
    <row r="463" spans="1:51">
      <c r="F463" s="1053"/>
    </row>
    <row r="464" spans="1:51">
      <c r="F464" s="1053"/>
    </row>
    <row r="465" spans="6:6">
      <c r="F465" s="1053"/>
    </row>
    <row r="466" spans="6:6">
      <c r="F466" s="1053"/>
    </row>
    <row r="467" spans="6:6">
      <c r="F467" s="1053"/>
    </row>
  </sheetData>
  <mergeCells count="1">
    <mergeCell ref="Z5:AM5"/>
  </mergeCells>
  <phoneticPr fontId="0" type="noConversion"/>
  <dataValidations count="1">
    <dataValidation type="custom" allowBlank="1" showInputMessage="1" showErrorMessage="1" sqref="S410:S413 F428 Z299:Z301 F299:F301 F296:F297 S299:S302 S382:S385 F421 S292:S295 F285:F287 Z285:Z287 F282:F283 Z424:Z427 S264:S267 F278:F280 F275:F276 Z278:Z280 Z271:Z273 F271:F273 F268 F264:F266 Z257:Z259 F236:F238 S243:S246 AY243:AY245 S237:S239 S271:S274 Z264:Z266 Z236:Z238 Z250:Z252 F250:F252 S257:S260 F257:F259 Z243:Z245 S251:S253 S417:S420 Z417:Z420 F289:F290 S431:S434 F292:F294 S278:S281 Z292:Z294 F414 Z389:Z392 F393:F401 F386:F387 S389:S392 S285:S288 Z410:Z413 S368:S371 F379:F380 Z361:Z364 S355:S356 H356:H358 S361:S364 P361:P363 D356:D358 Z368:Z371 F372 Z375:Z378 S375:S378 Z382:Z385 S424:S427 S211:S214 F306:F308 Z431:Z434 F303:F304 Z438:Z441 Z306:Z309 F435 S306:S309 S90:S93 S438:S441 Z445:Z448 Z314:Z316 S445:S448 S452:S455 S97:S100 S320:S323 S225:S228 S218:S221 F449 S197:S200 Z225:Z227 Z197:Z199 Z355:Z357 S176:S179 S183:S186 S190:S193 Z348:Z351 Z334:Z337 Z176:Z178 S169:S172 S162:S165 Z169:Z171 Z111:Z114 S327:S330 Z162:Z164 A132 Z155:Z157 F404 S135:S137 Z134:Z136 S142:S144 Z148:Z150 Z118:Z121 S155:S158 S334:S337 Z141:Z143 S149:S151 S125:S128 S118:S121 Z183:Z185 S341:S344 Z341:Z344 Z190:Z192 S111:S114 Z125:Z128 S204:S207 F310:F358 Z204:Z207 Z211:Z214 S104:S107 S313:S316 Z97:Z100 Z83:Z86 Z218:Z221 S76:S79 F83:F85 F76:F78 F73:F74 F67 S28:S30 Z62:Z64 F62:F64 F59:F60 Z55:Z57 F34:F36 S34:S37 F27:F29 Z27:Z29 Z13:Z15 S14:S16 F13:F15 Z34:Z36 Z41:Z43 Z20:Z22 F48:F50 S41:S44 Z48:Z50 S48:S51 F41:F45 F52:F53 F55:F57 S55:S58 S69:S72 Z69:Z72 F69:F71 S62:S65 Z76:Z79 F80:F81 S83:S86 Z91:Z93 Z320:Z323 Z452:Z455 F442 Z327:Z330 Z104:Z107 S348:S351 F87:F232">
      <formula1>-1</formula1>
    </dataValidation>
  </dataValidations>
  <printOptions horizontalCentered="1"/>
  <pageMargins left="0" right="0" top="0.34" bottom="0" header="0.5" footer="0.5"/>
  <pageSetup scale="73" orientation="landscape" r:id="rId1"/>
  <headerFooter alignWithMargins="0">
    <oddFooter>&amp;R&amp;8&amp;D/&amp;T
&amp;F/&amp;A</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A1:AR169"/>
  <sheetViews>
    <sheetView zoomScale="85" zoomScaleNormal="85" workbookViewId="0">
      <selection activeCell="K157" sqref="K157"/>
    </sheetView>
  </sheetViews>
  <sheetFormatPr defaultRowHeight="12.75" outlineLevelRow="1" outlineLevelCol="1"/>
  <cols>
    <col min="1" max="1" width="3" style="22" bestFit="1" customWidth="1"/>
    <col min="2" max="2" width="11" style="22" customWidth="1"/>
    <col min="3" max="3" width="1.28515625" style="22" customWidth="1"/>
    <col min="4" max="4" width="9.85546875" style="22" customWidth="1"/>
    <col min="5" max="5" width="8.7109375" style="22" customWidth="1"/>
    <col min="6" max="6" width="6.85546875" style="22" customWidth="1"/>
    <col min="7" max="7" width="9.5703125" style="22" bestFit="1" customWidth="1"/>
    <col min="8" max="8" width="8.5703125" style="22" customWidth="1"/>
    <col min="9" max="9" width="1.7109375" style="22" customWidth="1"/>
    <col min="10" max="10" width="9.5703125" style="22" customWidth="1"/>
    <col min="11" max="11" width="7.140625" style="22" bestFit="1" customWidth="1"/>
    <col min="12" max="12" width="6.7109375" style="22" customWidth="1"/>
    <col min="13" max="13" width="9.5703125" style="22" bestFit="1" customWidth="1"/>
    <col min="14" max="14" width="10.28515625" style="22" customWidth="1"/>
    <col min="15" max="15" width="3.140625" style="22" customWidth="1"/>
    <col min="16" max="16" width="7.5703125" style="22" hidden="1" customWidth="1" outlineLevel="1"/>
    <col min="17" max="17" width="7" style="22" hidden="1" customWidth="1" outlineLevel="1"/>
    <col min="18" max="18" width="2.7109375" style="114" customWidth="1" collapsed="1"/>
    <col min="19" max="19" width="7.140625" style="22" hidden="1" customWidth="1" outlineLevel="1" collapsed="1"/>
    <col min="20" max="20" width="6.5703125" style="22" hidden="1" customWidth="1" outlineLevel="1"/>
    <col min="21" max="21" width="7.140625" style="22" hidden="1" customWidth="1" outlineLevel="1"/>
    <col min="22" max="22" width="12.85546875" style="22" customWidth="1" collapsed="1"/>
    <col min="23" max="23" width="6.85546875" style="22" bestFit="1" customWidth="1"/>
    <col min="24" max="24" width="8.42578125" style="22" bestFit="1" customWidth="1"/>
    <col min="25" max="25" width="10.42578125" style="22" customWidth="1"/>
    <col min="26" max="26" width="8.42578125" style="22" customWidth="1"/>
    <col min="27" max="27" width="3.28515625" style="22" customWidth="1"/>
    <col min="28" max="28" width="7.7109375" style="22" customWidth="1"/>
    <col min="29" max="29" width="12.28515625" style="22" customWidth="1"/>
    <col min="30" max="30" width="14.7109375" style="22" customWidth="1"/>
    <col min="31" max="31" width="3.85546875" style="22" customWidth="1"/>
    <col min="32" max="32" width="9.7109375" style="22" customWidth="1"/>
    <col min="33" max="33" width="9.5703125" style="22" hidden="1" customWidth="1" outlineLevel="1"/>
    <col min="34" max="34" width="9.28515625" style="22" hidden="1" customWidth="1" outlineLevel="1"/>
    <col min="35" max="35" width="9.28515625" style="22" bestFit="1" customWidth="1" collapsed="1"/>
    <col min="36" max="16384" width="9.140625" style="22"/>
  </cols>
  <sheetData>
    <row r="1" spans="1:35" ht="24" customHeight="1">
      <c r="D1" s="2296" t="s">
        <v>362</v>
      </c>
      <c r="E1" s="2297"/>
      <c r="F1" s="2297"/>
      <c r="G1" s="2297"/>
      <c r="H1" s="2298"/>
      <c r="I1" s="201"/>
      <c r="J1" s="2296" t="s">
        <v>363</v>
      </c>
      <c r="K1" s="2297"/>
      <c r="L1" s="2297"/>
      <c r="M1" s="2297"/>
      <c r="N1" s="2297"/>
      <c r="O1" s="206"/>
      <c r="R1" s="1395"/>
      <c r="T1" s="1027"/>
      <c r="U1" s="1027"/>
      <c r="V1" s="1022" t="s">
        <v>792</v>
      </c>
      <c r="W1" s="1027"/>
      <c r="X1" s="1304"/>
      <c r="Y1" s="1027"/>
      <c r="Z1" s="1304"/>
      <c r="AB1" s="1396"/>
      <c r="AC1" s="1025" t="s">
        <v>428</v>
      </c>
      <c r="AD1" s="1028"/>
    </row>
    <row r="2" spans="1:35" ht="6" customHeight="1">
      <c r="D2" s="206"/>
      <c r="E2" s="97"/>
      <c r="F2" s="97"/>
      <c r="G2" s="97"/>
      <c r="H2" s="207"/>
      <c r="J2" s="206"/>
      <c r="K2" s="97"/>
      <c r="L2" s="97"/>
      <c r="M2" s="97"/>
      <c r="N2" s="97"/>
      <c r="O2" s="206"/>
      <c r="S2" s="206"/>
      <c r="T2" s="97"/>
      <c r="U2" s="97"/>
      <c r="V2" s="206"/>
      <c r="W2" s="97"/>
      <c r="X2" s="97"/>
      <c r="Y2" s="97"/>
      <c r="Z2" s="207"/>
      <c r="AB2" s="206"/>
      <c r="AC2" s="97"/>
      <c r="AD2" s="207"/>
    </row>
    <row r="3" spans="1:35">
      <c r="D3" s="206"/>
      <c r="E3" s="112" t="s">
        <v>365</v>
      </c>
      <c r="F3" s="112" t="s">
        <v>367</v>
      </c>
      <c r="G3" s="97"/>
      <c r="H3" s="207"/>
      <c r="J3" s="206"/>
      <c r="K3" s="112" t="s">
        <v>365</v>
      </c>
      <c r="L3" s="112" t="s">
        <v>367</v>
      </c>
      <c r="M3" s="97"/>
      <c r="N3" s="97"/>
      <c r="O3" s="1397"/>
      <c r="P3" s="112"/>
      <c r="Q3" s="112"/>
      <c r="S3" s="1397"/>
      <c r="T3" s="199"/>
      <c r="U3" s="199" t="s">
        <v>731</v>
      </c>
      <c r="V3" s="1397" t="s">
        <v>729</v>
      </c>
      <c r="W3" s="199" t="s">
        <v>76</v>
      </c>
      <c r="X3" s="199" t="s">
        <v>76</v>
      </c>
      <c r="Y3" s="199"/>
      <c r="Z3" s="375"/>
      <c r="AA3" s="112"/>
      <c r="AB3" s="206"/>
      <c r="AC3" s="112"/>
      <c r="AD3" s="207"/>
      <c r="AF3" s="318" t="s">
        <v>682</v>
      </c>
      <c r="AG3" s="1398" t="s">
        <v>683</v>
      </c>
      <c r="AH3" s="1398" t="s">
        <v>180</v>
      </c>
      <c r="AI3" s="318" t="s">
        <v>684</v>
      </c>
    </row>
    <row r="4" spans="1:35">
      <c r="D4" s="1399" t="s">
        <v>263</v>
      </c>
      <c r="E4" s="77" t="s">
        <v>366</v>
      </c>
      <c r="F4" s="77" t="s">
        <v>145</v>
      </c>
      <c r="G4" s="1034" t="s">
        <v>261</v>
      </c>
      <c r="H4" s="1400" t="s">
        <v>262</v>
      </c>
      <c r="I4" s="112"/>
      <c r="J4" s="1399" t="s">
        <v>263</v>
      </c>
      <c r="K4" s="77" t="s">
        <v>366</v>
      </c>
      <c r="L4" s="77" t="s">
        <v>145</v>
      </c>
      <c r="M4" s="1034" t="s">
        <v>261</v>
      </c>
      <c r="N4" s="77" t="s">
        <v>262</v>
      </c>
      <c r="O4" s="1397"/>
      <c r="P4" s="2294" t="s">
        <v>364</v>
      </c>
      <c r="Q4" s="2295"/>
      <c r="S4" s="1399" t="s">
        <v>728</v>
      </c>
      <c r="T4" s="373" t="s">
        <v>727</v>
      </c>
      <c r="U4" s="373" t="s">
        <v>732</v>
      </c>
      <c r="V4" s="1399" t="s">
        <v>728</v>
      </c>
      <c r="W4" s="373" t="s">
        <v>176</v>
      </c>
      <c r="X4" s="373" t="s">
        <v>145</v>
      </c>
      <c r="Y4" s="1034" t="s">
        <v>261</v>
      </c>
      <c r="Z4" s="1400" t="s">
        <v>262</v>
      </c>
      <c r="AA4" s="1307"/>
      <c r="AB4" s="1399" t="s">
        <v>553</v>
      </c>
      <c r="AC4" s="77" t="s">
        <v>113</v>
      </c>
      <c r="AD4" s="1400" t="s">
        <v>112</v>
      </c>
      <c r="AF4" s="1401" t="s">
        <v>726</v>
      </c>
      <c r="AG4" s="1402" t="s">
        <v>726</v>
      </c>
      <c r="AH4" s="1402" t="s">
        <v>682</v>
      </c>
      <c r="AI4" s="1403"/>
    </row>
    <row r="5" spans="1:35" hidden="1" outlineLevel="1">
      <c r="A5" s="1043"/>
      <c r="B5" s="1318">
        <v>1996</v>
      </c>
      <c r="J5" s="206"/>
      <c r="K5" s="97"/>
      <c r="L5" s="97"/>
      <c r="M5" s="97"/>
      <c r="N5" s="97"/>
      <c r="O5" s="206"/>
      <c r="S5" s="1397"/>
      <c r="T5" s="112"/>
      <c r="U5" s="112"/>
      <c r="V5" s="1397"/>
      <c r="W5" s="112"/>
      <c r="X5" s="112"/>
      <c r="Y5" s="112"/>
      <c r="Z5" s="205"/>
      <c r="AB5" s="206"/>
      <c r="AC5" s="97"/>
      <c r="AD5" s="207"/>
    </row>
    <row r="6" spans="1:35" hidden="1" outlineLevel="1">
      <c r="A6" s="22" t="s">
        <v>115</v>
      </c>
      <c r="B6" s="200" t="s">
        <v>96</v>
      </c>
      <c r="J6" s="206"/>
      <c r="K6" s="97"/>
      <c r="L6" s="97"/>
      <c r="M6" s="97"/>
      <c r="N6" s="97"/>
      <c r="O6" s="206"/>
      <c r="S6" s="1404">
        <v>0</v>
      </c>
      <c r="T6" s="1405"/>
      <c r="U6" s="1405"/>
      <c r="V6" s="1414">
        <v>0</v>
      </c>
      <c r="W6" s="1406"/>
      <c r="X6" s="97"/>
      <c r="Y6" s="97"/>
      <c r="Z6" s="207"/>
      <c r="AB6" s="206"/>
      <c r="AC6" s="97"/>
      <c r="AD6" s="207"/>
    </row>
    <row r="7" spans="1:35" hidden="1" outlineLevel="1">
      <c r="A7" s="22" t="s">
        <v>116</v>
      </c>
      <c r="B7" s="200" t="s">
        <v>97</v>
      </c>
      <c r="J7" s="206"/>
      <c r="K7" s="97"/>
      <c r="L7" s="97"/>
      <c r="M7" s="97"/>
      <c r="N7" s="97"/>
      <c r="O7" s="206"/>
      <c r="S7" s="1407">
        <v>0</v>
      </c>
      <c r="T7" s="1323"/>
      <c r="U7" s="1323"/>
      <c r="V7" s="1417">
        <v>0</v>
      </c>
      <c r="W7" s="1324"/>
      <c r="X7" s="97"/>
      <c r="Y7" s="97"/>
      <c r="Z7" s="207"/>
      <c r="AB7" s="206"/>
      <c r="AC7" s="97"/>
      <c r="AD7" s="207"/>
    </row>
    <row r="8" spans="1:35" hidden="1" outlineLevel="1">
      <c r="A8" s="22" t="s">
        <v>117</v>
      </c>
      <c r="B8" s="200" t="s">
        <v>99</v>
      </c>
      <c r="J8" s="206"/>
      <c r="K8" s="97"/>
      <c r="L8" s="97"/>
      <c r="M8" s="97"/>
      <c r="N8" s="97"/>
      <c r="O8" s="206"/>
      <c r="S8" s="1407">
        <v>0</v>
      </c>
      <c r="T8" s="1323"/>
      <c r="U8" s="1323"/>
      <c r="V8" s="1417">
        <v>0</v>
      </c>
      <c r="W8" s="1324"/>
      <c r="X8" s="97"/>
      <c r="Y8" s="97"/>
      <c r="Z8" s="207"/>
      <c r="AB8" s="206"/>
      <c r="AC8" s="97"/>
      <c r="AD8" s="207"/>
    </row>
    <row r="9" spans="1:35" hidden="1" outlineLevel="1">
      <c r="A9" s="22" t="s">
        <v>118</v>
      </c>
      <c r="B9" s="200" t="s">
        <v>100</v>
      </c>
      <c r="J9" s="206"/>
      <c r="K9" s="97"/>
      <c r="L9" s="97"/>
      <c r="M9" s="97"/>
      <c r="N9" s="97"/>
      <c r="O9" s="206"/>
      <c r="S9" s="1408">
        <v>3.6064650000000005</v>
      </c>
      <c r="T9" s="1323"/>
      <c r="U9" s="1323"/>
      <c r="V9" s="1997">
        <v>3.6064650000000005</v>
      </c>
      <c r="W9" s="1324"/>
      <c r="X9" s="97"/>
      <c r="Y9" s="97"/>
      <c r="Z9" s="207"/>
      <c r="AB9" s="206"/>
      <c r="AC9" s="97"/>
      <c r="AD9" s="207"/>
    </row>
    <row r="10" spans="1:35" hidden="1" outlineLevel="1">
      <c r="B10" s="200" t="s">
        <v>119</v>
      </c>
      <c r="J10" s="206"/>
      <c r="K10" s="97"/>
      <c r="L10" s="97"/>
      <c r="M10" s="97"/>
      <c r="N10" s="97"/>
      <c r="O10" s="206"/>
      <c r="S10" s="1409">
        <v>3.6064650000000005</v>
      </c>
      <c r="T10" s="1084"/>
      <c r="U10" s="1084"/>
      <c r="V10" s="1446">
        <v>3.6064650000000005</v>
      </c>
      <c r="W10" s="1215"/>
      <c r="X10" s="97"/>
      <c r="Y10" s="97"/>
      <c r="Z10" s="207"/>
      <c r="AB10" s="206"/>
      <c r="AC10" s="97"/>
      <c r="AD10" s="207"/>
    </row>
    <row r="11" spans="1:35" hidden="1" outlineLevel="1">
      <c r="B11" s="200"/>
      <c r="J11" s="206"/>
      <c r="K11" s="97"/>
      <c r="L11" s="97"/>
      <c r="M11" s="97"/>
      <c r="N11" s="97"/>
      <c r="O11" s="206"/>
      <c r="S11" s="206"/>
      <c r="T11" s="97"/>
      <c r="U11" s="97"/>
      <c r="V11" s="206"/>
      <c r="W11" s="97"/>
      <c r="X11" s="97"/>
      <c r="Y11" s="97"/>
      <c r="Z11" s="207"/>
      <c r="AB11" s="206"/>
      <c r="AC11" s="97"/>
      <c r="AD11" s="207"/>
    </row>
    <row r="12" spans="1:35" hidden="1" outlineLevel="1">
      <c r="A12" s="1043"/>
      <c r="B12" s="1318">
        <v>1997</v>
      </c>
      <c r="J12" s="206"/>
      <c r="K12" s="97"/>
      <c r="L12" s="97"/>
      <c r="M12" s="97"/>
      <c r="N12" s="97"/>
      <c r="O12" s="206"/>
      <c r="S12" s="206"/>
      <c r="T12" s="97"/>
      <c r="U12" s="97"/>
      <c r="V12" s="206"/>
      <c r="W12" s="97"/>
      <c r="X12" s="97"/>
      <c r="Y12" s="97"/>
      <c r="Z12" s="207"/>
      <c r="AB12" s="206"/>
      <c r="AC12" s="97"/>
      <c r="AD12" s="207"/>
    </row>
    <row r="13" spans="1:35" hidden="1" outlineLevel="1">
      <c r="A13" s="22" t="s">
        <v>115</v>
      </c>
      <c r="B13" s="200" t="s">
        <v>96</v>
      </c>
      <c r="J13" s="206"/>
      <c r="K13" s="97"/>
      <c r="L13" s="97"/>
      <c r="M13" s="97"/>
      <c r="N13" s="97"/>
      <c r="O13" s="206"/>
      <c r="S13" s="1404">
        <v>2.6845999999999997</v>
      </c>
      <c r="T13" s="1405"/>
      <c r="U13" s="1405"/>
      <c r="V13" s="1414">
        <v>2.6845999999999997</v>
      </c>
      <c r="W13" s="1406"/>
      <c r="X13" s="97"/>
      <c r="Y13" s="97"/>
      <c r="Z13" s="207"/>
      <c r="AB13" s="206"/>
      <c r="AC13" s="97"/>
      <c r="AD13" s="207"/>
    </row>
    <row r="14" spans="1:35" hidden="1" outlineLevel="1">
      <c r="A14" s="22" t="s">
        <v>116</v>
      </c>
      <c r="B14" s="200" t="s">
        <v>97</v>
      </c>
      <c r="J14" s="206"/>
      <c r="K14" s="97"/>
      <c r="L14" s="97"/>
      <c r="M14" s="97"/>
      <c r="N14" s="97"/>
      <c r="O14" s="206"/>
      <c r="S14" s="1407">
        <v>2.6482860000000001</v>
      </c>
      <c r="T14" s="1323"/>
      <c r="U14" s="1323"/>
      <c r="V14" s="1417">
        <v>2.6482860000000001</v>
      </c>
      <c r="W14" s="1324"/>
      <c r="X14" s="97"/>
      <c r="Y14" s="97"/>
      <c r="Z14" s="207"/>
      <c r="AB14" s="206"/>
      <c r="AC14" s="97"/>
      <c r="AD14" s="207"/>
    </row>
    <row r="15" spans="1:35" hidden="1" outlineLevel="1">
      <c r="A15" s="22" t="s">
        <v>117</v>
      </c>
      <c r="B15" s="200" t="s">
        <v>99</v>
      </c>
      <c r="J15" s="206"/>
      <c r="K15" s="97"/>
      <c r="L15" s="97"/>
      <c r="M15" s="97"/>
      <c r="N15" s="97"/>
      <c r="O15" s="206"/>
      <c r="S15" s="1407">
        <v>3.448035</v>
      </c>
      <c r="T15" s="1323"/>
      <c r="U15" s="1323"/>
      <c r="V15" s="1417">
        <v>3.448035</v>
      </c>
      <c r="W15" s="1324"/>
      <c r="X15" s="97"/>
      <c r="Y15" s="97"/>
      <c r="Z15" s="207"/>
      <c r="AB15" s="206"/>
      <c r="AC15" s="97"/>
      <c r="AD15" s="207"/>
    </row>
    <row r="16" spans="1:35" hidden="1" outlineLevel="1">
      <c r="A16" s="22" t="s">
        <v>118</v>
      </c>
      <c r="B16" s="200" t="s">
        <v>100</v>
      </c>
      <c r="J16" s="206"/>
      <c r="K16" s="97"/>
      <c r="L16" s="97"/>
      <c r="M16" s="97"/>
      <c r="N16" s="97"/>
      <c r="O16" s="206"/>
      <c r="S16" s="1408">
        <v>6.0920000000000005</v>
      </c>
      <c r="T16" s="1323"/>
      <c r="U16" s="1323"/>
      <c r="V16" s="1997">
        <v>6.0920000000000005</v>
      </c>
      <c r="W16" s="1324"/>
      <c r="X16" s="97"/>
      <c r="Y16" s="97"/>
      <c r="Z16" s="207"/>
      <c r="AB16" s="206"/>
      <c r="AC16" s="97"/>
      <c r="AD16" s="207"/>
    </row>
    <row r="17" spans="1:30" hidden="1" outlineLevel="1">
      <c r="B17" s="200" t="s">
        <v>119</v>
      </c>
      <c r="J17" s="206"/>
      <c r="K17" s="97"/>
      <c r="L17" s="97"/>
      <c r="M17" s="97"/>
      <c r="N17" s="97"/>
      <c r="O17" s="206"/>
      <c r="S17" s="1409">
        <v>14.872921</v>
      </c>
      <c r="T17" s="1084"/>
      <c r="U17" s="1084"/>
      <c r="V17" s="1446">
        <v>14.872921</v>
      </c>
      <c r="W17" s="1215"/>
      <c r="X17" s="97"/>
      <c r="Y17" s="97"/>
      <c r="Z17" s="207"/>
      <c r="AB17" s="206"/>
      <c r="AC17" s="97"/>
      <c r="AD17" s="207"/>
    </row>
    <row r="18" spans="1:30" hidden="1" outlineLevel="1">
      <c r="B18" s="200"/>
      <c r="J18" s="206"/>
      <c r="K18" s="97"/>
      <c r="L18" s="97"/>
      <c r="M18" s="97"/>
      <c r="N18" s="97"/>
      <c r="O18" s="206"/>
      <c r="S18" s="206"/>
      <c r="T18" s="97"/>
      <c r="U18" s="97"/>
      <c r="V18" s="206"/>
      <c r="W18" s="97"/>
      <c r="X18" s="97"/>
      <c r="Y18" s="97"/>
      <c r="Z18" s="207"/>
      <c r="AB18" s="206"/>
      <c r="AC18" s="97"/>
      <c r="AD18" s="207"/>
    </row>
    <row r="19" spans="1:30" hidden="1" outlineLevel="1">
      <c r="A19" s="1043"/>
      <c r="B19" s="1318">
        <v>1998</v>
      </c>
      <c r="J19" s="206"/>
      <c r="K19" s="97"/>
      <c r="L19" s="97"/>
      <c r="M19" s="97"/>
      <c r="N19" s="97"/>
      <c r="O19" s="206"/>
      <c r="S19" s="206"/>
      <c r="T19" s="97"/>
      <c r="U19" s="97"/>
      <c r="V19" s="206"/>
      <c r="W19" s="97"/>
      <c r="X19" s="97"/>
      <c r="Y19" s="97"/>
      <c r="Z19" s="207"/>
      <c r="AB19" s="206"/>
      <c r="AC19" s="97"/>
      <c r="AD19" s="207"/>
    </row>
    <row r="20" spans="1:30" hidden="1" outlineLevel="1">
      <c r="A20" s="22" t="s">
        <v>115</v>
      </c>
      <c r="B20" s="200" t="s">
        <v>96</v>
      </c>
      <c r="J20" s="206"/>
      <c r="K20" s="97"/>
      <c r="L20" s="97"/>
      <c r="M20" s="97"/>
      <c r="N20" s="97"/>
      <c r="O20" s="206"/>
      <c r="S20" s="1404">
        <v>4.519056</v>
      </c>
      <c r="T20" s="1405"/>
      <c r="U20" s="1405"/>
      <c r="V20" s="1414">
        <v>4.519056</v>
      </c>
      <c r="W20" s="1406"/>
      <c r="X20" s="97"/>
      <c r="Y20" s="97"/>
      <c r="Z20" s="207"/>
      <c r="AB20" s="206"/>
      <c r="AC20" s="97"/>
      <c r="AD20" s="207"/>
    </row>
    <row r="21" spans="1:30" hidden="1" outlineLevel="1">
      <c r="A21" s="22" t="s">
        <v>116</v>
      </c>
      <c r="B21" s="200" t="s">
        <v>97</v>
      </c>
      <c r="J21" s="206"/>
      <c r="K21" s="97"/>
      <c r="L21" s="97"/>
      <c r="M21" s="97"/>
      <c r="N21" s="97"/>
      <c r="O21" s="206"/>
      <c r="S21" s="1407">
        <v>4.7734800000000002</v>
      </c>
      <c r="T21" s="1323"/>
      <c r="U21" s="1323"/>
      <c r="V21" s="1417">
        <v>4.7734800000000002</v>
      </c>
      <c r="W21" s="1324"/>
      <c r="X21" s="97"/>
      <c r="Y21" s="97"/>
      <c r="Z21" s="207"/>
      <c r="AB21" s="206"/>
      <c r="AC21" s="97"/>
      <c r="AD21" s="207"/>
    </row>
    <row r="22" spans="1:30" hidden="1" outlineLevel="1">
      <c r="A22" s="22" t="s">
        <v>117</v>
      </c>
      <c r="B22" s="200" t="s">
        <v>99</v>
      </c>
      <c r="J22" s="206"/>
      <c r="K22" s="97"/>
      <c r="L22" s="97"/>
      <c r="M22" s="97"/>
      <c r="N22" s="97"/>
      <c r="O22" s="206"/>
      <c r="S22" s="1407">
        <v>5.7396599999999998</v>
      </c>
      <c r="T22" s="1323"/>
      <c r="U22" s="1323"/>
      <c r="V22" s="1417">
        <v>5.7396599999999998</v>
      </c>
      <c r="W22" s="1324"/>
      <c r="X22" s="97"/>
      <c r="Y22" s="97"/>
      <c r="Z22" s="207"/>
      <c r="AB22" s="206"/>
      <c r="AC22" s="97"/>
      <c r="AD22" s="207"/>
    </row>
    <row r="23" spans="1:30" hidden="1" outlineLevel="1">
      <c r="A23" s="22" t="s">
        <v>118</v>
      </c>
      <c r="B23" s="200" t="s">
        <v>100</v>
      </c>
      <c r="J23" s="206"/>
      <c r="K23" s="97"/>
      <c r="L23" s="97"/>
      <c r="M23" s="97"/>
      <c r="N23" s="97"/>
      <c r="O23" s="206"/>
      <c r="S23" s="1408">
        <v>12.508599999999999</v>
      </c>
      <c r="T23" s="1323"/>
      <c r="U23" s="1323"/>
      <c r="V23" s="1997">
        <v>12.508599999999999</v>
      </c>
      <c r="W23" s="1324"/>
      <c r="X23" s="97"/>
      <c r="Y23" s="97"/>
      <c r="Z23" s="207"/>
      <c r="AB23" s="206"/>
      <c r="AC23" s="97"/>
      <c r="AD23" s="207"/>
    </row>
    <row r="24" spans="1:30" hidden="1" outlineLevel="1">
      <c r="B24" s="200" t="s">
        <v>119</v>
      </c>
      <c r="J24" s="206"/>
      <c r="K24" s="97"/>
      <c r="L24" s="97"/>
      <c r="M24" s="97"/>
      <c r="N24" s="97"/>
      <c r="O24" s="206"/>
      <c r="S24" s="1409">
        <v>27.540796</v>
      </c>
      <c r="T24" s="1084"/>
      <c r="U24" s="1084"/>
      <c r="V24" s="1446">
        <v>27.540796</v>
      </c>
      <c r="W24" s="1215"/>
      <c r="X24" s="97"/>
      <c r="Y24" s="97"/>
      <c r="Z24" s="207"/>
      <c r="AB24" s="206"/>
      <c r="AC24" s="97"/>
      <c r="AD24" s="207"/>
    </row>
    <row r="25" spans="1:30" hidden="1" outlineLevel="1">
      <c r="J25" s="206"/>
      <c r="K25" s="97"/>
      <c r="L25" s="97"/>
      <c r="M25" s="97"/>
      <c r="N25" s="97"/>
      <c r="O25" s="206"/>
      <c r="S25" s="206"/>
      <c r="T25" s="97"/>
      <c r="U25" s="97"/>
      <c r="V25" s="206"/>
      <c r="W25" s="97"/>
      <c r="X25" s="97"/>
      <c r="Y25" s="97"/>
      <c r="Z25" s="207"/>
      <c r="AB25" s="206"/>
      <c r="AC25" s="97"/>
      <c r="AD25" s="207"/>
    </row>
    <row r="26" spans="1:30" hidden="1" outlineLevel="1">
      <c r="A26" s="1043"/>
      <c r="B26" s="1318">
        <v>1999</v>
      </c>
      <c r="J26" s="206"/>
      <c r="K26" s="97"/>
      <c r="L26" s="97"/>
      <c r="M26" s="97"/>
      <c r="N26" s="97"/>
      <c r="O26" s="206"/>
      <c r="S26" s="206"/>
      <c r="T26" s="97"/>
      <c r="U26" s="97"/>
      <c r="V26" s="206"/>
      <c r="W26" s="97"/>
      <c r="X26" s="97"/>
      <c r="Y26" s="97"/>
      <c r="Z26" s="207"/>
      <c r="AB26" s="206"/>
      <c r="AC26" s="97"/>
      <c r="AD26" s="207"/>
    </row>
    <row r="27" spans="1:30" hidden="1" outlineLevel="1">
      <c r="A27" s="22" t="s">
        <v>115</v>
      </c>
      <c r="B27" s="200" t="s">
        <v>96</v>
      </c>
      <c r="J27" s="206"/>
      <c r="K27" s="97"/>
      <c r="L27" s="97"/>
      <c r="M27" s="97"/>
      <c r="N27" s="97"/>
      <c r="O27" s="206"/>
      <c r="S27" s="1410">
        <v>6.6126719999999999</v>
      </c>
      <c r="T27" s="1405"/>
      <c r="U27" s="1405"/>
      <c r="V27" s="1420">
        <v>6.6126719999999999</v>
      </c>
      <c r="W27" s="1411"/>
      <c r="X27" s="97"/>
      <c r="Y27" s="97"/>
      <c r="Z27" s="207"/>
      <c r="AB27" s="206"/>
      <c r="AC27" s="97"/>
      <c r="AD27" s="207"/>
    </row>
    <row r="28" spans="1:30" hidden="1" outlineLevel="1">
      <c r="A28" s="22" t="s">
        <v>116</v>
      </c>
      <c r="B28" s="200" t="s">
        <v>97</v>
      </c>
      <c r="J28" s="206"/>
      <c r="K28" s="97"/>
      <c r="L28" s="97"/>
      <c r="M28" s="97"/>
      <c r="N28" s="97"/>
      <c r="O28" s="206"/>
      <c r="S28" s="1412">
        <v>6.0195719999999993</v>
      </c>
      <c r="T28" s="1323"/>
      <c r="U28" s="1323"/>
      <c r="V28" s="1998">
        <v>6.0195719999999993</v>
      </c>
      <c r="W28" s="1348"/>
      <c r="X28" s="97"/>
      <c r="Y28" s="97"/>
      <c r="Z28" s="207"/>
      <c r="AB28" s="206"/>
      <c r="AC28" s="97"/>
      <c r="AD28" s="207"/>
    </row>
    <row r="29" spans="1:30" hidden="1" outlineLevel="1">
      <c r="A29" s="22" t="s">
        <v>117</v>
      </c>
      <c r="B29" s="200" t="s">
        <v>99</v>
      </c>
      <c r="J29" s="206"/>
      <c r="K29" s="97"/>
      <c r="L29" s="97"/>
      <c r="M29" s="97"/>
      <c r="N29" s="97"/>
      <c r="O29" s="206"/>
      <c r="S29" s="1412">
        <v>9.1721249999999994</v>
      </c>
      <c r="T29" s="1323"/>
      <c r="U29" s="1323"/>
      <c r="V29" s="1998">
        <v>9.1721249999999994</v>
      </c>
      <c r="W29" s="1348"/>
      <c r="X29" s="97"/>
      <c r="Y29" s="97"/>
      <c r="Z29" s="207"/>
      <c r="AB29" s="206"/>
      <c r="AC29" s="97"/>
      <c r="AD29" s="207"/>
    </row>
    <row r="30" spans="1:30" hidden="1" outlineLevel="1">
      <c r="A30" s="22" t="s">
        <v>118</v>
      </c>
      <c r="B30" s="200" t="s">
        <v>100</v>
      </c>
      <c r="J30" s="206"/>
      <c r="K30" s="97"/>
      <c r="L30" s="97"/>
      <c r="M30" s="97"/>
      <c r="N30" s="97"/>
      <c r="O30" s="206"/>
      <c r="S30" s="1413">
        <v>21.972250000000003</v>
      </c>
      <c r="T30" s="1323"/>
      <c r="U30" s="1323"/>
      <c r="V30" s="1999">
        <v>21.972250000000003</v>
      </c>
      <c r="W30" s="1328"/>
      <c r="X30" s="97"/>
      <c r="Y30" s="97"/>
      <c r="Z30" s="207"/>
      <c r="AB30" s="206"/>
      <c r="AC30" s="97"/>
      <c r="AD30" s="207"/>
    </row>
    <row r="31" spans="1:30" hidden="1" outlineLevel="1">
      <c r="B31" s="200" t="s">
        <v>119</v>
      </c>
      <c r="J31" s="206"/>
      <c r="K31" s="97"/>
      <c r="L31" s="97"/>
      <c r="M31" s="97"/>
      <c r="N31" s="97"/>
      <c r="O31" s="206"/>
      <c r="S31" s="1414">
        <v>43.776619000000004</v>
      </c>
      <c r="T31" s="1084"/>
      <c r="U31" s="1084"/>
      <c r="V31" s="1446">
        <v>43.776619000000004</v>
      </c>
      <c r="W31" s="1215"/>
      <c r="X31" s="97"/>
      <c r="Y31" s="97"/>
      <c r="Z31" s="207"/>
      <c r="AB31" s="206"/>
      <c r="AC31" s="97"/>
      <c r="AD31" s="207"/>
    </row>
    <row r="32" spans="1:30" hidden="1" outlineLevel="1">
      <c r="B32" s="200"/>
      <c r="J32" s="206"/>
      <c r="K32" s="97"/>
      <c r="L32" s="97"/>
      <c r="M32" s="97"/>
      <c r="N32" s="97"/>
      <c r="O32" s="206"/>
      <c r="S32" s="374"/>
      <c r="T32" s="97"/>
      <c r="U32" s="97"/>
      <c r="V32" s="206"/>
      <c r="W32" s="97"/>
      <c r="X32" s="97"/>
      <c r="Y32" s="97"/>
      <c r="Z32" s="207"/>
      <c r="AB32" s="206"/>
      <c r="AC32" s="97"/>
      <c r="AD32" s="207"/>
    </row>
    <row r="33" spans="1:30" hidden="1" outlineLevel="1">
      <c r="A33" s="1043"/>
      <c r="B33" s="1318">
        <v>2001</v>
      </c>
      <c r="J33" s="206"/>
      <c r="K33" s="97"/>
      <c r="L33" s="97"/>
      <c r="M33" s="97"/>
      <c r="N33" s="97"/>
      <c r="O33" s="206"/>
      <c r="S33" s="374"/>
      <c r="T33" s="97"/>
      <c r="U33" s="97"/>
      <c r="V33" s="206"/>
      <c r="W33" s="97"/>
      <c r="X33" s="97"/>
      <c r="Y33" s="97"/>
      <c r="Z33" s="207"/>
      <c r="AB33" s="206"/>
      <c r="AC33" s="97"/>
      <c r="AD33" s="207"/>
    </row>
    <row r="34" spans="1:30" hidden="1" outlineLevel="1">
      <c r="A34" s="22" t="s">
        <v>115</v>
      </c>
      <c r="B34" s="200" t="s">
        <v>96</v>
      </c>
      <c r="J34" s="206"/>
      <c r="K34" s="97"/>
      <c r="L34" s="97"/>
      <c r="M34" s="97"/>
      <c r="N34" s="97"/>
      <c r="O34" s="206"/>
      <c r="S34" s="1410">
        <v>12.92032</v>
      </c>
      <c r="T34" s="1405"/>
      <c r="U34" s="1405"/>
      <c r="V34" s="1420">
        <v>12.92032</v>
      </c>
      <c r="W34" s="1331">
        <v>0.95387280663550222</v>
      </c>
      <c r="X34" s="97"/>
      <c r="Y34" s="97"/>
      <c r="Z34" s="207"/>
      <c r="AB34" s="206"/>
      <c r="AC34" s="97"/>
      <c r="AD34" s="207"/>
    </row>
    <row r="35" spans="1:30" hidden="1" outlineLevel="1">
      <c r="A35" s="22" t="s">
        <v>116</v>
      </c>
      <c r="B35" s="200" t="s">
        <v>97</v>
      </c>
      <c r="J35" s="206"/>
      <c r="K35" s="97"/>
      <c r="L35" s="97"/>
      <c r="M35" s="97"/>
      <c r="N35" s="97"/>
      <c r="O35" s="206"/>
      <c r="S35" s="1412">
        <v>11.204639999999999</v>
      </c>
      <c r="T35" s="1323"/>
      <c r="U35" s="1323"/>
      <c r="V35" s="1998">
        <v>11.204639999999999</v>
      </c>
      <c r="W35" s="1331">
        <v>0.86136821687654885</v>
      </c>
      <c r="X35" s="97"/>
      <c r="Y35" s="97"/>
      <c r="Z35" s="207"/>
      <c r="AB35" s="206"/>
      <c r="AC35" s="97"/>
      <c r="AD35" s="207"/>
    </row>
    <row r="36" spans="1:30" hidden="1" outlineLevel="1">
      <c r="A36" s="22" t="s">
        <v>117</v>
      </c>
      <c r="B36" s="200" t="s">
        <v>99</v>
      </c>
      <c r="J36" s="206"/>
      <c r="K36" s="97"/>
      <c r="L36" s="97"/>
      <c r="M36" s="97"/>
      <c r="N36" s="97"/>
      <c r="O36" s="206"/>
      <c r="S36" s="1412">
        <v>12.052082000000002</v>
      </c>
      <c r="T36" s="1323"/>
      <c r="U36" s="1323"/>
      <c r="V36" s="1998">
        <v>12.052082000000002</v>
      </c>
      <c r="W36" s="1331">
        <v>0.3139901604044868</v>
      </c>
      <c r="X36" s="97"/>
      <c r="Y36" s="97"/>
      <c r="Z36" s="207"/>
      <c r="AB36" s="206"/>
      <c r="AC36" s="97"/>
      <c r="AD36" s="207"/>
    </row>
    <row r="37" spans="1:30" hidden="1" outlineLevel="1">
      <c r="A37" s="22" t="s">
        <v>118</v>
      </c>
      <c r="B37" s="200" t="s">
        <v>100</v>
      </c>
      <c r="J37" s="206"/>
      <c r="K37" s="97"/>
      <c r="L37" s="97"/>
      <c r="M37" s="97"/>
      <c r="N37" s="97"/>
      <c r="O37" s="206"/>
      <c r="S37" s="1413">
        <v>20.996279999999999</v>
      </c>
      <c r="T37" s="1323"/>
      <c r="U37" s="1323"/>
      <c r="V37" s="1999">
        <v>20.996279999999999</v>
      </c>
      <c r="W37" s="1330">
        <v>-4.4418300356131146E-2</v>
      </c>
      <c r="X37" s="97"/>
      <c r="Y37" s="97"/>
      <c r="Z37" s="207"/>
      <c r="AB37" s="206"/>
      <c r="AC37" s="97"/>
      <c r="AD37" s="207"/>
    </row>
    <row r="38" spans="1:30" hidden="1" outlineLevel="1">
      <c r="B38" s="200" t="s">
        <v>119</v>
      </c>
      <c r="J38" s="206"/>
      <c r="K38" s="97"/>
      <c r="L38" s="97"/>
      <c r="M38" s="97"/>
      <c r="N38" s="97"/>
      <c r="O38" s="206"/>
      <c r="S38" s="1414">
        <v>57.173321999999999</v>
      </c>
      <c r="T38" s="1084"/>
      <c r="U38" s="1084"/>
      <c r="V38" s="1446">
        <v>57.173321999999999</v>
      </c>
      <c r="W38" s="1331">
        <v>0.30602415869530697</v>
      </c>
      <c r="X38" s="97"/>
      <c r="Y38" s="97"/>
      <c r="Z38" s="207"/>
      <c r="AB38" s="206"/>
      <c r="AC38" s="97"/>
      <c r="AD38" s="207"/>
    </row>
    <row r="39" spans="1:30" hidden="1" outlineLevel="1">
      <c r="B39" s="200"/>
      <c r="J39" s="206"/>
      <c r="K39" s="97"/>
      <c r="L39" s="97"/>
      <c r="M39" s="97"/>
      <c r="N39" s="97"/>
      <c r="O39" s="206"/>
      <c r="S39" s="206"/>
      <c r="T39" s="97"/>
      <c r="U39" s="97"/>
      <c r="V39" s="206"/>
      <c r="W39" s="97"/>
      <c r="X39" s="97"/>
      <c r="Y39" s="97"/>
      <c r="Z39" s="207"/>
      <c r="AB39" s="206"/>
      <c r="AC39" s="97"/>
      <c r="AD39" s="207"/>
    </row>
    <row r="40" spans="1:30" hidden="1" outlineLevel="1">
      <c r="A40" s="1043"/>
      <c r="B40" s="1318">
        <v>2002</v>
      </c>
      <c r="J40" s="206"/>
      <c r="K40" s="97"/>
      <c r="L40" s="97"/>
      <c r="M40" s="97"/>
      <c r="N40" s="97"/>
      <c r="O40" s="206"/>
      <c r="S40" s="206"/>
      <c r="T40" s="97"/>
      <c r="U40" s="97"/>
      <c r="V40" s="206"/>
      <c r="W40" s="97"/>
      <c r="X40" s="97"/>
      <c r="Y40" s="97"/>
      <c r="Z40" s="207"/>
      <c r="AB40" s="206"/>
      <c r="AC40" s="97"/>
      <c r="AD40" s="207"/>
    </row>
    <row r="41" spans="1:30" hidden="1" outlineLevel="1">
      <c r="A41" s="22" t="s">
        <v>115</v>
      </c>
      <c r="B41" s="200" t="s">
        <v>96</v>
      </c>
      <c r="J41" s="206"/>
      <c r="K41" s="97"/>
      <c r="L41" s="97"/>
      <c r="M41" s="97"/>
      <c r="N41" s="97"/>
      <c r="O41" s="206"/>
      <c r="S41" s="1410">
        <v>16.577976</v>
      </c>
      <c r="T41" s="1405"/>
      <c r="U41" s="1405"/>
      <c r="V41" s="1420">
        <v>16.577976</v>
      </c>
      <c r="W41" s="1331">
        <v>0.28309329799881122</v>
      </c>
      <c r="X41" s="1415">
        <v>5.3000000000000005E-2</v>
      </c>
      <c r="Y41" s="1415"/>
      <c r="Z41" s="1416"/>
      <c r="AB41" s="206"/>
      <c r="AC41" s="97"/>
      <c r="AD41" s="207"/>
    </row>
    <row r="42" spans="1:30" hidden="1" outlineLevel="1">
      <c r="A42" s="22" t="s">
        <v>116</v>
      </c>
      <c r="B42" s="200" t="s">
        <v>97</v>
      </c>
      <c r="J42" s="206"/>
      <c r="K42" s="97"/>
      <c r="L42" s="97"/>
      <c r="M42" s="97"/>
      <c r="N42" s="97"/>
      <c r="O42" s="206"/>
      <c r="S42" s="1412">
        <v>13.495314</v>
      </c>
      <c r="T42" s="1323"/>
      <c r="U42" s="1323"/>
      <c r="V42" s="1998">
        <v>13.495314</v>
      </c>
      <c r="W42" s="1331">
        <v>0.20443976781047857</v>
      </c>
      <c r="X42" s="1415">
        <v>4.1000000000000002E-2</v>
      </c>
      <c r="Y42" s="1415"/>
      <c r="Z42" s="1416"/>
      <c r="AB42" s="206"/>
      <c r="AC42" s="97"/>
      <c r="AD42" s="207"/>
    </row>
    <row r="43" spans="1:30" hidden="1" outlineLevel="1">
      <c r="A43" s="22" t="s">
        <v>117</v>
      </c>
      <c r="B43" s="200" t="s">
        <v>99</v>
      </c>
      <c r="J43" s="206"/>
      <c r="K43" s="97"/>
      <c r="L43" s="97"/>
      <c r="M43" s="97"/>
      <c r="N43" s="97"/>
      <c r="O43" s="206"/>
      <c r="S43" s="1417">
        <v>17.611818000000003</v>
      </c>
      <c r="T43" s="1323"/>
      <c r="U43" s="1323"/>
      <c r="V43" s="1998">
        <v>17.611818000000003</v>
      </c>
      <c r="W43" s="1331">
        <v>0.46130917463057419</v>
      </c>
      <c r="X43" s="1418">
        <v>4.2000000000000003E-2</v>
      </c>
      <c r="Y43" s="1418"/>
      <c r="Z43" s="1419"/>
      <c r="AB43" s="206"/>
      <c r="AC43" s="97"/>
      <c r="AD43" s="207"/>
    </row>
    <row r="44" spans="1:30" hidden="1" outlineLevel="1">
      <c r="A44" s="22" t="s">
        <v>118</v>
      </c>
      <c r="B44" s="200" t="s">
        <v>100</v>
      </c>
      <c r="J44" s="206"/>
      <c r="K44" s="97"/>
      <c r="L44" s="97"/>
      <c r="M44" s="97"/>
      <c r="N44" s="97"/>
      <c r="O44" s="206"/>
      <c r="S44" s="1413">
        <v>26.7241</v>
      </c>
      <c r="T44" s="1322"/>
      <c r="U44" s="1322"/>
      <c r="V44" s="1999">
        <v>26.7241</v>
      </c>
      <c r="W44" s="1330">
        <v>0.2728016581985</v>
      </c>
      <c r="X44" s="309">
        <v>0.05</v>
      </c>
      <c r="Y44" s="1415"/>
      <c r="Z44" s="1416"/>
      <c r="AB44" s="206"/>
      <c r="AC44" s="97"/>
      <c r="AD44" s="207"/>
    </row>
    <row r="45" spans="1:30" hidden="1" outlineLevel="1">
      <c r="B45" s="200" t="s">
        <v>119</v>
      </c>
      <c r="J45" s="206"/>
      <c r="K45" s="97"/>
      <c r="L45" s="97"/>
      <c r="M45" s="97"/>
      <c r="N45" s="97"/>
      <c r="O45" s="206"/>
      <c r="S45" s="1420">
        <v>74.409208000000007</v>
      </c>
      <c r="T45" s="1084"/>
      <c r="U45" s="1084"/>
      <c r="V45" s="1446">
        <v>74.409208000000007</v>
      </c>
      <c r="W45" s="1331">
        <v>0.30146728224048291</v>
      </c>
      <c r="X45" s="1415">
        <v>4.662941036761864E-2</v>
      </c>
      <c r="Y45" s="1415"/>
      <c r="Z45" s="1416"/>
      <c r="AB45" s="206"/>
      <c r="AC45" s="97"/>
      <c r="AD45" s="207"/>
    </row>
    <row r="46" spans="1:30" hidden="1" outlineLevel="1">
      <c r="B46" s="200"/>
      <c r="J46" s="206"/>
      <c r="K46" s="97"/>
      <c r="L46" s="97"/>
      <c r="M46" s="97"/>
      <c r="N46" s="97"/>
      <c r="O46" s="206"/>
      <c r="S46" s="1421"/>
      <c r="T46" s="1422"/>
      <c r="U46" s="1422"/>
      <c r="V46" s="2000"/>
      <c r="W46" s="1422"/>
      <c r="X46" s="199"/>
      <c r="Y46" s="199"/>
      <c r="Z46" s="375"/>
      <c r="AB46" s="206"/>
      <c r="AC46" s="97"/>
      <c r="AD46" s="207"/>
    </row>
    <row r="47" spans="1:30" hidden="1" outlineLevel="1">
      <c r="A47" s="1043"/>
      <c r="B47" s="1318">
        <v>2003</v>
      </c>
      <c r="J47" s="206"/>
      <c r="K47" s="97"/>
      <c r="L47" s="97"/>
      <c r="M47" s="97"/>
      <c r="N47" s="97"/>
      <c r="O47" s="206"/>
      <c r="S47" s="374"/>
      <c r="T47" s="97"/>
      <c r="U47" s="97"/>
      <c r="V47" s="206"/>
      <c r="W47" s="97"/>
      <c r="X47" s="199"/>
      <c r="Y47" s="199"/>
      <c r="Z47" s="375"/>
      <c r="AB47" s="206"/>
      <c r="AC47" s="97"/>
      <c r="AD47" s="207"/>
    </row>
    <row r="48" spans="1:30" hidden="1" outlineLevel="1">
      <c r="A48" s="22" t="s">
        <v>115</v>
      </c>
      <c r="B48" s="200" t="s">
        <v>96</v>
      </c>
      <c r="J48" s="206"/>
      <c r="K48" s="97"/>
      <c r="L48" s="97"/>
      <c r="M48" s="97"/>
      <c r="N48" s="97"/>
      <c r="O48" s="206"/>
      <c r="S48" s="1414">
        <v>16.295933999999999</v>
      </c>
      <c r="T48" s="1084"/>
      <c r="U48" s="1338"/>
      <c r="V48" s="1420">
        <v>16.295933999999999</v>
      </c>
      <c r="W48" s="1331">
        <v>-1.7013053945789336E-2</v>
      </c>
      <c r="X48" s="1418">
        <v>4.7E-2</v>
      </c>
      <c r="Y48" s="1418"/>
      <c r="Z48" s="1419"/>
      <c r="AB48" s="206"/>
      <c r="AC48" s="97"/>
      <c r="AD48" s="207"/>
    </row>
    <row r="49" spans="1:30" hidden="1" outlineLevel="1">
      <c r="A49" s="22" t="s">
        <v>116</v>
      </c>
      <c r="B49" s="200" t="s">
        <v>97</v>
      </c>
      <c r="J49" s="206"/>
      <c r="K49" s="97"/>
      <c r="L49" s="97"/>
      <c r="M49" s="97"/>
      <c r="N49" s="97"/>
      <c r="O49" s="206"/>
      <c r="S49" s="1417">
        <v>16.007355</v>
      </c>
      <c r="T49" s="1077"/>
      <c r="U49" s="1338"/>
      <c r="V49" s="1998">
        <v>16.007355</v>
      </c>
      <c r="W49" s="1331">
        <v>0.18614172297139575</v>
      </c>
      <c r="X49" s="1418">
        <v>4.4999999999999998E-2</v>
      </c>
      <c r="Y49" s="1418"/>
      <c r="Z49" s="1419"/>
      <c r="AB49" s="206"/>
      <c r="AC49" s="97"/>
      <c r="AD49" s="207"/>
    </row>
    <row r="50" spans="1:30" hidden="1" outlineLevel="1">
      <c r="A50" s="22" t="s">
        <v>117</v>
      </c>
      <c r="B50" s="200" t="s">
        <v>99</v>
      </c>
      <c r="J50" s="206"/>
      <c r="K50" s="97"/>
      <c r="L50" s="97"/>
      <c r="M50" s="97"/>
      <c r="N50" s="97"/>
      <c r="O50" s="206"/>
      <c r="S50" s="1412">
        <f>21.5</f>
        <v>21.5</v>
      </c>
      <c r="T50" s="1423">
        <v>2.8</v>
      </c>
      <c r="U50" s="1338">
        <f>T50/S50</f>
        <v>0.13023255813953488</v>
      </c>
      <c r="V50" s="1998">
        <f>S50+T50</f>
        <v>24.3</v>
      </c>
      <c r="W50" s="1331">
        <f>S50/S43-1</f>
        <v>0.22077118898230697</v>
      </c>
      <c r="X50" s="1415">
        <v>5.4609318642003336E-2</v>
      </c>
      <c r="Y50" s="1415"/>
      <c r="Z50" s="1416"/>
      <c r="AB50" s="206"/>
      <c r="AC50" s="97"/>
      <c r="AD50" s="207"/>
    </row>
    <row r="51" spans="1:30" hidden="1" outlineLevel="1">
      <c r="A51" s="22" t="s">
        <v>118</v>
      </c>
      <c r="B51" s="200" t="s">
        <v>100</v>
      </c>
      <c r="J51" s="206"/>
      <c r="K51" s="97"/>
      <c r="L51" s="97"/>
      <c r="M51" s="97"/>
      <c r="N51" s="97"/>
      <c r="O51" s="206"/>
      <c r="S51" s="1424">
        <f>31</f>
        <v>31</v>
      </c>
      <c r="T51" s="1145">
        <v>3.5</v>
      </c>
      <c r="U51" s="1340">
        <f>T51/S51</f>
        <v>0.11290322580645161</v>
      </c>
      <c r="V51" s="1999">
        <f>S51+T51</f>
        <v>34.5</v>
      </c>
      <c r="W51" s="1330">
        <f>S51/S44-1</f>
        <v>0.16000164645394976</v>
      </c>
      <c r="X51" s="309">
        <v>6.1564377601987193E-2</v>
      </c>
      <c r="Y51" s="1415"/>
      <c r="Z51" s="1416"/>
      <c r="AB51" s="206"/>
      <c r="AC51" s="97"/>
      <c r="AD51" s="207"/>
    </row>
    <row r="52" spans="1:30" hidden="1" outlineLevel="1">
      <c r="B52" s="200" t="s">
        <v>119</v>
      </c>
      <c r="J52" s="206"/>
      <c r="K52" s="97"/>
      <c r="L52" s="97"/>
      <c r="M52" s="97"/>
      <c r="N52" s="97"/>
      <c r="O52" s="206"/>
      <c r="S52" s="1425">
        <f>80.4+10.2</f>
        <v>90.600000000000009</v>
      </c>
      <c r="T52" s="1426">
        <v>10.199999999999999</v>
      </c>
      <c r="U52" s="1338">
        <f>T52/S52</f>
        <v>0.11258278145695362</v>
      </c>
      <c r="V52" s="1446">
        <f>SUM(V48:V51)</f>
        <v>91.103289000000004</v>
      </c>
      <c r="W52" s="1331">
        <f>S52/S45-1</f>
        <v>0.21759124220217485</v>
      </c>
      <c r="X52" s="1427">
        <v>5.334512758745269E-2</v>
      </c>
      <c r="Y52" s="1427"/>
      <c r="Z52" s="1428"/>
      <c r="AB52" s="206"/>
      <c r="AC52" s="97"/>
      <c r="AD52" s="207"/>
    </row>
    <row r="53" spans="1:30" hidden="1" outlineLevel="1">
      <c r="B53" s="200"/>
      <c r="J53" s="206"/>
      <c r="K53" s="97"/>
      <c r="L53" s="97"/>
      <c r="M53" s="97"/>
      <c r="N53" s="97"/>
      <c r="O53" s="206"/>
      <c r="S53" s="1429"/>
      <c r="T53" s="310"/>
      <c r="U53" s="310"/>
      <c r="V53" s="1429"/>
      <c r="W53" s="310"/>
      <c r="X53" s="199"/>
      <c r="Y53" s="199"/>
      <c r="Z53" s="375"/>
      <c r="AB53" s="206"/>
      <c r="AC53" s="97"/>
      <c r="AD53" s="207"/>
    </row>
    <row r="54" spans="1:30" hidden="1" outlineLevel="1">
      <c r="A54" s="1043"/>
      <c r="B54" s="1318">
        <v>2004</v>
      </c>
      <c r="J54" s="206"/>
      <c r="K54" s="97"/>
      <c r="L54" s="97"/>
      <c r="M54" s="97"/>
      <c r="N54" s="97"/>
      <c r="O54" s="206"/>
      <c r="S54" s="206"/>
      <c r="T54" s="97"/>
      <c r="U54" s="97"/>
      <c r="V54" s="206"/>
      <c r="W54" s="97"/>
      <c r="X54" s="199"/>
      <c r="Y54" s="199"/>
      <c r="Z54" s="375"/>
      <c r="AB54" s="206"/>
      <c r="AC54" s="97"/>
      <c r="AD54" s="207"/>
    </row>
    <row r="55" spans="1:30" hidden="1" outlineLevel="1">
      <c r="A55" s="22" t="s">
        <v>115</v>
      </c>
      <c r="B55" s="200" t="s">
        <v>96</v>
      </c>
      <c r="J55" s="206"/>
      <c r="K55" s="97"/>
      <c r="L55" s="97"/>
      <c r="M55" s="97"/>
      <c r="N55" s="97"/>
      <c r="O55" s="206"/>
      <c r="S55" s="1430">
        <v>22.9</v>
      </c>
      <c r="T55" s="1431">
        <v>3.4</v>
      </c>
      <c r="U55" s="1338">
        <f>T55/S55</f>
        <v>0.14847161572052403</v>
      </c>
      <c r="V55" s="1420">
        <f>S55+T55</f>
        <v>26.299999999999997</v>
      </c>
      <c r="W55" s="1331">
        <f>S55/S48-1</f>
        <v>0.40525851417905834</v>
      </c>
      <c r="X55" s="1415">
        <f>V55/'qtrP&amp;L'!D10</f>
        <v>1.1239796572503096</v>
      </c>
      <c r="Y55" s="1415"/>
      <c r="Z55" s="1416"/>
      <c r="AB55" s="206"/>
      <c r="AC55" s="97"/>
      <c r="AD55" s="207"/>
    </row>
    <row r="56" spans="1:30" hidden="1" outlineLevel="1">
      <c r="A56" s="22" t="s">
        <v>116</v>
      </c>
      <c r="B56" s="200" t="s">
        <v>97</v>
      </c>
      <c r="J56" s="206"/>
      <c r="K56" s="97"/>
      <c r="L56" s="97"/>
      <c r="M56" s="97"/>
      <c r="N56" s="97"/>
      <c r="O56" s="206"/>
      <c r="S56" s="1412">
        <v>19.899999999999999</v>
      </c>
      <c r="T56" s="1423">
        <v>2.8</v>
      </c>
      <c r="U56" s="1338">
        <f>T56/S56</f>
        <v>0.1407035175879397</v>
      </c>
      <c r="V56" s="1998">
        <f>S56+T56</f>
        <v>22.7</v>
      </c>
      <c r="W56" s="1331">
        <f>S56/S49-1</f>
        <v>0.24317852637115855</v>
      </c>
      <c r="X56" s="1415">
        <f>V56/'qtrP&amp;L'!D11</f>
        <v>0.7815458770872783</v>
      </c>
      <c r="Y56" s="1415"/>
      <c r="Z56" s="1416"/>
      <c r="AB56" s="206"/>
      <c r="AC56" s="97"/>
      <c r="AD56" s="207"/>
    </row>
    <row r="57" spans="1:30" hidden="1" outlineLevel="1">
      <c r="A57" s="22" t="s">
        <v>117</v>
      </c>
      <c r="B57" s="200" t="s">
        <v>99</v>
      </c>
      <c r="J57" s="206"/>
      <c r="K57" s="97"/>
      <c r="L57" s="97"/>
      <c r="M57" s="97"/>
      <c r="N57" s="97"/>
      <c r="O57" s="206"/>
      <c r="S57" s="1412">
        <f>27.6</f>
        <v>27.6</v>
      </c>
      <c r="T57" s="1423">
        <v>4</v>
      </c>
      <c r="U57" s="1338">
        <f>T57/S57</f>
        <v>0.14492753623188406</v>
      </c>
      <c r="V57" s="1998">
        <f>S57+T57</f>
        <v>31.6</v>
      </c>
      <c r="W57" s="1331">
        <f>S57/S50-1</f>
        <v>0.28372093023255829</v>
      </c>
      <c r="X57" s="1415">
        <f>V57/'qtrP&amp;L'!D12</f>
        <v>0.81899232842629066</v>
      </c>
      <c r="Y57" s="1415"/>
      <c r="Z57" s="1416"/>
      <c r="AB57" s="206"/>
      <c r="AC57" s="97"/>
      <c r="AD57" s="207"/>
    </row>
    <row r="58" spans="1:30" hidden="1" outlineLevel="1">
      <c r="A58" s="22" t="s">
        <v>118</v>
      </c>
      <c r="B58" s="200" t="s">
        <v>100</v>
      </c>
      <c r="J58" s="206"/>
      <c r="K58" s="97"/>
      <c r="L58" s="97"/>
      <c r="M58" s="97"/>
      <c r="N58" s="97"/>
      <c r="O58" s="206"/>
      <c r="S58" s="1301">
        <f>S59-SUM(S55:S57)</f>
        <v>40.199999999999989</v>
      </c>
      <c r="T58" s="1092">
        <f>T59-SUM(T55:T57)</f>
        <v>5.5</v>
      </c>
      <c r="U58" s="1340">
        <f>T58/S58</f>
        <v>0.13681592039800999</v>
      </c>
      <c r="V58" s="1999">
        <f>S58+T58</f>
        <v>45.699999999999989</v>
      </c>
      <c r="W58" s="1330">
        <f>S58/S51-1</f>
        <v>0.29677419354838674</v>
      </c>
      <c r="X58" s="309">
        <f>V58/'qtrP&amp;L'!D13</f>
        <v>0.61395848727077296</v>
      </c>
      <c r="Y58" s="1415"/>
      <c r="Z58" s="1416"/>
      <c r="AB58" s="206"/>
      <c r="AC58" s="97"/>
      <c r="AD58" s="207"/>
    </row>
    <row r="59" spans="1:30" hidden="1" outlineLevel="1">
      <c r="B59" s="200" t="s">
        <v>119</v>
      </c>
      <c r="J59" s="206"/>
      <c r="K59" s="97"/>
      <c r="L59" s="97"/>
      <c r="M59" s="97"/>
      <c r="N59" s="97"/>
      <c r="O59" s="206"/>
      <c r="S59" s="1425">
        <v>110.6</v>
      </c>
      <c r="T59" s="1426">
        <v>15.7</v>
      </c>
      <c r="U59" s="1338">
        <f>T59/S59</f>
        <v>0.14195298372513562</v>
      </c>
      <c r="V59" s="1446">
        <f>SUM(V55:V58)</f>
        <v>126.29999999999998</v>
      </c>
      <c r="W59" s="1331">
        <f>S59/S52-1</f>
        <v>0.22075055187637949</v>
      </c>
      <c r="X59" s="1427">
        <f>+V59/'qtrP&amp;L'!D14</f>
        <v>0.76331264391434928</v>
      </c>
      <c r="Y59" s="1427"/>
      <c r="Z59" s="1428"/>
      <c r="AB59" s="206"/>
      <c r="AC59" s="97"/>
      <c r="AD59" s="207"/>
    </row>
    <row r="60" spans="1:30" hidden="1" outlineLevel="1">
      <c r="B60" s="200"/>
      <c r="J60" s="206"/>
      <c r="K60" s="97"/>
      <c r="L60" s="97"/>
      <c r="M60" s="97"/>
      <c r="N60" s="97"/>
      <c r="O60" s="206"/>
      <c r="S60" s="1432"/>
      <c r="T60" s="310"/>
      <c r="U60" s="310"/>
      <c r="V60" s="1429"/>
      <c r="W60" s="310"/>
      <c r="X60" s="199"/>
      <c r="Y60" s="199"/>
      <c r="Z60" s="375"/>
      <c r="AB60" s="206"/>
      <c r="AC60" s="97"/>
      <c r="AD60" s="207"/>
    </row>
    <row r="61" spans="1:30" hidden="1" outlineLevel="1">
      <c r="A61" s="1043"/>
      <c r="B61" s="1113">
        <v>2005</v>
      </c>
      <c r="J61" s="206"/>
      <c r="K61" s="97"/>
      <c r="L61" s="97"/>
      <c r="M61" s="97"/>
      <c r="N61" s="97"/>
      <c r="O61" s="206"/>
      <c r="S61" s="374"/>
      <c r="T61" s="97"/>
      <c r="U61" s="97"/>
      <c r="V61" s="206"/>
      <c r="W61" s="97"/>
      <c r="X61" s="199"/>
      <c r="Y61" s="199"/>
      <c r="Z61" s="375"/>
      <c r="AB61" s="206"/>
      <c r="AC61" s="97"/>
      <c r="AD61" s="207"/>
    </row>
    <row r="62" spans="1:30" hidden="1" outlineLevel="1">
      <c r="A62" s="22" t="s">
        <v>115</v>
      </c>
      <c r="B62" s="200" t="s">
        <v>96</v>
      </c>
      <c r="J62" s="206"/>
      <c r="K62" s="97"/>
      <c r="L62" s="97"/>
      <c r="M62" s="97"/>
      <c r="N62" s="97"/>
      <c r="O62" s="206"/>
      <c r="S62" s="1410">
        <v>27.3</v>
      </c>
      <c r="T62" s="1431">
        <v>4.3</v>
      </c>
      <c r="U62" s="1338">
        <f>T62/S62</f>
        <v>0.1575091575091575</v>
      </c>
      <c r="V62" s="1420">
        <f>S62+T62</f>
        <v>31.6</v>
      </c>
      <c r="W62" s="1331">
        <f>S62/S55-1</f>
        <v>0.19213973799126638</v>
      </c>
      <c r="X62" s="1415">
        <f>V62/'qtrP&amp;L'!H10</f>
        <v>0.94675974473439795</v>
      </c>
      <c r="Y62" s="1415"/>
      <c r="Z62" s="1416"/>
      <c r="AB62" s="206"/>
      <c r="AC62" s="97"/>
      <c r="AD62" s="207"/>
    </row>
    <row r="63" spans="1:30" hidden="1" outlineLevel="1">
      <c r="A63" s="22" t="s">
        <v>116</v>
      </c>
      <c r="B63" s="200" t="s">
        <v>97</v>
      </c>
      <c r="J63" s="206"/>
      <c r="K63" s="97"/>
      <c r="L63" s="97"/>
      <c r="M63" s="97"/>
      <c r="N63" s="97"/>
      <c r="O63" s="206"/>
      <c r="S63" s="1412">
        <v>20.6</v>
      </c>
      <c r="T63" s="1423">
        <v>3.2</v>
      </c>
      <c r="U63" s="1338">
        <f>T63/S63</f>
        <v>0.1553398058252427</v>
      </c>
      <c r="V63" s="1998">
        <f>S63+T63</f>
        <v>23.8</v>
      </c>
      <c r="W63" s="1331">
        <f>S63/S56-1</f>
        <v>3.5175879396984966E-2</v>
      </c>
      <c r="X63" s="1415">
        <f>V63/'qtrP&amp;L'!H11</f>
        <v>0.61549601737871107</v>
      </c>
      <c r="Y63" s="1415"/>
      <c r="Z63" s="1416"/>
      <c r="AB63" s="206"/>
      <c r="AC63" s="97"/>
      <c r="AD63" s="207"/>
    </row>
    <row r="64" spans="1:30" hidden="1" outlineLevel="1">
      <c r="A64" s="22" t="s">
        <v>117</v>
      </c>
      <c r="B64" s="200" t="s">
        <v>99</v>
      </c>
      <c r="J64" s="206"/>
      <c r="K64" s="97"/>
      <c r="L64" s="97"/>
      <c r="M64" s="97"/>
      <c r="N64" s="97"/>
      <c r="O64" s="206"/>
      <c r="S64" s="1433">
        <v>26.9</v>
      </c>
      <c r="T64" s="1434">
        <v>3.8</v>
      </c>
      <c r="U64" s="1338">
        <f>T64/S64</f>
        <v>0.14126394052044611</v>
      </c>
      <c r="V64" s="2001">
        <f>S64+T64</f>
        <v>30.7</v>
      </c>
      <c r="W64" s="1331">
        <f>S64/S57-1</f>
        <v>-2.5362318840579823E-2</v>
      </c>
      <c r="X64" s="1216">
        <f>V64/'qtrP&amp;L'!H12</f>
        <v>0.53650693789102089</v>
      </c>
      <c r="Y64" s="1216"/>
      <c r="Z64" s="1435"/>
      <c r="AB64" s="206"/>
      <c r="AC64" s="97"/>
      <c r="AD64" s="207"/>
    </row>
    <row r="65" spans="1:30" hidden="1" outlineLevel="1">
      <c r="A65" s="22" t="s">
        <v>118</v>
      </c>
      <c r="B65" s="200" t="s">
        <v>100</v>
      </c>
      <c r="J65" s="206"/>
      <c r="K65" s="97"/>
      <c r="L65" s="97"/>
      <c r="M65" s="97"/>
      <c r="N65" s="97"/>
      <c r="O65" s="206"/>
      <c r="S65" s="1301">
        <f>S66-SUM(S62:S64)</f>
        <v>47.699999999999989</v>
      </c>
      <c r="T65" s="1092">
        <f>T66-SUM(T62:T64)</f>
        <v>6.3000000000000007</v>
      </c>
      <c r="U65" s="1340">
        <f>T65/S65</f>
        <v>0.13207547169811326</v>
      </c>
      <c r="V65" s="1999">
        <f>S65+T65</f>
        <v>53.999999999999986</v>
      </c>
      <c r="W65" s="1330">
        <f>S65/S58-1</f>
        <v>0.18656716417910446</v>
      </c>
      <c r="X65" s="309">
        <f>V65/'qtrP&amp;L'!H13</f>
        <v>0.50755695916986232</v>
      </c>
      <c r="Y65" s="1415"/>
      <c r="Z65" s="1416"/>
      <c r="AB65" s="206"/>
      <c r="AC65" s="97"/>
      <c r="AD65" s="207"/>
    </row>
    <row r="66" spans="1:30" hidden="1" outlineLevel="1">
      <c r="B66" s="200" t="s">
        <v>119</v>
      </c>
      <c r="J66" s="206"/>
      <c r="K66" s="97"/>
      <c r="L66" s="97"/>
      <c r="M66" s="97"/>
      <c r="N66" s="97"/>
      <c r="O66" s="206"/>
      <c r="S66" s="1436">
        <v>122.5</v>
      </c>
      <c r="T66" s="1437">
        <v>17.600000000000001</v>
      </c>
      <c r="U66" s="1338">
        <f>T66/S66</f>
        <v>0.1436734693877551</v>
      </c>
      <c r="V66" s="1446">
        <f>SUM(V62:V65)</f>
        <v>140.1</v>
      </c>
      <c r="W66" s="1331">
        <f>S66/S59-1</f>
        <v>0.10759493670886089</v>
      </c>
      <c r="X66" s="1427">
        <f>V66/'qtrP&amp;L'!H14</f>
        <v>0.59450307435744021</v>
      </c>
      <c r="Y66" s="1427"/>
      <c r="Z66" s="1428"/>
      <c r="AB66" s="206"/>
      <c r="AC66" s="97"/>
      <c r="AD66" s="207"/>
    </row>
    <row r="67" spans="1:30" hidden="1" outlineLevel="1">
      <c r="B67" s="200"/>
      <c r="J67" s="206"/>
      <c r="K67" s="97"/>
      <c r="L67" s="97"/>
      <c r="M67" s="97"/>
      <c r="N67" s="97"/>
      <c r="O67" s="206"/>
      <c r="S67" s="206"/>
      <c r="T67" s="97"/>
      <c r="U67" s="97"/>
      <c r="V67" s="206"/>
      <c r="W67" s="97"/>
      <c r="X67" s="97"/>
      <c r="Y67" s="97"/>
      <c r="Z67" s="207"/>
      <c r="AB67" s="206"/>
      <c r="AC67" s="97"/>
      <c r="AD67" s="207"/>
    </row>
    <row r="68" spans="1:30" hidden="1" outlineLevel="1">
      <c r="A68" s="1043"/>
      <c r="B68" s="1113">
        <v>2006</v>
      </c>
      <c r="J68" s="206"/>
      <c r="K68" s="97"/>
      <c r="L68" s="97"/>
      <c r="M68" s="97"/>
      <c r="N68" s="97"/>
      <c r="O68" s="206"/>
      <c r="S68" s="1409"/>
      <c r="T68" s="97"/>
      <c r="U68" s="97"/>
      <c r="V68" s="2002"/>
      <c r="W68" s="1438"/>
      <c r="X68" s="97"/>
      <c r="Y68" s="97"/>
      <c r="Z68" s="207"/>
      <c r="AB68" s="206"/>
      <c r="AC68" s="97"/>
      <c r="AD68" s="207"/>
    </row>
    <row r="69" spans="1:30" hidden="1" outlineLevel="1">
      <c r="A69" s="22" t="s">
        <v>115</v>
      </c>
      <c r="B69" s="200" t="s">
        <v>96</v>
      </c>
      <c r="J69" s="206"/>
      <c r="K69" s="97"/>
      <c r="L69" s="97"/>
      <c r="M69" s="97"/>
      <c r="N69" s="97"/>
      <c r="O69" s="206"/>
      <c r="S69" s="1410">
        <v>30.4</v>
      </c>
      <c r="T69" s="1431">
        <v>4.8</v>
      </c>
      <c r="U69" s="1338">
        <f>T69/S69</f>
        <v>0.15789473684210525</v>
      </c>
      <c r="V69" s="1420">
        <f>S69+T69</f>
        <v>35.199999999999996</v>
      </c>
      <c r="W69" s="1331">
        <f>S69/S62-1</f>
        <v>0.11355311355311337</v>
      </c>
      <c r="X69" s="576">
        <f>V69/'qtrP&amp;L'!L10</f>
        <v>0.68992551940415514</v>
      </c>
      <c r="Y69" s="576"/>
      <c r="Z69" s="733"/>
      <c r="AB69" s="206"/>
      <c r="AC69" s="97"/>
      <c r="AD69" s="207"/>
    </row>
    <row r="70" spans="1:30" hidden="1" outlineLevel="1">
      <c r="A70" s="22" t="s">
        <v>116</v>
      </c>
      <c r="B70" s="200" t="s">
        <v>97</v>
      </c>
      <c r="J70" s="206"/>
      <c r="K70" s="97"/>
      <c r="L70" s="97"/>
      <c r="M70" s="97"/>
      <c r="N70" s="97"/>
      <c r="O70" s="206"/>
      <c r="S70" s="1412">
        <v>27.5</v>
      </c>
      <c r="T70" s="1423">
        <v>4.4000000000000004</v>
      </c>
      <c r="U70" s="1338">
        <f>T70/S70</f>
        <v>0.16</v>
      </c>
      <c r="V70" s="1998">
        <f>S70+T70</f>
        <v>31.9</v>
      </c>
      <c r="W70" s="1331">
        <f>S70/S63-1</f>
        <v>0.33495145631067946</v>
      </c>
      <c r="X70" s="576">
        <f>V70/'qtrP&amp;L'!L11</f>
        <v>0.55544914767285958</v>
      </c>
      <c r="Y70" s="576"/>
      <c r="Z70" s="733"/>
      <c r="AB70" s="206"/>
      <c r="AC70" s="97"/>
      <c r="AD70" s="207"/>
    </row>
    <row r="71" spans="1:30" hidden="1" outlineLevel="1">
      <c r="A71" s="22" t="s">
        <v>117</v>
      </c>
      <c r="B71" s="200" t="s">
        <v>99</v>
      </c>
      <c r="J71" s="206"/>
      <c r="K71" s="97"/>
      <c r="L71" s="97"/>
      <c r="M71" s="97"/>
      <c r="N71" s="97"/>
      <c r="O71" s="206"/>
      <c r="S71" s="1433">
        <v>41.3</v>
      </c>
      <c r="T71" s="1434">
        <v>5.9</v>
      </c>
      <c r="U71" s="1338">
        <f>T71/S71</f>
        <v>0.14285714285714288</v>
      </c>
      <c r="V71" s="1998">
        <f>S71+T71</f>
        <v>47.199999999999996</v>
      </c>
      <c r="W71" s="1331">
        <f>S71/S64-1</f>
        <v>0.53531598513011147</v>
      </c>
      <c r="X71" s="576">
        <f>V71/'qtrP&amp;L'!L12</f>
        <v>0.53827205546939139</v>
      </c>
      <c r="Y71" s="576"/>
      <c r="Z71" s="733"/>
      <c r="AB71" s="206"/>
      <c r="AC71" s="97"/>
      <c r="AD71" s="207"/>
    </row>
    <row r="72" spans="1:30" hidden="1" outlineLevel="1">
      <c r="A72" s="22" t="s">
        <v>118</v>
      </c>
      <c r="B72" s="200" t="s">
        <v>100</v>
      </c>
      <c r="J72" s="206"/>
      <c r="K72" s="97"/>
      <c r="L72" s="97"/>
      <c r="M72" s="97"/>
      <c r="N72" s="97"/>
      <c r="O72" s="206"/>
      <c r="S72" s="1424">
        <v>74.8</v>
      </c>
      <c r="T72" s="1145">
        <v>9.8000000000000007</v>
      </c>
      <c r="U72" s="1340">
        <f>T72/S72</f>
        <v>0.13101604278074869</v>
      </c>
      <c r="V72" s="1999">
        <f>S72+T72</f>
        <v>84.6</v>
      </c>
      <c r="W72" s="1330">
        <f>S72/S65-1</f>
        <v>0.56813417190775706</v>
      </c>
      <c r="X72" s="333">
        <f>V72/'qtrP&amp;L'!L13</f>
        <v>0.60761457413113262</v>
      </c>
      <c r="Y72" s="576"/>
      <c r="Z72" s="733"/>
      <c r="AB72" s="206"/>
      <c r="AC72" s="97"/>
      <c r="AD72" s="207"/>
    </row>
    <row r="73" spans="1:30" ht="12.75" hidden="1" customHeight="1" outlineLevel="1">
      <c r="B73" s="200" t="s">
        <v>119</v>
      </c>
      <c r="J73" s="206"/>
      <c r="K73" s="97"/>
      <c r="L73" s="97"/>
      <c r="M73" s="97"/>
      <c r="N73" s="97"/>
      <c r="O73" s="206"/>
      <c r="S73" s="1420">
        <f>+SUM(S69:S72)</f>
        <v>174</v>
      </c>
      <c r="T73" s="1411">
        <f>+SUM(T69:T72)</f>
        <v>24.9</v>
      </c>
      <c r="U73" s="1338">
        <f>T73/S73</f>
        <v>0.14310344827586205</v>
      </c>
      <c r="V73" s="1446">
        <f>SUM(V69:V72)</f>
        <v>198.89999999999998</v>
      </c>
      <c r="W73" s="1331">
        <f>S73/S66-1</f>
        <v>0.42040816326530606</v>
      </c>
      <c r="X73" s="1439">
        <f>V73/'qtrP&amp;L'!L14</f>
        <v>0.59307276695728917</v>
      </c>
      <c r="Y73" s="1439"/>
      <c r="Z73" s="1440"/>
      <c r="AB73" s="206"/>
      <c r="AC73" s="97"/>
      <c r="AD73" s="207"/>
    </row>
    <row r="74" spans="1:30" hidden="1" outlineLevel="1">
      <c r="B74" s="200"/>
      <c r="J74" s="206"/>
      <c r="K74" s="97"/>
      <c r="L74" s="97"/>
      <c r="M74" s="97"/>
      <c r="N74" s="97"/>
      <c r="O74" s="206"/>
      <c r="S74" s="206"/>
      <c r="T74" s="97"/>
      <c r="U74" s="97"/>
      <c r="V74" s="206"/>
      <c r="W74" s="97"/>
      <c r="X74" s="97"/>
      <c r="Y74" s="97"/>
      <c r="Z74" s="207"/>
      <c r="AB74" s="206"/>
      <c r="AC74" s="97"/>
      <c r="AD74" s="207"/>
    </row>
    <row r="75" spans="1:30" hidden="1" outlineLevel="1">
      <c r="A75" s="1120"/>
      <c r="B75" s="1113">
        <v>2007</v>
      </c>
      <c r="C75" s="114"/>
      <c r="D75" s="114"/>
      <c r="E75" s="114"/>
      <c r="F75" s="114"/>
      <c r="G75" s="114"/>
      <c r="H75" s="114"/>
      <c r="I75" s="114"/>
      <c r="J75" s="1429"/>
      <c r="K75" s="310"/>
      <c r="L75" s="310"/>
      <c r="M75" s="310"/>
      <c r="N75" s="310"/>
      <c r="O75" s="1429"/>
      <c r="P75" s="114"/>
      <c r="Q75" s="114"/>
      <c r="S75" s="1441"/>
      <c r="T75" s="1143"/>
      <c r="U75" s="310"/>
      <c r="V75" s="1429"/>
      <c r="W75" s="1442"/>
      <c r="X75" s="310"/>
      <c r="Y75" s="310"/>
      <c r="Z75" s="1443"/>
      <c r="AB75" s="206"/>
      <c r="AC75" s="97"/>
      <c r="AD75" s="207"/>
    </row>
    <row r="76" spans="1:30" hidden="1" outlineLevel="1">
      <c r="A76" s="114" t="s">
        <v>115</v>
      </c>
      <c r="B76" s="245" t="s">
        <v>96</v>
      </c>
      <c r="C76" s="114"/>
      <c r="D76" s="114"/>
      <c r="E76" s="114"/>
      <c r="F76" s="114"/>
      <c r="G76" s="114"/>
      <c r="H76" s="114"/>
      <c r="I76" s="114"/>
      <c r="J76" s="1429"/>
      <c r="K76" s="310"/>
      <c r="L76" s="310"/>
      <c r="M76" s="310"/>
      <c r="N76" s="310"/>
      <c r="O76" s="1429"/>
      <c r="P76" s="114"/>
      <c r="Q76" s="114"/>
      <c r="S76" s="1430">
        <v>43.5</v>
      </c>
      <c r="T76" s="1444">
        <v>6.6</v>
      </c>
      <c r="U76" s="1338">
        <f>T76/S76</f>
        <v>0.15172413793103448</v>
      </c>
      <c r="V76" s="1425">
        <f>S76+T76</f>
        <v>50.1</v>
      </c>
      <c r="W76" s="1331">
        <f>S76/S69-1</f>
        <v>0.43092105263157898</v>
      </c>
      <c r="X76" s="1173">
        <f>V76/'qtrP&amp;L'!P10</f>
        <v>0.67414823187469719</v>
      </c>
      <c r="Y76" s="1173"/>
      <c r="Z76" s="1445"/>
      <c r="AB76" s="206"/>
      <c r="AC76" s="97"/>
      <c r="AD76" s="207"/>
    </row>
    <row r="77" spans="1:30" hidden="1" outlineLevel="1">
      <c r="A77" s="114" t="s">
        <v>116</v>
      </c>
      <c r="B77" s="245" t="s">
        <v>97</v>
      </c>
      <c r="C77" s="114"/>
      <c r="D77" s="114"/>
      <c r="E77" s="114"/>
      <c r="F77" s="114"/>
      <c r="G77" s="114"/>
      <c r="H77" s="114"/>
      <c r="I77" s="114"/>
      <c r="J77" s="1429"/>
      <c r="K77" s="310"/>
      <c r="L77" s="310"/>
      <c r="M77" s="310"/>
      <c r="N77" s="310"/>
      <c r="O77" s="1429"/>
      <c r="P77" s="114"/>
      <c r="Q77" s="114"/>
      <c r="S77" s="1433">
        <v>45.6</v>
      </c>
      <c r="T77" s="1434">
        <v>7.7</v>
      </c>
      <c r="U77" s="1338">
        <f>T77/S77</f>
        <v>0.16885964912280702</v>
      </c>
      <c r="V77" s="2003">
        <f>S77+T77</f>
        <v>53.300000000000004</v>
      </c>
      <c r="W77" s="1331">
        <f>S77/S70-1</f>
        <v>0.6581818181818182</v>
      </c>
      <c r="X77" s="1173">
        <f>V77/'qtrP&amp;L'!P11</f>
        <v>0.61518928901200376</v>
      </c>
      <c r="Y77" s="1173"/>
      <c r="Z77" s="1445"/>
      <c r="AB77" s="206"/>
      <c r="AC77" s="97"/>
      <c r="AD77" s="207"/>
    </row>
    <row r="78" spans="1:30" hidden="1" outlineLevel="1">
      <c r="A78" s="114" t="s">
        <v>117</v>
      </c>
      <c r="B78" s="245" t="s">
        <v>99</v>
      </c>
      <c r="C78" s="114"/>
      <c r="D78" s="114"/>
      <c r="E78" s="114"/>
      <c r="F78" s="114"/>
      <c r="G78" s="114"/>
      <c r="H78" s="114"/>
      <c r="I78" s="114"/>
      <c r="J78" s="1429"/>
      <c r="K78" s="310"/>
      <c r="L78" s="310"/>
      <c r="M78" s="310"/>
      <c r="N78" s="310"/>
      <c r="O78" s="1429"/>
      <c r="P78" s="114"/>
      <c r="Q78" s="114"/>
      <c r="S78" s="1433">
        <v>61.3</v>
      </c>
      <c r="T78" s="1434">
        <v>9.1999999999999993</v>
      </c>
      <c r="U78" s="1338">
        <f>T78/S78</f>
        <v>0.1500815660685155</v>
      </c>
      <c r="V78" s="2003">
        <f>S78+T78</f>
        <v>70.5</v>
      </c>
      <c r="W78" s="1331">
        <f>S78/S71-1</f>
        <v>0.4842615012106537</v>
      </c>
      <c r="X78" s="1173">
        <f>V78/'qtrP&amp;L'!P12</f>
        <v>0.47469632901505565</v>
      </c>
      <c r="Y78" s="1173"/>
      <c r="Z78" s="1445"/>
      <c r="AB78" s="206"/>
      <c r="AC78" s="97"/>
      <c r="AD78" s="207"/>
    </row>
    <row r="79" spans="1:30" hidden="1" outlineLevel="1">
      <c r="A79" s="114" t="s">
        <v>118</v>
      </c>
      <c r="B79" s="245" t="s">
        <v>100</v>
      </c>
      <c r="C79" s="114"/>
      <c r="D79" s="114"/>
      <c r="E79" s="114"/>
      <c r="F79" s="114"/>
      <c r="G79" s="114"/>
      <c r="H79" s="114"/>
      <c r="I79" s="114"/>
      <c r="J79" s="1429"/>
      <c r="K79" s="310"/>
      <c r="L79" s="310"/>
      <c r="M79" s="310"/>
      <c r="N79" s="310"/>
      <c r="O79" s="1429"/>
      <c r="P79" s="114"/>
      <c r="Q79" s="114"/>
      <c r="S79" s="1424">
        <v>108.6</v>
      </c>
      <c r="T79" s="1145">
        <v>15.6</v>
      </c>
      <c r="U79" s="1340">
        <f>T79/S79</f>
        <v>0.143646408839779</v>
      </c>
      <c r="V79" s="2004">
        <f>S79+T79</f>
        <v>124.19999999999999</v>
      </c>
      <c r="W79" s="1330">
        <f>S79/S72-1</f>
        <v>0.45187165775401072</v>
      </c>
      <c r="X79" s="1372">
        <f>V79/'qtrP&amp;L'!P13</f>
        <v>0.58544863183200158</v>
      </c>
      <c r="Y79" s="1173"/>
      <c r="Z79" s="1445"/>
      <c r="AB79" s="206"/>
      <c r="AC79" s="97"/>
      <c r="AD79" s="207"/>
    </row>
    <row r="80" spans="1:30" hidden="1" outlineLevel="1">
      <c r="A80" s="114"/>
      <c r="B80" s="245" t="s">
        <v>119</v>
      </c>
      <c r="C80" s="114"/>
      <c r="D80" s="114"/>
      <c r="E80" s="114"/>
      <c r="F80" s="114"/>
      <c r="G80" s="114"/>
      <c r="H80" s="114"/>
      <c r="I80" s="114"/>
      <c r="J80" s="1429"/>
      <c r="K80" s="310"/>
      <c r="L80" s="310"/>
      <c r="M80" s="310"/>
      <c r="N80" s="310"/>
      <c r="O80" s="1429"/>
      <c r="P80" s="114"/>
      <c r="Q80" s="114"/>
      <c r="S80" s="1446">
        <f>+SUM(S76:S79)</f>
        <v>259</v>
      </c>
      <c r="T80" s="1215">
        <f>+SUM(T76:T79)</f>
        <v>39.1</v>
      </c>
      <c r="U80" s="1338">
        <f>T80/S80</f>
        <v>0.15096525096525096</v>
      </c>
      <c r="V80" s="1446">
        <f>SUM(V76:V79)</f>
        <v>298.10000000000002</v>
      </c>
      <c r="W80" s="1331">
        <f>S80/S73-1</f>
        <v>0.48850574712643668</v>
      </c>
      <c r="X80" s="1394">
        <f>V80/'qtrP&amp;L'!P14</f>
        <v>0.57149211011144196</v>
      </c>
      <c r="Y80" s="1394"/>
      <c r="Z80" s="1447"/>
      <c r="AB80" s="206"/>
      <c r="AC80" s="97"/>
      <c r="AD80" s="207"/>
    </row>
    <row r="81" spans="1:30" hidden="1" outlineLevel="1">
      <c r="A81" s="114"/>
      <c r="B81" s="245"/>
      <c r="C81" s="114"/>
      <c r="D81" s="1448"/>
      <c r="E81" s="316"/>
      <c r="F81" s="316"/>
      <c r="G81" s="316"/>
      <c r="H81" s="1449"/>
      <c r="I81" s="114"/>
      <c r="J81" s="1429"/>
      <c r="K81" s="310"/>
      <c r="L81" s="310"/>
      <c r="M81" s="310"/>
      <c r="N81" s="310"/>
      <c r="O81" s="1429"/>
      <c r="P81" s="114"/>
      <c r="Q81" s="114"/>
      <c r="S81" s="1446"/>
      <c r="T81" s="1215"/>
      <c r="U81" s="1374"/>
      <c r="V81" s="1446"/>
      <c r="W81" s="1331"/>
      <c r="X81" s="1394"/>
      <c r="Y81" s="1394"/>
      <c r="Z81" s="1447"/>
      <c r="AB81" s="206"/>
      <c r="AC81" s="97"/>
      <c r="AD81" s="207"/>
    </row>
    <row r="82" spans="1:30" hidden="1" outlineLevel="1">
      <c r="A82" s="1120"/>
      <c r="B82" s="1113">
        <v>2008</v>
      </c>
      <c r="C82" s="114"/>
      <c r="D82" s="1429"/>
      <c r="E82" s="310"/>
      <c r="F82" s="310"/>
      <c r="G82" s="1450"/>
      <c r="H82" s="1443"/>
      <c r="I82" s="114"/>
      <c r="J82" s="1429"/>
      <c r="K82" s="310"/>
      <c r="L82" s="310"/>
      <c r="M82" s="310"/>
      <c r="N82" s="310"/>
      <c r="O82" s="1429"/>
      <c r="P82" s="114"/>
      <c r="Q82" s="114"/>
      <c r="S82" s="1429"/>
      <c r="T82" s="1143"/>
      <c r="U82" s="310"/>
      <c r="V82" s="1429"/>
      <c r="W82" s="310"/>
      <c r="X82" s="310"/>
      <c r="Y82" s="310"/>
      <c r="Z82" s="1443"/>
      <c r="AB82" s="206"/>
      <c r="AC82" s="97"/>
      <c r="AD82" s="207"/>
    </row>
    <row r="83" spans="1:30" hidden="1" outlineLevel="1">
      <c r="A83" s="114" t="s">
        <v>115</v>
      </c>
      <c r="B83" s="245" t="s">
        <v>96</v>
      </c>
      <c r="C83" s="114"/>
      <c r="D83" s="1451" t="s">
        <v>251</v>
      </c>
      <c r="E83" s="310"/>
      <c r="F83" s="310"/>
      <c r="G83" s="1450"/>
      <c r="H83" s="1443"/>
      <c r="I83" s="114"/>
      <c r="J83" s="1451" t="s">
        <v>251</v>
      </c>
      <c r="K83" s="97"/>
      <c r="L83" s="97"/>
      <c r="M83" s="1452"/>
      <c r="N83" s="97"/>
      <c r="O83" s="206"/>
      <c r="P83" s="1089"/>
      <c r="Q83" s="1089">
        <f>'qtrP&amp;L'!BH10</f>
        <v>787.13900000000001</v>
      </c>
      <c r="S83" s="1453">
        <v>62.5</v>
      </c>
      <c r="T83" s="1444">
        <v>10.5</v>
      </c>
      <c r="U83" s="1338">
        <f>T83/S83</f>
        <v>0.16800000000000001</v>
      </c>
      <c r="V83" s="1446">
        <f>S83+T83</f>
        <v>73</v>
      </c>
      <c r="W83" s="1331">
        <f>S83/S76-1</f>
        <v>0.43678160919540221</v>
      </c>
      <c r="X83" s="1173">
        <f>V83/'qtrP&amp;L'!BH10</f>
        <v>9.2740926316698835E-2</v>
      </c>
      <c r="Y83" s="1173"/>
      <c r="Z83" s="1445"/>
      <c r="AB83" s="206"/>
      <c r="AC83" s="97"/>
      <c r="AD83" s="207"/>
    </row>
    <row r="84" spans="1:30" hidden="1" outlineLevel="1">
      <c r="A84" s="114" t="s">
        <v>116</v>
      </c>
      <c r="B84" s="245" t="s">
        <v>97</v>
      </c>
      <c r="C84" s="114"/>
      <c r="D84" s="1454">
        <v>63.268000000000001</v>
      </c>
      <c r="E84" s="310"/>
      <c r="F84" s="310"/>
      <c r="G84" s="1450"/>
      <c r="H84" s="1443"/>
      <c r="I84" s="114"/>
      <c r="J84" s="1454">
        <v>782.53099999999995</v>
      </c>
      <c r="K84" s="97"/>
      <c r="L84" s="97"/>
      <c r="M84" s="1452"/>
      <c r="N84" s="97"/>
      <c r="O84" s="206"/>
      <c r="P84" s="1089">
        <f>SUM(D84+J84)</f>
        <v>845.79899999999998</v>
      </c>
      <c r="Q84" s="1089">
        <f>'qtrP&amp;L'!BH11</f>
        <v>833.298</v>
      </c>
      <c r="S84" s="1433">
        <v>55.9</v>
      </c>
      <c r="T84" s="1434">
        <v>9.9</v>
      </c>
      <c r="U84" s="1338">
        <f>T84/S84</f>
        <v>0.17710196779964224</v>
      </c>
      <c r="V84" s="2001">
        <f>S84+T84</f>
        <v>65.8</v>
      </c>
      <c r="W84" s="1331">
        <f>S84/S77-1</f>
        <v>0.22587719298245612</v>
      </c>
      <c r="X84" s="1173">
        <f>V84/'qtrP&amp;L'!BH11</f>
        <v>7.8963348045957144E-2</v>
      </c>
      <c r="Y84" s="1455"/>
      <c r="Z84" s="1445"/>
      <c r="AB84" s="206"/>
      <c r="AC84" s="97"/>
      <c r="AD84" s="207"/>
    </row>
    <row r="85" spans="1:30" hidden="1" outlineLevel="1">
      <c r="A85" s="114" t="s">
        <v>117</v>
      </c>
      <c r="B85" s="245" t="s">
        <v>99</v>
      </c>
      <c r="C85" s="114"/>
      <c r="D85" s="1454">
        <v>62.386000000000003</v>
      </c>
      <c r="E85" s="310"/>
      <c r="F85" s="310"/>
      <c r="G85" s="1450"/>
      <c r="H85" s="1443"/>
      <c r="I85" s="114"/>
      <c r="J85" s="1454">
        <v>833.95799999999997</v>
      </c>
      <c r="K85" s="97"/>
      <c r="L85" s="97"/>
      <c r="M85" s="1452"/>
      <c r="N85" s="97"/>
      <c r="O85" s="206"/>
      <c r="P85" s="1089">
        <f>SUM(D85+J85)</f>
        <v>896.34399999999994</v>
      </c>
      <c r="Q85" s="1089">
        <f>'qtrP&amp;L'!BH12</f>
        <v>882.81100000000004</v>
      </c>
      <c r="S85" s="1433">
        <f>175.9-S84-S83</f>
        <v>57.5</v>
      </c>
      <c r="T85" s="1434">
        <v>9.3000000000000007</v>
      </c>
      <c r="U85" s="1338">
        <f>T85/S85</f>
        <v>0.16173913043478261</v>
      </c>
      <c r="V85" s="2001">
        <f>S85+T85</f>
        <v>66.8</v>
      </c>
      <c r="W85" s="1331">
        <f>S85/S78-1</f>
        <v>-6.1990212071778128E-2</v>
      </c>
      <c r="X85" s="1173">
        <f>V85/'qtrP&amp;L'!BH12</f>
        <v>7.5667385204760698E-2</v>
      </c>
      <c r="Y85" s="1455"/>
      <c r="Z85" s="1445"/>
      <c r="AB85" s="206"/>
      <c r="AC85" s="97"/>
      <c r="AD85" s="207"/>
    </row>
    <row r="86" spans="1:30" hidden="1" outlineLevel="1">
      <c r="A86" s="114" t="s">
        <v>118</v>
      </c>
      <c r="B86" s="245" t="s">
        <v>100</v>
      </c>
      <c r="C86" s="114"/>
      <c r="D86" s="1456">
        <v>138.78</v>
      </c>
      <c r="E86" s="310"/>
      <c r="F86" s="310"/>
      <c r="G86" s="1450"/>
      <c r="H86" s="1443"/>
      <c r="I86" s="114"/>
      <c r="J86" s="1456">
        <v>1603.135</v>
      </c>
      <c r="K86" s="97"/>
      <c r="L86" s="97"/>
      <c r="M86" s="1452"/>
      <c r="N86" s="97"/>
      <c r="O86" s="206"/>
      <c r="P86" s="1092">
        <f>SUM(D86+J86)</f>
        <v>1741.915</v>
      </c>
      <c r="Q86" s="1092">
        <f>'qtrP&amp;L'!BH13</f>
        <v>980.80899999999997</v>
      </c>
      <c r="S86" s="1424">
        <v>95.1</v>
      </c>
      <c r="T86" s="1145">
        <v>14.3</v>
      </c>
      <c r="U86" s="1340">
        <f>T86/S86</f>
        <v>0.15036803364879076</v>
      </c>
      <c r="V86" s="2005">
        <f>S86+T86</f>
        <v>109.39999999999999</v>
      </c>
      <c r="W86" s="1330">
        <f>S86/S79-1</f>
        <v>-0.12430939226519333</v>
      </c>
      <c r="X86" s="1372">
        <f>V86/'qtrP&amp;L'!BH13</f>
        <v>0.11154057517824571</v>
      </c>
      <c r="Y86" s="1455"/>
      <c r="Z86" s="1445"/>
      <c r="AB86" s="206"/>
      <c r="AC86" s="97"/>
      <c r="AD86" s="207"/>
    </row>
    <row r="87" spans="1:30" hidden="1" outlineLevel="1">
      <c r="A87" s="114"/>
      <c r="B87" s="245" t="s">
        <v>119</v>
      </c>
      <c r="C87" s="114"/>
      <c r="D87" s="1457">
        <v>264.43400000000003</v>
      </c>
      <c r="E87" s="97"/>
      <c r="F87" s="1173">
        <f>D87/P87</f>
        <v>7.5898277238783063E-2</v>
      </c>
      <c r="G87" s="1455"/>
      <c r="H87" s="1445"/>
      <c r="I87" s="1360"/>
      <c r="J87" s="1457">
        <v>3219.6239999999998</v>
      </c>
      <c r="K87" s="97"/>
      <c r="L87" s="1173">
        <f>J87/P87</f>
        <v>0.92410172276121694</v>
      </c>
      <c r="M87" s="1455"/>
      <c r="N87" s="1173"/>
      <c r="O87" s="206"/>
      <c r="P87" s="1142">
        <f>SUM(D87+J87)</f>
        <v>3484.058</v>
      </c>
      <c r="Q87" s="1142">
        <f>'qtrP&amp;L'!BH14</f>
        <v>3484.0569999999998</v>
      </c>
      <c r="S87" s="1446">
        <f>+SUM(S83:S86)</f>
        <v>271</v>
      </c>
      <c r="T87" s="1215">
        <f>+SUM(T83:T86)</f>
        <v>44</v>
      </c>
      <c r="U87" s="1338">
        <f>T87/S87</f>
        <v>0.16236162361623616</v>
      </c>
      <c r="V87" s="1446">
        <f>SUM(V83:V86)</f>
        <v>315</v>
      </c>
      <c r="W87" s="1331">
        <f>S87/S80-1</f>
        <v>4.6332046332046239E-2</v>
      </c>
      <c r="X87" s="1394">
        <f>V87/'qtrP&amp;L'!BH14</f>
        <v>9.0411838841901848E-2</v>
      </c>
      <c r="Y87" s="1458"/>
      <c r="Z87" s="1447"/>
      <c r="AB87" s="206"/>
      <c r="AC87" s="97"/>
      <c r="AD87" s="207"/>
    </row>
    <row r="88" spans="1:30" hidden="1" outlineLevel="1">
      <c r="A88" s="114"/>
      <c r="B88" s="245"/>
      <c r="C88" s="114"/>
      <c r="D88" s="1459"/>
      <c r="E88" s="97"/>
      <c r="F88" s="97"/>
      <c r="G88" s="1452"/>
      <c r="H88" s="207"/>
      <c r="J88" s="1459"/>
      <c r="K88" s="97"/>
      <c r="L88" s="97"/>
      <c r="M88" s="1452"/>
      <c r="N88" s="97"/>
      <c r="O88" s="206"/>
      <c r="S88" s="1446"/>
      <c r="T88" s="1215"/>
      <c r="U88" s="1374"/>
      <c r="V88" s="1446"/>
      <c r="W88" s="1331"/>
      <c r="X88" s="1394"/>
      <c r="Y88" s="1458"/>
      <c r="Z88" s="1447"/>
      <c r="AB88" s="206"/>
      <c r="AC88" s="97"/>
      <c r="AD88" s="207"/>
    </row>
    <row r="89" spans="1:30" hidden="1" outlineLevel="1">
      <c r="A89" s="1120"/>
      <c r="B89" s="1113">
        <v>2009</v>
      </c>
      <c r="C89" s="114"/>
      <c r="D89" s="1459"/>
      <c r="E89" s="97"/>
      <c r="F89" s="97"/>
      <c r="G89" s="1452"/>
      <c r="H89" s="207"/>
      <c r="J89" s="1459"/>
      <c r="K89" s="97"/>
      <c r="L89" s="1173"/>
      <c r="M89" s="1455"/>
      <c r="N89" s="1173"/>
      <c r="O89" s="1460"/>
      <c r="R89" s="1360"/>
      <c r="S89" s="1429"/>
      <c r="T89" s="1143"/>
      <c r="U89" s="310"/>
      <c r="V89" s="1429"/>
      <c r="W89" s="310"/>
      <c r="X89" s="310"/>
      <c r="Y89" s="1450"/>
      <c r="Z89" s="1443"/>
      <c r="AB89" s="206"/>
      <c r="AC89" s="97"/>
      <c r="AD89" s="207"/>
    </row>
    <row r="90" spans="1:30" hidden="1" outlineLevel="1">
      <c r="A90" s="114" t="s">
        <v>115</v>
      </c>
      <c r="B90" s="245" t="s">
        <v>96</v>
      </c>
      <c r="C90" s="114"/>
      <c r="D90" s="1453">
        <v>58.820999999999998</v>
      </c>
      <c r="E90" s="1216" t="s">
        <v>444</v>
      </c>
      <c r="F90" s="97"/>
      <c r="G90" s="1452"/>
      <c r="H90" s="207"/>
      <c r="J90" s="1453">
        <v>542.90800000000002</v>
      </c>
      <c r="K90" s="1216" t="s">
        <v>444</v>
      </c>
      <c r="L90" s="1173"/>
      <c r="M90" s="1455"/>
      <c r="N90" s="1173"/>
      <c r="O90" s="1460"/>
      <c r="P90" s="1089">
        <f>SUM(D90+J90)</f>
        <v>601.72900000000004</v>
      </c>
      <c r="Q90" s="1089">
        <f>'qtrP&amp;L'!BL10</f>
        <v>601.72900000000004</v>
      </c>
      <c r="R90" s="1360"/>
      <c r="S90" s="1453">
        <v>49.1</v>
      </c>
      <c r="T90" s="1444">
        <f>16.6-T91</f>
        <v>8.4000000000000021</v>
      </c>
      <c r="U90" s="1338">
        <f>T90/S90</f>
        <v>0.17107942973523427</v>
      </c>
      <c r="V90" s="1446">
        <f>S90+T90</f>
        <v>57.5</v>
      </c>
      <c r="W90" s="1331">
        <f>S90/S83-1</f>
        <v>-0.21439999999999992</v>
      </c>
      <c r="X90" s="1173">
        <f>V90/'qtrP&amp;L'!BL10</f>
        <v>9.5557967124735549E-2</v>
      </c>
      <c r="Y90" s="1455"/>
      <c r="Z90" s="1445"/>
      <c r="AB90" s="206"/>
      <c r="AC90" s="97"/>
      <c r="AD90" s="207"/>
    </row>
    <row r="91" spans="1:30" hidden="1" outlineLevel="1">
      <c r="A91" s="114" t="s">
        <v>116</v>
      </c>
      <c r="B91" s="245" t="s">
        <v>97</v>
      </c>
      <c r="C91" s="114"/>
      <c r="D91" s="1451">
        <v>72.167000000000002</v>
      </c>
      <c r="E91" s="1173">
        <f>+D91/D84-1</f>
        <v>0.14065562369602325</v>
      </c>
      <c r="F91" s="1173">
        <f>D91/P91</f>
        <v>0.11325270196682156</v>
      </c>
      <c r="G91" s="1455"/>
      <c r="H91" s="1445"/>
      <c r="I91" s="1360"/>
      <c r="J91" s="1451">
        <v>565.05399999999997</v>
      </c>
      <c r="K91" s="1173">
        <f>+J91/J84-1</f>
        <v>-0.27791486854833869</v>
      </c>
      <c r="L91" s="1173">
        <f>J91/P91</f>
        <v>0.88674729803317842</v>
      </c>
      <c r="M91" s="1455"/>
      <c r="N91" s="1173"/>
      <c r="O91" s="1460"/>
      <c r="P91" s="1089">
        <f>SUM(D91+J91)</f>
        <v>637.221</v>
      </c>
      <c r="Q91" s="1089">
        <f>'qtrP&amp;L'!BL11</f>
        <v>637.221</v>
      </c>
      <c r="R91" s="1360"/>
      <c r="S91" s="1433">
        <v>46.1</v>
      </c>
      <c r="T91" s="1434">
        <v>8.1999999999999993</v>
      </c>
      <c r="U91" s="1338">
        <f>T91/S91</f>
        <v>0.17787418655097612</v>
      </c>
      <c r="V91" s="2001">
        <f>S91+T91</f>
        <v>54.3</v>
      </c>
      <c r="W91" s="1331">
        <f>S91/S84-1</f>
        <v>-0.17531305903398919</v>
      </c>
      <c r="X91" s="1173">
        <f>V91/'qtrP&amp;L'!BL11</f>
        <v>8.5213764141483087E-2</v>
      </c>
      <c r="Y91" s="1455"/>
      <c r="Z91" s="1445"/>
      <c r="AB91" s="206"/>
      <c r="AC91" s="97"/>
      <c r="AD91" s="207"/>
    </row>
    <row r="92" spans="1:30" hidden="1" outlineLevel="1">
      <c r="A92" s="114" t="s">
        <v>117</v>
      </c>
      <c r="B92" s="245" t="s">
        <v>99</v>
      </c>
      <c r="C92" s="114"/>
      <c r="D92" s="1451">
        <v>87.730999999999995</v>
      </c>
      <c r="E92" s="1173">
        <f>+D92/D85-1</f>
        <v>0.40626102010066356</v>
      </c>
      <c r="F92" s="1173">
        <f>D92/P92</f>
        <v>0.11640289564326693</v>
      </c>
      <c r="G92" s="1455"/>
      <c r="H92" s="1445"/>
      <c r="I92" s="1360"/>
      <c r="J92" s="1451">
        <v>665.95299999999997</v>
      </c>
      <c r="K92" s="1173">
        <f>+J92/J85-1</f>
        <v>-0.20145498933999073</v>
      </c>
      <c r="L92" s="1173">
        <f>J92/P92</f>
        <v>0.88359710435673311</v>
      </c>
      <c r="M92" s="1455"/>
      <c r="N92" s="1173"/>
      <c r="O92" s="1460"/>
      <c r="P92" s="1089">
        <f>SUM(D92+J92)</f>
        <v>753.68399999999997</v>
      </c>
      <c r="Q92" s="1089">
        <f>'qtrP&amp;L'!BL12</f>
        <v>753.68399999999997</v>
      </c>
      <c r="R92" s="1360"/>
      <c r="S92" s="1433">
        <f>+S99/1.32</f>
        <v>61.666666666666671</v>
      </c>
      <c r="T92" s="1434">
        <v>9.9</v>
      </c>
      <c r="U92" s="1338">
        <f>T92/S92</f>
        <v>0.16054054054054054</v>
      </c>
      <c r="V92" s="2001">
        <f>S92+T92</f>
        <v>71.566666666666677</v>
      </c>
      <c r="W92" s="1331">
        <f>S92/S85-1</f>
        <v>7.2463768115942129E-2</v>
      </c>
      <c r="X92" s="1173">
        <f>V92/'qtrP&amp;L'!BL12</f>
        <v>9.4955799335884369E-2</v>
      </c>
      <c r="Y92" s="1455"/>
      <c r="Z92" s="1445"/>
      <c r="AB92" s="206"/>
      <c r="AC92" s="97"/>
      <c r="AD92" s="207"/>
    </row>
    <row r="93" spans="1:30" hidden="1" outlineLevel="1">
      <c r="A93" s="114" t="s">
        <v>118</v>
      </c>
      <c r="B93" s="245" t="s">
        <v>100</v>
      </c>
      <c r="C93" s="114"/>
      <c r="D93" s="1461">
        <f>D94-SUM(D90:D92)</f>
        <v>143.78899999999999</v>
      </c>
      <c r="E93" s="1173">
        <f>+D93/D86-1</f>
        <v>3.609309698803842E-2</v>
      </c>
      <c r="F93" s="1173">
        <f>D93/P93</f>
        <v>0.15362203950461115</v>
      </c>
      <c r="G93" s="1455"/>
      <c r="H93" s="1445"/>
      <c r="I93" s="1360"/>
      <c r="J93" s="1461">
        <f>J94-SUM(J90:J92)</f>
        <v>792.20299999999997</v>
      </c>
      <c r="K93" s="1173">
        <f>+J93/J86-1</f>
        <v>-0.50584136707139449</v>
      </c>
      <c r="L93" s="1173">
        <f>J93/P93</f>
        <v>0.84637796049538883</v>
      </c>
      <c r="M93" s="1455"/>
      <c r="N93" s="1173"/>
      <c r="O93" s="1462"/>
      <c r="P93" s="1092">
        <f>SUM(D93+J93)</f>
        <v>935.99199999999996</v>
      </c>
      <c r="Q93" s="1092">
        <f>'qtrP&amp;L'!BL13</f>
        <v>935.99099999999999</v>
      </c>
      <c r="R93" s="1373"/>
      <c r="S93" s="1424">
        <f>249.4-S90-S91-S92</f>
        <v>92.533333333333346</v>
      </c>
      <c r="T93" s="1145">
        <f>40.7-T90-T91-T92</f>
        <v>14.199999999999998</v>
      </c>
      <c r="U93" s="1340">
        <f>T93/S93</f>
        <v>0.15345821325648409</v>
      </c>
      <c r="V93" s="2005">
        <f>S93+T93</f>
        <v>106.73333333333335</v>
      </c>
      <c r="W93" s="1330">
        <f>S93/S86-1</f>
        <v>-2.6989134244654545E-2</v>
      </c>
      <c r="X93" s="1372">
        <f>V93/'qtrP&amp;L'!BL13</f>
        <v>0.11403243549706499</v>
      </c>
      <c r="Y93" s="1455"/>
      <c r="Z93" s="1445"/>
      <c r="AB93" s="206"/>
      <c r="AC93" s="97"/>
      <c r="AD93" s="207"/>
    </row>
    <row r="94" spans="1:30" hidden="1" outlineLevel="1">
      <c r="A94" s="114"/>
      <c r="B94" s="245" t="s">
        <v>119</v>
      </c>
      <c r="C94" s="114"/>
      <c r="D94" s="1457">
        <v>362.50799999999998</v>
      </c>
      <c r="E94" s="1394">
        <f>+D94/D87-1</f>
        <v>0.37088271553582342</v>
      </c>
      <c r="F94" s="1394">
        <f>D94/P94</f>
        <v>0.12378091296054874</v>
      </c>
      <c r="G94" s="1458"/>
      <c r="H94" s="1447"/>
      <c r="I94" s="1373"/>
      <c r="J94" s="1457">
        <v>2566.1179999999999</v>
      </c>
      <c r="K94" s="1394">
        <f>+J94/J87-1</f>
        <v>-0.20297587544384066</v>
      </c>
      <c r="L94" s="1394">
        <f>J94/P94</f>
        <v>0.87621908703945128</v>
      </c>
      <c r="M94" s="1458"/>
      <c r="N94" s="1394"/>
      <c r="O94" s="206"/>
      <c r="P94" s="1142">
        <f>SUM(D94+J94)</f>
        <v>2928.6259999999997</v>
      </c>
      <c r="Q94" s="1142">
        <f>'qtrP&amp;L'!BL14</f>
        <v>2928.625</v>
      </c>
      <c r="S94" s="1446">
        <f>+SUM(S90:S93)</f>
        <v>249.40000000000003</v>
      </c>
      <c r="T94" s="1215">
        <f>+SUM(T90:T93)</f>
        <v>40.699999999999996</v>
      </c>
      <c r="U94" s="1338">
        <f>T94/S94</f>
        <v>0.16319165998396146</v>
      </c>
      <c r="V94" s="1446">
        <f>SUM(V90:V93)</f>
        <v>290.10000000000002</v>
      </c>
      <c r="W94" s="1331">
        <f>S94/S87-1</f>
        <v>-7.9704797047970399E-2</v>
      </c>
      <c r="X94" s="1394">
        <f>V94/'qtrP&amp;L'!BL14</f>
        <v>9.9056724572111496E-2</v>
      </c>
      <c r="Y94" s="1458"/>
      <c r="Z94" s="1447"/>
      <c r="AB94" s="206"/>
      <c r="AC94" s="97"/>
      <c r="AD94" s="207"/>
    </row>
    <row r="95" spans="1:30" hidden="1" outlineLevel="1">
      <c r="A95" s="114"/>
      <c r="B95" s="245"/>
      <c r="C95" s="114"/>
      <c r="D95" s="206"/>
      <c r="E95" s="97"/>
      <c r="F95" s="1173"/>
      <c r="G95" s="1455"/>
      <c r="H95" s="1445"/>
      <c r="I95" s="1360"/>
      <c r="J95" s="1459"/>
      <c r="K95" s="97"/>
      <c r="L95" s="1173"/>
      <c r="M95" s="1455"/>
      <c r="N95" s="1173"/>
      <c r="O95" s="206"/>
      <c r="S95" s="1446"/>
      <c r="T95" s="1215"/>
      <c r="U95" s="1374"/>
      <c r="V95" s="1446"/>
      <c r="W95" s="1331"/>
      <c r="X95" s="1394"/>
      <c r="Y95" s="1458"/>
      <c r="Z95" s="1447"/>
      <c r="AB95" s="206"/>
      <c r="AC95" s="97"/>
      <c r="AD95" s="207"/>
    </row>
    <row r="96" spans="1:30" hidden="1" outlineLevel="1">
      <c r="A96" s="1120"/>
      <c r="B96" s="1113">
        <v>2010</v>
      </c>
      <c r="C96" s="114"/>
      <c r="D96" s="206"/>
      <c r="E96" s="97"/>
      <c r="F96" s="1173"/>
      <c r="G96" s="1455"/>
      <c r="H96" s="1445"/>
      <c r="I96" s="1360"/>
      <c r="J96" s="1459"/>
      <c r="K96" s="97"/>
      <c r="L96" s="1173"/>
      <c r="M96" s="1455"/>
      <c r="N96" s="1173"/>
      <c r="O96" s="1460"/>
      <c r="R96" s="1360"/>
      <c r="S96" s="1429"/>
      <c r="T96" s="1143"/>
      <c r="U96" s="310"/>
      <c r="V96" s="1429"/>
      <c r="W96" s="310"/>
      <c r="X96" s="310"/>
      <c r="Y96" s="1450"/>
      <c r="Z96" s="1443"/>
      <c r="AB96" s="206"/>
      <c r="AC96" s="97"/>
      <c r="AD96" s="207"/>
    </row>
    <row r="97" spans="1:35" hidden="1" outlineLevel="1">
      <c r="A97" s="114" t="s">
        <v>115</v>
      </c>
      <c r="B97" s="245" t="s">
        <v>96</v>
      </c>
      <c r="C97" s="114"/>
      <c r="D97" s="1453">
        <v>119.014</v>
      </c>
      <c r="E97" s="1173">
        <f>+D97/D90-1</f>
        <v>1.023325002975128</v>
      </c>
      <c r="F97" s="1173">
        <f>D97/P97</f>
        <v>0.17303475990253037</v>
      </c>
      <c r="G97" s="1455"/>
      <c r="H97" s="1445"/>
      <c r="I97" s="1360"/>
      <c r="J97" s="1453">
        <v>568.79</v>
      </c>
      <c r="K97" s="1173">
        <f>+J97/J90-1</f>
        <v>4.7672902222844371E-2</v>
      </c>
      <c r="L97" s="1173">
        <f>J97/P97</f>
        <v>0.82696524009746963</v>
      </c>
      <c r="M97" s="1455"/>
      <c r="N97" s="1173"/>
      <c r="O97" s="1460"/>
      <c r="P97" s="1089">
        <f>SUM(D97+J97)</f>
        <v>687.80399999999997</v>
      </c>
      <c r="Q97" s="1089">
        <f>'qtrP&amp;L'!BP10</f>
        <v>687.80399999999997</v>
      </c>
      <c r="R97" s="1360"/>
      <c r="S97" s="1453">
        <v>68.8</v>
      </c>
      <c r="T97" s="1444">
        <v>11.3</v>
      </c>
      <c r="U97" s="1338">
        <f>T97/S97</f>
        <v>0.16424418604651164</v>
      </c>
      <c r="V97" s="1446">
        <f>S97+T97</f>
        <v>80.099999999999994</v>
      </c>
      <c r="W97" s="1331">
        <f>S97/S90-1</f>
        <v>0.40122199592668006</v>
      </c>
      <c r="X97" s="1173">
        <f>V97/'qtrP&amp;L'!BP10</f>
        <v>0.11645759547778145</v>
      </c>
      <c r="Y97" s="1455"/>
      <c r="Z97" s="1445"/>
      <c r="AB97" s="206"/>
      <c r="AC97" s="97"/>
      <c r="AD97" s="207"/>
    </row>
    <row r="98" spans="1:35" hidden="1" outlineLevel="1">
      <c r="A98" s="114" t="s">
        <v>116</v>
      </c>
      <c r="B98" s="245" t="s">
        <v>97</v>
      </c>
      <c r="C98" s="114"/>
      <c r="D98" s="1451">
        <v>133.21199999999999</v>
      </c>
      <c r="E98" s="1173">
        <f>+D98/D91-1</f>
        <v>0.84588523840536523</v>
      </c>
      <c r="F98" s="1173">
        <f>D98/P98</f>
        <v>0.17861672999927594</v>
      </c>
      <c r="G98" s="1455"/>
      <c r="H98" s="1445"/>
      <c r="I98" s="1360"/>
      <c r="J98" s="1451">
        <v>612.58600000000001</v>
      </c>
      <c r="K98" s="1173">
        <f>+J98/J91-1</f>
        <v>8.4119393898636208E-2</v>
      </c>
      <c r="L98" s="1173">
        <f>J98/P98</f>
        <v>0.82138327000072409</v>
      </c>
      <c r="M98" s="1455"/>
      <c r="N98" s="1173"/>
      <c r="O98" s="1460"/>
      <c r="P98" s="1089">
        <f>SUM(D98+J98)</f>
        <v>745.798</v>
      </c>
      <c r="Q98" s="1089">
        <f>'qtrP&amp;L'!BP11</f>
        <v>745.798</v>
      </c>
      <c r="R98" s="1360"/>
      <c r="S98" s="1433">
        <v>69</v>
      </c>
      <c r="T98" s="1434">
        <v>11</v>
      </c>
      <c r="U98" s="1338">
        <f>T98/S98</f>
        <v>0.15942028985507245</v>
      </c>
      <c r="V98" s="2001">
        <f>S98+T98</f>
        <v>80</v>
      </c>
      <c r="W98" s="1331">
        <f>S98/S91-1</f>
        <v>0.49674620390455537</v>
      </c>
      <c r="X98" s="1173">
        <f>V98/'qtrP&amp;L'!BP11</f>
        <v>0.10726765156248742</v>
      </c>
      <c r="Y98" s="1455"/>
      <c r="Z98" s="1445"/>
      <c r="AB98" s="206"/>
      <c r="AC98" s="97"/>
      <c r="AD98" s="207"/>
    </row>
    <row r="99" spans="1:35" hidden="1" outlineLevel="1">
      <c r="A99" s="114" t="s">
        <v>117</v>
      </c>
      <c r="B99" s="245" t="s">
        <v>99</v>
      </c>
      <c r="C99" s="114"/>
      <c r="D99" s="1451">
        <v>164.07300000000001</v>
      </c>
      <c r="E99" s="1173">
        <f>+D99/D92-1</f>
        <v>0.87018271762546906</v>
      </c>
      <c r="F99" s="1173">
        <f>D99/P99</f>
        <v>0.18523038504004391</v>
      </c>
      <c r="G99" s="1455"/>
      <c r="H99" s="1445"/>
      <c r="I99" s="1360"/>
      <c r="J99" s="1451">
        <v>721.70500000000004</v>
      </c>
      <c r="K99" s="1173">
        <f>+J99/J92-1</f>
        <v>8.3717619711901614E-2</v>
      </c>
      <c r="L99" s="1173">
        <f>J99/P99</f>
        <v>0.81476961495995615</v>
      </c>
      <c r="M99" s="1455"/>
      <c r="N99" s="1173"/>
      <c r="O99" s="1460"/>
      <c r="P99" s="1089">
        <f>SUM(D99+J99)</f>
        <v>885.77800000000002</v>
      </c>
      <c r="Q99" s="1089">
        <f>'qtrP&amp;L'!BP12</f>
        <v>885.77800000000002</v>
      </c>
      <c r="R99" s="1360"/>
      <c r="S99" s="1433">
        <v>81.400000000000006</v>
      </c>
      <c r="T99" s="1434">
        <v>12.6</v>
      </c>
      <c r="U99" s="1338">
        <f>T99/S99</f>
        <v>0.15479115479115477</v>
      </c>
      <c r="V99" s="2001">
        <f>S99+T99</f>
        <v>94</v>
      </c>
      <c r="W99" s="1331">
        <f>S99/S92-1</f>
        <v>0.32000000000000006</v>
      </c>
      <c r="X99" s="1173">
        <f>V99/'qtrP&amp;L'!BP12</f>
        <v>0.10612139836392415</v>
      </c>
      <c r="Y99" s="1455"/>
      <c r="Z99" s="1445"/>
      <c r="AB99" s="206"/>
      <c r="AC99" s="97"/>
      <c r="AD99" s="207"/>
    </row>
    <row r="100" spans="1:35" hidden="1" outlineLevel="1">
      <c r="A100" s="114" t="s">
        <v>118</v>
      </c>
      <c r="B100" s="245" t="s">
        <v>100</v>
      </c>
      <c r="C100" s="114"/>
      <c r="D100" s="1461">
        <f>D101-SUM(D97:D99)</f>
        <v>230.50099999999998</v>
      </c>
      <c r="E100" s="1173">
        <f>+D100/D93-1</f>
        <v>0.60305030287435057</v>
      </c>
      <c r="F100" s="1173">
        <f>D100/P100</f>
        <v>0.20053679246924536</v>
      </c>
      <c r="G100" s="1455"/>
      <c r="H100" s="1445"/>
      <c r="I100" s="1360"/>
      <c r="J100" s="1461">
        <f>J101-SUM(J97:J99)</f>
        <v>918.91899999999987</v>
      </c>
      <c r="K100" s="1173">
        <f>+J100/J93-1</f>
        <v>0.15995395119685218</v>
      </c>
      <c r="L100" s="1173">
        <f>J100/P100</f>
        <v>0.79946320753075462</v>
      </c>
      <c r="M100" s="1455"/>
      <c r="N100" s="1173"/>
      <c r="O100" s="1460"/>
      <c r="P100" s="1092">
        <f>SUM(D100+J100)</f>
        <v>1149.4199999999998</v>
      </c>
      <c r="Q100" s="1092">
        <f>'qtrP&amp;L'!BP13</f>
        <v>1149.396</v>
      </c>
      <c r="R100" s="1360"/>
      <c r="S100" s="1424">
        <f>352.5-S97-S98-S99</f>
        <v>133.29999999999998</v>
      </c>
      <c r="T100" s="1145">
        <f>52.5-T97-T98-T99</f>
        <v>17.600000000000001</v>
      </c>
      <c r="U100" s="1340">
        <f>T100/S100</f>
        <v>0.13203300825206304</v>
      </c>
      <c r="V100" s="2005">
        <f>S100+T100</f>
        <v>150.89999999999998</v>
      </c>
      <c r="W100" s="1330">
        <f>S100/S93-1</f>
        <v>0.44056195965417833</v>
      </c>
      <c r="X100" s="1372">
        <f>V100/'qtrP&amp;L'!BP13</f>
        <v>0.13128634517607507</v>
      </c>
      <c r="Y100" s="1455"/>
      <c r="Z100" s="1445"/>
      <c r="AB100" s="206"/>
      <c r="AC100" s="97"/>
      <c r="AD100" s="207"/>
    </row>
    <row r="101" spans="1:35" hidden="1" outlineLevel="1">
      <c r="A101" s="114"/>
      <c r="B101" s="245" t="s">
        <v>680</v>
      </c>
      <c r="C101" s="114"/>
      <c r="D101" s="1457">
        <v>646.79999999999995</v>
      </c>
      <c r="E101" s="1394">
        <f>+D101/D94-1</f>
        <v>0.78423648581548533</v>
      </c>
      <c r="F101" s="1394">
        <f>D101/P101</f>
        <v>0.18646217712177118</v>
      </c>
      <c r="G101" s="1458"/>
      <c r="H101" s="1447"/>
      <c r="I101" s="1373"/>
      <c r="J101" s="1457">
        <v>2822</v>
      </c>
      <c r="K101" s="1394">
        <f>+J101/J94-1</f>
        <v>9.9715601542875287E-2</v>
      </c>
      <c r="L101" s="1394">
        <f>J101/P101</f>
        <v>0.81353782287822873</v>
      </c>
      <c r="M101" s="1458"/>
      <c r="N101" s="1394"/>
      <c r="O101" s="206"/>
      <c r="P101" s="1142">
        <f>SUM(D101+J101)</f>
        <v>3468.8</v>
      </c>
      <c r="Q101" s="1142">
        <f>'qtrP&amp;L'!BP14</f>
        <v>3468.7759999999998</v>
      </c>
      <c r="S101" s="1446">
        <f>+SUM(S97:S100)</f>
        <v>352.5</v>
      </c>
      <c r="T101" s="1215">
        <f>+SUM(T97:T100)</f>
        <v>52.5</v>
      </c>
      <c r="U101" s="1338">
        <f>T101/S101</f>
        <v>0.14893617021276595</v>
      </c>
      <c r="V101" s="1446">
        <f>S101+T101</f>
        <v>405</v>
      </c>
      <c r="W101" s="1331">
        <f>S101/S94-1</f>
        <v>0.41339214113873268</v>
      </c>
      <c r="X101" s="1394">
        <f>V101/'qtrP&amp;L'!BP14</f>
        <v>0.11675588161357206</v>
      </c>
      <c r="Y101" s="1463">
        <v>214.898</v>
      </c>
      <c r="Z101" s="1447">
        <f>Y101/V101</f>
        <v>0.53061234567901239</v>
      </c>
      <c r="AB101" s="1464">
        <v>-400.80399999999997</v>
      </c>
      <c r="AC101" s="1465">
        <v>-43.95</v>
      </c>
      <c r="AD101" s="1466">
        <v>-195.68</v>
      </c>
    </row>
    <row r="102" spans="1:35" hidden="1" outlineLevel="1">
      <c r="A102" s="114"/>
      <c r="B102" s="1467" t="s">
        <v>681</v>
      </c>
      <c r="C102" s="252"/>
      <c r="D102" s="1468">
        <v>505.13600000000002</v>
      </c>
      <c r="E102" s="1469"/>
      <c r="F102" s="1469">
        <f>D102/P101</f>
        <v>0.14562269372693726</v>
      </c>
      <c r="G102" s="1470">
        <v>186.21</v>
      </c>
      <c r="H102" s="1471">
        <f>G102/D102</f>
        <v>0.36863339773843085</v>
      </c>
      <c r="I102" s="1373"/>
      <c r="J102" s="1468">
        <v>2546.7979999999998</v>
      </c>
      <c r="K102" s="1469"/>
      <c r="L102" s="1469">
        <f>J102/P101</f>
        <v>0.73420145295202943</v>
      </c>
      <c r="M102" s="1470">
        <v>526.31799999999998</v>
      </c>
      <c r="N102" s="1469">
        <f>M102/J102</f>
        <v>0.20665871419719978</v>
      </c>
      <c r="O102" s="206"/>
      <c r="P102" s="1142"/>
      <c r="Q102" s="1142"/>
      <c r="S102" s="1446"/>
      <c r="T102" s="1215"/>
      <c r="U102" s="1338"/>
      <c r="V102" s="1446"/>
      <c r="W102" s="1331"/>
      <c r="X102" s="1394"/>
      <c r="Y102" s="1458"/>
      <c r="Z102" s="1447"/>
      <c r="AB102" s="206"/>
      <c r="AC102" s="97"/>
      <c r="AD102" s="207"/>
    </row>
    <row r="103" spans="1:35" hidden="1" outlineLevel="1">
      <c r="A103" s="114"/>
      <c r="B103" s="245"/>
      <c r="C103" s="114"/>
      <c r="D103" s="206"/>
      <c r="E103" s="97"/>
      <c r="F103" s="1173"/>
      <c r="G103" s="1455"/>
      <c r="H103" s="1445"/>
      <c r="I103" s="1360"/>
      <c r="J103" s="206"/>
      <c r="K103" s="97"/>
      <c r="L103" s="1173"/>
      <c r="M103" s="1455"/>
      <c r="N103" s="1173"/>
      <c r="O103" s="206"/>
      <c r="S103" s="1446"/>
      <c r="T103" s="1215"/>
      <c r="U103" s="1374"/>
      <c r="V103" s="1446"/>
      <c r="W103" s="1331"/>
      <c r="X103" s="1394"/>
      <c r="Y103" s="1458"/>
      <c r="Z103" s="1447"/>
      <c r="AB103" s="206"/>
      <c r="AC103" s="97"/>
      <c r="AD103" s="207"/>
    </row>
    <row r="104" spans="1:35" collapsed="1">
      <c r="A104" s="1120"/>
      <c r="B104" s="1113">
        <v>2011</v>
      </c>
      <c r="C104" s="114"/>
      <c r="D104" s="206"/>
      <c r="E104" s="97"/>
      <c r="F104" s="1173"/>
      <c r="G104" s="1455"/>
      <c r="H104" s="1445"/>
      <c r="I104" s="1360"/>
      <c r="J104" s="206"/>
      <c r="K104" s="97"/>
      <c r="L104" s="1173"/>
      <c r="M104" s="1455"/>
      <c r="N104" s="1173"/>
      <c r="O104" s="1460"/>
      <c r="R104" s="1360"/>
      <c r="S104" s="1429"/>
      <c r="T104" s="1143"/>
      <c r="U104" s="310"/>
      <c r="V104" s="1429"/>
      <c r="W104" s="310"/>
      <c r="X104" s="310"/>
      <c r="Y104" s="1450"/>
      <c r="Z104" s="1443"/>
      <c r="AB104" s="206"/>
      <c r="AC104" s="97"/>
      <c r="AD104" s="207"/>
    </row>
    <row r="105" spans="1:35">
      <c r="A105" s="114" t="s">
        <v>115</v>
      </c>
      <c r="B105" s="245" t="s">
        <v>96</v>
      </c>
      <c r="C105" s="114"/>
      <c r="D105" s="1453">
        <v>195.72399999999999</v>
      </c>
      <c r="E105" s="1173">
        <f t="shared" ref="E105:E110" si="0">+D105/D97-1</f>
        <v>0.64454601979599047</v>
      </c>
      <c r="F105" s="1173">
        <f>D105/Q105</f>
        <v>0.23393101733769664</v>
      </c>
      <c r="G105" s="1455"/>
      <c r="H105" s="1445"/>
      <c r="I105" s="1360"/>
      <c r="J105" s="1453">
        <v>640.95000000000005</v>
      </c>
      <c r="K105" s="1173">
        <f t="shared" ref="K105:K110" si="1">+J105/J97-1</f>
        <v>0.12686580284463522</v>
      </c>
      <c r="L105" s="1173">
        <f>J105/Q105</f>
        <v>0.76606898266230339</v>
      </c>
      <c r="M105" s="1455"/>
      <c r="N105" s="1173"/>
      <c r="O105" s="1460"/>
      <c r="P105" s="1089">
        <f>SUM(D105+J105)</f>
        <v>836.67399999999998</v>
      </c>
      <c r="Q105" s="1089">
        <f>'qtrP&amp;L'!BT10</f>
        <v>836.67399999999998</v>
      </c>
      <c r="R105" s="1360"/>
      <c r="S105" s="1453">
        <v>92.4</v>
      </c>
      <c r="T105" s="1444">
        <v>13.4</v>
      </c>
      <c r="U105" s="1338">
        <f>T105/S105</f>
        <v>0.14502164502164502</v>
      </c>
      <c r="V105" s="1446">
        <f>S105+T105</f>
        <v>105.80000000000001</v>
      </c>
      <c r="W105" s="1331">
        <f>S105/S97-1</f>
        <v>0.34302325581395365</v>
      </c>
      <c r="X105" s="1173">
        <f>V105/'qtrP&amp;L'!BT10</f>
        <v>0.12645307491328764</v>
      </c>
      <c r="Y105" s="1455"/>
      <c r="Z105" s="1445"/>
      <c r="AB105" s="206"/>
      <c r="AC105" s="97"/>
      <c r="AD105" s="207"/>
    </row>
    <row r="106" spans="1:35">
      <c r="A106" s="114" t="s">
        <v>116</v>
      </c>
      <c r="B106" s="245" t="s">
        <v>97</v>
      </c>
      <c r="C106" s="114"/>
      <c r="D106" s="1451">
        <f>182.432+49.439</f>
        <v>231.87099999999998</v>
      </c>
      <c r="E106" s="1173">
        <f t="shared" si="0"/>
        <v>0.74061646097949141</v>
      </c>
      <c r="F106" s="1173">
        <f>D106/Q106</f>
        <v>0.25292360184693313</v>
      </c>
      <c r="G106" s="1455"/>
      <c r="H106" s="1445"/>
      <c r="I106" s="1360"/>
      <c r="J106" s="1451">
        <v>684.89200000000005</v>
      </c>
      <c r="K106" s="1173">
        <f t="shared" si="1"/>
        <v>0.11803403930223677</v>
      </c>
      <c r="L106" s="1173">
        <f>J106/Q106</f>
        <v>0.74707639815306681</v>
      </c>
      <c r="M106" s="1455"/>
      <c r="N106" s="1173"/>
      <c r="O106" s="1460"/>
      <c r="P106" s="1089">
        <f>SUM(D106+J106)</f>
        <v>916.76300000000003</v>
      </c>
      <c r="Q106" s="1089">
        <f>'qtrP&amp;L'!BT11</f>
        <v>916.76300000000003</v>
      </c>
      <c r="R106" s="1360"/>
      <c r="S106" s="1472">
        <v>90.4</v>
      </c>
      <c r="T106" s="1473">
        <v>11.6</v>
      </c>
      <c r="U106" s="1338">
        <f>T106/S106</f>
        <v>0.12831858407079644</v>
      </c>
      <c r="V106" s="2001">
        <f>S106+T106</f>
        <v>102</v>
      </c>
      <c r="W106" s="1331">
        <f>S106/S98-1</f>
        <v>0.31014492753623202</v>
      </c>
      <c r="X106" s="1173">
        <f>V106/'qtrP&amp;L'!BT11</f>
        <v>0.11126103474943906</v>
      </c>
      <c r="Y106" s="1455"/>
      <c r="Z106" s="1445"/>
      <c r="AB106" s="206"/>
      <c r="AC106" s="97"/>
      <c r="AD106" s="207"/>
    </row>
    <row r="107" spans="1:35">
      <c r="A107" s="114" t="s">
        <v>117</v>
      </c>
      <c r="B107" s="245" t="s">
        <v>99</v>
      </c>
      <c r="C107" s="114"/>
      <c r="D107" s="1451">
        <v>255.7</v>
      </c>
      <c r="E107" s="1173">
        <f t="shared" si="0"/>
        <v>0.55845263998342198</v>
      </c>
      <c r="F107" s="1173">
        <f>D107/Q107</f>
        <v>0.23767121250427567</v>
      </c>
      <c r="G107" s="1455"/>
      <c r="H107" s="1445"/>
      <c r="I107" s="1360"/>
      <c r="J107" s="1451">
        <v>820.2</v>
      </c>
      <c r="K107" s="1173">
        <f t="shared" si="1"/>
        <v>0.13647542971158577</v>
      </c>
      <c r="L107" s="1173">
        <f>J107/Q107</f>
        <v>0.76236968516232662</v>
      </c>
      <c r="M107" s="1455"/>
      <c r="N107" s="1173"/>
      <c r="O107" s="1460"/>
      <c r="P107" s="1089">
        <f>SUM(D107+J107)</f>
        <v>1075.9000000000001</v>
      </c>
      <c r="Q107" s="1089">
        <f>'qtrP&amp;L'!BT12</f>
        <v>1075.856</v>
      </c>
      <c r="R107" s="1360"/>
      <c r="S107" s="1472">
        <v>119.6</v>
      </c>
      <c r="T107" s="1473">
        <v>12.8</v>
      </c>
      <c r="U107" s="1338">
        <f>T107/S107</f>
        <v>0.10702341137123747</v>
      </c>
      <c r="V107" s="2001">
        <f>S107+T107</f>
        <v>132.4</v>
      </c>
      <c r="W107" s="1331">
        <f>S107/S99-1</f>
        <v>0.46928746928746912</v>
      </c>
      <c r="X107" s="1173">
        <f>V107/'qtrP&amp;L'!BT12</f>
        <v>0.12306479677577668</v>
      </c>
      <c r="Y107" s="1455"/>
      <c r="Z107" s="1445"/>
      <c r="AB107" s="206"/>
      <c r="AC107" s="97"/>
      <c r="AD107" s="207"/>
    </row>
    <row r="108" spans="1:35">
      <c r="A108" s="114" t="s">
        <v>118</v>
      </c>
      <c r="B108" s="245" t="s">
        <v>100</v>
      </c>
      <c r="C108" s="114"/>
      <c r="D108" s="1461">
        <f>D109-SUM(D105:D107)</f>
        <v>366.38299999999992</v>
      </c>
      <c r="E108" s="1173">
        <f t="shared" si="0"/>
        <v>0.5895072038733018</v>
      </c>
      <c r="F108" s="1173">
        <f>D108/Q108</f>
        <v>0.27573197668511729</v>
      </c>
      <c r="G108" s="1455"/>
      <c r="H108" s="1445"/>
      <c r="I108" s="1360"/>
      <c r="J108" s="1461">
        <f>J109-SUM(J105:J107)</f>
        <v>962.33799999999974</v>
      </c>
      <c r="K108" s="1173">
        <f t="shared" si="1"/>
        <v>4.7250084066168929E-2</v>
      </c>
      <c r="L108" s="1173">
        <f>J108/Q108</f>
        <v>0.72423490985990724</v>
      </c>
      <c r="M108" s="1455"/>
      <c r="N108" s="1173"/>
      <c r="O108" s="1460"/>
      <c r="P108" s="1092">
        <f>SUM(D108+J108)</f>
        <v>1328.7209999999995</v>
      </c>
      <c r="Q108" s="1092">
        <f>'qtrP&amp;L'!BT13</f>
        <v>1328.7650000000001</v>
      </c>
      <c r="R108" s="1360"/>
      <c r="S108" s="1474">
        <v>188</v>
      </c>
      <c r="T108" s="1383">
        <f>212.3-S108</f>
        <v>24.300000000000011</v>
      </c>
      <c r="U108" s="1340">
        <f>T108/S108</f>
        <v>0.12925531914893623</v>
      </c>
      <c r="V108" s="2005">
        <f>S108+T108</f>
        <v>212.3</v>
      </c>
      <c r="W108" s="1330">
        <f>S108/S100-1</f>
        <v>0.4103525881470369</v>
      </c>
      <c r="X108" s="1372">
        <f>V108/'qtrP&amp;L'!BT13</f>
        <v>0.15977242025489835</v>
      </c>
      <c r="Y108" s="1455"/>
      <c r="Z108" s="1445"/>
      <c r="AB108" s="208"/>
      <c r="AC108" s="96"/>
      <c r="AD108" s="209"/>
    </row>
    <row r="109" spans="1:35">
      <c r="A109" s="114"/>
      <c r="B109" s="245" t="s">
        <v>680</v>
      </c>
      <c r="C109" s="114"/>
      <c r="D109" s="1457">
        <f>822.473+227.205</f>
        <v>1049.6779999999999</v>
      </c>
      <c r="E109" s="1394">
        <f t="shared" si="0"/>
        <v>0.62287878787878781</v>
      </c>
      <c r="F109" s="1394">
        <f>D109/Q109</f>
        <v>0.25244429009888747</v>
      </c>
      <c r="G109" s="1458"/>
      <c r="H109" s="1447"/>
      <c r="I109" s="1373"/>
      <c r="J109" s="1457">
        <v>3108.38</v>
      </c>
      <c r="K109" s="1394">
        <f t="shared" si="1"/>
        <v>0.10148121899362161</v>
      </c>
      <c r="L109" s="1394">
        <f>J109/Q109</f>
        <v>0.74755570990111253</v>
      </c>
      <c r="M109" s="1458"/>
      <c r="N109" s="1394"/>
      <c r="O109" s="206"/>
      <c r="P109" s="1142">
        <f>SUM(D109+J109)</f>
        <v>4158.058</v>
      </c>
      <c r="Q109" s="1142">
        <f>'qtrP&amp;L'!BT14</f>
        <v>4158.058</v>
      </c>
      <c r="S109" s="1446">
        <f>+SUM(S105:S108)</f>
        <v>490.4</v>
      </c>
      <c r="T109" s="1215">
        <f>+SUM(T105:T108)</f>
        <v>62.100000000000009</v>
      </c>
      <c r="U109" s="1338">
        <f>T109/S109</f>
        <v>0.12663132137030997</v>
      </c>
      <c r="V109" s="1446">
        <f>S109+T109</f>
        <v>552.5</v>
      </c>
      <c r="W109" s="1331">
        <f>S109/S101-1</f>
        <v>0.39120567375886517</v>
      </c>
      <c r="X109" s="1394">
        <f>V109/'qtrP&amp;L'!BT14</f>
        <v>0.13287452940771871</v>
      </c>
      <c r="Y109" s="1463">
        <v>224.75899999999999</v>
      </c>
      <c r="Z109" s="1511">
        <f>Y109/V109</f>
        <v>0.40680361990950226</v>
      </c>
      <c r="AB109" s="1453">
        <v>-427.12</v>
      </c>
      <c r="AC109" s="1475">
        <v>-59.265000000000001</v>
      </c>
      <c r="AD109" s="1476">
        <v>-171.39099999999999</v>
      </c>
      <c r="AF109" s="96"/>
    </row>
    <row r="110" spans="1:35">
      <c r="A110" s="114"/>
      <c r="B110" s="1467" t="s">
        <v>681</v>
      </c>
      <c r="C110" s="252"/>
      <c r="D110" s="1468">
        <v>894.61599999999999</v>
      </c>
      <c r="E110" s="1469">
        <f t="shared" si="0"/>
        <v>0.77103987836938948</v>
      </c>
      <c r="F110" s="1469">
        <f>D110/Q109</f>
        <v>0.21515236199206456</v>
      </c>
      <c r="G110" s="1470">
        <v>338.54</v>
      </c>
      <c r="H110" s="1471">
        <f>G110/D110</f>
        <v>0.37841934416554146</v>
      </c>
      <c r="I110" s="1373"/>
      <c r="J110" s="1468">
        <v>2710.8420000000001</v>
      </c>
      <c r="K110" s="1469">
        <f t="shared" si="1"/>
        <v>6.4411861482536192E-2</v>
      </c>
      <c r="L110" s="1469">
        <f>J110/Q109</f>
        <v>0.65194905891163613</v>
      </c>
      <c r="M110" s="1470">
        <v>440.94400000000002</v>
      </c>
      <c r="N110" s="1469">
        <f>M110/J110</f>
        <v>0.16265942463633071</v>
      </c>
      <c r="O110" s="206"/>
      <c r="P110" s="1142"/>
      <c r="Q110" s="1142"/>
      <c r="S110" s="1446"/>
      <c r="T110" s="1215"/>
      <c r="U110" s="1338"/>
      <c r="V110" s="1446"/>
      <c r="W110" s="1331"/>
      <c r="X110" s="1394"/>
      <c r="Y110" s="1463"/>
      <c r="Z110" s="1435"/>
      <c r="AB110" s="206"/>
      <c r="AC110" s="97"/>
      <c r="AD110" s="207"/>
      <c r="AF110" s="1215">
        <f>G110+M110+Y109+AB109+AC109+AD109</f>
        <v>346.4670000000001</v>
      </c>
      <c r="AG110" s="1215">
        <f>'qtrP&amp;L'!BT104</f>
        <v>9.9690000000000012</v>
      </c>
      <c r="AH110" s="1215">
        <f>AF110-AG110</f>
        <v>336.4980000000001</v>
      </c>
      <c r="AI110" s="1215">
        <f>'qtrP&amp;L'!BT84</f>
        <v>336.49600000000027</v>
      </c>
    </row>
    <row r="111" spans="1:35">
      <c r="A111" s="114"/>
      <c r="B111" s="245"/>
      <c r="C111" s="114"/>
      <c r="D111" s="206"/>
      <c r="E111" s="97"/>
      <c r="F111" s="1173"/>
      <c r="G111" s="1455"/>
      <c r="H111" s="1445"/>
      <c r="I111" s="1360"/>
      <c r="J111" s="206"/>
      <c r="K111" s="97"/>
      <c r="L111" s="1173"/>
      <c r="M111" s="1455"/>
      <c r="N111" s="1173"/>
      <c r="O111" s="1429"/>
      <c r="P111" s="1053"/>
      <c r="S111" s="1446"/>
      <c r="T111" s="1215"/>
      <c r="U111" s="1374"/>
      <c r="V111" s="1446"/>
      <c r="W111" s="1331"/>
      <c r="X111" s="1394"/>
      <c r="Y111" s="1458"/>
      <c r="Z111" s="1435"/>
      <c r="AA111" s="114"/>
      <c r="AB111" s="206"/>
      <c r="AC111" s="97"/>
      <c r="AD111" s="207"/>
      <c r="AF111" s="1215"/>
      <c r="AG111" s="1215"/>
      <c r="AH111" s="1215"/>
      <c r="AI111" s="1215"/>
    </row>
    <row r="112" spans="1:35">
      <c r="A112" s="1120"/>
      <c r="B112" s="1113">
        <v>2012</v>
      </c>
      <c r="C112" s="114"/>
      <c r="D112" s="1429"/>
      <c r="E112" s="310"/>
      <c r="F112" s="1173"/>
      <c r="G112" s="1455"/>
      <c r="H112" s="1445"/>
      <c r="I112" s="1360"/>
      <c r="J112" s="1429"/>
      <c r="K112" s="310"/>
      <c r="L112" s="1173"/>
      <c r="M112" s="1455"/>
      <c r="N112" s="1173"/>
      <c r="O112" s="1460"/>
      <c r="P112" s="1053"/>
      <c r="R112" s="1360"/>
      <c r="S112" s="1429"/>
      <c r="T112" s="1143"/>
      <c r="U112" s="310"/>
      <c r="V112" s="1429"/>
      <c r="W112" s="310"/>
      <c r="X112" s="310"/>
      <c r="Y112" s="1450"/>
      <c r="Z112" s="1435"/>
      <c r="AA112" s="114"/>
      <c r="AB112" s="206"/>
      <c r="AC112" s="97"/>
      <c r="AD112" s="207"/>
      <c r="AF112" s="1215"/>
      <c r="AG112" s="1215"/>
      <c r="AH112" s="1215"/>
      <c r="AI112" s="1215"/>
    </row>
    <row r="113" spans="1:35">
      <c r="A113" s="114" t="s">
        <v>115</v>
      </c>
      <c r="B113" s="245" t="s">
        <v>764</v>
      </c>
      <c r="C113" s="114"/>
      <c r="D113" s="1453">
        <v>229.108</v>
      </c>
      <c r="E113" s="1173"/>
      <c r="F113" s="1173"/>
      <c r="G113" s="1475">
        <v>60.610999999999997</v>
      </c>
      <c r="H113" s="1445">
        <f t="shared" ref="H113:H121" si="2">G113/D113</f>
        <v>0.26455208897114024</v>
      </c>
      <c r="I113" s="1360"/>
      <c r="J113" s="1453">
        <v>543.88099999999997</v>
      </c>
      <c r="K113" s="1173">
        <f t="shared" ref="K113:K118" si="3">+J113/J105-1</f>
        <v>-0.15144551057024735</v>
      </c>
      <c r="L113" s="1173">
        <f>J113/Q113</f>
        <v>0.59039337051599083</v>
      </c>
      <c r="M113" s="1475">
        <v>43.156999999999996</v>
      </c>
      <c r="N113" s="1173">
        <f t="shared" ref="N113:N121" si="4">M113/J113</f>
        <v>7.93500784178892E-2</v>
      </c>
      <c r="O113" s="1460"/>
      <c r="P113" s="1089">
        <f>SUM(D113+J113)</f>
        <v>772.98900000000003</v>
      </c>
      <c r="Q113" s="1089">
        <f>'qtrP&amp;L'!BX10</f>
        <v>921.21799999999996</v>
      </c>
      <c r="R113" s="1360"/>
      <c r="S113" s="1472">
        <f>V113-T113</f>
        <v>129.40391700000001</v>
      </c>
      <c r="T113" s="1473">
        <f>V113*U113</f>
        <v>18.825083000000003</v>
      </c>
      <c r="U113" s="1384">
        <v>0.127</v>
      </c>
      <c r="V113" s="1425">
        <v>148.22900000000001</v>
      </c>
      <c r="W113" s="1331">
        <f>(S113+T113)/(S105+T105)-1</f>
        <v>0.40103024574669188</v>
      </c>
      <c r="X113" s="1173">
        <f>V113/'qtrP&amp;L'!BX10</f>
        <v>0.16090545343230378</v>
      </c>
      <c r="Y113" s="1475">
        <v>45.296999999999997</v>
      </c>
      <c r="Z113" s="1511">
        <f t="shared" ref="Z113:Z121" si="5">Y113/V113</f>
        <v>0.30558797536244592</v>
      </c>
      <c r="AA113" s="114"/>
      <c r="AB113" s="1453">
        <v>-116.889</v>
      </c>
      <c r="AC113" s="1475">
        <v>-14.404</v>
      </c>
      <c r="AD113" s="1476">
        <v>-46.718000000000004</v>
      </c>
      <c r="AF113" s="1477">
        <f t="shared" ref="AF113:AF118" si="6">G113+M113+Y113+AB113+AC113+AD113</f>
        <v>-28.946000000000002</v>
      </c>
      <c r="AG113" s="1215"/>
      <c r="AH113" s="1215"/>
      <c r="AI113" s="1215"/>
    </row>
    <row r="114" spans="1:35">
      <c r="A114" s="114" t="s">
        <v>116</v>
      </c>
      <c r="B114" s="245" t="s">
        <v>765</v>
      </c>
      <c r="C114" s="114"/>
      <c r="D114" s="1451">
        <v>261.625</v>
      </c>
      <c r="E114" s="1173"/>
      <c r="F114" s="1173"/>
      <c r="G114" s="1463">
        <v>83.885999999999996</v>
      </c>
      <c r="H114" s="1445">
        <f t="shared" si="2"/>
        <v>0.32063449593884374</v>
      </c>
      <c r="I114" s="1360"/>
      <c r="J114" s="1451">
        <v>562.10500000000002</v>
      </c>
      <c r="K114" s="1173">
        <f t="shared" si="3"/>
        <v>-0.17927936083353291</v>
      </c>
      <c r="L114" s="1173">
        <f>J114/Q114</f>
        <v>0.59081444639360436</v>
      </c>
      <c r="M114" s="1463">
        <v>70.658000000000001</v>
      </c>
      <c r="N114" s="1173">
        <f t="shared" si="4"/>
        <v>0.12570249330641073</v>
      </c>
      <c r="O114" s="1460"/>
      <c r="P114" s="1089">
        <f>SUM(D114+J114)</f>
        <v>823.73</v>
      </c>
      <c r="Q114" s="1089">
        <f>'qtrP&amp;L'!BX11</f>
        <v>951.40700000000004</v>
      </c>
      <c r="R114" s="1360"/>
      <c r="S114" s="1472">
        <f>V114-T114</f>
        <v>111.4821</v>
      </c>
      <c r="T114" s="1473">
        <f>V114*U114</f>
        <v>16.2179</v>
      </c>
      <c r="U114" s="1384">
        <v>0.127</v>
      </c>
      <c r="V114" s="2003">
        <v>127.7</v>
      </c>
      <c r="W114" s="1331">
        <f>(S114+T114)/(S106+T106)-1</f>
        <v>0.25196078431372548</v>
      </c>
      <c r="X114" s="1173">
        <f>V114/'qtrP&amp;L'!BX11</f>
        <v>0.13422226239663992</v>
      </c>
      <c r="Y114" s="1463">
        <v>43.456000000000003</v>
      </c>
      <c r="Z114" s="1511">
        <f t="shared" si="5"/>
        <v>0.34029757243539549</v>
      </c>
      <c r="AA114" s="114"/>
      <c r="AB114" s="1478">
        <v>-111.29300000000001</v>
      </c>
      <c r="AC114" s="1479">
        <v>-15.37</v>
      </c>
      <c r="AD114" s="1480">
        <v>-46.33</v>
      </c>
      <c r="AF114" s="1128">
        <f t="shared" si="6"/>
        <v>25.006999999999991</v>
      </c>
      <c r="AG114" s="1215"/>
      <c r="AH114" s="1215"/>
      <c r="AI114" s="1215"/>
    </row>
    <row r="115" spans="1:35">
      <c r="A115" s="114" t="s">
        <v>117</v>
      </c>
      <c r="B115" s="245" t="s">
        <v>766</v>
      </c>
      <c r="C115" s="114"/>
      <c r="D115" s="1451">
        <v>301.81799999999998</v>
      </c>
      <c r="E115" s="1173"/>
      <c r="F115" s="1173"/>
      <c r="G115" s="1463">
        <v>99.373000000000005</v>
      </c>
      <c r="H115" s="1445">
        <f t="shared" si="2"/>
        <v>0.32924808990848792</v>
      </c>
      <c r="I115" s="1360"/>
      <c r="J115" s="1451">
        <v>709.51599999999996</v>
      </c>
      <c r="K115" s="1173">
        <f t="shared" si="3"/>
        <v>-0.134947573762497</v>
      </c>
      <c r="L115" s="1173">
        <f>J115/Q115</f>
        <v>0.606605913397951</v>
      </c>
      <c r="M115" s="1463">
        <v>155.965</v>
      </c>
      <c r="N115" s="1173">
        <f t="shared" si="4"/>
        <v>0.21981886243580132</v>
      </c>
      <c r="O115" s="1460"/>
      <c r="P115" s="1089">
        <f>SUM(D115+J115)</f>
        <v>1011.3339999999999</v>
      </c>
      <c r="Q115" s="1089">
        <v>1169.6489999999999</v>
      </c>
      <c r="R115" s="1360"/>
      <c r="S115" s="1472">
        <f>V115-T115</f>
        <v>136.15003999999999</v>
      </c>
      <c r="T115" s="1473">
        <f>V115*U115</f>
        <v>22.163959999999999</v>
      </c>
      <c r="U115" s="1384">
        <v>0.14000000000000001</v>
      </c>
      <c r="V115" s="2006">
        <v>158.31399999999999</v>
      </c>
      <c r="W115" s="1331">
        <f>(S115+T115)/(S107+T107)-1</f>
        <v>0.19572507552870078</v>
      </c>
      <c r="X115" s="1173">
        <v>0.13535171662609896</v>
      </c>
      <c r="Y115" s="1463">
        <v>63.935000000000002</v>
      </c>
      <c r="Z115" s="1511">
        <f t="shared" si="5"/>
        <v>0.40384931212653336</v>
      </c>
      <c r="AA115" s="114"/>
      <c r="AB115" s="1478">
        <v>-123.381</v>
      </c>
      <c r="AC115" s="1479">
        <v>-10.73</v>
      </c>
      <c r="AD115" s="1480">
        <v>-51.817999999999998</v>
      </c>
      <c r="AF115" s="1128">
        <f t="shared" si="6"/>
        <v>133.34400000000005</v>
      </c>
      <c r="AG115" s="1215"/>
      <c r="AH115" s="1215"/>
      <c r="AI115" s="1215"/>
    </row>
    <row r="116" spans="1:35">
      <c r="A116" s="114" t="s">
        <v>118</v>
      </c>
      <c r="B116" s="245" t="s">
        <v>767</v>
      </c>
      <c r="C116" s="114"/>
      <c r="D116" s="1451">
        <f>D118-D115-D114-D113</f>
        <v>402.46600000000007</v>
      </c>
      <c r="E116" s="1173"/>
      <c r="F116" s="1173"/>
      <c r="G116" s="1463">
        <f>G118-G113-G114-G115</f>
        <v>135.99599999999998</v>
      </c>
      <c r="H116" s="1445">
        <f t="shared" si="2"/>
        <v>0.33790680454994948</v>
      </c>
      <c r="I116" s="1360"/>
      <c r="J116" s="1451">
        <f>J118-J113-J114-J115</f>
        <v>799.63600000000008</v>
      </c>
      <c r="K116" s="1173">
        <f t="shared" si="3"/>
        <v>-0.16906949533324023</v>
      </c>
      <c r="L116" s="1173">
        <f>J116/Q116</f>
        <v>0.54451421182120097</v>
      </c>
      <c r="M116" s="1463">
        <f>M118-M113-M114-M115</f>
        <v>169.27500000000001</v>
      </c>
      <c r="N116" s="1173">
        <f t="shared" si="4"/>
        <v>0.21169006898138651</v>
      </c>
      <c r="O116" s="1460"/>
      <c r="P116" s="1092">
        <f>SUM(D116+J116)</f>
        <v>1202.1020000000001</v>
      </c>
      <c r="Q116" s="1092">
        <f>'qtrP&amp;L'!BX13</f>
        <v>1468.5309999999999</v>
      </c>
      <c r="R116" s="1360"/>
      <c r="S116" s="1474">
        <f>V116-T116</f>
        <v>229.10399999999998</v>
      </c>
      <c r="T116" s="1383">
        <f>V116*U116</f>
        <v>37.295999999999999</v>
      </c>
      <c r="U116" s="1386">
        <v>0.14000000000000001</v>
      </c>
      <c r="V116" s="2004">
        <v>266.39999999999998</v>
      </c>
      <c r="W116" s="1330">
        <f>(S116+T116)/(S108+T108)-1</f>
        <v>0.25482807348092296</v>
      </c>
      <c r="X116" s="1372">
        <f>V116/'qtrP&amp;L'!BX13</f>
        <v>0.18140577216279397</v>
      </c>
      <c r="Y116" s="1387">
        <f>Y118-Y115-Y114-Y113</f>
        <v>116.79099999999997</v>
      </c>
      <c r="Z116" s="1512">
        <f t="shared" si="5"/>
        <v>0.43840465465465456</v>
      </c>
      <c r="AA116" s="114"/>
      <c r="AB116" s="1478">
        <f>AB118-AB115-AB114-AB113</f>
        <v>-122.31999999999995</v>
      </c>
      <c r="AC116" s="1479">
        <f>AC118-AC115-AC114-AC113</f>
        <v>-7.9250000000000007</v>
      </c>
      <c r="AD116" s="1480">
        <f>AD118-AD115-AD114-AD113</f>
        <v>-39.581000000000017</v>
      </c>
      <c r="AF116" s="1107">
        <f t="shared" si="6"/>
        <v>252.23599999999993</v>
      </c>
      <c r="AG116" s="1215"/>
      <c r="AH116" s="1215"/>
      <c r="AI116" s="1215"/>
    </row>
    <row r="117" spans="1:35" hidden="1" outlineLevel="1">
      <c r="A117" s="114"/>
      <c r="B117" s="245" t="s">
        <v>680</v>
      </c>
      <c r="C117" s="114"/>
      <c r="D117" s="1457">
        <v>1424</v>
      </c>
      <c r="E117" s="1394">
        <f>+D117/D109-1</f>
        <v>0.35660650218447953</v>
      </c>
      <c r="F117" s="1394">
        <f>D117/Q117</f>
        <v>0.31568644621082043</v>
      </c>
      <c r="G117" s="1458"/>
      <c r="H117" s="1445"/>
      <c r="I117" s="1373"/>
      <c r="J117" s="1457">
        <v>3087</v>
      </c>
      <c r="K117" s="1394">
        <f t="shared" si="3"/>
        <v>-6.878180917391119E-3</v>
      </c>
      <c r="L117" s="1394">
        <f>J117/Q117</f>
        <v>0.6843567833235974</v>
      </c>
      <c r="M117" s="1458"/>
      <c r="N117" s="1173"/>
      <c r="O117" s="767"/>
      <c r="P117" s="1142">
        <f>SUM(D117+J117)</f>
        <v>4511</v>
      </c>
      <c r="Q117" s="1142">
        <f>'qtrP&amp;L'!BX14</f>
        <v>4510.8050000000003</v>
      </c>
      <c r="V117" s="206"/>
      <c r="Z117" s="86"/>
      <c r="AF117" s="1215">
        <f t="shared" si="6"/>
        <v>0</v>
      </c>
      <c r="AG117" s="1215"/>
      <c r="AH117" s="1215"/>
      <c r="AI117" s="1215"/>
    </row>
    <row r="118" spans="1:35" collapsed="1">
      <c r="A118" s="114"/>
      <c r="B118" s="1467" t="s">
        <v>681</v>
      </c>
      <c r="C118" s="252"/>
      <c r="D118" s="1468">
        <v>1195.0170000000001</v>
      </c>
      <c r="E118" s="1469">
        <f>+D118/D110-1</f>
        <v>0.33578764520196391</v>
      </c>
      <c r="F118" s="1469">
        <f>D118/Q117</f>
        <v>0.26492322323842415</v>
      </c>
      <c r="G118" s="1481">
        <v>379.86599999999999</v>
      </c>
      <c r="H118" s="1471">
        <f t="shared" si="2"/>
        <v>0.31787497583716379</v>
      </c>
      <c r="I118" s="1373"/>
      <c r="J118" s="1468">
        <v>2615.1379999999999</v>
      </c>
      <c r="K118" s="1469">
        <f t="shared" si="3"/>
        <v>-3.5304160109663418E-2</v>
      </c>
      <c r="L118" s="1469">
        <f>J118/Q117</f>
        <v>0.57974973424920828</v>
      </c>
      <c r="M118" s="1481">
        <v>439.05500000000001</v>
      </c>
      <c r="N118" s="1469">
        <f t="shared" si="4"/>
        <v>0.16788980160893996</v>
      </c>
      <c r="O118" s="767"/>
      <c r="P118" s="1142"/>
      <c r="Q118" s="1142"/>
      <c r="S118" s="1446">
        <f>+SUM(S113:S116)</f>
        <v>606.14005700000007</v>
      </c>
      <c r="T118" s="1215">
        <f>+SUM(T113:T116)</f>
        <v>94.502943000000016</v>
      </c>
      <c r="U118" s="1384">
        <v>0.16</v>
      </c>
      <c r="V118" s="1446">
        <f>S118+T118</f>
        <v>700.64300000000003</v>
      </c>
      <c r="W118" s="1331">
        <f>S118/S109-1</f>
        <v>0.23601153548123999</v>
      </c>
      <c r="X118" s="1394">
        <f>V118/'qtrP&amp;L'!BX14</f>
        <v>0.15532549068292689</v>
      </c>
      <c r="Y118" s="1475">
        <v>269.47899999999998</v>
      </c>
      <c r="Z118" s="1511">
        <f>Y118/V118</f>
        <v>0.38461670208651194</v>
      </c>
      <c r="AA118" s="114"/>
      <c r="AB118" s="1453">
        <v>-473.88299999999998</v>
      </c>
      <c r="AC118" s="1475">
        <v>-48.429000000000002</v>
      </c>
      <c r="AD118" s="1476">
        <v>-184.447</v>
      </c>
      <c r="AF118" s="1215">
        <f t="shared" si="6"/>
        <v>381.64100000000008</v>
      </c>
      <c r="AG118" s="1215">
        <f>'qtrP&amp;L'!BX104</f>
        <v>19.332999999999998</v>
      </c>
      <c r="AH118" s="1215">
        <f>AF118-AG118</f>
        <v>362.30800000000011</v>
      </c>
      <c r="AI118" s="1215">
        <f>'qtrP&amp;L'!BX84</f>
        <v>362.29999999999995</v>
      </c>
    </row>
    <row r="119" spans="1:35">
      <c r="A119" s="114"/>
      <c r="B119" s="245"/>
      <c r="C119" s="114"/>
      <c r="D119" s="1429"/>
      <c r="E119" s="310"/>
      <c r="F119" s="1173"/>
      <c r="G119" s="1455"/>
      <c r="H119" s="1445"/>
      <c r="I119" s="1360"/>
      <c r="J119" s="1429"/>
      <c r="K119" s="310"/>
      <c r="L119" s="1173"/>
      <c r="M119" s="1455"/>
      <c r="N119" s="1173"/>
      <c r="O119" s="1429"/>
      <c r="S119" s="1446"/>
      <c r="T119" s="1215"/>
      <c r="U119" s="1389"/>
      <c r="V119" s="1446"/>
      <c r="W119" s="1331"/>
      <c r="X119" s="1394"/>
      <c r="Y119" s="1482"/>
      <c r="Z119" s="1435"/>
      <c r="AA119" s="114"/>
      <c r="AB119" s="1483"/>
      <c r="AC119" s="1484"/>
      <c r="AD119" s="1485"/>
      <c r="AF119" s="1053"/>
      <c r="AG119" s="1215"/>
      <c r="AH119" s="1215"/>
      <c r="AI119" s="1215"/>
    </row>
    <row r="120" spans="1:35">
      <c r="A120" s="1120"/>
      <c r="B120" s="1172">
        <v>2013</v>
      </c>
      <c r="C120" s="114"/>
      <c r="D120" s="1429"/>
      <c r="E120" s="1303"/>
      <c r="F120" s="1173"/>
      <c r="G120" s="1455"/>
      <c r="H120" s="1445"/>
      <c r="I120" s="1360"/>
      <c r="J120" s="1429"/>
      <c r="K120" s="310"/>
      <c r="L120" s="1173"/>
      <c r="M120" s="1455"/>
      <c r="N120" s="1173"/>
      <c r="O120" s="1460"/>
      <c r="R120" s="1360"/>
      <c r="S120" s="1446"/>
      <c r="T120" s="1215"/>
      <c r="U120" s="1389"/>
      <c r="V120" s="1446"/>
      <c r="W120" s="1331"/>
      <c r="X120" s="1394"/>
      <c r="Y120" s="1458"/>
      <c r="Z120" s="1435"/>
      <c r="AA120" s="114"/>
      <c r="AB120" s="1483"/>
      <c r="AC120" s="1455"/>
      <c r="AD120" s="1485"/>
      <c r="AF120" s="1053"/>
      <c r="AG120" s="1215"/>
      <c r="AH120" s="1215"/>
      <c r="AI120" s="1215"/>
    </row>
    <row r="121" spans="1:35">
      <c r="A121" s="114" t="s">
        <v>115</v>
      </c>
      <c r="B121" s="245" t="s">
        <v>764</v>
      </c>
      <c r="C121" s="114"/>
      <c r="D121" s="1453">
        <v>257.43400000000003</v>
      </c>
      <c r="E121" s="1173">
        <f>+D121/D113-1</f>
        <v>0.12363601445606442</v>
      </c>
      <c r="F121" s="1173">
        <f>D121/Q121</f>
        <v>0.30691882985661134</v>
      </c>
      <c r="G121" s="1475">
        <v>56.99</v>
      </c>
      <c r="H121" s="1445">
        <f t="shared" si="2"/>
        <v>0.22137712967207127</v>
      </c>
      <c r="I121" s="1360"/>
      <c r="J121" s="1453">
        <v>448.64600000000002</v>
      </c>
      <c r="K121" s="1173">
        <f>+J121/J113-1</f>
        <v>-0.17510264193821801</v>
      </c>
      <c r="L121" s="1173">
        <f>J121/Q121</f>
        <v>0.53488624400758733</v>
      </c>
      <c r="M121" s="1475">
        <v>39.823999999999998</v>
      </c>
      <c r="N121" s="1173">
        <f t="shared" si="4"/>
        <v>8.8764861382916588E-2</v>
      </c>
      <c r="O121" s="1460"/>
      <c r="P121" s="1089">
        <f>SUM(D121+J121)</f>
        <v>706.08</v>
      </c>
      <c r="Q121" s="1089">
        <f>'qtrP&amp;L'!CB10</f>
        <v>838.76900000000001</v>
      </c>
      <c r="R121" s="1360"/>
      <c r="S121" s="1472">
        <f>V121-T121</f>
        <v>112.79499999999999</v>
      </c>
      <c r="T121" s="1473">
        <f>V121*U121</f>
        <v>19.904999999999998</v>
      </c>
      <c r="U121" s="1384">
        <v>0.15</v>
      </c>
      <c r="V121" s="1425">
        <v>132.69999999999999</v>
      </c>
      <c r="W121" s="1331">
        <f>(S121+T121)/(S113+T113)-1</f>
        <v>-0.10476357527879177</v>
      </c>
      <c r="X121" s="1173">
        <f>V121/'qtrP&amp;L'!CB10</f>
        <v>0.15820804059282112</v>
      </c>
      <c r="Y121" s="1475">
        <v>56.183</v>
      </c>
      <c r="Z121" s="1511">
        <f t="shared" si="5"/>
        <v>0.42338357196684256</v>
      </c>
      <c r="AA121" s="114"/>
      <c r="AB121" s="1453">
        <v>-118.78</v>
      </c>
      <c r="AC121" s="1475">
        <v>-6.0529999999999999</v>
      </c>
      <c r="AD121" s="1476">
        <v>-42.085999999999999</v>
      </c>
      <c r="AF121" s="1477">
        <f>G121+M121+Y121+AB121+AC121+AD121</f>
        <v>-13.922000000000015</v>
      </c>
      <c r="AG121" s="1215"/>
      <c r="AH121" s="1215"/>
      <c r="AI121" s="1215"/>
    </row>
    <row r="122" spans="1:35">
      <c r="A122" s="114" t="s">
        <v>116</v>
      </c>
      <c r="B122" s="245" t="s">
        <v>765</v>
      </c>
      <c r="C122" s="114"/>
      <c r="D122" s="1451">
        <v>286.72699999999998</v>
      </c>
      <c r="E122" s="1173">
        <f>+D122/D114-1</f>
        <v>9.5946488294314181E-2</v>
      </c>
      <c r="F122" s="1173">
        <f>D122/Q122</f>
        <v>0.3031908706584977</v>
      </c>
      <c r="G122" s="1463">
        <v>69.358999999999995</v>
      </c>
      <c r="H122" s="1445">
        <f>G122/D122</f>
        <v>0.24189908868017312</v>
      </c>
      <c r="I122" s="1360"/>
      <c r="J122" s="1451">
        <v>504.67399999999998</v>
      </c>
      <c r="K122" s="1173">
        <f>+J122/J114-1</f>
        <v>-0.10217130251465478</v>
      </c>
      <c r="L122" s="1173">
        <f>J122/Q122</f>
        <v>0.53365239220131588</v>
      </c>
      <c r="M122" s="1463">
        <v>58.972999999999999</v>
      </c>
      <c r="N122" s="1173">
        <f>M122/J122</f>
        <v>0.11685365206053809</v>
      </c>
      <c r="O122" s="206"/>
      <c r="P122" s="1089">
        <f>SUM(D122+J122)</f>
        <v>791.40099999999995</v>
      </c>
      <c r="Q122" s="1089">
        <f>'qtrP&amp;L'!CB11</f>
        <v>945.69799999999998</v>
      </c>
      <c r="S122" s="1472">
        <f>V122-T122</f>
        <v>131.15244999999999</v>
      </c>
      <c r="T122" s="1473">
        <f>V122*U122</f>
        <v>23.144549999999999</v>
      </c>
      <c r="U122" s="1384">
        <v>0.15</v>
      </c>
      <c r="V122" s="2003">
        <v>154.297</v>
      </c>
      <c r="W122" s="1331">
        <f>(S122+T122)/(S114+T114)-1</f>
        <v>0.2082772122161316</v>
      </c>
      <c r="X122" s="1173">
        <f>V122/'qtrP&amp;L'!CB11</f>
        <v>0.16315673714018641</v>
      </c>
      <c r="Y122" s="1463">
        <v>55.008000000000003</v>
      </c>
      <c r="Z122" s="1511">
        <f>Y122/V122</f>
        <v>0.35650725548779305</v>
      </c>
      <c r="AB122" s="1478">
        <v>-115.071</v>
      </c>
      <c r="AC122" s="1479">
        <v>-5.6879999999999997</v>
      </c>
      <c r="AD122" s="1480">
        <v>-40.841999999999999</v>
      </c>
      <c r="AF122" s="1128">
        <f>G122+M122+Y122+AB122+AC122+AD122</f>
        <v>21.739000000000004</v>
      </c>
      <c r="AG122" s="1215"/>
      <c r="AH122" s="1215"/>
      <c r="AI122" s="1215"/>
    </row>
    <row r="123" spans="1:35">
      <c r="A123" s="114" t="s">
        <v>117</v>
      </c>
      <c r="B123" s="245" t="s">
        <v>766</v>
      </c>
      <c r="C123" s="114"/>
      <c r="D123" s="1451">
        <v>296.93700000000001</v>
      </c>
      <c r="E123" s="1173">
        <f>+D123/D115-1</f>
        <v>-1.6171997693974371E-2</v>
      </c>
      <c r="F123" s="1173">
        <f>D123/Q123</f>
        <v>0.28736960378130894</v>
      </c>
      <c r="G123" s="1463">
        <v>76.186000000000007</v>
      </c>
      <c r="H123" s="1445">
        <f>G123/D123</f>
        <v>0.25657294308220263</v>
      </c>
      <c r="I123" s="114"/>
      <c r="J123" s="1451">
        <v>561.78800000000001</v>
      </c>
      <c r="K123" s="1173">
        <f>+J123/J115-1</f>
        <v>-0.20820954002446734</v>
      </c>
      <c r="L123" s="1173">
        <f>J123/Q123</f>
        <v>0.54368702778398781</v>
      </c>
      <c r="M123" s="1463">
        <v>81.313999999999993</v>
      </c>
      <c r="N123" s="1173">
        <f>M123/J123</f>
        <v>0.14474143271127185</v>
      </c>
      <c r="O123" s="206"/>
      <c r="P123" s="1089">
        <f>SUM(D123+J123)</f>
        <v>858.72500000000002</v>
      </c>
      <c r="Q123" s="1089">
        <f>'qtrP&amp;L'!CB12</f>
        <v>1033.2929999999999</v>
      </c>
      <c r="S123" s="1472">
        <f>V123-T123</f>
        <v>148.3828</v>
      </c>
      <c r="T123" s="1473">
        <f>V123*U123</f>
        <v>26.185200000000002</v>
      </c>
      <c r="U123" s="1384">
        <v>0.15</v>
      </c>
      <c r="V123" s="2003">
        <v>174.56800000000001</v>
      </c>
      <c r="W123" s="1331">
        <f>(S123+T123)/(S115+T115)-1</f>
        <v>0.10266937857675273</v>
      </c>
      <c r="X123" s="1173">
        <f>V123/'qtrP&amp;L'!CB12</f>
        <v>0.16894336843470345</v>
      </c>
      <c r="Y123" s="1463">
        <v>65.616</v>
      </c>
      <c r="Z123" s="1511">
        <f>Y123/V123</f>
        <v>0.37587644929196645</v>
      </c>
      <c r="AB123" s="1478">
        <v>-119.79900000000001</v>
      </c>
      <c r="AC123" s="1479">
        <v>-6.2759999999999998</v>
      </c>
      <c r="AD123" s="1480">
        <v>-36.542000000000002</v>
      </c>
      <c r="AF123" s="1128">
        <f>G123+M123+Y123+AB123+AC123+AD123</f>
        <v>60.498999999999981</v>
      </c>
      <c r="AG123" s="1215"/>
      <c r="AH123" s="1215"/>
      <c r="AI123" s="1215"/>
    </row>
    <row r="124" spans="1:35">
      <c r="A124" s="114" t="s">
        <v>118</v>
      </c>
      <c r="B124" s="245" t="s">
        <v>767</v>
      </c>
      <c r="C124" s="114"/>
      <c r="D124" s="1451">
        <f>D125-D121-D122-D123</f>
        <v>337.70000000000005</v>
      </c>
      <c r="E124" s="1173">
        <f>+D124/D116-1</f>
        <v>-0.16092291025825789</v>
      </c>
      <c r="F124" s="1173">
        <f>D124/Q124</f>
        <v>0.25994179212815899</v>
      </c>
      <c r="G124" s="1463">
        <f>G125-G123-G122-G121</f>
        <v>92.299999999999955</v>
      </c>
      <c r="H124" s="1445">
        <f>G124/D124</f>
        <v>0.27331951436185947</v>
      </c>
      <c r="I124" s="310"/>
      <c r="J124" s="1451">
        <f>J125-J121-J122-J123</f>
        <v>646.07500000000005</v>
      </c>
      <c r="K124" s="1173">
        <f>+J124/J116-1</f>
        <v>-0.19203862757554691</v>
      </c>
      <c r="L124" s="1173">
        <f>J124/Q124</f>
        <v>0.4973109071637557</v>
      </c>
      <c r="M124" s="1463">
        <f>M125-M121-M122-M123</f>
        <v>104.41899999999995</v>
      </c>
      <c r="N124" s="1445">
        <f>M124/J124</f>
        <v>0.16162055488913818</v>
      </c>
      <c r="O124" s="97"/>
      <c r="P124" s="1092"/>
      <c r="Q124" s="1092">
        <f>'qtrP&amp;L'!CB13</f>
        <v>1299.1369999999999</v>
      </c>
      <c r="S124" s="1474">
        <f>V124-T124</f>
        <v>268.04835000000008</v>
      </c>
      <c r="T124" s="1383">
        <f>V124*U124</f>
        <v>47.302650000000014</v>
      </c>
      <c r="U124" s="1386">
        <v>0.15</v>
      </c>
      <c r="V124" s="2004">
        <f>V125-V121-V122-V123</f>
        <v>315.35100000000011</v>
      </c>
      <c r="W124" s="1330">
        <f>(S124+T124)/(S116+T116)-1</f>
        <v>0.18375000000000052</v>
      </c>
      <c r="X124" s="1372">
        <f>V124/'qtrP&amp;L'!CB13</f>
        <v>0.24273883354873282</v>
      </c>
      <c r="Y124" s="1387">
        <f>Y125-Y123-Y122-Y121</f>
        <v>118.15700000000001</v>
      </c>
      <c r="Z124" s="1512">
        <f>Y124/V124</f>
        <v>0.37468408218144217</v>
      </c>
      <c r="AB124" s="1486">
        <f>AB125-AB121-AB122-AB123</f>
        <v>-115.42700000000002</v>
      </c>
      <c r="AC124" s="1487">
        <f>AC125-AC121-AC122-AC123</f>
        <v>-4.7370000000000019</v>
      </c>
      <c r="AD124" s="1488">
        <f>AD125-AD121-AD122-AD123</f>
        <v>-40.15100000000001</v>
      </c>
      <c r="AF124" s="1107">
        <f>G124+M124+Y124+AB124+AC124+AD124</f>
        <v>154.56099999999989</v>
      </c>
      <c r="AG124" s="1215"/>
      <c r="AH124" s="1215"/>
      <c r="AI124" s="1215"/>
    </row>
    <row r="125" spans="1:35">
      <c r="A125" s="114"/>
      <c r="B125" s="1467" t="s">
        <v>681</v>
      </c>
      <c r="C125" s="252"/>
      <c r="D125" s="1468">
        <v>1178.798</v>
      </c>
      <c r="E125" s="1469">
        <f>+D125/D118-1</f>
        <v>-1.3572191860032112E-2</v>
      </c>
      <c r="F125" s="1469">
        <f>D125/Q125</f>
        <v>0.28633167164493062</v>
      </c>
      <c r="G125" s="1489">
        <v>294.83499999999998</v>
      </c>
      <c r="H125" s="1471">
        <f>G125/D125</f>
        <v>0.25011494759916453</v>
      </c>
      <c r="I125" s="561"/>
      <c r="J125" s="1468">
        <v>2161.183</v>
      </c>
      <c r="K125" s="1469">
        <f>+J125/J118-1</f>
        <v>-0.17358739768226383</v>
      </c>
      <c r="L125" s="1469">
        <f>J125/Q125</f>
        <v>0.52495435275645708</v>
      </c>
      <c r="M125" s="1489">
        <v>284.52999999999997</v>
      </c>
      <c r="N125" s="1471">
        <f>M125/J125</f>
        <v>0.13165474649763578</v>
      </c>
      <c r="O125" s="97"/>
      <c r="P125" s="1215"/>
      <c r="Q125" s="1215">
        <f>'qtrP&amp;L'!CB14</f>
        <v>4116.8969999999999</v>
      </c>
      <c r="R125" s="310"/>
      <c r="S125" s="1490">
        <f>+SUM(S121:S124)</f>
        <v>660.37860000000001</v>
      </c>
      <c r="T125" s="1215">
        <f>+SUM(T121:T124)</f>
        <v>116.53740000000001</v>
      </c>
      <c r="U125" s="1384">
        <v>0.16</v>
      </c>
      <c r="V125" s="1425">
        <v>776.91600000000005</v>
      </c>
      <c r="W125" s="1331">
        <f>S125/S118-1</f>
        <v>8.9481865409861694E-2</v>
      </c>
      <c r="X125" s="1394">
        <f>V125/'qtrP&amp;L'!CB14</f>
        <v>0.18871397559861228</v>
      </c>
      <c r="Y125" s="1491">
        <v>294.964</v>
      </c>
      <c r="Z125" s="1513">
        <f>Y125/V125</f>
        <v>0.37966009195331279</v>
      </c>
      <c r="AA125" s="97"/>
      <c r="AB125" s="1492">
        <v>-469.077</v>
      </c>
      <c r="AC125" s="1493">
        <v>-22.754000000000001</v>
      </c>
      <c r="AD125" s="1494">
        <f>-159.621</f>
        <v>-159.62100000000001</v>
      </c>
      <c r="AF125" s="1215">
        <f>G125+M125+Y125+AB125+AC125+AD125</f>
        <v>222.87699999999992</v>
      </c>
      <c r="AG125" s="1215">
        <f>'qtrP&amp;L'!CB104</f>
        <v>23.073999999999998</v>
      </c>
      <c r="AH125" s="1215">
        <f>AF125-AG125</f>
        <v>199.80299999999994</v>
      </c>
      <c r="AI125" s="1215">
        <f>'qtrP&amp;L'!CB84</f>
        <v>200.62199999999984</v>
      </c>
    </row>
    <row r="126" spans="1:35">
      <c r="B126" s="1303"/>
      <c r="D126" s="1495"/>
      <c r="E126" s="310"/>
      <c r="F126" s="310"/>
      <c r="G126" s="1450"/>
      <c r="H126" s="1496"/>
      <c r="I126" s="310"/>
      <c r="J126" s="1497"/>
      <c r="K126" s="97"/>
      <c r="L126" s="310"/>
      <c r="M126" s="310"/>
      <c r="N126" s="1443"/>
      <c r="O126" s="114"/>
      <c r="S126" s="1498"/>
      <c r="V126" s="2003"/>
      <c r="W126" s="1115"/>
      <c r="Z126" s="375"/>
      <c r="AA126" s="114"/>
      <c r="AB126" s="206"/>
      <c r="AD126" s="207"/>
      <c r="AF126" s="1215"/>
      <c r="AG126" s="1215"/>
      <c r="AI126" s="1215"/>
    </row>
    <row r="127" spans="1:35">
      <c r="A127" s="1120"/>
      <c r="B127" s="1172">
        <v>2014</v>
      </c>
      <c r="C127" s="114"/>
      <c r="D127" s="1497"/>
      <c r="E127" s="114"/>
      <c r="F127" s="114"/>
      <c r="G127" s="1499"/>
      <c r="H127" s="1443"/>
      <c r="I127" s="114"/>
      <c r="J127" s="1497"/>
      <c r="K127" s="114"/>
      <c r="L127" s="1151"/>
      <c r="M127" s="114"/>
      <c r="N127" s="1443"/>
      <c r="O127" s="114"/>
      <c r="S127" s="1446"/>
      <c r="T127" s="1142"/>
      <c r="U127" s="1389"/>
      <c r="V127" s="1446"/>
      <c r="W127" s="1331"/>
      <c r="X127" s="1373"/>
      <c r="Y127" s="1373"/>
      <c r="Z127" s="1511"/>
      <c r="AA127" s="114"/>
      <c r="AB127" s="206"/>
      <c r="AC127" s="1500"/>
      <c r="AD127" s="207"/>
      <c r="AF127" s="1215"/>
      <c r="AG127" s="1215"/>
      <c r="AI127" s="1215"/>
    </row>
    <row r="128" spans="1:35">
      <c r="A128" s="114" t="s">
        <v>115</v>
      </c>
      <c r="B128" s="245" t="s">
        <v>764</v>
      </c>
      <c r="C128" s="114"/>
      <c r="D128" s="1453">
        <v>252.88200000000001</v>
      </c>
      <c r="E128" s="1173">
        <f>+D128/D121-1</f>
        <v>-1.7682202040134598E-2</v>
      </c>
      <c r="F128" s="1173">
        <f>D128/Q128</f>
        <v>0.30748223552700055</v>
      </c>
      <c r="G128" s="1475">
        <v>51.47</v>
      </c>
      <c r="H128" s="1445">
        <f>G128/D128</f>
        <v>0.20353366392230368</v>
      </c>
      <c r="I128" s="114"/>
      <c r="J128" s="1453">
        <v>399.14800000000002</v>
      </c>
      <c r="K128" s="1173">
        <f>+J128/J121-1</f>
        <v>-0.11032751880101455</v>
      </c>
      <c r="L128" s="1173">
        <f>J128/Q128</f>
        <v>0.48532880689859786</v>
      </c>
      <c r="M128" s="1475">
        <v>30.459</v>
      </c>
      <c r="N128" s="1445">
        <f>M128/J128</f>
        <v>7.6310040386022224E-2</v>
      </c>
      <c r="O128" s="1360"/>
      <c r="P128" s="1089">
        <f>SUM(D128+J128)</f>
        <v>652.03</v>
      </c>
      <c r="Q128" s="1089">
        <f>'qtrP&amp;L'!CF10</f>
        <v>822.428</v>
      </c>
      <c r="R128" s="1360"/>
      <c r="S128" s="1501">
        <f>V128-T128</f>
        <v>149.95024000000001</v>
      </c>
      <c r="T128" s="1089">
        <f>V128*U128</f>
        <v>20.447759999999999</v>
      </c>
      <c r="U128" s="1384">
        <v>0.12</v>
      </c>
      <c r="V128" s="1425">
        <v>170.398</v>
      </c>
      <c r="W128" s="1331">
        <f>V128/V121-1</f>
        <v>0.28408440090429554</v>
      </c>
      <c r="X128" s="1360">
        <f>V128/'qtrP&amp;L'!CF10</f>
        <v>0.20718895757440164</v>
      </c>
      <c r="Y128" s="1475">
        <v>56.231999999999999</v>
      </c>
      <c r="Z128" s="1511">
        <f>Y128/V128</f>
        <v>0.33000387328489772</v>
      </c>
      <c r="AA128" s="114"/>
      <c r="AB128" s="1453">
        <v>-114.381</v>
      </c>
      <c r="AC128" s="1475">
        <v>-3.706</v>
      </c>
      <c r="AD128" s="1476">
        <v>-35.982999999999997</v>
      </c>
      <c r="AF128" s="1477">
        <f>G128+M128+Y128+AB128+AC128+AD128</f>
        <v>-15.908999999999995</v>
      </c>
      <c r="AG128" s="1215"/>
      <c r="AI128" s="1215"/>
    </row>
    <row r="129" spans="1:44">
      <c r="A129" s="114" t="s">
        <v>116</v>
      </c>
      <c r="B129" s="245" t="s">
        <v>765</v>
      </c>
      <c r="C129" s="114"/>
      <c r="D129" s="1451">
        <v>267.88099999999997</v>
      </c>
      <c r="E129" s="1173">
        <f>+D129/D122-1</f>
        <v>-6.5728027008269185E-2</v>
      </c>
      <c r="F129" s="1173">
        <f>D129/Q129</f>
        <v>0.30078542114629941</v>
      </c>
      <c r="G129" s="1463">
        <v>67.173000000000002</v>
      </c>
      <c r="H129" s="1445">
        <f>G129/D129</f>
        <v>0.25075686592180862</v>
      </c>
      <c r="I129" s="1360"/>
      <c r="J129" s="1451">
        <v>449.202</v>
      </c>
      <c r="K129" s="1173">
        <f>+J129/J122-1</f>
        <v>-0.10991650055283209</v>
      </c>
      <c r="L129" s="1173">
        <f>J129/Q129</f>
        <v>0.50437848428876997</v>
      </c>
      <c r="M129" s="1463">
        <v>51.116999999999997</v>
      </c>
      <c r="N129" s="1445">
        <f>M129/J129</f>
        <v>0.11379513003058757</v>
      </c>
      <c r="P129" s="1089">
        <f>SUM(D129+J129)</f>
        <v>717.08299999999997</v>
      </c>
      <c r="Q129" s="1089">
        <f>'qtrP&amp;L'!CF11</f>
        <v>890.60500000000002</v>
      </c>
      <c r="S129" s="1501">
        <f>V129-T129</f>
        <v>152.69935999999998</v>
      </c>
      <c r="T129" s="1089">
        <f>V129*U129</f>
        <v>20.82264</v>
      </c>
      <c r="U129" s="1384">
        <v>0.12</v>
      </c>
      <c r="V129" s="2007">
        <v>173.52199999999999</v>
      </c>
      <c r="W129" s="1331">
        <f>V129/V122-1</f>
        <v>0.12459736741479088</v>
      </c>
      <c r="X129" s="1360">
        <f>V129/'qtrP&amp;L'!CF11</f>
        <v>0.19483609456493056</v>
      </c>
      <c r="Y129" s="1463">
        <v>54.862000000000002</v>
      </c>
      <c r="Z129" s="1511">
        <f>Y129/V129</f>
        <v>0.31616740240430613</v>
      </c>
      <c r="AB129" s="1478">
        <v>-110.31399999999999</v>
      </c>
      <c r="AC129" s="1479">
        <v>-3.5150000000000001</v>
      </c>
      <c r="AD129" s="1480">
        <v>-37.447000000000003</v>
      </c>
      <c r="AF129" s="1477">
        <f>G129+M129+Y129+AB129+AC129+AD129</f>
        <v>21.875999999999991</v>
      </c>
      <c r="AG129" s="1215"/>
      <c r="AI129" s="1215"/>
    </row>
    <row r="130" spans="1:44">
      <c r="A130" s="114" t="s">
        <v>117</v>
      </c>
      <c r="B130" s="245" t="s">
        <v>766</v>
      </c>
      <c r="C130" s="114"/>
      <c r="D130" s="1451">
        <v>248.221</v>
      </c>
      <c r="E130" s="1173">
        <f>+D130/D123-1</f>
        <v>-0.16406173700145155</v>
      </c>
      <c r="F130" s="1173">
        <f>D130/Q130</f>
        <v>0.27233549069452839</v>
      </c>
      <c r="G130" s="1463">
        <v>58.847000000000001</v>
      </c>
      <c r="H130" s="1445">
        <f>G130/D130</f>
        <v>0.23707502588419191</v>
      </c>
      <c r="J130" s="1451">
        <v>475.71699999999998</v>
      </c>
      <c r="K130" s="1173">
        <f>+J130/J123-1</f>
        <v>-0.15320903970892941</v>
      </c>
      <c r="L130" s="1173">
        <f>J130/Q130</f>
        <v>0.52193256262253784</v>
      </c>
      <c r="M130" s="1463">
        <v>77.897000000000006</v>
      </c>
      <c r="N130" s="1445">
        <f>M130/J130</f>
        <v>0.16374651315803304</v>
      </c>
      <c r="P130" s="1089">
        <f>SUM(D130+J130)</f>
        <v>723.93799999999999</v>
      </c>
      <c r="Q130" s="1089">
        <f>'qtrP&amp;L'!CF12</f>
        <v>911.45299999999997</v>
      </c>
      <c r="S130" s="1501">
        <f>V130-T130</f>
        <v>165.01319999999998</v>
      </c>
      <c r="T130" s="1089">
        <f>V130*U130</f>
        <v>22.501799999999996</v>
      </c>
      <c r="U130" s="1384">
        <v>0.12</v>
      </c>
      <c r="V130" s="2007">
        <v>187.51499999999999</v>
      </c>
      <c r="W130" s="1331">
        <f>V130/V123-1</f>
        <v>7.4165941065945429E-2</v>
      </c>
      <c r="X130" s="1360">
        <f>V130/'qtrP&amp;L'!CF12</f>
        <v>0.20573194668293374</v>
      </c>
      <c r="Y130" s="1463">
        <v>59.543999999999997</v>
      </c>
      <c r="Z130" s="1511">
        <f>Y130/V130</f>
        <v>0.31754259659227263</v>
      </c>
      <c r="AB130" s="1478">
        <v>-103.776</v>
      </c>
      <c r="AC130" s="1479">
        <v>-2.5819999999999999</v>
      </c>
      <c r="AD130" s="1480">
        <v>-36.295999999999999</v>
      </c>
      <c r="AF130" s="1477">
        <f>G130+M130+Y130+AB130+AC130+AD130</f>
        <v>53.634000000000022</v>
      </c>
      <c r="AG130" s="1215"/>
      <c r="AI130" s="1215"/>
    </row>
    <row r="131" spans="1:44">
      <c r="A131" s="114" t="s">
        <v>118</v>
      </c>
      <c r="B131" s="245" t="s">
        <v>767</v>
      </c>
      <c r="C131" s="114"/>
      <c r="D131" s="1451">
        <v>263.96199999999999</v>
      </c>
      <c r="E131" s="1173">
        <f>+D131/D124-1</f>
        <v>-0.21835356825584851</v>
      </c>
      <c r="F131" s="1173">
        <f>D131/Q131</f>
        <v>0.23577635180037584</v>
      </c>
      <c r="G131" s="1463">
        <v>73.25</v>
      </c>
      <c r="H131" s="1445">
        <f>G131/D131</f>
        <v>0.27750206469112981</v>
      </c>
      <c r="J131" s="1451">
        <v>554.47500000000002</v>
      </c>
      <c r="K131" s="1173">
        <f>+J131/J124-1</f>
        <v>-0.14177920520063458</v>
      </c>
      <c r="L131" s="1173">
        <f>J131/Q131</f>
        <v>0.49526860936238326</v>
      </c>
      <c r="M131" s="1463">
        <v>107.886</v>
      </c>
      <c r="N131" s="1445">
        <f>M131/J131</f>
        <v>0.19457324496145001</v>
      </c>
      <c r="P131" s="1092"/>
      <c r="Q131" s="1092">
        <f>'qtrP&amp;L'!CF13</f>
        <v>1119.5440000000001</v>
      </c>
      <c r="S131" s="1501">
        <f>V131-T131</f>
        <v>264.97416000000004</v>
      </c>
      <c r="T131" s="1089">
        <f>V131*U131</f>
        <v>36.132840000000002</v>
      </c>
      <c r="U131" s="1386">
        <v>0.12</v>
      </c>
      <c r="V131" s="2004">
        <v>301.10700000000003</v>
      </c>
      <c r="W131" s="1331">
        <f>V131/V124-1</f>
        <v>-4.516871676322598E-2</v>
      </c>
      <c r="X131" s="1372">
        <f>V131/'qtrP&amp;L'!CF13</f>
        <v>0.26895503883724087</v>
      </c>
      <c r="Y131" s="1387">
        <v>99.325999999999993</v>
      </c>
      <c r="Z131" s="1512">
        <f>Y131/V131</f>
        <v>0.329869448402063</v>
      </c>
      <c r="AB131" s="1478">
        <v>-113.93</v>
      </c>
      <c r="AC131" s="1479">
        <v>-1.9590000000000001</v>
      </c>
      <c r="AD131" s="1480">
        <v>-32.481999999999999</v>
      </c>
      <c r="AF131" s="1477">
        <f>G131+M131+Y131+AB131+AC131+AD131</f>
        <v>132.09099999999998</v>
      </c>
      <c r="AG131" s="1215"/>
      <c r="AI131" s="1215"/>
      <c r="AK131" s="114"/>
      <c r="AL131" s="114"/>
      <c r="AM131" s="114"/>
      <c r="AN131" s="114"/>
      <c r="AO131" s="114"/>
      <c r="AP131" s="114"/>
      <c r="AQ131" s="114"/>
      <c r="AR131" s="114"/>
    </row>
    <row r="132" spans="1:44">
      <c r="A132" s="114"/>
      <c r="B132" s="1467" t="s">
        <v>681</v>
      </c>
      <c r="C132" s="252"/>
      <c r="D132" s="1502">
        <f>SUM(D128:D131)</f>
        <v>1032.9459999999999</v>
      </c>
      <c r="E132" s="1503">
        <f>+D132/D125-1</f>
        <v>-0.12372942607639315</v>
      </c>
      <c r="F132" s="1503">
        <f>D132/Q132</f>
        <v>0.27589148591223894</v>
      </c>
      <c r="G132" s="1504">
        <f>SUM(G128:G131)</f>
        <v>250.74</v>
      </c>
      <c r="H132" s="1964">
        <f>G132/D132</f>
        <v>0.24274260222702834</v>
      </c>
      <c r="J132" s="1502">
        <f>SUM(J128:J131)</f>
        <v>1878.5419999999999</v>
      </c>
      <c r="K132" s="1503">
        <f>+J132/J125-1</f>
        <v>-0.13078068816939614</v>
      </c>
      <c r="L132" s="1503">
        <f>J132/Q132</f>
        <v>0.50174330868075312</v>
      </c>
      <c r="M132" s="1504">
        <f>SUM(M128:M131)</f>
        <v>267.35900000000004</v>
      </c>
      <c r="N132" s="1964">
        <f>M132/J132</f>
        <v>0.14232260976863975</v>
      </c>
      <c r="P132" s="1142"/>
      <c r="Q132" s="1142">
        <f>'qtrP&amp;L'!CF14</f>
        <v>3744.0299999999997</v>
      </c>
      <c r="S132" s="1505">
        <f>+SUM(S128:S131)</f>
        <v>732.63696000000004</v>
      </c>
      <c r="T132" s="1506">
        <f>+SUM(T128:T131)</f>
        <v>99.905039999999985</v>
      </c>
      <c r="U132" s="1507">
        <v>0.12</v>
      </c>
      <c r="V132" s="1505">
        <f>SUM(V128:V131)</f>
        <v>832.54199999999992</v>
      </c>
      <c r="W132" s="1508">
        <f>qtrSales!AT157</f>
        <v>7.2195736726624604E-2</v>
      </c>
      <c r="X132" s="1509">
        <f>V132/'qtrP&amp;L'!CF14</f>
        <v>0.22236520540700794</v>
      </c>
      <c r="Y132" s="1510">
        <f>SUM(Y128:Y131)</f>
        <v>269.96399999999994</v>
      </c>
      <c r="Z132" s="1965">
        <f>Y132/V132</f>
        <v>0.32426472177980209</v>
      </c>
      <c r="AB132" s="1963">
        <f>SUM(AB128:AB131)</f>
        <v>-442.40100000000001</v>
      </c>
      <c r="AC132" s="1963">
        <f>SUM(AC128:AC131)</f>
        <v>-11.762</v>
      </c>
      <c r="AD132" s="1966">
        <f>SUM(AD128:AD131)</f>
        <v>-142.208</v>
      </c>
      <c r="AF132" s="1215">
        <f>G132+M132+Y132+AC132</f>
        <v>776.30099999999993</v>
      </c>
      <c r="AG132" s="1215">
        <f>'qtrP&amp;L'!CF104</f>
        <v>15.224</v>
      </c>
      <c r="AH132" s="1215">
        <f>AF132-AG132</f>
        <v>761.07699999999988</v>
      </c>
      <c r="AI132" s="1215">
        <f>'qtrP&amp;L'!CF84</f>
        <v>176.48900000000015</v>
      </c>
      <c r="AK132" s="114"/>
      <c r="AL132" s="1171"/>
      <c r="AM132" s="1171"/>
      <c r="AN132" s="114"/>
      <c r="AO132" s="114"/>
      <c r="AP132" s="1171"/>
      <c r="AQ132" s="1171"/>
      <c r="AR132" s="1360"/>
    </row>
    <row r="133" spans="1:44">
      <c r="B133" s="1303"/>
      <c r="D133" s="202"/>
      <c r="H133" s="1969"/>
      <c r="I133" s="310"/>
      <c r="J133" s="1497"/>
      <c r="K133" s="97"/>
      <c r="L133" s="310"/>
      <c r="M133" s="310"/>
      <c r="N133" s="1960"/>
      <c r="O133" s="114"/>
      <c r="S133" s="1498"/>
      <c r="V133" s="2003"/>
      <c r="W133" s="1115"/>
      <c r="Z133" s="375"/>
      <c r="AA133" s="114"/>
      <c r="AB133" s="206"/>
      <c r="AD133" s="377"/>
      <c r="AF133" s="1215"/>
      <c r="AG133" s="1215"/>
      <c r="AI133" s="1215"/>
      <c r="AK133" s="114"/>
      <c r="AL133" s="114"/>
      <c r="AM133" s="114"/>
      <c r="AN133" s="114"/>
      <c r="AO133" s="114"/>
      <c r="AP133" s="114"/>
      <c r="AQ133" s="114"/>
      <c r="AR133" s="114"/>
    </row>
    <row r="134" spans="1:44">
      <c r="A134" s="1120"/>
      <c r="B134" s="1172">
        <v>2015</v>
      </c>
      <c r="C134" s="114"/>
      <c r="D134" s="1991" t="s">
        <v>793</v>
      </c>
      <c r="E134" s="1838"/>
      <c r="F134" s="1838"/>
      <c r="G134" s="1838"/>
      <c r="H134" s="1992"/>
      <c r="I134" s="114"/>
      <c r="J134" s="1991" t="s">
        <v>793</v>
      </c>
      <c r="K134" s="1838"/>
      <c r="L134" s="1838"/>
      <c r="M134" s="1838"/>
      <c r="N134" s="1992"/>
      <c r="O134" s="114"/>
      <c r="S134" s="1446"/>
      <c r="T134" s="1142"/>
      <c r="U134" s="1389"/>
      <c r="V134" s="1446"/>
      <c r="W134" s="1331"/>
      <c r="X134" s="1373"/>
      <c r="Y134" s="1373"/>
      <c r="Z134" s="1511"/>
      <c r="AA134" s="114"/>
      <c r="AB134" s="206"/>
      <c r="AC134" s="1500"/>
      <c r="AD134" s="207"/>
      <c r="AF134" s="1215"/>
      <c r="AG134" s="1215"/>
      <c r="AI134" s="1215"/>
      <c r="AK134" s="114"/>
      <c r="AL134" s="114"/>
      <c r="AM134" s="114"/>
      <c r="AN134" s="114"/>
      <c r="AO134" s="114"/>
      <c r="AP134" s="114"/>
      <c r="AQ134" s="114"/>
      <c r="AR134" s="114"/>
    </row>
    <row r="135" spans="1:44">
      <c r="A135" s="114" t="s">
        <v>115</v>
      </c>
      <c r="B135" s="245" t="s">
        <v>764</v>
      </c>
      <c r="C135" s="114"/>
      <c r="D135" s="1453">
        <v>260.5</v>
      </c>
      <c r="E135" s="1173">
        <f>+D135/318-1</f>
        <v>-0.1808176100628931</v>
      </c>
      <c r="F135" s="1173">
        <f>D135/Q135</f>
        <v>0.36720034055893386</v>
      </c>
      <c r="G135" s="2008">
        <f>D135*H135</f>
        <v>39.074999999999996</v>
      </c>
      <c r="H135" s="2009">
        <v>0.15</v>
      </c>
      <c r="I135" s="114"/>
      <c r="J135" s="1453">
        <v>448.9</v>
      </c>
      <c r="K135" s="1173">
        <f>+J135/504-1</f>
        <v>-0.10932539682539688</v>
      </c>
      <c r="L135" s="1173">
        <f>J135/Q135</f>
        <v>0.63276864827986723</v>
      </c>
      <c r="M135" s="2008">
        <f>J135*N135</f>
        <v>42.645499999999998</v>
      </c>
      <c r="N135" s="2009">
        <v>9.5000000000000001E-2</v>
      </c>
      <c r="O135" s="1360"/>
      <c r="P135" s="1089"/>
      <c r="Q135" s="1089">
        <f>'qtrP&amp;L'!CJ10</f>
        <v>709.42200000000003</v>
      </c>
      <c r="R135" s="1360"/>
      <c r="S135" s="1501">
        <f>V135-T135</f>
        <v>148.48202460000002</v>
      </c>
      <c r="T135" s="1089">
        <f>V135*U135</f>
        <v>14.685035400000002</v>
      </c>
      <c r="U135" s="1384">
        <v>0.09</v>
      </c>
      <c r="V135" s="1425">
        <f>X135*'qtrP&amp;L'!CJ10</f>
        <v>163.16706000000002</v>
      </c>
      <c r="W135" s="1331">
        <f>V135/V128-1</f>
        <v>-4.2435591967041719E-2</v>
      </c>
      <c r="X135" s="1993">
        <v>0.23</v>
      </c>
      <c r="Y135" s="2008">
        <f>V135*Z135</f>
        <v>50.581788600000003</v>
      </c>
      <c r="Z135" s="2009">
        <v>0.31</v>
      </c>
      <c r="AA135" s="114"/>
      <c r="AB135" s="1453">
        <f>-'qtrP&amp;L'!CJ40</f>
        <v>-105.76860000000001</v>
      </c>
      <c r="AC135" s="1475">
        <v>-1</v>
      </c>
      <c r="AD135" s="1476">
        <v>-34</v>
      </c>
      <c r="AF135" s="1215">
        <f>G135+M135+AB135+AC135+AD135</f>
        <v>-59.048100000000019</v>
      </c>
      <c r="AG135" s="1215"/>
      <c r="AH135" s="1215">
        <f>AF135+AG135</f>
        <v>-59.048100000000019</v>
      </c>
      <c r="AI135" s="1215">
        <f>'qtrP&amp;L'!CJ80</f>
        <v>-54.308599999999956</v>
      </c>
      <c r="AK135" s="114"/>
      <c r="AL135" s="114"/>
      <c r="AM135" s="114"/>
      <c r="AN135" s="114"/>
      <c r="AO135" s="114"/>
      <c r="AP135" s="114"/>
      <c r="AQ135" s="114"/>
      <c r="AR135" s="114"/>
    </row>
    <row r="136" spans="1:44">
      <c r="A136" s="114" t="s">
        <v>116</v>
      </c>
      <c r="B136" s="245" t="s">
        <v>765</v>
      </c>
      <c r="C136" s="114"/>
      <c r="D136" s="1451">
        <v>303.2</v>
      </c>
      <c r="E136" s="1173">
        <f>+D136/345-1</f>
        <v>-0.12115942028985516</v>
      </c>
      <c r="F136" s="1173">
        <f>D136/Q136</f>
        <v>0.37077074335131749</v>
      </c>
      <c r="G136" s="2008">
        <f>D136*H136</f>
        <v>80.347999999999999</v>
      </c>
      <c r="H136" s="2009">
        <v>0.26500000000000001</v>
      </c>
      <c r="I136" s="1360"/>
      <c r="J136" s="1451">
        <v>514.5</v>
      </c>
      <c r="K136" s="1173">
        <f>+J136/546-1</f>
        <v>-5.7692307692307709E-2</v>
      </c>
      <c r="L136" s="1173">
        <f>J136/Q136</f>
        <v>0.62916077656415847</v>
      </c>
      <c r="M136" s="2008">
        <f>J136*N136</f>
        <v>69.45750000000001</v>
      </c>
      <c r="N136" s="2009">
        <v>0.13500000000000001</v>
      </c>
      <c r="P136" s="1089"/>
      <c r="Q136" s="1089">
        <f>'qtrP&amp;L'!CJ11</f>
        <v>817.75599999999997</v>
      </c>
      <c r="S136" s="1501">
        <f>V136-T136</f>
        <v>156.27317159999998</v>
      </c>
      <c r="T136" s="1089">
        <f>V136*U136</f>
        <v>15.455588399999998</v>
      </c>
      <c r="U136" s="1384">
        <v>0.09</v>
      </c>
      <c r="V136" s="2007">
        <f>X136*'qtrP&amp;L'!CJ11</f>
        <v>171.72875999999999</v>
      </c>
      <c r="W136" s="1331">
        <f>V136/V129-1</f>
        <v>-1.0334366823803287E-2</v>
      </c>
      <c r="X136" s="1993">
        <v>0.21</v>
      </c>
      <c r="Y136" s="2008">
        <f>V136*Z136</f>
        <v>51.518628</v>
      </c>
      <c r="Z136" s="2009">
        <v>0.3</v>
      </c>
      <c r="AB136" s="1453">
        <f>-'qtrP&amp;L'!CJ41</f>
        <v>-104.093</v>
      </c>
      <c r="AC136" s="1479">
        <v>-1</v>
      </c>
      <c r="AD136" s="1480">
        <v>-35</v>
      </c>
      <c r="AF136" s="1215">
        <f>G136+M136+AB136+AC136+AD136</f>
        <v>9.7124999999999915</v>
      </c>
      <c r="AG136" s="1215"/>
      <c r="AH136" s="1215">
        <f>AF136+AG136</f>
        <v>9.7124999999999915</v>
      </c>
      <c r="AI136" s="1215">
        <f>'qtrP&amp;L'!CJ81</f>
        <v>15.34899999999999</v>
      </c>
      <c r="AK136" s="114"/>
      <c r="AL136" s="1892"/>
      <c r="AM136" s="114"/>
      <c r="AN136" s="114"/>
      <c r="AO136" s="114"/>
      <c r="AP136" s="114"/>
      <c r="AQ136" s="114"/>
      <c r="AR136" s="114"/>
    </row>
    <row r="137" spans="1:44">
      <c r="A137" s="114" t="s">
        <v>117</v>
      </c>
      <c r="B137" s="245" t="s">
        <v>766</v>
      </c>
      <c r="C137" s="114"/>
      <c r="D137" s="1451">
        <v>305.8</v>
      </c>
      <c r="E137" s="1173">
        <f>+D137/317-1</f>
        <v>-3.5331230283911608E-2</v>
      </c>
      <c r="F137" s="1173">
        <f>D137/Q137</f>
        <v>0.34806481426678748</v>
      </c>
      <c r="G137" s="2008">
        <f>D137*H137</f>
        <v>84.095000000000013</v>
      </c>
      <c r="H137" s="2009">
        <v>0.27500000000000002</v>
      </c>
      <c r="J137" s="1451">
        <v>572.70000000000005</v>
      </c>
      <c r="K137" s="1173">
        <f>+J137/594-1</f>
        <v>-3.5858585858585812E-2</v>
      </c>
      <c r="L137" s="1173">
        <f>J137/Q137</f>
        <v>0.65185323456700195</v>
      </c>
      <c r="M137" s="2008">
        <f>J137*N137</f>
        <v>111.67650000000002</v>
      </c>
      <c r="N137" s="2009">
        <v>0.19500000000000001</v>
      </c>
      <c r="P137" s="1089"/>
      <c r="Q137" s="1089">
        <f>'qtrP&amp;L'!CJ12</f>
        <v>878.572</v>
      </c>
      <c r="S137" s="1501">
        <f>V137-T137</f>
        <v>167.89510919999998</v>
      </c>
      <c r="T137" s="1089">
        <f>V137*U137</f>
        <v>16.605010799999999</v>
      </c>
      <c r="U137" s="1384">
        <v>0.09</v>
      </c>
      <c r="V137" s="2007">
        <f>X137*'qtrP&amp;L'!CJ12</f>
        <v>184.50011999999998</v>
      </c>
      <c r="W137" s="1331">
        <f>V137/V130-1</f>
        <v>-1.6078073754099753E-2</v>
      </c>
      <c r="X137" s="1993">
        <v>0.21</v>
      </c>
      <c r="Y137" s="2008">
        <f>V137*Z137</f>
        <v>57.195037199999994</v>
      </c>
      <c r="Z137" s="2009">
        <v>0.31</v>
      </c>
      <c r="AB137" s="1453">
        <f>-'qtrP&amp;L'!CJ42</f>
        <v>-117.69799999999999</v>
      </c>
      <c r="AC137" s="1479">
        <v>-1</v>
      </c>
      <c r="AD137" s="1480">
        <v>-35</v>
      </c>
      <c r="AF137" s="1215">
        <f>G137+M137+AB137+AC137+AD137</f>
        <v>42.073500000000038</v>
      </c>
      <c r="AG137" s="1215"/>
      <c r="AH137" s="1215">
        <f>AF137+AG137</f>
        <v>42.073500000000038</v>
      </c>
      <c r="AI137" s="1215">
        <f>'qtrP&amp;L'!CJ82</f>
        <v>47.156999999999982</v>
      </c>
      <c r="AK137" s="114"/>
      <c r="AL137" s="114"/>
      <c r="AM137" s="114"/>
      <c r="AN137" s="114"/>
      <c r="AO137" s="114"/>
      <c r="AP137" s="114"/>
      <c r="AQ137" s="114"/>
      <c r="AR137" s="114"/>
    </row>
    <row r="138" spans="1:44">
      <c r="A138" s="114" t="s">
        <v>118</v>
      </c>
      <c r="B138" s="245" t="s">
        <v>767</v>
      </c>
      <c r="C138" s="114"/>
      <c r="D138" s="1451">
        <v>367</v>
      </c>
      <c r="E138" s="1173">
        <f>+D138/357-1</f>
        <v>2.8011204481792618E-2</v>
      </c>
      <c r="F138" s="1173">
        <f>D138/Q138</f>
        <v>0.32976018258111467</v>
      </c>
      <c r="G138" s="2008">
        <f>D138*H138</f>
        <v>102.76</v>
      </c>
      <c r="H138" s="2009">
        <v>0.28000000000000003</v>
      </c>
      <c r="J138" s="1451">
        <v>745.9</v>
      </c>
      <c r="K138" s="1173">
        <f>+J138/793-1</f>
        <v>-5.9394703656998726E-2</v>
      </c>
      <c r="L138" s="1173">
        <f>J138/Q138</f>
        <v>0.67021286154564974</v>
      </c>
      <c r="M138" s="2008">
        <f>J138*N138</f>
        <v>164.09799999999998</v>
      </c>
      <c r="N138" s="2009">
        <v>0.22</v>
      </c>
      <c r="P138" s="1092"/>
      <c r="Q138" s="1089">
        <f>'qtrP&amp;L'!CJ13</f>
        <v>1112.93</v>
      </c>
      <c r="S138" s="1501">
        <f>V138-T138</f>
        <v>283.57456400000007</v>
      </c>
      <c r="T138" s="1089">
        <f>V138*U138</f>
        <v>28.045836000000005</v>
      </c>
      <c r="U138" s="1386">
        <v>0.09</v>
      </c>
      <c r="V138" s="2007">
        <f>X138*'qtrP&amp;L'!CJ13</f>
        <v>311.62040000000007</v>
      </c>
      <c r="W138" s="1330">
        <f>V138/V131-1</f>
        <v>3.4915827264062393E-2</v>
      </c>
      <c r="X138" s="1993">
        <v>0.28000000000000003</v>
      </c>
      <c r="Y138" s="2008">
        <f>V138*Z138</f>
        <v>99.71852800000002</v>
      </c>
      <c r="Z138" s="2009">
        <v>0.32</v>
      </c>
      <c r="AB138" s="1453">
        <f>-'qtrP&amp;L'!CJ43</f>
        <v>-125.244</v>
      </c>
      <c r="AC138" s="1479">
        <v>-1</v>
      </c>
      <c r="AD138" s="1480">
        <v>-33</v>
      </c>
      <c r="AF138" s="1215">
        <f>G138+M138+AB138+AC138+AD138</f>
        <v>107.614</v>
      </c>
      <c r="AG138" s="1215"/>
      <c r="AH138" s="1215">
        <f>AF138+AG138</f>
        <v>107.614</v>
      </c>
      <c r="AI138" s="1215">
        <f>'qtrP&amp;L'!CJ83</f>
        <v>119.6400000000001</v>
      </c>
      <c r="AK138" s="114"/>
      <c r="AL138" s="114"/>
      <c r="AM138" s="114"/>
      <c r="AN138" s="114"/>
      <c r="AO138" s="114"/>
      <c r="AP138" s="114"/>
      <c r="AQ138" s="114"/>
      <c r="AR138" s="114"/>
    </row>
    <row r="139" spans="1:44">
      <c r="A139" s="114"/>
      <c r="B139" s="1467" t="s">
        <v>681</v>
      </c>
      <c r="C139" s="252"/>
      <c r="D139" s="1502">
        <f>SUM(D135:D138)</f>
        <v>1236.5</v>
      </c>
      <c r="E139" s="1503">
        <f>+D139/1336-1</f>
        <v>-7.44760479041916E-2</v>
      </c>
      <c r="F139" s="1503">
        <f>D139/Q139</f>
        <v>0.35141018791137585</v>
      </c>
      <c r="G139" s="1504">
        <f>SUM(G135:G138)</f>
        <v>306.27800000000002</v>
      </c>
      <c r="H139" s="1964">
        <f>G139/D139</f>
        <v>0.24769753336029116</v>
      </c>
      <c r="J139" s="1502">
        <f>SUM(J135:J138)</f>
        <v>2282</v>
      </c>
      <c r="K139" s="1503">
        <f>+J139/2408-1</f>
        <v>-5.2325581395348819E-2</v>
      </c>
      <c r="L139" s="1503">
        <f>J139/Q139</f>
        <v>0.64853865654165765</v>
      </c>
      <c r="M139" s="1504">
        <f>SUM(M135:M138)</f>
        <v>387.87750000000005</v>
      </c>
      <c r="N139" s="1964">
        <f>M139/J139</f>
        <v>0.16997261174408415</v>
      </c>
      <c r="P139" s="1142"/>
      <c r="Q139" s="1142">
        <f>SUM(Q135:Q138)</f>
        <v>3518.6800000000003</v>
      </c>
      <c r="S139" s="1505">
        <f>+SUM(S135:S138)</f>
        <v>756.22486939999999</v>
      </c>
      <c r="T139" s="1506">
        <f>+SUM(T135:T138)</f>
        <v>74.791470600000011</v>
      </c>
      <c r="U139" s="1507">
        <v>0.12</v>
      </c>
      <c r="V139" s="1505">
        <f>SUM(V135:V138)</f>
        <v>831.01634000000013</v>
      </c>
      <c r="W139" s="1508">
        <f>qtrSales!AT164</f>
        <v>-1.8325321725507493E-3</v>
      </c>
      <c r="X139" s="1961">
        <f>V139/'qtrP&amp;L'!CJ14</f>
        <v>0.2361727522821058</v>
      </c>
      <c r="Y139" s="1510">
        <f>SUM(Y135:Y138)</f>
        <v>259.01398180000001</v>
      </c>
      <c r="Z139" s="1965">
        <f>Y139/V139</f>
        <v>0.31168338013666491</v>
      </c>
      <c r="AB139" s="1963">
        <f>-'qtrP&amp;L'!CJ44</f>
        <v>-452.80359999999996</v>
      </c>
      <c r="AC139" s="1963">
        <f>SUM(AC135:AC138)</f>
        <v>-4</v>
      </c>
      <c r="AD139" s="1966">
        <f>SUM(AD135:AD138)</f>
        <v>-137</v>
      </c>
      <c r="AF139" s="1215">
        <f>SUM(AF135:AF138)</f>
        <v>100.35190000000001</v>
      </c>
      <c r="AG139" s="1215">
        <f>'qtrP&amp;L'!CJ104</f>
        <v>8.652000000000001</v>
      </c>
      <c r="AH139" s="1215">
        <f>AF139+AG139</f>
        <v>109.00390000000002</v>
      </c>
      <c r="AI139" s="1215">
        <f>'qtrP&amp;L'!CJ84</f>
        <v>127.83740000000012</v>
      </c>
      <c r="AK139" s="114"/>
      <c r="AL139" s="1360"/>
      <c r="AM139" s="114"/>
      <c r="AN139" s="1151"/>
      <c r="AO139" s="114"/>
      <c r="AP139" s="1536"/>
      <c r="AQ139" s="114"/>
      <c r="AR139" s="114"/>
    </row>
    <row r="140" spans="1:44">
      <c r="J140" s="1053"/>
      <c r="V140" s="1059"/>
      <c r="AK140" s="114"/>
      <c r="AL140" s="1770"/>
      <c r="AM140" s="114"/>
      <c r="AN140" s="114"/>
      <c r="AO140" s="114"/>
      <c r="AP140" s="114"/>
      <c r="AQ140" s="114"/>
      <c r="AR140" s="114"/>
    </row>
    <row r="141" spans="1:44">
      <c r="A141" s="1120"/>
      <c r="B141" s="1172">
        <v>2016</v>
      </c>
      <c r="C141" s="114"/>
      <c r="D141" s="1991" t="s">
        <v>793</v>
      </c>
      <c r="E141" s="1838"/>
      <c r="F141" s="1838"/>
      <c r="G141" s="1838"/>
      <c r="H141" s="1992"/>
      <c r="I141" s="114"/>
      <c r="J141" s="1991" t="s">
        <v>793</v>
      </c>
      <c r="K141" s="1838"/>
      <c r="L141" s="1838"/>
      <c r="M141" s="1838"/>
      <c r="N141" s="1992"/>
      <c r="O141" s="114"/>
      <c r="S141" s="1446"/>
      <c r="T141" s="1142"/>
      <c r="U141" s="1389"/>
      <c r="V141" s="1490"/>
      <c r="W141" s="365"/>
      <c r="X141" s="365"/>
      <c r="Y141" s="365"/>
      <c r="Z141" s="1513"/>
      <c r="AA141" s="114"/>
      <c r="AB141" s="202"/>
      <c r="AC141" s="365"/>
      <c r="AD141" s="204"/>
      <c r="AF141" s="1215"/>
      <c r="AG141" s="1215"/>
      <c r="AI141" s="1215"/>
      <c r="AK141" s="114"/>
      <c r="AL141" s="114"/>
      <c r="AM141" s="114"/>
      <c r="AN141" s="114"/>
      <c r="AO141" s="114"/>
      <c r="AP141" s="1171"/>
      <c r="AQ141" s="114"/>
      <c r="AR141" s="114"/>
    </row>
    <row r="142" spans="1:44">
      <c r="A142" s="114" t="s">
        <v>115</v>
      </c>
      <c r="B142" s="245" t="s">
        <v>764</v>
      </c>
      <c r="C142" s="114"/>
      <c r="D142" s="1453">
        <v>260.10000000000002</v>
      </c>
      <c r="E142" s="1173">
        <f>+D142/D135-1</f>
        <v>-1.5355086372359494E-3</v>
      </c>
      <c r="F142" s="1173">
        <f>D142/Q142</f>
        <v>0.37944048211261261</v>
      </c>
      <c r="G142" s="2008">
        <f>D142*H142</f>
        <v>44.217000000000006</v>
      </c>
      <c r="H142" s="2009">
        <v>0.17</v>
      </c>
      <c r="I142" s="114"/>
      <c r="J142" s="1453">
        <v>425.5</v>
      </c>
      <c r="K142" s="1173">
        <f>J142/J135-1</f>
        <v>-5.2127422588549743E-2</v>
      </c>
      <c r="L142" s="1173">
        <f>J142/Q142</f>
        <v>0.62073020045719596</v>
      </c>
      <c r="M142" s="2008">
        <f>J142*N142</f>
        <v>44.677499999999995</v>
      </c>
      <c r="N142" s="2009">
        <v>0.105</v>
      </c>
      <c r="O142" s="1360"/>
      <c r="P142" s="1089">
        <f>SUM(D142+J142)</f>
        <v>685.6</v>
      </c>
      <c r="Q142" s="1089">
        <f>'qtrP&amp;L'!CN10</f>
        <v>685.48299999999995</v>
      </c>
      <c r="R142" s="1360"/>
      <c r="S142" s="1501"/>
      <c r="T142" s="1089"/>
      <c r="U142" s="1384"/>
      <c r="V142" s="1425">
        <f>X142*'qtrP&amp;L'!CN10</f>
        <v>164.51591999999999</v>
      </c>
      <c r="W142" s="1331">
        <f>V142/V135-1</f>
        <v>8.2667420740434316E-3</v>
      </c>
      <c r="X142" s="1993">
        <v>0.24</v>
      </c>
      <c r="Y142" s="2008">
        <f>V142*Z142</f>
        <v>47.709616799999992</v>
      </c>
      <c r="Z142" s="2009">
        <v>0.28999999999999998</v>
      </c>
      <c r="AA142" s="114"/>
      <c r="AB142" s="1453">
        <f>-'qtrP&amp;L'!CN40</f>
        <v>-114.447</v>
      </c>
      <c r="AC142" s="1475">
        <f>AC135</f>
        <v>-1</v>
      </c>
      <c r="AD142" s="1476">
        <f>AD135</f>
        <v>-34</v>
      </c>
      <c r="AF142" s="1215">
        <f>G142+M142+AB142+AC142+AD142</f>
        <v>-60.552500000000009</v>
      </c>
      <c r="AG142" s="1215"/>
      <c r="AH142" s="1215">
        <f>AF142+AG142</f>
        <v>-60.552500000000009</v>
      </c>
      <c r="AI142" s="1215">
        <f>'qtrP&amp;L'!CN80</f>
        <v>-57.844000000000051</v>
      </c>
      <c r="AK142" s="114"/>
      <c r="AL142" s="114"/>
      <c r="AM142" s="114"/>
      <c r="AN142" s="114"/>
      <c r="AO142" s="114"/>
      <c r="AP142" s="1536"/>
      <c r="AQ142" s="1360"/>
      <c r="AR142" s="114"/>
    </row>
    <row r="143" spans="1:44">
      <c r="A143" s="114" t="s">
        <v>116</v>
      </c>
      <c r="B143" s="245" t="s">
        <v>765</v>
      </c>
      <c r="C143" s="114"/>
      <c r="D143" s="1451">
        <v>304.39999999999998</v>
      </c>
      <c r="E143" s="1173">
        <f>+D143/D136-1</f>
        <v>3.9577836411608391E-3</v>
      </c>
      <c r="F143" s="1173">
        <f>D143/Q143</f>
        <v>0.38868175085550843</v>
      </c>
      <c r="G143" s="2008">
        <f>D143*H143</f>
        <v>74.577999999999989</v>
      </c>
      <c r="H143" s="2009">
        <v>0.245</v>
      </c>
      <c r="I143" s="1360"/>
      <c r="J143" s="1451">
        <v>478.8</v>
      </c>
      <c r="K143" s="1173">
        <f>J143/J136-1</f>
        <v>-6.938775510204076E-2</v>
      </c>
      <c r="L143" s="1173">
        <f>J143/Q143</f>
        <v>0.6113693242760101</v>
      </c>
      <c r="M143" s="2008">
        <f>J143*N143</f>
        <v>57.455999999999996</v>
      </c>
      <c r="N143" s="2009">
        <v>0.12</v>
      </c>
      <c r="P143" s="1089">
        <f>SUM(D143+J143)</f>
        <v>783.2</v>
      </c>
      <c r="Q143" s="1089">
        <f>'qtrP&amp;L'!CN11</f>
        <v>783.16</v>
      </c>
      <c r="S143" s="1501"/>
      <c r="T143" s="1089"/>
      <c r="U143" s="1384"/>
      <c r="V143" s="1425">
        <f>X143*'qtrP&amp;L'!CN11</f>
        <v>180.1268</v>
      </c>
      <c r="W143" s="1331">
        <f>V143/V136-1</f>
        <v>4.8902932741143657E-2</v>
      </c>
      <c r="X143" s="1993">
        <v>0.23</v>
      </c>
      <c r="Y143" s="2008">
        <f>V143*Z143</f>
        <v>49.534870000000005</v>
      </c>
      <c r="Z143" s="2009">
        <v>0.27500000000000002</v>
      </c>
      <c r="AB143" s="1453">
        <f>-'qtrP&amp;L'!CN41</f>
        <v>-111.71899999999999</v>
      </c>
      <c r="AC143" s="1475">
        <f t="shared" ref="AC143:AD146" si="7">AC136</f>
        <v>-1</v>
      </c>
      <c r="AD143" s="1476">
        <f t="shared" si="7"/>
        <v>-35</v>
      </c>
      <c r="AF143" s="1215">
        <f>G143+M143+AB143+AC143+AD143</f>
        <v>-15.685000000000002</v>
      </c>
      <c r="AG143" s="1215"/>
      <c r="AH143" s="1215">
        <f>AF143+AG143</f>
        <v>-15.685000000000002</v>
      </c>
      <c r="AI143" s="1215">
        <f>'qtrP&amp;L'!CN81</f>
        <v>-17.528999999999996</v>
      </c>
      <c r="AK143" s="114"/>
      <c r="AL143" s="114"/>
      <c r="AM143" s="114"/>
      <c r="AN143" s="114"/>
      <c r="AO143" s="114"/>
      <c r="AP143" s="114"/>
      <c r="AQ143" s="114"/>
      <c r="AR143" s="114"/>
    </row>
    <row r="144" spans="1:44">
      <c r="A144" s="114" t="s">
        <v>117</v>
      </c>
      <c r="B144" s="245" t="s">
        <v>766</v>
      </c>
      <c r="C144" s="114"/>
      <c r="D144" s="1451">
        <v>290.3</v>
      </c>
      <c r="E144" s="1173">
        <f>+D144/D137-1</f>
        <v>-5.068672334859381E-2</v>
      </c>
      <c r="F144" s="1173">
        <f>D144/Q144</f>
        <v>0.35327733792200394</v>
      </c>
      <c r="G144" s="2008">
        <f>D144*H144</f>
        <v>69.671999999999997</v>
      </c>
      <c r="H144" s="2009">
        <v>0.24</v>
      </c>
      <c r="J144" s="1451">
        <v>531.4</v>
      </c>
      <c r="K144" s="1173">
        <f>J144/J137-1</f>
        <v>-7.2114545137070163E-2</v>
      </c>
      <c r="L144" s="1173">
        <f>J144/Q144</f>
        <v>0.64668128615829445</v>
      </c>
      <c r="M144" s="2008">
        <f>J144*N144</f>
        <v>92.99499999999999</v>
      </c>
      <c r="N144" s="2009">
        <v>0.17499999999999999</v>
      </c>
      <c r="P144" s="1089">
        <f>SUM(D144+J144)</f>
        <v>821.7</v>
      </c>
      <c r="Q144" s="1089">
        <f>'qtrP&amp;L'!CN12</f>
        <v>821.73400000000004</v>
      </c>
      <c r="S144" s="1501"/>
      <c r="T144" s="1089"/>
      <c r="U144" s="1384"/>
      <c r="V144" s="1425">
        <f>X144*'qtrP&amp;L'!CN12</f>
        <v>188.99882000000002</v>
      </c>
      <c r="W144" s="1331">
        <f>V144/V137-1</f>
        <v>2.4383181972998491E-2</v>
      </c>
      <c r="X144" s="1993">
        <v>0.23</v>
      </c>
      <c r="Y144" s="2008">
        <f>V144*Z144</f>
        <v>52.919669600000013</v>
      </c>
      <c r="Z144" s="2009">
        <v>0.28000000000000003</v>
      </c>
      <c r="AB144" s="1453">
        <f>-'qtrP&amp;L'!CN42</f>
        <v>-111.307</v>
      </c>
      <c r="AC144" s="1475">
        <f t="shared" si="7"/>
        <v>-1</v>
      </c>
      <c r="AD144" s="1476">
        <f t="shared" si="7"/>
        <v>-35</v>
      </c>
      <c r="AF144" s="1215">
        <f>G144+M144+AB144+AC144+AD144</f>
        <v>15.359999999999971</v>
      </c>
      <c r="AG144" s="1215"/>
      <c r="AH144" s="1215">
        <f>AF144+AG144</f>
        <v>15.359999999999971</v>
      </c>
      <c r="AI144" s="1215">
        <f>'qtrP&amp;L'!CN82</f>
        <v>12.823000000000036</v>
      </c>
      <c r="AK144" s="114"/>
      <c r="AL144" s="114"/>
      <c r="AM144" s="114"/>
      <c r="AN144" s="114"/>
      <c r="AO144" s="114"/>
      <c r="AP144" s="114"/>
      <c r="AQ144" s="114"/>
      <c r="AR144" s="114"/>
    </row>
    <row r="145" spans="1:44">
      <c r="A145" s="114" t="s">
        <v>118</v>
      </c>
      <c r="B145" s="245" t="s">
        <v>767</v>
      </c>
      <c r="C145" s="114"/>
      <c r="D145" s="1451">
        <v>348.2</v>
      </c>
      <c r="E145" s="1173">
        <f>+D145/D138-1</f>
        <v>-5.1226158038147118E-2</v>
      </c>
      <c r="F145" s="1173">
        <f>D145/Q145</f>
        <v>0.33598266244549446</v>
      </c>
      <c r="G145" s="2008">
        <f>D145*H145</f>
        <v>85.308999999999997</v>
      </c>
      <c r="H145" s="2009">
        <v>0.245</v>
      </c>
      <c r="J145" s="1451">
        <v>688.2</v>
      </c>
      <c r="K145" s="1173">
        <f>J145/J138-1</f>
        <v>-7.7356213969700938E-2</v>
      </c>
      <c r="L145" s="1173">
        <f>J145/Q145</f>
        <v>0.66405303933081361</v>
      </c>
      <c r="M145" s="2008">
        <f>J145*N145</f>
        <v>123.876</v>
      </c>
      <c r="N145" s="2009">
        <v>0.18</v>
      </c>
      <c r="P145" s="1089">
        <f>SUM(D145+J145)</f>
        <v>1036.4000000000001</v>
      </c>
      <c r="Q145" s="1089">
        <f>'qtrP&amp;L'!CN13</f>
        <v>1036.3630000000001</v>
      </c>
      <c r="S145" s="1501"/>
      <c r="T145" s="1089"/>
      <c r="U145" s="1386"/>
      <c r="V145" s="1425">
        <f>X145*'qtrP&amp;L'!CN13</f>
        <v>321.27253000000002</v>
      </c>
      <c r="W145" s="1331">
        <f>V145/V138-1</f>
        <v>3.0973999134844554E-2</v>
      </c>
      <c r="X145" s="1869">
        <v>0.31</v>
      </c>
      <c r="Y145" s="2008">
        <f>V145*Z145</f>
        <v>93.1690337</v>
      </c>
      <c r="Z145" s="2009">
        <v>0.28999999999999998</v>
      </c>
      <c r="AB145" s="1453">
        <f>-'qtrP&amp;L'!CN43</f>
        <v>-121.729</v>
      </c>
      <c r="AC145" s="1475">
        <f t="shared" si="7"/>
        <v>-1</v>
      </c>
      <c r="AD145" s="1476">
        <f t="shared" si="7"/>
        <v>-33</v>
      </c>
      <c r="AF145" s="1215">
        <f>G145+M145+AB145+AC145+AD145</f>
        <v>53.456000000000003</v>
      </c>
      <c r="AG145" s="1215"/>
      <c r="AH145" s="1215"/>
      <c r="AI145" s="1215">
        <f>'qtrP&amp;L'!CN83</f>
        <v>51.881999999999948</v>
      </c>
      <c r="AK145" s="114"/>
      <c r="AL145" s="114"/>
      <c r="AM145" s="114"/>
      <c r="AN145" s="114"/>
      <c r="AO145" s="114"/>
      <c r="AP145" s="114"/>
      <c r="AQ145" s="114"/>
      <c r="AR145" s="114"/>
    </row>
    <row r="146" spans="1:44">
      <c r="A146" s="114"/>
      <c r="B146" s="1467" t="s">
        <v>681</v>
      </c>
      <c r="C146" s="252"/>
      <c r="D146" s="1502">
        <f>SUM(D142:D145)</f>
        <v>1203</v>
      </c>
      <c r="E146" s="1503">
        <f>+D146/D139-1</f>
        <v>-2.7092600080873441E-2</v>
      </c>
      <c r="F146" s="1503">
        <f>D146/Q146</f>
        <v>0.36161527501397767</v>
      </c>
      <c r="G146" s="1504">
        <f>SUM(G142:G145)</f>
        <v>273.77599999999995</v>
      </c>
      <c r="H146" s="1964">
        <f>G146/D146</f>
        <v>0.22757772236076471</v>
      </c>
      <c r="J146" s="1502">
        <f>SUM(J142:J145)</f>
        <v>2123.8999999999996</v>
      </c>
      <c r="K146" s="1503">
        <f>+J146/J139-1</f>
        <v>-6.928133216476795E-2</v>
      </c>
      <c r="L146" s="1503">
        <f>J146/Q146</f>
        <v>0.63843282011819369</v>
      </c>
      <c r="M146" s="1504">
        <f>SUM(M142:M145)</f>
        <v>319.00450000000001</v>
      </c>
      <c r="N146" s="1964">
        <f>M146/J146</f>
        <v>0.15019751400725084</v>
      </c>
      <c r="P146" s="1089">
        <f>SUM(D146+J146)</f>
        <v>3326.8999999999996</v>
      </c>
      <c r="Q146" s="1089">
        <f>'qtrP&amp;L'!CN14</f>
        <v>3326.74</v>
      </c>
      <c r="S146" s="1505"/>
      <c r="T146" s="1506"/>
      <c r="U146" s="1507"/>
      <c r="V146" s="1505">
        <f>SUM(V142:V145)</f>
        <v>854.91407000000004</v>
      </c>
      <c r="W146" s="1508">
        <f>qtrSales!AT171</f>
        <v>2.8757232378848085E-2</v>
      </c>
      <c r="X146" s="1961">
        <f>V146/'qtrP&amp;L'!CN14</f>
        <v>0.25698253244918451</v>
      </c>
      <c r="Y146" s="1510">
        <f>SUM(Y142:Y145)</f>
        <v>243.33319010000002</v>
      </c>
      <c r="Z146" s="1965">
        <f>Y146/V146</f>
        <v>0.28462882836868036</v>
      </c>
      <c r="AB146" s="1963">
        <f>-'qtrP&amp;L'!CN44</f>
        <v>-459.202</v>
      </c>
      <c r="AC146" s="1963">
        <f t="shared" si="7"/>
        <v>-4</v>
      </c>
      <c r="AD146" s="1966">
        <f t="shared" si="7"/>
        <v>-137</v>
      </c>
      <c r="AF146" s="1215">
        <f>G146+M146+AB146+AC146+AD146</f>
        <v>-7.4215000000000373</v>
      </c>
      <c r="AG146" s="1215"/>
      <c r="AH146" s="1215"/>
      <c r="AI146" s="1215">
        <f>'qtrP&amp;L'!CN84</f>
        <v>-10.668000000000063</v>
      </c>
      <c r="AK146" s="114"/>
      <c r="AL146" s="114"/>
      <c r="AM146" s="114"/>
      <c r="AN146" s="114"/>
      <c r="AO146" s="114"/>
      <c r="AP146" s="114"/>
      <c r="AQ146" s="114"/>
      <c r="AR146" s="114"/>
    </row>
    <row r="147" spans="1:44" s="114" customFormat="1">
      <c r="B147" s="1303"/>
      <c r="D147"/>
      <c r="E147" s="1394"/>
      <c r="F147" s="1394"/>
      <c r="G147"/>
      <c r="H147" s="1394"/>
      <c r="J147" s="765"/>
      <c r="K147" s="1394"/>
      <c r="L147" s="1394"/>
      <c r="M147"/>
      <c r="N147" s="1394"/>
      <c r="P147" s="1142"/>
      <c r="Q147" s="1142"/>
      <c r="S147" s="1215"/>
      <c r="T147" s="1215"/>
      <c r="U147" s="1384"/>
      <c r="V147" s="1215"/>
      <c r="W147" s="1331"/>
      <c r="X147" s="1173"/>
      <c r="Y147"/>
      <c r="Z147"/>
      <c r="AB147" s="1477"/>
      <c r="AC147" s="1477"/>
      <c r="AD147" s="1477"/>
      <c r="AF147" s="1215"/>
      <c r="AG147" s="1215"/>
      <c r="AH147" s="1215"/>
      <c r="AI147" s="1215"/>
    </row>
    <row r="148" spans="1:44">
      <c r="A148" s="1120"/>
      <c r="B148" s="1172">
        <v>2017</v>
      </c>
      <c r="C148" s="114"/>
      <c r="D148" s="1991" t="s">
        <v>793</v>
      </c>
      <c r="E148" s="1838"/>
      <c r="F148" s="1838"/>
      <c r="G148" s="1838"/>
      <c r="H148" s="1992"/>
      <c r="I148" s="114"/>
      <c r="J148" s="1991" t="s">
        <v>793</v>
      </c>
      <c r="K148" s="1838"/>
      <c r="L148" s="1838"/>
      <c r="M148" s="1838"/>
      <c r="N148" s="1992"/>
      <c r="O148" s="114"/>
      <c r="S148" s="1446"/>
      <c r="T148" s="1142"/>
      <c r="U148" s="1389"/>
      <c r="V148" s="1490"/>
      <c r="W148" s="365"/>
      <c r="X148" s="365"/>
      <c r="Y148" s="365"/>
      <c r="Z148" s="1513"/>
      <c r="AA148" s="114"/>
      <c r="AB148" s="202"/>
      <c r="AC148" s="365"/>
      <c r="AD148" s="204"/>
      <c r="AF148" s="1215"/>
      <c r="AG148" s="1215"/>
      <c r="AI148" s="1215"/>
      <c r="AK148" s="114"/>
      <c r="AL148" s="114"/>
      <c r="AM148" s="114"/>
      <c r="AN148" s="114"/>
      <c r="AO148" s="114"/>
      <c r="AP148" s="1171"/>
      <c r="AQ148" s="114"/>
      <c r="AR148" s="114"/>
    </row>
    <row r="149" spans="1:44">
      <c r="A149" s="114" t="s">
        <v>115</v>
      </c>
      <c r="B149" s="245" t="s">
        <v>764</v>
      </c>
      <c r="C149" s="114"/>
      <c r="D149" s="1453">
        <v>252</v>
      </c>
      <c r="E149" s="1173">
        <f>+D149/D142-1</f>
        <v>-3.114186851211076E-2</v>
      </c>
      <c r="F149" s="1173">
        <f>D149/Q149</f>
        <v>0.38118345361284767</v>
      </c>
      <c r="G149" s="2008">
        <f>D149*H149</f>
        <v>37.799999999999997</v>
      </c>
      <c r="H149" s="2009">
        <v>0.15</v>
      </c>
      <c r="I149" s="114"/>
      <c r="J149" s="1453">
        <v>409.1</v>
      </c>
      <c r="K149" s="1173">
        <f>J149/J142-1</f>
        <v>-3.8542890716803724E-2</v>
      </c>
      <c r="L149" s="1173">
        <f>J149/Q149</f>
        <v>0.61881805901990472</v>
      </c>
      <c r="M149" s="2008">
        <f>J149*N149</f>
        <v>34.773500000000006</v>
      </c>
      <c r="N149" s="2009">
        <v>8.5000000000000006E-2</v>
      </c>
      <c r="O149" s="1360"/>
      <c r="P149" s="1089">
        <f>SUM(D149+J149)</f>
        <v>661.1</v>
      </c>
      <c r="Q149" s="1089">
        <f>'qtrP&amp;L'!CR10</f>
        <v>661.09900000000005</v>
      </c>
      <c r="R149" s="1360"/>
      <c r="S149" s="1501"/>
      <c r="T149" s="1089"/>
      <c r="U149" s="1384"/>
      <c r="V149" s="1425">
        <f>X149*'qtrP&amp;L'!CR10</f>
        <v>178.49673000000001</v>
      </c>
      <c r="W149" s="1331">
        <f>V149/V142-1</f>
        <v>8.4981502094144012E-2</v>
      </c>
      <c r="X149" s="1993">
        <v>0.27</v>
      </c>
      <c r="Y149" s="2008">
        <f>V149*Z149</f>
        <v>52.656535349999999</v>
      </c>
      <c r="Z149" s="2009">
        <v>0.29499999999999998</v>
      </c>
      <c r="AA149" s="114"/>
      <c r="AB149" s="1453">
        <f>-'qtrP&amp;L'!CR40</f>
        <v>-109.893</v>
      </c>
      <c r="AC149" s="1475">
        <f>AC142</f>
        <v>-1</v>
      </c>
      <c r="AD149" s="1476">
        <f>AD142</f>
        <v>-34</v>
      </c>
      <c r="AF149" s="1215">
        <f>G149+M149+AB149+AC149+AD149</f>
        <v>-72.319500000000005</v>
      </c>
      <c r="AG149" s="1215"/>
      <c r="AH149" s="1215">
        <f>AF149+AG149</f>
        <v>-72.319500000000005</v>
      </c>
      <c r="AI149" s="1215">
        <f>'qtrP&amp;L'!CR80</f>
        <v>-70.896999999999935</v>
      </c>
      <c r="AK149" s="114"/>
      <c r="AL149" s="114"/>
      <c r="AM149" s="114"/>
      <c r="AN149" s="114"/>
      <c r="AO149" s="114"/>
      <c r="AP149" s="1536"/>
      <c r="AQ149" s="1360"/>
      <c r="AR149" s="114"/>
    </row>
    <row r="150" spans="1:44">
      <c r="A150" s="114" t="s">
        <v>116</v>
      </c>
      <c r="B150" s="245" t="s">
        <v>765</v>
      </c>
      <c r="C150" s="114"/>
      <c r="D150" s="1451">
        <v>309</v>
      </c>
      <c r="E150" s="1173">
        <f>+D150/D143-1</f>
        <v>1.5111695137976389E-2</v>
      </c>
      <c r="F150" s="1173">
        <f>D150/Q150</f>
        <v>0.39649900361981777</v>
      </c>
      <c r="G150" s="2008">
        <f>D150*H150</f>
        <v>74.16</v>
      </c>
      <c r="H150" s="2009">
        <v>0.24</v>
      </c>
      <c r="I150" s="1360"/>
      <c r="J150" s="1451">
        <v>470.3</v>
      </c>
      <c r="K150" s="1173">
        <f>J150/J143-1</f>
        <v>-1.7752715121136187E-2</v>
      </c>
      <c r="L150" s="1173">
        <f>J150/Q150</f>
        <v>0.60347404984595565</v>
      </c>
      <c r="M150" s="2008">
        <f>J150*N150</f>
        <v>54.084500000000006</v>
      </c>
      <c r="N150" s="2009">
        <v>0.115</v>
      </c>
      <c r="P150" s="1089">
        <f>SUM(D150+J150)</f>
        <v>779.3</v>
      </c>
      <c r="Q150" s="1089">
        <f>'qtrP&amp;L'!CR11</f>
        <v>779.32100000000003</v>
      </c>
      <c r="S150" s="1501"/>
      <c r="T150" s="1089"/>
      <c r="U150" s="1384"/>
      <c r="V150" s="1425">
        <f>X150*'qtrP&amp;L'!CR11</f>
        <v>187.03703999999999</v>
      </c>
      <c r="W150" s="1331">
        <f>V150/V143-1</f>
        <v>3.8363197480885569E-2</v>
      </c>
      <c r="X150" s="1993">
        <v>0.24</v>
      </c>
      <c r="Y150" s="2008">
        <f>V150*Z150</f>
        <v>49.564815600000003</v>
      </c>
      <c r="Z150" s="2009">
        <v>0.26500000000000001</v>
      </c>
      <c r="AB150" s="1453">
        <f>-'qtrP&amp;L'!CR41</f>
        <v>-109.35299999999999</v>
      </c>
      <c r="AC150" s="1475">
        <f t="shared" ref="AC150:AD153" si="8">AC143</f>
        <v>-1</v>
      </c>
      <c r="AD150" s="1476">
        <f t="shared" si="8"/>
        <v>-35</v>
      </c>
      <c r="AF150" s="1215">
        <f>G150+M150+AB150+AC150+AD150</f>
        <v>-17.108499999999978</v>
      </c>
      <c r="AG150" s="1215"/>
      <c r="AH150" s="1215">
        <f>AF150+AG150</f>
        <v>-17.108499999999978</v>
      </c>
      <c r="AI150" s="1215">
        <f>'qtrP&amp;L'!CR81</f>
        <v>-17.752999999999986</v>
      </c>
      <c r="AK150" s="114"/>
      <c r="AL150" s="114"/>
      <c r="AM150" s="114"/>
      <c r="AN150" s="114"/>
      <c r="AO150" s="114"/>
      <c r="AP150" s="114"/>
      <c r="AQ150" s="114"/>
      <c r="AR150" s="114"/>
    </row>
    <row r="151" spans="1:44">
      <c r="A151" s="114" t="s">
        <v>117</v>
      </c>
      <c r="B151" s="245" t="s">
        <v>766</v>
      </c>
      <c r="C151" s="114"/>
      <c r="D151" s="1451">
        <v>304.39999999999998</v>
      </c>
      <c r="E151" s="1173">
        <f>+D151/D144-1</f>
        <v>4.8570444367895149E-2</v>
      </c>
      <c r="F151" s="1173">
        <f>D151/Q151</f>
        <v>0.35431934369441936</v>
      </c>
      <c r="G151" s="2008">
        <f>D151*H151</f>
        <v>82.188000000000002</v>
      </c>
      <c r="H151" s="2009">
        <v>0.27</v>
      </c>
      <c r="J151" s="1451">
        <v>554.70000000000005</v>
      </c>
      <c r="K151" s="1173">
        <f>J151/J144-1</f>
        <v>4.3846443357169917E-2</v>
      </c>
      <c r="L151" s="1173">
        <f>J151/Q151</f>
        <v>0.64566668839452834</v>
      </c>
      <c r="M151" s="2008">
        <f>J151*N151</f>
        <v>102.6195</v>
      </c>
      <c r="N151" s="2009">
        <v>0.185</v>
      </c>
      <c r="P151" s="1089">
        <f>SUM(D151+J151)</f>
        <v>859.1</v>
      </c>
      <c r="Q151" s="1089">
        <f>'qtrP&amp;L'!CR12</f>
        <v>859.11199999999997</v>
      </c>
      <c r="S151" s="1501"/>
      <c r="T151" s="1089"/>
      <c r="U151" s="1384"/>
      <c r="V151" s="1425">
        <f>X151*'qtrP&amp;L'!CR12</f>
        <v>206.18687999999997</v>
      </c>
      <c r="W151" s="1331">
        <f>V151/V144-1</f>
        <v>9.0942684192419465E-2</v>
      </c>
      <c r="X151" s="1993">
        <v>0.24</v>
      </c>
      <c r="Y151" s="2008">
        <f>V151*Z151</f>
        <v>55.670457599999999</v>
      </c>
      <c r="Z151" s="2009">
        <v>0.27</v>
      </c>
      <c r="AB151" s="1453">
        <f>-'qtrP&amp;L'!CR42</f>
        <v>-113.46299999999999</v>
      </c>
      <c r="AC151" s="1475">
        <f t="shared" si="8"/>
        <v>-1</v>
      </c>
      <c r="AD151" s="1476">
        <f t="shared" si="8"/>
        <v>-35</v>
      </c>
      <c r="AF151" s="1215">
        <f>G151+M151+AB151+AC151+AD151</f>
        <v>35.344500000000011</v>
      </c>
      <c r="AG151" s="1215"/>
      <c r="AH151" s="1215">
        <f>AF151+AG151</f>
        <v>35.344500000000011</v>
      </c>
      <c r="AI151" s="1215">
        <f>'qtrP&amp;L'!CR82</f>
        <v>37.219999999999914</v>
      </c>
      <c r="AK151" s="114"/>
      <c r="AL151" s="114"/>
      <c r="AM151" s="114"/>
      <c r="AN151" s="114"/>
      <c r="AO151" s="114"/>
      <c r="AP151" s="114"/>
      <c r="AQ151" s="114"/>
      <c r="AR151" s="114"/>
    </row>
    <row r="152" spans="1:44">
      <c r="A152" s="114" t="s">
        <v>118</v>
      </c>
      <c r="B152" s="245" t="s">
        <v>767</v>
      </c>
      <c r="C152" s="114"/>
      <c r="D152" s="1451">
        <v>418.6</v>
      </c>
      <c r="E152" s="1173">
        <f>+D152/D145-1</f>
        <v>0.20218265364732924</v>
      </c>
      <c r="F152" s="1173">
        <f>D152/Q152</f>
        <v>0.35083366997497401</v>
      </c>
      <c r="G152" s="2008">
        <f>D152*H152</f>
        <v>117.20800000000001</v>
      </c>
      <c r="H152" s="2009">
        <v>0.28000000000000003</v>
      </c>
      <c r="J152" s="1451">
        <v>774.6</v>
      </c>
      <c r="K152" s="1173">
        <f>J152/J145-1</f>
        <v>0.12554489973844807</v>
      </c>
      <c r="L152" s="1173">
        <f>J152/Q152</f>
        <v>0.64920153072769915</v>
      </c>
      <c r="M152" s="2008">
        <f>J152*N152</f>
        <v>176.6088</v>
      </c>
      <c r="N152" s="2009">
        <v>0.22800000000000001</v>
      </c>
      <c r="P152" s="1089">
        <f>SUM(D152+J152)</f>
        <v>1193.2</v>
      </c>
      <c r="Q152" s="1089">
        <f>'qtrP&amp;L'!CR13</f>
        <v>1193.1579999999999</v>
      </c>
      <c r="S152" s="1501"/>
      <c r="T152" s="1089"/>
      <c r="U152" s="1386"/>
      <c r="V152" s="1425">
        <f>X152*'qtrP&amp;L'!CR13</f>
        <v>369.87897999999996</v>
      </c>
      <c r="W152" s="1331">
        <f>V152/V145-1</f>
        <v>0.1512935139521574</v>
      </c>
      <c r="X152" s="1869">
        <v>0.31</v>
      </c>
      <c r="Y152" s="2008">
        <f>V152*Z152</f>
        <v>103.5661144</v>
      </c>
      <c r="Z152" s="2009">
        <v>0.28000000000000003</v>
      </c>
      <c r="AB152" s="1453">
        <f>-'qtrP&amp;L'!CR43</f>
        <v>-124.13499999999999</v>
      </c>
      <c r="AC152" s="1475">
        <f t="shared" si="8"/>
        <v>-1</v>
      </c>
      <c r="AD152" s="1476">
        <f t="shared" si="8"/>
        <v>-33</v>
      </c>
      <c r="AF152" s="1215">
        <f>G152+M152+AB152+AC152+AD152</f>
        <v>135.68180000000001</v>
      </c>
      <c r="AG152" s="1215"/>
      <c r="AH152" s="1215"/>
      <c r="AI152" s="1215">
        <f>'qtrP&amp;L'!CR83</f>
        <v>136.00299999999993</v>
      </c>
      <c r="AK152" s="114"/>
      <c r="AL152" s="114"/>
      <c r="AM152" s="114"/>
      <c r="AN152" s="114"/>
      <c r="AO152" s="114"/>
      <c r="AP152" s="114"/>
      <c r="AQ152" s="114"/>
      <c r="AR152" s="114"/>
    </row>
    <row r="153" spans="1:44">
      <c r="A153" s="114"/>
      <c r="B153" s="1467" t="s">
        <v>681</v>
      </c>
      <c r="C153" s="252"/>
      <c r="D153" s="1502">
        <f>SUM(D149:D152)</f>
        <v>1284</v>
      </c>
      <c r="E153" s="1503">
        <f>+D153/D146-1</f>
        <v>6.7331670822942558E-2</v>
      </c>
      <c r="F153" s="1503">
        <f>D153/Q153</f>
        <v>0.36762495383214655</v>
      </c>
      <c r="G153" s="1504">
        <f>SUM(G149:G152)</f>
        <v>311.35599999999999</v>
      </c>
      <c r="H153" s="1964">
        <f>G153/D153</f>
        <v>0.24248909657320872</v>
      </c>
      <c r="J153" s="1502">
        <f>SUM(J149:J152)</f>
        <v>2208.7000000000003</v>
      </c>
      <c r="K153" s="1503">
        <f>+J153/J146-1</f>
        <v>3.9926550214228751E-2</v>
      </c>
      <c r="L153" s="1503">
        <f>J153/Q153</f>
        <v>0.63237790929054694</v>
      </c>
      <c r="M153" s="1504">
        <f>SUM(M149:M152)</f>
        <v>368.08630000000005</v>
      </c>
      <c r="N153" s="1964">
        <f>M153/J153</f>
        <v>0.16665291800606691</v>
      </c>
      <c r="P153" s="1089">
        <f>SUM(D153+J153)</f>
        <v>3492.7000000000003</v>
      </c>
      <c r="Q153" s="1089">
        <f>'qtrP&amp;L'!CR14</f>
        <v>3492.69</v>
      </c>
      <c r="S153" s="1505"/>
      <c r="T153" s="1506"/>
      <c r="U153" s="1507"/>
      <c r="V153" s="1505">
        <f>SUM(V149:V152)</f>
        <v>941.59962999999993</v>
      </c>
      <c r="W153" s="1508">
        <f>qtrSales!AT178</f>
        <v>0.14326621153866359</v>
      </c>
      <c r="X153" s="1961">
        <f>V153/'qtrP&amp;L'!CN21</f>
        <v>3.0765901004074454</v>
      </c>
      <c r="Y153" s="1510">
        <f>SUM(Y149:Y152)</f>
        <v>261.45792295000001</v>
      </c>
      <c r="Z153" s="1965">
        <f>Y153/V153</f>
        <v>0.27767419890553696</v>
      </c>
      <c r="AB153" s="2053">
        <f>-'qtrP&amp;L'!CR44</f>
        <v>-456.84399999999994</v>
      </c>
      <c r="AC153" s="2053">
        <f t="shared" si="8"/>
        <v>-4</v>
      </c>
      <c r="AD153" s="2053">
        <f t="shared" si="8"/>
        <v>-137</v>
      </c>
      <c r="AF153" s="1215"/>
      <c r="AG153" s="1215"/>
      <c r="AH153" s="1215"/>
      <c r="AI153" s="1215"/>
      <c r="AK153" s="114"/>
      <c r="AL153" s="114"/>
      <c r="AM153" s="114"/>
      <c r="AN153" s="114"/>
      <c r="AO153" s="114"/>
      <c r="AP153" s="114"/>
      <c r="AQ153" s="114"/>
      <c r="AR153" s="114"/>
    </row>
    <row r="154" spans="1:44" s="114" customFormat="1">
      <c r="B154" s="1303"/>
      <c r="D154" s="2197"/>
      <c r="E154" s="1394"/>
      <c r="F154" s="1394"/>
      <c r="G154" s="2197"/>
      <c r="H154" s="1394"/>
      <c r="J154" s="765"/>
      <c r="K154" s="1394"/>
      <c r="L154" s="1394"/>
      <c r="M154" s="2197"/>
      <c r="N154" s="1394"/>
      <c r="P154" s="1142"/>
      <c r="Q154" s="1142"/>
      <c r="S154" s="1215"/>
      <c r="T154" s="1215"/>
      <c r="U154" s="1384"/>
      <c r="V154" s="1215"/>
      <c r="W154" s="1331"/>
      <c r="X154" s="1173"/>
      <c r="Y154" s="2197"/>
      <c r="Z154" s="2197"/>
      <c r="AB154" s="1477"/>
      <c r="AC154" s="1477"/>
      <c r="AD154" s="1477"/>
      <c r="AF154" s="1215"/>
      <c r="AG154" s="1215"/>
      <c r="AH154" s="1215"/>
      <c r="AI154" s="1215"/>
    </row>
    <row r="155" spans="1:44">
      <c r="A155" s="1120"/>
      <c r="B155" s="1172">
        <v>2018</v>
      </c>
      <c r="C155" s="114"/>
      <c r="D155" s="1991" t="s">
        <v>793</v>
      </c>
      <c r="E155" s="1838"/>
      <c r="F155" s="1838"/>
      <c r="G155" s="1838"/>
      <c r="H155" s="1992"/>
      <c r="I155" s="114"/>
      <c r="J155" s="1991"/>
      <c r="K155" s="1838"/>
      <c r="L155" s="1838"/>
      <c r="M155" s="1838"/>
      <c r="N155" s="1992"/>
      <c r="O155" s="114"/>
      <c r="S155" s="1446"/>
      <c r="T155" s="1142"/>
      <c r="U155" s="1389"/>
      <c r="V155" s="1490"/>
      <c r="W155" s="365"/>
      <c r="X155" s="365"/>
      <c r="Y155" s="365"/>
      <c r="Z155" s="1513"/>
      <c r="AA155" s="114"/>
      <c r="AB155" s="202"/>
      <c r="AC155" s="365"/>
      <c r="AD155" s="204"/>
      <c r="AF155" s="1215"/>
      <c r="AG155" s="1215"/>
      <c r="AI155" s="1215"/>
      <c r="AK155" s="114"/>
      <c r="AL155" s="114"/>
      <c r="AM155" s="114"/>
      <c r="AN155" s="114"/>
      <c r="AO155" s="114"/>
      <c r="AP155" s="1171"/>
      <c r="AQ155" s="114"/>
      <c r="AR155" s="114"/>
    </row>
    <row r="156" spans="1:44">
      <c r="A156" s="114" t="s">
        <v>115</v>
      </c>
      <c r="B156" s="245" t="s">
        <v>764</v>
      </c>
      <c r="C156" s="114"/>
      <c r="D156" s="1453"/>
      <c r="E156" s="1173"/>
      <c r="F156" s="1173"/>
      <c r="G156" s="2008"/>
      <c r="H156" s="2009"/>
      <c r="I156" s="114"/>
      <c r="J156" s="1453"/>
      <c r="K156" s="1173"/>
      <c r="L156" s="1173"/>
      <c r="M156" s="2008"/>
      <c r="N156" s="2009"/>
      <c r="O156" s="1360"/>
      <c r="P156" s="1089">
        <f>SUM(D156+J156)</f>
        <v>0</v>
      </c>
      <c r="Q156" s="1089">
        <f>'qtrP&amp;L'!CR17</f>
        <v>0</v>
      </c>
      <c r="R156" s="1360"/>
      <c r="S156" s="1501"/>
      <c r="T156" s="1089"/>
      <c r="U156" s="1384"/>
      <c r="V156" s="1425"/>
      <c r="W156" s="1331"/>
      <c r="X156" s="1993"/>
      <c r="Y156" s="2008"/>
      <c r="Z156" s="2009"/>
      <c r="AA156" s="114"/>
      <c r="AB156" s="1453">
        <f>-'qtrP&amp;L'!CV40</f>
        <v>-114.64248293885997</v>
      </c>
      <c r="AC156" s="1475">
        <f>AC149</f>
        <v>-1</v>
      </c>
      <c r="AD156" s="1476">
        <f>AD149</f>
        <v>-34</v>
      </c>
      <c r="AF156" s="1215">
        <f>G156+M156+AB156+AC156+AD156</f>
        <v>-149.64248293885998</v>
      </c>
      <c r="AG156" s="1215"/>
      <c r="AH156" s="1215">
        <f>AF156+AG156</f>
        <v>-149.64248293885998</v>
      </c>
      <c r="AI156" s="1215">
        <f>'qtrP&amp;L'!CR87</f>
        <v>0</v>
      </c>
      <c r="AK156" s="114"/>
      <c r="AL156" s="114"/>
      <c r="AM156" s="114"/>
      <c r="AN156" s="114"/>
      <c r="AO156" s="114"/>
      <c r="AP156" s="1536"/>
      <c r="AQ156" s="1360"/>
      <c r="AR156" s="114"/>
    </row>
    <row r="157" spans="1:44">
      <c r="A157" s="114" t="s">
        <v>116</v>
      </c>
      <c r="B157" s="245" t="s">
        <v>765</v>
      </c>
      <c r="C157" s="114"/>
      <c r="D157" s="1451"/>
      <c r="E157" s="1173"/>
      <c r="F157" s="1173"/>
      <c r="G157" s="2008"/>
      <c r="H157" s="2009"/>
      <c r="I157" s="1360"/>
      <c r="J157" s="1451"/>
      <c r="K157" s="1173"/>
      <c r="L157" s="1173"/>
      <c r="M157" s="2008"/>
      <c r="N157" s="2009"/>
      <c r="P157" s="1089">
        <f>SUM(D157+J157)</f>
        <v>0</v>
      </c>
      <c r="Q157" s="1089">
        <f>'qtrP&amp;L'!CR18</f>
        <v>0</v>
      </c>
      <c r="S157" s="1501"/>
      <c r="T157" s="1089"/>
      <c r="U157" s="1384"/>
      <c r="V157" s="1425"/>
      <c r="W157" s="1331"/>
      <c r="X157" s="1993"/>
      <c r="Y157" s="2008"/>
      <c r="Z157" s="2009"/>
      <c r="AB157" s="1453">
        <f>-'qtrP&amp;L'!CV41</f>
        <v>-112.66739160305598</v>
      </c>
      <c r="AC157" s="1475">
        <f t="shared" ref="AC157:AD157" si="9">AC150</f>
        <v>-1</v>
      </c>
      <c r="AD157" s="1476">
        <f t="shared" si="9"/>
        <v>-35</v>
      </c>
      <c r="AF157" s="1215">
        <f>G157+M157+AB157+AC157+AD157</f>
        <v>-148.66739160305599</v>
      </c>
      <c r="AG157" s="1215"/>
      <c r="AH157" s="1215">
        <f>AF157+AG157</f>
        <v>-148.66739160305599</v>
      </c>
      <c r="AI157" s="1215">
        <f>'qtrP&amp;L'!CR88</f>
        <v>0</v>
      </c>
      <c r="AK157" s="114"/>
      <c r="AL157" s="114"/>
      <c r="AM157" s="114"/>
      <c r="AN157" s="114"/>
      <c r="AO157" s="114"/>
      <c r="AP157" s="114"/>
      <c r="AQ157" s="114"/>
      <c r="AR157" s="114"/>
    </row>
    <row r="158" spans="1:44">
      <c r="A158" s="114" t="s">
        <v>117</v>
      </c>
      <c r="B158" s="245" t="s">
        <v>766</v>
      </c>
      <c r="C158" s="114"/>
      <c r="D158" s="1451"/>
      <c r="E158" s="1173"/>
      <c r="F158" s="1173"/>
      <c r="G158" s="2008"/>
      <c r="H158" s="2009"/>
      <c r="J158" s="1451"/>
      <c r="K158" s="1173"/>
      <c r="L158" s="1173"/>
      <c r="M158" s="2008"/>
      <c r="N158" s="2009"/>
      <c r="P158" s="1089">
        <f>SUM(D158+J158)</f>
        <v>0</v>
      </c>
      <c r="Q158" s="1089">
        <f>'qtrP&amp;L'!CR19</f>
        <v>0</v>
      </c>
      <c r="S158" s="1501"/>
      <c r="T158" s="1089"/>
      <c r="U158" s="1384"/>
      <c r="V158" s="1425"/>
      <c r="W158" s="1331"/>
      <c r="X158" s="1993"/>
      <c r="Y158" s="2008"/>
      <c r="Z158" s="2009"/>
      <c r="AB158" s="1453">
        <f>-'qtrP&amp;L'!CV42</f>
        <v>-115.77495653664</v>
      </c>
      <c r="AC158" s="1475">
        <f t="shared" ref="AC158:AD158" si="10">AC151</f>
        <v>-1</v>
      </c>
      <c r="AD158" s="1476">
        <f t="shared" si="10"/>
        <v>-35</v>
      </c>
      <c r="AF158" s="1215">
        <f>G158+M158+AB158+AC158+AD158</f>
        <v>-151.77495653663999</v>
      </c>
      <c r="AG158" s="1215"/>
      <c r="AH158" s="1215">
        <f>AF158+AG158</f>
        <v>-151.77495653663999</v>
      </c>
      <c r="AI158" s="1215">
        <f>'qtrP&amp;L'!CR89</f>
        <v>0</v>
      </c>
      <c r="AK158" s="114"/>
      <c r="AL158" s="114"/>
      <c r="AM158" s="114"/>
      <c r="AN158" s="114"/>
      <c r="AO158" s="114"/>
      <c r="AP158" s="114"/>
      <c r="AQ158" s="114"/>
      <c r="AR158" s="114"/>
    </row>
    <row r="159" spans="1:44">
      <c r="A159" s="114" t="s">
        <v>118</v>
      </c>
      <c r="B159" s="245" t="s">
        <v>767</v>
      </c>
      <c r="C159" s="114"/>
      <c r="D159" s="1451"/>
      <c r="E159" s="1173"/>
      <c r="F159" s="1173"/>
      <c r="G159" s="2008"/>
      <c r="H159" s="2009"/>
      <c r="J159" s="1451"/>
      <c r="K159" s="1173"/>
      <c r="L159" s="1173"/>
      <c r="M159" s="2008"/>
      <c r="N159" s="2009"/>
      <c r="P159" s="1089">
        <f>SUM(D159+J159)</f>
        <v>0</v>
      </c>
      <c r="Q159" s="1089">
        <f>'qtrP&amp;L'!CR20</f>
        <v>262.17399999999998</v>
      </c>
      <c r="S159" s="1501"/>
      <c r="T159" s="1089"/>
      <c r="U159" s="1386"/>
      <c r="V159" s="2007"/>
      <c r="W159" s="1330"/>
      <c r="X159" s="2197"/>
      <c r="Y159" s="2008"/>
      <c r="Z159" s="2009"/>
      <c r="AB159" s="1453">
        <f>-'qtrP&amp;L'!CV43</f>
        <v>-127.96289780750001</v>
      </c>
      <c r="AC159" s="1475">
        <f t="shared" ref="AC159:AD159" si="11">AC152</f>
        <v>-1</v>
      </c>
      <c r="AD159" s="1476">
        <f t="shared" si="11"/>
        <v>-33</v>
      </c>
      <c r="AF159" s="1215">
        <f>G159+M159+AB159+AC159+AD159</f>
        <v>-161.96289780750001</v>
      </c>
      <c r="AG159" s="1215"/>
      <c r="AH159" s="1215"/>
      <c r="AI159" s="1215">
        <f>'qtrP&amp;L'!CR90</f>
        <v>-4.12</v>
      </c>
      <c r="AK159" s="114"/>
      <c r="AL159" s="114"/>
      <c r="AM159" s="114"/>
      <c r="AN159" s="114"/>
      <c r="AO159" s="114"/>
      <c r="AP159" s="114"/>
      <c r="AQ159" s="114"/>
      <c r="AR159" s="114"/>
    </row>
    <row r="160" spans="1:44">
      <c r="A160" s="114"/>
      <c r="B160" s="1467" t="s">
        <v>681</v>
      </c>
      <c r="C160" s="252"/>
      <c r="D160" s="1502"/>
      <c r="E160" s="1503"/>
      <c r="F160" s="1503"/>
      <c r="G160" s="1504"/>
      <c r="H160" s="1964"/>
      <c r="J160" s="1502"/>
      <c r="K160" s="1503"/>
      <c r="L160" s="1503"/>
      <c r="M160" s="1504"/>
      <c r="N160" s="1964"/>
      <c r="P160" s="1089">
        <f>SUM(D160+J160)</f>
        <v>0</v>
      </c>
      <c r="Q160" s="1089">
        <f>'qtrP&amp;L'!CR21</f>
        <v>318.42599999999999</v>
      </c>
      <c r="S160" s="1505"/>
      <c r="T160" s="1506"/>
      <c r="U160" s="1507"/>
      <c r="V160" s="1505"/>
      <c r="W160" s="1508"/>
      <c r="X160" s="1961"/>
      <c r="Y160" s="1510"/>
      <c r="Z160" s="2031"/>
      <c r="AB160" s="2053">
        <f>-'qtrP&amp;L'!CV44</f>
        <v>-471.04772888605601</v>
      </c>
      <c r="AC160" s="2053">
        <f t="shared" ref="AC160:AD160" si="12">AC153</f>
        <v>-4</v>
      </c>
      <c r="AD160" s="2053">
        <f t="shared" si="12"/>
        <v>-137</v>
      </c>
      <c r="AF160" s="1215"/>
      <c r="AG160" s="1215"/>
      <c r="AH160" s="1215"/>
      <c r="AI160" s="1215"/>
      <c r="AK160" s="114"/>
      <c r="AL160" s="114"/>
      <c r="AM160" s="114"/>
      <c r="AN160" s="114"/>
      <c r="AO160" s="114"/>
      <c r="AP160" s="114"/>
      <c r="AQ160" s="114"/>
      <c r="AR160" s="114"/>
    </row>
    <row r="161" spans="8:44">
      <c r="H161" s="379"/>
      <c r="V161" s="379"/>
      <c r="AK161" s="114"/>
      <c r="AL161" s="114"/>
      <c r="AM161" s="114"/>
      <c r="AN161" s="114"/>
      <c r="AO161" s="114"/>
      <c r="AP161" s="114"/>
      <c r="AQ161" s="114"/>
      <c r="AR161" s="114"/>
    </row>
    <row r="162" spans="8:44">
      <c r="AK162" s="114"/>
      <c r="AL162" s="1360"/>
      <c r="AM162" s="114"/>
      <c r="AN162" s="114"/>
      <c r="AO162" s="114"/>
      <c r="AP162" s="114"/>
      <c r="AQ162" s="114"/>
      <c r="AR162" s="114"/>
    </row>
    <row r="163" spans="8:44">
      <c r="K163" s="379"/>
      <c r="AK163" s="114"/>
      <c r="AL163" s="114"/>
      <c r="AM163" s="114"/>
      <c r="AN163" s="114"/>
      <c r="AO163" s="114"/>
      <c r="AP163" s="114"/>
      <c r="AQ163" s="114"/>
      <c r="AR163" s="114"/>
    </row>
    <row r="164" spans="8:44">
      <c r="K164" s="379"/>
      <c r="AK164" s="114"/>
      <c r="AL164" s="114"/>
      <c r="AM164" s="114"/>
      <c r="AN164" s="114"/>
      <c r="AO164" s="114"/>
      <c r="AP164" s="114"/>
      <c r="AQ164" s="114"/>
      <c r="AR164" s="114"/>
    </row>
    <row r="166" spans="8:44">
      <c r="J166" s="24"/>
      <c r="L166" s="24"/>
    </row>
    <row r="167" spans="8:44">
      <c r="J167" s="24"/>
      <c r="L167" s="24"/>
      <c r="N167" s="18"/>
    </row>
    <row r="168" spans="8:44">
      <c r="J168" s="24"/>
      <c r="L168" s="24"/>
      <c r="N168" s="18"/>
    </row>
    <row r="169" spans="8:44">
      <c r="J169"/>
      <c r="L169" s="24"/>
      <c r="N169" s="18"/>
    </row>
  </sheetData>
  <mergeCells count="3">
    <mergeCell ref="P4:Q4"/>
    <mergeCell ref="D1:H1"/>
    <mergeCell ref="J1:N1"/>
  </mergeCells>
  <phoneticPr fontId="59" type="noConversion"/>
  <dataValidations disablePrompts="1" count="1">
    <dataValidation type="custom" allowBlank="1" showInputMessage="1" showErrorMessage="1" sqref="S3:V3">
      <formula1>-1</formula1>
    </dataValidation>
  </dataValidations>
  <pageMargins left="0.25" right="0.25" top="0.25" bottom="0.25" header="0.25" footer="0.25"/>
  <pageSetup paperSize="9" scale="74"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H191"/>
  <sheetViews>
    <sheetView zoomScaleNormal="100" workbookViewId="0">
      <pane xSplit="3" ySplit="9" topLeftCell="D166" activePane="bottomRight" state="frozen"/>
      <selection activeCell="P42" sqref="P42"/>
      <selection pane="topRight" activeCell="P42" sqref="P42"/>
      <selection pane="bottomLeft" activeCell="P42" sqref="P42"/>
      <selection pane="bottomRight" activeCell="N187" sqref="N187:P192"/>
    </sheetView>
  </sheetViews>
  <sheetFormatPr defaultRowHeight="12.75" outlineLevelRow="1" outlineLevelCol="1"/>
  <cols>
    <col min="1" max="1" width="2.7109375" style="22" customWidth="1"/>
    <col min="2" max="2" width="6" style="22" customWidth="1"/>
    <col min="3" max="3" width="1.28515625" style="22" customWidth="1"/>
    <col min="4" max="4" width="6.28515625" style="22" customWidth="1"/>
    <col min="5" max="5" width="2.140625" style="22" customWidth="1"/>
    <col min="6" max="6" width="7" style="22" customWidth="1"/>
    <col min="7" max="7" width="1.5703125" style="22" customWidth="1"/>
    <col min="8" max="8" width="8.5703125" style="22" customWidth="1"/>
    <col min="9" max="9" width="1.7109375" style="22" customWidth="1"/>
    <col min="10" max="10" width="6.28515625" style="22" customWidth="1"/>
    <col min="11" max="11" width="1.28515625" style="22" customWidth="1"/>
    <col min="12" max="12" width="6.140625" style="22" customWidth="1"/>
    <col min="13" max="13" width="1.28515625" style="22" customWidth="1"/>
    <col min="14" max="14" width="7.85546875" style="22" customWidth="1"/>
    <col min="15" max="15" width="1.42578125" style="22" customWidth="1"/>
    <col min="16" max="16" width="8.140625" style="22" customWidth="1"/>
    <col min="17" max="17" width="1.5703125" style="22" customWidth="1"/>
    <col min="18" max="18" width="1.28515625" style="22" customWidth="1"/>
    <col min="19" max="19" width="8" style="22" customWidth="1"/>
    <col min="20" max="20" width="2.42578125" style="22" customWidth="1"/>
    <col min="21" max="21" width="6.42578125" style="22" customWidth="1"/>
    <col min="22" max="22" width="1.28515625" style="22" customWidth="1"/>
    <col min="23" max="23" width="7" style="22" customWidth="1"/>
    <col min="24" max="24" width="2" style="22" customWidth="1"/>
    <col min="25" max="25" width="1.28515625" style="22" customWidth="1"/>
    <col min="26" max="26" width="6.42578125" style="22" customWidth="1"/>
    <col min="27" max="27" width="1.7109375" style="22" customWidth="1"/>
    <col min="28" max="28" width="9.5703125" style="22" customWidth="1"/>
    <col min="29" max="29" width="1.28515625" style="22" customWidth="1"/>
    <col min="30" max="30" width="7.85546875" style="22" customWidth="1"/>
    <col min="31" max="31" width="1.7109375" style="22" customWidth="1"/>
    <col min="32" max="32" width="9.7109375" style="22" customWidth="1"/>
    <col min="33" max="33" width="4" style="22" customWidth="1"/>
    <col min="34" max="34" width="1.140625" style="22" customWidth="1"/>
    <col min="35" max="35" width="8" style="22" customWidth="1"/>
    <col min="36" max="36" width="1.28515625" style="22" customWidth="1"/>
    <col min="37" max="37" width="8.140625" style="22" customWidth="1"/>
    <col min="38" max="38" width="1.28515625" style="22" customWidth="1"/>
    <col min="39" max="39" width="6.42578125" style="22" customWidth="1"/>
    <col min="40" max="40" width="1.7109375" style="22" customWidth="1"/>
    <col min="41" max="41" width="5.85546875" style="22" customWidth="1"/>
    <col min="42" max="42" width="9.140625" style="22" hidden="1" customWidth="1" outlineLevel="1"/>
    <col min="43" max="43" width="6.28515625" style="22" hidden="1" customWidth="1" outlineLevel="1"/>
    <col min="44" max="44" width="7.140625" style="22" hidden="1" customWidth="1" outlineLevel="1"/>
    <col min="45" max="45" width="8.28515625" style="22" customWidth="1" collapsed="1"/>
    <col min="46" max="46" width="6.85546875" style="22" customWidth="1"/>
    <col min="47" max="47" width="10.140625" style="22" bestFit="1" customWidth="1"/>
    <col min="48" max="48" width="8.85546875" style="22" customWidth="1"/>
    <col min="49" max="49" width="9.140625" style="22" customWidth="1"/>
    <col min="50" max="50" width="9.5703125" style="22" customWidth="1"/>
    <col min="51" max="55" width="9.140625" style="22"/>
    <col min="56" max="56" width="10.7109375" style="22" customWidth="1"/>
    <col min="57" max="16384" width="9.140625" style="22"/>
  </cols>
  <sheetData>
    <row r="1" spans="1:55">
      <c r="A1" s="24" t="str">
        <f>sumry!A1</f>
        <v>Abercrombie &amp; Fitch</v>
      </c>
      <c r="B1" s="64"/>
      <c r="C1" s="24"/>
      <c r="D1" s="24"/>
      <c r="E1" s="36"/>
      <c r="F1" s="24"/>
      <c r="G1" s="24"/>
      <c r="H1" s="24"/>
      <c r="I1" s="36"/>
      <c r="J1" s="40"/>
      <c r="K1" s="40"/>
      <c r="L1" s="40"/>
      <c r="M1" s="41"/>
      <c r="N1" s="40"/>
      <c r="O1" s="36"/>
      <c r="P1" s="40"/>
      <c r="Q1" s="40"/>
      <c r="R1" s="41"/>
      <c r="S1" s="40"/>
      <c r="T1" s="40"/>
      <c r="U1" s="41"/>
      <c r="V1" s="41"/>
      <c r="W1" s="40"/>
      <c r="X1" s="112"/>
      <c r="Y1" s="40"/>
      <c r="Z1" s="40"/>
      <c r="AA1" s="40"/>
      <c r="AB1" s="40"/>
      <c r="AC1" s="41"/>
      <c r="AD1" s="40"/>
      <c r="AE1" s="41"/>
      <c r="AF1" s="40"/>
      <c r="AG1" s="40"/>
      <c r="AH1" s="41"/>
      <c r="AI1" s="40"/>
      <c r="AJ1" s="40"/>
      <c r="AK1" s="41"/>
      <c r="AL1" s="41"/>
      <c r="AM1" s="40"/>
      <c r="AN1" s="112"/>
      <c r="AO1" s="112"/>
      <c r="AP1" s="40"/>
      <c r="AQ1" s="40"/>
      <c r="AR1" s="40"/>
      <c r="AS1" s="40"/>
      <c r="AT1" s="40"/>
      <c r="AU1" s="40"/>
      <c r="AV1" s="40"/>
      <c r="AW1" s="40"/>
      <c r="AX1" s="40"/>
      <c r="AY1" s="40"/>
      <c r="AZ1" s="40"/>
      <c r="BA1" s="40"/>
      <c r="BB1" s="40"/>
    </row>
    <row r="2" spans="1:55">
      <c r="A2" s="25" t="s">
        <v>1445</v>
      </c>
      <c r="B2" s="65"/>
      <c r="C2" s="25"/>
      <c r="D2" s="25"/>
      <c r="E2" s="37"/>
      <c r="F2" s="25"/>
      <c r="G2" s="25"/>
      <c r="H2" s="25"/>
      <c r="I2" s="37"/>
      <c r="J2" s="25"/>
      <c r="K2" s="25"/>
      <c r="L2" s="25"/>
      <c r="M2" s="37"/>
      <c r="N2" s="25"/>
      <c r="O2" s="37"/>
      <c r="P2" s="25"/>
      <c r="Q2" s="25"/>
      <c r="R2" s="37"/>
      <c r="S2" s="25"/>
      <c r="T2" s="25"/>
      <c r="U2" s="37"/>
      <c r="V2" s="37"/>
      <c r="W2" s="25"/>
      <c r="X2" s="77"/>
      <c r="Y2" s="25"/>
      <c r="Z2" s="25"/>
      <c r="AA2" s="25"/>
      <c r="AB2" s="25"/>
      <c r="AC2" s="37"/>
      <c r="AD2" s="25"/>
      <c r="AE2" s="37"/>
      <c r="AF2" s="25"/>
      <c r="AG2" s="25"/>
      <c r="AH2" s="37"/>
      <c r="AI2" s="25"/>
      <c r="AJ2" s="25"/>
      <c r="AK2" s="37"/>
      <c r="AL2" s="37"/>
      <c r="AM2" s="25"/>
      <c r="AN2" s="112"/>
      <c r="AO2" s="112"/>
      <c r="AP2" s="40"/>
      <c r="AQ2" s="40"/>
      <c r="AR2" s="40"/>
      <c r="AS2" s="40"/>
      <c r="AT2" s="40"/>
      <c r="AU2" s="40"/>
      <c r="AV2" s="40"/>
      <c r="AW2" s="40"/>
      <c r="AX2" s="40"/>
      <c r="AY2" s="40"/>
      <c r="AZ2" s="40"/>
      <c r="BA2" s="40"/>
      <c r="BB2" s="40"/>
    </row>
    <row r="3" spans="1:55">
      <c r="B3" s="200"/>
      <c r="X3" s="86"/>
      <c r="AN3" s="86"/>
      <c r="AO3" s="86"/>
    </row>
    <row r="4" spans="1:55">
      <c r="B4" s="200"/>
      <c r="X4" s="86"/>
      <c r="AN4" s="86"/>
      <c r="AO4" s="86"/>
    </row>
    <row r="5" spans="1:55">
      <c r="B5" s="200"/>
      <c r="J5" s="1022" t="s">
        <v>351</v>
      </c>
      <c r="K5" s="1023"/>
      <c r="L5" s="1023"/>
      <c r="M5" s="1023"/>
      <c r="N5" s="1023"/>
      <c r="O5" s="1023"/>
      <c r="P5" s="1023"/>
      <c r="Q5" s="1023"/>
      <c r="R5" s="1023"/>
      <c r="S5" s="1023"/>
      <c r="T5" s="1023"/>
      <c r="U5" s="1023"/>
      <c r="V5" s="1023"/>
      <c r="W5" s="1023"/>
      <c r="X5" s="1024"/>
      <c r="Z5" s="2293" t="s">
        <v>352</v>
      </c>
      <c r="AA5" s="2294"/>
      <c r="AB5" s="2294"/>
      <c r="AC5" s="2294"/>
      <c r="AD5" s="2294"/>
      <c r="AE5" s="2294"/>
      <c r="AF5" s="2294"/>
      <c r="AG5" s="2294"/>
      <c r="AH5" s="2294"/>
      <c r="AI5" s="2294"/>
      <c r="AJ5" s="2294"/>
      <c r="AK5" s="2294"/>
      <c r="AL5" s="2294"/>
      <c r="AM5" s="2294"/>
      <c r="AN5" s="1024"/>
      <c r="AO5" s="1026"/>
      <c r="AQ5" s="1027"/>
      <c r="AR5" s="1027"/>
      <c r="AS5" s="1996"/>
      <c r="AT5" s="1022" t="s">
        <v>730</v>
      </c>
      <c r="AU5" s="1304"/>
      <c r="AV5" s="1925"/>
      <c r="AW5" s="1028"/>
    </row>
    <row r="6" spans="1:55">
      <c r="B6" s="200"/>
      <c r="D6" s="25"/>
      <c r="E6" s="77" t="s">
        <v>145</v>
      </c>
      <c r="F6" s="25"/>
      <c r="H6" s="38" t="s">
        <v>182</v>
      </c>
      <c r="P6" s="1026" t="s">
        <v>193</v>
      </c>
      <c r="Q6" s="1026"/>
      <c r="S6" s="96"/>
      <c r="T6" s="96"/>
      <c r="U6" s="25" t="s">
        <v>349</v>
      </c>
      <c r="V6" s="96"/>
      <c r="W6" s="96"/>
      <c r="X6" s="86"/>
      <c r="AF6" s="1026" t="s">
        <v>193</v>
      </c>
      <c r="AG6" s="1026"/>
      <c r="AI6" s="96"/>
      <c r="AJ6" s="96"/>
      <c r="AK6" s="77" t="s">
        <v>350</v>
      </c>
      <c r="AL6" s="96"/>
      <c r="AM6" s="96"/>
      <c r="AN6" s="86"/>
      <c r="AO6" s="86"/>
    </row>
    <row r="7" spans="1:55">
      <c r="B7" s="200"/>
      <c r="D7" s="38"/>
      <c r="E7" s="38"/>
      <c r="F7" s="38" t="s">
        <v>181</v>
      </c>
      <c r="G7" s="38"/>
      <c r="H7" s="77" t="s">
        <v>183</v>
      </c>
      <c r="J7" s="77"/>
      <c r="K7" s="77" t="s">
        <v>188</v>
      </c>
      <c r="L7" s="77"/>
      <c r="M7" s="38"/>
      <c r="N7" s="38" t="s">
        <v>191</v>
      </c>
      <c r="P7" s="1026" t="s">
        <v>194</v>
      </c>
      <c r="Q7" s="1026"/>
      <c r="U7" s="38" t="s">
        <v>198</v>
      </c>
      <c r="W7" s="38" t="s">
        <v>200</v>
      </c>
      <c r="X7" s="86"/>
      <c r="Z7" s="77"/>
      <c r="AA7" s="77" t="s">
        <v>270</v>
      </c>
      <c r="AB7" s="77"/>
      <c r="AC7" s="38"/>
      <c r="AD7" s="38" t="s">
        <v>191</v>
      </c>
      <c r="AF7" s="1026" t="s">
        <v>194</v>
      </c>
      <c r="AG7" s="1026"/>
      <c r="AK7" s="38" t="s">
        <v>198</v>
      </c>
      <c r="AM7" s="38" t="s">
        <v>200</v>
      </c>
      <c r="AN7" s="86"/>
      <c r="AO7" s="86"/>
      <c r="AP7" s="38"/>
      <c r="AQ7" s="38"/>
      <c r="AR7" s="38"/>
      <c r="AS7" s="38"/>
      <c r="AT7" s="38"/>
    </row>
    <row r="8" spans="1:55">
      <c r="B8" s="200"/>
      <c r="D8" s="77" t="s">
        <v>180</v>
      </c>
      <c r="E8" s="38"/>
      <c r="F8" s="77" t="s">
        <v>159</v>
      </c>
      <c r="G8" s="38"/>
      <c r="H8" s="38" t="s">
        <v>184</v>
      </c>
      <c r="J8" s="77" t="s">
        <v>180</v>
      </c>
      <c r="K8" s="38"/>
      <c r="L8" s="77" t="s">
        <v>173</v>
      </c>
      <c r="M8" s="38"/>
      <c r="N8" s="77" t="s">
        <v>76</v>
      </c>
      <c r="P8" s="1033" t="s">
        <v>195</v>
      </c>
      <c r="Q8" s="1033"/>
      <c r="S8" s="77" t="s">
        <v>180</v>
      </c>
      <c r="U8" s="77" t="s">
        <v>175</v>
      </c>
      <c r="W8" s="77" t="s">
        <v>176</v>
      </c>
      <c r="X8" s="86"/>
      <c r="Z8" s="77" t="s">
        <v>180</v>
      </c>
      <c r="AA8" s="38"/>
      <c r="AB8" s="77" t="s">
        <v>173</v>
      </c>
      <c r="AC8" s="38"/>
      <c r="AD8" s="77" t="s">
        <v>76</v>
      </c>
      <c r="AF8" s="1033" t="s">
        <v>348</v>
      </c>
      <c r="AG8" s="1033"/>
      <c r="AI8" s="77" t="s">
        <v>180</v>
      </c>
      <c r="AK8" s="77" t="s">
        <v>343</v>
      </c>
      <c r="AM8" s="77" t="s">
        <v>176</v>
      </c>
      <c r="AN8" s="86"/>
      <c r="AO8" s="86"/>
      <c r="AP8" s="112"/>
      <c r="AQ8" s="112"/>
      <c r="AR8" s="112" t="s">
        <v>731</v>
      </c>
      <c r="AS8" s="112" t="s">
        <v>729</v>
      </c>
      <c r="AT8" s="38" t="s">
        <v>200</v>
      </c>
      <c r="AU8" s="38" t="s">
        <v>76</v>
      </c>
      <c r="AV8" s="38" t="s">
        <v>180</v>
      </c>
      <c r="AW8" s="1305" t="s">
        <v>181</v>
      </c>
      <c r="AX8" s="38" t="s">
        <v>181</v>
      </c>
      <c r="AY8" s="97"/>
      <c r="AZ8" s="112"/>
      <c r="BA8" s="112"/>
      <c r="BB8" s="112"/>
      <c r="BC8" s="112"/>
    </row>
    <row r="9" spans="1:55">
      <c r="B9" s="200"/>
      <c r="D9" s="1035" t="s">
        <v>186</v>
      </c>
      <c r="E9" s="38"/>
      <c r="F9" s="1035" t="s">
        <v>187</v>
      </c>
      <c r="G9" s="38"/>
      <c r="H9" s="1035" t="s">
        <v>185</v>
      </c>
      <c r="J9" s="1035" t="s">
        <v>189</v>
      </c>
      <c r="K9" s="38"/>
      <c r="L9" s="1035" t="s">
        <v>190</v>
      </c>
      <c r="M9" s="38"/>
      <c r="N9" s="1035" t="s">
        <v>192</v>
      </c>
      <c r="P9" s="1036" t="s">
        <v>196</v>
      </c>
      <c r="Q9" s="1036"/>
      <c r="S9" s="1035" t="s">
        <v>197</v>
      </c>
      <c r="U9" s="1035" t="s">
        <v>199</v>
      </c>
      <c r="W9" s="1035" t="s">
        <v>201</v>
      </c>
      <c r="X9" s="86"/>
      <c r="Z9" s="1035" t="s">
        <v>340</v>
      </c>
      <c r="AA9" s="38"/>
      <c r="AB9" s="1035" t="s">
        <v>341</v>
      </c>
      <c r="AC9" s="38"/>
      <c r="AD9" s="1035" t="s">
        <v>342</v>
      </c>
      <c r="AF9" s="1036" t="s">
        <v>344</v>
      </c>
      <c r="AG9" s="1036"/>
      <c r="AI9" s="1035" t="s">
        <v>345</v>
      </c>
      <c r="AK9" s="1035" t="s">
        <v>346</v>
      </c>
      <c r="AM9" s="1035" t="s">
        <v>347</v>
      </c>
      <c r="AN9" s="86"/>
      <c r="AO9" s="86"/>
      <c r="AP9" s="38" t="s">
        <v>728</v>
      </c>
      <c r="AQ9" s="38" t="s">
        <v>727</v>
      </c>
      <c r="AR9" s="38" t="s">
        <v>732</v>
      </c>
      <c r="AS9" s="38" t="s">
        <v>728</v>
      </c>
      <c r="AT9" s="77" t="s">
        <v>176</v>
      </c>
      <c r="AU9" s="38" t="s">
        <v>145</v>
      </c>
      <c r="AV9" s="38" t="s">
        <v>27</v>
      </c>
      <c r="AW9" s="1306" t="s">
        <v>751</v>
      </c>
      <c r="AX9" s="38" t="s">
        <v>776</v>
      </c>
      <c r="AY9" s="97"/>
      <c r="AZ9" s="1307"/>
      <c r="BA9" s="1307"/>
      <c r="BB9" s="1307"/>
      <c r="BC9" s="1307"/>
    </row>
    <row r="10" spans="1:55">
      <c r="B10" s="200"/>
      <c r="D10" s="1035"/>
      <c r="E10" s="38"/>
      <c r="F10" s="1035"/>
      <c r="G10" s="38"/>
      <c r="H10" s="1035"/>
      <c r="J10" s="1035"/>
      <c r="K10" s="38"/>
      <c r="L10" s="1035"/>
      <c r="M10" s="38"/>
      <c r="N10" s="1035"/>
      <c r="P10" s="1036"/>
      <c r="Q10" s="1036"/>
      <c r="S10" s="1035"/>
      <c r="U10" s="1035"/>
      <c r="W10" s="1035"/>
      <c r="X10" s="86"/>
      <c r="Z10" s="1035"/>
      <c r="AA10" s="38"/>
      <c r="AB10" s="1035"/>
      <c r="AC10" s="38"/>
      <c r="AD10" s="1035"/>
      <c r="AF10" s="1036"/>
      <c r="AG10" s="1036"/>
      <c r="AI10" s="1035"/>
      <c r="AK10" s="1035"/>
      <c r="AM10" s="1035"/>
      <c r="AN10" s="86"/>
      <c r="AO10" s="86"/>
      <c r="AP10" s="38"/>
      <c r="AQ10" s="38"/>
      <c r="AR10" s="38"/>
      <c r="AS10" s="38"/>
      <c r="AT10" s="38"/>
      <c r="AU10" s="38"/>
    </row>
    <row r="11" spans="1:55">
      <c r="B11" s="1308" t="s">
        <v>439</v>
      </c>
      <c r="P11" s="97"/>
      <c r="Q11" s="97"/>
      <c r="X11" s="86"/>
      <c r="AF11" s="97"/>
      <c r="AG11" s="97"/>
      <c r="AN11" s="86"/>
      <c r="AO11" s="86"/>
    </row>
    <row r="12" spans="1:55" ht="11.25" hidden="1" customHeight="1" outlineLevel="1">
      <c r="A12" s="1309"/>
      <c r="B12" s="1310">
        <v>1994</v>
      </c>
      <c r="P12" s="97"/>
      <c r="Q12" s="97"/>
      <c r="X12" s="86"/>
      <c r="AF12" s="97"/>
      <c r="AG12" s="97"/>
      <c r="AN12" s="86"/>
      <c r="AO12" s="86"/>
    </row>
    <row r="13" spans="1:55" ht="11.25" hidden="1" customHeight="1" outlineLevel="1">
      <c r="A13" s="22" t="str">
        <f>'qtrP&amp;L'!A10</f>
        <v>1Q</v>
      </c>
      <c r="B13" s="200" t="str">
        <f>'qtrP&amp;L'!B10</f>
        <v>Apr</v>
      </c>
      <c r="J13" s="39">
        <v>50</v>
      </c>
      <c r="L13" s="1311">
        <f>J13</f>
        <v>50</v>
      </c>
      <c r="P13" s="97"/>
      <c r="Q13" s="97"/>
      <c r="S13" s="1030">
        <f>'qtrP&amp;L'!D10</f>
        <v>23.399000000000001</v>
      </c>
      <c r="U13" s="1051"/>
      <c r="X13" s="86"/>
      <c r="Z13" s="1312">
        <v>0.41199999999999998</v>
      </c>
      <c r="AB13" s="1083"/>
      <c r="AF13" s="97"/>
      <c r="AG13" s="97"/>
      <c r="AI13" s="1030">
        <f>+S13</f>
        <v>23.399000000000001</v>
      </c>
      <c r="AK13" s="1313"/>
      <c r="AN13" s="86"/>
      <c r="AO13" s="86"/>
    </row>
    <row r="14" spans="1:55" ht="11.25" hidden="1" customHeight="1" outlineLevel="1">
      <c r="A14" s="22" t="str">
        <f>'qtrP&amp;L'!A11</f>
        <v>2Q</v>
      </c>
      <c r="B14" s="200" t="str">
        <f>'qtrP&amp;L'!B11</f>
        <v>Jul</v>
      </c>
      <c r="J14" s="39">
        <v>56</v>
      </c>
      <c r="L14" s="22">
        <f>AVERAGE(J14,J13)</f>
        <v>53</v>
      </c>
      <c r="P14" s="97"/>
      <c r="Q14" s="97"/>
      <c r="S14" s="1059">
        <f>'qtrP&amp;L'!D11</f>
        <v>29.045000000000002</v>
      </c>
      <c r="U14" s="1271">
        <f>S14/L14</f>
        <v>0.54801886792452836</v>
      </c>
      <c r="X14" s="86"/>
      <c r="Z14" s="1312">
        <v>0.46200000000000002</v>
      </c>
      <c r="AB14" s="1083">
        <f>AVERAGE(Z14,Z13)</f>
        <v>0.437</v>
      </c>
      <c r="AF14" s="97"/>
      <c r="AG14" s="97"/>
      <c r="AI14" s="1059">
        <f>+S14</f>
        <v>29.045000000000002</v>
      </c>
      <c r="AK14" s="1314">
        <f>AI14/AB14</f>
        <v>66.464530892448522</v>
      </c>
      <c r="AN14" s="86"/>
      <c r="AO14" s="86"/>
    </row>
    <row r="15" spans="1:55" ht="11.25" hidden="1" customHeight="1" outlineLevel="1">
      <c r="A15" s="22" t="str">
        <f>'qtrP&amp;L'!A12</f>
        <v>3Q</v>
      </c>
      <c r="B15" s="200" t="str">
        <f>'qtrP&amp;L'!B12</f>
        <v>Oct</v>
      </c>
      <c r="J15" s="39">
        <v>61</v>
      </c>
      <c r="L15" s="244">
        <f>AVERAGE(J15,J14)</f>
        <v>58.5</v>
      </c>
      <c r="P15" s="97"/>
      <c r="Q15" s="97"/>
      <c r="S15" s="1059">
        <f>'qtrP&amp;L'!D12</f>
        <v>38.584000000000003</v>
      </c>
      <c r="U15" s="1271">
        <f>S15/L15</f>
        <v>0.65955555555555556</v>
      </c>
      <c r="X15" s="86"/>
      <c r="Z15" s="1312">
        <v>0.499</v>
      </c>
      <c r="AB15" s="1083">
        <f>AVERAGE(Z15,Z14)</f>
        <v>0.48050000000000004</v>
      </c>
      <c r="AF15" s="97"/>
      <c r="AG15" s="97"/>
      <c r="AI15" s="1059">
        <f>+S15</f>
        <v>38.584000000000003</v>
      </c>
      <c r="AK15" s="1314">
        <f>AI15/AB15</f>
        <v>80.299687825182104</v>
      </c>
      <c r="AN15" s="86"/>
      <c r="AO15" s="86"/>
    </row>
    <row r="16" spans="1:55" ht="11.25" hidden="1" customHeight="1" outlineLevel="1">
      <c r="A16" s="22" t="str">
        <f>'qtrP&amp;L'!A13</f>
        <v>4Q</v>
      </c>
      <c r="B16" s="200" t="str">
        <f>'qtrP&amp;L'!B13</f>
        <v>Jan</v>
      </c>
      <c r="D16" s="96"/>
      <c r="F16" s="96"/>
      <c r="H16" s="96"/>
      <c r="J16" s="1315">
        <f>yrSales!B218</f>
        <v>67</v>
      </c>
      <c r="L16" s="1070">
        <f>AVERAGE(J16,J15)</f>
        <v>64</v>
      </c>
      <c r="N16" s="96"/>
      <c r="P16" s="97"/>
      <c r="Q16" s="97"/>
      <c r="S16" s="1071">
        <f>'qtrP&amp;L'!D13</f>
        <v>74.435000000000002</v>
      </c>
      <c r="U16" s="1316">
        <f>S16/L16</f>
        <v>1.163046875</v>
      </c>
      <c r="X16" s="86"/>
      <c r="Z16" s="380">
        <f>yrSales!B$228</f>
        <v>0.54061400000000004</v>
      </c>
      <c r="AB16" s="1224">
        <f>AVERAGE(Z16,Z15)</f>
        <v>0.51980700000000002</v>
      </c>
      <c r="AD16" s="96"/>
      <c r="AF16" s="97"/>
      <c r="AG16" s="97"/>
      <c r="AI16" s="1071">
        <f>+S16</f>
        <v>74.435000000000002</v>
      </c>
      <c r="AK16" s="1317">
        <f>AI16/AB16</f>
        <v>143.19737902721587</v>
      </c>
      <c r="AN16" s="86"/>
      <c r="AO16" s="86"/>
    </row>
    <row r="17" spans="1:41" ht="11.25" hidden="1" customHeight="1" outlineLevel="1">
      <c r="B17" s="200" t="str">
        <f>'qtrP&amp;L'!B14</f>
        <v>Year</v>
      </c>
      <c r="L17" s="244">
        <f>AVERAGE(L13:L16)</f>
        <v>56.375</v>
      </c>
      <c r="P17" s="97"/>
      <c r="Q17" s="97"/>
      <c r="S17" s="1030">
        <f>SUM(S13:S16)</f>
        <v>165.46300000000002</v>
      </c>
      <c r="U17" s="1051">
        <f>SUM(U13:U16)</f>
        <v>2.3706212984800841</v>
      </c>
      <c r="X17" s="86"/>
      <c r="AB17" s="1083">
        <f>AVERAGE(AB13:AB16)</f>
        <v>0.47910233333333335</v>
      </c>
      <c r="AF17" s="97"/>
      <c r="AG17" s="97"/>
      <c r="AI17" s="1030">
        <f>SUM(AI13:AI16)</f>
        <v>165.46300000000002</v>
      </c>
      <c r="AK17" s="1313">
        <f>SUM(AK13:AK16)</f>
        <v>289.96159774484647</v>
      </c>
      <c r="AN17" s="86"/>
      <c r="AO17" s="86"/>
    </row>
    <row r="18" spans="1:41" ht="11.25" hidden="1" customHeight="1" outlineLevel="1">
      <c r="B18" s="200"/>
      <c r="P18" s="97"/>
      <c r="Q18" s="97"/>
      <c r="X18" s="86"/>
      <c r="AF18" s="97"/>
      <c r="AG18" s="97"/>
      <c r="AN18" s="86"/>
      <c r="AO18" s="86"/>
    </row>
    <row r="19" spans="1:41" ht="11.25" hidden="1" customHeight="1" outlineLevel="1" collapsed="1">
      <c r="A19" s="1043"/>
      <c r="B19" s="1318">
        <f>B12+1</f>
        <v>1995</v>
      </c>
      <c r="P19" s="97"/>
      <c r="Q19" s="97"/>
      <c r="X19" s="86"/>
      <c r="AF19" s="97"/>
      <c r="AG19" s="97"/>
      <c r="AN19" s="86"/>
      <c r="AO19" s="86"/>
    </row>
    <row r="20" spans="1:41" ht="11.25" hidden="1" customHeight="1" outlineLevel="1">
      <c r="A20" s="22" t="str">
        <f>$A$13</f>
        <v>1Q</v>
      </c>
      <c r="B20" s="200" t="str">
        <f>$B$13</f>
        <v>Apr</v>
      </c>
      <c r="D20" s="1053">
        <f>(S20/S13-1)*100</f>
        <v>42.642847984956632</v>
      </c>
      <c r="E20" s="22" t="s">
        <v>76</v>
      </c>
      <c r="F20" s="1319">
        <f>'qtrP&amp;L'!J10</f>
        <v>7</v>
      </c>
      <c r="G20" s="22" t="s">
        <v>76</v>
      </c>
      <c r="H20" s="1053">
        <f>D20-F20</f>
        <v>35.642847984956632</v>
      </c>
      <c r="I20" s="86" t="s">
        <v>76</v>
      </c>
      <c r="J20" s="39">
        <v>72</v>
      </c>
      <c r="L20" s="244">
        <f>AVERAGE(J20,J16)</f>
        <v>69.5</v>
      </c>
      <c r="N20" s="1053"/>
      <c r="O20" s="86" t="s">
        <v>76</v>
      </c>
      <c r="P20" s="1054"/>
      <c r="Q20" s="97" t="s">
        <v>76</v>
      </c>
      <c r="S20" s="1030">
        <f>'qtrP&amp;L'!H10</f>
        <v>33.377000000000002</v>
      </c>
      <c r="U20" s="1051">
        <f>S20/L20</f>
        <v>0.48024460431654681</v>
      </c>
      <c r="W20" s="1319"/>
      <c r="X20" s="86" t="s">
        <v>76</v>
      </c>
      <c r="Z20" s="1312">
        <v>0.70099999999999996</v>
      </c>
      <c r="AB20" s="1083">
        <f>AVERAGE(Z20,Z16)</f>
        <v>0.620807</v>
      </c>
      <c r="AD20" s="1053"/>
      <c r="AE20" s="86" t="s">
        <v>76</v>
      </c>
      <c r="AF20" s="1054"/>
      <c r="AG20" s="97" t="s">
        <v>76</v>
      </c>
      <c r="AI20" s="1030">
        <f>+S20</f>
        <v>33.377000000000002</v>
      </c>
      <c r="AK20" s="1313">
        <f>AI20/AB20</f>
        <v>53.763891193237193</v>
      </c>
      <c r="AM20" s="1319"/>
      <c r="AN20" s="86" t="s">
        <v>76</v>
      </c>
      <c r="AO20" s="86"/>
    </row>
    <row r="21" spans="1:41" ht="11.25" hidden="1" customHeight="1" outlineLevel="1">
      <c r="A21" s="22" t="str">
        <f>$A$14</f>
        <v>2Q</v>
      </c>
      <c r="B21" s="200" t="str">
        <f>$B$14</f>
        <v>Jul</v>
      </c>
      <c r="D21" s="1053">
        <f>(S21/S14-1)*100</f>
        <v>33.131347908417965</v>
      </c>
      <c r="F21" s="1319">
        <f>'qtrP&amp;L'!J11</f>
        <v>0</v>
      </c>
      <c r="H21" s="1053">
        <f>D21-F21</f>
        <v>33.131347908417965</v>
      </c>
      <c r="I21" s="86"/>
      <c r="J21" s="39">
        <v>77</v>
      </c>
      <c r="L21" s="244">
        <f>AVERAGE(J21,J20)</f>
        <v>74.5</v>
      </c>
      <c r="N21" s="1053">
        <f>(L21/L14-1)*100</f>
        <v>40.566037735849058</v>
      </c>
      <c r="O21" s="86"/>
      <c r="P21" s="1054">
        <f>H21/N21*100</f>
        <v>81.672625076565211</v>
      </c>
      <c r="Q21" s="97"/>
      <c r="S21" s="1059">
        <f>'qtrP&amp;L'!H11</f>
        <v>38.667999999999999</v>
      </c>
      <c r="U21" s="1271">
        <f>S21/L21</f>
        <v>0.51903355704697984</v>
      </c>
      <c r="W21" s="1319">
        <f>(U21/U14-1)*100</f>
        <v>-5.2891081993805216</v>
      </c>
      <c r="X21" s="86"/>
      <c r="Z21" s="1312">
        <v>0.745</v>
      </c>
      <c r="AB21" s="1083">
        <f>AVERAGE(Z21,Z20)</f>
        <v>0.72299999999999998</v>
      </c>
      <c r="AD21" s="1053">
        <f>(AB21/AB14-1)*100</f>
        <v>65.446224256292894</v>
      </c>
      <c r="AE21" s="86"/>
      <c r="AF21" s="1054">
        <f>+H21/AD21*100</f>
        <v>50.623772853072211</v>
      </c>
      <c r="AG21" s="97"/>
      <c r="AI21" s="1059">
        <f>+S21</f>
        <v>38.667999999999999</v>
      </c>
      <c r="AK21" s="1314">
        <f>AI21/AB21</f>
        <v>53.482710926694331</v>
      </c>
      <c r="AM21" s="1319">
        <f>(AK21/AK14-1)*100</f>
        <v>-19.531951540831749</v>
      </c>
      <c r="AN21" s="86"/>
      <c r="AO21" s="86"/>
    </row>
    <row r="22" spans="1:41" ht="11.25" hidden="1" customHeight="1" outlineLevel="1">
      <c r="A22" s="22" t="str">
        <f>$A$15</f>
        <v>3Q</v>
      </c>
      <c r="B22" s="200" t="str">
        <f>$B$15</f>
        <v>Oct</v>
      </c>
      <c r="D22" s="1053">
        <f>(S22/S15-1)*100</f>
        <v>48.304996889902554</v>
      </c>
      <c r="F22" s="1319">
        <f>'qtrP&amp;L'!J12</f>
        <v>9</v>
      </c>
      <c r="H22" s="1053">
        <f>D22-F22</f>
        <v>39.304996889902554</v>
      </c>
      <c r="I22" s="86"/>
      <c r="J22" s="39">
        <v>87</v>
      </c>
      <c r="L22" s="244">
        <f>AVERAGE(J22,J21)</f>
        <v>82</v>
      </c>
      <c r="N22" s="1053">
        <f>(L22/L15-1)*100</f>
        <v>40.170940170940163</v>
      </c>
      <c r="O22" s="86"/>
      <c r="P22" s="1054">
        <f>H22/N22*100</f>
        <v>97.844353959970206</v>
      </c>
      <c r="Q22" s="97"/>
      <c r="S22" s="1059">
        <f>'qtrP&amp;L'!H12</f>
        <v>57.222000000000001</v>
      </c>
      <c r="U22" s="1271">
        <f>S22/L22</f>
        <v>0.69782926829268299</v>
      </c>
      <c r="W22" s="1319">
        <f>(U22/U15-1)*100</f>
        <v>5.802955098284146</v>
      </c>
      <c r="X22" s="86"/>
      <c r="Z22" s="1312">
        <v>0.84</v>
      </c>
      <c r="AB22" s="1083">
        <f>AVERAGE(Z22,Z21)</f>
        <v>0.79249999999999998</v>
      </c>
      <c r="AD22" s="1053">
        <f>(AB22/AB15-1)*100</f>
        <v>64.932362122788746</v>
      </c>
      <c r="AE22" s="86"/>
      <c r="AF22" s="1054">
        <f>+H22/AD22*100</f>
        <v>60.532214761532629</v>
      </c>
      <c r="AG22" s="97"/>
      <c r="AI22" s="1059">
        <f>+S22</f>
        <v>57.222000000000001</v>
      </c>
      <c r="AK22" s="1314">
        <f>AI22/AB22</f>
        <v>72.204416403785487</v>
      </c>
      <c r="AM22" s="1319">
        <f>(AK22/AK15-1)*100</f>
        <v>-10.081323652242059</v>
      </c>
      <c r="AN22" s="86"/>
      <c r="AO22" s="86"/>
    </row>
    <row r="23" spans="1:41" ht="11.25" hidden="1" customHeight="1" outlineLevel="1">
      <c r="A23" s="22" t="str">
        <f>$A$16</f>
        <v>4Q</v>
      </c>
      <c r="B23" s="200" t="str">
        <f>$B$16</f>
        <v>Jan</v>
      </c>
      <c r="D23" s="1069">
        <f>(S23/S16-1)*100</f>
        <v>42.932760126284663</v>
      </c>
      <c r="F23" s="1185">
        <f>'qtrP&amp;L'!J13</f>
        <v>5</v>
      </c>
      <c r="H23" s="1069">
        <f>D23-F23</f>
        <v>37.932760126284663</v>
      </c>
      <c r="I23" s="86"/>
      <c r="J23" s="1315">
        <f>yrSales!C218</f>
        <v>100</v>
      </c>
      <c r="L23" s="1070">
        <f>AVERAGE(J23,J22)</f>
        <v>93.5</v>
      </c>
      <c r="N23" s="1069">
        <f>(L23/L16-1)*100</f>
        <v>46.09375</v>
      </c>
      <c r="O23" s="86"/>
      <c r="P23" s="1070">
        <f>H23/N23*100</f>
        <v>82.294801629905706</v>
      </c>
      <c r="Q23" s="97"/>
      <c r="S23" s="1071">
        <f>'qtrP&amp;L'!H13</f>
        <v>106.392</v>
      </c>
      <c r="U23" s="1316">
        <f>S23/L23</f>
        <v>1.1378823529411763</v>
      </c>
      <c r="W23" s="1185">
        <f>(U23/U16-1)*100</f>
        <v>-2.1636722130244035</v>
      </c>
      <c r="X23" s="86"/>
      <c r="Z23" s="380">
        <f>yrSales!C$228</f>
        <v>0.96156400000000009</v>
      </c>
      <c r="AB23" s="1224">
        <f>AVERAGE(Z23,Z22)</f>
        <v>0.90078199999999997</v>
      </c>
      <c r="AD23" s="1069">
        <f>(AB23/AB16-1)*100</f>
        <v>73.291625545635199</v>
      </c>
      <c r="AE23" s="86"/>
      <c r="AF23" s="1070">
        <f>+H23/AD23*100</f>
        <v>51.755926879621114</v>
      </c>
      <c r="AG23" s="97"/>
      <c r="AI23" s="1071">
        <f>+S23</f>
        <v>106.392</v>
      </c>
      <c r="AK23" s="1317">
        <f>AI23/AB23</f>
        <v>118.110708251275</v>
      </c>
      <c r="AM23" s="1185">
        <f>(AK23/AK16-1)*100</f>
        <v>-17.518945490736204</v>
      </c>
      <c r="AN23" s="86"/>
      <c r="AO23" s="86"/>
    </row>
    <row r="24" spans="1:41" ht="11.25" hidden="1" customHeight="1" outlineLevel="1">
      <c r="B24" s="200" t="str">
        <f>$B$17</f>
        <v>Year</v>
      </c>
      <c r="D24" s="1053">
        <f>(S24/S17-1)*100</f>
        <v>42.423986027087615</v>
      </c>
      <c r="F24" s="1319">
        <f>'qtrP&amp;L'!J14</f>
        <v>5</v>
      </c>
      <c r="H24" s="1053">
        <f>D24-F24</f>
        <v>37.423986027087615</v>
      </c>
      <c r="I24" s="86"/>
      <c r="J24" s="39"/>
      <c r="L24" s="244">
        <f>AVERAGE(L20:L23)</f>
        <v>79.875</v>
      </c>
      <c r="N24" s="1053">
        <f>(L24/L17-1)*100</f>
        <v>41.685144124168502</v>
      </c>
      <c r="O24" s="86"/>
      <c r="P24" s="1054">
        <f>H24/N24*100</f>
        <v>89.777753713917647</v>
      </c>
      <c r="Q24" s="97"/>
      <c r="S24" s="1030">
        <f>SUM(S20:S23)</f>
        <v>235.65899999999999</v>
      </c>
      <c r="U24" s="1051">
        <f>SUM(U20:U23)</f>
        <v>2.8349897825973862</v>
      </c>
      <c r="W24" s="1319">
        <f>(U24/U17-1)*100</f>
        <v>19.58847178227203</v>
      </c>
      <c r="X24" s="86"/>
      <c r="Z24" s="39"/>
      <c r="AB24" s="1083">
        <f>AVERAGE(AB20:AB23)</f>
        <v>0.75927224999999998</v>
      </c>
      <c r="AD24" s="1053">
        <f>(AB24/AB17-1)*100</f>
        <v>58.47809479811896</v>
      </c>
      <c r="AE24" s="86"/>
      <c r="AF24" s="1054">
        <f>+H24/AD24*100</f>
        <v>63.996589075421483</v>
      </c>
      <c r="AG24" s="97"/>
      <c r="AI24" s="1030">
        <f>SUM(AI20:AI23)</f>
        <v>235.65899999999999</v>
      </c>
      <c r="AK24" s="1313">
        <f>SUM(AK20:AK23)</f>
        <v>297.561726774992</v>
      </c>
      <c r="AM24" s="1319">
        <f>(AK24/AK17-1)*100</f>
        <v>2.6210812360170976</v>
      </c>
      <c r="AN24" s="86"/>
      <c r="AO24" s="86"/>
    </row>
    <row r="25" spans="1:41" ht="11.25" hidden="1" customHeight="1" outlineLevel="1">
      <c r="B25" s="200"/>
      <c r="I25" s="86"/>
      <c r="J25" s="39"/>
      <c r="O25" s="86"/>
      <c r="P25" s="97"/>
      <c r="Q25" s="97"/>
      <c r="X25" s="86"/>
      <c r="Z25" s="39"/>
      <c r="AE25" s="86"/>
      <c r="AF25" s="97"/>
      <c r="AG25" s="97"/>
      <c r="AN25" s="86"/>
      <c r="AO25" s="86"/>
    </row>
    <row r="26" spans="1:41" ht="11.25" hidden="1" customHeight="1" outlineLevel="1">
      <c r="A26" s="1043"/>
      <c r="B26" s="1318">
        <f>B19+1</f>
        <v>1996</v>
      </c>
      <c r="I26" s="86"/>
      <c r="J26" s="39"/>
      <c r="O26" s="86"/>
      <c r="P26" s="97"/>
      <c r="Q26" s="97"/>
      <c r="X26" s="86"/>
      <c r="Z26" s="39"/>
      <c r="AE26" s="86"/>
      <c r="AF26" s="97"/>
      <c r="AG26" s="97"/>
      <c r="AN26" s="86"/>
      <c r="AO26" s="86"/>
    </row>
    <row r="27" spans="1:41" ht="11.25" hidden="1" customHeight="1" outlineLevel="1">
      <c r="A27" s="22" t="str">
        <f>$A$13</f>
        <v>1Q</v>
      </c>
      <c r="B27" s="200" t="str">
        <f>$B$13</f>
        <v>Apr</v>
      </c>
      <c r="D27" s="1053">
        <f>(S27/S20-1)*100</f>
        <v>52.859753722623367</v>
      </c>
      <c r="E27" s="22" t="s">
        <v>76</v>
      </c>
      <c r="F27" s="1319">
        <f>'qtrP&amp;L'!N10</f>
        <v>17</v>
      </c>
      <c r="G27" s="22" t="s">
        <v>76</v>
      </c>
      <c r="H27" s="1053">
        <f>D27-F27</f>
        <v>35.859753722623367</v>
      </c>
      <c r="I27" s="86" t="s">
        <v>76</v>
      </c>
      <c r="J27" s="39">
        <v>102</v>
      </c>
      <c r="L27" s="244">
        <f>AVERAGE(J27,J23)</f>
        <v>101</v>
      </c>
      <c r="N27" s="1053">
        <f>(L27/L20-1)*100</f>
        <v>45.323741007194251</v>
      </c>
      <c r="O27" s="86" t="s">
        <v>76</v>
      </c>
      <c r="P27" s="1054">
        <f>H27/N27*100</f>
        <v>79.119139165788056</v>
      </c>
      <c r="Q27" s="97" t="s">
        <v>76</v>
      </c>
      <c r="S27" s="1030">
        <f>'qtrP&amp;L'!L10</f>
        <v>51.02</v>
      </c>
      <c r="U27" s="1051">
        <f>S27/L27</f>
        <v>0.50514851485148515</v>
      </c>
      <c r="W27" s="1053">
        <f>(U27/U20-1)*100</f>
        <v>5.1856721160626007</v>
      </c>
      <c r="X27" s="86" t="s">
        <v>76</v>
      </c>
      <c r="Z27" s="1312">
        <v>0.97699999999999998</v>
      </c>
      <c r="AB27" s="1083">
        <f>AVERAGE(Z27,Z23)</f>
        <v>0.96928199999999998</v>
      </c>
      <c r="AD27" s="1053">
        <f>(AB27/AB20-1)*100</f>
        <v>56.13258226791902</v>
      </c>
      <c r="AE27" s="86" t="s">
        <v>76</v>
      </c>
      <c r="AF27" s="1054">
        <f>+H27/AD27*100</f>
        <v>63.884026484771198</v>
      </c>
      <c r="AG27" s="97" t="s">
        <v>76</v>
      </c>
      <c r="AI27" s="1030">
        <f>+S27</f>
        <v>51.02</v>
      </c>
      <c r="AK27" s="1313">
        <f>AI27/AB27</f>
        <v>52.636900303523646</v>
      </c>
      <c r="AM27" s="1319">
        <f>(AK27/AK20-1)*100</f>
        <v>-2.0961854968103766</v>
      </c>
      <c r="AN27" s="86" t="s">
        <v>76</v>
      </c>
      <c r="AO27" s="86"/>
    </row>
    <row r="28" spans="1:41" ht="11.25" hidden="1" customHeight="1" outlineLevel="1">
      <c r="A28" s="22" t="str">
        <f>$A$14</f>
        <v>2Q</v>
      </c>
      <c r="B28" s="200" t="str">
        <f>$B$14</f>
        <v>Jul</v>
      </c>
      <c r="D28" s="1053">
        <f>(S28/S21-1)*100</f>
        <v>48.52332678183511</v>
      </c>
      <c r="F28" s="1319">
        <f>'qtrP&amp;L'!N11</f>
        <v>16</v>
      </c>
      <c r="H28" s="1053">
        <f>D28-F28</f>
        <v>32.52332678183511</v>
      </c>
      <c r="I28" s="86"/>
      <c r="J28" s="39">
        <v>106</v>
      </c>
      <c r="L28" s="244">
        <f>AVERAGE(J28,J27)</f>
        <v>104</v>
      </c>
      <c r="N28" s="1053">
        <f>(L28/L21-1)*100</f>
        <v>39.597315436241608</v>
      </c>
      <c r="O28" s="86"/>
      <c r="P28" s="1054">
        <f>H28/N28*100</f>
        <v>82.135181194803934</v>
      </c>
      <c r="Q28" s="97"/>
      <c r="S28" s="1059">
        <f>'qtrP&amp;L'!L11</f>
        <v>57.430999999999997</v>
      </c>
      <c r="U28" s="1271">
        <f>S28/L28</f>
        <v>0.55222115384615378</v>
      </c>
      <c r="W28" s="1053">
        <f>(U28/U21-1)*100</f>
        <v>6.3941138966030264</v>
      </c>
      <c r="X28" s="86"/>
      <c r="Z28" s="1312">
        <v>1.0089999999999999</v>
      </c>
      <c r="AB28" s="1083">
        <f>AVERAGE(Z28,Z27)</f>
        <v>0.99299999999999988</v>
      </c>
      <c r="AD28" s="1053">
        <f>(AB28/AB21-1)*100</f>
        <v>37.344398340248944</v>
      </c>
      <c r="AE28" s="86"/>
      <c r="AF28" s="1054">
        <f>+H28/AD28*100</f>
        <v>87.090241715802946</v>
      </c>
      <c r="AG28" s="97"/>
      <c r="AI28" s="1059">
        <f>+S28</f>
        <v>57.430999999999997</v>
      </c>
      <c r="AK28" s="1314">
        <f>AI28/AB28</f>
        <v>57.835850956696881</v>
      </c>
      <c r="AM28" s="1319">
        <f>(AK28/AK21-1)*100</f>
        <v>8.1393406478013972</v>
      </c>
      <c r="AN28" s="86"/>
      <c r="AO28" s="86"/>
    </row>
    <row r="29" spans="1:41" ht="11.25" hidden="1" customHeight="1" outlineLevel="1">
      <c r="A29" s="22" t="str">
        <f>$A$15</f>
        <v>3Q</v>
      </c>
      <c r="B29" s="200" t="str">
        <f>$B$15</f>
        <v>Oct</v>
      </c>
      <c r="D29" s="1053">
        <f>(S29/S22-1)*100</f>
        <v>53.241760162175389</v>
      </c>
      <c r="F29" s="1319">
        <f>'qtrP&amp;L'!N12</f>
        <v>19</v>
      </c>
      <c r="H29" s="1053">
        <f>D29-F29</f>
        <v>34.241760162175389</v>
      </c>
      <c r="I29" s="86"/>
      <c r="J29" s="39">
        <v>119</v>
      </c>
      <c r="L29" s="244">
        <f>AVERAGE(J29,J28)</f>
        <v>112.5</v>
      </c>
      <c r="N29" s="1053">
        <f>(L29/L22-1)*100</f>
        <v>37.195121951219519</v>
      </c>
      <c r="O29" s="86"/>
      <c r="P29" s="1054">
        <f>H29/N29*100</f>
        <v>92.059814206504313</v>
      </c>
      <c r="Q29" s="97"/>
      <c r="S29" s="1059">
        <f>'qtrP&amp;L'!L12</f>
        <v>87.688000000000002</v>
      </c>
      <c r="U29" s="1271">
        <f>S29/L29</f>
        <v>0.77944888888888886</v>
      </c>
      <c r="W29" s="1053">
        <f>(U29/U22-1)*100</f>
        <v>11.696216295985607</v>
      </c>
      <c r="X29" s="86"/>
      <c r="Z29" s="1312">
        <v>1.133</v>
      </c>
      <c r="AB29" s="1083">
        <f>AVERAGE(Z29,Z28)</f>
        <v>1.071</v>
      </c>
      <c r="AD29" s="1053">
        <f>(AB29/AB22-1)*100</f>
        <v>35.141955835962136</v>
      </c>
      <c r="AE29" s="86"/>
      <c r="AF29" s="1054">
        <f>+H29/AD29*100</f>
        <v>97.438401897752257</v>
      </c>
      <c r="AG29" s="97"/>
      <c r="AI29" s="1059">
        <f>+S29</f>
        <v>87.688000000000002</v>
      </c>
      <c r="AK29" s="1314">
        <f>AI29/AB29</f>
        <v>81.874883286648</v>
      </c>
      <c r="AM29" s="1319">
        <f>(AK29/AK22-1)*100</f>
        <v>13.393179204971073</v>
      </c>
      <c r="AN29" s="86"/>
      <c r="AO29" s="86"/>
    </row>
    <row r="30" spans="1:41" ht="11.25" hidden="1" customHeight="1" outlineLevel="1">
      <c r="A30" s="22" t="str">
        <f>$A$16</f>
        <v>4Q</v>
      </c>
      <c r="B30" s="200" t="str">
        <f>$B$16</f>
        <v>Jan</v>
      </c>
      <c r="D30" s="1069">
        <f>(S30/S23-1)*100</f>
        <v>30.867922400180483</v>
      </c>
      <c r="F30" s="1185">
        <f>'qtrP&amp;L'!N13</f>
        <v>8</v>
      </c>
      <c r="H30" s="1069">
        <f>D30-F30</f>
        <v>22.867922400180483</v>
      </c>
      <c r="I30" s="86"/>
      <c r="J30" s="22">
        <f>yrSales!D218</f>
        <v>127</v>
      </c>
      <c r="L30" s="1070">
        <f>AVERAGE(J30,J29)</f>
        <v>123</v>
      </c>
      <c r="N30" s="1069">
        <f>(L30/L23-1)*100</f>
        <v>31.550802139037426</v>
      </c>
      <c r="O30" s="86"/>
      <c r="P30" s="1070">
        <f>H30/N30*100</f>
        <v>72.479686251419523</v>
      </c>
      <c r="Q30" s="97"/>
      <c r="S30" s="1071">
        <f>'qtrP&amp;L'!L13</f>
        <v>139.233</v>
      </c>
      <c r="U30" s="1316">
        <f>S30/L30</f>
        <v>1.1319756097560976</v>
      </c>
      <c r="W30" s="1069">
        <f>(U30/U23-1)*100</f>
        <v>-0.51909963888719934</v>
      </c>
      <c r="X30" s="86"/>
      <c r="Z30" s="380">
        <f>yrSales!D$228</f>
        <v>1.2287640000000002</v>
      </c>
      <c r="AB30" s="1224">
        <f>AVERAGE(Z30,Z29)</f>
        <v>1.180882</v>
      </c>
      <c r="AD30" s="1069">
        <f>(AB30/AB23-1)*100</f>
        <v>31.095203945016657</v>
      </c>
      <c r="AE30" s="86"/>
      <c r="AF30" s="1070">
        <f>+H30/AD30*100</f>
        <v>73.541638255906392</v>
      </c>
      <c r="AG30" s="97"/>
      <c r="AI30" s="1071">
        <f>+S30</f>
        <v>139.233</v>
      </c>
      <c r="AK30" s="1317">
        <f>AI30/AB30</f>
        <v>117.90593810389184</v>
      </c>
      <c r="AM30" s="1185">
        <f>(AK30/AK23-1)*100</f>
        <v>-0.17337136523432051</v>
      </c>
      <c r="AN30" s="86"/>
      <c r="AO30" s="86"/>
    </row>
    <row r="31" spans="1:41" ht="11.25" hidden="1" customHeight="1" outlineLevel="1">
      <c r="B31" s="200" t="str">
        <f>$B$17</f>
        <v>Year</v>
      </c>
      <c r="D31" s="1053">
        <f>(S31/S24-1)*100</f>
        <v>42.312409031694109</v>
      </c>
      <c r="F31" s="1319">
        <f>'qtrP&amp;L'!N14</f>
        <v>13</v>
      </c>
      <c r="H31" s="1053">
        <f>D31-F31</f>
        <v>29.312409031694109</v>
      </c>
      <c r="I31" s="86"/>
      <c r="J31" s="39"/>
      <c r="L31" s="244">
        <f>AVERAGE(L27:L30)</f>
        <v>110.125</v>
      </c>
      <c r="N31" s="1053">
        <f>(L31/L24-1)*100</f>
        <v>37.871674491392795</v>
      </c>
      <c r="O31" s="86"/>
      <c r="P31" s="1054">
        <f>H31/N31*100</f>
        <v>77.399294922531141</v>
      </c>
      <c r="Q31" s="97"/>
      <c r="S31" s="1030">
        <f>SUM(S27:S30)</f>
        <v>335.37200000000001</v>
      </c>
      <c r="U31" s="1051">
        <f>SUM(U27:U30)</f>
        <v>2.9687941673426255</v>
      </c>
      <c r="W31" s="1053">
        <f>(U31/U24-1)*100</f>
        <v>4.7197483943892449</v>
      </c>
      <c r="X31" s="86"/>
      <c r="Z31" s="39"/>
      <c r="AB31" s="1083">
        <f>AVERAGE(AB27:AB30)</f>
        <v>1.0535410000000001</v>
      </c>
      <c r="AD31" s="1053">
        <f>(AB31/AB24-1)*100</f>
        <v>38.756684443557646</v>
      </c>
      <c r="AE31" s="86"/>
      <c r="AF31" s="1054">
        <f>+H31/AD31*100</f>
        <v>75.631879900311191</v>
      </c>
      <c r="AG31" s="97"/>
      <c r="AI31" s="1030">
        <f>SUM(AI27:AI30)</f>
        <v>335.37200000000001</v>
      </c>
      <c r="AK31" s="1313">
        <f>SUM(AK27:AK30)</f>
        <v>310.25357265076036</v>
      </c>
      <c r="AM31" s="1319">
        <f>(AK31/AK24-1)*100</f>
        <v>4.2652816991365361</v>
      </c>
      <c r="AN31" s="86"/>
      <c r="AO31" s="86"/>
    </row>
    <row r="32" spans="1:41" ht="11.25" hidden="1" customHeight="1" outlineLevel="1">
      <c r="B32" s="200"/>
      <c r="I32" s="86"/>
      <c r="J32" s="39"/>
      <c r="O32" s="86"/>
      <c r="P32" s="97"/>
      <c r="Q32" s="97"/>
      <c r="X32" s="86"/>
      <c r="Z32" s="39"/>
      <c r="AE32" s="86"/>
      <c r="AF32" s="97"/>
      <c r="AG32" s="97"/>
      <c r="AN32" s="86"/>
      <c r="AO32" s="86"/>
    </row>
    <row r="33" spans="1:46" ht="11.25" hidden="1" customHeight="1" outlineLevel="1">
      <c r="A33" s="1043"/>
      <c r="B33" s="1318">
        <f>B26+1</f>
        <v>1997</v>
      </c>
      <c r="I33" s="86"/>
      <c r="J33" s="39"/>
      <c r="O33" s="86"/>
      <c r="P33" s="97"/>
      <c r="Q33" s="97"/>
      <c r="X33" s="86"/>
      <c r="Z33" s="39"/>
      <c r="AE33" s="86"/>
      <c r="AF33" s="97"/>
      <c r="AG33" s="97"/>
      <c r="AN33" s="86"/>
      <c r="AO33" s="86"/>
    </row>
    <row r="34" spans="1:46" ht="11.25" hidden="1" customHeight="1" outlineLevel="1">
      <c r="A34" s="22" t="str">
        <f>$A$13</f>
        <v>1Q</v>
      </c>
      <c r="B34" s="200" t="str">
        <f>$B$13</f>
        <v>Apr</v>
      </c>
      <c r="D34" s="1053">
        <f>(S34/S27-1)*100</f>
        <v>45.660525284202279</v>
      </c>
      <c r="E34" s="22" t="s">
        <v>76</v>
      </c>
      <c r="F34" s="1319">
        <f>'qtrP&amp;L'!R10</f>
        <v>14</v>
      </c>
      <c r="G34" s="22" t="s">
        <v>76</v>
      </c>
      <c r="H34" s="1053">
        <f>D34-F34</f>
        <v>31.660525284202279</v>
      </c>
      <c r="I34" s="86" t="s">
        <v>76</v>
      </c>
      <c r="J34" s="39">
        <v>132</v>
      </c>
      <c r="L34" s="244">
        <f>AVERAGE(J34,J30)</f>
        <v>129.5</v>
      </c>
      <c r="N34" s="1053">
        <f>(L34/L27-1)*100</f>
        <v>28.21782178217822</v>
      </c>
      <c r="O34" s="86" t="s">
        <v>76</v>
      </c>
      <c r="P34" s="1054">
        <f>H34/N34*100</f>
        <v>112.20045802471684</v>
      </c>
      <c r="Q34" s="97" t="s">
        <v>76</v>
      </c>
      <c r="S34" s="1030">
        <f>'qtrP&amp;L'!P10-AS34</f>
        <v>74.316000000000003</v>
      </c>
      <c r="U34" s="1051">
        <f>S34/L34</f>
        <v>0.57386872586872584</v>
      </c>
      <c r="W34" s="1082">
        <f>(U34/U27-1)*100</f>
        <v>13.603961804667408</v>
      </c>
      <c r="X34" s="86" t="s">
        <v>76</v>
      </c>
      <c r="Z34" s="1312">
        <v>1.2729999999999999</v>
      </c>
      <c r="AB34" s="1083">
        <f>AVERAGE(Z34,Z30)</f>
        <v>1.250882</v>
      </c>
      <c r="AD34" s="1053">
        <f>(AB34/AB27-1)*100</f>
        <v>29.052432625386636</v>
      </c>
      <c r="AE34" s="86" t="s">
        <v>76</v>
      </c>
      <c r="AF34" s="1054">
        <f>+H34/AD34*100</f>
        <v>108.97719200469511</v>
      </c>
      <c r="AG34" s="97" t="s">
        <v>76</v>
      </c>
      <c r="AI34" s="1030">
        <f>+S34</f>
        <v>74.316000000000003</v>
      </c>
      <c r="AK34" s="1313">
        <f>AI34/AB34</f>
        <v>59.41087968329547</v>
      </c>
      <c r="AM34" s="1319">
        <f>(AK34/AK27-1)*100</f>
        <v>12.869259665197941</v>
      </c>
      <c r="AN34" s="86" t="s">
        <v>76</v>
      </c>
      <c r="AO34" s="86"/>
      <c r="AP34" s="1320">
        <v>0</v>
      </c>
      <c r="AQ34" s="1320"/>
      <c r="AR34" s="1320"/>
      <c r="AS34" s="1050">
        <f>AP34+AQ34</f>
        <v>0</v>
      </c>
      <c r="AT34" s="1050"/>
    </row>
    <row r="35" spans="1:46" ht="11.25" hidden="1" customHeight="1" outlineLevel="1">
      <c r="A35" s="22" t="str">
        <f>$A$14</f>
        <v>2Q</v>
      </c>
      <c r="B35" s="200" t="str">
        <f>$B$14</f>
        <v>Jul</v>
      </c>
      <c r="D35" s="1053">
        <f>(S35/S28-1)*100</f>
        <v>50.859292019989219</v>
      </c>
      <c r="F35" s="1319">
        <f>'qtrP&amp;L'!R11</f>
        <v>15</v>
      </c>
      <c r="H35" s="1053">
        <f>D35-F35</f>
        <v>35.859292019989219</v>
      </c>
      <c r="I35" s="86"/>
      <c r="J35" s="39">
        <v>139</v>
      </c>
      <c r="L35" s="244">
        <f>AVERAGE(J35,J34)</f>
        <v>135.5</v>
      </c>
      <c r="N35" s="1053">
        <f>(L35/L28-1)*100</f>
        <v>30.28846153846154</v>
      </c>
      <c r="O35" s="86"/>
      <c r="P35" s="1054">
        <f>H35/N35*100</f>
        <v>118.39258317710726</v>
      </c>
      <c r="Q35" s="97"/>
      <c r="S35" s="1059">
        <f>'qtrP&amp;L'!P11-AS35</f>
        <v>86.64</v>
      </c>
      <c r="U35" s="1271">
        <f>S35/L35</f>
        <v>0.639409594095941</v>
      </c>
      <c r="W35" s="1082">
        <f>(U35/U28-1)*100</f>
        <v>15.788681697999118</v>
      </c>
      <c r="X35" s="86"/>
      <c r="Z35" s="1312">
        <v>1.357</v>
      </c>
      <c r="AB35" s="1083">
        <f>AVERAGE(Z35,Z34)</f>
        <v>1.3149999999999999</v>
      </c>
      <c r="AD35" s="1053">
        <f>(AB35/AB28-1)*100</f>
        <v>32.426988922457213</v>
      </c>
      <c r="AE35" s="86"/>
      <c r="AF35" s="1054">
        <f>+H35/AD35*100</f>
        <v>110.584711105122</v>
      </c>
      <c r="AG35" s="97"/>
      <c r="AI35" s="1059">
        <f>+S35</f>
        <v>86.64</v>
      </c>
      <c r="AK35" s="1314">
        <f>AI35/AB35</f>
        <v>65.885931558935368</v>
      </c>
      <c r="AM35" s="1319">
        <f>(AK35/AK28-1)*100</f>
        <v>13.918841806729487</v>
      </c>
      <c r="AN35" s="86"/>
      <c r="AO35" s="86"/>
      <c r="AP35" s="1321">
        <v>0</v>
      </c>
      <c r="AQ35" s="1321"/>
      <c r="AR35" s="1321"/>
      <c r="AS35" s="1058">
        <f>AP35+AQ35</f>
        <v>0</v>
      </c>
      <c r="AT35" s="1058"/>
    </row>
    <row r="36" spans="1:46" ht="11.25" hidden="1" customHeight="1" outlineLevel="1">
      <c r="A36" s="22" t="str">
        <f>$A$15</f>
        <v>3Q</v>
      </c>
      <c r="B36" s="200" t="str">
        <f>$B$15</f>
        <v>Oct</v>
      </c>
      <c r="D36" s="1053">
        <f>(S36/S29-1)*100</f>
        <v>69.368670741720635</v>
      </c>
      <c r="F36" s="1319">
        <f>'qtrP&amp;L'!R12</f>
        <v>25</v>
      </c>
      <c r="H36" s="1053">
        <f>D36-F36</f>
        <v>44.368670741720635</v>
      </c>
      <c r="I36" s="86"/>
      <c r="J36" s="39">
        <v>149</v>
      </c>
      <c r="L36" s="244">
        <f>AVERAGE(J36,J35)</f>
        <v>144</v>
      </c>
      <c r="N36" s="1053">
        <f>(L36/L29-1)*100</f>
        <v>28.000000000000004</v>
      </c>
      <c r="O36" s="86"/>
      <c r="P36" s="1054">
        <f>H36/N36*100</f>
        <v>158.45953836328798</v>
      </c>
      <c r="Q36" s="97"/>
      <c r="S36" s="1059">
        <f>'qtrP&amp;L'!P12-AS36</f>
        <v>148.51599999999999</v>
      </c>
      <c r="U36" s="1271">
        <f>S36/L36</f>
        <v>1.031361111111111</v>
      </c>
      <c r="W36" s="1082">
        <f>(U36/U29-1)*100</f>
        <v>32.319274016969231</v>
      </c>
      <c r="X36" s="86"/>
      <c r="Z36" s="1312">
        <v>1.4470000000000001</v>
      </c>
      <c r="AB36" s="1083">
        <f>AVERAGE(Z36,Z35)</f>
        <v>1.4020000000000001</v>
      </c>
      <c r="AD36" s="1053">
        <f>(AB36/AB29-1)*100</f>
        <v>30.90569561157799</v>
      </c>
      <c r="AE36" s="86"/>
      <c r="AF36" s="1054">
        <f>+H36/AD36*100</f>
        <v>143.56146937879987</v>
      </c>
      <c r="AG36" s="97"/>
      <c r="AI36" s="1059">
        <f>+S36</f>
        <v>148.51599999999999</v>
      </c>
      <c r="AK36" s="1314">
        <f>AI36/AB36</f>
        <v>105.93152639087018</v>
      </c>
      <c r="AM36" s="1319">
        <f>(AK36/AK29-1)*100</f>
        <v>29.382201401128949</v>
      </c>
      <c r="AN36" s="86"/>
      <c r="AO36" s="86"/>
      <c r="AP36" s="1321">
        <v>0</v>
      </c>
      <c r="AQ36" s="1321"/>
      <c r="AR36" s="1321"/>
      <c r="AS36" s="1058">
        <f>AP36+AQ36</f>
        <v>0</v>
      </c>
      <c r="AT36" s="1058"/>
    </row>
    <row r="37" spans="1:46" ht="11.25" hidden="1" customHeight="1" outlineLevel="1">
      <c r="A37" s="22" t="str">
        <f>$A$16</f>
        <v>4Q</v>
      </c>
      <c r="B37" s="200" t="str">
        <f>$B$16</f>
        <v>Jan</v>
      </c>
      <c r="D37" s="1069">
        <f>(S37/S30-1)*100</f>
        <v>49.776658550774599</v>
      </c>
      <c r="F37" s="1185">
        <f>'qtrP&amp;L'!R13</f>
        <v>23</v>
      </c>
      <c r="H37" s="1069">
        <f>D37-F37</f>
        <v>26.776658550774599</v>
      </c>
      <c r="I37" s="86"/>
      <c r="J37" s="22">
        <f>yrSales!E218</f>
        <v>156</v>
      </c>
      <c r="L37" s="1070">
        <f>AVERAGE(J37,J36)</f>
        <v>152.5</v>
      </c>
      <c r="N37" s="1069">
        <f>(L37/L30-1)*100</f>
        <v>23.983739837398367</v>
      </c>
      <c r="O37" s="86"/>
      <c r="P37" s="1070">
        <f>H37/N37*100</f>
        <v>111.64505090661953</v>
      </c>
      <c r="Q37" s="97"/>
      <c r="S37" s="1071">
        <f>'qtrP&amp;L'!P13-AS37</f>
        <v>208.538535</v>
      </c>
      <c r="U37" s="1316">
        <f>S37/L37</f>
        <v>1.3674658032786886</v>
      </c>
      <c r="W37" s="1185">
        <f>(U37/U30-1)*100</f>
        <v>20.803468863903451</v>
      </c>
      <c r="X37" s="86"/>
      <c r="Z37" s="380">
        <f>yrSales!E$228</f>
        <v>1.5217640000000001</v>
      </c>
      <c r="AB37" s="1224">
        <f>AVERAGE(Z37,Z36)</f>
        <v>1.4843820000000001</v>
      </c>
      <c r="AD37" s="1069">
        <f>(AB37/AB30-1)*100</f>
        <v>25.701128478544021</v>
      </c>
      <c r="AE37" s="86"/>
      <c r="AF37" s="1070">
        <f>+H37/AD37*100</f>
        <v>104.18475816393999</v>
      </c>
      <c r="AG37" s="97"/>
      <c r="AI37" s="1071">
        <f>+S37</f>
        <v>208.538535</v>
      </c>
      <c r="AK37" s="1317">
        <f>AI37/AB37</f>
        <v>140.48845580180841</v>
      </c>
      <c r="AM37" s="1185">
        <f>(AK37/AK30-1)*100</f>
        <v>19.152994379314613</v>
      </c>
      <c r="AN37" s="86"/>
      <c r="AO37" s="86"/>
      <c r="AP37" s="1322">
        <f>0.017*'qtrP&amp;L'!P13</f>
        <v>3.6064650000000005</v>
      </c>
      <c r="AQ37" s="1323"/>
      <c r="AR37" s="1323"/>
      <c r="AS37" s="1065">
        <f>AP37+AQ37</f>
        <v>3.6064650000000005</v>
      </c>
      <c r="AT37" s="1324"/>
    </row>
    <row r="38" spans="1:46" ht="11.25" hidden="1" customHeight="1" outlineLevel="1">
      <c r="B38" s="200" t="str">
        <f>$B$17</f>
        <v>Year</v>
      </c>
      <c r="D38" s="1053">
        <f>(S38/S31-1)*100</f>
        <v>54.45849236072182</v>
      </c>
      <c r="F38" s="1319">
        <f>'qtrP&amp;L'!R14</f>
        <v>21</v>
      </c>
      <c r="H38" s="1053">
        <f>D38-F38</f>
        <v>33.45849236072182</v>
      </c>
      <c r="I38" s="86"/>
      <c r="J38" s="39"/>
      <c r="L38" s="244">
        <f>AVERAGE(L34:L37)</f>
        <v>140.375</v>
      </c>
      <c r="N38" s="1053">
        <f>(L38/L31-1)*100</f>
        <v>27.468785471055625</v>
      </c>
      <c r="O38" s="86"/>
      <c r="P38" s="1054">
        <f>H38/N38*100</f>
        <v>121.80550318097487</v>
      </c>
      <c r="Q38" s="97"/>
      <c r="S38" s="1030">
        <f>SUM(S34:S37)</f>
        <v>518.010535</v>
      </c>
      <c r="U38" s="1051">
        <f>SUM(U34:U37)</f>
        <v>3.6121052343544666</v>
      </c>
      <c r="W38" s="1082">
        <f>(U38/U31-1)*100</f>
        <v>21.669103034774228</v>
      </c>
      <c r="X38" s="86"/>
      <c r="Z38" s="39"/>
      <c r="AB38" s="1083">
        <f>AVERAGE(AB34:AB37)</f>
        <v>1.3630660000000001</v>
      </c>
      <c r="AD38" s="1053">
        <f>(AB38/AB31-1)*100</f>
        <v>29.379492587379129</v>
      </c>
      <c r="AE38" s="86"/>
      <c r="AF38" s="1054">
        <f>+H38/AD38*100</f>
        <v>113.88383329361839</v>
      </c>
      <c r="AG38" s="97"/>
      <c r="AI38" s="1030">
        <f>SUM(AI34:AI37)</f>
        <v>518.010535</v>
      </c>
      <c r="AK38" s="1313">
        <f>SUM(AK34:AK37)</f>
        <v>371.71679343490939</v>
      </c>
      <c r="AM38" s="1319">
        <f>(AK38/AK31-1)*100</f>
        <v>19.81064077973911</v>
      </c>
      <c r="AN38" s="86"/>
      <c r="AO38" s="86"/>
      <c r="AP38" s="1030">
        <f>SUM(AP34:AP37)</f>
        <v>3.6064650000000005</v>
      </c>
      <c r="AQ38" s="1030"/>
      <c r="AR38" s="1030"/>
      <c r="AS38" s="1142">
        <f>AP38+AQ38</f>
        <v>3.6064650000000005</v>
      </c>
      <c r="AT38" s="1142"/>
    </row>
    <row r="39" spans="1:46" ht="11.25" hidden="1" customHeight="1" outlineLevel="1">
      <c r="B39" s="200"/>
      <c r="I39" s="86"/>
      <c r="J39" s="39"/>
      <c r="O39" s="86"/>
      <c r="P39" s="97"/>
      <c r="Q39" s="97"/>
      <c r="X39" s="86"/>
      <c r="Z39" s="39"/>
      <c r="AE39" s="86"/>
      <c r="AF39" s="97"/>
      <c r="AG39" s="97"/>
      <c r="AN39" s="86"/>
      <c r="AO39" s="86"/>
    </row>
    <row r="40" spans="1:46" ht="11.25" hidden="1" customHeight="1" outlineLevel="1">
      <c r="A40" s="1043"/>
      <c r="B40" s="1318">
        <f>B33+1</f>
        <v>1998</v>
      </c>
      <c r="I40" s="86"/>
      <c r="J40" s="39"/>
      <c r="O40" s="86"/>
      <c r="P40" s="97"/>
      <c r="Q40" s="97"/>
      <c r="X40" s="86"/>
      <c r="Z40" s="39"/>
      <c r="AE40" s="86"/>
      <c r="AF40" s="97"/>
      <c r="AG40" s="97"/>
      <c r="AN40" s="86"/>
      <c r="AO40" s="86"/>
    </row>
    <row r="41" spans="1:46" ht="11.25" hidden="1" customHeight="1" outlineLevel="1">
      <c r="A41" s="22" t="str">
        <f>$A$13</f>
        <v>1Q</v>
      </c>
      <c r="B41" s="200" t="str">
        <f>$B$13</f>
        <v>Apr</v>
      </c>
      <c r="D41" s="1053">
        <f>(S41/S34-1)*100</f>
        <v>74.201248721675015</v>
      </c>
      <c r="E41" s="86" t="s">
        <v>76</v>
      </c>
      <c r="F41" s="1319">
        <f>'qtrP&amp;L'!V10</f>
        <v>48</v>
      </c>
      <c r="G41" s="86" t="s">
        <v>76</v>
      </c>
      <c r="H41" s="1053">
        <f>D41-F41</f>
        <v>26.201248721675015</v>
      </c>
      <c r="I41" s="86" t="s">
        <v>76</v>
      </c>
      <c r="J41" s="39">
        <v>158</v>
      </c>
      <c r="L41" s="244">
        <f>AVERAGE(J41,J37)</f>
        <v>157</v>
      </c>
      <c r="N41" s="1053">
        <f>(L41/L34-1)*100</f>
        <v>21.235521235521237</v>
      </c>
      <c r="O41" s="86" t="s">
        <v>76</v>
      </c>
      <c r="P41" s="1054">
        <f>H41/N41*100</f>
        <v>123.38406216206961</v>
      </c>
      <c r="Q41" s="97" t="s">
        <v>76</v>
      </c>
      <c r="S41" s="1030">
        <f>'qtrP&amp;L'!T10-AS41</f>
        <v>129.45940000000002</v>
      </c>
      <c r="U41" s="1051">
        <f>S41/L41</f>
        <v>0.82458216560509567</v>
      </c>
      <c r="W41" s="1082">
        <f>(U41/U34-1)*100</f>
        <v>43.688291143037695</v>
      </c>
      <c r="X41" s="86" t="s">
        <v>76</v>
      </c>
      <c r="Z41" s="1312">
        <v>1.534</v>
      </c>
      <c r="AB41" s="1083">
        <f>AVERAGE(Z41,Z37)</f>
        <v>1.527882</v>
      </c>
      <c r="AD41" s="1053">
        <f>(AB41/AB34-1)*100</f>
        <v>22.144374929050059</v>
      </c>
      <c r="AE41" s="86" t="s">
        <v>76</v>
      </c>
      <c r="AF41" s="1054">
        <f>+H41/AD41*100</f>
        <v>118.32010975980609</v>
      </c>
      <c r="AG41" s="97" t="s">
        <v>76</v>
      </c>
      <c r="AI41" s="1030">
        <f>+S41</f>
        <v>129.45940000000002</v>
      </c>
      <c r="AK41" s="1313">
        <f>AI41/AB41</f>
        <v>84.731281604207666</v>
      </c>
      <c r="AM41" s="1319">
        <f>(AK41/AK34-1)*100</f>
        <v>42.619133155221611</v>
      </c>
      <c r="AN41" s="86" t="s">
        <v>76</v>
      </c>
      <c r="AO41" s="86"/>
      <c r="AP41" s="1320">
        <f>0.02*134.23</f>
        <v>2.6845999999999997</v>
      </c>
      <c r="AQ41" s="1320"/>
      <c r="AR41" s="1320"/>
      <c r="AS41" s="1050">
        <f>AP41+AQ41</f>
        <v>2.6845999999999997</v>
      </c>
      <c r="AT41" s="1050"/>
    </row>
    <row r="42" spans="1:46" ht="11.25" hidden="1" customHeight="1" outlineLevel="1">
      <c r="A42" s="22" t="str">
        <f>$A$14</f>
        <v>2Q</v>
      </c>
      <c r="B42" s="200" t="str">
        <f>$B$14</f>
        <v>Jul</v>
      </c>
      <c r="D42" s="1053">
        <f>(S42/S35-1)*100</f>
        <v>64.338312557710054</v>
      </c>
      <c r="F42" s="1319">
        <f>'qtrP&amp;L'!V11</f>
        <v>45</v>
      </c>
      <c r="H42" s="1053">
        <f>D42-F42</f>
        <v>19.338312557710054</v>
      </c>
      <c r="I42" s="86"/>
      <c r="J42" s="39">
        <v>171</v>
      </c>
      <c r="L42" s="244">
        <f>AVERAGE(J42,J41)</f>
        <v>164.5</v>
      </c>
      <c r="N42" s="1053">
        <f>(L42/L35-1)*100</f>
        <v>21.402214022140221</v>
      </c>
      <c r="O42" s="86"/>
      <c r="P42" s="1054">
        <f>H42/N42*100</f>
        <v>90.356598329990078</v>
      </c>
      <c r="Q42" s="97"/>
      <c r="S42" s="1059">
        <f>'qtrP&amp;L'!T11-AS42</f>
        <v>142.38271399999999</v>
      </c>
      <c r="U42" s="1271">
        <f>S42/L42</f>
        <v>0.86554841337386013</v>
      </c>
      <c r="W42" s="1082">
        <f>(U42/U35-1)*100</f>
        <v>35.366816726867548</v>
      </c>
      <c r="X42" s="86"/>
      <c r="Z42" s="1312">
        <v>1.6080000000000001</v>
      </c>
      <c r="AB42" s="1083">
        <f>AVERAGE(Z42,Z41)</f>
        <v>1.5710000000000002</v>
      </c>
      <c r="AD42" s="1053">
        <f>(AB42/AB35-1)*100</f>
        <v>19.467680608365036</v>
      </c>
      <c r="AE42" s="86"/>
      <c r="AF42" s="1054">
        <f>+H42/AD42*100</f>
        <v>99.335472708549617</v>
      </c>
      <c r="AG42" s="97"/>
      <c r="AI42" s="1059">
        <f>+S42</f>
        <v>142.38271399999999</v>
      </c>
      <c r="AK42" s="1314">
        <f>AI42/AB42</f>
        <v>90.631899427116466</v>
      </c>
      <c r="AM42" s="1319">
        <f>(AK42/AK35-1)*100</f>
        <v>37.558803955053243</v>
      </c>
      <c r="AN42" s="86"/>
      <c r="AO42" s="86"/>
      <c r="AP42" s="1321">
        <f>0.018*147.127</f>
        <v>2.6482860000000001</v>
      </c>
      <c r="AQ42" s="1321"/>
      <c r="AR42" s="1321"/>
      <c r="AS42" s="1058">
        <f>AP42+AQ42</f>
        <v>2.6482860000000001</v>
      </c>
      <c r="AT42" s="1058"/>
    </row>
    <row r="43" spans="1:46" ht="11.25" hidden="1" customHeight="1" outlineLevel="1">
      <c r="A43" s="22" t="str">
        <f>$A$15</f>
        <v>3Q</v>
      </c>
      <c r="B43" s="200" t="str">
        <f>$B$15</f>
        <v>Oct</v>
      </c>
      <c r="D43" s="1053">
        <f>(S43/S36-1)*100</f>
        <v>51.143287591909292</v>
      </c>
      <c r="F43" s="1319">
        <f>'qtrP&amp;L'!V12</f>
        <v>35</v>
      </c>
      <c r="H43" s="1053">
        <f>D43-F43</f>
        <v>16.143287591909292</v>
      </c>
      <c r="I43" s="86"/>
      <c r="J43" s="39">
        <v>177</v>
      </c>
      <c r="L43" s="244">
        <f>AVERAGE(J43,J42)</f>
        <v>174</v>
      </c>
      <c r="N43" s="1053">
        <f>(L43/L36-1)*100</f>
        <v>20.833333333333325</v>
      </c>
      <c r="O43" s="86"/>
      <c r="P43" s="1054">
        <f>H43/N43*100</f>
        <v>77.487780441164631</v>
      </c>
      <c r="Q43" s="97"/>
      <c r="S43" s="1059">
        <f>'qtrP&amp;L'!T12-AS43</f>
        <v>224.47196499999998</v>
      </c>
      <c r="U43" s="1271">
        <f>S43/L43</f>
        <v>1.2900687643678159</v>
      </c>
      <c r="W43" s="1082">
        <f>(U43/U36-1)*100</f>
        <v>25.084100076062853</v>
      </c>
      <c r="X43" s="86"/>
      <c r="Z43" s="1312">
        <v>1.639</v>
      </c>
      <c r="AB43" s="1083">
        <f>AVERAGE(Z43,Z42)</f>
        <v>1.6234999999999999</v>
      </c>
      <c r="AD43" s="1053">
        <f>(AB43/AB36-1)*100</f>
        <v>15.798858773181145</v>
      </c>
      <c r="AE43" s="86"/>
      <c r="AF43" s="1054">
        <f>+H43/AD43*100</f>
        <v>102.18008669912805</v>
      </c>
      <c r="AG43" s="97"/>
      <c r="AI43" s="1059">
        <f>+S43</f>
        <v>224.47196499999998</v>
      </c>
      <c r="AK43" s="1314">
        <f>AI43/AB43</f>
        <v>138.2642223591007</v>
      </c>
      <c r="AM43" s="1319">
        <f>(AK43/AK36-1)*100</f>
        <v>30.522260057811422</v>
      </c>
      <c r="AN43" s="86"/>
      <c r="AO43" s="86"/>
      <c r="AP43" s="1321">
        <f>0.015*229.869</f>
        <v>3.448035</v>
      </c>
      <c r="AQ43" s="1321"/>
      <c r="AR43" s="1321"/>
      <c r="AS43" s="1058">
        <f>AP43+AQ43</f>
        <v>3.448035</v>
      </c>
      <c r="AT43" s="1058"/>
    </row>
    <row r="44" spans="1:46" ht="11.25" hidden="1" customHeight="1" outlineLevel="1">
      <c r="A44" s="22" t="str">
        <f>$A$16</f>
        <v>4Q</v>
      </c>
      <c r="B44" s="200" t="str">
        <f>$B$16</f>
        <v>Jan</v>
      </c>
      <c r="D44" s="1069">
        <f>(S44/S37-1)*100</f>
        <v>40.977781396613345</v>
      </c>
      <c r="F44" s="1185">
        <f>'qtrP&amp;L'!V13</f>
        <v>26</v>
      </c>
      <c r="H44" s="1069">
        <f>D44-F44</f>
        <v>14.977781396613345</v>
      </c>
      <c r="I44" s="86"/>
      <c r="J44" s="22">
        <f>yrSales!F218</f>
        <v>196</v>
      </c>
      <c r="L44" s="1070">
        <f>AVERAGE(J44,J43)</f>
        <v>186.5</v>
      </c>
      <c r="N44" s="1069">
        <f>(L44/L37-1)*100</f>
        <v>22.295081967213104</v>
      </c>
      <c r="O44" s="86"/>
      <c r="P44" s="1070">
        <f>H44/N44*100</f>
        <v>67.179754793633421</v>
      </c>
      <c r="Q44" s="97"/>
      <c r="S44" s="1071">
        <f>'qtrP&amp;L'!T13-AS44</f>
        <v>293.99299999999999</v>
      </c>
      <c r="U44" s="1316">
        <f>S44/L44</f>
        <v>1.5763699731903484</v>
      </c>
      <c r="W44" s="1185">
        <f>(U44/U37-1)*100</f>
        <v>15.276738139321889</v>
      </c>
      <c r="X44" s="86"/>
      <c r="Z44" s="380">
        <f>yrSales!F$228</f>
        <v>1.7906640000000003</v>
      </c>
      <c r="AB44" s="1224">
        <f>AVERAGE(Z44,Z43)</f>
        <v>1.7148320000000001</v>
      </c>
      <c r="AD44" s="1069">
        <f>(AB44/AB37-1)*100</f>
        <v>15.524979419044428</v>
      </c>
      <c r="AE44" s="86"/>
      <c r="AF44" s="1070">
        <f>+H44/AD44*100</f>
        <v>96.475370384325032</v>
      </c>
      <c r="AG44" s="97"/>
      <c r="AI44" s="1071">
        <f>+S44</f>
        <v>293.99299999999999</v>
      </c>
      <c r="AK44" s="1317">
        <f>AI44/AB44</f>
        <v>171.44128404415125</v>
      </c>
      <c r="AM44" s="1185">
        <f>(AK44/AK37-1)*100</f>
        <v>22.032293020580273</v>
      </c>
      <c r="AN44" s="86"/>
      <c r="AO44" s="86"/>
      <c r="AP44" s="1322">
        <f>0.02*304.6</f>
        <v>6.0920000000000005</v>
      </c>
      <c r="AQ44" s="1323"/>
      <c r="AR44" s="1323"/>
      <c r="AS44" s="1065">
        <f>AP44+AQ44</f>
        <v>6.0920000000000005</v>
      </c>
      <c r="AT44" s="1324"/>
    </row>
    <row r="45" spans="1:46" ht="11.25" hidden="1" customHeight="1" outlineLevel="1">
      <c r="B45" s="200" t="str">
        <f>$B$17</f>
        <v>Year</v>
      </c>
      <c r="D45" s="1053">
        <f>(S45/S38-1)*100</f>
        <v>52.56583131074737</v>
      </c>
      <c r="F45" s="1319">
        <f>'qtrP&amp;L'!V14</f>
        <v>35</v>
      </c>
      <c r="H45" s="1053">
        <f>D45-F45</f>
        <v>17.56583131074737</v>
      </c>
      <c r="I45" s="86"/>
      <c r="L45" s="244">
        <f>AVERAGE(L41:L44)</f>
        <v>170.5</v>
      </c>
      <c r="N45" s="1053">
        <f>(L45/L38-1)*100</f>
        <v>21.460373998219051</v>
      </c>
      <c r="O45" s="86"/>
      <c r="P45" s="1054">
        <f>H45/N45*100</f>
        <v>81.852400672071795</v>
      </c>
      <c r="Q45" s="97"/>
      <c r="S45" s="1030">
        <f>SUM(S41:S44)</f>
        <v>790.30707899999993</v>
      </c>
      <c r="U45" s="1051">
        <f>SUM(U41:U44)</f>
        <v>4.5565693165371197</v>
      </c>
      <c r="W45" s="1082">
        <f>(U45/U38-1)*100</f>
        <v>26.147191759529175</v>
      </c>
      <c r="X45" s="86"/>
      <c r="Z45" s="39"/>
      <c r="AB45" s="1083">
        <f>AVERAGE(AB41:AB44)</f>
        <v>1.6093035</v>
      </c>
      <c r="AD45" s="1053">
        <f>(AB45/AB38-1)*100</f>
        <v>18.064972642557287</v>
      </c>
      <c r="AE45" s="86"/>
      <c r="AF45" s="1054">
        <f>+H45/AD45*100</f>
        <v>97.236966024326847</v>
      </c>
      <c r="AG45" s="97"/>
      <c r="AI45" s="1030">
        <f>SUM(AI41:AI44)</f>
        <v>790.30707899999993</v>
      </c>
      <c r="AK45" s="1313">
        <f>SUM(AK41:AK44)</f>
        <v>485.06868743457608</v>
      </c>
      <c r="AM45" s="1319">
        <f>(AK45/AK38-1)*100</f>
        <v>30.494154690246877</v>
      </c>
      <c r="AN45" s="86"/>
      <c r="AO45" s="86"/>
      <c r="AP45" s="1030">
        <f>SUM(AP41:AP44)</f>
        <v>14.872921</v>
      </c>
      <c r="AQ45" s="1030"/>
      <c r="AR45" s="1030"/>
      <c r="AS45" s="1142">
        <f>AP45+AQ45</f>
        <v>14.872921</v>
      </c>
      <c r="AT45" s="1142"/>
    </row>
    <row r="46" spans="1:46" ht="11.25" hidden="1" customHeight="1" outlineLevel="1">
      <c r="B46" s="200"/>
      <c r="I46" s="86"/>
      <c r="O46" s="86"/>
      <c r="P46" s="97"/>
      <c r="Q46" s="97"/>
      <c r="X46" s="86"/>
      <c r="AE46" s="86"/>
      <c r="AF46" s="97"/>
      <c r="AG46" s="97"/>
      <c r="AN46" s="86"/>
      <c r="AO46" s="86"/>
    </row>
    <row r="47" spans="1:46" ht="11.25" hidden="1" customHeight="1" outlineLevel="1">
      <c r="A47" s="1043"/>
      <c r="B47" s="1318">
        <f>B40+1</f>
        <v>1999</v>
      </c>
      <c r="I47" s="86"/>
      <c r="O47" s="86"/>
      <c r="P47" s="97"/>
      <c r="Q47" s="97"/>
      <c r="X47" s="86"/>
      <c r="AE47" s="86"/>
      <c r="AF47" s="97"/>
      <c r="AG47" s="97"/>
      <c r="AN47" s="86"/>
      <c r="AO47" s="86"/>
    </row>
    <row r="48" spans="1:46" ht="11.25" hidden="1" customHeight="1" outlineLevel="1">
      <c r="A48" s="22" t="str">
        <f>$A$13</f>
        <v>1Q</v>
      </c>
      <c r="B48" s="200" t="str">
        <f>$B$13</f>
        <v>Apr</v>
      </c>
      <c r="D48" s="1053">
        <f>(S48/S41-1)*100</f>
        <v>40.513507709752993</v>
      </c>
      <c r="E48" s="86" t="s">
        <v>76</v>
      </c>
      <c r="F48" s="1319">
        <f>'qtrP&amp;L'!Z10</f>
        <v>22</v>
      </c>
      <c r="G48" s="86" t="s">
        <v>76</v>
      </c>
      <c r="H48" s="1053">
        <f>D48-F48</f>
        <v>18.513507709752993</v>
      </c>
      <c r="I48" s="86" t="s">
        <v>76</v>
      </c>
      <c r="J48" s="39">
        <v>200</v>
      </c>
      <c r="L48" s="244">
        <f>AVERAGE(J48,J44)</f>
        <v>198</v>
      </c>
      <c r="N48" s="1053">
        <f>(L48/L41-1)*100</f>
        <v>26.114649681528658</v>
      </c>
      <c r="O48" s="86" t="s">
        <v>76</v>
      </c>
      <c r="P48" s="1054">
        <f>H48/N48*100</f>
        <v>70.893188059298069</v>
      </c>
      <c r="Q48" s="97" t="s">
        <v>76</v>
      </c>
      <c r="S48" s="1030">
        <f>'qtrP&amp;L'!X10-AS48</f>
        <v>181.90794399999999</v>
      </c>
      <c r="U48" s="1051">
        <f>S48/L48</f>
        <v>0.91872698989898982</v>
      </c>
      <c r="W48" s="1082">
        <f>(U48/U41-1)*100</f>
        <v>11.417276315309177</v>
      </c>
      <c r="X48" s="86" t="s">
        <v>76</v>
      </c>
      <c r="Z48" s="1312">
        <v>1.831</v>
      </c>
      <c r="AB48" s="1083">
        <f>AVERAGE(Z48,Z44)</f>
        <v>1.810832</v>
      </c>
      <c r="AD48" s="1053">
        <f>(AB48/AB41-1)*100</f>
        <v>18.519100297012471</v>
      </c>
      <c r="AE48" s="86" t="s">
        <v>76</v>
      </c>
      <c r="AF48" s="1054">
        <f>+H48/AD48*100</f>
        <v>99.969800977532472</v>
      </c>
      <c r="AG48" s="97" t="s">
        <v>76</v>
      </c>
      <c r="AI48" s="1030">
        <f>+S48</f>
        <v>181.90794399999999</v>
      </c>
      <c r="AK48" s="1313">
        <f>AI48/AB48</f>
        <v>100.45545031234261</v>
      </c>
      <c r="AM48" s="1319">
        <f>(AK48/AK41-1)*100</f>
        <v>18.557690159326114</v>
      </c>
      <c r="AN48" s="86" t="s">
        <v>76</v>
      </c>
      <c r="AO48" s="86"/>
      <c r="AP48" s="1320">
        <f>0.024*188.294</f>
        <v>4.519056</v>
      </c>
      <c r="AQ48" s="1320"/>
      <c r="AR48" s="1320"/>
      <c r="AS48" s="1050">
        <f>AP48+AQ48</f>
        <v>4.519056</v>
      </c>
      <c r="AT48" s="1050"/>
    </row>
    <row r="49" spans="1:46" ht="11.25" hidden="1" customHeight="1" outlineLevel="1">
      <c r="A49" s="22" t="str">
        <f>$A$14</f>
        <v>2Q</v>
      </c>
      <c r="B49" s="200" t="str">
        <f>$B$14</f>
        <v>Jul</v>
      </c>
      <c r="D49" s="1053">
        <f>(S49/S42-1)*100</f>
        <v>34.464019276946779</v>
      </c>
      <c r="E49" s="86"/>
      <c r="F49" s="1319">
        <f>'qtrP&amp;L'!Z11</f>
        <v>17</v>
      </c>
      <c r="G49" s="86"/>
      <c r="H49" s="1053">
        <f>D49-F49</f>
        <v>17.464019276946779</v>
      </c>
      <c r="I49" s="86"/>
      <c r="J49" s="39">
        <v>208</v>
      </c>
      <c r="L49" s="244">
        <f>AVERAGE(J49,J48)</f>
        <v>204</v>
      </c>
      <c r="N49" s="1053">
        <f>(L49/L42-1)*100</f>
        <v>24.012158054711243</v>
      </c>
      <c r="O49" s="86"/>
      <c r="P49" s="1054">
        <f>H49/N49*100</f>
        <v>72.72990306475306</v>
      </c>
      <c r="Q49" s="97"/>
      <c r="S49" s="1059">
        <f>'qtrP&amp;L'!X11-AS49</f>
        <v>191.45352</v>
      </c>
      <c r="U49" s="1271">
        <f>S49/L49</f>
        <v>0.93849764705882355</v>
      </c>
      <c r="W49" s="1082">
        <f>(U49/U42-1)*100</f>
        <v>8.4280939757732654</v>
      </c>
      <c r="X49" s="86"/>
      <c r="Z49" s="1312">
        <v>1.877</v>
      </c>
      <c r="AB49" s="1083">
        <f>AVERAGE(Z49,Z48)</f>
        <v>1.8540000000000001</v>
      </c>
      <c r="AD49" s="1053">
        <f>(AB49/AB42-1)*100</f>
        <v>18.014003819223422</v>
      </c>
      <c r="AE49" s="86"/>
      <c r="AF49" s="1054">
        <f>+H49/AD49*100</f>
        <v>96.946905597467818</v>
      </c>
      <c r="AG49" s="97"/>
      <c r="AI49" s="1059">
        <f>+S49</f>
        <v>191.45352</v>
      </c>
      <c r="AK49" s="1314">
        <f>AI49/AB49</f>
        <v>103.2651132686084</v>
      </c>
      <c r="AM49" s="1319">
        <f>(AK49/AK42-1)*100</f>
        <v>13.93903683068145</v>
      </c>
      <c r="AN49" s="86"/>
      <c r="AO49" s="86"/>
      <c r="AP49" s="1321">
        <f>0.024*198.895</f>
        <v>4.7734800000000002</v>
      </c>
      <c r="AQ49" s="1321"/>
      <c r="AR49" s="1321"/>
      <c r="AS49" s="1058">
        <f>AP49+AQ49</f>
        <v>4.7734800000000002</v>
      </c>
      <c r="AT49" s="1058"/>
    </row>
    <row r="50" spans="1:46" ht="11.25" hidden="1" customHeight="1" outlineLevel="1">
      <c r="A50" s="22" t="str">
        <f>$A$15</f>
        <v>3Q</v>
      </c>
      <c r="B50" s="200" t="str">
        <f>$B$15</f>
        <v>Oct</v>
      </c>
      <c r="D50" s="1053">
        <f>(S50/S43-1)*100</f>
        <v>24.189379283956459</v>
      </c>
      <c r="E50" s="86"/>
      <c r="F50" s="1319">
        <f>'qtrP&amp;L'!Z12</f>
        <v>11</v>
      </c>
      <c r="G50" s="86"/>
      <c r="H50" s="1053">
        <f>D50-F50</f>
        <v>13.189379283956459</v>
      </c>
      <c r="I50" s="86"/>
      <c r="J50" s="39">
        <v>220</v>
      </c>
      <c r="L50" s="244">
        <f>AVERAGE(J50,J49)</f>
        <v>214</v>
      </c>
      <c r="N50" s="1053">
        <f>(L50/L43-1)*100</f>
        <v>22.988505747126432</v>
      </c>
      <c r="O50" s="86"/>
      <c r="P50" s="1054">
        <f>H50/N50*100</f>
        <v>57.373799885210609</v>
      </c>
      <c r="Q50" s="97"/>
      <c r="S50" s="1059">
        <f>'qtrP&amp;L'!X12-AS50</f>
        <v>278.77033999999998</v>
      </c>
      <c r="U50" s="1271">
        <f>S50/L50</f>
        <v>1.3026651401869158</v>
      </c>
      <c r="W50" s="1082">
        <f>(U50/U43-1)*100</f>
        <v>0.97641119349731742</v>
      </c>
      <c r="X50" s="86"/>
      <c r="Z50" s="1312">
        <v>1.952</v>
      </c>
      <c r="AB50" s="1083">
        <f>AVERAGE(Z50,Z49)</f>
        <v>1.9144999999999999</v>
      </c>
      <c r="AD50" s="1053">
        <f>(AB50/AB43-1)*100</f>
        <v>17.924237757930396</v>
      </c>
      <c r="AE50" s="86"/>
      <c r="AF50" s="1054">
        <f>+H50/AD50*100</f>
        <v>73.584045592794894</v>
      </c>
      <c r="AG50" s="97"/>
      <c r="AI50" s="1059">
        <f>+S50</f>
        <v>278.77033999999998</v>
      </c>
      <c r="AK50" s="1314">
        <f>AI50/AB50</f>
        <v>145.60999738835204</v>
      </c>
      <c r="AM50" s="1319">
        <f>(AK50/AK43-1)*100</f>
        <v>5.3128531039453142</v>
      </c>
      <c r="AN50" s="86"/>
      <c r="AO50" s="86"/>
      <c r="AP50" s="1321">
        <f>0.02*286.983</f>
        <v>5.7396599999999998</v>
      </c>
      <c r="AQ50" s="1321"/>
      <c r="AR50" s="1321"/>
      <c r="AS50" s="1058">
        <f>AP50+AQ50</f>
        <v>5.7396599999999998</v>
      </c>
      <c r="AT50" s="1058"/>
    </row>
    <row r="51" spans="1:46" ht="11.25" hidden="1" customHeight="1" outlineLevel="1">
      <c r="A51" s="22" t="str">
        <f>$A$16</f>
        <v>4Q</v>
      </c>
      <c r="B51" s="200" t="str">
        <f>$B$16</f>
        <v>Jan</v>
      </c>
      <c r="D51" s="1069">
        <f>(S51/S44-1)*100</f>
        <v>19.4536604613035</v>
      </c>
      <c r="E51" s="86"/>
      <c r="F51" s="1185">
        <f>'qtrP&amp;L'!Z13</f>
        <v>3</v>
      </c>
      <c r="G51" s="86"/>
      <c r="H51" s="1069">
        <f>D51-F51</f>
        <v>16.4536604613035</v>
      </c>
      <c r="I51" s="86"/>
      <c r="J51" s="22">
        <f>yrSales!G218</f>
        <v>250</v>
      </c>
      <c r="L51" s="1070">
        <f>AVERAGE(J51,J50)</f>
        <v>235</v>
      </c>
      <c r="N51" s="1069">
        <f>(L51/L44-1)*100</f>
        <v>26.005361930294903</v>
      </c>
      <c r="O51" s="86"/>
      <c r="P51" s="1070">
        <f>H51/N51*100</f>
        <v>63.270261361507274</v>
      </c>
      <c r="Q51" s="97"/>
      <c r="S51" s="1071">
        <f>'qtrP&amp;L'!X13-AS51</f>
        <v>351.18540000000002</v>
      </c>
      <c r="U51" s="1316">
        <f>S51/L51</f>
        <v>1.4944059574468085</v>
      </c>
      <c r="W51" s="1185">
        <f>(U51/U44-1)*100</f>
        <v>-5.1995418041144497</v>
      </c>
      <c r="X51" s="86"/>
      <c r="Z51" s="380">
        <f>yrSales!G$228</f>
        <v>2.1739999999999999</v>
      </c>
      <c r="AB51" s="1224">
        <f>AVERAGE(Z51,Z50)</f>
        <v>2.0629999999999997</v>
      </c>
      <c r="AD51" s="1069">
        <f>(AB51/AB44-1)*100</f>
        <v>20.303330005504883</v>
      </c>
      <c r="AE51" s="86"/>
      <c r="AF51" s="1070">
        <f>+H51/AD51*100</f>
        <v>81.039220939828027</v>
      </c>
      <c r="AG51" s="97"/>
      <c r="AI51" s="1071">
        <f>+S51</f>
        <v>351.18540000000002</v>
      </c>
      <c r="AK51" s="1317">
        <f>AI51/AB51</f>
        <v>170.23044110518666</v>
      </c>
      <c r="AM51" s="1185">
        <f>(AK51/AK44-1)*100</f>
        <v>-0.70627267272027616</v>
      </c>
      <c r="AN51" s="86"/>
      <c r="AO51" s="86"/>
      <c r="AP51" s="1322">
        <f>0.034*367.9</f>
        <v>12.508599999999999</v>
      </c>
      <c r="AQ51" s="1323"/>
      <c r="AR51" s="1323"/>
      <c r="AS51" s="1065">
        <f>AP51+AQ51</f>
        <v>12.508599999999999</v>
      </c>
      <c r="AT51" s="1324"/>
    </row>
    <row r="52" spans="1:46" ht="11.25" hidden="1" customHeight="1" outlineLevel="1">
      <c r="B52" s="200" t="str">
        <f>$B$17</f>
        <v>Year</v>
      </c>
      <c r="D52" s="1053">
        <f>(S52/S45-1)*100</f>
        <v>26.952830192224564</v>
      </c>
      <c r="E52" s="86"/>
      <c r="F52" s="1319">
        <f>'qtrP&amp;L'!Z14</f>
        <v>10</v>
      </c>
      <c r="G52" s="86"/>
      <c r="H52" s="1053">
        <f>D52-F52</f>
        <v>16.952830192224564</v>
      </c>
      <c r="I52" s="86"/>
      <c r="L52" s="244">
        <f>AVERAGE(L48:L51)</f>
        <v>212.75</v>
      </c>
      <c r="N52" s="1053">
        <f>(L52/L45-1)*100</f>
        <v>24.780058651026394</v>
      </c>
      <c r="O52" s="86"/>
      <c r="P52" s="1054">
        <f>H52/N52*100</f>
        <v>68.413196397024564</v>
      </c>
      <c r="Q52" s="97"/>
      <c r="S52" s="1030">
        <f>SUM(S48:S51)</f>
        <v>1003.3172039999999</v>
      </c>
      <c r="U52" s="1051">
        <f>SUM(U48:U51)</f>
        <v>4.6542957345915372</v>
      </c>
      <c r="W52" s="1082">
        <f>(U52/U45-1)*100</f>
        <v>2.1447367803610451</v>
      </c>
      <c r="X52" s="86"/>
      <c r="AB52" s="1083">
        <f>AVERAGE(AB48:AB51)</f>
        <v>1.9105829999999999</v>
      </c>
      <c r="AD52" s="1053">
        <f>(AB52/AB45-1)*100</f>
        <v>18.721111337917296</v>
      </c>
      <c r="AE52" s="86"/>
      <c r="AF52" s="1054">
        <f>+H52/AD52*100</f>
        <v>90.554614446892913</v>
      </c>
      <c r="AG52" s="97"/>
      <c r="AI52" s="1030">
        <f>SUM(AI48:AI51)</f>
        <v>1003.3172039999999</v>
      </c>
      <c r="AK52" s="1313">
        <f>SUM(AK48:AK51)</f>
        <v>519.56100207448969</v>
      </c>
      <c r="AM52" s="1319">
        <f>(AK52/AK45-1)*100</f>
        <v>7.1108103931292854</v>
      </c>
      <c r="AN52" s="86"/>
      <c r="AO52" s="86"/>
      <c r="AP52" s="1030">
        <f>+SUM(AP48:AP51)</f>
        <v>27.540796</v>
      </c>
      <c r="AQ52" s="1030"/>
      <c r="AR52" s="1030"/>
      <c r="AS52" s="1142">
        <f>AP52+AQ52</f>
        <v>27.540796</v>
      </c>
      <c r="AT52" s="1142"/>
    </row>
    <row r="53" spans="1:46" ht="11.25" hidden="1" customHeight="1" outlineLevel="1">
      <c r="B53" s="200"/>
      <c r="E53" s="86"/>
      <c r="G53" s="86"/>
      <c r="I53" s="86"/>
      <c r="O53" s="86"/>
      <c r="P53" s="97"/>
      <c r="Q53" s="97"/>
      <c r="X53" s="86"/>
      <c r="AE53" s="86"/>
      <c r="AF53" s="97"/>
      <c r="AG53" s="97"/>
      <c r="AN53" s="86"/>
      <c r="AO53" s="86"/>
    </row>
    <row r="54" spans="1:46" hidden="1" outlineLevel="1">
      <c r="A54" s="1043"/>
      <c r="B54" s="1318">
        <f>B47+1</f>
        <v>2000</v>
      </c>
      <c r="E54" s="86"/>
      <c r="G54" s="86"/>
      <c r="I54" s="86"/>
      <c r="O54" s="86"/>
      <c r="P54" s="97"/>
      <c r="Q54" s="97"/>
      <c r="X54" s="86"/>
      <c r="AE54" s="86"/>
      <c r="AF54" s="97"/>
      <c r="AG54" s="97"/>
      <c r="AN54" s="86"/>
      <c r="AO54" s="86"/>
    </row>
    <row r="55" spans="1:46" hidden="1" outlineLevel="1">
      <c r="A55" s="22" t="str">
        <f>$A$13</f>
        <v>1Q</v>
      </c>
      <c r="B55" s="200" t="str">
        <f>$B$13</f>
        <v>Apr</v>
      </c>
      <c r="D55" s="1053">
        <f>(S55/S48-1)*100</f>
        <v>9.0624871226074646</v>
      </c>
      <c r="E55" s="86" t="s">
        <v>76</v>
      </c>
      <c r="F55" s="1325">
        <f>'qtrP&amp;L'!AD10</f>
        <v>-8</v>
      </c>
      <c r="G55" s="86" t="s">
        <v>76</v>
      </c>
      <c r="H55" s="1045">
        <f>D55-F55</f>
        <v>17.062487122607465</v>
      </c>
      <c r="I55" s="86" t="s">
        <v>76</v>
      </c>
      <c r="J55" s="39">
        <v>258</v>
      </c>
      <c r="L55" s="244">
        <f>AVERAGE(J55,J51)</f>
        <v>254</v>
      </c>
      <c r="N55" s="1053">
        <f>(L55/L48-1)*100</f>
        <v>28.282828282828287</v>
      </c>
      <c r="O55" s="86" t="s">
        <v>76</v>
      </c>
      <c r="P55" s="1054">
        <f>H55/N55*100</f>
        <v>60.32807946921924</v>
      </c>
      <c r="Q55" s="97" t="s">
        <v>76</v>
      </c>
      <c r="S55" s="1030">
        <f>+'qtrP&amp;L'!AB10-AS55</f>
        <v>198.393328</v>
      </c>
      <c r="U55" s="1051">
        <f>S55/L55</f>
        <v>0.78107609448818893</v>
      </c>
      <c r="W55" s="1082">
        <f>(U55/U48-1)*100</f>
        <v>-14.98278562883355</v>
      </c>
      <c r="X55" s="86" t="s">
        <v>76</v>
      </c>
      <c r="Z55" s="1312">
        <v>2.2280000000000002</v>
      </c>
      <c r="AB55" s="1083">
        <f>AVERAGE(Z55,Z51)</f>
        <v>2.2010000000000001</v>
      </c>
      <c r="AD55" s="1053">
        <f>(AB55/AB48-1)*100</f>
        <v>21.546338920452037</v>
      </c>
      <c r="AE55" s="86" t="s">
        <v>76</v>
      </c>
      <c r="AF55" s="1054">
        <f>+H55/AD55*100</f>
        <v>79.189727710128764</v>
      </c>
      <c r="AG55" s="97" t="s">
        <v>76</v>
      </c>
      <c r="AI55" s="1030">
        <f>+S55</f>
        <v>198.393328</v>
      </c>
      <c r="AK55" s="1313">
        <f>AI55/AB55</f>
        <v>90.137813721035883</v>
      </c>
      <c r="AM55" s="1082">
        <f>(AK55/AK48-1)*100</f>
        <v>-10.270857936753519</v>
      </c>
      <c r="AN55" s="86" t="s">
        <v>76</v>
      </c>
      <c r="AO55" s="86"/>
      <c r="AP55" s="1081">
        <f>0.032*206.646</f>
        <v>6.6126719999999999</v>
      </c>
      <c r="AQ55" s="1320"/>
      <c r="AR55" s="1320"/>
      <c r="AS55" s="1326">
        <f>AP55+AQ55</f>
        <v>6.6126719999999999</v>
      </c>
      <c r="AT55" s="1326"/>
    </row>
    <row r="56" spans="1:46" hidden="1" outlineLevel="1">
      <c r="A56" s="22" t="str">
        <f>$A$14</f>
        <v>2Q</v>
      </c>
      <c r="B56" s="200" t="str">
        <f>$B$14</f>
        <v>Jul</v>
      </c>
      <c r="D56" s="1053">
        <f>(S56/S49-1)*100</f>
        <v>16.483326083531914</v>
      </c>
      <c r="F56" s="1325">
        <f>'qtrP&amp;L'!AD11</f>
        <v>-6</v>
      </c>
      <c r="H56" s="1045">
        <f>D56-F56</f>
        <v>22.483326083531914</v>
      </c>
      <c r="J56" s="1057">
        <v>294</v>
      </c>
      <c r="K56" s="1057"/>
      <c r="L56" s="244">
        <f>AVERAGE(J56,J55)</f>
        <v>276</v>
      </c>
      <c r="N56" s="1053">
        <f>(L56/L49-1)*100</f>
        <v>35.294117647058833</v>
      </c>
      <c r="O56" s="86"/>
      <c r="P56" s="1054">
        <f>H56/N56*100</f>
        <v>63.702757236673733</v>
      </c>
      <c r="Q56" s="97"/>
      <c r="S56" s="1059">
        <f>+'qtrP&amp;L'!AB11-AS56</f>
        <v>223.011428</v>
      </c>
      <c r="U56" s="1271">
        <f>S56/L56</f>
        <v>0.80801242028985509</v>
      </c>
      <c r="W56" s="1082">
        <f>(U56/U49-1)*100</f>
        <v>-13.903628546954671</v>
      </c>
      <c r="X56" s="86"/>
      <c r="Z56" s="1312">
        <v>2.472</v>
      </c>
      <c r="AA56" s="1057"/>
      <c r="AB56" s="1083">
        <f>AVERAGE(Z56,Z55)</f>
        <v>2.35</v>
      </c>
      <c r="AD56" s="1053">
        <f>(AB56/AB49-1)*100</f>
        <v>26.752966558791801</v>
      </c>
      <c r="AE56" s="86"/>
      <c r="AF56" s="1054">
        <f>+H56/AD56*100</f>
        <v>84.040497094492267</v>
      </c>
      <c r="AG56" s="97"/>
      <c r="AI56" s="1059">
        <f>+S56</f>
        <v>223.011428</v>
      </c>
      <c r="AK56" s="1314">
        <f>AI56/AB56</f>
        <v>94.898479999999992</v>
      </c>
      <c r="AM56" s="1082">
        <f>(AK56/AK49-1)*100</f>
        <v>-8.1020908260135407</v>
      </c>
      <c r="AN56" s="86"/>
      <c r="AO56" s="86"/>
      <c r="AP56" s="1091">
        <f>0.026*231.522</f>
        <v>6.0195719999999993</v>
      </c>
      <c r="AQ56" s="1321"/>
      <c r="AR56" s="1321"/>
      <c r="AS56" s="1327">
        <f>AP56+AQ56</f>
        <v>6.0195719999999993</v>
      </c>
      <c r="AT56" s="1327"/>
    </row>
    <row r="57" spans="1:46" hidden="1" outlineLevel="1">
      <c r="A57" s="22" t="str">
        <f>$A$15</f>
        <v>3Q</v>
      </c>
      <c r="B57" s="200" t="str">
        <f>$B$15</f>
        <v>Oct</v>
      </c>
      <c r="D57" s="1053">
        <f>(S57/S50-1)*100</f>
        <v>27.326987153654891</v>
      </c>
      <c r="F57" s="1325">
        <f>'qtrP&amp;L'!AD12</f>
        <v>-3</v>
      </c>
      <c r="H57" s="1045">
        <f>D57-F57</f>
        <v>30.326987153654891</v>
      </c>
      <c r="J57" s="1057">
        <v>325</v>
      </c>
      <c r="K57" s="1057"/>
      <c r="L57" s="244">
        <f>AVERAGE(J57,J56)</f>
        <v>309.5</v>
      </c>
      <c r="N57" s="1053">
        <f>(L57/L50-1)*100</f>
        <v>44.626168224299057</v>
      </c>
      <c r="O57" s="86"/>
      <c r="P57" s="1054">
        <f>H57/N57*100</f>
        <v>67.957856030179556</v>
      </c>
      <c r="Q57" s="97"/>
      <c r="S57" s="1059">
        <f>+'qtrP&amp;L'!AB12-AS57</f>
        <v>354.94987500000002</v>
      </c>
      <c r="U57" s="1271">
        <f>S57/L57</f>
        <v>1.1468493537964459</v>
      </c>
      <c r="W57" s="1082">
        <f>(U57/U50-1)*100</f>
        <v>-11.96130775159242</v>
      </c>
      <c r="X57" s="86"/>
      <c r="Z57" s="1312">
        <v>2.6579999999999999</v>
      </c>
      <c r="AA57" s="1057"/>
      <c r="AB57" s="1083">
        <f>AVERAGE(Z57,Z56)</f>
        <v>2.5649999999999999</v>
      </c>
      <c r="AD57" s="1053">
        <f>(AB57/AB50-1)*100</f>
        <v>33.977539827631233</v>
      </c>
      <c r="AE57" s="86"/>
      <c r="AF57" s="1054">
        <f>+H57/AD57*100</f>
        <v>89.25598294492282</v>
      </c>
      <c r="AG57" s="97"/>
      <c r="AI57" s="1059">
        <f>+S57</f>
        <v>354.94987500000002</v>
      </c>
      <c r="AK57" s="1314">
        <f>AI57/AB57</f>
        <v>138.38201754385966</v>
      </c>
      <c r="AM57" s="1082">
        <f>(AK57/AK50-1)*100</f>
        <v>-4.9639310309269824</v>
      </c>
      <c r="AN57" s="86"/>
      <c r="AO57" s="86"/>
      <c r="AP57" s="1091">
        <f>0.025*366.885</f>
        <v>9.1721249999999994</v>
      </c>
      <c r="AQ57" s="1321"/>
      <c r="AR57" s="1321"/>
      <c r="AS57" s="1327">
        <f>AP57+AQ57</f>
        <v>9.1721249999999994</v>
      </c>
      <c r="AT57" s="1327"/>
    </row>
    <row r="58" spans="1:46" hidden="1" outlineLevel="1">
      <c r="A58" s="22" t="str">
        <f>$A$16</f>
        <v>4Q</v>
      </c>
      <c r="B58" s="200" t="str">
        <f>$B$16</f>
        <v>Jan</v>
      </c>
      <c r="D58" s="1069">
        <f>(S58/S51-1)*100</f>
        <v>18.875314862178215</v>
      </c>
      <c r="F58" s="1067">
        <f>'qtrP&amp;L'!AD13</f>
        <v>-9</v>
      </c>
      <c r="H58" s="1061">
        <f>D58-F58</f>
        <v>27.875314862178215</v>
      </c>
      <c r="J58" s="22">
        <f>yrSales!H218</f>
        <v>354</v>
      </c>
      <c r="K58" s="39"/>
      <c r="L58" s="1070">
        <f>AVERAGE(J58,J57)</f>
        <v>339.5</v>
      </c>
      <c r="N58" s="1069">
        <f>(L58/L51-1)*100</f>
        <v>44.468085106382979</v>
      </c>
      <c r="O58" s="86"/>
      <c r="P58" s="1070">
        <f>H58/N58*100</f>
        <v>62.686114761836173</v>
      </c>
      <c r="Q58" s="97"/>
      <c r="S58" s="1071">
        <f>+'qtrP&amp;L'!AB13-AS58</f>
        <v>417.47275000000002</v>
      </c>
      <c r="U58" s="1316">
        <f>S58/L58</f>
        <v>1.2296693667157585</v>
      </c>
      <c r="W58" s="1185">
        <f>(U58/U51-1)*100</f>
        <v>-17.715172333985617</v>
      </c>
      <c r="X58" s="86"/>
      <c r="Z58" s="380">
        <f>yrSales!H$228</f>
        <v>2.8490000000000002</v>
      </c>
      <c r="AA58" s="39"/>
      <c r="AB58" s="1224">
        <f>AVERAGE(Z58,Z57)</f>
        <v>2.7534999999999998</v>
      </c>
      <c r="AD58" s="1069">
        <f>(AB58/AB51-1)*100</f>
        <v>33.470673776054305</v>
      </c>
      <c r="AE58" s="86"/>
      <c r="AF58" s="1070">
        <f>+H58/AD58*100</f>
        <v>83.282801680917643</v>
      </c>
      <c r="AG58" s="97"/>
      <c r="AI58" s="1071">
        <f>+S58</f>
        <v>417.47275000000002</v>
      </c>
      <c r="AK58" s="1317">
        <f>AI58/AB58</f>
        <v>151.61530779008535</v>
      </c>
      <c r="AM58" s="1185">
        <f>(AK58/AK51-1)*100</f>
        <v>-10.935255289386737</v>
      </c>
      <c r="AN58" s="86"/>
      <c r="AO58" s="86"/>
      <c r="AP58" s="1281">
        <f>0.05*'qtrP&amp;L'!AB13</f>
        <v>21.972250000000003</v>
      </c>
      <c r="AQ58" s="1323"/>
      <c r="AR58" s="1323"/>
      <c r="AS58" s="1328">
        <f>AP58+AQ58</f>
        <v>21.972250000000003</v>
      </c>
      <c r="AT58" s="1328"/>
    </row>
    <row r="59" spans="1:46" hidden="1" outlineLevel="1">
      <c r="B59" s="200" t="str">
        <f>$B$17</f>
        <v>Year</v>
      </c>
      <c r="D59" s="1053">
        <f>(S59/S52-1)*100</f>
        <v>18.988030529176502</v>
      </c>
      <c r="F59" s="1052">
        <f>'qtrP&amp;L'!AD14</f>
        <v>-7</v>
      </c>
      <c r="H59" s="1045">
        <f>D59-F59</f>
        <v>25.988030529176502</v>
      </c>
      <c r="L59" s="244">
        <f>AVERAGE(L55:L58)</f>
        <v>294.75</v>
      </c>
      <c r="N59" s="1053">
        <f>(L59/L52-1)*100</f>
        <v>38.542890716803768</v>
      </c>
      <c r="O59" s="86"/>
      <c r="P59" s="1054">
        <f>H59/N59*100</f>
        <v>67.426262135149997</v>
      </c>
      <c r="Q59" s="97"/>
      <c r="S59" s="1030">
        <f>SUM(S55:S58)</f>
        <v>1193.8273810000001</v>
      </c>
      <c r="U59" s="1051">
        <f>SUM(U55:U58)</f>
        <v>3.9656072352902485</v>
      </c>
      <c r="W59" s="1082">
        <f>(U59/U52-1)*100</f>
        <v>-14.796835838832411</v>
      </c>
      <c r="X59" s="86"/>
      <c r="AB59" s="1083">
        <f>AVERAGE(AB55:AB58)</f>
        <v>2.4673749999999997</v>
      </c>
      <c r="AD59" s="1053">
        <f>(AB59/AB52-1)*100</f>
        <v>29.142518278452158</v>
      </c>
      <c r="AE59" s="86"/>
      <c r="AF59" s="1054">
        <f>+H59/AD59*100</f>
        <v>89.175651468637597</v>
      </c>
      <c r="AG59" s="97"/>
      <c r="AI59" s="1030">
        <f>SUM(AI55:AI58)</f>
        <v>1193.8273810000001</v>
      </c>
      <c r="AK59" s="1313">
        <f>SUM(AK55:AK58)</f>
        <v>475.03361905498087</v>
      </c>
      <c r="AM59" s="1082">
        <f>(AK59/AK52-1)*100</f>
        <v>-8.5701934598095377</v>
      </c>
      <c r="AN59" s="86"/>
      <c r="AO59" s="86"/>
      <c r="AP59" s="1050">
        <f>+SUM(AP55:AP58)</f>
        <v>43.776619000000004</v>
      </c>
      <c r="AQ59" s="1030"/>
      <c r="AR59" s="1030"/>
      <c r="AS59" s="1142">
        <f>AP59+AQ59</f>
        <v>43.776619000000004</v>
      </c>
      <c r="AT59" s="1142"/>
    </row>
    <row r="60" spans="1:46" hidden="1" outlineLevel="1">
      <c r="B60" s="200"/>
      <c r="F60" s="86"/>
      <c r="H60" s="86"/>
      <c r="O60" s="86"/>
      <c r="P60" s="97"/>
      <c r="Q60" s="97"/>
      <c r="X60" s="86"/>
      <c r="AE60" s="86"/>
      <c r="AF60" s="97"/>
      <c r="AG60" s="97"/>
      <c r="AP60" s="86"/>
    </row>
    <row r="61" spans="1:46" hidden="1" outlineLevel="1">
      <c r="A61" s="1043"/>
      <c r="B61" s="1318">
        <f>B54+1</f>
        <v>2001</v>
      </c>
      <c r="E61" s="86"/>
      <c r="F61" s="86"/>
      <c r="G61" s="86"/>
      <c r="H61" s="86"/>
      <c r="I61" s="86"/>
      <c r="O61" s="86"/>
      <c r="P61" s="97"/>
      <c r="Q61" s="97"/>
      <c r="X61" s="86"/>
      <c r="AE61" s="86"/>
      <c r="AF61" s="97"/>
      <c r="AG61" s="97"/>
      <c r="AN61" s="86"/>
      <c r="AO61" s="86"/>
      <c r="AP61" s="86"/>
    </row>
    <row r="62" spans="1:46" hidden="1" outlineLevel="1">
      <c r="A62" s="22" t="str">
        <f>$A$13</f>
        <v>1Q</v>
      </c>
      <c r="B62" s="200" t="str">
        <f>$B$13</f>
        <v>Apr</v>
      </c>
      <c r="D62" s="1053">
        <f>(S62/S55-1)*100</f>
        <v>26.395218290808664</v>
      </c>
      <c r="E62" s="86" t="s">
        <v>76</v>
      </c>
      <c r="F62" s="1325">
        <f>'qtrP&amp;L'!AH10</f>
        <v>2</v>
      </c>
      <c r="G62" s="86" t="s">
        <v>76</v>
      </c>
      <c r="H62" s="1045">
        <f>D62-F62</f>
        <v>24.395218290808664</v>
      </c>
      <c r="I62" s="86" t="s">
        <v>76</v>
      </c>
      <c r="J62" s="39">
        <v>355</v>
      </c>
      <c r="L62" s="244">
        <f>AVERAGE(J62,J58)</f>
        <v>354.5</v>
      </c>
      <c r="N62" s="1053">
        <f>(L62/L55-1)*100</f>
        <v>39.566929133858267</v>
      </c>
      <c r="O62" s="86" t="s">
        <v>76</v>
      </c>
      <c r="P62" s="1054">
        <f>H62/N62*100</f>
        <v>61.655576575775129</v>
      </c>
      <c r="Q62" s="97" t="s">
        <v>76</v>
      </c>
      <c r="S62" s="1030">
        <f>+'qtrP&amp;L'!AF10-AS62</f>
        <v>250.75968</v>
      </c>
      <c r="U62" s="1051">
        <f>S62/L62</f>
        <v>0.70736157968970381</v>
      </c>
      <c r="W62" s="1082">
        <f>(U62/U55-1)*100</f>
        <v>-9.4375586858521885</v>
      </c>
      <c r="X62" s="86" t="s">
        <v>76</v>
      </c>
      <c r="Z62" s="1312">
        <v>2.8559999999999999</v>
      </c>
      <c r="AB62" s="1083">
        <f>AVERAGE(Z62,Z58)</f>
        <v>2.8525</v>
      </c>
      <c r="AD62" s="1053">
        <f>(AB62/AB55-1)*100</f>
        <v>29.600181735574726</v>
      </c>
      <c r="AE62" s="86" t="s">
        <v>76</v>
      </c>
      <c r="AF62" s="1054">
        <f>+H62/AD62*100</f>
        <v>82.415772000107282</v>
      </c>
      <c r="AG62" s="97" t="s">
        <v>76</v>
      </c>
      <c r="AI62" s="1030">
        <f>+S62</f>
        <v>250.75968</v>
      </c>
      <c r="AK62" s="1313">
        <f>AI62/AB62</f>
        <v>87.908739702015779</v>
      </c>
      <c r="AM62" s="1082">
        <f>(AK62/AK55-1)*100</f>
        <v>-2.4729621531744517</v>
      </c>
      <c r="AN62" s="86" t="s">
        <v>76</v>
      </c>
      <c r="AO62" s="86"/>
      <c r="AP62" s="1081">
        <f>0.049*'qtrP&amp;L'!AF10</f>
        <v>12.92032</v>
      </c>
      <c r="AQ62" s="1320"/>
      <c r="AR62" s="1320"/>
      <c r="AS62" s="1326">
        <f>AP62+AQ62</f>
        <v>12.92032</v>
      </c>
      <c r="AT62" s="1329">
        <f>AP62/AP55-1</f>
        <v>0.95387280663550222</v>
      </c>
    </row>
    <row r="63" spans="1:46" hidden="1" outlineLevel="1">
      <c r="A63" s="22" t="str">
        <f>$A$14</f>
        <v>2Q</v>
      </c>
      <c r="B63" s="200" t="str">
        <f>$B$14</f>
        <v>Jul</v>
      </c>
      <c r="D63" s="1053">
        <f>(S63/S56-1)*100</f>
        <v>20.581874396140808</v>
      </c>
      <c r="F63" s="1325">
        <f>'qtrP&amp;L'!AH11</f>
        <v>-8</v>
      </c>
      <c r="H63" s="1045">
        <f>D63-F63</f>
        <v>28.581874396140808</v>
      </c>
      <c r="J63" s="1057">
        <v>405</v>
      </c>
      <c r="K63" s="1057"/>
      <c r="L63" s="244">
        <f>AVERAGE(J63,J62)</f>
        <v>380</v>
      </c>
      <c r="N63" s="1053">
        <f>(L63/L56-1)*100</f>
        <v>37.681159420289845</v>
      </c>
      <c r="O63" s="86"/>
      <c r="P63" s="1054">
        <f>H63/N63*100</f>
        <v>75.851897435912164</v>
      </c>
      <c r="Q63" s="97"/>
      <c r="S63" s="1059">
        <f>+'qtrP&amp;L'!AF11-AS63</f>
        <v>268.91136</v>
      </c>
      <c r="U63" s="1271">
        <f>S63/L63</f>
        <v>0.70766147368421051</v>
      </c>
      <c r="W63" s="1082">
        <f>(U63/U56-1)*100</f>
        <v>-12.419480701750363</v>
      </c>
      <c r="X63" s="86"/>
      <c r="Z63" s="1312">
        <v>3.1419999999999999</v>
      </c>
      <c r="AA63" s="1057"/>
      <c r="AB63" s="1083">
        <f>AVERAGE(Z63,Z62)</f>
        <v>2.9989999999999997</v>
      </c>
      <c r="AD63" s="1053">
        <f>(AB63/AB56-1)*100</f>
        <v>27.617021276595732</v>
      </c>
      <c r="AE63" s="86"/>
      <c r="AF63" s="1054">
        <f>+H63/AD63*100</f>
        <v>103.49369003225104</v>
      </c>
      <c r="AG63" s="97"/>
      <c r="AI63" s="1059">
        <f>+S63</f>
        <v>268.91136</v>
      </c>
      <c r="AK63" s="1314">
        <f>AI63/AB63</f>
        <v>89.667009003001013</v>
      </c>
      <c r="AM63" s="1082">
        <f>(AK63/AK56-1)*100</f>
        <v>-5.5127026238976473</v>
      </c>
      <c r="AN63" s="86"/>
      <c r="AO63" s="86"/>
      <c r="AP63" s="1091">
        <f>0.04*'qtrP&amp;L'!AF11</f>
        <v>11.204639999999999</v>
      </c>
      <c r="AQ63" s="1321"/>
      <c r="AR63" s="1321"/>
      <c r="AS63" s="1327">
        <f>AP63+AQ63</f>
        <v>11.204639999999999</v>
      </c>
      <c r="AT63" s="1329">
        <f>AP63/AP56-1</f>
        <v>0.86136821687654885</v>
      </c>
    </row>
    <row r="64" spans="1:46" hidden="1" outlineLevel="1">
      <c r="A64" s="22" t="str">
        <f>$A$15</f>
        <v>3Q</v>
      </c>
      <c r="B64" s="200" t="str">
        <f>$B$15</f>
        <v>Oct</v>
      </c>
      <c r="D64" s="1319">
        <f>(S64/S57-1)*100</f>
        <v>-3.5297820572552596</v>
      </c>
      <c r="F64" s="1325">
        <f>'qtrP&amp;L'!AH12</f>
        <v>-15</v>
      </c>
      <c r="H64" s="1045">
        <f>D64-F64</f>
        <v>11.470217942744741</v>
      </c>
      <c r="J64" s="1057">
        <v>454</v>
      </c>
      <c r="K64" s="1057"/>
      <c r="L64" s="244">
        <f>AVERAGE(J64,J63)</f>
        <v>429.5</v>
      </c>
      <c r="N64" s="1053">
        <f>(L64/L57-1)*100</f>
        <v>38.772213247172857</v>
      </c>
      <c r="O64" s="86"/>
      <c r="P64" s="1054">
        <f>H64/N64*100</f>
        <v>29.583603777329149</v>
      </c>
      <c r="Q64" s="97"/>
      <c r="S64" s="1059">
        <f>+'qtrP&amp;L'!AF12-AS64</f>
        <v>342.42091800000003</v>
      </c>
      <c r="U64" s="1271">
        <f>S64/L64</f>
        <v>0.79725475669383006</v>
      </c>
      <c r="W64" s="1082">
        <f>(U64/U57-1)*100</f>
        <v>-30.483044346264276</v>
      </c>
      <c r="X64" s="86"/>
      <c r="Z64" s="1312">
        <v>3.448</v>
      </c>
      <c r="AA64" s="1057"/>
      <c r="AB64" s="1083">
        <f>AVERAGE(Z64,Z63)</f>
        <v>3.2949999999999999</v>
      </c>
      <c r="AD64" s="1053">
        <f>(AB64/AB57-1)*100</f>
        <v>28.460038986354785</v>
      </c>
      <c r="AE64" s="86"/>
      <c r="AF64" s="1054">
        <f>+H64/AD64*100</f>
        <v>40.302889072794862</v>
      </c>
      <c r="AG64" s="97"/>
      <c r="AI64" s="1059">
        <f>+S64</f>
        <v>342.42091800000003</v>
      </c>
      <c r="AK64" s="1314">
        <f>AI64/AB64</f>
        <v>103.92137116843703</v>
      </c>
      <c r="AM64" s="1082">
        <f>(AK64/AK57-1)*100</f>
        <v>-24.902546578713125</v>
      </c>
      <c r="AN64" s="86"/>
      <c r="AO64" s="86"/>
      <c r="AP64" s="1091">
        <f>0.034*'qtrP&amp;L'!AF12</f>
        <v>12.052082000000002</v>
      </c>
      <c r="AQ64" s="1321"/>
      <c r="AR64" s="1321"/>
      <c r="AS64" s="1327">
        <f>AP64+AQ64</f>
        <v>12.052082000000002</v>
      </c>
      <c r="AT64" s="1329">
        <f>AP64/AP57-1</f>
        <v>0.3139901604044868</v>
      </c>
    </row>
    <row r="65" spans="1:51" hidden="1" outlineLevel="1">
      <c r="A65" s="22" t="str">
        <f>$A$16</f>
        <v>4Q</v>
      </c>
      <c r="B65" s="200" t="str">
        <f>$B$16</f>
        <v>Jan</v>
      </c>
      <c r="D65" s="1069">
        <f>(S65/S58-1)*100</f>
        <v>6.7345641122684041</v>
      </c>
      <c r="F65" s="1067">
        <f>'qtrP&amp;L'!AH13</f>
        <v>-9</v>
      </c>
      <c r="H65" s="1061">
        <f>D65-F65</f>
        <v>15.734564112268405</v>
      </c>
      <c r="J65" s="22">
        <f>yrSales!I218</f>
        <v>491</v>
      </c>
      <c r="K65" s="39"/>
      <c r="L65" s="1070">
        <f>AVERAGE(J65,J64)</f>
        <v>472.5</v>
      </c>
      <c r="N65" s="1069">
        <f>(L65/L58-1)*100</f>
        <v>39.175257731958759</v>
      </c>
      <c r="O65" s="86"/>
      <c r="P65" s="1070">
        <f>H65/N65*100</f>
        <v>40.164545233948303</v>
      </c>
      <c r="Q65" s="97"/>
      <c r="S65" s="1071">
        <f>+'qtrP&amp;L'!AF13-AS65</f>
        <v>445.58771999999999</v>
      </c>
      <c r="U65" s="1316">
        <f>S65/L65</f>
        <v>0.94304279365079358</v>
      </c>
      <c r="W65" s="1185">
        <f>(U65/U58-1)*100</f>
        <v>-23.309239119333082</v>
      </c>
      <c r="X65" s="86"/>
      <c r="Z65" s="380">
        <f>yrSales!I$228</f>
        <v>3.673</v>
      </c>
      <c r="AA65" s="39"/>
      <c r="AB65" s="1224">
        <f>AVERAGE(Z65,Z64)</f>
        <v>3.5605000000000002</v>
      </c>
      <c r="AD65" s="1069">
        <f>(AB65/AB58-1)*100</f>
        <v>29.308153259487945</v>
      </c>
      <c r="AE65" s="86"/>
      <c r="AF65" s="1070">
        <f>+H65/AD65*100</f>
        <v>53.686644712677847</v>
      </c>
      <c r="AG65" s="97"/>
      <c r="AI65" s="1071">
        <f>+S65</f>
        <v>445.58771999999999</v>
      </c>
      <c r="AK65" s="1317">
        <f>AI65/AB65</f>
        <v>125.14751298974862</v>
      </c>
      <c r="AM65" s="1185">
        <f>(AK65/AK58-1)*100</f>
        <v>-17.457204807434067</v>
      </c>
      <c r="AN65" s="86"/>
      <c r="AO65" s="86"/>
      <c r="AP65" s="1281">
        <f>0.045*'qtrP&amp;L'!AF13</f>
        <v>20.996279999999999</v>
      </c>
      <c r="AQ65" s="1323"/>
      <c r="AR65" s="1323"/>
      <c r="AS65" s="1328">
        <f>AP65+AQ65</f>
        <v>20.996279999999999</v>
      </c>
      <c r="AT65" s="1330">
        <f>AP65/AP58-1</f>
        <v>-4.4418300356131146E-2</v>
      </c>
    </row>
    <row r="66" spans="1:51" hidden="1" outlineLevel="1">
      <c r="B66" s="200" t="str">
        <f>$B$17</f>
        <v>Year</v>
      </c>
      <c r="D66" s="1053">
        <f>(S66/S59-1)*100</f>
        <v>9.5367470048000058</v>
      </c>
      <c r="F66" s="1325">
        <f>'qtrP&amp;L'!AH14</f>
        <v>-9</v>
      </c>
      <c r="H66" s="1045">
        <f>D66-F66</f>
        <v>18.536747004800006</v>
      </c>
      <c r="L66" s="244">
        <f>AVERAGE(L62:L65)</f>
        <v>409.125</v>
      </c>
      <c r="N66" s="1053">
        <f>(L66/L59-1)*100</f>
        <v>38.804071246819348</v>
      </c>
      <c r="O66" s="86"/>
      <c r="P66" s="1054">
        <f>H66/N66*100</f>
        <v>47.770108674664925</v>
      </c>
      <c r="Q66" s="97"/>
      <c r="S66" s="1030">
        <f>SUM(S62:S65)</f>
        <v>1307.679678</v>
      </c>
      <c r="U66" s="1051">
        <f>SUM(U62:U65)</f>
        <v>3.155320603718538</v>
      </c>
      <c r="W66" s="1082">
        <f>(U66/U59-1)*100</f>
        <v>-20.43285135151325</v>
      </c>
      <c r="X66" s="86"/>
      <c r="AB66" s="1083">
        <f>AVERAGE(AB62:AB65)</f>
        <v>3.1767500000000002</v>
      </c>
      <c r="AD66" s="1053">
        <f>(AB66/AB59-1)*100</f>
        <v>28.750189979228956</v>
      </c>
      <c r="AE66" s="86"/>
      <c r="AF66" s="1054">
        <f>+H66/AD66*100</f>
        <v>64.475215705329873</v>
      </c>
      <c r="AG66" s="97"/>
      <c r="AI66" s="1030">
        <f>SUM(AI62:AI65)</f>
        <v>1307.679678</v>
      </c>
      <c r="AK66" s="1313">
        <f>SUM(AK62:AK65)</f>
        <v>406.64463286320245</v>
      </c>
      <c r="AM66" s="1082">
        <f>(AK66/AK59-1)*100</f>
        <v>-14.396662351567802</v>
      </c>
      <c r="AN66" s="86"/>
      <c r="AO66" s="86"/>
      <c r="AP66" s="1050">
        <f>+SUM(AP62:AP65)</f>
        <v>57.173321999999999</v>
      </c>
      <c r="AQ66" s="1030"/>
      <c r="AR66" s="1030"/>
      <c r="AS66" s="1142">
        <f>AP66+AQ66</f>
        <v>57.173321999999999</v>
      </c>
      <c r="AT66" s="1331">
        <f>AP66/AP59-1</f>
        <v>0.30602415869530697</v>
      </c>
    </row>
    <row r="67" spans="1:51" hidden="1" outlineLevel="1">
      <c r="B67" s="200"/>
      <c r="F67" s="86"/>
      <c r="H67" s="86"/>
      <c r="O67" s="86"/>
      <c r="AE67" s="86"/>
    </row>
    <row r="68" spans="1:51" ht="10.5" hidden="1" customHeight="1" outlineLevel="1">
      <c r="A68" s="1043"/>
      <c r="B68" s="1318">
        <f>B61+1</f>
        <v>2002</v>
      </c>
      <c r="E68" s="86"/>
      <c r="F68" s="86"/>
      <c r="G68" s="86"/>
      <c r="H68" s="86"/>
      <c r="I68" s="86"/>
      <c r="O68" s="86"/>
      <c r="P68" s="97"/>
      <c r="Q68" s="97"/>
      <c r="X68" s="86"/>
      <c r="AE68" s="86"/>
      <c r="AF68" s="97"/>
      <c r="AG68" s="97"/>
      <c r="AN68" s="86"/>
      <c r="AO68" s="86"/>
    </row>
    <row r="69" spans="1:51" hidden="1" outlineLevel="1">
      <c r="A69" s="22" t="str">
        <f>$A$13</f>
        <v>1Q</v>
      </c>
      <c r="B69" s="200" t="str">
        <f>$B$13</f>
        <v>Apr</v>
      </c>
      <c r="D69" s="1053">
        <f>(S69/S62-1)*100</f>
        <v>18.126655768582879</v>
      </c>
      <c r="E69" s="86" t="s">
        <v>76</v>
      </c>
      <c r="F69" s="1056">
        <f>'qtrP&amp;L'!AL10</f>
        <v>-6</v>
      </c>
      <c r="G69" s="86" t="s">
        <v>76</v>
      </c>
      <c r="H69" s="1045">
        <f>D69-F69</f>
        <v>24.126655768582879</v>
      </c>
      <c r="I69" s="86" t="s">
        <v>76</v>
      </c>
      <c r="J69" s="39">
        <v>507</v>
      </c>
      <c r="L69" s="244">
        <f>AVERAGE(J69,J65)</f>
        <v>499</v>
      </c>
      <c r="N69" s="1053">
        <f>(L69/L62-1)*100</f>
        <v>40.761636107193233</v>
      </c>
      <c r="O69" s="86" t="s">
        <v>76</v>
      </c>
      <c r="P69" s="1054">
        <f>H69/N69*100</f>
        <v>59.189615709083945</v>
      </c>
      <c r="Q69" s="97" t="s">
        <v>76</v>
      </c>
      <c r="S69" s="1030">
        <f>+'qtrP&amp;L'!AJ10-AS69</f>
        <v>296.21402399999999</v>
      </c>
      <c r="U69" s="1051">
        <f>S69/L69</f>
        <v>0.59361527855711427</v>
      </c>
      <c r="W69" s="1082">
        <f>(U69/U62-1)*100</f>
        <v>-16.080361783642005</v>
      </c>
      <c r="X69" s="86" t="s">
        <v>76</v>
      </c>
      <c r="Z69" s="1312">
        <v>3.7719999999999998</v>
      </c>
      <c r="AB69" s="1083">
        <f>AVERAGE(Z69,Z65)</f>
        <v>3.7225000000000001</v>
      </c>
      <c r="AD69" s="1053">
        <f>(AB69/AB62-1)*100</f>
        <v>30.49956178790536</v>
      </c>
      <c r="AE69" s="86" t="s">
        <v>76</v>
      </c>
      <c r="AF69" s="1054">
        <f>+H69/AD69*100</f>
        <v>79.104925953888085</v>
      </c>
      <c r="AG69" s="97" t="s">
        <v>76</v>
      </c>
      <c r="AI69" s="1030">
        <f>+S69</f>
        <v>296.21402399999999</v>
      </c>
      <c r="AK69" s="1313">
        <f>AI69/AB69</f>
        <v>79.573948690396236</v>
      </c>
      <c r="AM69" s="1082">
        <f>(AK69/AK62-1)*100</f>
        <v>-9.4811858751154716</v>
      </c>
      <c r="AN69" s="86" t="s">
        <v>76</v>
      </c>
      <c r="AO69" s="86"/>
      <c r="AP69" s="1081">
        <f>0.053*'qtrP&amp;L'!AJ10</f>
        <v>16.577976</v>
      </c>
      <c r="AQ69" s="1320"/>
      <c r="AR69" s="1320"/>
      <c r="AS69" s="1326">
        <f>AP69+AQ69</f>
        <v>16.577976</v>
      </c>
      <c r="AT69" s="1329">
        <f>AP69/AP62-1</f>
        <v>0.28309329799881122</v>
      </c>
      <c r="AU69" s="1019">
        <f>AS69/'qtrP&amp;L'!AJ10</f>
        <v>5.3000000000000005E-2</v>
      </c>
      <c r="AY69" s="281"/>
    </row>
    <row r="70" spans="1:51" hidden="1" outlineLevel="1">
      <c r="A70" s="22" t="str">
        <f>$A$14</f>
        <v>2Q</v>
      </c>
      <c r="B70" s="200" t="str">
        <f>$B$14</f>
        <v>Jul</v>
      </c>
      <c r="D70" s="1053">
        <f>(S70/S63-1)*100</f>
        <v>17.383916395350486</v>
      </c>
      <c r="F70" s="1332">
        <f>'qtrP&amp;L'!AL11</f>
        <v>-5</v>
      </c>
      <c r="H70" s="1045">
        <f>D70-F70</f>
        <v>22.383916395350486</v>
      </c>
      <c r="J70" s="1057">
        <v>533</v>
      </c>
      <c r="K70" s="1057"/>
      <c r="L70" s="244">
        <f>AVERAGE(J70,J69)</f>
        <v>520</v>
      </c>
      <c r="N70" s="1053">
        <f>(L70/L63-1)*100</f>
        <v>36.842105263157897</v>
      </c>
      <c r="O70" s="86"/>
      <c r="P70" s="1054">
        <f>H70/N70*100</f>
        <v>60.756344501665602</v>
      </c>
      <c r="Q70" s="97"/>
      <c r="S70" s="1059">
        <f>+'qtrP&amp;L'!AJ11-AS70</f>
        <v>315.65868599999999</v>
      </c>
      <c r="U70" s="1271">
        <f>S70/L70</f>
        <v>0.60703593461538463</v>
      </c>
      <c r="W70" s="1082">
        <f>(U70/U63-1)*100</f>
        <v>-14.219445711090017</v>
      </c>
      <c r="X70" s="86"/>
      <c r="Z70" s="1312">
        <v>3.9359999999999999</v>
      </c>
      <c r="AA70" s="1057"/>
      <c r="AB70" s="1083">
        <f>AVERAGE(Z70,Z69)</f>
        <v>3.8540000000000001</v>
      </c>
      <c r="AD70" s="1053">
        <f>(AB70/AB63-1)*100</f>
        <v>28.509503167722585</v>
      </c>
      <c r="AE70" s="86"/>
      <c r="AF70" s="1054">
        <f>+H70/AD70*100</f>
        <v>78.513877508369688</v>
      </c>
      <c r="AG70" s="97"/>
      <c r="AI70" s="1059">
        <f>+S70</f>
        <v>315.65868599999999</v>
      </c>
      <c r="AK70" s="1314">
        <f>AI70/AB70</f>
        <v>81.904173845355473</v>
      </c>
      <c r="AM70" s="1082">
        <f>(AK70/AK63-1)*100</f>
        <v>-8.6574039258806241</v>
      </c>
      <c r="AN70" s="86"/>
      <c r="AO70" s="86"/>
      <c r="AP70" s="1091">
        <f>0.041*'qtrP&amp;L'!AJ11</f>
        <v>13.495314</v>
      </c>
      <c r="AQ70" s="1321"/>
      <c r="AR70" s="1321"/>
      <c r="AS70" s="1327">
        <f>AP70+AQ70</f>
        <v>13.495314</v>
      </c>
      <c r="AT70" s="1329">
        <f>AP70/AP63-1</f>
        <v>0.20443976781047857</v>
      </c>
      <c r="AU70" s="1019">
        <f>AS70/'qtrP&amp;L'!AJ11</f>
        <v>4.1000000000000002E-2</v>
      </c>
      <c r="AY70" s="281"/>
    </row>
    <row r="71" spans="1:51" hidden="1" outlineLevel="1">
      <c r="A71" s="22" t="str">
        <f>$A$15</f>
        <v>3Q</v>
      </c>
      <c r="B71" s="200" t="str">
        <f>$B$15</f>
        <v>Oct</v>
      </c>
      <c r="D71" s="1053">
        <f>(S71/S64-1)*100</f>
        <v>17.31677619064147</v>
      </c>
      <c r="F71" s="1332">
        <f>'qtrP&amp;L'!AL12</f>
        <v>-5</v>
      </c>
      <c r="H71" s="1045">
        <f>D71-F71</f>
        <v>22.31677619064147</v>
      </c>
      <c r="J71" s="1057">
        <f>J70+27</f>
        <v>560</v>
      </c>
      <c r="K71" s="1057"/>
      <c r="L71" s="244">
        <f>AVERAGE(J71,J70)</f>
        <v>546.5</v>
      </c>
      <c r="N71" s="1053">
        <f>(L71/L64-1)*100</f>
        <v>27.24097788125728</v>
      </c>
      <c r="O71" s="86"/>
      <c r="P71" s="1054">
        <f>H71/N71*100</f>
        <v>81.923550204106917</v>
      </c>
      <c r="Q71" s="97"/>
      <c r="S71" s="1059">
        <f>+'qtrP&amp;L'!AJ12-AS71</f>
        <v>401.71718199999998</v>
      </c>
      <c r="U71" s="1271">
        <f>S71/L71</f>
        <v>0.73507261116193956</v>
      </c>
      <c r="W71" s="1082">
        <f>(U71/U64-1)*100</f>
        <v>-7.7995327101911922</v>
      </c>
      <c r="X71" s="86"/>
      <c r="Z71" s="1312">
        <v>4.1100000000000003</v>
      </c>
      <c r="AA71" s="1057"/>
      <c r="AB71" s="1083">
        <f>AVERAGE(Z71,Z70)</f>
        <v>4.0229999999999997</v>
      </c>
      <c r="AD71" s="1053">
        <f>(AB71/AB64-1)*100</f>
        <v>22.094081942336864</v>
      </c>
      <c r="AE71" s="86"/>
      <c r="AF71" s="1054">
        <f>+H71/AD71*100</f>
        <v>101.00793619253253</v>
      </c>
      <c r="AG71" s="97"/>
      <c r="AI71" s="1059">
        <f>+S71</f>
        <v>401.71718199999998</v>
      </c>
      <c r="AK71" s="1314">
        <f>AI71/AB71</f>
        <v>99.855128511061395</v>
      </c>
      <c r="AM71" s="1082">
        <f>(AK71/AK64-1)*100</f>
        <v>-3.9128069728651127</v>
      </c>
      <c r="AN71" s="86"/>
      <c r="AO71" s="86"/>
      <c r="AP71" s="1058">
        <f>'qtrP&amp;L'!AJ12*AU71</f>
        <v>17.611818000000003</v>
      </c>
      <c r="AQ71" s="1321"/>
      <c r="AR71" s="1321"/>
      <c r="AS71" s="1327">
        <f>AP71+AQ71</f>
        <v>17.611818000000003</v>
      </c>
      <c r="AT71" s="1329">
        <f>AP71/AP64-1</f>
        <v>0.46130917463057419</v>
      </c>
      <c r="AU71" s="792">
        <v>4.2000000000000003E-2</v>
      </c>
      <c r="AY71" s="281"/>
    </row>
    <row r="72" spans="1:51" hidden="1" outlineLevel="1">
      <c r="A72" s="22" t="str">
        <f>$A$16</f>
        <v>4Q</v>
      </c>
      <c r="B72" s="200" t="str">
        <f>$B$16</f>
        <v>Jan</v>
      </c>
      <c r="D72" s="1069">
        <f>(S72/S65-1)*100</f>
        <v>13.952399765415425</v>
      </c>
      <c r="F72" s="1333">
        <f>'qtrP&amp;L'!AL13</f>
        <v>-4</v>
      </c>
      <c r="H72" s="1061">
        <f>D72-F72</f>
        <v>17.952399765415425</v>
      </c>
      <c r="J72" s="114">
        <f>yrSales!J218</f>
        <v>597</v>
      </c>
      <c r="K72" s="39"/>
      <c r="L72" s="1070">
        <f>AVERAGE(J72,J71)</f>
        <v>578.5</v>
      </c>
      <c r="N72" s="1069">
        <f>(L72/L65-1)*100</f>
        <v>22.43386243386243</v>
      </c>
      <c r="O72" s="86"/>
      <c r="P72" s="1070">
        <f>H72/N72*100</f>
        <v>80.023668765648964</v>
      </c>
      <c r="Q72" s="97"/>
      <c r="S72" s="1071">
        <f>+'qtrP&amp;L'!AJ13-AS72</f>
        <v>507.75789999999995</v>
      </c>
      <c r="U72" s="1316">
        <f>S72/L72</f>
        <v>0.87771460674157298</v>
      </c>
      <c r="W72" s="1185">
        <f>(U72/U65-1)*100</f>
        <v>-6.9273830783771917</v>
      </c>
      <c r="X72" s="86"/>
      <c r="Z72" s="1334">
        <f>+squft!BA57/1000</f>
        <v>4.3575140000000001</v>
      </c>
      <c r="AA72" s="39"/>
      <c r="AB72" s="1224">
        <f>AVERAGE(Z72,Z71)</f>
        <v>4.2337570000000007</v>
      </c>
      <c r="AD72" s="1069">
        <f>(AB72/AB65-1)*100</f>
        <v>18.909057716612843</v>
      </c>
      <c r="AE72" s="86"/>
      <c r="AF72" s="1070">
        <f>+H72/AD72*100</f>
        <v>94.940742338752656</v>
      </c>
      <c r="AG72" s="97"/>
      <c r="AI72" s="1071">
        <f>+S72</f>
        <v>507.75789999999995</v>
      </c>
      <c r="AK72" s="1317">
        <f>AI72/AB72</f>
        <v>119.93080849940132</v>
      </c>
      <c r="AM72" s="1185">
        <f>(AK72/AK65-1)*100</f>
        <v>-4.168444394715709</v>
      </c>
      <c r="AN72" s="86"/>
      <c r="AO72" s="86"/>
      <c r="AP72" s="1281">
        <f>0.05*'qtrP&amp;L'!AJ13</f>
        <v>26.7241</v>
      </c>
      <c r="AQ72" s="1322"/>
      <c r="AR72" s="1322"/>
      <c r="AS72" s="1328">
        <f>AP72+AQ72</f>
        <v>26.7241</v>
      </c>
      <c r="AT72" s="1330">
        <f>AP72/AP65-1</f>
        <v>0.2728016581985</v>
      </c>
      <c r="AU72" s="309">
        <f>AS72/'qtrP&amp;L'!AJ13</f>
        <v>0.05</v>
      </c>
      <c r="AY72" s="281"/>
    </row>
    <row r="73" spans="1:51" hidden="1" outlineLevel="1">
      <c r="B73" s="200" t="str">
        <f>$B$17</f>
        <v>Year</v>
      </c>
      <c r="D73" s="1053">
        <f>(S73/S66-1)*100</f>
        <v>16.33948417144402</v>
      </c>
      <c r="F73" s="1056">
        <f>'qtrP&amp;L'!AL14</f>
        <v>-5</v>
      </c>
      <c r="H73" s="1045">
        <f>D73-F73</f>
        <v>21.33948417144402</v>
      </c>
      <c r="L73" s="244">
        <f>AVERAGE(L69:L72)</f>
        <v>536</v>
      </c>
      <c r="N73" s="1053">
        <f>(L73/L66-1)*100</f>
        <v>31.011304613504432</v>
      </c>
      <c r="O73" s="86"/>
      <c r="P73" s="1054">
        <f>H73/N73*100</f>
        <v>68.811952407030802</v>
      </c>
      <c r="Q73" s="97"/>
      <c r="S73" s="1030">
        <f>SUM(S69:S72)</f>
        <v>1521.347792</v>
      </c>
      <c r="U73" s="1051">
        <f>SUM(U69:U72)</f>
        <v>2.8134384310760114</v>
      </c>
      <c r="W73" s="1082">
        <f>(U73/U66-1)*100</f>
        <v>-10.835100947891608</v>
      </c>
      <c r="X73" s="86"/>
      <c r="AB73" s="1083">
        <f>AVERAGE(AB69:AB72)</f>
        <v>3.9583142499999999</v>
      </c>
      <c r="AD73" s="1053">
        <f>(AB73/AB66-1)*100</f>
        <v>24.602636342173589</v>
      </c>
      <c r="AE73" s="86"/>
      <c r="AF73" s="1054">
        <f>+H73/AD73*100</f>
        <v>86.736575197285234</v>
      </c>
      <c r="AG73" s="97"/>
      <c r="AI73" s="1030">
        <f>SUM(AI69:AI72)</f>
        <v>1521.347792</v>
      </c>
      <c r="AK73" s="1313">
        <f>SUM(AK69:AK72)</f>
        <v>381.26405954621441</v>
      </c>
      <c r="AM73" s="1082">
        <f>(AK73/AK66-1)*100</f>
        <v>-6.2414627578587067</v>
      </c>
      <c r="AN73" s="86"/>
      <c r="AO73" s="86"/>
      <c r="AP73" s="1326">
        <f>+SUM(AP69:AP72)</f>
        <v>74.409208000000007</v>
      </c>
      <c r="AQ73" s="1030"/>
      <c r="AR73" s="1030"/>
      <c r="AS73" s="1142">
        <f>SUM(AS69:AS72)</f>
        <v>74.409208000000007</v>
      </c>
      <c r="AT73" s="1331">
        <f>AP73/AP66-1</f>
        <v>0.30146728224048291</v>
      </c>
      <c r="AU73" s="1019">
        <f>AS73/'qtrP&amp;L'!AJ14</f>
        <v>4.662941036761864E-2</v>
      </c>
      <c r="AY73" s="317"/>
    </row>
    <row r="74" spans="1:51" hidden="1" outlineLevel="1">
      <c r="B74" s="200"/>
      <c r="F74" s="86"/>
      <c r="H74" s="86"/>
      <c r="O74" s="86"/>
      <c r="AE74" s="86"/>
      <c r="AP74" s="1335"/>
      <c r="AQ74" s="1336"/>
      <c r="AR74" s="1336"/>
      <c r="AS74" s="1336"/>
      <c r="AT74" s="1336"/>
      <c r="AU74" s="86"/>
    </row>
    <row r="75" spans="1:51" hidden="1" outlineLevel="1">
      <c r="A75" s="1043"/>
      <c r="B75" s="1318">
        <f>B68+1</f>
        <v>2003</v>
      </c>
      <c r="E75" s="86"/>
      <c r="F75" s="86"/>
      <c r="G75" s="86"/>
      <c r="H75" s="86"/>
      <c r="I75" s="86"/>
      <c r="O75" s="86"/>
      <c r="P75" s="97"/>
      <c r="Q75" s="97"/>
      <c r="X75" s="86"/>
      <c r="AE75" s="86"/>
      <c r="AF75" s="97"/>
      <c r="AG75" s="97"/>
      <c r="AN75" s="86"/>
      <c r="AO75" s="86"/>
      <c r="AP75" s="86"/>
      <c r="AU75" s="86"/>
    </row>
    <row r="76" spans="1:51" hidden="1" outlineLevel="1">
      <c r="A76" s="22" t="str">
        <f>$A$13</f>
        <v>1Q</v>
      </c>
      <c r="B76" s="200" t="str">
        <f>$B$13</f>
        <v>Apr</v>
      </c>
      <c r="D76" s="1053">
        <f>(S76/S69-1)*100</f>
        <v>11.549771188416113</v>
      </c>
      <c r="E76" s="86" t="s">
        <v>76</v>
      </c>
      <c r="F76" s="1337">
        <f>+'qtrP&amp;L'!AP10</f>
        <v>-6</v>
      </c>
      <c r="G76" s="86" t="s">
        <v>76</v>
      </c>
      <c r="H76" s="1045">
        <f>D76-F76</f>
        <v>17.549771188416113</v>
      </c>
      <c r="I76" s="86" t="s">
        <v>76</v>
      </c>
      <c r="J76" s="39">
        <f>+J72+3+1+2-1</f>
        <v>602</v>
      </c>
      <c r="L76" s="244">
        <f>AVERAGE(J76,J72)</f>
        <v>599.5</v>
      </c>
      <c r="N76" s="1053">
        <f>(L76/L69-1)*100</f>
        <v>20.140280561122246</v>
      </c>
      <c r="O76" s="86" t="s">
        <v>76</v>
      </c>
      <c r="P76" s="1054">
        <f>H76/N76*100</f>
        <v>87.13766988079243</v>
      </c>
      <c r="Q76" s="97" t="s">
        <v>76</v>
      </c>
      <c r="S76" s="1030">
        <f>+'qtrP&amp;L'!AN10-AS76</f>
        <v>330.42606599999999</v>
      </c>
      <c r="U76" s="1051">
        <f>S76/L76</f>
        <v>0.55116941784820683</v>
      </c>
      <c r="W76" s="1082">
        <f>(U76/U69-1)*100</f>
        <v>-7.1503989607679124</v>
      </c>
      <c r="X76" s="86" t="s">
        <v>76</v>
      </c>
      <c r="Z76" s="1312">
        <v>4.3920000000000003</v>
      </c>
      <c r="AB76" s="1083">
        <f>AVERAGE(Z76,Z72)</f>
        <v>4.3747570000000007</v>
      </c>
      <c r="AD76" s="1053">
        <f>(AB76/AB69-1)*100</f>
        <v>17.522014775016803</v>
      </c>
      <c r="AE76" s="86" t="s">
        <v>76</v>
      </c>
      <c r="AF76" s="1054">
        <f>+H76/AD76*100</f>
        <v>100.15840880033321</v>
      </c>
      <c r="AG76" s="97" t="s">
        <v>76</v>
      </c>
      <c r="AI76" s="1030">
        <f>+S76</f>
        <v>330.42606599999999</v>
      </c>
      <c r="AK76" s="1313">
        <f>AI76/AB76</f>
        <v>75.530153103360931</v>
      </c>
      <c r="AM76" s="1082">
        <f>(AK76/AK69-1)*100</f>
        <v>-5.0818083726984264</v>
      </c>
      <c r="AN76" s="86" t="s">
        <v>76</v>
      </c>
      <c r="AO76" s="86"/>
      <c r="AP76" s="1050">
        <f>'qtrP&amp;L'!AN10*qtrSales!AU76</f>
        <v>16.295933999999999</v>
      </c>
      <c r="AQ76" s="1030"/>
      <c r="AR76" s="1338"/>
      <c r="AS76" s="1326">
        <f>AP76+AQ76</f>
        <v>16.295933999999999</v>
      </c>
      <c r="AT76" s="1329">
        <f>AP76/AP69-1</f>
        <v>-1.7013053945789336E-2</v>
      </c>
      <c r="AU76" s="792">
        <v>4.7E-2</v>
      </c>
    </row>
    <row r="77" spans="1:51" hidden="1" outlineLevel="1">
      <c r="A77" s="22" t="str">
        <f>$A$14</f>
        <v>2Q</v>
      </c>
      <c r="B77" s="200" t="str">
        <f>$B$14</f>
        <v>Jul</v>
      </c>
      <c r="D77" s="1053">
        <f>(S77/S70-1)*100</f>
        <v>7.6199262262657941</v>
      </c>
      <c r="F77" s="1337">
        <f>+'qtrP&amp;L'!AP11</f>
        <v>-8</v>
      </c>
      <c r="H77" s="1045">
        <f>D77-F77</f>
        <v>15.619926226265793</v>
      </c>
      <c r="J77" s="1057">
        <f>+J76+6+2+17-2</f>
        <v>625</v>
      </c>
      <c r="K77" s="1057"/>
      <c r="L77" s="244">
        <f>AVERAGE(J77,J76)</f>
        <v>613.5</v>
      </c>
      <c r="N77" s="1053">
        <f>(L77/L70-1)*100</f>
        <v>17.980769230769234</v>
      </c>
      <c r="O77" s="86"/>
      <c r="P77" s="1054">
        <f>H77/N77*100</f>
        <v>86.870177942868565</v>
      </c>
      <c r="Q77" s="97"/>
      <c r="S77" s="1059">
        <f>+'qtrP&amp;L'!AN11-AS77</f>
        <v>339.71164499999998</v>
      </c>
      <c r="U77" s="1271">
        <f>S77/L77</f>
        <v>0.55372721271393643</v>
      </c>
      <c r="W77" s="1082">
        <f>(U77/U70-1)*100</f>
        <v>-8.7818066215840105</v>
      </c>
      <c r="X77" s="86"/>
      <c r="Z77" s="1312">
        <v>4.5380000000000003</v>
      </c>
      <c r="AA77" s="1057"/>
      <c r="AB77" s="1083">
        <f>AVERAGE(Z77,Z76)</f>
        <v>4.4649999999999999</v>
      </c>
      <c r="AD77" s="1053">
        <f>(AB77/AB70-1)*100</f>
        <v>15.853658536585357</v>
      </c>
      <c r="AE77" s="86"/>
      <c r="AF77" s="1054">
        <f>+H77/AD77*100</f>
        <v>98.525688504138131</v>
      </c>
      <c r="AG77" s="97"/>
      <c r="AI77" s="1059">
        <f>+S77</f>
        <v>339.71164499999998</v>
      </c>
      <c r="AK77" s="1314">
        <f>AI77/AB77</f>
        <v>76.083235162374024</v>
      </c>
      <c r="AM77" s="1082">
        <f>(AK77/AK70-1)*100</f>
        <v>-7.1070110468021479</v>
      </c>
      <c r="AN77" s="86"/>
      <c r="AO77" s="86"/>
      <c r="AP77" s="1058">
        <f>AU77*'qtrP&amp;L'!AN11</f>
        <v>16.007355</v>
      </c>
      <c r="AQ77" s="1059"/>
      <c r="AR77" s="1338"/>
      <c r="AS77" s="1327">
        <f>AP77+AQ77</f>
        <v>16.007355</v>
      </c>
      <c r="AT77" s="1329">
        <f>AP77/AP70-1</f>
        <v>0.18614172297139575</v>
      </c>
      <c r="AU77" s="792">
        <v>4.4999999999999998E-2</v>
      </c>
    </row>
    <row r="78" spans="1:51" hidden="1" outlineLevel="1">
      <c r="A78" s="22" t="str">
        <f>$A$15</f>
        <v>3Q</v>
      </c>
      <c r="B78" s="200" t="str">
        <f>$B$15</f>
        <v>Oct</v>
      </c>
      <c r="D78" s="1053">
        <f>(S78/S71-1)*100</f>
        <v>4.7201909327343694</v>
      </c>
      <c r="F78" s="1339">
        <f>+'qtrP&amp;L'!AP12</f>
        <v>-9</v>
      </c>
      <c r="H78" s="1045">
        <f>D78-F78</f>
        <v>13.720190932734369</v>
      </c>
      <c r="J78" s="1057">
        <v>651</v>
      </c>
      <c r="K78" s="1057"/>
      <c r="L78" s="244">
        <f>AVERAGE(J78,J77)</f>
        <v>638</v>
      </c>
      <c r="N78" s="1053">
        <f>(L78/L71-1)*100</f>
        <v>16.742909423604768</v>
      </c>
      <c r="O78" s="86"/>
      <c r="P78" s="1054">
        <f>H78/N78*100</f>
        <v>81.946276991686645</v>
      </c>
      <c r="Q78" s="97"/>
      <c r="S78" s="1059">
        <f>+'qtrP&amp;L'!AN12-AS78</f>
        <v>420.67899999999997</v>
      </c>
      <c r="U78" s="1271">
        <f>S78/L78</f>
        <v>0.65937147335423196</v>
      </c>
      <c r="W78" s="1082">
        <f>(U78/U71-1)*100</f>
        <v>-10.298457139907002</v>
      </c>
      <c r="X78" s="86"/>
      <c r="Z78" s="1312">
        <v>4.7089999999999996</v>
      </c>
      <c r="AA78" s="1057"/>
      <c r="AB78" s="1083">
        <f>AVERAGE(Z78,Z77)</f>
        <v>4.6234999999999999</v>
      </c>
      <c r="AD78" s="1053">
        <f>(AB78/AB71-1)*100</f>
        <v>14.926671638081036</v>
      </c>
      <c r="AE78" s="86"/>
      <c r="AF78" s="1054">
        <f>+H78/AD78*100</f>
        <v>91.917282468593427</v>
      </c>
      <c r="AG78" s="97"/>
      <c r="AI78" s="1059">
        <f>+S78</f>
        <v>420.67899999999997</v>
      </c>
      <c r="AK78" s="1314">
        <f>AI78/AB78</f>
        <v>90.987130961392879</v>
      </c>
      <c r="AM78" s="1082">
        <f>(AK78/AK71-1)*100</f>
        <v>-8.8808633886903188</v>
      </c>
      <c r="AN78" s="86"/>
      <c r="AO78" s="86"/>
      <c r="AP78" s="1091">
        <f>21.5</f>
        <v>21.5</v>
      </c>
      <c r="AQ78" s="1091">
        <v>2.8</v>
      </c>
      <c r="AR78" s="1338">
        <f>AQ78/AP78</f>
        <v>0.13023255813953488</v>
      </c>
      <c r="AS78" s="1327">
        <f>AP78+AQ78</f>
        <v>24.3</v>
      </c>
      <c r="AT78" s="1329">
        <f>AP78/AP71-1</f>
        <v>0.22077118898230697</v>
      </c>
      <c r="AU78" s="1019">
        <f>AS78/'qtrP&amp;L'!AN12</f>
        <v>5.4609318642003336E-2</v>
      </c>
    </row>
    <row r="79" spans="1:51" hidden="1" outlineLevel="1">
      <c r="A79" s="22" t="str">
        <f>$A$16</f>
        <v>4Q</v>
      </c>
      <c r="B79" s="200" t="str">
        <f>$B$16</f>
        <v>Jan</v>
      </c>
      <c r="D79" s="1069">
        <f>(S79/S72-1)*100</f>
        <v>3.5708159341292456</v>
      </c>
      <c r="F79" s="1333">
        <f>+'qtrP&amp;L'!AP13</f>
        <v>-11</v>
      </c>
      <c r="H79" s="1061">
        <f>D79-F79</f>
        <v>14.570815934129246</v>
      </c>
      <c r="J79" s="114">
        <f>+yrSales!K218</f>
        <v>700</v>
      </c>
      <c r="K79" s="39"/>
      <c r="L79" s="1070">
        <f>AVERAGE(J79,J78)</f>
        <v>675.5</v>
      </c>
      <c r="N79" s="1069">
        <f>(L79/L72-1)*100</f>
        <v>16.767502160760593</v>
      </c>
      <c r="O79" s="86"/>
      <c r="P79" s="1070">
        <f>H79/N79*100</f>
        <v>86.899144514368729</v>
      </c>
      <c r="Q79" s="97"/>
      <c r="S79" s="1071">
        <f>+'qtrP&amp;L'!AN13-AS79</f>
        <v>525.88900000000001</v>
      </c>
      <c r="U79" s="1316">
        <f>S79/L79</f>
        <v>0.77851813471502596</v>
      </c>
      <c r="W79" s="1185">
        <f>(U79/U72-1)*100</f>
        <v>-11.301677249602115</v>
      </c>
      <c r="X79" s="86"/>
      <c r="Z79" s="1312">
        <v>5.0209999999999999</v>
      </c>
      <c r="AA79" s="39"/>
      <c r="AB79" s="1224">
        <f>AVERAGE(Z79,Z78)</f>
        <v>4.8650000000000002</v>
      </c>
      <c r="AD79" s="1069">
        <f>(AB79/AB72-1)*100</f>
        <v>14.909759818525226</v>
      </c>
      <c r="AE79" s="86"/>
      <c r="AF79" s="1070">
        <f>+H79/AD79*100</f>
        <v>97.726697891036153</v>
      </c>
      <c r="AG79" s="97"/>
      <c r="AI79" s="1071">
        <f>+S79</f>
        <v>525.88900000000001</v>
      </c>
      <c r="AK79" s="1317">
        <f>AI79/AB79</f>
        <v>108.09640287769784</v>
      </c>
      <c r="AM79" s="1185">
        <f>(AK79/AK72-1)*100</f>
        <v>-9.8676943562525548</v>
      </c>
      <c r="AN79" s="86"/>
      <c r="AO79" s="1058"/>
      <c r="AP79" s="1145">
        <f>31</f>
        <v>31</v>
      </c>
      <c r="AQ79" s="1145">
        <v>3.5</v>
      </c>
      <c r="AR79" s="1340">
        <f>AQ79/AP79</f>
        <v>0.11290322580645161</v>
      </c>
      <c r="AS79" s="1328">
        <f>AP79+AQ79</f>
        <v>34.5</v>
      </c>
      <c r="AT79" s="1330">
        <f>AP79/AP72-1</f>
        <v>0.16000164645394976</v>
      </c>
      <c r="AU79" s="309">
        <f>AS79/'qtrP&amp;L'!AN13</f>
        <v>6.1564377601987193E-2</v>
      </c>
    </row>
    <row r="80" spans="1:51" hidden="1" outlineLevel="1">
      <c r="B80" s="200" t="str">
        <f>$B$17</f>
        <v>Year</v>
      </c>
      <c r="D80" s="1053">
        <f>(S80/S73-1)*100</f>
        <v>6.2679894434026995</v>
      </c>
      <c r="F80" s="1056">
        <f>'qtrP&amp;L'!AP14</f>
        <v>-9</v>
      </c>
      <c r="H80" s="1045">
        <f>D80-F80</f>
        <v>15.267989443402699</v>
      </c>
      <c r="L80" s="244">
        <f>AVERAGE(L76:L79)</f>
        <v>631.625</v>
      </c>
      <c r="N80" s="1053">
        <f>(L80/L73-1)*100</f>
        <v>17.840485074626855</v>
      </c>
      <c r="O80" s="86"/>
      <c r="P80" s="1054">
        <f>H80/N80*100</f>
        <v>85.58057350759583</v>
      </c>
      <c r="Q80" s="97"/>
      <c r="S80" s="1030">
        <f>SUM(S76:S79)</f>
        <v>1616.7057110000001</v>
      </c>
      <c r="U80" s="1051">
        <f>SUM(U76:U79)</f>
        <v>2.5427862386314013</v>
      </c>
      <c r="W80" s="1082">
        <f>(U80/U73-1)*100</f>
        <v>-9.6199792202702703</v>
      </c>
      <c r="X80" s="86"/>
      <c r="AB80" s="1083">
        <f>AVERAGE(AB76:AB79)</f>
        <v>4.5820642500000002</v>
      </c>
      <c r="AD80" s="1053">
        <f>(AB80/AB73-1)*100</f>
        <v>15.757970706848257</v>
      </c>
      <c r="AE80" s="86"/>
      <c r="AF80" s="1054">
        <f>+H80/AD80*100</f>
        <v>96.890581455183082</v>
      </c>
      <c r="AG80" s="97"/>
      <c r="AI80" s="1030">
        <f>SUM(AI76:AI79)</f>
        <v>1616.7057110000001</v>
      </c>
      <c r="AK80" s="1313">
        <f>SUM(AK76:AK79)</f>
        <v>350.69692210482572</v>
      </c>
      <c r="AM80" s="1082">
        <f>(AK80/AK73-1)*100</f>
        <v>-8.0173141622029931</v>
      </c>
      <c r="AN80" s="86"/>
      <c r="AO80" s="86"/>
      <c r="AP80" s="1341">
        <f>80.4+10.2</f>
        <v>90.600000000000009</v>
      </c>
      <c r="AQ80" s="1341">
        <v>10.199999999999999</v>
      </c>
      <c r="AR80" s="1338">
        <f>AQ80/AP80</f>
        <v>0.11258278145695362</v>
      </c>
      <c r="AS80" s="1142">
        <f>SUM(AS76:AS79)</f>
        <v>91.103289000000004</v>
      </c>
      <c r="AT80" s="1331">
        <f>AP80/AP73-1</f>
        <v>0.21759124220217485</v>
      </c>
      <c r="AU80" s="1342">
        <f>AS80/'qtrP&amp;L'!AN14</f>
        <v>5.334512758745269E-2</v>
      </c>
    </row>
    <row r="81" spans="1:52" hidden="1" outlineLevel="1">
      <c r="B81" s="200"/>
      <c r="D81" s="114"/>
      <c r="E81" s="114"/>
      <c r="F81" s="246"/>
      <c r="G81" s="114"/>
      <c r="H81" s="86"/>
      <c r="O81" s="86"/>
      <c r="AE81" s="86"/>
      <c r="AP81" s="114"/>
      <c r="AQ81" s="114"/>
      <c r="AR81" s="114"/>
      <c r="AS81" s="114"/>
      <c r="AT81" s="114"/>
      <c r="AU81" s="86"/>
    </row>
    <row r="82" spans="1:52" hidden="1" outlineLevel="1">
      <c r="A82" s="1043"/>
      <c r="B82" s="1318">
        <v>2004</v>
      </c>
      <c r="E82" s="86"/>
      <c r="F82" s="86"/>
      <c r="G82" s="86"/>
      <c r="H82" s="86"/>
      <c r="I82" s="86"/>
      <c r="O82" s="86"/>
      <c r="P82" s="97"/>
      <c r="Q82" s="97"/>
      <c r="U82" s="1030"/>
      <c r="W82" s="1343"/>
      <c r="X82" s="86"/>
      <c r="AE82" s="86"/>
      <c r="AF82" s="97"/>
      <c r="AG82" s="97"/>
      <c r="AN82" s="86"/>
      <c r="AO82" s="86"/>
      <c r="AU82" s="86"/>
    </row>
    <row r="83" spans="1:52" hidden="1" outlineLevel="1">
      <c r="A83" s="22" t="str">
        <f>$A$13</f>
        <v>1Q</v>
      </c>
      <c r="B83" s="200" t="str">
        <f>$B$13</f>
        <v>Apr</v>
      </c>
      <c r="D83" s="1053">
        <f>(S83/S76-1)*100</f>
        <v>16.706591785649259</v>
      </c>
      <c r="E83" s="86" t="s">
        <v>76</v>
      </c>
      <c r="F83" s="1046">
        <f>+'qtrP&amp;L'!AT10</f>
        <v>0</v>
      </c>
      <c r="G83" s="86" t="s">
        <v>76</v>
      </c>
      <c r="H83" s="1045">
        <f>D83-F83</f>
        <v>16.706591785649259</v>
      </c>
      <c r="I83" s="86" t="s">
        <v>76</v>
      </c>
      <c r="J83" s="39">
        <v>706</v>
      </c>
      <c r="L83" s="244">
        <f>AVERAGE(J83,J79)</f>
        <v>703</v>
      </c>
      <c r="N83" s="1053">
        <f>(L83/L76-1)*100</f>
        <v>17.264386989157622</v>
      </c>
      <c r="O83" s="86" t="s">
        <v>76</v>
      </c>
      <c r="P83" s="1054">
        <f>H83/N83*100</f>
        <v>96.769099280161711</v>
      </c>
      <c r="Q83" s="97" t="s">
        <v>76</v>
      </c>
      <c r="S83" s="1030">
        <f>+SegqtrSales!S27+SegqtrSales!S148+SegqtrSales!S250</f>
        <v>385.62900000000002</v>
      </c>
      <c r="U83" s="1051">
        <f>S83/L83</f>
        <v>0.54854765291607399</v>
      </c>
      <c r="W83" s="1082">
        <f>(U83/U76-1)*100</f>
        <v>-0.47567315007577271</v>
      </c>
      <c r="X83" s="86" t="s">
        <v>76</v>
      </c>
      <c r="Z83" s="1344">
        <v>5.0650000000000004</v>
      </c>
      <c r="AB83" s="1083">
        <f>AVERAGE(Z83,Z79)</f>
        <v>5.0430000000000001</v>
      </c>
      <c r="AD83" s="1053">
        <f>(AB83/AB76-1)*100</f>
        <v>15.274974129991659</v>
      </c>
      <c r="AE83" s="86" t="s">
        <v>76</v>
      </c>
      <c r="AF83" s="1054">
        <f>+H83/AD83*100</f>
        <v>109.37230821783646</v>
      </c>
      <c r="AG83" s="97" t="s">
        <v>76</v>
      </c>
      <c r="AI83" s="1030">
        <f>+S83</f>
        <v>385.62900000000002</v>
      </c>
      <c r="AK83" s="1313">
        <f>AI83/AB83</f>
        <v>76.468173706127303</v>
      </c>
      <c r="AM83" s="1082">
        <f>(AK83/AK76-1)*100</f>
        <v>1.2419153996453769</v>
      </c>
      <c r="AN83" s="86" t="s">
        <v>76</v>
      </c>
      <c r="AO83" s="86"/>
      <c r="AP83" s="1130">
        <v>22.9</v>
      </c>
      <c r="AQ83" s="1081">
        <v>3.4</v>
      </c>
      <c r="AR83" s="1338">
        <f>AQ83/AP83</f>
        <v>0.14847161572052403</v>
      </c>
      <c r="AS83" s="1326">
        <f>AP83+AQ83</f>
        <v>26.299999999999997</v>
      </c>
      <c r="AT83" s="1329">
        <f>AP83/AP76-1</f>
        <v>0.40525851417905834</v>
      </c>
      <c r="AU83" s="1019">
        <f>AS83/'qtrP&amp;L'!AR10</f>
        <v>6.3845799043526802E-2</v>
      </c>
      <c r="AV83" s="114"/>
      <c r="AW83" s="114"/>
      <c r="AX83" s="114"/>
      <c r="AY83" s="1053">
        <f>SUM(SegqtrSales!AS27,SegqtrSales!AS148,SegqtrSales!AS250,SegqtrSales!AS331)</f>
        <v>267.446549</v>
      </c>
      <c r="AZ83" s="22" t="str">
        <f>IF(AS83=AY83:AY83,"OK","check")</f>
        <v>check</v>
      </c>
    </row>
    <row r="84" spans="1:52" hidden="1" outlineLevel="1">
      <c r="A84" s="22" t="str">
        <f>$A$14</f>
        <v>2Q</v>
      </c>
      <c r="B84" s="200" t="str">
        <f>$B$14</f>
        <v>Jul</v>
      </c>
      <c r="D84" s="1053">
        <f>(S84/S77-1)*100</f>
        <v>11.461000991002246</v>
      </c>
      <c r="F84" s="1337">
        <f>'qtrP&amp;L'!AT11</f>
        <v>-5</v>
      </c>
      <c r="H84" s="1045">
        <f>D84-F84</f>
        <v>16.461000991002244</v>
      </c>
      <c r="J84" s="1057">
        <v>727</v>
      </c>
      <c r="K84" s="1057"/>
      <c r="L84" s="244">
        <f>AVERAGE(J84,J83)</f>
        <v>716.5</v>
      </c>
      <c r="N84" s="1053">
        <f>(L84/L77-1)*100</f>
        <v>16.788916055419723</v>
      </c>
      <c r="O84" s="86"/>
      <c r="P84" s="1054">
        <f>H84/N84*100</f>
        <v>98.046835999804628</v>
      </c>
      <c r="Q84" s="97"/>
      <c r="S84" s="1059">
        <f>+SegqtrSales!S28+SegqtrSales!S149+SegqtrSales!S251</f>
        <v>378.64600000000002</v>
      </c>
      <c r="U84" s="1271">
        <f>S84/L84</f>
        <v>0.5284661549197488</v>
      </c>
      <c r="W84" s="1082">
        <f>(U84/U77-1)*100</f>
        <v>-4.5620040363155923</v>
      </c>
      <c r="X84" s="86"/>
      <c r="Z84" s="1344">
        <v>5.1920000000000002</v>
      </c>
      <c r="AA84" s="1057"/>
      <c r="AB84" s="1083">
        <f>AVERAGE(Z84,Z83)</f>
        <v>5.1285000000000007</v>
      </c>
      <c r="AD84" s="1053">
        <f>(AB84/AB77-1)*100</f>
        <v>14.860022396416595</v>
      </c>
      <c r="AE84" s="86"/>
      <c r="AF84" s="1054">
        <f>+H84/AD84*100</f>
        <v>110.77372935165775</v>
      </c>
      <c r="AG84" s="97"/>
      <c r="AI84" s="1059">
        <f>+S84</f>
        <v>378.64600000000002</v>
      </c>
      <c r="AK84" s="1314">
        <f>AI84/AB84</f>
        <v>73.831724675831126</v>
      </c>
      <c r="AM84" s="1082">
        <f>(AK84/AK77-1)*100</f>
        <v>-2.9592728039729232</v>
      </c>
      <c r="AN84" s="86"/>
      <c r="AO84" s="86"/>
      <c r="AP84" s="1091">
        <v>19.899999999999999</v>
      </c>
      <c r="AQ84" s="1091">
        <v>2.8</v>
      </c>
      <c r="AR84" s="1338">
        <f>AQ84/AP84</f>
        <v>0.1407035175879397</v>
      </c>
      <c r="AS84" s="1327">
        <f>AP84+AQ84</f>
        <v>22.7</v>
      </c>
      <c r="AT84" s="1329">
        <f>AP84/AP77-1</f>
        <v>0.24317852637115855</v>
      </c>
      <c r="AU84" s="1019">
        <f>AS84/'qtrP&amp;L'!AR11</f>
        <v>5.6559676687945065E-2</v>
      </c>
      <c r="AY84" s="1053">
        <f>SUM(SegqtrSales!AS28,SegqtrSales!AS149,SegqtrSales!AS251,SegqtrSales!AS355)</f>
        <v>22.7</v>
      </c>
      <c r="AZ84" s="22" t="str">
        <f>IF(AS84=AY84:AY84,"OK","check")</f>
        <v>OK</v>
      </c>
    </row>
    <row r="85" spans="1:52" hidden="1" outlineLevel="1">
      <c r="A85" s="22" t="str">
        <f>$A$15</f>
        <v>3Q</v>
      </c>
      <c r="B85" s="200" t="str">
        <f>$B$15</f>
        <v>Oct</v>
      </c>
      <c r="D85" s="1053">
        <f>(S85/S78-1)*100</f>
        <v>15.897156739461682</v>
      </c>
      <c r="F85" s="1056">
        <f>'qtrP&amp;L'!AT12</f>
        <v>1</v>
      </c>
      <c r="H85" s="1045">
        <f>D85-F85</f>
        <v>14.897156739461682</v>
      </c>
      <c r="J85" s="1057">
        <f>363+174+224+3</f>
        <v>764</v>
      </c>
      <c r="K85" s="1057"/>
      <c r="L85" s="244">
        <f>AVERAGE(J85,J84)</f>
        <v>745.5</v>
      </c>
      <c r="N85" s="1053">
        <f>(L85/L78-1)*100</f>
        <v>16.849529780564264</v>
      </c>
      <c r="O85" s="86"/>
      <c r="P85" s="1054">
        <f>H85/N85*100</f>
        <v>88.412893021177226</v>
      </c>
      <c r="Q85" s="97"/>
      <c r="S85" s="1059">
        <f>+SegqtrSales!S29+SegqtrSales!S150+SegqtrSales!S252</f>
        <v>487.55499999999995</v>
      </c>
      <c r="U85" s="1271">
        <f>S85/L85</f>
        <v>0.65399731723675381</v>
      </c>
      <c r="W85" s="1082">
        <f>(U85/U78-1)*100</f>
        <v>-0.81504225382086348</v>
      </c>
      <c r="X85" s="86"/>
      <c r="Z85" s="1344">
        <v>5.4390000000000001</v>
      </c>
      <c r="AA85" s="1057"/>
      <c r="AB85" s="1083">
        <f>AVERAGE(Z85,Z84)</f>
        <v>5.3155000000000001</v>
      </c>
      <c r="AD85" s="1053">
        <f>(AB85/AB78-1)*100</f>
        <v>14.967016329620431</v>
      </c>
      <c r="AE85" s="86"/>
      <c r="AF85" s="1054">
        <f>+H85/AD85*100</f>
        <v>99.533243041764479</v>
      </c>
      <c r="AG85" s="97"/>
      <c r="AI85" s="1059">
        <f>+S85</f>
        <v>487.55499999999995</v>
      </c>
      <c r="AK85" s="1314">
        <f>AI85/AB85</f>
        <v>91.723262157840267</v>
      </c>
      <c r="AM85" s="1082">
        <f>(AK85/AK78-1)*100</f>
        <v>0.80904979492071316</v>
      </c>
      <c r="AN85" s="86"/>
      <c r="AO85" s="86"/>
      <c r="AP85" s="1091">
        <f>27.6</f>
        <v>27.6</v>
      </c>
      <c r="AQ85" s="1091">
        <v>4</v>
      </c>
      <c r="AR85" s="1338">
        <f>AQ85/AP85</f>
        <v>0.14492753623188406</v>
      </c>
      <c r="AS85" s="1327">
        <f>AP85+AQ85</f>
        <v>31.6</v>
      </c>
      <c r="AT85" s="1329">
        <f>AP85/AP78-1</f>
        <v>0.28372093023255829</v>
      </c>
      <c r="AU85" s="1019">
        <f>AS85/'qtrP&amp;L'!AR12</f>
        <v>6.0684738940398365E-2</v>
      </c>
      <c r="AY85" s="1053">
        <f>SUM(SegqtrSales!AS29,SegqtrSales!AS150,SegqtrSales!AS252,SegqtrSales!AS356)</f>
        <v>31.600000000000005</v>
      </c>
      <c r="AZ85" s="22" t="str">
        <f>IF(AS85=AY85:AY85,"OK","check")</f>
        <v>OK</v>
      </c>
    </row>
    <row r="86" spans="1:52" hidden="1" outlineLevel="1">
      <c r="A86" s="22" t="str">
        <f>$A$16</f>
        <v>4Q</v>
      </c>
      <c r="B86" s="200" t="str">
        <f>$B$16</f>
        <v>Jan</v>
      </c>
      <c r="D86" s="1069">
        <f>(S86/S79-1)*100</f>
        <v>21.505298646672564</v>
      </c>
      <c r="F86" s="1062">
        <f>'qtrP&amp;L'!AT13</f>
        <v>9</v>
      </c>
      <c r="H86" s="1061">
        <f>D86-F86</f>
        <v>12.505298646672564</v>
      </c>
      <c r="J86" s="114">
        <f>+yrSales!L$218</f>
        <v>788</v>
      </c>
      <c r="K86" s="39"/>
      <c r="L86" s="1070">
        <f>AVERAGE(J86,J85)</f>
        <v>776</v>
      </c>
      <c r="N86" s="1069">
        <f>(L86/L79-1)*100</f>
        <v>14.877868245743887</v>
      </c>
      <c r="O86" s="86"/>
      <c r="P86" s="1070">
        <f>H86/N86*100</f>
        <v>84.053027222162385</v>
      </c>
      <c r="Q86" s="97"/>
      <c r="S86" s="1071">
        <f>+SegqtrSales!S30+SegqtrSales!S151+SegqtrSales!S253</f>
        <v>638.98299999999995</v>
      </c>
      <c r="U86" s="1316">
        <f>S86/L86</f>
        <v>0.82343170103092778</v>
      </c>
      <c r="W86" s="1185">
        <f>(U86/U79-1)*100</f>
        <v>5.769109839983666</v>
      </c>
      <c r="X86" s="86"/>
      <c r="Z86" s="1345">
        <f>+squft!BI$57/1000</f>
        <v>5.5903639999999992</v>
      </c>
      <c r="AA86" s="39"/>
      <c r="AB86" s="1224">
        <f>AVERAGE(Z86,Z85)</f>
        <v>5.5146819999999996</v>
      </c>
      <c r="AD86" s="1069">
        <f>(AB86/AB79-1)*100</f>
        <v>13.354203494347372</v>
      </c>
      <c r="AE86" s="86"/>
      <c r="AF86" s="1070">
        <f>+H86/AD86*100</f>
        <v>93.643163757133578</v>
      </c>
      <c r="AG86" s="97"/>
      <c r="AI86" s="1071">
        <f>+S86</f>
        <v>638.98299999999995</v>
      </c>
      <c r="AK86" s="1317">
        <f>AI86/AB86</f>
        <v>115.86941912516443</v>
      </c>
      <c r="AM86" s="1185">
        <f>(AK86/AK79-1)*100</f>
        <v>7.1908186031510279</v>
      </c>
      <c r="AN86" s="86"/>
      <c r="AO86" s="86"/>
      <c r="AP86" s="1092">
        <f>AP87-SUM(AP83:AP85)</f>
        <v>40.199999999999989</v>
      </c>
      <c r="AQ86" s="1092">
        <f>AQ87-SUM(AQ83:AQ85)</f>
        <v>5.5</v>
      </c>
      <c r="AR86" s="1340">
        <f>AQ86/AP86</f>
        <v>0.13681592039800999</v>
      </c>
      <c r="AS86" s="1328">
        <f>AP86+AQ86</f>
        <v>45.699999999999989</v>
      </c>
      <c r="AT86" s="1330">
        <f>AP86/AP79-1</f>
        <v>0.29677419354838674</v>
      </c>
      <c r="AU86" s="309">
        <f>AS86/'qtrP&amp;L'!AR13</f>
        <v>6.6496520936946149E-2</v>
      </c>
      <c r="AY86" s="1053">
        <f>SUM(SegqtrSales!AS30,SegqtrSales!AS151,SegqtrSales!AS253,SegqtrSales!AS357)</f>
        <v>45.699999999999989</v>
      </c>
      <c r="AZ86" s="22" t="str">
        <f>IF(AS86=AY86:AY86,"OK","check")</f>
        <v>OK</v>
      </c>
    </row>
    <row r="87" spans="1:52" hidden="1" outlineLevel="1">
      <c r="B87" s="200" t="str">
        <f>$B$17</f>
        <v>Year</v>
      </c>
      <c r="D87" s="1053">
        <f>(S87/S80-1)*100</f>
        <v>16.954680566474465</v>
      </c>
      <c r="F87" s="1056">
        <f>'qtrP&amp;L'!AT14</f>
        <v>2</v>
      </c>
      <c r="H87" s="1045">
        <f>D87-F87</f>
        <v>14.954680566474465</v>
      </c>
      <c r="L87" s="244">
        <f>AVERAGE(L83:L86)</f>
        <v>735.25</v>
      </c>
      <c r="N87" s="1053">
        <f>(L87/L80-1)*100</f>
        <v>16.406095388877894</v>
      </c>
      <c r="O87" s="86"/>
      <c r="P87" s="1054">
        <f>H87/N87*100</f>
        <v>91.153197710971625</v>
      </c>
      <c r="Q87" s="97"/>
      <c r="S87" s="1030">
        <f>SUM(S83:S86)</f>
        <v>1890.8129999999999</v>
      </c>
      <c r="U87" s="1051">
        <f>SUM(U83:U86)</f>
        <v>2.5544428261035041</v>
      </c>
      <c r="W87" s="1082">
        <f>(U87/U80-1)*100</f>
        <v>0.45841790768761381</v>
      </c>
      <c r="X87" s="86"/>
      <c r="AB87" s="1083">
        <f>AVERAGE(AB83:AB86)</f>
        <v>5.2504205000000006</v>
      </c>
      <c r="AD87" s="1053">
        <f>(AB87/AB80-1)*100</f>
        <v>14.586357011471417</v>
      </c>
      <c r="AE87" s="86"/>
      <c r="AF87" s="1054">
        <f>+H87/AD87*100</f>
        <v>102.52512368039106</v>
      </c>
      <c r="AG87" s="97"/>
      <c r="AI87" s="1030">
        <f>SUM(AI83:AI86)</f>
        <v>1890.8129999999999</v>
      </c>
      <c r="AK87" s="1313">
        <f>SUM(AK83:AK86)</f>
        <v>357.89257966496314</v>
      </c>
      <c r="AM87" s="1082">
        <f>(AK87/AK80-1)*100</f>
        <v>2.0518165705448066</v>
      </c>
      <c r="AN87" s="86"/>
      <c r="AO87" s="1050"/>
      <c r="AP87" s="1140">
        <v>110.6</v>
      </c>
      <c r="AQ87" s="1140">
        <v>15.7</v>
      </c>
      <c r="AR87" s="1338">
        <f>AQ87/AP87</f>
        <v>0.14195298372513562</v>
      </c>
      <c r="AS87" s="1142">
        <f>SUM(AS83:AS86)</f>
        <v>126.29999999999998</v>
      </c>
      <c r="AT87" s="1331">
        <f>AP87/AP80-1</f>
        <v>0.22075055187637949</v>
      </c>
      <c r="AU87" s="1342">
        <f>+AS87/'qtrP&amp;L'!AR14</f>
        <v>6.2485961685171676E-2</v>
      </c>
      <c r="AY87" s="1053"/>
    </row>
    <row r="88" spans="1:52" hidden="1" outlineLevel="1">
      <c r="B88" s="200"/>
      <c r="D88" s="114"/>
      <c r="E88" s="114"/>
      <c r="F88" s="246"/>
      <c r="G88" s="114"/>
      <c r="H88" s="86"/>
      <c r="O88" s="86"/>
      <c r="AE88" s="86"/>
      <c r="AP88" s="246"/>
      <c r="AQ88" s="114"/>
      <c r="AR88" s="114"/>
      <c r="AS88" s="114"/>
      <c r="AT88" s="114"/>
      <c r="AU88" s="86"/>
      <c r="AY88" s="1053"/>
    </row>
    <row r="89" spans="1:52" hidden="1" outlineLevel="1">
      <c r="A89" s="1043"/>
      <c r="B89" s="1113">
        <v>2005</v>
      </c>
      <c r="E89" s="86"/>
      <c r="F89" s="86"/>
      <c r="G89" s="86"/>
      <c r="H89" s="86"/>
      <c r="I89" s="86"/>
      <c r="O89" s="86"/>
      <c r="P89" s="97"/>
      <c r="Q89" s="97"/>
      <c r="X89" s="86"/>
      <c r="AE89" s="86"/>
      <c r="AF89" s="97"/>
      <c r="AG89" s="97"/>
      <c r="AN89" s="86"/>
      <c r="AO89" s="86"/>
      <c r="AP89" s="86"/>
      <c r="AU89" s="86"/>
      <c r="AY89" s="1053"/>
    </row>
    <row r="90" spans="1:52" hidden="1" outlineLevel="1">
      <c r="A90" s="22" t="str">
        <f>$A$13</f>
        <v>1Q</v>
      </c>
      <c r="B90" s="200" t="str">
        <f>$B$13</f>
        <v>Apr</v>
      </c>
      <c r="D90" s="1053">
        <f>(S90/S83-1)*100</f>
        <v>33.602503961060989</v>
      </c>
      <c r="E90" s="86" t="s">
        <v>76</v>
      </c>
      <c r="F90" s="1046">
        <f>'qtrP&amp;L'!AX10</f>
        <v>19</v>
      </c>
      <c r="G90" s="86" t="s">
        <v>76</v>
      </c>
      <c r="H90" s="1045">
        <f>D90-F90</f>
        <v>14.602503961060989</v>
      </c>
      <c r="I90" s="86" t="s">
        <v>76</v>
      </c>
      <c r="J90" s="114">
        <f>SegqtrSales!J34+SegqtrSales!J155+SegqtrSales!J257+SegqtrSales!J361</f>
        <v>783</v>
      </c>
      <c r="L90" s="244">
        <f>AVERAGE(J90,J86)</f>
        <v>785.5</v>
      </c>
      <c r="N90" s="1053">
        <f>(L90/L83-1)*100</f>
        <v>11.735419630156475</v>
      </c>
      <c r="O90" s="86" t="s">
        <v>76</v>
      </c>
      <c r="P90" s="1054">
        <f>H90/N90*100</f>
        <v>124.43103375304089</v>
      </c>
      <c r="Q90" s="97" t="s">
        <v>76</v>
      </c>
      <c r="S90" s="1030">
        <f>SegqtrSales!S34+SegqtrSales!S155+SegqtrSales!S257+SegqtrSales!S361</f>
        <v>515.20999999999992</v>
      </c>
      <c r="U90" s="1051">
        <f>S90/L90</f>
        <v>0.65590070019096103</v>
      </c>
      <c r="W90" s="1082">
        <f>(U90/U83-1)*100</f>
        <v>19.570414111554268</v>
      </c>
      <c r="X90" s="86" t="s">
        <v>76</v>
      </c>
      <c r="Z90" s="1334">
        <f>(SegqtrSales!Z34+SegqtrSales!Z155+SegqtrSales!Z257+SegqtrSales!Z361)/1000</f>
        <v>5.5720000000000001</v>
      </c>
      <c r="AB90" s="1083">
        <f>AVERAGE(Z90,Z86)</f>
        <v>5.5811820000000001</v>
      </c>
      <c r="AD90" s="1053">
        <f>(AB90/AB83-1)*100</f>
        <v>10.671861986912546</v>
      </c>
      <c r="AE90" s="86" t="s">
        <v>76</v>
      </c>
      <c r="AF90" s="1054">
        <f>+H90/AD90*100</f>
        <v>136.83182915004704</v>
      </c>
      <c r="AG90" s="97" t="s">
        <v>76</v>
      </c>
      <c r="AI90" s="1030">
        <f>+S90</f>
        <v>515.20999999999992</v>
      </c>
      <c r="AK90" s="1313">
        <f>AI90/AB90</f>
        <v>92.311986959034826</v>
      </c>
      <c r="AM90" s="1082">
        <f>(AK90/AK83-1)*100</f>
        <v>20.719486925104857</v>
      </c>
      <c r="AN90" s="86" t="s">
        <v>76</v>
      </c>
      <c r="AO90" s="86"/>
      <c r="AP90" s="1081">
        <v>27.3</v>
      </c>
      <c r="AQ90" s="1081">
        <v>4.3</v>
      </c>
      <c r="AR90" s="1338">
        <f>AQ90/AP90</f>
        <v>0.1575091575091575</v>
      </c>
      <c r="AS90" s="1326">
        <f>AP90+AQ90</f>
        <v>31.6</v>
      </c>
      <c r="AT90" s="1329">
        <f>AP90/AP83-1</f>
        <v>0.19213973799126638</v>
      </c>
      <c r="AU90" s="1019">
        <f>AS90/'qtrP&amp;L'!AV10</f>
        <v>5.778972586455991E-2</v>
      </c>
      <c r="AY90" s="1053">
        <f>SUM(SegqtrSales!AS34,SegqtrSales!AS155,SegqtrSales!AS257,SegqtrSales!AS361)</f>
        <v>31.6</v>
      </c>
      <c r="AZ90" s="22" t="str">
        <f>IF(AS90=AY90:AY90,"OK","check")</f>
        <v>OK</v>
      </c>
    </row>
    <row r="91" spans="1:52" hidden="1" outlineLevel="1">
      <c r="A91" s="22" t="str">
        <f>$A$14</f>
        <v>2Q</v>
      </c>
      <c r="B91" s="200" t="str">
        <f>$B$14</f>
        <v>Jul</v>
      </c>
      <c r="D91" s="1053">
        <f>(S91/S84-1)*100</f>
        <v>44.541735552468545</v>
      </c>
      <c r="F91" s="1046">
        <f>'qtrP&amp;L'!AX11</f>
        <v>30</v>
      </c>
      <c r="H91" s="1045">
        <f>D91-F91</f>
        <v>14.541735552468545</v>
      </c>
      <c r="J91" s="114">
        <f>SegqtrSales!J35+SegqtrSales!J156+SegqtrSales!J258+SegqtrSales!J362</f>
        <v>804</v>
      </c>
      <c r="K91" s="1057"/>
      <c r="L91" s="244">
        <f>AVERAGE(J91,J90)</f>
        <v>793.5</v>
      </c>
      <c r="N91" s="1053">
        <f>(L91/L84-1)*100</f>
        <v>10.746685275645508</v>
      </c>
      <c r="O91" s="86"/>
      <c r="P91" s="1054">
        <f>H91/N91*100</f>
        <v>135.3136821213468</v>
      </c>
      <c r="Q91" s="97"/>
      <c r="S91" s="311">
        <f>SegqtrSales!S35+SegqtrSales!S156+SegqtrSales!S258+SegqtrSales!S362</f>
        <v>547.30150000000003</v>
      </c>
      <c r="U91" s="1271">
        <f>S91/L91</f>
        <v>0.68973093887838699</v>
      </c>
      <c r="W91" s="1082">
        <f>(U91/U84-1)*100</f>
        <v>30.515631409380873</v>
      </c>
      <c r="X91" s="86"/>
      <c r="Z91" s="1334">
        <f>(SegqtrSales!Z35+SegqtrSales!Z156+SegqtrSales!Z258+SegqtrSales!Z362)/1000</f>
        <v>5.673</v>
      </c>
      <c r="AA91" s="1057"/>
      <c r="AB91" s="1083">
        <f>AVERAGE(Z91,Z90)</f>
        <v>5.6225000000000005</v>
      </c>
      <c r="AD91" s="1053">
        <f>(AB91/AB84-1)*100</f>
        <v>9.632446134347262</v>
      </c>
      <c r="AE91" s="86"/>
      <c r="AF91" s="1054">
        <f>+H91/AD91*100</f>
        <v>150.96617566970653</v>
      </c>
      <c r="AG91" s="97"/>
      <c r="AI91" s="1059">
        <f>+S91</f>
        <v>547.30150000000003</v>
      </c>
      <c r="AK91" s="1314">
        <f>AI91/AB91</f>
        <v>97.341307247665625</v>
      </c>
      <c r="AM91" s="1082">
        <f>(AK91/AK84-1)*100</f>
        <v>31.842114856529125</v>
      </c>
      <c r="AN91" s="86"/>
      <c r="AO91" s="86"/>
      <c r="AP91" s="1091">
        <v>20.6</v>
      </c>
      <c r="AQ91" s="1091">
        <v>3.2</v>
      </c>
      <c r="AR91" s="1338">
        <f>AQ91/AP91</f>
        <v>0.1553398058252427</v>
      </c>
      <c r="AS91" s="1327">
        <f>AP91+AQ91</f>
        <v>23.8</v>
      </c>
      <c r="AT91" s="1329">
        <f>AP91/AP84-1</f>
        <v>3.5175879396984966E-2</v>
      </c>
      <c r="AU91" s="1019">
        <f>AS91/'qtrP&amp;L'!AV11</f>
        <v>4.1638164351783004E-2</v>
      </c>
      <c r="AY91" s="1053">
        <f>SUM(SegqtrSales!AS35,SegqtrSales!AS156,SegqtrSales!AS258,SegqtrSales!AS362)</f>
        <v>23.800000000000004</v>
      </c>
      <c r="AZ91" s="22" t="str">
        <f>IF(AS91=AY91:AY91,"OK","check")</f>
        <v>OK</v>
      </c>
    </row>
    <row r="92" spans="1:52" hidden="1" outlineLevel="1">
      <c r="A92" s="22" t="str">
        <f>$A$15</f>
        <v>3Q</v>
      </c>
      <c r="B92" s="200" t="str">
        <f>$B$15</f>
        <v>Oct</v>
      </c>
      <c r="D92" s="1053">
        <f>(S92/S85-1)*100</f>
        <v>38.285526761083368</v>
      </c>
      <c r="F92" s="1046">
        <f>'qtrP&amp;L'!AX12</f>
        <v>25</v>
      </c>
      <c r="H92" s="1045">
        <f>D92-F92</f>
        <v>13.285526761083368</v>
      </c>
      <c r="J92" s="114">
        <f>SegqtrSales!J36+SegqtrSales!J157+SegqtrSales!J259+SegqtrSales!J363</f>
        <v>820</v>
      </c>
      <c r="K92" s="1057"/>
      <c r="L92" s="244">
        <f>AVERAGE(J92,J91)</f>
        <v>812</v>
      </c>
      <c r="N92" s="1053">
        <f>(L92/L85-1)*100</f>
        <v>8.9201877934272247</v>
      </c>
      <c r="O92" s="86"/>
      <c r="P92" s="1054">
        <f>H92/N92*100</f>
        <v>148.93774737425048</v>
      </c>
      <c r="Q92" s="97"/>
      <c r="S92" s="311">
        <f>SegqtrSales!S36+SegqtrSales!S157+SegqtrSales!S259+SegqtrSales!S363</f>
        <v>674.21799999999996</v>
      </c>
      <c r="U92" s="1271">
        <f>S92/L92</f>
        <v>0.83031773399014774</v>
      </c>
      <c r="W92" s="1082">
        <f>(U92/U85-1)*100</f>
        <v>26.960418965994638</v>
      </c>
      <c r="X92" s="86"/>
      <c r="Z92" s="1334">
        <f>(SegqtrSales!Z36+SegqtrSales!Z157+SegqtrSales!Z259+SegqtrSales!Z363)/1000</f>
        <v>5.79</v>
      </c>
      <c r="AA92" s="1057"/>
      <c r="AB92" s="1083">
        <f>AVERAGE(Z92,Z91)</f>
        <v>5.7315000000000005</v>
      </c>
      <c r="AD92" s="1053">
        <f>(AB92/AB85-1)*100</f>
        <v>7.826168751763718</v>
      </c>
      <c r="AE92" s="86"/>
      <c r="AF92" s="1054">
        <f>+H92/AD92*100</f>
        <v>169.75773437148695</v>
      </c>
      <c r="AG92" s="97"/>
      <c r="AI92" s="1059">
        <f>+S92</f>
        <v>674.21799999999996</v>
      </c>
      <c r="AK92" s="1314">
        <f>AI92/AB92</f>
        <v>117.63377824304281</v>
      </c>
      <c r="AM92" s="1082">
        <f>(AK92/AK85-1)*100</f>
        <v>28.248576724860609</v>
      </c>
      <c r="AN92" s="86"/>
      <c r="AO92" s="86"/>
      <c r="AP92" s="1102">
        <v>26.9</v>
      </c>
      <c r="AQ92" s="1102">
        <v>3.8</v>
      </c>
      <c r="AR92" s="1338">
        <f>AQ92/AP92</f>
        <v>0.14126394052044611</v>
      </c>
      <c r="AS92" s="1346">
        <f>AP92+AQ92</f>
        <v>30.7</v>
      </c>
      <c r="AT92" s="1329">
        <f>AP92/AP85-1</f>
        <v>-2.5362318840579823E-2</v>
      </c>
      <c r="AU92" s="1103">
        <f>AS92/'qtrP&amp;L'!AV12</f>
        <v>4.3551164816333247E-2</v>
      </c>
      <c r="AY92" s="1053">
        <f>SUM(SegqtrSales!AS36,SegqtrSales!AS157,SegqtrSales!AS259,SegqtrSales!AS363)</f>
        <v>30.7</v>
      </c>
      <c r="AZ92" s="22" t="str">
        <f>IF(AS92=AY92:AY92,"OK","check")</f>
        <v>OK</v>
      </c>
    </row>
    <row r="93" spans="1:52" hidden="1" outlineLevel="1">
      <c r="A93" s="22" t="str">
        <f>$A$16</f>
        <v>4Q</v>
      </c>
      <c r="B93" s="200" t="str">
        <f>$B$16</f>
        <v>Jan</v>
      </c>
      <c r="D93" s="1069">
        <f>(S93/S86-1)*100</f>
        <v>42.217476834281989</v>
      </c>
      <c r="F93" s="1062">
        <f>'qtrP&amp;L'!AX13</f>
        <v>28</v>
      </c>
      <c r="H93" s="1061">
        <f>D93-F93</f>
        <v>14.217476834281989</v>
      </c>
      <c r="J93" s="114">
        <f>SegqtrSales!J37+SegqtrSales!J158+SegqtrSales!J260+SegqtrSales!J364</f>
        <v>851</v>
      </c>
      <c r="K93" s="39"/>
      <c r="L93" s="1070">
        <f>AVERAGE(J93,J92)</f>
        <v>835.5</v>
      </c>
      <c r="N93" s="1069">
        <f>(L93/L86-1)*100</f>
        <v>7.6675257731958713</v>
      </c>
      <c r="O93" s="86"/>
      <c r="P93" s="1070">
        <f>H93/N93*100</f>
        <v>185.42457182189631</v>
      </c>
      <c r="Q93" s="97"/>
      <c r="S93" s="1071">
        <f>SegqtrSales!S37+SegqtrSales!S158+SegqtrSales!S260+SegqtrSales!S364</f>
        <v>908.74549999999999</v>
      </c>
      <c r="U93" s="1316">
        <f>S93/L93</f>
        <v>1.0876666666666666</v>
      </c>
      <c r="W93" s="1185">
        <f>(U93/U86-1)*100</f>
        <v>32.089481775467156</v>
      </c>
      <c r="X93" s="86"/>
      <c r="Z93" s="1334">
        <f>(SegqtrSales!Z37+SegqtrSales!Z158+SegqtrSales!Z260+SegqtrSales!Z364)/1000</f>
        <v>6.0253639999999997</v>
      </c>
      <c r="AA93" s="39"/>
      <c r="AB93" s="1224">
        <f>AVERAGE(Z93,Z92)</f>
        <v>5.9076819999999994</v>
      </c>
      <c r="AD93" s="1069">
        <f>(AB93/AB86-1)*100</f>
        <v>7.1264308621965755</v>
      </c>
      <c r="AE93" s="86"/>
      <c r="AF93" s="1070">
        <f>+H93/AD93*100</f>
        <v>199.50346967794403</v>
      </c>
      <c r="AG93" s="97"/>
      <c r="AI93" s="1071">
        <f>+S93</f>
        <v>908.74549999999999</v>
      </c>
      <c r="AK93" s="1317">
        <f>AI93/AB93</f>
        <v>153.82437646440687</v>
      </c>
      <c r="AM93" s="1185">
        <f>(AK93/AK86-1)*100</f>
        <v>32.756664895543096</v>
      </c>
      <c r="AN93" s="86"/>
      <c r="AO93" s="86"/>
      <c r="AP93" s="1092">
        <f>AP94-SUM(AP90:AP92)</f>
        <v>47.699999999999989</v>
      </c>
      <c r="AQ93" s="1092">
        <f>AQ94-SUM(AQ90:AQ92)</f>
        <v>6.3000000000000007</v>
      </c>
      <c r="AR93" s="1340">
        <f>AQ93/AP93</f>
        <v>0.13207547169811326</v>
      </c>
      <c r="AS93" s="1328">
        <f>AP93+AQ93</f>
        <v>53.999999999999986</v>
      </c>
      <c r="AT93" s="1330">
        <f>AP93/AP86-1</f>
        <v>0.18656716417910446</v>
      </c>
      <c r="AU93" s="309">
        <f>AS93/'qtrP&amp;L'!AV13</f>
        <v>5.6168555594388117E-2</v>
      </c>
      <c r="AY93" s="1053">
        <f>SUM(SegqtrSales!AS37,SegqtrSales!AS158,SegqtrSales!AS260,SegqtrSales!AS364)</f>
        <v>53.999999999999986</v>
      </c>
      <c r="AZ93" s="22" t="str">
        <f>IF(AS93=AY93:AY93,"OK","check")</f>
        <v>OK</v>
      </c>
    </row>
    <row r="94" spans="1:52" hidden="1" outlineLevel="1">
      <c r="B94" s="200" t="str">
        <f>$B$17</f>
        <v>Year</v>
      </c>
      <c r="D94" s="1053">
        <f>(S94/S87-1)*100</f>
        <v>39.91203783769204</v>
      </c>
      <c r="F94" s="1056">
        <f>+'qtrP&amp;L'!AX14</f>
        <v>26</v>
      </c>
      <c r="H94" s="1045">
        <f>D94-F94</f>
        <v>13.91203783769204</v>
      </c>
      <c r="L94" s="244">
        <f>AVERAGE(L90:L93)</f>
        <v>806.625</v>
      </c>
      <c r="N94" s="1053">
        <f>(L94/L87-1)*100</f>
        <v>9.7075824549472944</v>
      </c>
      <c r="O94" s="86"/>
      <c r="P94" s="1054">
        <f>H94/N94*100</f>
        <v>143.31104476585745</v>
      </c>
      <c r="Q94" s="97"/>
      <c r="S94" s="1030">
        <f>SUM(S90:S93)</f>
        <v>2645.4749999999999</v>
      </c>
      <c r="U94" s="1051">
        <f>SUM(U90:U93)</f>
        <v>3.2636160397261627</v>
      </c>
      <c r="W94" s="1082">
        <f>(U94/U87-1)*100</f>
        <v>27.762344350623703</v>
      </c>
      <c r="X94" s="86"/>
      <c r="AB94" s="1083">
        <f>AVERAGE(AB90:AB93)</f>
        <v>5.7107159999999997</v>
      </c>
      <c r="AD94" s="1053">
        <f>(AB94/AB87-1)*100</f>
        <v>8.7668311519048636</v>
      </c>
      <c r="AE94" s="86"/>
      <c r="AF94" s="1054">
        <f>+H94/AD94*100</f>
        <v>158.6894693947564</v>
      </c>
      <c r="AG94" s="97"/>
      <c r="AI94" s="1030">
        <f>SUM(AI90:AI93)</f>
        <v>2645.4749999999999</v>
      </c>
      <c r="AK94" s="1313">
        <f>SUM(AK90:AK93)</f>
        <v>461.11144891415017</v>
      </c>
      <c r="AM94" s="1082">
        <f>(AK94/AK87-1)*100</f>
        <v>28.840740242732643</v>
      </c>
      <c r="AN94" s="86"/>
      <c r="AO94" s="86"/>
      <c r="AP94" s="1080">
        <v>122.5</v>
      </c>
      <c r="AQ94" s="1080">
        <v>17.600000000000001</v>
      </c>
      <c r="AR94" s="1338">
        <f>AQ94/AP94</f>
        <v>0.1436734693877551</v>
      </c>
      <c r="AS94" s="1142">
        <f>SUM(AS90:AS93)</f>
        <v>140.1</v>
      </c>
      <c r="AT94" s="1331">
        <f>AP94/AP87-1</f>
        <v>0.10759493670886089</v>
      </c>
      <c r="AU94" s="1342">
        <f>AS94/'qtrP&amp;L'!AV14</f>
        <v>5.0310427186160425E-2</v>
      </c>
      <c r="AY94" s="1053"/>
    </row>
    <row r="95" spans="1:52" hidden="1" outlineLevel="1">
      <c r="B95" s="200"/>
      <c r="D95" s="114"/>
      <c r="E95" s="114"/>
      <c r="F95" s="246"/>
      <c r="G95" s="114"/>
      <c r="H95" s="86"/>
      <c r="O95" s="86"/>
      <c r="AE95" s="86"/>
      <c r="AF95" s="244"/>
      <c r="AY95" s="1053"/>
    </row>
    <row r="96" spans="1:52" hidden="1" outlineLevel="1">
      <c r="A96" s="1043"/>
      <c r="B96" s="1113">
        <v>2006</v>
      </c>
      <c r="E96" s="86"/>
      <c r="F96" s="86"/>
      <c r="G96" s="86"/>
      <c r="H96" s="86"/>
      <c r="I96" s="86"/>
      <c r="O96" s="86"/>
      <c r="P96" s="97"/>
      <c r="Q96" s="97"/>
      <c r="X96" s="86"/>
      <c r="AE96" s="86"/>
      <c r="AF96" s="97"/>
      <c r="AG96" s="97"/>
      <c r="AN96" s="86"/>
      <c r="AO96" s="86"/>
      <c r="AP96" s="1030"/>
      <c r="AS96" s="1347"/>
      <c r="AT96" s="1347"/>
      <c r="AY96" s="1053"/>
    </row>
    <row r="97" spans="1:60" hidden="1" outlineLevel="1">
      <c r="A97" s="22" t="str">
        <f>$A$13</f>
        <v>1Q</v>
      </c>
      <c r="B97" s="200" t="str">
        <f>$B$13</f>
        <v>Apr</v>
      </c>
      <c r="D97" s="1098">
        <f>(S97/S90-1)*100</f>
        <v>20.74144523592323</v>
      </c>
      <c r="E97" s="86" t="s">
        <v>76</v>
      </c>
      <c r="F97" s="1144">
        <f>+'qtrP&amp;L'!BB10</f>
        <v>6</v>
      </c>
      <c r="G97" s="86" t="s">
        <v>76</v>
      </c>
      <c r="H97" s="1045">
        <f>D97-F97</f>
        <v>14.74144523592323</v>
      </c>
      <c r="I97" s="86" t="s">
        <v>76</v>
      </c>
      <c r="J97" s="114">
        <f>SegqtrSales!J41+SegqtrSales!J162+SegqtrSales!J264+SegqtrSales!J368</f>
        <v>846</v>
      </c>
      <c r="L97" s="244">
        <f>AVERAGE(J97,J93)</f>
        <v>848.5</v>
      </c>
      <c r="N97" s="1053">
        <f>(L97/L90-1)*100</f>
        <v>8.0203691915976982</v>
      </c>
      <c r="O97" s="86" t="s">
        <v>76</v>
      </c>
      <c r="P97" s="1054">
        <f>H97/N97*100</f>
        <v>183.80008306059861</v>
      </c>
      <c r="Q97" s="97" t="s">
        <v>76</v>
      </c>
      <c r="S97" s="1030">
        <f>SegqtrSales!S41+SegqtrSales!S162+SegqtrSales!S264+SegqtrSales!S368</f>
        <v>622.072</v>
      </c>
      <c r="U97" s="1051">
        <f>S97/L97</f>
        <v>0.73314319387153803</v>
      </c>
      <c r="W97" s="1082">
        <f>(U97/U90-1)*100</f>
        <v>11.776553014517033</v>
      </c>
      <c r="X97" s="86" t="s">
        <v>76</v>
      </c>
      <c r="Z97" s="1334">
        <f>(SegqtrSales!Z41+SegqtrSales!Z162+SegqtrSales!Z264+SegqtrSales!Z368)/1000</f>
        <v>5.9630000000000001</v>
      </c>
      <c r="AB97" s="1083">
        <f>AVERAGE(Z97,Z93)</f>
        <v>5.9941820000000003</v>
      </c>
      <c r="AD97" s="1053">
        <f>(AB97/AB90-1)*100</f>
        <v>7.3998661932185739</v>
      </c>
      <c r="AE97" s="86" t="s">
        <v>76</v>
      </c>
      <c r="AF97" s="1054">
        <f>+H97/AD97*100</f>
        <v>199.21232156106643</v>
      </c>
      <c r="AG97" s="97" t="s">
        <v>76</v>
      </c>
      <c r="AI97" s="1030">
        <f>+S97</f>
        <v>622.072</v>
      </c>
      <c r="AK97" s="1313">
        <f>AI97/AB97</f>
        <v>103.77929799262017</v>
      </c>
      <c r="AM97" s="1082">
        <f>(AK97/AK90-1)*100</f>
        <v>12.422342332068069</v>
      </c>
      <c r="AN97" s="86" t="s">
        <v>76</v>
      </c>
      <c r="AO97" s="86"/>
      <c r="AP97" s="1081">
        <v>30.4</v>
      </c>
      <c r="AQ97" s="1081">
        <v>4.8</v>
      </c>
      <c r="AR97" s="1338">
        <f>AQ97/AP97</f>
        <v>0.15789473684210525</v>
      </c>
      <c r="AS97" s="1326">
        <f>AP97+AQ97</f>
        <v>35.199999999999996</v>
      </c>
      <c r="AT97" s="1329">
        <f>AP97/AP90-1</f>
        <v>0.11355311355311337</v>
      </c>
      <c r="AU97" s="18">
        <f>AS97/'qtrP&amp;L'!AZ10</f>
        <v>5.3554774210333327E-2</v>
      </c>
      <c r="AY97" s="1053">
        <f>SUM(SegqtrSales!AS41,SegqtrSales!AS162,SegqtrSales!AS264,SegqtrSales!AS368)</f>
        <v>35.199999999999996</v>
      </c>
      <c r="AZ97" s="22" t="str">
        <f>IF(AS97=AY97:AY97,"OK","check")</f>
        <v>OK</v>
      </c>
    </row>
    <row r="98" spans="1:60" hidden="1" outlineLevel="1">
      <c r="A98" s="22" t="str">
        <f>$A$14</f>
        <v>2Q</v>
      </c>
      <c r="B98" s="200" t="str">
        <f>$B$14</f>
        <v>Jul</v>
      </c>
      <c r="D98" s="1098">
        <f>(S98/S91-1)*100</f>
        <v>14.524809451463216</v>
      </c>
      <c r="F98" s="1144">
        <f>+'qtrP&amp;L'!BB11</f>
        <v>0</v>
      </c>
      <c r="H98" s="1045">
        <f>D98-F98</f>
        <v>14.524809451463216</v>
      </c>
      <c r="J98" s="114">
        <f>SegqtrSales!J42+SegqtrSales!J163+SegqtrSales!J265+SegqtrSales!J369</f>
        <v>880</v>
      </c>
      <c r="K98" s="1057"/>
      <c r="L98" s="244">
        <f>AVERAGE(J98,J97)</f>
        <v>863</v>
      </c>
      <c r="N98" s="1053">
        <f>(L98/L91-1)*100</f>
        <v>8.7586641461877779</v>
      </c>
      <c r="O98" s="86"/>
      <c r="P98" s="1054">
        <f>H98/N98*100</f>
        <v>165.83361582354041</v>
      </c>
      <c r="Q98" s="97"/>
      <c r="S98" s="311">
        <f>SegqtrSales!S42+SegqtrSales!S163+SegqtrSales!S265+SegqtrSales!S369</f>
        <v>626.79600000000005</v>
      </c>
      <c r="U98" s="1271">
        <f>S98/L98</f>
        <v>0.72629895712630366</v>
      </c>
      <c r="W98" s="1082">
        <f>(U98/U91-1)*100</f>
        <v>5.3017801850939295</v>
      </c>
      <c r="X98" s="86"/>
      <c r="Z98" s="1344">
        <v>6.22</v>
      </c>
      <c r="AA98" s="1057"/>
      <c r="AB98" s="1083">
        <f>AVERAGE(Z98,Z97)</f>
        <v>6.0914999999999999</v>
      </c>
      <c r="AD98" s="1053">
        <f>(AB98/AB91-1)*100</f>
        <v>8.3414851044908644</v>
      </c>
      <c r="AE98" s="86"/>
      <c r="AF98" s="1054">
        <f>+H98/AD98*100</f>
        <v>174.12737983124123</v>
      </c>
      <c r="AG98" s="97"/>
      <c r="AI98" s="1059">
        <f>+S98</f>
        <v>626.79600000000005</v>
      </c>
      <c r="AK98" s="1314">
        <f>AI98/AB98</f>
        <v>102.89682344250186</v>
      </c>
      <c r="AM98" s="1082">
        <f>(AK98/AK91-1)*100</f>
        <v>5.7072545581305256</v>
      </c>
      <c r="AN98" s="86"/>
      <c r="AO98" s="1050"/>
      <c r="AP98" s="1091">
        <v>27.5</v>
      </c>
      <c r="AQ98" s="1091">
        <v>4.4000000000000004</v>
      </c>
      <c r="AR98" s="1338">
        <f>AQ98/AP98</f>
        <v>0.16</v>
      </c>
      <c r="AS98" s="1348">
        <f>AP98+AQ98</f>
        <v>31.9</v>
      </c>
      <c r="AT98" s="1329">
        <f>AP98/AP91-1</f>
        <v>0.33495145631067946</v>
      </c>
      <c r="AU98" s="18">
        <f>AS98/'qtrP&amp;L'!AZ11</f>
        <v>4.8429017331211965E-2</v>
      </c>
      <c r="AY98" s="1053">
        <f>SUM(SegqtrSales!AS42,SegqtrSales!AS163,SegqtrSales!AS265,SegqtrSales!AS369)</f>
        <v>31.900000000000002</v>
      </c>
      <c r="AZ98" s="22" t="str">
        <f>IF(AS98=AY98:AY98,"OK","check")</f>
        <v>OK</v>
      </c>
    </row>
    <row r="99" spans="1:60" hidden="1" outlineLevel="1">
      <c r="A99" s="22" t="str">
        <f>$A$15</f>
        <v>3Q</v>
      </c>
      <c r="B99" s="200" t="str">
        <f>$B$15</f>
        <v>Oct</v>
      </c>
      <c r="D99" s="1098">
        <f>(S99/S92-1)*100</f>
        <v>21.06588670133398</v>
      </c>
      <c r="F99" s="1144">
        <f>SegqtrSales!F43*0.5+SegqtrSales!F164*0.1+SegqtrSales!F266*0.4</f>
        <v>3.7</v>
      </c>
      <c r="H99" s="1045">
        <f>D99-F99</f>
        <v>17.365886701333981</v>
      </c>
      <c r="J99" s="114">
        <f>SegqtrSales!J43+SegqtrSales!J164+SegqtrSales!J266+SegqtrSales!J370</f>
        <v>912</v>
      </c>
      <c r="K99" s="1057"/>
      <c r="L99" s="244">
        <f>AVERAGE(J99,J98)</f>
        <v>896</v>
      </c>
      <c r="N99" s="1053">
        <f>(L99/L92-1)*100</f>
        <v>10.344827586206895</v>
      </c>
      <c r="O99" s="86"/>
      <c r="P99" s="1054">
        <f>H99/N99*100</f>
        <v>167.87023811289515</v>
      </c>
      <c r="Q99" s="97"/>
      <c r="S99" s="311">
        <f>SegqtrSales!S43+SegqtrSales!S164+SegqtrSales!S266+SegqtrSales!S370</f>
        <v>816.24799999999993</v>
      </c>
      <c r="U99" s="1271">
        <f>S99/L99</f>
        <v>0.91099107142857139</v>
      </c>
      <c r="W99" s="1082">
        <f>(U99/U92-1)*100</f>
        <v>9.7159598230839315</v>
      </c>
      <c r="X99" s="86"/>
      <c r="Z99" s="1344">
        <v>6.4409999999999998</v>
      </c>
      <c r="AA99" s="1057"/>
      <c r="AB99" s="1083">
        <f>AVERAGE(Z99,Z98)</f>
        <v>6.3304999999999998</v>
      </c>
      <c r="AD99" s="1053">
        <f>(AB99/AB92-1)*100</f>
        <v>10.451016313356011</v>
      </c>
      <c r="AE99" s="86"/>
      <c r="AF99" s="1054">
        <f>+H99/AD99*100</f>
        <v>166.16457367061062</v>
      </c>
      <c r="AG99" s="97"/>
      <c r="AI99" s="1059">
        <f>+S99</f>
        <v>816.24799999999993</v>
      </c>
      <c r="AK99" s="1314">
        <f>AI99/AB99</f>
        <v>128.93894637074479</v>
      </c>
      <c r="AM99" s="1082">
        <f>(AK99/AK92-1)*100</f>
        <v>9.6104777866986559</v>
      </c>
      <c r="AN99" s="86"/>
      <c r="AO99" s="86"/>
      <c r="AP99" s="1102">
        <v>41.3</v>
      </c>
      <c r="AQ99" s="1102">
        <v>5.9</v>
      </c>
      <c r="AR99" s="1338">
        <f>AQ99/AP99</f>
        <v>0.14285714285714288</v>
      </c>
      <c r="AS99" s="1348">
        <f>AP99+AQ99</f>
        <v>47.199999999999996</v>
      </c>
      <c r="AT99" s="1329">
        <f>AP99/AP92-1</f>
        <v>0.53531598513011147</v>
      </c>
      <c r="AU99" s="18">
        <f>AS99/'qtrP&amp;L'!AZ12</f>
        <v>5.4664554205927855E-2</v>
      </c>
      <c r="AY99" s="1053">
        <f>SUM(SegqtrSales!AS43,SegqtrSales!AS164,SegqtrSales!AS266,SegqtrSales!AS370)</f>
        <v>47.199999999999996</v>
      </c>
      <c r="AZ99" s="22" t="str">
        <f>IF(AS99=AY99:AY99,"OK","check")</f>
        <v>OK</v>
      </c>
    </row>
    <row r="100" spans="1:60" hidden="1" outlineLevel="1">
      <c r="A100" s="22" t="str">
        <f>$A$16</f>
        <v>4Q</v>
      </c>
      <c r="B100" s="200" t="str">
        <f>$B$16</f>
        <v>Jan</v>
      </c>
      <c r="D100" s="1069">
        <f>(S100/S93-1)*100</f>
        <v>15.999694083767135</v>
      </c>
      <c r="F100" s="1062">
        <f>'qtrP&amp;L'!BB13</f>
        <v>-3</v>
      </c>
      <c r="H100" s="1061">
        <f>D100-F100</f>
        <v>18.999694083767135</v>
      </c>
      <c r="J100" s="114">
        <f>SegqtrSales!J44+SegqtrSales!J165+SegqtrSales!J267+SegqtrSales!J371</f>
        <v>944</v>
      </c>
      <c r="K100" s="39"/>
      <c r="L100" s="1070">
        <f>AVERAGE(J100,J99)</f>
        <v>928</v>
      </c>
      <c r="N100" s="1069">
        <f>(L100/L93-1)*100</f>
        <v>11.071214841412335</v>
      </c>
      <c r="O100" s="86"/>
      <c r="P100" s="1070">
        <f>H100/N100*100</f>
        <v>171.61345304851275</v>
      </c>
      <c r="Q100" s="97"/>
      <c r="S100" s="1111">
        <f>SegqtrSales!S44+SegqtrSales!S165+SegqtrSales!S267+SegqtrSales!S371</f>
        <v>1054.1420000000001</v>
      </c>
      <c r="U100" s="1316">
        <f>S100/L100</f>
        <v>1.1359288793103448</v>
      </c>
      <c r="W100" s="1185">
        <f>(U100/U93-1)*100</f>
        <v>4.4372245764950913</v>
      </c>
      <c r="X100" s="86"/>
      <c r="Z100" s="1334">
        <f>yrSales!N228</f>
        <v>6.6933639999999999</v>
      </c>
      <c r="AA100" s="39"/>
      <c r="AB100" s="1224">
        <f>AVERAGE(Z100,Z99)</f>
        <v>6.5671819999999999</v>
      </c>
      <c r="AD100" s="1069">
        <f>(AB100/AB93-1)*100</f>
        <v>11.163430936194608</v>
      </c>
      <c r="AE100" s="86"/>
      <c r="AF100" s="1070">
        <f>+H100/AD100*100</f>
        <v>170.1958313027711</v>
      </c>
      <c r="AG100" s="97"/>
      <c r="AI100" s="1071">
        <f>+S100</f>
        <v>1054.1420000000001</v>
      </c>
      <c r="AK100" s="1317">
        <f>AI100/AB100</f>
        <v>160.51664168893143</v>
      </c>
      <c r="AM100" s="1185">
        <f>(AK100/AK93-1)*100</f>
        <v>4.3505882346762226</v>
      </c>
      <c r="AN100" s="86"/>
      <c r="AO100" s="86"/>
      <c r="AP100" s="1145">
        <v>74.8</v>
      </c>
      <c r="AQ100" s="1145">
        <v>9.8000000000000007</v>
      </c>
      <c r="AR100" s="1340">
        <f>AQ100/AP100</f>
        <v>0.13101604278074869</v>
      </c>
      <c r="AS100" s="1328">
        <f>AP100+AQ100</f>
        <v>84.6</v>
      </c>
      <c r="AT100" s="1330">
        <f>AP100/AP93-1</f>
        <v>0.56813417190775706</v>
      </c>
      <c r="AU100" s="333">
        <f>AS100/'qtrP&amp;L'!AZ13</f>
        <v>7.4292443510080852E-2</v>
      </c>
      <c r="AY100" s="1053">
        <f>SUM(SegqtrSales!AS44,SegqtrSales!AS165,SegqtrSales!AS267,SegqtrSales!AS371)</f>
        <v>84.6</v>
      </c>
      <c r="AZ100" s="22" t="str">
        <f>IF(AS100=AY100:AY100,"OK","check")</f>
        <v>OK</v>
      </c>
    </row>
    <row r="101" spans="1:60" hidden="1" outlineLevel="1">
      <c r="B101" s="200" t="str">
        <f>$B$17</f>
        <v>Year</v>
      </c>
      <c r="D101" s="1053">
        <f>(S101/S94-1)*100</f>
        <v>17.909184550978562</v>
      </c>
      <c r="F101" s="1349">
        <f>'qtrP&amp;L'!BB14</f>
        <v>2</v>
      </c>
      <c r="H101" s="1045">
        <f>D101-F101</f>
        <v>15.909184550978562</v>
      </c>
      <c r="L101" s="244">
        <f>AVERAGE(L97:L100)</f>
        <v>883.875</v>
      </c>
      <c r="N101" s="1053">
        <f>(L101/L94-1)*100</f>
        <v>9.5769409576941023</v>
      </c>
      <c r="O101" s="86"/>
      <c r="P101" s="1054">
        <f>H101/N101*100</f>
        <v>166.11968917065468</v>
      </c>
      <c r="Q101" s="97"/>
      <c r="S101" s="1030">
        <f>SUM(S97:S100)</f>
        <v>3119.2579999999998</v>
      </c>
      <c r="U101" s="1051">
        <f>SUM(U97:U100)</f>
        <v>3.5063621017367579</v>
      </c>
      <c r="W101" s="1082">
        <f>(U101/U94-1)*100</f>
        <v>7.4379479404373505</v>
      </c>
      <c r="X101" s="86"/>
      <c r="AB101" s="1083">
        <f>AVERAGE(AB97:AB100)</f>
        <v>6.2458409999999995</v>
      </c>
      <c r="AD101" s="1053">
        <f>(AB101/AB94-1)*100</f>
        <v>9.3705412771358354</v>
      </c>
      <c r="AE101" s="86"/>
      <c r="AF101" s="1054">
        <f>+H101/AD101*100</f>
        <v>169.7787148091119</v>
      </c>
      <c r="AG101" s="97"/>
      <c r="AI101" s="1030">
        <f>SUM(AI97:AI100)</f>
        <v>3119.2579999999998</v>
      </c>
      <c r="AK101" s="1313">
        <f>SUM(AK97:AK100)</f>
        <v>496.13170949479826</v>
      </c>
      <c r="AM101" s="1082">
        <f>(AK101/AK94-1)*100</f>
        <v>7.5947497428475508</v>
      </c>
      <c r="AN101" s="86"/>
      <c r="AO101" s="86"/>
      <c r="AP101" s="1326">
        <f>+SUM(AP97:AP100)</f>
        <v>174</v>
      </c>
      <c r="AQ101" s="1326">
        <f>+SUM(AQ97:AQ100)</f>
        <v>24.9</v>
      </c>
      <c r="AR101" s="1338">
        <f>AQ101/AP101</f>
        <v>0.14310344827586205</v>
      </c>
      <c r="AS101" s="1142">
        <f>SUM(AS97:AS100)</f>
        <v>198.89999999999998</v>
      </c>
      <c r="AT101" s="1331">
        <f>AP101/AP94-1</f>
        <v>0.42040816326530606</v>
      </c>
      <c r="AU101" s="1350">
        <f>AS101/'qtrP&amp;L'!AZ14</f>
        <v>5.9942896028459161E-2</v>
      </c>
      <c r="AY101" s="1053"/>
    </row>
    <row r="102" spans="1:60" hidden="1" outlineLevel="1">
      <c r="B102" s="200"/>
      <c r="D102" s="114"/>
      <c r="E102" s="114"/>
      <c r="F102" s="114"/>
      <c r="G102" s="114"/>
      <c r="O102" s="86"/>
      <c r="AE102" s="86"/>
      <c r="AF102" s="244"/>
      <c r="AY102" s="1053"/>
      <c r="BD102" s="2299" t="s">
        <v>268</v>
      </c>
      <c r="BE102" s="2300"/>
      <c r="BF102" s="2301"/>
      <c r="BH102" s="1351" t="s">
        <v>430</v>
      </c>
    </row>
    <row r="103" spans="1:60" hidden="1" outlineLevel="1">
      <c r="A103" s="1120"/>
      <c r="B103" s="1113">
        <v>2007</v>
      </c>
      <c r="C103" s="114"/>
      <c r="D103" s="114"/>
      <c r="E103" s="246"/>
      <c r="F103" s="246"/>
      <c r="G103" s="246"/>
      <c r="H103" s="246"/>
      <c r="I103" s="246"/>
      <c r="J103" s="114"/>
      <c r="K103" s="114"/>
      <c r="L103" s="114"/>
      <c r="M103" s="114"/>
      <c r="N103" s="114"/>
      <c r="O103" s="246"/>
      <c r="P103" s="310"/>
      <c r="Q103" s="310"/>
      <c r="R103" s="114"/>
      <c r="S103" s="114"/>
      <c r="T103" s="114"/>
      <c r="U103" s="114"/>
      <c r="V103" s="114"/>
      <c r="W103" s="114"/>
      <c r="X103" s="246"/>
      <c r="Y103" s="114"/>
      <c r="Z103" s="114"/>
      <c r="AA103" s="114"/>
      <c r="AB103" s="114"/>
      <c r="AC103" s="114"/>
      <c r="AD103" s="114"/>
      <c r="AE103" s="246"/>
      <c r="AF103" s="310"/>
      <c r="AG103" s="310"/>
      <c r="AH103" s="114"/>
      <c r="AI103" s="114"/>
      <c r="AJ103" s="114"/>
      <c r="AK103" s="114"/>
      <c r="AL103" s="114"/>
      <c r="AM103" s="114"/>
      <c r="AN103" s="246"/>
      <c r="AO103" s="246"/>
      <c r="AP103" s="1129"/>
      <c r="AQ103" s="1129"/>
      <c r="AR103" s="114"/>
      <c r="AS103" s="114"/>
      <c r="AT103" s="1352"/>
      <c r="AU103" s="114"/>
      <c r="AV103" s="114"/>
      <c r="AW103" s="114"/>
      <c r="AX103" s="114"/>
      <c r="AY103" s="1151"/>
      <c r="AZ103" s="114"/>
      <c r="BA103" s="1353" t="s">
        <v>373</v>
      </c>
      <c r="BB103" s="1353" t="s">
        <v>372</v>
      </c>
      <c r="BD103" s="1354" t="s">
        <v>430</v>
      </c>
      <c r="BE103" s="96"/>
      <c r="BF103" s="1355" t="s">
        <v>429</v>
      </c>
      <c r="BG103" s="1356" t="s">
        <v>368</v>
      </c>
      <c r="BH103" s="1356" t="s">
        <v>369</v>
      </c>
    </row>
    <row r="104" spans="1:60" hidden="1" outlineLevel="1">
      <c r="A104" s="114" t="str">
        <f>$A$13</f>
        <v>1Q</v>
      </c>
      <c r="B104" s="245" t="str">
        <f>$B$13</f>
        <v>Apr</v>
      </c>
      <c r="C104" s="114"/>
      <c r="D104" s="1219">
        <f>(S104/S97-1)*100</f>
        <v>11.29097596419706</v>
      </c>
      <c r="E104" s="246" t="s">
        <v>76</v>
      </c>
      <c r="F104" s="1144">
        <f>'qtrP&amp;L'!BF10</f>
        <v>-4</v>
      </c>
      <c r="G104" s="246" t="s">
        <v>76</v>
      </c>
      <c r="H104" s="1123">
        <f>D104-F104</f>
        <v>15.29097596419706</v>
      </c>
      <c r="I104" s="246" t="s">
        <v>76</v>
      </c>
      <c r="J104" s="114">
        <f>SegqtrSales!J48+SegqtrSales!J169+SegqtrSales!J271+SegqtrSales!J375</f>
        <v>954</v>
      </c>
      <c r="K104" s="114"/>
      <c r="L104" s="1357">
        <f>AVERAGE(J104,J100)</f>
        <v>949</v>
      </c>
      <c r="M104" s="114"/>
      <c r="N104" s="1151">
        <f>(L104/L97-1)*100</f>
        <v>11.8444313494402</v>
      </c>
      <c r="O104" s="246" t="s">
        <v>76</v>
      </c>
      <c r="P104" s="1220">
        <f>H104/N104*100</f>
        <v>129.09843886190242</v>
      </c>
      <c r="Q104" s="310" t="s">
        <v>76</v>
      </c>
      <c r="R104" s="114"/>
      <c r="S104" s="1129">
        <f>SegqtrSales!S48+SegqtrSales!S169+SegqtrSales!S271+SegqtrSales!S375</f>
        <v>692.31</v>
      </c>
      <c r="T104" s="114"/>
      <c r="U104" s="1237">
        <f>S104/L104</f>
        <v>0.72951527924130655</v>
      </c>
      <c r="V104" s="114"/>
      <c r="W104" s="1221">
        <f>(U104/U97-1)*100</f>
        <v>-0.49484393506723512</v>
      </c>
      <c r="X104" s="246" t="s">
        <v>76</v>
      </c>
      <c r="Y104" s="114"/>
      <c r="Z104" s="1344">
        <v>6.774</v>
      </c>
      <c r="AA104" s="114"/>
      <c r="AB104" s="1358">
        <f>AVERAGE(Z104,Z100)</f>
        <v>6.7336819999999999</v>
      </c>
      <c r="AC104" s="114"/>
      <c r="AD104" s="1151">
        <f>(AB104/AB97-1)*100</f>
        <v>12.336962741538372</v>
      </c>
      <c r="AE104" s="246" t="s">
        <v>76</v>
      </c>
      <c r="AF104" s="1220">
        <f>+H104/AD104*100</f>
        <v>123.94441228806316</v>
      </c>
      <c r="AG104" s="310" t="s">
        <v>76</v>
      </c>
      <c r="AH104" s="114"/>
      <c r="AI104" s="1129">
        <f>+S104</f>
        <v>692.31</v>
      </c>
      <c r="AJ104" s="114"/>
      <c r="AK104" s="1359">
        <f>AI104/AB104</f>
        <v>102.81299295095907</v>
      </c>
      <c r="AL104" s="114"/>
      <c r="AM104" s="1221">
        <f>(AK104/AK97-1)*100</f>
        <v>-0.93111541545580767</v>
      </c>
      <c r="AN104" s="246" t="s">
        <v>76</v>
      </c>
      <c r="AO104" s="246"/>
      <c r="AP104" s="1130">
        <v>43.5</v>
      </c>
      <c r="AQ104" s="1130">
        <v>6.6</v>
      </c>
      <c r="AR104" s="1338">
        <f>AQ104/AP104</f>
        <v>0.15172413793103448</v>
      </c>
      <c r="AS104" s="1140">
        <f>AP104+AQ104</f>
        <v>50.1</v>
      </c>
      <c r="AT104" s="1329">
        <f>AP104/AP97-1</f>
        <v>0.43092105263157898</v>
      </c>
      <c r="AU104" s="1360">
        <f>AS104/'qtrP&amp;L'!BD10</f>
        <v>6.748292722350184E-2</v>
      </c>
      <c r="AV104" s="1129"/>
      <c r="AW104" s="1129"/>
      <c r="AX104" s="1129"/>
      <c r="AY104" s="1053">
        <f>SUM(SegqtrSales!AS48,SegqtrSales!AS169,SegqtrSales!AS271,SegqtrSales!AS375)</f>
        <v>50.100000000000009</v>
      </c>
      <c r="AZ104" s="22" t="str">
        <f>IF(AS104=AY104:AY104,"OK","check")</f>
        <v>OK</v>
      </c>
      <c r="BA104" s="1123">
        <f>AY104+S104</f>
        <v>742.41</v>
      </c>
      <c r="BB104" s="1123">
        <f>'qtrP&amp;L'!BD10</f>
        <v>742.41</v>
      </c>
      <c r="BD104" s="1123"/>
      <c r="BF104" s="1123"/>
    </row>
    <row r="105" spans="1:60" hidden="1" outlineLevel="1">
      <c r="A105" s="114" t="str">
        <f>$A$14</f>
        <v>2Q</v>
      </c>
      <c r="B105" s="245" t="str">
        <f>$B$14</f>
        <v>Jul</v>
      </c>
      <c r="C105" s="114"/>
      <c r="D105" s="1219">
        <f>(S105/S98-1)*100</f>
        <v>19.853668498203536</v>
      </c>
      <c r="E105" s="114"/>
      <c r="F105" s="1144">
        <f>'qtrP&amp;L'!BF11</f>
        <v>-2</v>
      </c>
      <c r="G105" s="114"/>
      <c r="H105" s="1123">
        <f>D105-F105</f>
        <v>21.853668498203536</v>
      </c>
      <c r="I105" s="114"/>
      <c r="J105" s="114">
        <f>SegqtrSales!J49+SegqtrSales!J170+SegqtrSales!J272+SegqtrSales!J376</f>
        <v>984</v>
      </c>
      <c r="K105" s="1057"/>
      <c r="L105" s="1357">
        <f>AVERAGE(J105,J104)</f>
        <v>969</v>
      </c>
      <c r="M105" s="114"/>
      <c r="N105" s="1151">
        <f>(L105/L98-1)*100</f>
        <v>12.282734646581694</v>
      </c>
      <c r="O105" s="246"/>
      <c r="P105" s="1220">
        <f>H105/N105*100</f>
        <v>177.92184824480799</v>
      </c>
      <c r="Q105" s="310"/>
      <c r="R105" s="114"/>
      <c r="S105" s="311">
        <f>SegqtrSales!S49+SegqtrSales!S170+SegqtrSales!S272+SegqtrSales!S376</f>
        <v>751.23799999999994</v>
      </c>
      <c r="T105" s="114"/>
      <c r="U105" s="1361">
        <f>S105/L105</f>
        <v>0.77527141382868936</v>
      </c>
      <c r="V105" s="114"/>
      <c r="W105" s="1221">
        <f>(U105/U98-1)*100</f>
        <v>6.7427408812690048</v>
      </c>
      <c r="X105" s="246"/>
      <c r="Y105" s="114"/>
      <c r="Z105" s="1344">
        <v>6.9939999999999998</v>
      </c>
      <c r="AA105" s="1057"/>
      <c r="AB105" s="1358">
        <f>AVERAGE(Z105,Z104)</f>
        <v>6.8840000000000003</v>
      </c>
      <c r="AC105" s="114"/>
      <c r="AD105" s="1151">
        <f>(AB105/AB98-1)*100</f>
        <v>13.009931872281054</v>
      </c>
      <c r="AE105" s="246"/>
      <c r="AF105" s="1220">
        <f>+H105/AD105*100</f>
        <v>167.97680966158583</v>
      </c>
      <c r="AG105" s="310"/>
      <c r="AH105" s="114"/>
      <c r="AI105" s="1132">
        <f>+S105</f>
        <v>751.23799999999994</v>
      </c>
      <c r="AJ105" s="114"/>
      <c r="AK105" s="1362">
        <f>AI105/AB105</f>
        <v>109.12812318419522</v>
      </c>
      <c r="AL105" s="114"/>
      <c r="AM105" s="1221">
        <f>(AK105/AK98-1)*100</f>
        <v>6.0558718269620559</v>
      </c>
      <c r="AN105" s="246"/>
      <c r="AO105" s="1050"/>
      <c r="AP105" s="1102">
        <v>45.6</v>
      </c>
      <c r="AQ105" s="1102">
        <v>7.7</v>
      </c>
      <c r="AR105" s="1338">
        <f>AQ105/AP105</f>
        <v>0.16885964912280702</v>
      </c>
      <c r="AS105" s="1363">
        <f>AP105+AQ105</f>
        <v>53.300000000000004</v>
      </c>
      <c r="AT105" s="1329">
        <f>AP105/AP98-1</f>
        <v>0.6581818181818182</v>
      </c>
      <c r="AU105" s="1360">
        <f>AS105/'qtrP&amp;L'!BD11</f>
        <v>6.6249201405029975E-2</v>
      </c>
      <c r="AV105" s="114"/>
      <c r="AW105" s="114"/>
      <c r="AX105" s="114"/>
      <c r="AY105" s="1053">
        <f>SUM(SegqtrSales!AS49,SegqtrSales!AS170,SegqtrSales!AS272,SegqtrSales!AS376)</f>
        <v>53.300000000000004</v>
      </c>
      <c r="AZ105" s="22" t="str">
        <f>IF(AS105=AY105:AY105,"OK","check")</f>
        <v>OK</v>
      </c>
      <c r="BA105" s="1123">
        <f>AY105+S105</f>
        <v>804.5379999999999</v>
      </c>
      <c r="BB105" s="1123">
        <f>'qtrP&amp;L'!BD11</f>
        <v>804.53800000000001</v>
      </c>
      <c r="BD105" s="1123"/>
      <c r="BF105" s="1123"/>
    </row>
    <row r="106" spans="1:60" hidden="1" outlineLevel="1">
      <c r="A106" s="114" t="str">
        <f>$A$15</f>
        <v>3Q</v>
      </c>
      <c r="B106" s="245" t="str">
        <f>$B$15</f>
        <v>Oct</v>
      </c>
      <c r="C106" s="114"/>
      <c r="D106" s="1219">
        <f>(S106/S99-1)*100</f>
        <v>10.680822495124055</v>
      </c>
      <c r="E106" s="114"/>
      <c r="F106" s="1144">
        <f>'qtrP&amp;L'!BF12</f>
        <v>1</v>
      </c>
      <c r="G106" s="114"/>
      <c r="H106" s="1123">
        <f>D106-F106</f>
        <v>9.6808224951240547</v>
      </c>
      <c r="I106" s="114"/>
      <c r="J106" s="114">
        <f>SegqtrSales!J50+SegqtrSales!J171+SegqtrSales!J273+SegqtrSales!J377</f>
        <v>1014</v>
      </c>
      <c r="K106" s="1057"/>
      <c r="L106" s="1357">
        <f>AVERAGE(J106,J105)</f>
        <v>999</v>
      </c>
      <c r="M106" s="114"/>
      <c r="N106" s="1151">
        <f>(L106/L99-1)*100</f>
        <v>11.495535714285721</v>
      </c>
      <c r="O106" s="246"/>
      <c r="P106" s="1220">
        <f>H106/N106*100</f>
        <v>84.213756850787846</v>
      </c>
      <c r="Q106" s="310"/>
      <c r="R106" s="114"/>
      <c r="S106" s="311">
        <f>SegqtrSales!S50+SegqtrSales!S171+SegqtrSales!S273+SegqtrSales!S377</f>
        <v>903.43000000000006</v>
      </c>
      <c r="T106" s="114"/>
      <c r="U106" s="1361">
        <f>S106/L106</f>
        <v>0.90433433433433441</v>
      </c>
      <c r="V106" s="114"/>
      <c r="W106" s="1221">
        <f>(U106/U99-1)*100</f>
        <v>-0.73071375812697736</v>
      </c>
      <c r="X106" s="246"/>
      <c r="Y106" s="114"/>
      <c r="Z106" s="1344">
        <v>7.1879999999999997</v>
      </c>
      <c r="AA106" s="1057"/>
      <c r="AB106" s="1358">
        <f>AVERAGE(Z106,Z105)</f>
        <v>7.0909999999999993</v>
      </c>
      <c r="AC106" s="114"/>
      <c r="AD106" s="1151">
        <f>(AB106/AB99-1)*100</f>
        <v>12.013269094068391</v>
      </c>
      <c r="AE106" s="246"/>
      <c r="AF106" s="1220">
        <f>+H106/AD106*100</f>
        <v>80.584413945276609</v>
      </c>
      <c r="AG106" s="310"/>
      <c r="AH106" s="114"/>
      <c r="AI106" s="1132">
        <f>+S106</f>
        <v>903.43000000000006</v>
      </c>
      <c r="AJ106" s="114"/>
      <c r="AK106" s="1362">
        <f>AI106/AB106</f>
        <v>127.40516147228884</v>
      </c>
      <c r="AL106" s="114"/>
      <c r="AM106" s="1221">
        <f>(AK106/AK99-1)*100</f>
        <v>-1.189543533298143</v>
      </c>
      <c r="AN106" s="246"/>
      <c r="AO106" s="246"/>
      <c r="AP106" s="1102">
        <v>61.3</v>
      </c>
      <c r="AQ106" s="1102">
        <v>9.1999999999999993</v>
      </c>
      <c r="AR106" s="1338">
        <f>AQ106/AP106</f>
        <v>0.1500815660685155</v>
      </c>
      <c r="AS106" s="1363">
        <f>AP106+AQ106</f>
        <v>70.5</v>
      </c>
      <c r="AT106" s="1329">
        <f>AP106/AP99-1</f>
        <v>0.4842615012106537</v>
      </c>
      <c r="AU106" s="1360">
        <f>AS106/'qtrP&amp;L'!BD12</f>
        <v>7.2387132545460156E-2</v>
      </c>
      <c r="AV106" s="1352"/>
      <c r="AW106" s="1352"/>
      <c r="AX106" s="1352"/>
      <c r="AY106" s="1053">
        <f>SUM(SegqtrSales!AS50,SegqtrSales!AS171,SegqtrSales!AS273,SegqtrSales!AS377)</f>
        <v>70.500000000000014</v>
      </c>
      <c r="AZ106" s="22" t="str">
        <f>IF(AS106=AY106:AY106,"OK","check")</f>
        <v>OK</v>
      </c>
      <c r="BA106" s="1123">
        <f>AY106+S106</f>
        <v>973.93000000000006</v>
      </c>
      <c r="BB106" s="1123">
        <f>'qtrP&amp;L'!BD12</f>
        <v>973.93</v>
      </c>
      <c r="BD106" s="1123"/>
      <c r="BF106" s="1123"/>
    </row>
    <row r="107" spans="1:60" hidden="1" outlineLevel="1">
      <c r="A107" s="114" t="str">
        <f>$A$16</f>
        <v>4Q</v>
      </c>
      <c r="B107" s="245" t="str">
        <f>$B$16</f>
        <v>Jan</v>
      </c>
      <c r="C107" s="114"/>
      <c r="D107" s="1364">
        <f>(S107/S100-1)*100</f>
        <v>4.9239096819972961</v>
      </c>
      <c r="E107" s="114"/>
      <c r="F107" s="1104">
        <f>SegqtrSales!F51*0.435+SegqtrSales!F172*0.12+SegqtrSales!F274*0.43+SegqtrSales!F378*0.015</f>
        <v>-0.71</v>
      </c>
      <c r="G107" s="114"/>
      <c r="H107" s="1107">
        <f>D107-F107</f>
        <v>5.633909681997296</v>
      </c>
      <c r="I107" s="114"/>
      <c r="J107" s="114">
        <f>SegqtrSales!J51+SegqtrSales!J172+SegqtrSales!J274+SegqtrSales!J378+squft!BS50</f>
        <v>1035</v>
      </c>
      <c r="K107" s="1057"/>
      <c r="L107" s="1365">
        <f>AVERAGE(J107,J106)</f>
        <v>1024.5</v>
      </c>
      <c r="M107" s="114"/>
      <c r="N107" s="1364">
        <f>(L107/L100-1)*100</f>
        <v>10.398706896551735</v>
      </c>
      <c r="O107" s="246"/>
      <c r="P107" s="1365">
        <f>H107/N107*100</f>
        <v>54.178944921176011</v>
      </c>
      <c r="Q107" s="310"/>
      <c r="R107" s="114"/>
      <c r="S107" s="1366">
        <f>SegqtrSales!S51+SegqtrSales!S172+SegqtrSales!S274+SegqtrSales!S378</f>
        <v>1106.047</v>
      </c>
      <c r="T107" s="114"/>
      <c r="U107" s="1367">
        <f>S107/L107</f>
        <v>1.0795968765251343</v>
      </c>
      <c r="V107" s="114"/>
      <c r="W107" s="1368">
        <f>(U107/U100-1)*100</f>
        <v>-4.9591135335348984</v>
      </c>
      <c r="X107" s="246"/>
      <c r="Y107" s="114"/>
      <c r="Z107" s="1334">
        <f>yrSales!O228</f>
        <v>7.337364</v>
      </c>
      <c r="AA107" s="1057"/>
      <c r="AB107" s="1369">
        <f>AVERAGE(Z107,Z106)</f>
        <v>7.2626819999999999</v>
      </c>
      <c r="AC107" s="114"/>
      <c r="AD107" s="1364">
        <f>(AB107/AB100-1)*100</f>
        <v>10.590539442945236</v>
      </c>
      <c r="AE107" s="246"/>
      <c r="AF107" s="1365">
        <f>+H107/AD107*100</f>
        <v>53.197570457567757</v>
      </c>
      <c r="AG107" s="310"/>
      <c r="AH107" s="114"/>
      <c r="AI107" s="1111">
        <f>+S107</f>
        <v>1106.047</v>
      </c>
      <c r="AJ107" s="114"/>
      <c r="AK107" s="1370">
        <f>AI107/AB107</f>
        <v>152.29181175769503</v>
      </c>
      <c r="AL107" s="114"/>
      <c r="AM107" s="1368">
        <f>(AK107/AK100-1)*100</f>
        <v>-5.123973343010424</v>
      </c>
      <c r="AN107" s="246"/>
      <c r="AO107" s="246"/>
      <c r="AP107" s="1145">
        <v>108.6</v>
      </c>
      <c r="AQ107" s="1145">
        <v>15.6</v>
      </c>
      <c r="AR107" s="1340">
        <f>AQ107/AP107</f>
        <v>0.143646408839779</v>
      </c>
      <c r="AS107" s="1371">
        <f>AP107+AQ107</f>
        <v>124.19999999999999</v>
      </c>
      <c r="AT107" s="1330">
        <f>AP107/AP100-1</f>
        <v>0.45187165775401072</v>
      </c>
      <c r="AU107" s="1372">
        <f>AS107/'qtrP&amp;L'!BD13</f>
        <v>0.10106031966632192</v>
      </c>
      <c r="AV107" s="114"/>
      <c r="AW107" s="114"/>
      <c r="AX107" s="114"/>
      <c r="AY107" s="1053">
        <f>SUM(SegqtrSales!AS51,SegqtrSales!AS172,SegqtrSales!AS274,SegqtrSales!AS378)</f>
        <v>124.19999999999999</v>
      </c>
      <c r="AZ107" s="22" t="str">
        <f>IF(AS107=AY107:AY107,"OK","check")</f>
        <v>OK</v>
      </c>
      <c r="BA107" s="1123">
        <f>AY107+S107</f>
        <v>1230.2470000000001</v>
      </c>
      <c r="BB107" s="1123">
        <f>'qtrP&amp;L'!BD13</f>
        <v>1228.9690000000001</v>
      </c>
      <c r="BD107" s="1123"/>
      <c r="BF107" s="1123"/>
    </row>
    <row r="108" spans="1:60" hidden="1" outlineLevel="1">
      <c r="A108" s="114"/>
      <c r="B108" s="245" t="str">
        <f>$B$17</f>
        <v>Year</v>
      </c>
      <c r="C108" s="114"/>
      <c r="D108" s="1151">
        <f>(S108/S101-1)*100</f>
        <v>10.70020498464701</v>
      </c>
      <c r="E108" s="114"/>
      <c r="F108" s="1349">
        <f>F104*S104/$S$108+F105*S105/$S$108+F106*S106/$S$108+F107*S107/$S$108</f>
        <v>-1.2028813489621417</v>
      </c>
      <c r="G108" s="114"/>
      <c r="H108" s="1123">
        <f>D108-F108</f>
        <v>11.903086333609153</v>
      </c>
      <c r="I108" s="114"/>
      <c r="J108" s="114"/>
      <c r="K108" s="114"/>
      <c r="L108" s="1357">
        <f>AVERAGE(L104:L107)</f>
        <v>985.375</v>
      </c>
      <c r="M108" s="114"/>
      <c r="N108" s="1151">
        <f>(L108/L101-1)*100</f>
        <v>11.483524253995192</v>
      </c>
      <c r="O108" s="246"/>
      <c r="P108" s="1220">
        <f>H108/N108*100</f>
        <v>103.6536003262935</v>
      </c>
      <c r="Q108" s="310"/>
      <c r="R108" s="114"/>
      <c r="S108" s="1129">
        <f>SUM(S104:S107)</f>
        <v>3453.0250000000001</v>
      </c>
      <c r="T108" s="114"/>
      <c r="U108" s="1237">
        <f>SUM(U104:U107)</f>
        <v>3.4887179039294645</v>
      </c>
      <c r="V108" s="114"/>
      <c r="W108" s="1221">
        <f>(U108/U101-1)*100</f>
        <v>-0.50320523937199546</v>
      </c>
      <c r="X108" s="246"/>
      <c r="Y108" s="114"/>
      <c r="Z108" s="114"/>
      <c r="AA108" s="114"/>
      <c r="AB108" s="1358">
        <f>AVERAGE(AB104:AB107)</f>
        <v>6.9928410000000003</v>
      </c>
      <c r="AC108" s="114"/>
      <c r="AD108" s="1151">
        <f>(AB108/AB101-1)*100</f>
        <v>11.959958634874003</v>
      </c>
      <c r="AE108" s="246"/>
      <c r="AF108" s="1220">
        <f>+H108/AD108*100</f>
        <v>99.524477441761249</v>
      </c>
      <c r="AG108" s="310"/>
      <c r="AH108" s="114"/>
      <c r="AI108" s="1129">
        <f>SUM(AI104:AI107)</f>
        <v>3453.0250000000001</v>
      </c>
      <c r="AJ108" s="114"/>
      <c r="AK108" s="1359">
        <f>SUM(AK104:AK107)</f>
        <v>491.63808936513817</v>
      </c>
      <c r="AL108" s="114"/>
      <c r="AM108" s="1221">
        <f>(AK108/AK101-1)*100</f>
        <v>-0.90573128942632586</v>
      </c>
      <c r="AN108" s="246"/>
      <c r="AO108" s="246"/>
      <c r="AP108" s="1142">
        <f>+SUM(AP104:AP107)</f>
        <v>259</v>
      </c>
      <c r="AQ108" s="1142">
        <f>+SUM(AQ104:AQ107)</f>
        <v>39.1</v>
      </c>
      <c r="AR108" s="1338">
        <f>AQ108/AP108</f>
        <v>0.15096525096525096</v>
      </c>
      <c r="AS108" s="1142">
        <f>SUM(AS104:AS107)</f>
        <v>298.10000000000002</v>
      </c>
      <c r="AT108" s="1331">
        <f>AP108/AP101-1</f>
        <v>0.48850574712643668</v>
      </c>
      <c r="AU108" s="1373">
        <f>AS108/'qtrP&amp;L'!BD14</f>
        <v>7.9496576793666521E-2</v>
      </c>
      <c r="AV108" s="114"/>
      <c r="AW108" s="114"/>
      <c r="AX108" s="114"/>
      <c r="AY108" s="114"/>
      <c r="AZ108" s="114"/>
      <c r="BA108" s="114"/>
      <c r="BB108" s="114"/>
      <c r="BD108" s="1123"/>
      <c r="BF108" s="1123"/>
    </row>
    <row r="109" spans="1:60" hidden="1" outlineLevel="1">
      <c r="A109" s="114"/>
      <c r="B109" s="245"/>
      <c r="C109" s="114"/>
      <c r="D109" s="1151"/>
      <c r="E109" s="114"/>
      <c r="F109" s="1349"/>
      <c r="G109" s="114"/>
      <c r="H109" s="1123"/>
      <c r="I109" s="114"/>
      <c r="J109" s="114"/>
      <c r="K109" s="114"/>
      <c r="L109" s="1357"/>
      <c r="M109" s="114"/>
      <c r="N109" s="1151"/>
      <c r="O109" s="246"/>
      <c r="P109" s="1220"/>
      <c r="Q109" s="310"/>
      <c r="R109" s="114"/>
      <c r="S109" s="1129"/>
      <c r="T109" s="114"/>
      <c r="U109" s="1237"/>
      <c r="V109" s="114"/>
      <c r="W109" s="1221"/>
      <c r="X109" s="246"/>
      <c r="Y109" s="114"/>
      <c r="Z109" s="114"/>
      <c r="AA109" s="114"/>
      <c r="AB109" s="1358"/>
      <c r="AC109" s="114"/>
      <c r="AD109" s="1151"/>
      <c r="AE109" s="246"/>
      <c r="AF109" s="1220"/>
      <c r="AG109" s="310"/>
      <c r="AH109" s="114"/>
      <c r="AI109" s="1129"/>
      <c r="AJ109" s="114"/>
      <c r="AK109" s="1359"/>
      <c r="AL109" s="114"/>
      <c r="AM109" s="1221"/>
      <c r="AN109" s="246"/>
      <c r="AO109" s="246"/>
      <c r="AP109" s="1142"/>
      <c r="AQ109" s="1142"/>
      <c r="AR109" s="1374"/>
      <c r="AS109" s="1142"/>
      <c r="AT109" s="1331"/>
      <c r="AU109" s="1373"/>
      <c r="AV109" s="114"/>
      <c r="AW109" s="114"/>
      <c r="AX109" s="114"/>
      <c r="AY109" s="114"/>
      <c r="AZ109" s="114"/>
      <c r="BA109" s="114"/>
      <c r="BB109" s="114"/>
      <c r="BD109" s="1123"/>
      <c r="BF109" s="1123"/>
    </row>
    <row r="110" spans="1:60" hidden="1" outlineLevel="1">
      <c r="A110" s="1120"/>
      <c r="B110" s="1113">
        <v>2008</v>
      </c>
      <c r="C110" s="114"/>
      <c r="D110" s="114"/>
      <c r="E110" s="246"/>
      <c r="F110" s="246"/>
      <c r="G110" s="246"/>
      <c r="H110" s="246"/>
      <c r="I110" s="246"/>
      <c r="J110" s="114"/>
      <c r="K110" s="114"/>
      <c r="L110" s="114"/>
      <c r="M110" s="114"/>
      <c r="N110" s="114"/>
      <c r="O110" s="246"/>
      <c r="P110" s="310"/>
      <c r="Q110" s="310"/>
      <c r="R110" s="114"/>
      <c r="S110" s="1129"/>
      <c r="T110" s="114"/>
      <c r="U110" s="114"/>
      <c r="V110" s="114"/>
      <c r="W110" s="114"/>
      <c r="X110" s="246"/>
      <c r="Y110" s="114"/>
      <c r="Z110" s="114"/>
      <c r="AA110" s="114"/>
      <c r="AB110" s="114"/>
      <c r="AC110" s="114"/>
      <c r="AD110" s="114"/>
      <c r="AE110" s="246"/>
      <c r="AF110" s="310"/>
      <c r="AG110" s="310"/>
      <c r="AH110" s="114"/>
      <c r="AI110" s="114"/>
      <c r="AJ110" s="114"/>
      <c r="AK110" s="114"/>
      <c r="AL110" s="114"/>
      <c r="AM110" s="114"/>
      <c r="AN110" s="246"/>
      <c r="AO110" s="246"/>
      <c r="AP110" s="114"/>
      <c r="AQ110" s="1129"/>
      <c r="AR110" s="114"/>
      <c r="AS110" s="114"/>
      <c r="AT110" s="114"/>
      <c r="AU110" s="114"/>
      <c r="AV110" s="114"/>
      <c r="AW110" s="114"/>
      <c r="AX110" s="114"/>
      <c r="AY110" s="1151"/>
      <c r="AZ110" s="114"/>
      <c r="BA110" s="1353" t="s">
        <v>373</v>
      </c>
      <c r="BB110" s="1353" t="s">
        <v>372</v>
      </c>
      <c r="BD110" s="1123"/>
      <c r="BF110" s="1123"/>
    </row>
    <row r="111" spans="1:60" hidden="1" outlineLevel="1">
      <c r="A111" s="114" t="str">
        <f>$A$13</f>
        <v>1Q</v>
      </c>
      <c r="B111" s="245" t="str">
        <f>$B$13</f>
        <v>Apr</v>
      </c>
      <c r="C111" s="114"/>
      <c r="D111" s="1219">
        <f>(S111/S104-1)*100</f>
        <v>4.5931735783102834</v>
      </c>
      <c r="E111" s="246" t="s">
        <v>76</v>
      </c>
      <c r="F111" s="1144">
        <v>-3</v>
      </c>
      <c r="G111" s="246" t="s">
        <v>76</v>
      </c>
      <c r="H111" s="1123">
        <f>D111-F111</f>
        <v>7.5931735783102834</v>
      </c>
      <c r="I111" s="246" t="s">
        <v>76</v>
      </c>
      <c r="J111" s="114">
        <f>SegqtrSales!J55+SegqtrSales!J176+SegqtrSales!J278+SegqtrSales!J382+SegqtrSales!J410</f>
        <v>1047</v>
      </c>
      <c r="K111" s="114"/>
      <c r="L111" s="1357">
        <f>AVERAGE(J111,J107)</f>
        <v>1041</v>
      </c>
      <c r="M111" s="114"/>
      <c r="N111" s="1151">
        <f>(L111/L104-1)*100</f>
        <v>9.6944151738672204</v>
      </c>
      <c r="O111" s="246" t="s">
        <v>76</v>
      </c>
      <c r="P111" s="1220">
        <f>H111/N111*100</f>
        <v>78.325236150178966</v>
      </c>
      <c r="Q111" s="310" t="s">
        <v>76</v>
      </c>
      <c r="R111" s="114"/>
      <c r="S111" s="1030">
        <f>SegqtrSales!S55+SegqtrSales!S176+SegqtrSales!S278+SegqtrSales!S382</f>
        <v>724.10899999999992</v>
      </c>
      <c r="T111" s="1375"/>
      <c r="U111" s="1237">
        <f>S111/L111</f>
        <v>0.69558981748318915</v>
      </c>
      <c r="V111" s="114"/>
      <c r="W111" s="1221">
        <f>(U111/U104-1)*100</f>
        <v>-4.6504114065163638</v>
      </c>
      <c r="X111" s="246" t="s">
        <v>76</v>
      </c>
      <c r="Y111" s="114"/>
      <c r="Z111" s="1344">
        <v>7.4370000000000003</v>
      </c>
      <c r="AA111" s="114"/>
      <c r="AB111" s="1358">
        <f>AVERAGE(Z111,Z107)</f>
        <v>7.3871820000000001</v>
      </c>
      <c r="AC111" s="114"/>
      <c r="AD111" s="1151">
        <f>(AB111/AB104-1)*100</f>
        <v>9.7049430014663596</v>
      </c>
      <c r="AE111" s="246" t="s">
        <v>76</v>
      </c>
      <c r="AF111" s="1220">
        <f>+H111/AD111*100</f>
        <v>78.240269697235718</v>
      </c>
      <c r="AG111" s="310" t="s">
        <v>76</v>
      </c>
      <c r="AH111" s="114"/>
      <c r="AI111" s="1129">
        <f>+S111</f>
        <v>724.10899999999992</v>
      </c>
      <c r="AJ111" s="114"/>
      <c r="AK111" s="1359">
        <f>AI111/AB111</f>
        <v>98.022358187465784</v>
      </c>
      <c r="AL111" s="114"/>
      <c r="AM111" s="1221">
        <f>(AK111/AK104-1)*100</f>
        <v>-4.6595616234792248</v>
      </c>
      <c r="AN111" s="246" t="s">
        <v>76</v>
      </c>
      <c r="AO111" s="246"/>
      <c r="AP111" s="1376">
        <v>62.5</v>
      </c>
      <c r="AQ111" s="1130">
        <v>10.5</v>
      </c>
      <c r="AR111" s="1338">
        <f>AQ111/AP111</f>
        <v>0.16800000000000001</v>
      </c>
      <c r="AS111" s="1142">
        <f>AP111+AQ111</f>
        <v>73</v>
      </c>
      <c r="AT111" s="1329">
        <f>AP111/AP104-1</f>
        <v>0.43678160919540221</v>
      </c>
      <c r="AU111" s="1360">
        <f>AS111/'qtrP&amp;L'!BH10</f>
        <v>9.2740926316698835E-2</v>
      </c>
      <c r="AV111" s="1360"/>
      <c r="AW111" s="1360"/>
      <c r="AX111" s="1360"/>
      <c r="AY111" s="1053">
        <f>SUM(SegqtrSales!AS55,SegqtrSales!AS176,SegqtrSales!AS278,SegqtrSales!AS382)</f>
        <v>73</v>
      </c>
      <c r="AZ111" s="22" t="str">
        <f>IF(AS111=AY111:AY111,"OK","check")</f>
        <v>OK</v>
      </c>
      <c r="BA111" s="1123">
        <f>AY111+S111</f>
        <v>797.10899999999992</v>
      </c>
      <c r="BB111" s="1123">
        <f>'qtrP&amp;L'!BH10</f>
        <v>787.13900000000001</v>
      </c>
      <c r="BD111" s="1377"/>
      <c r="BF111" s="1377"/>
    </row>
    <row r="112" spans="1:60" hidden="1" outlineLevel="1">
      <c r="A112" s="114" t="str">
        <f>$A$14</f>
        <v>2Q</v>
      </c>
      <c r="B112" s="245" t="str">
        <f>$B$14</f>
        <v>Jul</v>
      </c>
      <c r="C112" s="114"/>
      <c r="D112" s="1219">
        <f>(S112/S105-1)*100</f>
        <v>3.2714000090517281</v>
      </c>
      <c r="E112" s="114"/>
      <c r="F112" s="1144">
        <v>-4</v>
      </c>
      <c r="G112" s="114"/>
      <c r="H112" s="1123">
        <f>D112-F112</f>
        <v>7.2714000090517281</v>
      </c>
      <c r="I112" s="114"/>
      <c r="J112" s="114">
        <f>SegqtrSales!J56+SegqtrSales!J177+SegqtrSales!J279+SegqtrSales!J383+SegqtrSales!J411</f>
        <v>1081</v>
      </c>
      <c r="K112" s="1057"/>
      <c r="L112" s="1357">
        <f>AVERAGE(J112,J111)</f>
        <v>1064</v>
      </c>
      <c r="M112" s="114"/>
      <c r="N112" s="1151">
        <f>(L112/L105-1)*100</f>
        <v>9.8039215686274606</v>
      </c>
      <c r="O112" s="246"/>
      <c r="P112" s="1220">
        <f>H112/N112*100</f>
        <v>74.168280092327549</v>
      </c>
      <c r="Q112" s="310"/>
      <c r="R112" s="114"/>
      <c r="S112" s="311">
        <f>SegqtrSales!S56+SegqtrSales!S177+SegqtrSales!S279+SegqtrSales!S383</f>
        <v>775.81399999999996</v>
      </c>
      <c r="T112" s="1375"/>
      <c r="U112" s="1361">
        <f>S112/L112</f>
        <v>0.72914849624060152</v>
      </c>
      <c r="V112" s="114"/>
      <c r="W112" s="1221">
        <f>(U112/U105-1)*100</f>
        <v>-5.9492607060421809</v>
      </c>
      <c r="X112" s="246"/>
      <c r="Y112" s="114"/>
      <c r="Z112" s="1344">
        <v>7.6740000000000004</v>
      </c>
      <c r="AA112" s="1057"/>
      <c r="AB112" s="1358">
        <f>AVERAGE(Z112,Z111)</f>
        <v>7.5555000000000003</v>
      </c>
      <c r="AC112" s="114"/>
      <c r="AD112" s="1151">
        <f>(AB112/AB105-1)*100</f>
        <v>9.7545031958163886</v>
      </c>
      <c r="AE112" s="246"/>
      <c r="AF112" s="1220">
        <f>+H112/AD112*100</f>
        <v>74.544032259586118</v>
      </c>
      <c r="AG112" s="310"/>
      <c r="AH112" s="114"/>
      <c r="AI112" s="1132">
        <f>+S112</f>
        <v>775.81399999999996</v>
      </c>
      <c r="AJ112" s="114"/>
      <c r="AK112" s="1362">
        <f>AI112/AB112</f>
        <v>102.68201972073324</v>
      </c>
      <c r="AL112" s="114"/>
      <c r="AM112" s="1221">
        <f>(AK112/AK105-1)*100</f>
        <v>-5.9069131543495246</v>
      </c>
      <c r="AN112" s="246"/>
      <c r="AO112" s="1050"/>
      <c r="AP112" s="1102">
        <v>55.9</v>
      </c>
      <c r="AQ112" s="1102">
        <v>9.9</v>
      </c>
      <c r="AR112" s="1338">
        <f>AQ112/AP112</f>
        <v>0.17710196779964224</v>
      </c>
      <c r="AS112" s="1378">
        <f>AP112+AQ112</f>
        <v>65.8</v>
      </c>
      <c r="AT112" s="1329">
        <f>AP112/AP105-1</f>
        <v>0.22587719298245612</v>
      </c>
      <c r="AU112" s="1360">
        <f>AS112/'qtrP&amp;L'!BH11</f>
        <v>7.8963348045957144E-2</v>
      </c>
      <c r="AV112" s="1129"/>
      <c r="AW112" s="1129"/>
      <c r="AX112" s="1129"/>
      <c r="AY112" s="1053">
        <f>SUM(SegqtrSales!AS56,SegqtrSales!AS177,SegqtrSales!AS279,SegqtrSales!AS383)</f>
        <v>65.800000000000011</v>
      </c>
      <c r="AZ112" s="22" t="str">
        <f>IF(AS112=AY112:AY112,"OK","check")</f>
        <v>OK</v>
      </c>
      <c r="BA112" s="1123">
        <f>AY112+S112</f>
        <v>841.61400000000003</v>
      </c>
      <c r="BB112" s="1123">
        <f>'qtrP&amp;L'!BH11</f>
        <v>833.298</v>
      </c>
      <c r="BD112" s="1377">
        <v>63.268000000000001</v>
      </c>
      <c r="BF112" s="1377">
        <v>782.53099999999995</v>
      </c>
    </row>
    <row r="113" spans="1:59" hidden="1" outlineLevel="1">
      <c r="A113" s="114" t="str">
        <f>$A$15</f>
        <v>3Q</v>
      </c>
      <c r="B113" s="245" t="str">
        <f>$B$15</f>
        <v>Oct</v>
      </c>
      <c r="C113" s="114"/>
      <c r="D113" s="1219">
        <f>(S113/S106-1)*100</f>
        <v>-8.6080825299137853</v>
      </c>
      <c r="E113" s="114"/>
      <c r="F113" s="1144">
        <v>-14</v>
      </c>
      <c r="G113" s="114"/>
      <c r="H113" s="1123">
        <f>D113-F113</f>
        <v>5.3919174700862147</v>
      </c>
      <c r="I113" s="114"/>
      <c r="J113" s="114">
        <f>SegqtrSales!J57+SegqtrSales!J178+SegqtrSales!J280+SegqtrSales!J384+SegqtrSales!J412</f>
        <v>1107</v>
      </c>
      <c r="K113" s="1057"/>
      <c r="L113" s="1357">
        <f>AVERAGE(J113,J112)</f>
        <v>1094</v>
      </c>
      <c r="M113" s="114"/>
      <c r="N113" s="1151">
        <f>(L113/L106-1)*100</f>
        <v>9.5095095095095061</v>
      </c>
      <c r="O113" s="246"/>
      <c r="P113" s="1220">
        <f>H113/N113*100</f>
        <v>56.700268974906635</v>
      </c>
      <c r="Q113" s="310"/>
      <c r="R113" s="114"/>
      <c r="S113" s="311">
        <f>SegqtrSales!S57+SegqtrSales!S178+SegqtrSales!S280+SegqtrSales!S384</f>
        <v>825.66199999999992</v>
      </c>
      <c r="T113" s="1375"/>
      <c r="U113" s="1361">
        <f>S113/L113</f>
        <v>0.75471846435100542</v>
      </c>
      <c r="V113" s="114"/>
      <c r="W113" s="1221">
        <f>(U113/U106-1)*100</f>
        <v>-16.544309366895682</v>
      </c>
      <c r="X113" s="246"/>
      <c r="Y113" s="114"/>
      <c r="Z113" s="1344">
        <v>7.8579999999999997</v>
      </c>
      <c r="AA113" s="1057"/>
      <c r="AB113" s="1358">
        <f>AVERAGE(Z113,Z112)</f>
        <v>7.766</v>
      </c>
      <c r="AC113" s="114"/>
      <c r="AD113" s="1151">
        <f>(AB113/AB106-1)*100</f>
        <v>9.5191087293752688</v>
      </c>
      <c r="AE113" s="246"/>
      <c r="AF113" s="1220">
        <f>+H113/AD113*100</f>
        <v>56.643091526490863</v>
      </c>
      <c r="AG113" s="310"/>
      <c r="AH113" s="114"/>
      <c r="AI113" s="1132">
        <f>+S113</f>
        <v>825.66199999999992</v>
      </c>
      <c r="AJ113" s="114"/>
      <c r="AK113" s="1362">
        <f>AI113/AB113</f>
        <v>106.31753798609321</v>
      </c>
      <c r="AL113" s="114"/>
      <c r="AM113" s="1221">
        <f>(AK113/AK106-1)*100</f>
        <v>-16.551624159106204</v>
      </c>
      <c r="AN113" s="246"/>
      <c r="AO113" s="246"/>
      <c r="AP113" s="1102">
        <f>175.9-AP112-AP111</f>
        <v>57.5</v>
      </c>
      <c r="AQ113" s="1102">
        <v>9.3000000000000007</v>
      </c>
      <c r="AR113" s="1338">
        <f>AQ113/AP113</f>
        <v>0.16173913043478261</v>
      </c>
      <c r="AS113" s="1378">
        <f>AP113+AQ113</f>
        <v>66.8</v>
      </c>
      <c r="AT113" s="1329">
        <f>AP113/AP106-1</f>
        <v>-6.1990212071778128E-2</v>
      </c>
      <c r="AU113" s="1360">
        <f>AS113/'qtrP&amp;L'!BH12</f>
        <v>7.5667385204760698E-2</v>
      </c>
      <c r="AV113" s="114"/>
      <c r="AW113" s="114"/>
      <c r="AX113" s="114"/>
      <c r="AY113" s="1053">
        <f>SUM(SegqtrSales!AS57,SegqtrSales!AS178,SegqtrSales!AS280,SegqtrSales!AS384)</f>
        <v>66.8</v>
      </c>
      <c r="AZ113" s="22" t="str">
        <f>IF(AS113=AY113:AY113,"OK","check")</f>
        <v>OK</v>
      </c>
      <c r="BA113" s="1123">
        <f>AY113+S113</f>
        <v>892.46199999999988</v>
      </c>
      <c r="BB113" s="1123">
        <f>'qtrP&amp;L'!BH12</f>
        <v>882.81100000000004</v>
      </c>
      <c r="BD113" s="1377">
        <v>62.386000000000003</v>
      </c>
      <c r="BF113" s="1377">
        <v>833.95799999999997</v>
      </c>
    </row>
    <row r="114" spans="1:59" hidden="1" outlineLevel="1">
      <c r="A114" s="114" t="str">
        <f>$A$16</f>
        <v>4Q</v>
      </c>
      <c r="B114" s="245" t="str">
        <f>$B$16</f>
        <v>Jan</v>
      </c>
      <c r="C114" s="114"/>
      <c r="D114" s="1364">
        <f>(S114/S107-1)*100</f>
        <v>-20.274635707162524</v>
      </c>
      <c r="E114" s="114"/>
      <c r="F114" s="1104">
        <v>-25</v>
      </c>
      <c r="G114" s="114"/>
      <c r="H114" s="1107">
        <f>D114-F114</f>
        <v>4.7253642928374759</v>
      </c>
      <c r="I114" s="114"/>
      <c r="J114" s="114">
        <f>SegqtrSales!J58+SegqtrSales!J179+SegqtrSales!J281+SegqtrSales!J385+SegqtrSales!J413</f>
        <v>1125</v>
      </c>
      <c r="K114" s="1057"/>
      <c r="L114" s="1365">
        <f>AVERAGE(J114,J113)</f>
        <v>1116</v>
      </c>
      <c r="M114" s="114"/>
      <c r="N114" s="1364">
        <f>(L114/L107-1)*100</f>
        <v>8.9311859443631079</v>
      </c>
      <c r="O114" s="246"/>
      <c r="P114" s="1365">
        <f>H114/N114*100</f>
        <v>52.908587082098265</v>
      </c>
      <c r="Q114" s="310"/>
      <c r="R114" s="114"/>
      <c r="S114" s="1111">
        <f>SegqtrSales!S58+SegqtrSales!S179+SegqtrSales!S281+SegqtrSales!S385</f>
        <v>881.80000000000007</v>
      </c>
      <c r="T114" s="1375"/>
      <c r="U114" s="1367">
        <f>S114/L114</f>
        <v>0.79014336917562733</v>
      </c>
      <c r="V114" s="114"/>
      <c r="W114" s="1368">
        <f>(U114/U107-1)*100</f>
        <v>-26.811258317193555</v>
      </c>
      <c r="X114" s="246"/>
      <c r="Y114" s="114"/>
      <c r="Z114" s="1334">
        <f>yrSales!$P$228</f>
        <v>8.0223639999999996</v>
      </c>
      <c r="AA114" s="1057"/>
      <c r="AB114" s="1369">
        <f>AVERAGE(Z114,Z113)</f>
        <v>7.9401820000000001</v>
      </c>
      <c r="AC114" s="114"/>
      <c r="AD114" s="1364">
        <f>(AB114/AB107-1)*100</f>
        <v>9.3285097709083331</v>
      </c>
      <c r="AE114" s="246"/>
      <c r="AF114" s="1365">
        <f>+H114/AD114*100</f>
        <v>50.655082203739376</v>
      </c>
      <c r="AG114" s="310"/>
      <c r="AH114" s="114"/>
      <c r="AI114" s="1111">
        <f>+S114</f>
        <v>881.80000000000007</v>
      </c>
      <c r="AJ114" s="114"/>
      <c r="AK114" s="1370">
        <f>AI114/AB114</f>
        <v>111.05538890670265</v>
      </c>
      <c r="AL114" s="114"/>
      <c r="AM114" s="1368">
        <f>(AK114/AK107-1)*100</f>
        <v>-27.077242285751968</v>
      </c>
      <c r="AN114" s="246"/>
      <c r="AO114" s="246"/>
      <c r="AP114" s="1145">
        <v>95.1</v>
      </c>
      <c r="AQ114" s="1145">
        <v>14.3</v>
      </c>
      <c r="AR114" s="1340">
        <f>AQ114/AP114</f>
        <v>0.15036803364879076</v>
      </c>
      <c r="AS114" s="1379">
        <f>AP114+AQ114</f>
        <v>109.39999999999999</v>
      </c>
      <c r="AT114" s="1330">
        <f>AP114/AP107-1</f>
        <v>-0.12430939226519333</v>
      </c>
      <c r="AU114" s="1372">
        <f>AS114/'qtrP&amp;L'!BH13</f>
        <v>0.11154057517824571</v>
      </c>
      <c r="AV114" s="114"/>
      <c r="AW114" s="114"/>
      <c r="AX114" s="114"/>
      <c r="AY114" s="1053">
        <f>SUM(SegqtrSales!AS58,SegqtrSales!AS179,SegqtrSales!AS281,SegqtrSales!AS385)</f>
        <v>109.39999999999998</v>
      </c>
      <c r="AZ114" s="22" t="str">
        <f>IF(AS114=AY114:AY114,"OK","check")</f>
        <v>OK</v>
      </c>
      <c r="BA114" s="1123">
        <f>AY114+S114</f>
        <v>991.2</v>
      </c>
      <c r="BB114" s="1123">
        <f>'qtrP&amp;L'!BH13</f>
        <v>980.80899999999997</v>
      </c>
      <c r="BD114" s="1107">
        <f>BD115-SUM(BD111:BD113)</f>
        <v>138.78000000000003</v>
      </c>
      <c r="BF114" s="1107">
        <f>BF115-SUM(BF111:BF113)</f>
        <v>1603.1349999999998</v>
      </c>
    </row>
    <row r="115" spans="1:59" hidden="1" outlineLevel="1">
      <c r="A115" s="114"/>
      <c r="B115" s="245" t="str">
        <f>$B$17</f>
        <v>Year</v>
      </c>
      <c r="C115" s="114"/>
      <c r="D115" s="1151">
        <f>(S115/S108-1)*100</f>
        <v>-7.1137625704997927</v>
      </c>
      <c r="E115" s="114"/>
      <c r="F115" s="1349">
        <f>F111*S111/$S$115+F112*S112/$S$115+F113*S113/$S$115+F114*S114/$S$115</f>
        <v>-12.121978184720575</v>
      </c>
      <c r="G115" s="114"/>
      <c r="H115" s="1123">
        <f>D115-F115</f>
        <v>5.0082156142207825</v>
      </c>
      <c r="I115" s="114"/>
      <c r="J115" s="114"/>
      <c r="K115" s="114"/>
      <c r="L115" s="1357">
        <f>AVERAGE(L111:L114)</f>
        <v>1078.75</v>
      </c>
      <c r="M115" s="114"/>
      <c r="N115" s="1151">
        <f>(L115/L108-1)*100</f>
        <v>9.4760877838386381</v>
      </c>
      <c r="O115" s="246"/>
      <c r="P115" s="1220">
        <f>H115/N115*100</f>
        <v>52.851089272961758</v>
      </c>
      <c r="Q115" s="310"/>
      <c r="R115" s="114"/>
      <c r="S115" s="1030">
        <f>SUM(S111:S114)</f>
        <v>3207.3849999999998</v>
      </c>
      <c r="T115" s="1375"/>
      <c r="U115" s="1237">
        <f>SUM(U111:U114)</f>
        <v>2.9696001472504232</v>
      </c>
      <c r="V115" s="114"/>
      <c r="W115" s="1221">
        <f>(U115/U108-1)*100</f>
        <v>-14.879900610317065</v>
      </c>
      <c r="X115" s="246"/>
      <c r="Y115" s="114"/>
      <c r="Z115" s="114"/>
      <c r="AA115" s="114"/>
      <c r="AB115" s="1358">
        <f>AVERAGE(AB111:AB114)</f>
        <v>7.6622160000000008</v>
      </c>
      <c r="AC115" s="114"/>
      <c r="AD115" s="1151">
        <f>(AB115/AB108-1)*100</f>
        <v>9.5722897174410413</v>
      </c>
      <c r="AE115" s="246"/>
      <c r="AF115" s="1220">
        <f>+H115/AD115*100</f>
        <v>52.319933496116832</v>
      </c>
      <c r="AG115" s="310"/>
      <c r="AH115" s="114"/>
      <c r="AI115" s="1129">
        <f>SUM(AI111:AI114)</f>
        <v>3207.3849999999998</v>
      </c>
      <c r="AJ115" s="114"/>
      <c r="AK115" s="1359">
        <f>SUM(AK111:AK114)</f>
        <v>418.07730480099491</v>
      </c>
      <c r="AL115" s="114"/>
      <c r="AM115" s="1221">
        <f>(AK115/AK108-1)*100</f>
        <v>-14.962385168149551</v>
      </c>
      <c r="AN115" s="246"/>
      <c r="AO115" s="246"/>
      <c r="AP115" s="1142">
        <f>+SUM(AP111:AP114)</f>
        <v>271</v>
      </c>
      <c r="AQ115" s="1142">
        <f>+SUM(AQ111:AQ114)</f>
        <v>44</v>
      </c>
      <c r="AR115" s="1338">
        <f>AQ115/AP115</f>
        <v>0.16236162361623616</v>
      </c>
      <c r="AS115" s="1142">
        <f>SUM(AS111:AS114)</f>
        <v>315</v>
      </c>
      <c r="AT115" s="1331">
        <f>AP115/AP108-1</f>
        <v>4.6332046332046239E-2</v>
      </c>
      <c r="AU115" s="1373">
        <f>AS115/'qtrP&amp;L'!BH14</f>
        <v>9.0411838841901848E-2</v>
      </c>
      <c r="AV115" s="114"/>
      <c r="AW115" s="114"/>
      <c r="AX115" s="114"/>
      <c r="AY115" s="114"/>
      <c r="AZ115" s="114"/>
      <c r="BA115" s="114"/>
      <c r="BB115" s="114"/>
      <c r="BD115" s="1380">
        <v>264.43400000000003</v>
      </c>
      <c r="BF115" s="1380">
        <v>3219.6239999999998</v>
      </c>
    </row>
    <row r="116" spans="1:59" hidden="1" outlineLevel="1">
      <c r="A116" s="114"/>
      <c r="B116" s="245"/>
      <c r="C116" s="114"/>
      <c r="D116" s="1151"/>
      <c r="E116" s="114"/>
      <c r="F116" s="1349"/>
      <c r="G116" s="114"/>
      <c r="H116" s="1123"/>
      <c r="I116" s="114"/>
      <c r="J116" s="114"/>
      <c r="K116" s="114"/>
      <c r="L116" s="1357"/>
      <c r="M116" s="114"/>
      <c r="N116" s="1151"/>
      <c r="O116" s="246"/>
      <c r="P116" s="1220"/>
      <c r="Q116" s="310"/>
      <c r="R116" s="114"/>
      <c r="S116" s="1030"/>
      <c r="T116" s="1375"/>
      <c r="U116" s="1237"/>
      <c r="V116" s="114"/>
      <c r="W116" s="1221"/>
      <c r="X116" s="246"/>
      <c r="Y116" s="114"/>
      <c r="Z116" s="114"/>
      <c r="AA116" s="114"/>
      <c r="AB116" s="1358"/>
      <c r="AC116" s="114"/>
      <c r="AD116" s="1151"/>
      <c r="AE116" s="246"/>
      <c r="AF116" s="1220"/>
      <c r="AG116" s="310"/>
      <c r="AH116" s="114"/>
      <c r="AI116" s="1129"/>
      <c r="AJ116" s="114"/>
      <c r="AK116" s="1359"/>
      <c r="AL116" s="114"/>
      <c r="AM116" s="1221"/>
      <c r="AN116" s="246"/>
      <c r="AO116" s="246"/>
      <c r="AP116" s="1142"/>
      <c r="AQ116" s="1142"/>
      <c r="AR116" s="1374"/>
      <c r="AS116" s="1142">
        <v>315</v>
      </c>
      <c r="AT116" s="1331"/>
      <c r="AU116" s="1373"/>
      <c r="AV116" s="114"/>
      <c r="AW116" s="114"/>
      <c r="AX116" s="114"/>
      <c r="AY116" s="114"/>
      <c r="AZ116" s="114"/>
      <c r="BA116" s="114"/>
      <c r="BB116" s="114"/>
      <c r="BD116" s="1123"/>
      <c r="BF116" s="1123"/>
    </row>
    <row r="117" spans="1:59" hidden="1" outlineLevel="1">
      <c r="A117" s="1120"/>
      <c r="B117" s="1113">
        <v>2009</v>
      </c>
      <c r="C117" s="114"/>
      <c r="D117" s="114"/>
      <c r="E117" s="246"/>
      <c r="F117" s="246"/>
      <c r="G117" s="246"/>
      <c r="H117" s="246"/>
      <c r="I117" s="246"/>
      <c r="J117" s="114"/>
      <c r="K117" s="114"/>
      <c r="L117" s="114"/>
      <c r="M117" s="114"/>
      <c r="N117" s="114"/>
      <c r="O117" s="246"/>
      <c r="P117" s="310"/>
      <c r="Q117" s="310"/>
      <c r="R117" s="114"/>
      <c r="S117" s="1129"/>
      <c r="T117" s="114"/>
      <c r="U117" s="114"/>
      <c r="V117" s="114"/>
      <c r="W117" s="114"/>
      <c r="X117" s="246"/>
      <c r="Y117" s="114"/>
      <c r="Z117" s="114"/>
      <c r="AA117" s="114"/>
      <c r="AB117" s="114"/>
      <c r="AC117" s="114"/>
      <c r="AD117" s="114"/>
      <c r="AE117" s="246"/>
      <c r="AF117" s="310"/>
      <c r="AG117" s="310"/>
      <c r="AH117" s="114"/>
      <c r="AI117" s="114"/>
      <c r="AJ117" s="114"/>
      <c r="AK117" s="114"/>
      <c r="AL117" s="114"/>
      <c r="AM117" s="114"/>
      <c r="AN117" s="246"/>
      <c r="AO117" s="246"/>
      <c r="AP117" s="114"/>
      <c r="AQ117" s="1129"/>
      <c r="AR117" s="114"/>
      <c r="AS117" s="114"/>
      <c r="AT117" s="114"/>
      <c r="AU117" s="114"/>
      <c r="AV117" s="114"/>
      <c r="AW117" s="114"/>
      <c r="AX117" s="114"/>
      <c r="AY117" s="1151"/>
      <c r="AZ117" s="114"/>
      <c r="BA117" s="1353" t="s">
        <v>373</v>
      </c>
      <c r="BB117" s="1353" t="s">
        <v>372</v>
      </c>
      <c r="BD117" s="1123"/>
      <c r="BF117" s="1123"/>
    </row>
    <row r="118" spans="1:59" hidden="1" outlineLevel="1">
      <c r="A118" s="114" t="str">
        <f>$A$13</f>
        <v>1Q</v>
      </c>
      <c r="B118" s="245" t="str">
        <f>$B$13</f>
        <v>Apr</v>
      </c>
      <c r="C118" s="114"/>
      <c r="D118" s="1219">
        <f>(S118/S111-1)*100</f>
        <v>-24.072204599031355</v>
      </c>
      <c r="E118" s="246" t="s">
        <v>76</v>
      </c>
      <c r="F118" s="1144">
        <v>-30</v>
      </c>
      <c r="G118" s="246" t="s">
        <v>76</v>
      </c>
      <c r="H118" s="1123">
        <f>D118-F118</f>
        <v>5.9277954009686447</v>
      </c>
      <c r="I118" s="246" t="s">
        <v>76</v>
      </c>
      <c r="J118" s="114">
        <f>SegqtrSales!J62+SegqtrSales!J183+SegqtrSales!J285+SegqtrSales!J389+SegqtrSales!J417</f>
        <v>1126</v>
      </c>
      <c r="K118" s="114"/>
      <c r="L118" s="1357">
        <f>AVERAGE(J118,J114)</f>
        <v>1125.5</v>
      </c>
      <c r="M118" s="114"/>
      <c r="N118" s="1151">
        <f>(L118/L111-1)*100</f>
        <v>8.1171950048030794</v>
      </c>
      <c r="O118" s="246" t="s">
        <v>76</v>
      </c>
      <c r="P118" s="1220">
        <f>H118/N118*100</f>
        <v>73.027633282939107</v>
      </c>
      <c r="Q118" s="310" t="s">
        <v>76</v>
      </c>
      <c r="R118" s="114"/>
      <c r="S118" s="1030">
        <f>SegqtrSales!S62+SegqtrSales!S183+SegqtrSales!S285+SegqtrSales!S389</f>
        <v>549.79999999999995</v>
      </c>
      <c r="T118" s="1375"/>
      <c r="U118" s="1237">
        <f>S118/L118</f>
        <v>0.48849400266548199</v>
      </c>
      <c r="V118" s="114"/>
      <c r="W118" s="1221">
        <f>(U118/U111-1)*100</f>
        <v>-29.772692125803324</v>
      </c>
      <c r="X118" s="246" t="s">
        <v>76</v>
      </c>
      <c r="Y118" s="114"/>
      <c r="Z118" s="1344">
        <v>7.7610000000000001</v>
      </c>
      <c r="AA118" s="114"/>
      <c r="AB118" s="1358">
        <f>AVERAGE(Z118,Z114)</f>
        <v>7.8916819999999994</v>
      </c>
      <c r="AC118" s="114"/>
      <c r="AD118" s="1151">
        <f>(AB118/AB111-1)*100</f>
        <v>6.8293971909721307</v>
      </c>
      <c r="AE118" s="246" t="s">
        <v>76</v>
      </c>
      <c r="AF118" s="1220">
        <f>+H118/AD118*100</f>
        <v>86.798222964754117</v>
      </c>
      <c r="AG118" s="310" t="s">
        <v>76</v>
      </c>
      <c r="AH118" s="114"/>
      <c r="AI118" s="1129">
        <f>+S118</f>
        <v>549.79999999999995</v>
      </c>
      <c r="AJ118" s="114"/>
      <c r="AK118" s="1359">
        <f>AI118/AB118</f>
        <v>69.668291246403484</v>
      </c>
      <c r="AL118" s="114"/>
      <c r="AM118" s="1221">
        <f>(AK118/AK111-1)*100</f>
        <v>-28.926122024972834</v>
      </c>
      <c r="AN118" s="246" t="s">
        <v>76</v>
      </c>
      <c r="AO118" s="246"/>
      <c r="AP118" s="1376">
        <f>94.5-AP119</f>
        <v>48.4</v>
      </c>
      <c r="AQ118" s="1130">
        <f>16.6-AQ119</f>
        <v>8.4000000000000021</v>
      </c>
      <c r="AR118" s="1338">
        <f>AQ118/AP118</f>
        <v>0.17355371900826452</v>
      </c>
      <c r="AS118" s="1142">
        <f>AP118+AQ118</f>
        <v>56.8</v>
      </c>
      <c r="AT118" s="1329">
        <f>AP118/AP111-1</f>
        <v>-0.22560000000000002</v>
      </c>
      <c r="AU118" s="1360">
        <f>AS118/'qtrP&amp;L'!BL10</f>
        <v>9.4394652742347457E-2</v>
      </c>
      <c r="AV118" s="1360"/>
      <c r="AW118" s="1360"/>
      <c r="AX118" s="1360"/>
      <c r="AY118" s="1053">
        <f>SUM(SegqtrSales!AS62,SegqtrSales!AS183,SegqtrSales!AS285,SegqtrSales!AS389)</f>
        <v>56.8</v>
      </c>
      <c r="AZ118" s="22" t="str">
        <f>IF(AS118=AY118:AY118,"OK","check")</f>
        <v>OK</v>
      </c>
      <c r="BA118" s="1123">
        <f>AY118+S118</f>
        <v>606.59999999999991</v>
      </c>
      <c r="BB118" s="1123">
        <f>'qtrP&amp;L'!BL10</f>
        <v>601.72900000000004</v>
      </c>
      <c r="BD118" s="1377">
        <v>58.820999999999998</v>
      </c>
      <c r="BF118" s="1377">
        <v>542.90800000000002</v>
      </c>
      <c r="BG118" s="1360"/>
    </row>
    <row r="119" spans="1:59" hidden="1" outlineLevel="1">
      <c r="A119" s="114" t="str">
        <f>$A$14</f>
        <v>2Q</v>
      </c>
      <c r="B119" s="245" t="str">
        <f>$B$14</f>
        <v>Jul</v>
      </c>
      <c r="C119" s="114"/>
      <c r="D119" s="1219">
        <f>(S119/S112-1)*100</f>
        <v>-24.208637637371844</v>
      </c>
      <c r="E119" s="114"/>
      <c r="F119" s="1144">
        <v>-30</v>
      </c>
      <c r="G119" s="114"/>
      <c r="H119" s="1123">
        <f>D119-F119</f>
        <v>5.7913623626281563</v>
      </c>
      <c r="I119" s="114"/>
      <c r="J119" s="114">
        <f>SegqtrSales!J63+SegqtrSales!J184+SegqtrSales!J286+SegqtrSales!J390+SegqtrSales!J418</f>
        <v>1132</v>
      </c>
      <c r="K119" s="1057"/>
      <c r="L119" s="1357">
        <f>AVERAGE(J119,J118)</f>
        <v>1129</v>
      </c>
      <c r="M119" s="114"/>
      <c r="N119" s="1151">
        <f>(L119/L112-1)*100</f>
        <v>6.1090225563909861</v>
      </c>
      <c r="O119" s="246"/>
      <c r="P119" s="1220">
        <f>H119/N119*100</f>
        <v>94.800146982097687</v>
      </c>
      <c r="Q119" s="310"/>
      <c r="R119" s="114"/>
      <c r="S119" s="311">
        <f>SegqtrSales!S63+SegqtrSales!S184+SegqtrSales!S286+SegqtrSales!S390</f>
        <v>588</v>
      </c>
      <c r="T119" s="1375"/>
      <c r="U119" s="1361">
        <f>S119/L119</f>
        <v>0.520814880425155</v>
      </c>
      <c r="V119" s="114"/>
      <c r="W119" s="1221">
        <f>(U119/U112-1)*100</f>
        <v>-28.572179314582502</v>
      </c>
      <c r="X119" s="246"/>
      <c r="Y119" s="114"/>
      <c r="Z119" s="1344">
        <v>7.843</v>
      </c>
      <c r="AA119" s="1057"/>
      <c r="AB119" s="1358">
        <f>AVERAGE(Z119,Z118)</f>
        <v>7.8019999999999996</v>
      </c>
      <c r="AC119" s="114"/>
      <c r="AD119" s="1151">
        <f>(AB119/AB112-1)*100</f>
        <v>3.2625239891469704</v>
      </c>
      <c r="AE119" s="246"/>
      <c r="AF119" s="1220">
        <f>+H119/AD119*100</f>
        <v>177.5117173664793</v>
      </c>
      <c r="AG119" s="310"/>
      <c r="AH119" s="114"/>
      <c r="AI119" s="1132">
        <f>+S119</f>
        <v>588</v>
      </c>
      <c r="AJ119" s="114"/>
      <c r="AK119" s="1362">
        <f>AI119/AB119</f>
        <v>75.365290951038205</v>
      </c>
      <c r="AL119" s="114"/>
      <c r="AM119" s="1221">
        <f>(AK119/AK112-1)*100</f>
        <v>-26.603225028090606</v>
      </c>
      <c r="AN119" s="246"/>
      <c r="AO119" s="1050"/>
      <c r="AP119" s="1102">
        <v>46.1</v>
      </c>
      <c r="AQ119" s="1102">
        <v>8.1999999999999993</v>
      </c>
      <c r="AR119" s="1338">
        <f>AQ119/AP119</f>
        <v>0.17787418655097612</v>
      </c>
      <c r="AS119" s="1378">
        <f>AP119+AQ119</f>
        <v>54.3</v>
      </c>
      <c r="AT119" s="1329">
        <f>AP119/AP112-1</f>
        <v>-0.17531305903398919</v>
      </c>
      <c r="AU119" s="1360">
        <f>AS119/'qtrP&amp;L'!BL11</f>
        <v>8.5213764141483087E-2</v>
      </c>
      <c r="AV119" s="1129"/>
      <c r="AW119" s="1129"/>
      <c r="AX119" s="1129"/>
      <c r="AY119" s="1053">
        <f>SUM(SegqtrSales!AS63,SegqtrSales!AS184,SegqtrSales!AS286,SegqtrSales!AS390)</f>
        <v>54.3</v>
      </c>
      <c r="AZ119" s="22" t="str">
        <f>IF(AS119=AY119:AY119,"OK","check")</f>
        <v>OK</v>
      </c>
      <c r="BA119" s="1123">
        <f>AY119+S119</f>
        <v>642.29999999999995</v>
      </c>
      <c r="BB119" s="1123">
        <f>'qtrP&amp;L'!BL11</f>
        <v>637.221</v>
      </c>
      <c r="BD119" s="1377">
        <v>72.167000000000002</v>
      </c>
      <c r="BE119" s="1360">
        <f>+BD119/BD112-1</f>
        <v>0.14065562369602325</v>
      </c>
      <c r="BF119" s="1377">
        <v>565.05399999999997</v>
      </c>
      <c r="BG119" s="1360">
        <f>+BF119/BF112-1</f>
        <v>-0.27791486854833869</v>
      </c>
    </row>
    <row r="120" spans="1:59" hidden="1" outlineLevel="1">
      <c r="A120" s="114" t="str">
        <f>$A$15</f>
        <v>3Q</v>
      </c>
      <c r="B120" s="245" t="str">
        <f>$B$15</f>
        <v>Oct</v>
      </c>
      <c r="C120" s="114"/>
      <c r="D120" s="1219">
        <f>(S120/S113-1)*100</f>
        <v>-16.777672542355894</v>
      </c>
      <c r="E120" s="114"/>
      <c r="F120" s="1144">
        <v>-22</v>
      </c>
      <c r="G120" s="114"/>
      <c r="H120" s="1123">
        <f>D120-F120</f>
        <v>5.2223274576441057</v>
      </c>
      <c r="I120" s="114"/>
      <c r="J120" s="114">
        <f>SegqtrSales!J64+SegqtrSales!J185+SegqtrSales!J287+SegqtrSales!J391+SegqtrSales!J419</f>
        <v>1130</v>
      </c>
      <c r="K120" s="1057"/>
      <c r="L120" s="1357">
        <f>AVERAGE(J120,J119)</f>
        <v>1131</v>
      </c>
      <c r="M120" s="114"/>
      <c r="N120" s="1151">
        <f>(L120/L113-1)*100</f>
        <v>3.3820840950639752</v>
      </c>
      <c r="O120" s="246"/>
      <c r="P120" s="1220">
        <f>H120/N120*100</f>
        <v>154.41151996385591</v>
      </c>
      <c r="Q120" s="310"/>
      <c r="R120" s="114"/>
      <c r="S120" s="311">
        <f>SegqtrSales!S64+SegqtrSales!S185+SegqtrSales!S287+SegqtrSales!S391</f>
        <v>687.13513333333344</v>
      </c>
      <c r="T120" s="1375"/>
      <c r="U120" s="1361">
        <f>S120/L120</f>
        <v>0.60754653698791639</v>
      </c>
      <c r="V120" s="114"/>
      <c r="W120" s="1221">
        <f>(U120/U113-1)*100</f>
        <v>-19.5002420524645</v>
      </c>
      <c r="X120" s="246"/>
      <c r="Y120" s="114"/>
      <c r="Z120" s="1344">
        <v>7.8639999999999999</v>
      </c>
      <c r="AA120" s="1057"/>
      <c r="AB120" s="1358">
        <f>AVERAGE(Z120,Z119)</f>
        <v>7.8535000000000004</v>
      </c>
      <c r="AC120" s="114"/>
      <c r="AD120" s="1151">
        <f>(AB120/AB113-1)*100</f>
        <v>1.1267061550347623</v>
      </c>
      <c r="AE120" s="246"/>
      <c r="AF120" s="1220">
        <f>+H120/AD120*100</f>
        <v>463.50394326930615</v>
      </c>
      <c r="AG120" s="310"/>
      <c r="AH120" s="114"/>
      <c r="AI120" s="1132">
        <f>+S120</f>
        <v>687.13513333333344</v>
      </c>
      <c r="AJ120" s="114"/>
      <c r="AK120" s="1362">
        <f>AI120/AB120</f>
        <v>87.494127883533892</v>
      </c>
      <c r="AL120" s="114"/>
      <c r="AM120" s="1221">
        <f>(AK120/AK113-1)*100</f>
        <v>-17.704896538350525</v>
      </c>
      <c r="AN120" s="246"/>
      <c r="AO120" s="246"/>
      <c r="AP120" s="1102">
        <f>+AP127/1.32</f>
        <v>61.666666666666671</v>
      </c>
      <c r="AQ120" s="1102">
        <v>9.9</v>
      </c>
      <c r="AR120" s="1338">
        <f>AQ120/AP120</f>
        <v>0.16054054054054054</v>
      </c>
      <c r="AS120" s="1378">
        <f>AP120+AQ120</f>
        <v>71.566666666666677</v>
      </c>
      <c r="AT120" s="1329">
        <f>AP120/AP113-1</f>
        <v>7.2463768115942129E-2</v>
      </c>
      <c r="AU120" s="1360">
        <f>AS120/'qtrP&amp;L'!BL12</f>
        <v>9.4955799335884369E-2</v>
      </c>
      <c r="AV120" s="114"/>
      <c r="AW120" s="114"/>
      <c r="AX120" s="114"/>
      <c r="AY120" s="1053">
        <f>SUM(SegqtrSales!AS64,SegqtrSales!AS185,SegqtrSales!AS287,SegqtrSales!AS391)</f>
        <v>71.566666666666677</v>
      </c>
      <c r="AZ120" s="22" t="str">
        <f>IF(AS120=AY120:AY120,"OK","check")</f>
        <v>OK</v>
      </c>
      <c r="BA120" s="1123">
        <f>AY120+S120</f>
        <v>758.70180000000016</v>
      </c>
      <c r="BB120" s="1123">
        <f>'qtrP&amp;L'!BL12</f>
        <v>753.68399999999997</v>
      </c>
      <c r="BD120" s="1377">
        <v>87.730999999999995</v>
      </c>
      <c r="BE120" s="1360">
        <f>+BD120/BD113-1</f>
        <v>0.40626102010066356</v>
      </c>
      <c r="BF120" s="1377">
        <v>665.95299999999997</v>
      </c>
      <c r="BG120" s="1360">
        <f>+BF120/BF113-1</f>
        <v>-0.20145498933999073</v>
      </c>
    </row>
    <row r="121" spans="1:59" hidden="1" outlineLevel="1">
      <c r="A121" s="114" t="str">
        <f>$A$16</f>
        <v>4Q</v>
      </c>
      <c r="B121" s="245" t="str">
        <f>$B$16</f>
        <v>Jan</v>
      </c>
      <c r="C121" s="114"/>
      <c r="D121" s="1364">
        <f>(S121/S114-1)*100</f>
        <v>-5.5914602225475507</v>
      </c>
      <c r="E121" s="114"/>
      <c r="F121" s="1104">
        <v>-13</v>
      </c>
      <c r="G121" s="114"/>
      <c r="H121" s="1107">
        <f>D121-F121</f>
        <v>7.4085397774524493</v>
      </c>
      <c r="I121" s="114"/>
      <c r="J121" s="114">
        <f>SegqtrSales!J65+SegqtrSales!J186+SegqtrSales!J288+SegqtrSales!J392+SegqtrSales!J420</f>
        <v>1096</v>
      </c>
      <c r="K121" s="1057"/>
      <c r="L121" s="1365">
        <f>AVERAGE(J121,J120)</f>
        <v>1113</v>
      </c>
      <c r="M121" s="114"/>
      <c r="N121" s="1364">
        <f>(L121/L114-1)*100</f>
        <v>-0.26881720430107503</v>
      </c>
      <c r="O121" s="246"/>
      <c r="P121" s="1365">
        <f>H121/N121*100</f>
        <v>-2755.9767972123136</v>
      </c>
      <c r="Q121" s="310"/>
      <c r="R121" s="114"/>
      <c r="S121" s="1111">
        <f>SegqtrSales!S65+SegqtrSales!S186+SegqtrSales!S288+SegqtrSales!S392</f>
        <v>832.49450375757579</v>
      </c>
      <c r="T121" s="1375"/>
      <c r="U121" s="1367">
        <f>S121/L121</f>
        <v>0.74797349843447958</v>
      </c>
      <c r="V121" s="114"/>
      <c r="W121" s="1368">
        <f>(U121/U114-1)*100</f>
        <v>-5.3369897649263915</v>
      </c>
      <c r="X121" s="246"/>
      <c r="Y121" s="114"/>
      <c r="Z121" s="1334">
        <f>yrSales!Q228</f>
        <v>7.8471839999999995</v>
      </c>
      <c r="AA121" s="1057"/>
      <c r="AB121" s="1369">
        <f>AVERAGE(Z121,Z120)</f>
        <v>7.8555919999999997</v>
      </c>
      <c r="AC121" s="114"/>
      <c r="AD121" s="1364">
        <f>(AB121/AB114-1)*100</f>
        <v>-1.0653408196436898</v>
      </c>
      <c r="AE121" s="246"/>
      <c r="AF121" s="1365">
        <f>+H121/AD121*100</f>
        <v>-695.41499216469379</v>
      </c>
      <c r="AG121" s="310"/>
      <c r="AH121" s="114"/>
      <c r="AI121" s="1111">
        <f>+S121</f>
        <v>832.49450375757579</v>
      </c>
      <c r="AJ121" s="114"/>
      <c r="AK121" s="1370">
        <f>AI121/AB121</f>
        <v>105.97476342426845</v>
      </c>
      <c r="AL121" s="114"/>
      <c r="AM121" s="1368">
        <f>(AK121/AK114-1)*100</f>
        <v>-4.5748572243553332</v>
      </c>
      <c r="AN121" s="246"/>
      <c r="AO121" s="246"/>
      <c r="AP121" s="1145">
        <f>249.4-AP118-AP119-AP120</f>
        <v>93.233333333333334</v>
      </c>
      <c r="AQ121" s="1145">
        <f>40.7-AQ118-AQ119-AQ120</f>
        <v>14.199999999999998</v>
      </c>
      <c r="AR121" s="1340">
        <f>AQ121/AP121</f>
        <v>0.1523060421880586</v>
      </c>
      <c r="AS121" s="1379">
        <f>AP121+AQ121</f>
        <v>107.43333333333334</v>
      </c>
      <c r="AT121" s="1330">
        <f>AP121/AP114-1</f>
        <v>-1.962846126883977E-2</v>
      </c>
      <c r="AU121" s="1372">
        <f>AS121/'qtrP&amp;L'!BH13</f>
        <v>0.10953542772683911</v>
      </c>
      <c r="AV121" s="1364"/>
      <c r="AW121" s="114"/>
      <c r="AX121" s="114"/>
      <c r="AY121" s="1053">
        <f>SUM(SegqtrSales!AS65,SegqtrSales!AS186,SegqtrSales!AS288,SegqtrSales!AS392)</f>
        <v>107.43333333333334</v>
      </c>
      <c r="AZ121" s="22" t="str">
        <f>IF(AS121=AY121:AY121,"OK","check")</f>
        <v>OK</v>
      </c>
      <c r="BA121" s="1123">
        <f>AY121+S121</f>
        <v>939.92783709090918</v>
      </c>
      <c r="BB121" s="1123">
        <f>'qtrP&amp;L'!BL13</f>
        <v>935.99099999999999</v>
      </c>
      <c r="BD121" s="1107">
        <f>BD122-SUM(BD118:BD120)</f>
        <v>143.78899999999999</v>
      </c>
      <c r="BE121" s="1360">
        <f>+BD121/BD114-1</f>
        <v>3.609309698803842E-2</v>
      </c>
      <c r="BF121" s="1107">
        <f>BF122-SUM(BF118:BF120)</f>
        <v>792.20299999999997</v>
      </c>
      <c r="BG121" s="1360">
        <f>+BF121/BF114-1</f>
        <v>-0.50584136707139438</v>
      </c>
    </row>
    <row r="122" spans="1:59" hidden="1" outlineLevel="1">
      <c r="A122" s="114"/>
      <c r="B122" s="245" t="str">
        <f>$B$17</f>
        <v>Year</v>
      </c>
      <c r="C122" s="114"/>
      <c r="D122" s="1151">
        <f>(S122/S115-1)*100</f>
        <v>-17.146534105169497</v>
      </c>
      <c r="E122" s="114"/>
      <c r="F122" s="1349">
        <v>-23</v>
      </c>
      <c r="G122" s="114"/>
      <c r="H122" s="1123">
        <f>D122-F122</f>
        <v>5.8534658948305029</v>
      </c>
      <c r="I122" s="114"/>
      <c r="J122" s="114"/>
      <c r="K122" s="114"/>
      <c r="L122" s="1357">
        <f>AVERAGE(L118:L121)</f>
        <v>1124.625</v>
      </c>
      <c r="M122" s="114"/>
      <c r="N122" s="1151">
        <f>(L122/L115-1)*100</f>
        <v>4.2526071842410307</v>
      </c>
      <c r="O122" s="246"/>
      <c r="P122" s="1220">
        <f>H122/N122*100</f>
        <v>137.64417076944716</v>
      </c>
      <c r="Q122" s="310"/>
      <c r="R122" s="114"/>
      <c r="S122" s="1030">
        <f>SUM(S118:S121)</f>
        <v>2657.4296370909092</v>
      </c>
      <c r="T122" s="1375"/>
      <c r="U122" s="1237">
        <f>SUM(U118:U121)</f>
        <v>2.3648289185130329</v>
      </c>
      <c r="V122" s="114"/>
      <c r="W122" s="1221">
        <f>(U122/U115-1)*100</f>
        <v>-20.36540944063977</v>
      </c>
      <c r="X122" s="246"/>
      <c r="Y122" s="114"/>
      <c r="Z122" s="114"/>
      <c r="AA122" s="114"/>
      <c r="AB122" s="1358">
        <f>AVERAGE(AB118:AB121)</f>
        <v>7.8506935000000002</v>
      </c>
      <c r="AC122" s="114"/>
      <c r="AD122" s="1151">
        <f>(AB122/AB115-1)*100</f>
        <v>2.4598301587947846</v>
      </c>
      <c r="AE122" s="246"/>
      <c r="AF122" s="1220">
        <f>+H122/AD122*100</f>
        <v>237.96219726399562</v>
      </c>
      <c r="AG122" s="310"/>
      <c r="AH122" s="114"/>
      <c r="AI122" s="1129">
        <f>SUM(AI118:AI121)</f>
        <v>2657.4296370909092</v>
      </c>
      <c r="AJ122" s="114"/>
      <c r="AK122" s="1359">
        <f>SUM(AK118:AK121)</f>
        <v>338.50247350524398</v>
      </c>
      <c r="AL122" s="114"/>
      <c r="AM122" s="1221">
        <f>(AK122/AK115-1)*100</f>
        <v>-19.033520925903545</v>
      </c>
      <c r="AN122" s="246"/>
      <c r="AO122" s="246"/>
      <c r="AP122" s="1142">
        <f>+SUM(AP118:AP121)</f>
        <v>249.40000000000003</v>
      </c>
      <c r="AQ122" s="1142">
        <f>+SUM(AQ118:AQ121)</f>
        <v>40.699999999999996</v>
      </c>
      <c r="AR122" s="1338">
        <f>AQ122/AP122</f>
        <v>0.16319165998396146</v>
      </c>
      <c r="AS122" s="1142">
        <f>SUM(AS118:AS121)</f>
        <v>290.10000000000002</v>
      </c>
      <c r="AT122" s="1331">
        <f>AP122/AP115-1</f>
        <v>-7.9704797047970399E-2</v>
      </c>
      <c r="AU122" s="1373">
        <f>AS122/'qtrP&amp;L'!BL14</f>
        <v>9.9056724572111496E-2</v>
      </c>
      <c r="AV122" s="1151">
        <f>'qtrP&amp;L'!BL14</f>
        <v>2928.625</v>
      </c>
      <c r="AW122" s="114"/>
      <c r="AX122" s="114"/>
      <c r="AY122" s="114"/>
      <c r="AZ122" s="114"/>
      <c r="BA122" s="114"/>
      <c r="BB122" s="114"/>
      <c r="BD122" s="1380">
        <v>362.50799999999998</v>
      </c>
      <c r="BE122" s="1373">
        <f>+BD122/BD115-1</f>
        <v>0.37088271553582342</v>
      </c>
      <c r="BF122" s="1380">
        <v>2566.1179999999999</v>
      </c>
      <c r="BG122" s="1373">
        <f>+BF122/BF115-1</f>
        <v>-0.20297587544384066</v>
      </c>
    </row>
    <row r="123" spans="1:59" hidden="1" outlineLevel="1">
      <c r="A123" s="114"/>
      <c r="B123" s="245"/>
      <c r="C123" s="114"/>
      <c r="D123" s="1151"/>
      <c r="E123" s="114"/>
      <c r="F123" s="1349"/>
      <c r="G123" s="114"/>
      <c r="H123" s="1123"/>
      <c r="I123" s="114"/>
      <c r="J123" s="114"/>
      <c r="K123" s="114"/>
      <c r="L123" s="1357"/>
      <c r="M123" s="114"/>
      <c r="N123" s="1151"/>
      <c r="O123" s="246"/>
      <c r="P123" s="1220"/>
      <c r="Q123" s="310"/>
      <c r="R123" s="114"/>
      <c r="S123" s="1030"/>
      <c r="T123" s="1375"/>
      <c r="U123" s="1237"/>
      <c r="V123" s="114"/>
      <c r="W123" s="1221"/>
      <c r="X123" s="246"/>
      <c r="Y123" s="114"/>
      <c r="Z123" s="114"/>
      <c r="AA123" s="114"/>
      <c r="AB123" s="1358"/>
      <c r="AC123" s="114"/>
      <c r="AD123" s="1151"/>
      <c r="AE123" s="246"/>
      <c r="AF123" s="1220"/>
      <c r="AG123" s="310"/>
      <c r="AH123" s="114"/>
      <c r="AI123" s="1129"/>
      <c r="AJ123" s="114"/>
      <c r="AK123" s="1359"/>
      <c r="AL123" s="114"/>
      <c r="AM123" s="1221"/>
      <c r="AN123" s="246"/>
      <c r="AO123" s="246"/>
      <c r="AP123" s="1142"/>
      <c r="AQ123" s="1142"/>
      <c r="AR123" s="1374"/>
      <c r="AS123" s="1142"/>
      <c r="AT123" s="1331"/>
      <c r="AU123" s="1373"/>
      <c r="AV123" s="114"/>
      <c r="AW123" s="114"/>
      <c r="AX123" s="114"/>
      <c r="AY123" s="114"/>
      <c r="AZ123" s="114"/>
      <c r="BA123" s="114"/>
      <c r="BB123" s="114"/>
      <c r="BF123" s="1123"/>
    </row>
    <row r="124" spans="1:59" collapsed="1">
      <c r="A124" s="1120"/>
      <c r="B124" s="1113">
        <v>2010</v>
      </c>
      <c r="C124" s="114"/>
      <c r="D124" s="114"/>
      <c r="E124" s="246"/>
      <c r="F124" s="246"/>
      <c r="G124" s="246"/>
      <c r="H124" s="246"/>
      <c r="I124" s="246"/>
      <c r="J124" s="114"/>
      <c r="K124" s="114"/>
      <c r="L124" s="114"/>
      <c r="M124" s="114"/>
      <c r="N124" s="114"/>
      <c r="O124" s="246"/>
      <c r="P124" s="310"/>
      <c r="Q124" s="310"/>
      <c r="R124" s="114"/>
      <c r="S124" s="1129"/>
      <c r="T124" s="114"/>
      <c r="U124" s="114"/>
      <c r="V124" s="114"/>
      <c r="W124" s="114"/>
      <c r="X124" s="246"/>
      <c r="Y124" s="114"/>
      <c r="Z124" s="114"/>
      <c r="AA124" s="114"/>
      <c r="AB124" s="114"/>
      <c r="AC124" s="114"/>
      <c r="AD124" s="114"/>
      <c r="AE124" s="246"/>
      <c r="AF124" s="310"/>
      <c r="AG124" s="310"/>
      <c r="AH124" s="114"/>
      <c r="AI124" s="114"/>
      <c r="AJ124" s="114"/>
      <c r="AK124" s="114"/>
      <c r="AL124" s="114"/>
      <c r="AM124" s="114"/>
      <c r="AN124" s="246"/>
      <c r="AO124" s="246"/>
      <c r="AP124" s="114"/>
      <c r="AQ124" s="1129"/>
      <c r="AR124" s="114"/>
      <c r="AS124" s="114"/>
      <c r="AT124" s="114"/>
      <c r="AU124" s="114"/>
      <c r="AV124" s="114"/>
      <c r="AW124" s="114"/>
      <c r="AX124" s="114"/>
      <c r="AY124" s="1151"/>
      <c r="AZ124" s="114"/>
      <c r="BA124" s="1353" t="s">
        <v>373</v>
      </c>
      <c r="BB124" s="1353" t="s">
        <v>372</v>
      </c>
      <c r="BF124" s="1123"/>
    </row>
    <row r="125" spans="1:59">
      <c r="A125" s="114" t="str">
        <f>$A$13</f>
        <v>1Q</v>
      </c>
      <c r="B125" s="245" t="str">
        <f>$B$13</f>
        <v>Apr</v>
      </c>
      <c r="C125" s="114"/>
      <c r="D125" s="1219">
        <f>(S125/S118-1)*100</f>
        <v>9.2215351036740714</v>
      </c>
      <c r="E125" s="246" t="s">
        <v>76</v>
      </c>
      <c r="F125" s="1144">
        <v>1</v>
      </c>
      <c r="G125" s="251"/>
      <c r="H125" s="1123">
        <f>D125-F125</f>
        <v>8.2215351036740714</v>
      </c>
      <c r="I125" s="246" t="s">
        <v>76</v>
      </c>
      <c r="J125" s="114">
        <f>SegqtrSales!J69+SegqtrSales!J190+SegqtrSales!J292+SegqtrSales!J396+SegqtrSales!J424</f>
        <v>1100</v>
      </c>
      <c r="K125" s="114"/>
      <c r="L125" s="1357">
        <f>AVERAGE(J125,J121)</f>
        <v>1098</v>
      </c>
      <c r="M125" s="114"/>
      <c r="N125" s="1151">
        <f>(L125/L118-1)*100</f>
        <v>-2.4433585073300734</v>
      </c>
      <c r="O125" s="246" t="s">
        <v>76</v>
      </c>
      <c r="P125" s="1220">
        <f>H125/N125*100</f>
        <v>-336.48500942491546</v>
      </c>
      <c r="Q125" s="310" t="s">
        <v>76</v>
      </c>
      <c r="R125" s="114"/>
      <c r="S125" s="1030">
        <f>SegqtrSales!S69+SegqtrSales!S190+SegqtrSales!S292+SegqtrSales!S424</f>
        <v>600.5</v>
      </c>
      <c r="T125" s="1375"/>
      <c r="U125" s="1237">
        <f>S125/L125</f>
        <v>0.5469034608378871</v>
      </c>
      <c r="V125" s="114"/>
      <c r="W125" s="1221">
        <f>(U125/U118-1)*100</f>
        <v>11.957047139512911</v>
      </c>
      <c r="X125" s="246" t="s">
        <v>76</v>
      </c>
      <c r="Y125" s="114"/>
      <c r="Z125" s="1344">
        <v>7.875</v>
      </c>
      <c r="AA125" s="114"/>
      <c r="AB125" s="1358">
        <f>AVERAGE(Z125,Z121)</f>
        <v>7.8610919999999993</v>
      </c>
      <c r="AC125" s="114"/>
      <c r="AD125" s="1151">
        <f>(AB125/AB118-1)*100</f>
        <v>-0.38762332288604373</v>
      </c>
      <c r="AE125" s="246" t="s">
        <v>76</v>
      </c>
      <c r="AF125" s="1220">
        <f>+H125/AD125*100</f>
        <v>-2121.011460936033</v>
      </c>
      <c r="AG125" s="310" t="s">
        <v>76</v>
      </c>
      <c r="AH125" s="114"/>
      <c r="AI125" s="1129">
        <f>+S125</f>
        <v>600.5</v>
      </c>
      <c r="AJ125" s="114"/>
      <c r="AK125" s="1359">
        <f>AI125/AB125</f>
        <v>76.388878288156405</v>
      </c>
      <c r="AL125" s="114"/>
      <c r="AM125" s="1221">
        <f>(AK125/AK118-1)*100</f>
        <v>9.6465507069543044</v>
      </c>
      <c r="AN125" s="246" t="s">
        <v>76</v>
      </c>
      <c r="AO125" s="246"/>
      <c r="AP125" s="1376">
        <v>68.8</v>
      </c>
      <c r="AQ125" s="1130">
        <v>11.3</v>
      </c>
      <c r="AR125" s="1338">
        <f>AQ125/AP125</f>
        <v>0.16424418604651164</v>
      </c>
      <c r="AS125" s="1142">
        <f>AP125+AQ125</f>
        <v>80.099999999999994</v>
      </c>
      <c r="AT125" s="1329">
        <f>AP125/AP118-1</f>
        <v>0.42148760330578505</v>
      </c>
      <c r="AU125" s="1360">
        <f>AS125/'qtrP&amp;L'!BP10</f>
        <v>0.11645759547778145</v>
      </c>
      <c r="AV125" s="1360"/>
      <c r="AW125" s="1360"/>
      <c r="AX125" s="1360"/>
      <c r="AY125" s="1053">
        <f>SUM(SegqtrSales!AS69,SegqtrSales!AS190,SegqtrSales!AS292,SegqtrSales!AS396)</f>
        <v>80.099999999999994</v>
      </c>
      <c r="AZ125" s="114" t="str">
        <f>IF(AS125=AY125:AY125,"OK","check")</f>
        <v>OK</v>
      </c>
      <c r="BA125" s="1123">
        <f>AY125+S125</f>
        <v>680.6</v>
      </c>
      <c r="BB125" s="1123">
        <f>'qtrP&amp;L'!BP10</f>
        <v>687.80399999999997</v>
      </c>
      <c r="BD125" s="1377">
        <v>119.014</v>
      </c>
      <c r="BE125" s="1360">
        <f>+BD125/BD118-1</f>
        <v>1.023325002975128</v>
      </c>
      <c r="BF125" s="1377">
        <v>568.79</v>
      </c>
      <c r="BG125" s="1360">
        <f>+BF125/BF118-1</f>
        <v>4.7672902222844371E-2</v>
      </c>
    </row>
    <row r="126" spans="1:59">
      <c r="A126" s="114" t="str">
        <f>$A$14</f>
        <v>2Q</v>
      </c>
      <c r="B126" s="245" t="str">
        <f>$B$14</f>
        <v>Jul</v>
      </c>
      <c r="C126" s="114"/>
      <c r="D126" s="1219">
        <f>(S126/S119-1)*100</f>
        <v>11.717687074829941</v>
      </c>
      <c r="E126" s="114"/>
      <c r="F126" s="1144">
        <v>5</v>
      </c>
      <c r="G126" s="114"/>
      <c r="H126" s="1123">
        <f>D126-F126</f>
        <v>6.7176870748299411</v>
      </c>
      <c r="I126" s="114"/>
      <c r="J126" s="114">
        <f>SegqtrSales!J70+SegqtrSales!J191+SegqtrSales!J293+SegqtrSales!J397+SegqtrSales!J425</f>
        <v>1098</v>
      </c>
      <c r="K126" s="1057"/>
      <c r="L126" s="1357">
        <f>AVERAGE(J126,J125)</f>
        <v>1099</v>
      </c>
      <c r="M126" s="114"/>
      <c r="N126" s="1151">
        <f>(L126/L119-1)*100</f>
        <v>-2.6572187776793599</v>
      </c>
      <c r="O126" s="246"/>
      <c r="P126" s="1220">
        <f>H126/N126*100</f>
        <v>-252.80895691610033</v>
      </c>
      <c r="Q126" s="310"/>
      <c r="R126" s="114"/>
      <c r="S126" s="311">
        <f>SegqtrSales!S70+SegqtrSales!S191+SegqtrSales!S293+SegqtrSales!S425</f>
        <v>656.90000000000009</v>
      </c>
      <c r="T126" s="1375"/>
      <c r="U126" s="1361">
        <f>S126/L126</f>
        <v>0.5977252047315742</v>
      </c>
      <c r="V126" s="114"/>
      <c r="W126" s="1221">
        <f>(U126/U119-1)*100</f>
        <v>14.76730546631757</v>
      </c>
      <c r="X126" s="246"/>
      <c r="Y126" s="114"/>
      <c r="Z126" s="1344">
        <v>7.8680000000000003</v>
      </c>
      <c r="AA126" s="1057"/>
      <c r="AB126" s="1358">
        <f>AVERAGE(Z126,Z125)</f>
        <v>7.8715000000000002</v>
      </c>
      <c r="AC126" s="114"/>
      <c r="AD126" s="1151">
        <f>(AB126/AB119-1)*100</f>
        <v>0.89079723147911238</v>
      </c>
      <c r="AE126" s="246"/>
      <c r="AF126" s="1220">
        <f>+H126/AD126*100</f>
        <v>754.12078500464656</v>
      </c>
      <c r="AG126" s="310"/>
      <c r="AH126" s="114"/>
      <c r="AI126" s="1132">
        <f>+S126</f>
        <v>656.90000000000009</v>
      </c>
      <c r="AJ126" s="114"/>
      <c r="AK126" s="1362">
        <f>AI126/AB126</f>
        <v>83.452963221749357</v>
      </c>
      <c r="AL126" s="114"/>
      <c r="AM126" s="1221">
        <f>(AK126/AK119-1)*100</f>
        <v>10.731295757838154</v>
      </c>
      <c r="AN126" s="246"/>
      <c r="AO126" s="1095"/>
      <c r="AP126" s="1102">
        <v>69</v>
      </c>
      <c r="AQ126" s="1102">
        <v>11</v>
      </c>
      <c r="AR126" s="1338">
        <f>AQ126/AP126</f>
        <v>0.15942028985507245</v>
      </c>
      <c r="AS126" s="1378">
        <f>AP126+AQ126</f>
        <v>80</v>
      </c>
      <c r="AT126" s="1329">
        <f>AP126/AP119-1</f>
        <v>0.49674620390455537</v>
      </c>
      <c r="AU126" s="1360">
        <f>AS126/'qtrP&amp;L'!BP11</f>
        <v>0.10726765156248742</v>
      </c>
      <c r="AV126" s="1129"/>
      <c r="AW126" s="1129"/>
      <c r="AX126" s="1129"/>
      <c r="AY126" s="1053">
        <f>SUM(SegqtrSales!AS70,SegqtrSales!AS191,SegqtrSales!AS293,SegqtrSales!AS397)</f>
        <v>80</v>
      </c>
      <c r="AZ126" s="114" t="str">
        <f>IF(AS126=AY126:AY126,"OK","check")</f>
        <v>OK</v>
      </c>
      <c r="BA126" s="1123">
        <f>AY126+S126</f>
        <v>736.90000000000009</v>
      </c>
      <c r="BB126" s="1123">
        <f>'qtrP&amp;L'!BP11</f>
        <v>745.798</v>
      </c>
      <c r="BD126" s="1377">
        <v>133.21199999999999</v>
      </c>
      <c r="BE126" s="1360">
        <f>+BD126/BD119-1</f>
        <v>0.84588523840536523</v>
      </c>
      <c r="BF126" s="1377">
        <v>612.58600000000001</v>
      </c>
      <c r="BG126" s="1360">
        <f>+BF126/BF119-1</f>
        <v>8.4119393898636208E-2</v>
      </c>
    </row>
    <row r="127" spans="1:59">
      <c r="A127" s="114" t="str">
        <f>$A$15</f>
        <v>3Q</v>
      </c>
      <c r="B127" s="245" t="str">
        <f>$B$15</f>
        <v>Oct</v>
      </c>
      <c r="C127" s="114"/>
      <c r="D127" s="1219">
        <f>(S127/S120-1)*100</f>
        <v>13.87861892667981</v>
      </c>
      <c r="E127" s="114"/>
      <c r="F127" s="1144">
        <v>7</v>
      </c>
      <c r="G127" s="114"/>
      <c r="H127" s="1123">
        <f>D127-F127</f>
        <v>6.8786189266798097</v>
      </c>
      <c r="I127" s="114"/>
      <c r="J127" s="114">
        <f>SegqtrSales!J71+SegqtrSales!J192+SegqtrSales!J294+SegqtrSales!J398+SegqtrSales!J426</f>
        <v>1106</v>
      </c>
      <c r="K127" s="1057"/>
      <c r="L127" s="1357">
        <f>AVERAGE(J127,J126)</f>
        <v>1102</v>
      </c>
      <c r="M127" s="114"/>
      <c r="N127" s="1151">
        <f>(L127/L120-1)*100</f>
        <v>-2.5641025641025661</v>
      </c>
      <c r="O127" s="246"/>
      <c r="P127" s="1220">
        <f>H127/N127*100</f>
        <v>-268.2661381405124</v>
      </c>
      <c r="Q127" s="310"/>
      <c r="R127" s="114"/>
      <c r="S127" s="311">
        <f>SegqtrSales!S71+SegqtrSales!S192+SegqtrSales!S294+SegqtrSales!S426</f>
        <v>782.5</v>
      </c>
      <c r="T127" s="1375"/>
      <c r="U127" s="1361">
        <f>S127/L127</f>
        <v>0.71007259528130673</v>
      </c>
      <c r="V127" s="114"/>
      <c r="W127" s="1221">
        <f>(U127/U120-1)*100</f>
        <v>16.875424687908236</v>
      </c>
      <c r="X127" s="246"/>
      <c r="Y127" s="114"/>
      <c r="Z127" s="1344">
        <v>7.94</v>
      </c>
      <c r="AA127" s="1057"/>
      <c r="AB127" s="1358">
        <f>AVERAGE(Z127,Z126)</f>
        <v>7.9039999999999999</v>
      </c>
      <c r="AC127" s="114"/>
      <c r="AD127" s="1151">
        <f>(AB127/AB120-1)*100</f>
        <v>0.64302540268670327</v>
      </c>
      <c r="AE127" s="246"/>
      <c r="AF127" s="1220">
        <f>+H127/AD127*100</f>
        <v>1069.7274008055372</v>
      </c>
      <c r="AG127" s="310"/>
      <c r="AH127" s="114"/>
      <c r="AI127" s="1132">
        <f>+S127</f>
        <v>782.5</v>
      </c>
      <c r="AJ127" s="114"/>
      <c r="AK127" s="1362">
        <f>AI127/AB127</f>
        <v>99.000506072874501</v>
      </c>
      <c r="AL127" s="114"/>
      <c r="AM127" s="1221">
        <f>(AK127/AK120-1)*100</f>
        <v>13.15102906638157</v>
      </c>
      <c r="AN127" s="246"/>
      <c r="AO127" s="246"/>
      <c r="AP127" s="1102">
        <v>81.400000000000006</v>
      </c>
      <c r="AQ127" s="1102">
        <v>12.6</v>
      </c>
      <c r="AR127" s="1338">
        <f>AQ127/AP127</f>
        <v>0.15479115479115477</v>
      </c>
      <c r="AS127" s="1378">
        <f>AP127+AQ127</f>
        <v>94</v>
      </c>
      <c r="AT127" s="1329">
        <f>AP127/AP120-1</f>
        <v>0.32000000000000006</v>
      </c>
      <c r="AU127" s="1360">
        <f>AS127/'qtrP&amp;L'!BP12</f>
        <v>0.10612139836392415</v>
      </c>
      <c r="AV127" s="114"/>
      <c r="AW127" s="114"/>
      <c r="AX127" s="114"/>
      <c r="AY127" s="1053">
        <f>SUM(SegqtrSales!AS71,SegqtrSales!AS192,SegqtrSales!AS294,SegqtrSales!AS398)</f>
        <v>94</v>
      </c>
      <c r="AZ127" s="114" t="str">
        <f>IF(AS127=AY127:AY127,"OK","check")</f>
        <v>OK</v>
      </c>
      <c r="BA127" s="1123">
        <f>AY127+S127</f>
        <v>876.5</v>
      </c>
      <c r="BB127" s="1123">
        <f>'qtrP&amp;L'!BP12</f>
        <v>885.77800000000002</v>
      </c>
      <c r="BD127" s="1377">
        <v>164.07300000000001</v>
      </c>
      <c r="BE127" s="1360">
        <f>+BD127/BD120-1</f>
        <v>0.87018271762546906</v>
      </c>
      <c r="BF127" s="1377">
        <v>721.70500000000004</v>
      </c>
      <c r="BG127" s="1360">
        <f>+BF127/BF120-1</f>
        <v>8.3717619711901614E-2</v>
      </c>
    </row>
    <row r="128" spans="1:59">
      <c r="A128" s="114" t="str">
        <f>$A$16</f>
        <v>4Q</v>
      </c>
      <c r="B128" s="245" t="str">
        <f>$B$16</f>
        <v>Jan</v>
      </c>
      <c r="C128" s="114"/>
      <c r="D128" s="1364">
        <f>(S128/S121-1)*100</f>
        <v>18.162942284896523</v>
      </c>
      <c r="E128" s="114"/>
      <c r="F128" s="1104">
        <v>13</v>
      </c>
      <c r="G128" s="114"/>
      <c r="H128" s="1107">
        <f>D128-F128</f>
        <v>5.1629422848965234</v>
      </c>
      <c r="I128" s="114"/>
      <c r="J128" s="114">
        <f>SegqtrSales!J72+SegqtrSales!J193+SegqtrSales!J295+SegqtrSales!J399+SegqtrSales!J427</f>
        <v>1069</v>
      </c>
      <c r="K128" s="1057"/>
      <c r="L128" s="1365">
        <f>AVERAGE(J128,J127)</f>
        <v>1087.5</v>
      </c>
      <c r="M128" s="114"/>
      <c r="N128" s="1364">
        <f>(L128/L121-1)*100</f>
        <v>-2.2911051212938016</v>
      </c>
      <c r="O128" s="246"/>
      <c r="P128" s="1365">
        <f>H128/N128*100</f>
        <v>-225.34724561136579</v>
      </c>
      <c r="Q128" s="310"/>
      <c r="R128" s="114"/>
      <c r="S128" s="1111">
        <f>SegqtrSales!S72+SegqtrSales!S193+SegqtrSales!S295+SegqtrSales!S427</f>
        <v>983.7</v>
      </c>
      <c r="T128" s="1375"/>
      <c r="U128" s="1367">
        <f>S128/L128</f>
        <v>0.90455172413793106</v>
      </c>
      <c r="V128" s="114"/>
      <c r="W128" s="1368">
        <f>(U128/U121-1)*100</f>
        <v>20.933659552266516</v>
      </c>
      <c r="X128" s="246"/>
      <c r="Y128" s="114"/>
      <c r="Z128" s="1334">
        <f>(SegqtrSales!Z72+SegqtrSales!Z193+SegqtrSales!Z295+SegqtrSales!Z427)/1000</f>
        <v>7.7565140000000001</v>
      </c>
      <c r="AA128" s="1057"/>
      <c r="AB128" s="1369">
        <f>AVERAGE(Z128,Z127)</f>
        <v>7.8482570000000003</v>
      </c>
      <c r="AC128" s="114"/>
      <c r="AD128" s="1364">
        <f>(AB128/AB121-1)*100</f>
        <v>-9.337297558222879E-2</v>
      </c>
      <c r="AE128" s="246"/>
      <c r="AF128" s="1365">
        <f>+H128/AD128*100</f>
        <v>-5529.3753387454008</v>
      </c>
      <c r="AG128" s="310"/>
      <c r="AH128" s="114"/>
      <c r="AI128" s="1111">
        <f>+S128</f>
        <v>983.7</v>
      </c>
      <c r="AJ128" s="114"/>
      <c r="AK128" s="1370">
        <f>AI128/AB128</f>
        <v>125.33993216582995</v>
      </c>
      <c r="AL128" s="114"/>
      <c r="AM128" s="1368">
        <f>(AK128/AK121-1)*100</f>
        <v>18.273377656936418</v>
      </c>
      <c r="AN128" s="246"/>
      <c r="AO128" s="246"/>
      <c r="AP128" s="1145">
        <f>352.5-AP125-AP126-AP127</f>
        <v>133.29999999999998</v>
      </c>
      <c r="AQ128" s="1145">
        <f>52.5-AQ125-AQ126-AQ127</f>
        <v>17.600000000000001</v>
      </c>
      <c r="AR128" s="1340">
        <f>AQ128/AP128</f>
        <v>0.13203300825206304</v>
      </c>
      <c r="AS128" s="1379">
        <f>AP128+AQ128</f>
        <v>150.89999999999998</v>
      </c>
      <c r="AT128" s="1330">
        <f>AP128/AP121-1</f>
        <v>0.42974615659635296</v>
      </c>
      <c r="AU128" s="1372">
        <f>AS128/'qtrP&amp;L'!BP13</f>
        <v>0.13128634517607507</v>
      </c>
      <c r="AV128" s="1364"/>
      <c r="AW128" s="114"/>
      <c r="AX128" s="114"/>
      <c r="AY128" s="1053">
        <f>SUM(SegqtrSales!AS72,SegqtrSales!AS193,SegqtrSales!AS295,SegqtrSales!AS399)</f>
        <v>150.89999999999998</v>
      </c>
      <c r="AZ128" s="114" t="str">
        <f>IF(AS128=AY128:AY128,"OK","check")</f>
        <v>OK</v>
      </c>
      <c r="BA128" s="1123">
        <f>AY128+S128</f>
        <v>1134.5999999999999</v>
      </c>
      <c r="BB128" s="1123">
        <f>'qtrP&amp;L'!BP13</f>
        <v>1149.396</v>
      </c>
      <c r="BD128" s="1107">
        <f>BD129-SUM(BD125:BD127)</f>
        <v>230.50099999999998</v>
      </c>
      <c r="BE128" s="1360">
        <f>+BD128/BD121-1</f>
        <v>0.60305030287435057</v>
      </c>
      <c r="BF128" s="1107">
        <f>BF129-SUM(BF125:BF127)</f>
        <v>918.91899999999987</v>
      </c>
      <c r="BG128" s="1360">
        <f>+BF128/BF121-1</f>
        <v>0.15995395119685218</v>
      </c>
    </row>
    <row r="129" spans="1:60">
      <c r="A129" s="114"/>
      <c r="B129" s="245" t="str">
        <f>$B$17</f>
        <v>Year</v>
      </c>
      <c r="C129" s="114"/>
      <c r="D129" s="1151">
        <f>(S129/S122-1)*100</f>
        <v>13.779117903943394</v>
      </c>
      <c r="E129" s="114"/>
      <c r="F129" s="1349">
        <v>7</v>
      </c>
      <c r="G129" s="114"/>
      <c r="H129" s="1123">
        <f>D129-F129</f>
        <v>6.7791179039433942</v>
      </c>
      <c r="I129" s="114"/>
      <c r="J129" s="114"/>
      <c r="K129" s="114"/>
      <c r="L129" s="1357">
        <f>AVERAGE(L125:L128)</f>
        <v>1096.625</v>
      </c>
      <c r="M129" s="114"/>
      <c r="N129" s="1151">
        <f>(L129/L122-1)*100</f>
        <v>-2.489718795153939</v>
      </c>
      <c r="O129" s="246"/>
      <c r="P129" s="1220">
        <f>H129/N129*100</f>
        <v>-272.28448116865513</v>
      </c>
      <c r="Q129" s="310"/>
      <c r="R129" s="114"/>
      <c r="S129" s="1030">
        <f>SUM(S125:S128)</f>
        <v>3023.6000000000004</v>
      </c>
      <c r="T129" s="1375"/>
      <c r="U129" s="1237">
        <f>SUM(U125:U128)</f>
        <v>2.7592529849886991</v>
      </c>
      <c r="V129" s="114"/>
      <c r="W129" s="1221">
        <f>(U129/U122-1)*100</f>
        <v>16.678756902367109</v>
      </c>
      <c r="X129" s="246"/>
      <c r="Y129" s="114"/>
      <c r="Z129" s="1381"/>
      <c r="AA129" s="114"/>
      <c r="AB129" s="1358">
        <f>AVERAGE(AB125:AB128)</f>
        <v>7.8712122500000001</v>
      </c>
      <c r="AC129" s="114"/>
      <c r="AD129" s="1151">
        <f>(AB129/AB122-1)*100</f>
        <v>0.26136226054425116</v>
      </c>
      <c r="AE129" s="246"/>
      <c r="AF129" s="1220">
        <f>+H129/AD129*100</f>
        <v>2593.7631124810478</v>
      </c>
      <c r="AG129" s="310"/>
      <c r="AH129" s="114"/>
      <c r="AI129" s="1129">
        <f>SUM(AI125:AI128)</f>
        <v>3023.6000000000004</v>
      </c>
      <c r="AJ129" s="114"/>
      <c r="AK129" s="1359">
        <f>SUM(AK125:AK128)</f>
        <v>384.1822797486102</v>
      </c>
      <c r="AL129" s="114"/>
      <c r="AM129" s="1221">
        <f>(AK129/AK122-1)*100</f>
        <v>13.494674284162533</v>
      </c>
      <c r="AN129" s="246"/>
      <c r="AO129" s="246"/>
      <c r="AP129" s="1142">
        <f>+SUM(AP125:AP128)</f>
        <v>352.5</v>
      </c>
      <c r="AQ129" s="1142">
        <f>+SUM(AQ125:AQ128)</f>
        <v>52.5</v>
      </c>
      <c r="AR129" s="1338">
        <f>AQ129/AP129</f>
        <v>0.14893617021276595</v>
      </c>
      <c r="AS129" s="1142">
        <f>AP129+AQ129</f>
        <v>405</v>
      </c>
      <c r="AT129" s="1331">
        <f>AP129/AP122-1</f>
        <v>0.41339214113873268</v>
      </c>
      <c r="AU129" s="1373">
        <f>AS129/'qtrP&amp;L'!BP14</f>
        <v>0.11675588161357206</v>
      </c>
      <c r="AV129" s="1151">
        <f>'qtrP&amp;L'!BP14</f>
        <v>3468.7759999999998</v>
      </c>
      <c r="AW129" s="1373">
        <f>(AS129-AS122)/AV122</f>
        <v>3.9233428656792857E-2</v>
      </c>
      <c r="AX129" s="114"/>
      <c r="AY129" s="114"/>
      <c r="AZ129" s="114"/>
      <c r="BA129" s="114"/>
      <c r="BB129" s="114"/>
      <c r="BD129" s="1380">
        <v>646.79999999999995</v>
      </c>
      <c r="BE129" s="1360">
        <f>+BD129/BD122-1</f>
        <v>0.78423648581548533</v>
      </c>
      <c r="BF129" s="1380">
        <v>2822</v>
      </c>
      <c r="BG129" s="1360">
        <f>+BF129/BF122-1</f>
        <v>9.9715601542875287E-2</v>
      </c>
    </row>
    <row r="130" spans="1:60">
      <c r="A130" s="114"/>
      <c r="B130" s="245"/>
      <c r="C130" s="114"/>
      <c r="D130" s="1151"/>
      <c r="E130" s="114"/>
      <c r="F130" s="1349"/>
      <c r="G130" s="114"/>
      <c r="H130" s="1123"/>
      <c r="I130" s="114"/>
      <c r="J130" s="114"/>
      <c r="K130" s="114"/>
      <c r="L130" s="1357"/>
      <c r="M130" s="114"/>
      <c r="N130" s="1151"/>
      <c r="O130" s="246"/>
      <c r="P130" s="1220"/>
      <c r="Q130" s="310"/>
      <c r="R130" s="114"/>
      <c r="S130" s="1030"/>
      <c r="T130" s="1375"/>
      <c r="U130" s="1237"/>
      <c r="V130" s="114"/>
      <c r="W130" s="1221"/>
      <c r="X130" s="246"/>
      <c r="Y130" s="114"/>
      <c r="Z130" s="114"/>
      <c r="AA130" s="114"/>
      <c r="AB130" s="1358"/>
      <c r="AC130" s="114"/>
      <c r="AD130" s="1151"/>
      <c r="AE130" s="246"/>
      <c r="AF130" s="1220"/>
      <c r="AG130" s="310"/>
      <c r="AH130" s="114"/>
      <c r="AI130" s="1129"/>
      <c r="AJ130" s="114"/>
      <c r="AK130" s="1359"/>
      <c r="AL130" s="114"/>
      <c r="AM130" s="1221"/>
      <c r="AN130" s="246"/>
      <c r="AO130" s="246"/>
      <c r="AP130" s="1142"/>
      <c r="AQ130" s="1142"/>
      <c r="AR130" s="1374"/>
      <c r="AS130" s="1142"/>
      <c r="AT130" s="1331"/>
      <c r="AU130" s="1373"/>
      <c r="AV130" s="114"/>
      <c r="AW130" s="114"/>
      <c r="AX130" s="114"/>
      <c r="AY130" s="114"/>
      <c r="AZ130" s="114"/>
      <c r="BA130" s="114"/>
      <c r="BB130" s="114"/>
    </row>
    <row r="131" spans="1:60">
      <c r="A131" s="1120"/>
      <c r="B131" s="1113">
        <v>2011</v>
      </c>
      <c r="C131" s="114"/>
      <c r="D131" s="114"/>
      <c r="E131" s="246"/>
      <c r="F131" s="246"/>
      <c r="G131" s="246"/>
      <c r="H131" s="246"/>
      <c r="I131" s="246"/>
      <c r="J131" s="114"/>
      <c r="K131" s="114"/>
      <c r="L131" s="114"/>
      <c r="M131" s="114"/>
      <c r="N131" s="114"/>
      <c r="O131" s="246"/>
      <c r="P131" s="310"/>
      <c r="Q131" s="310"/>
      <c r="R131" s="114"/>
      <c r="S131" s="1129"/>
      <c r="T131" s="114"/>
      <c r="U131" s="114"/>
      <c r="V131" s="114"/>
      <c r="W131" s="114"/>
      <c r="X131" s="246"/>
      <c r="Y131" s="114"/>
      <c r="Z131" s="114"/>
      <c r="AA131" s="114"/>
      <c r="AB131" s="114"/>
      <c r="AC131" s="114"/>
      <c r="AD131" s="114"/>
      <c r="AE131" s="246"/>
      <c r="AF131" s="310"/>
      <c r="AG131" s="310"/>
      <c r="AH131" s="114"/>
      <c r="AI131" s="114"/>
      <c r="AJ131" s="114"/>
      <c r="AK131" s="114"/>
      <c r="AL131" s="114"/>
      <c r="AM131" s="114"/>
      <c r="AN131" s="246"/>
      <c r="AO131" s="246"/>
      <c r="AP131" s="114"/>
      <c r="AQ131" s="1129"/>
      <c r="AR131" s="114"/>
      <c r="AS131" s="114"/>
      <c r="AT131" s="114"/>
      <c r="AU131" s="114"/>
      <c r="AV131" s="114"/>
      <c r="AW131" s="114"/>
      <c r="AX131" s="114"/>
      <c r="AY131" s="1151"/>
      <c r="AZ131" s="114"/>
      <c r="BA131" s="1353" t="s">
        <v>373</v>
      </c>
      <c r="BB131" s="1353" t="s">
        <v>372</v>
      </c>
    </row>
    <row r="132" spans="1:60">
      <c r="A132" s="114" t="str">
        <f>$A$13</f>
        <v>1Q</v>
      </c>
      <c r="B132" s="245" t="str">
        <f>$B$13</f>
        <v>Apr</v>
      </c>
      <c r="C132" s="114"/>
      <c r="D132" s="1219">
        <f>(S132/S125-1)*100</f>
        <v>19.417152373022482</v>
      </c>
      <c r="E132" s="246" t="s">
        <v>76</v>
      </c>
      <c r="F132" s="1144">
        <f>+'qtrP&amp;L'!BV10</f>
        <v>10</v>
      </c>
      <c r="G132" s="251"/>
      <c r="H132" s="1123">
        <f>D132-F132</f>
        <v>9.417152373022482</v>
      </c>
      <c r="I132" s="246" t="s">
        <v>76</v>
      </c>
      <c r="J132" s="114">
        <f>SegqtrSales!J76+SegqtrSales!J197+SegqtrSales!J299+SegqtrSales!J403+SegqtrSales!J431</f>
        <v>1071</v>
      </c>
      <c r="K132" s="114"/>
      <c r="L132" s="1357">
        <f>AVERAGE(J132,J128)</f>
        <v>1070</v>
      </c>
      <c r="M132" s="114"/>
      <c r="N132" s="1151">
        <f>(L132/L125-1)*100</f>
        <v>-2.5500910746812377</v>
      </c>
      <c r="O132" s="246" t="s">
        <v>76</v>
      </c>
      <c r="P132" s="1220">
        <f>H132/N132*100</f>
        <v>-369.28690377066744</v>
      </c>
      <c r="Q132" s="310" t="s">
        <v>76</v>
      </c>
      <c r="R132" s="114"/>
      <c r="S132" s="1030">
        <f>SegqtrSales!S76+SegqtrSales!S197+SegqtrSales!S299+SegqtrSales!S431</f>
        <v>717.1</v>
      </c>
      <c r="T132" s="1375"/>
      <c r="U132" s="1237">
        <f>S132/L132</f>
        <v>0.67018691588785051</v>
      </c>
      <c r="V132" s="114"/>
      <c r="W132" s="1221">
        <f>(U132/U125-1)*100</f>
        <v>22.542087201475415</v>
      </c>
      <c r="X132" s="246" t="s">
        <v>76</v>
      </c>
      <c r="Y132" s="114"/>
      <c r="Z132" s="1344">
        <v>7.7380000000000004</v>
      </c>
      <c r="AA132" s="114"/>
      <c r="AB132" s="1358">
        <f>AVERAGE(Z132,Z128)</f>
        <v>7.7472570000000003</v>
      </c>
      <c r="AC132" s="114"/>
      <c r="AD132" s="1151">
        <f>(AB132/AB125-1)*100</f>
        <v>-1.448081258939582</v>
      </c>
      <c r="AE132" s="246" t="s">
        <v>76</v>
      </c>
      <c r="AF132" s="1220">
        <f>+H132/AD132*100</f>
        <v>-650.31933221196334</v>
      </c>
      <c r="AG132" s="310" t="s">
        <v>76</v>
      </c>
      <c r="AH132" s="114"/>
      <c r="AI132" s="1129">
        <f>+S132</f>
        <v>717.1</v>
      </c>
      <c r="AJ132" s="114"/>
      <c r="AK132" s="1359">
        <f>AI132/AB132</f>
        <v>92.561793161114963</v>
      </c>
      <c r="AL132" s="114"/>
      <c r="AM132" s="1221">
        <f>(AK132/AK125-1)*100</f>
        <v>21.171818771772788</v>
      </c>
      <c r="AN132" s="246" t="s">
        <v>76</v>
      </c>
      <c r="AO132" s="246"/>
      <c r="AP132" s="1376">
        <v>92.4</v>
      </c>
      <c r="AQ132" s="1130">
        <v>13.4</v>
      </c>
      <c r="AR132" s="1338">
        <f>AQ132/AP132</f>
        <v>0.14502164502164502</v>
      </c>
      <c r="AS132" s="1142">
        <f>AP132+AQ132</f>
        <v>105.80000000000001</v>
      </c>
      <c r="AT132" s="1329">
        <f>AP132/AP125-1</f>
        <v>0.34302325581395365</v>
      </c>
      <c r="AU132" s="1360">
        <f>AS132/'qtrP&amp;L'!BT10</f>
        <v>0.12645307491328764</v>
      </c>
      <c r="AV132" s="1360"/>
      <c r="AW132" s="1360"/>
      <c r="AX132" s="1360"/>
      <c r="AY132" s="1053">
        <f>SUM(SegqtrSales!AS76,SegqtrSales!AS197,SegqtrSales!AS299,SegqtrSales!AS403)</f>
        <v>105.80000000000001</v>
      </c>
      <c r="AZ132" s="114" t="str">
        <f>IF(AS132=AY132:AY132,"OK","check")</f>
        <v>OK</v>
      </c>
      <c r="BA132" s="1123">
        <f>AY132+S132</f>
        <v>822.90000000000009</v>
      </c>
      <c r="BB132" s="1123">
        <f>+'qtrP&amp;L'!BT10</f>
        <v>836.67399999999998</v>
      </c>
      <c r="BD132" s="1377">
        <v>195.72399999999999</v>
      </c>
      <c r="BE132" s="1360">
        <f>+BD132/BD125-1</f>
        <v>0.64454601979599047</v>
      </c>
      <c r="BF132" s="1377">
        <v>640.95000000000005</v>
      </c>
      <c r="BG132" s="1360">
        <f>+BF132/BF125-1</f>
        <v>0.12686580284463522</v>
      </c>
    </row>
    <row r="133" spans="1:60">
      <c r="A133" s="114" t="str">
        <f>$A$14</f>
        <v>2Q</v>
      </c>
      <c r="B133" s="245" t="str">
        <f>$B$14</f>
        <v>Jul</v>
      </c>
      <c r="C133" s="114"/>
      <c r="D133" s="1219">
        <f>(S133/S126-1)*100</f>
        <v>21.616684426853382</v>
      </c>
      <c r="E133" s="114"/>
      <c r="F133" s="1144">
        <f>+'qtrP&amp;L'!BV11</f>
        <v>9</v>
      </c>
      <c r="G133" s="114"/>
      <c r="H133" s="1123">
        <f>D133-F133</f>
        <v>12.616684426853382</v>
      </c>
      <c r="I133" s="114"/>
      <c r="J133" s="114">
        <f>SegqtrSales!J77+SegqtrSales!J198+SegqtrSales!J300+SegqtrSales!J405+SegqtrSales!J432</f>
        <v>1073</v>
      </c>
      <c r="K133" s="1057"/>
      <c r="L133" s="1357">
        <f>AVERAGE(J133,J132)</f>
        <v>1072</v>
      </c>
      <c r="M133" s="114"/>
      <c r="N133" s="1151">
        <f>(L133/L126-1)*100</f>
        <v>-2.4567788898999132</v>
      </c>
      <c r="O133" s="246"/>
      <c r="P133" s="1220">
        <f>H133/N133*100</f>
        <v>-513.54578463377197</v>
      </c>
      <c r="Q133" s="310"/>
      <c r="R133" s="114"/>
      <c r="S133" s="311">
        <f>SegqtrSales!S77+SegqtrSales!S198+SegqtrSales!S300+SegqtrSales!S432</f>
        <v>798.9</v>
      </c>
      <c r="T133" s="1375"/>
      <c r="U133" s="1361">
        <f>S133/L133</f>
        <v>0.74524253731343282</v>
      </c>
      <c r="V133" s="114"/>
      <c r="W133" s="1221">
        <f>(U133/U126-1)*100</f>
        <v>24.679791217455115</v>
      </c>
      <c r="X133" s="246"/>
      <c r="Y133" s="114"/>
      <c r="Z133" s="1344">
        <v>7.8010000000000002</v>
      </c>
      <c r="AA133" s="1057"/>
      <c r="AB133" s="1358">
        <f>AVERAGE(Z133,Z132)</f>
        <v>7.7695000000000007</v>
      </c>
      <c r="AC133" s="114"/>
      <c r="AD133" s="1151">
        <f>(AB133/AB126-1)*100</f>
        <v>-1.2958140125770123</v>
      </c>
      <c r="AE133" s="246"/>
      <c r="AF133" s="1220">
        <f>+H133/AD133*100</f>
        <v>-973.64932809781237</v>
      </c>
      <c r="AG133" s="310"/>
      <c r="AH133" s="114"/>
      <c r="AI133" s="1132">
        <f>+S133</f>
        <v>798.9</v>
      </c>
      <c r="AJ133" s="114"/>
      <c r="AK133" s="1362">
        <f>AI133/AB133</f>
        <v>102.82514962352788</v>
      </c>
      <c r="AL133" s="114"/>
      <c r="AM133" s="1221">
        <f>(AK133/AK126-1)*100</f>
        <v>23.213299628801899</v>
      </c>
      <c r="AN133" s="246"/>
      <c r="AO133" s="1095"/>
      <c r="AP133" s="1382">
        <v>90.4</v>
      </c>
      <c r="AQ133" s="1382">
        <v>11.6</v>
      </c>
      <c r="AR133" s="1338">
        <f>AQ133/AP133</f>
        <v>0.12831858407079644</v>
      </c>
      <c r="AS133" s="1378">
        <f>AP133+AQ133</f>
        <v>102</v>
      </c>
      <c r="AT133" s="1329">
        <f>AP133/AP126-1</f>
        <v>0.31014492753623202</v>
      </c>
      <c r="AU133" s="1360">
        <f>AS133/'qtrP&amp;L'!BT11</f>
        <v>0.11126103474943906</v>
      </c>
      <c r="AV133" s="1360"/>
      <c r="AW133" s="1360"/>
      <c r="AX133" s="1360"/>
      <c r="AY133" s="1053">
        <f>SUM(SegqtrSales!AS77,SegqtrSales!AS198,SegqtrSales!AS300,SegqtrSales!AS405)</f>
        <v>102</v>
      </c>
      <c r="AZ133" s="114" t="str">
        <f>IF(AS133=AY133:AY133,"OK","check")</f>
        <v>OK</v>
      </c>
      <c r="BA133" s="1123">
        <f>AY133+S133</f>
        <v>900.9</v>
      </c>
      <c r="BB133" s="1123">
        <f>+'qtrP&amp;L'!BT11</f>
        <v>916.76300000000003</v>
      </c>
      <c r="BD133" s="1377">
        <f>182.432+49.439</f>
        <v>231.87099999999998</v>
      </c>
      <c r="BE133" s="1360">
        <f>+BD133/BD126-1</f>
        <v>0.74061646097949141</v>
      </c>
      <c r="BF133" s="1377">
        <v>684.89200000000005</v>
      </c>
      <c r="BG133" s="1360">
        <f>+BF133/BF126-1</f>
        <v>0.11803403930223677</v>
      </c>
    </row>
    <row r="134" spans="1:60">
      <c r="A134" s="114" t="str">
        <f>$A$15</f>
        <v>3Q</v>
      </c>
      <c r="B134" s="245" t="str">
        <f>$B$15</f>
        <v>Oct</v>
      </c>
      <c r="C134" s="114"/>
      <c r="D134" s="1219">
        <f>(S134/S127-1)*100</f>
        <v>18.32587859424919</v>
      </c>
      <c r="E134" s="114"/>
      <c r="F134" s="1144">
        <f>+'qtrP&amp;L'!BV12</f>
        <v>7</v>
      </c>
      <c r="G134" s="114"/>
      <c r="H134" s="1123">
        <f>D134-F134</f>
        <v>11.32587859424919</v>
      </c>
      <c r="I134" s="114"/>
      <c r="J134" s="114">
        <f>SegqtrSales!J78+SegqtrSales!J199+SegqtrSales!J301+SegqtrSales!J406+SegqtrSales!J433</f>
        <v>1092</v>
      </c>
      <c r="K134" s="1057"/>
      <c r="L134" s="1357">
        <f>AVERAGE(J134,J133)</f>
        <v>1082.5</v>
      </c>
      <c r="M134" s="114"/>
      <c r="N134" s="1151">
        <f>(L134/L127-1)*100</f>
        <v>-1.7695099818511806</v>
      </c>
      <c r="O134" s="246"/>
      <c r="P134" s="1220">
        <f>H134/N134*100</f>
        <v>-640.05734414680001</v>
      </c>
      <c r="Q134" s="310"/>
      <c r="R134" s="114"/>
      <c r="S134" s="311">
        <f>SegqtrSales!S78+SegqtrSales!S199+SegqtrSales!S301+SegqtrSales!S433</f>
        <v>925.9</v>
      </c>
      <c r="T134" s="1375"/>
      <c r="U134" s="1361">
        <f>S134/L134</f>
        <v>0.85533487297921473</v>
      </c>
      <c r="V134" s="114"/>
      <c r="W134" s="1221">
        <f>(U134/U127-1)*100</f>
        <v>20.457384028510496</v>
      </c>
      <c r="X134" s="246"/>
      <c r="Y134" s="114"/>
      <c r="Z134" s="1344">
        <v>7.9669999999999996</v>
      </c>
      <c r="AA134" s="1057"/>
      <c r="AB134" s="1358">
        <f>AVERAGE(Z134,Z133)</f>
        <v>7.8840000000000003</v>
      </c>
      <c r="AC134" s="114"/>
      <c r="AD134" s="1151">
        <f>(AB134/AB127-1)*100</f>
        <v>-0.25303643724695624</v>
      </c>
      <c r="AE134" s="246"/>
      <c r="AF134" s="1220">
        <f>+H134/AD134*100</f>
        <v>-4475.9872204474095</v>
      </c>
      <c r="AG134" s="310"/>
      <c r="AH134" s="114"/>
      <c r="AI134" s="1132">
        <f>+S134</f>
        <v>925.9</v>
      </c>
      <c r="AJ134" s="114"/>
      <c r="AK134" s="1362">
        <f>AI134/AB134</f>
        <v>117.44038559107051</v>
      </c>
      <c r="AL134" s="114"/>
      <c r="AM134" s="1221">
        <f>(AK134/AK127-1)*100</f>
        <v>18.626045713970775</v>
      </c>
      <c r="AN134" s="246"/>
      <c r="AO134" s="246"/>
      <c r="AP134" s="1382">
        <v>119.6</v>
      </c>
      <c r="AQ134" s="1382">
        <v>12.8</v>
      </c>
      <c r="AR134" s="1338">
        <f>AQ134/AP134</f>
        <v>0.10702341137123747</v>
      </c>
      <c r="AS134" s="1378">
        <f>AP134+AQ134</f>
        <v>132.4</v>
      </c>
      <c r="AT134" s="1329">
        <f>AP134/AP127-1</f>
        <v>0.46928746928746912</v>
      </c>
      <c r="AU134" s="1360">
        <f>AS134/'qtrP&amp;L'!BT12</f>
        <v>0.12306479677577668</v>
      </c>
      <c r="AV134" s="1360"/>
      <c r="AW134" s="1360"/>
      <c r="AX134" s="1360"/>
      <c r="AY134" s="1053">
        <f>SUM(SegqtrSales!AS78,SegqtrSales!AS199,SegqtrSales!AS301,SegqtrSales!AS406)</f>
        <v>132.4</v>
      </c>
      <c r="AZ134" s="114" t="str">
        <f>IF(AS134=AY134:AY134,"OK","check")</f>
        <v>OK</v>
      </c>
      <c r="BA134" s="1123">
        <f>AY134+S134</f>
        <v>1058.3</v>
      </c>
      <c r="BB134" s="1123">
        <f>+'qtrP&amp;L'!BT12</f>
        <v>1075.856</v>
      </c>
      <c r="BD134" s="1377">
        <v>255.7</v>
      </c>
      <c r="BE134" s="1360">
        <f>+BD134/BD127-1</f>
        <v>0.55845263998342198</v>
      </c>
      <c r="BF134" s="1377">
        <v>820.2</v>
      </c>
      <c r="BG134" s="1360">
        <f>+BF134/BF127-1</f>
        <v>0.13647542971158577</v>
      </c>
    </row>
    <row r="135" spans="1:60">
      <c r="A135" s="114" t="str">
        <f>$A$16</f>
        <v>4Q</v>
      </c>
      <c r="B135" s="245" t="str">
        <f>$B$16</f>
        <v>Jan</v>
      </c>
      <c r="C135" s="114"/>
      <c r="D135" s="1364">
        <f>(S135/S128-1)*100</f>
        <v>10.871302226288492</v>
      </c>
      <c r="E135" s="114"/>
      <c r="F135" s="1104">
        <f>+'qtrP&amp;L'!BV13</f>
        <v>0</v>
      </c>
      <c r="G135" s="114"/>
      <c r="H135" s="1107">
        <f>D135-F135</f>
        <v>10.871302226288492</v>
      </c>
      <c r="I135" s="114"/>
      <c r="J135" s="114">
        <f>SegqtrSales!J79+SegqtrSales!J200+SegqtrSales!J302+SegqtrSales!J407+SegqtrSales!J434</f>
        <v>1040</v>
      </c>
      <c r="K135" s="1057"/>
      <c r="L135" s="1365">
        <f>AVERAGE(J135,J134)</f>
        <v>1066</v>
      </c>
      <c r="M135" s="114"/>
      <c r="N135" s="1364">
        <f>(L135/L128-1)*100</f>
        <v>-1.9770114942528783</v>
      </c>
      <c r="O135" s="246"/>
      <c r="P135" s="1365">
        <f>H135/N135*100</f>
        <v>-549.88563586459099</v>
      </c>
      <c r="Q135" s="310"/>
      <c r="R135" s="114"/>
      <c r="S135" s="1111">
        <f>SegqtrSales!S79+SegqtrSales!S200+SegqtrSales!S302+SegqtrSales!S434</f>
        <v>1090.6409999999998</v>
      </c>
      <c r="T135" s="1375"/>
      <c r="U135" s="1367">
        <f>S135/L135</f>
        <v>1.0231153846153844</v>
      </c>
      <c r="V135" s="114"/>
      <c r="W135" s="1368">
        <f>(U135/U128-1)*100</f>
        <v>13.107449503835578</v>
      </c>
      <c r="X135" s="246"/>
      <c r="Y135" s="114"/>
      <c r="Z135" s="1334">
        <f>yrSales!S228</f>
        <v>7.742534</v>
      </c>
      <c r="AA135" s="1057"/>
      <c r="AB135" s="1369">
        <f>AVERAGE(Z135,Z134)</f>
        <v>7.8547669999999998</v>
      </c>
      <c r="AC135" s="114"/>
      <c r="AD135" s="1364">
        <f>(AB135/AB128-1)*100</f>
        <v>8.2948354010325964E-2</v>
      </c>
      <c r="AE135" s="246"/>
      <c r="AF135" s="1365">
        <f>+H135/AD135*100</f>
        <v>13106.109646172317</v>
      </c>
      <c r="AG135" s="310"/>
      <c r="AH135" s="114"/>
      <c r="AI135" s="1111">
        <f>+S135</f>
        <v>1090.6409999999998</v>
      </c>
      <c r="AJ135" s="114"/>
      <c r="AK135" s="1370">
        <f>AI135/AB135</f>
        <v>138.85084051506556</v>
      </c>
      <c r="AL135" s="114"/>
      <c r="AM135" s="1368">
        <f>(AK135/AK128-1)*100</f>
        <v>10.779412527015019</v>
      </c>
      <c r="AN135" s="246"/>
      <c r="AO135" s="246"/>
      <c r="AP135" s="1383">
        <v>188</v>
      </c>
      <c r="AQ135" s="1383">
        <f>212.3-AP135</f>
        <v>24.300000000000011</v>
      </c>
      <c r="AR135" s="1340">
        <f>AQ135/AP135</f>
        <v>0.12925531914893623</v>
      </c>
      <c r="AS135" s="1379">
        <f>AP135+AQ135</f>
        <v>212.3</v>
      </c>
      <c r="AT135" s="1329">
        <f>AP135/AP128-1</f>
        <v>0.4103525881470369</v>
      </c>
      <c r="AU135" s="1372">
        <f>AS135/'qtrP&amp;L'!BT13</f>
        <v>0.15977242025489835</v>
      </c>
      <c r="AV135" s="1364"/>
      <c r="AW135" s="1360"/>
      <c r="AX135" s="1360"/>
      <c r="AY135" s="1053">
        <f>SUM(SegqtrSales!AS79,SegqtrSales!AS200,SegqtrSales!AS302,SegqtrSales!AS407)</f>
        <v>212.3</v>
      </c>
      <c r="AZ135" s="114" t="str">
        <f>IF(AS135=AY135:AY135,"OK","check")</f>
        <v>OK</v>
      </c>
      <c r="BA135" s="1123">
        <f>AY135+S135</f>
        <v>1302.9409999999998</v>
      </c>
      <c r="BB135" s="1123">
        <f>+'qtrP&amp;L'!BT13</f>
        <v>1328.7650000000001</v>
      </c>
      <c r="BD135" s="1107">
        <f>BD136-SUM(BD132:BD134)</f>
        <v>366.38299999999992</v>
      </c>
      <c r="BE135" s="1360">
        <f>+BD135/BD128-1</f>
        <v>0.5895072038733018</v>
      </c>
      <c r="BF135" s="1107">
        <f>BF136-SUM(BF132:BF134)</f>
        <v>962.33799999999974</v>
      </c>
      <c r="BG135" s="1360">
        <f>+BF135/BF128-1</f>
        <v>4.7250084066168929E-2</v>
      </c>
    </row>
    <row r="136" spans="1:60">
      <c r="A136" s="114"/>
      <c r="B136" s="245" t="str">
        <f>$B$17</f>
        <v>Year</v>
      </c>
      <c r="C136" s="114"/>
      <c r="D136" s="1151">
        <f>(S136/S129-1)*100</f>
        <v>16.832286016668863</v>
      </c>
      <c r="E136" s="114"/>
      <c r="F136" s="1349">
        <f>+'qtrP&amp;L'!BV14</f>
        <v>5</v>
      </c>
      <c r="G136" s="114"/>
      <c r="H136" s="1123">
        <f>D136-F136</f>
        <v>11.832286016668863</v>
      </c>
      <c r="I136" s="114"/>
      <c r="J136" s="114"/>
      <c r="K136" s="114"/>
      <c r="L136" s="1357">
        <f>AVERAGE(L132:L135)</f>
        <v>1072.625</v>
      </c>
      <c r="M136" s="114"/>
      <c r="N136" s="1151">
        <f>(L136/L129-1)*100</f>
        <v>-2.1885329989741242</v>
      </c>
      <c r="O136" s="246"/>
      <c r="P136" s="1220">
        <f>H136/N136*100</f>
        <v>-540.64919387622911</v>
      </c>
      <c r="Q136" s="310"/>
      <c r="R136" s="114"/>
      <c r="S136" s="1030">
        <f>SUM(S132:S135)</f>
        <v>3532.5410000000002</v>
      </c>
      <c r="T136" s="1375"/>
      <c r="U136" s="1237">
        <f>SUM(U132:U135)</f>
        <v>3.2938797107958822</v>
      </c>
      <c r="V136" s="114"/>
      <c r="W136" s="1221">
        <f>(U136/U129-1)*100</f>
        <v>19.375777745489064</v>
      </c>
      <c r="X136" s="246"/>
      <c r="Y136" s="114"/>
      <c r="Z136" s="114"/>
      <c r="AA136" s="114"/>
      <c r="AB136" s="1358">
        <f>AVERAGE(AB132:AB135)</f>
        <v>7.8138810000000003</v>
      </c>
      <c r="AC136" s="114"/>
      <c r="AD136" s="1151">
        <f>(AB136/AB129-1)*100</f>
        <v>-0.72836620559939558</v>
      </c>
      <c r="AE136" s="246"/>
      <c r="AF136" s="1220">
        <f>+H136/AD136*100</f>
        <v>-1624.4968431685681</v>
      </c>
      <c r="AG136" s="310"/>
      <c r="AH136" s="114"/>
      <c r="AI136" s="1129">
        <f>SUM(AI132:AI135)</f>
        <v>3532.5410000000002</v>
      </c>
      <c r="AJ136" s="114"/>
      <c r="AK136" s="1359">
        <f>SUM(AK132:AK135)</f>
        <v>451.67816889077892</v>
      </c>
      <c r="AL136" s="114"/>
      <c r="AM136" s="1221">
        <f>(AK136/AK129-1)*100</f>
        <v>17.568714826288879</v>
      </c>
      <c r="AN136" s="246"/>
      <c r="AO136" s="246"/>
      <c r="AP136" s="1142">
        <f>+SUM(AP132:AP135)</f>
        <v>490.4</v>
      </c>
      <c r="AQ136" s="1142">
        <f>+SUM(AQ132:AQ135)</f>
        <v>62.100000000000009</v>
      </c>
      <c r="AR136" s="1338">
        <f>AQ136/AP136</f>
        <v>0.12663132137030997</v>
      </c>
      <c r="AS136" s="1142">
        <f>AP136+AQ136</f>
        <v>552.5</v>
      </c>
      <c r="AT136" s="1331">
        <f>AP136/AP129-1</f>
        <v>0.39120567375886517</v>
      </c>
      <c r="AU136" s="1373">
        <f>AS136/'qtrP&amp;L'!BT14</f>
        <v>0.13287452940771871</v>
      </c>
      <c r="AV136" s="1151">
        <f>'qtrP&amp;L'!BT14</f>
        <v>4158.058</v>
      </c>
      <c r="AW136" s="1373">
        <f>(AS136-AS129)/AV129</f>
        <v>4.2522203797535504E-2</v>
      </c>
      <c r="AX136" s="114"/>
      <c r="AY136" s="114"/>
      <c r="AZ136" s="114"/>
      <c r="BA136" s="114"/>
      <c r="BB136" s="114"/>
      <c r="BD136" s="1380">
        <f>822.473+227.205</f>
        <v>1049.6779999999999</v>
      </c>
      <c r="BE136" s="1360">
        <f>+BD136/BD129-1</f>
        <v>0.62287878787878781</v>
      </c>
      <c r="BF136" s="1380">
        <v>3108.38</v>
      </c>
      <c r="BG136" s="1360">
        <f>+BF136/BF129-1</f>
        <v>0.10148121899362161</v>
      </c>
    </row>
    <row r="137" spans="1:60">
      <c r="A137" s="114"/>
      <c r="B137" s="245"/>
      <c r="C137" s="114"/>
      <c r="D137" s="1151"/>
      <c r="E137" s="114"/>
      <c r="F137" s="1349"/>
      <c r="G137" s="114"/>
      <c r="H137" s="1123"/>
      <c r="I137" s="114"/>
      <c r="J137" s="114"/>
      <c r="K137" s="114"/>
      <c r="L137" s="1357"/>
      <c r="M137" s="114"/>
      <c r="N137" s="1151"/>
      <c r="O137" s="246"/>
      <c r="P137" s="1220"/>
      <c r="Q137" s="310"/>
      <c r="R137" s="114"/>
      <c r="S137" s="1030"/>
      <c r="T137" s="1375"/>
      <c r="U137" s="1237"/>
      <c r="V137" s="114"/>
      <c r="W137" s="1221"/>
      <c r="X137" s="246"/>
      <c r="Y137" s="114"/>
      <c r="Z137" s="114"/>
      <c r="AA137" s="114"/>
      <c r="AB137" s="1358"/>
      <c r="AC137" s="114"/>
      <c r="AD137" s="1151"/>
      <c r="AE137" s="246"/>
      <c r="AF137" s="1220"/>
      <c r="AG137" s="310"/>
      <c r="AH137" s="114"/>
      <c r="AI137" s="1129"/>
      <c r="AJ137" s="114"/>
      <c r="AK137" s="1359"/>
      <c r="AL137" s="114"/>
      <c r="AM137" s="1221"/>
      <c r="AN137" s="246"/>
      <c r="AO137" s="246"/>
      <c r="AP137" s="1142"/>
      <c r="AQ137" s="1142"/>
      <c r="AR137" s="1374"/>
      <c r="AS137" s="1142"/>
      <c r="AT137" s="1331"/>
      <c r="AU137" s="1373"/>
      <c r="AV137" s="114"/>
      <c r="AW137" s="114"/>
      <c r="AX137" s="114"/>
      <c r="AY137" s="114"/>
      <c r="AZ137" s="114"/>
      <c r="BA137" s="114"/>
      <c r="BB137" s="114"/>
    </row>
    <row r="138" spans="1:60">
      <c r="A138" s="1120"/>
      <c r="B138" s="1113">
        <v>2012</v>
      </c>
      <c r="C138" s="114"/>
      <c r="D138" s="114"/>
      <c r="E138" s="246"/>
      <c r="F138" s="246"/>
      <c r="G138" s="246"/>
      <c r="H138" s="246"/>
      <c r="I138" s="246"/>
      <c r="J138" s="114"/>
      <c r="K138" s="114"/>
      <c r="L138" s="114"/>
      <c r="M138" s="114"/>
      <c r="N138" s="114"/>
      <c r="O138" s="246"/>
      <c r="P138" s="310"/>
      <c r="Q138" s="310"/>
      <c r="R138" s="114"/>
      <c r="S138" s="1129"/>
      <c r="T138" s="114"/>
      <c r="U138" s="114"/>
      <c r="V138" s="114"/>
      <c r="W138" s="114"/>
      <c r="X138" s="246"/>
      <c r="Y138" s="114"/>
      <c r="Z138" s="114"/>
      <c r="AA138" s="114"/>
      <c r="AB138" s="114"/>
      <c r="AC138" s="114"/>
      <c r="AD138" s="114"/>
      <c r="AE138" s="246"/>
      <c r="AF138" s="310"/>
      <c r="AG138" s="310"/>
      <c r="AH138" s="114"/>
      <c r="AI138" s="114"/>
      <c r="AJ138" s="114"/>
      <c r="AK138" s="114"/>
      <c r="AL138" s="114"/>
      <c r="AM138" s="114"/>
      <c r="AN138" s="246"/>
      <c r="AO138" s="246"/>
      <c r="AP138" s="114"/>
      <c r="AQ138" s="1129"/>
      <c r="AR138" s="114"/>
      <c r="AS138" s="114"/>
      <c r="AT138" s="114"/>
      <c r="AU138" s="114"/>
      <c r="AV138" s="114"/>
      <c r="AW138" s="114"/>
      <c r="AX138" s="114"/>
      <c r="AY138" s="1151"/>
      <c r="AZ138" s="114"/>
      <c r="BA138" s="1353" t="s">
        <v>373</v>
      </c>
      <c r="BB138" s="1353" t="s">
        <v>372</v>
      </c>
      <c r="BC138" s="114"/>
      <c r="BD138" s="114"/>
      <c r="BE138" s="114"/>
      <c r="BF138" s="114"/>
      <c r="BG138" s="114"/>
      <c r="BH138" s="114"/>
    </row>
    <row r="139" spans="1:60">
      <c r="A139" s="114" t="str">
        <f>$A$13</f>
        <v>1Q</v>
      </c>
      <c r="B139" s="245" t="str">
        <f>$B$13</f>
        <v>Apr</v>
      </c>
      <c r="C139" s="114"/>
      <c r="D139" s="1219">
        <f>(S139/S132-1)*100</f>
        <v>5.0748849532840534</v>
      </c>
      <c r="E139" s="246" t="s">
        <v>76</v>
      </c>
      <c r="F139" s="1144">
        <f>+'qtrP&amp;L'!BZ10</f>
        <v>1</v>
      </c>
      <c r="G139" s="251"/>
      <c r="H139" s="1123">
        <f>D139-F139</f>
        <v>4.0748849532840534</v>
      </c>
      <c r="I139" s="246" t="s">
        <v>76</v>
      </c>
      <c r="J139" s="1063">
        <f>SegqtrSales!J83+SegqtrSales!J204+SegqtrSales!J306+SegqtrSales!J438</f>
        <v>1049</v>
      </c>
      <c r="K139" s="114"/>
      <c r="L139" s="1357">
        <f>AVERAGE(J139,J135)</f>
        <v>1044.5</v>
      </c>
      <c r="M139" s="114"/>
      <c r="N139" s="1151">
        <f>(L139/L132-1)*100</f>
        <v>-2.3831775700934532</v>
      </c>
      <c r="O139" s="246" t="s">
        <v>76</v>
      </c>
      <c r="P139" s="1220">
        <f>H139/N139*100</f>
        <v>-170.98536862799787</v>
      </c>
      <c r="Q139" s="310" t="s">
        <v>76</v>
      </c>
      <c r="R139" s="114"/>
      <c r="S139" s="1129">
        <f>SegqtrSales!S83+SegqtrSales!S204+SegqtrSales!S306+SegqtrSales!S438</f>
        <v>753.49199999999996</v>
      </c>
      <c r="T139" s="1375"/>
      <c r="U139" s="1237">
        <f>S139/L139</f>
        <v>0.72139013882240299</v>
      </c>
      <c r="V139" s="114"/>
      <c r="W139" s="1221">
        <f>(U139/U132-1)*100</f>
        <v>7.6401406414685846</v>
      </c>
      <c r="X139" s="246" t="s">
        <v>76</v>
      </c>
      <c r="Y139" s="114"/>
      <c r="Z139" s="1344">
        <v>7.84</v>
      </c>
      <c r="AA139" s="114"/>
      <c r="AB139" s="1358">
        <f>AVERAGE(Z139,Z135)</f>
        <v>7.7912669999999995</v>
      </c>
      <c r="AC139" s="114"/>
      <c r="AD139" s="1151">
        <f>(AB139/AB132-1)*100</f>
        <v>0.56807202859023853</v>
      </c>
      <c r="AE139" s="246" t="s">
        <v>76</v>
      </c>
      <c r="AF139" s="1220">
        <f>+H139/AD139*100</f>
        <v>717.31835897580299</v>
      </c>
      <c r="AG139" s="310" t="s">
        <v>76</v>
      </c>
      <c r="AH139" s="114"/>
      <c r="AI139" s="1129">
        <f>+S139</f>
        <v>753.49199999999996</v>
      </c>
      <c r="AJ139" s="114"/>
      <c r="AK139" s="1359">
        <f>AI139/AB139</f>
        <v>96.709816259666113</v>
      </c>
      <c r="AL139" s="114"/>
      <c r="AM139" s="1221">
        <f>(AK139/AK132-1)*100</f>
        <v>4.4813555970453223</v>
      </c>
      <c r="AN139" s="246" t="s">
        <v>76</v>
      </c>
      <c r="AO139" s="246"/>
      <c r="AP139" s="1382">
        <f>AS139-AQ139</f>
        <v>129.40391700000001</v>
      </c>
      <c r="AQ139" s="1382">
        <f>AS139*AR139</f>
        <v>18.825083000000003</v>
      </c>
      <c r="AR139" s="1384">
        <v>0.127</v>
      </c>
      <c r="AS139" s="1140">
        <v>148.22900000000001</v>
      </c>
      <c r="AT139" s="1329">
        <f>(AP139+AQ139)/(AP132+AQ132)-1</f>
        <v>0.40103024574669188</v>
      </c>
      <c r="AU139" s="1173">
        <f>AS139/'qtrP&amp;L'!BX10</f>
        <v>0.16090545343230378</v>
      </c>
      <c r="AV139" s="1151">
        <f>'qtrP&amp;L'!BX10</f>
        <v>921.21799999999996</v>
      </c>
      <c r="AW139" s="1151"/>
      <c r="AX139" s="1151"/>
      <c r="AY139" s="1151">
        <f>SUM(SegqtrSales!AS83,SegqtrSales!AS204,SegqtrSales!AS306,SegqtrSales!AS438)</f>
        <v>148.22900000000001</v>
      </c>
      <c r="AZ139" s="114" t="str">
        <f>IF(AS139=AY139:AY139,"OK","check")</f>
        <v>OK</v>
      </c>
      <c r="BA139" s="1123">
        <f>AY139+S139</f>
        <v>901.721</v>
      </c>
      <c r="BB139" s="1123">
        <f>+'qtrP&amp;L'!BX10</f>
        <v>921.21799999999996</v>
      </c>
      <c r="BC139" s="114"/>
      <c r="BD139" s="1377">
        <f>219.586+57.372</f>
        <v>276.95800000000003</v>
      </c>
      <c r="BE139" s="1360">
        <f>+BD139/BD132-1</f>
        <v>0.41504363287077739</v>
      </c>
      <c r="BF139" s="1377">
        <v>644.26</v>
      </c>
      <c r="BG139" s="1360">
        <f>+BF139/BF132-1</f>
        <v>5.1642093767063635E-3</v>
      </c>
      <c r="BH139" s="114"/>
    </row>
    <row r="140" spans="1:60">
      <c r="A140" s="114" t="str">
        <f>$A$14</f>
        <v>2Q</v>
      </c>
      <c r="B140" s="245" t="str">
        <f>$B$14</f>
        <v>Jul</v>
      </c>
      <c r="C140" s="114"/>
      <c r="D140" s="1219">
        <f>(S140/S133-1)*100</f>
        <v>-0.27537864563774717</v>
      </c>
      <c r="E140" s="114"/>
      <c r="F140" s="1144">
        <f>+'qtrP&amp;L'!BZ11</f>
        <v>-6</v>
      </c>
      <c r="G140" s="114"/>
      <c r="H140" s="1123">
        <f>D140-F140</f>
        <v>5.7246213543622524</v>
      </c>
      <c r="I140" s="114"/>
      <c r="J140" s="1063">
        <f>SegqtrSales!J84+SegqtrSales!J205+SegqtrSales!J307+SegqtrSales!J439</f>
        <v>1055</v>
      </c>
      <c r="K140" s="1057"/>
      <c r="L140" s="1357">
        <f>AVERAGE(J140,J139)</f>
        <v>1052</v>
      </c>
      <c r="M140" s="114"/>
      <c r="N140" s="1151">
        <f>(L140/L133-1)*100</f>
        <v>-1.8656716417910446</v>
      </c>
      <c r="O140" s="246"/>
      <c r="P140" s="1220">
        <f>H140/N140*100</f>
        <v>-306.83970459381675</v>
      </c>
      <c r="Q140" s="310"/>
      <c r="R140" s="114"/>
      <c r="S140" s="311">
        <f>SegqtrSales!S84+SegqtrSales!S205+SegqtrSales!S307+SegqtrSales!S439</f>
        <v>796.7</v>
      </c>
      <c r="T140" s="1375"/>
      <c r="U140" s="1361">
        <f>S140/L140</f>
        <v>0.75731939163498108</v>
      </c>
      <c r="V140" s="114"/>
      <c r="W140" s="1221">
        <f>(U140/U133-1)*100</f>
        <v>1.6205267033045034</v>
      </c>
      <c r="X140" s="246"/>
      <c r="Y140" s="114"/>
      <c r="Z140" s="1344">
        <v>7.9</v>
      </c>
      <c r="AA140" s="1057"/>
      <c r="AB140" s="1358">
        <f>AVERAGE(Z140,Z139)</f>
        <v>7.87</v>
      </c>
      <c r="AC140" s="114"/>
      <c r="AD140" s="1151">
        <f>(AB140/AB133-1)*100</f>
        <v>1.2935195315013859</v>
      </c>
      <c r="AE140" s="246"/>
      <c r="AF140" s="1220">
        <f>+H140/AD140*100</f>
        <v>442.56164788773572</v>
      </c>
      <c r="AG140" s="310"/>
      <c r="AH140" s="114"/>
      <c r="AI140" s="1132">
        <f>+S140</f>
        <v>796.7</v>
      </c>
      <c r="AJ140" s="114"/>
      <c r="AK140" s="1362">
        <f>AI140/AB140</f>
        <v>101.2325285895807</v>
      </c>
      <c r="AL140" s="114"/>
      <c r="AM140" s="1221">
        <f>(AK140/AK133-1)*100</f>
        <v>-1.5488633274818642</v>
      </c>
      <c r="AN140" s="246"/>
      <c r="AO140" s="1095"/>
      <c r="AP140" s="1382">
        <f>AS140-AQ140</f>
        <v>111.4821</v>
      </c>
      <c r="AQ140" s="1382">
        <f>AS140*AR140</f>
        <v>16.2179</v>
      </c>
      <c r="AR140" s="1384">
        <v>0.127</v>
      </c>
      <c r="AS140" s="1140">
        <v>127.7</v>
      </c>
      <c r="AT140" s="1329">
        <f>(AP140+AQ140)/(AP133+AQ133)-1</f>
        <v>0.25196078431372548</v>
      </c>
      <c r="AU140" s="1173">
        <f>AS140/'qtrP&amp;L'!BX11</f>
        <v>0.13422226239663992</v>
      </c>
      <c r="AV140" s="1151">
        <f>'qtrP&amp;L'!BX11</f>
        <v>951.40700000000004</v>
      </c>
      <c r="AW140" s="1151"/>
      <c r="AX140" s="1151"/>
      <c r="AY140" s="1151">
        <f>SUM(SegqtrSales!AS84,SegqtrSales!AS205,SegqtrSales!AS307,SegqtrSales!AS439)</f>
        <v>127.70000000000002</v>
      </c>
      <c r="AZ140" s="114" t="str">
        <f>IF(AS140=AY140:AY140,"OK","check")</f>
        <v>OK</v>
      </c>
      <c r="BA140" s="1123">
        <f>AY140+S140</f>
        <v>924.40000000000009</v>
      </c>
      <c r="BB140" s="1123">
        <f>+'qtrP&amp;L'!BX11</f>
        <v>951.40700000000004</v>
      </c>
      <c r="BC140" s="114"/>
      <c r="BD140" s="1377">
        <v>303.39999999999998</v>
      </c>
      <c r="BE140" s="1360">
        <f>+BD140/BD133-1</f>
        <v>0.3084861841282438</v>
      </c>
      <c r="BF140" s="1377">
        <v>648</v>
      </c>
      <c r="BG140" s="1360">
        <f>+BF140/BF133-1</f>
        <v>-5.3865426957827034E-2</v>
      </c>
      <c r="BH140" s="114"/>
    </row>
    <row r="141" spans="1:60">
      <c r="A141" s="114" t="str">
        <f>$A$15</f>
        <v>3Q</v>
      </c>
      <c r="B141" s="245" t="str">
        <f>$B$15</f>
        <v>Oct</v>
      </c>
      <c r="C141" s="114"/>
      <c r="D141" s="1219">
        <f>(S141/S134-1)*100</f>
        <v>6.2749756993195849</v>
      </c>
      <c r="E141" s="114"/>
      <c r="F141" s="1144">
        <f>+'qtrP&amp;L'!BZ12</f>
        <v>0</v>
      </c>
      <c r="G141" s="114"/>
      <c r="H141" s="1123">
        <f>D141-F141</f>
        <v>6.2749756993195849</v>
      </c>
      <c r="I141" s="114"/>
      <c r="J141" s="1063">
        <f>SegqtrSales!J85+SegqtrSales!J206+SegqtrSales!J308+SegqtrSales!J440</f>
        <v>1058</v>
      </c>
      <c r="K141" s="1057"/>
      <c r="L141" s="1357">
        <f>AVERAGE(J141,J140)</f>
        <v>1056.5</v>
      </c>
      <c r="M141" s="114"/>
      <c r="N141" s="1151">
        <f>(L141/L134-1)*100</f>
        <v>-2.4018475750577362</v>
      </c>
      <c r="O141" s="246"/>
      <c r="P141" s="1220">
        <f>H141/N141*100</f>
        <v>-261.25619978897896</v>
      </c>
      <c r="Q141" s="310"/>
      <c r="R141" s="114"/>
      <c r="S141" s="311">
        <f>SegqtrSales!S85+SegqtrSales!S206+SegqtrSales!S308+SegqtrSales!S440</f>
        <v>984</v>
      </c>
      <c r="T141" s="1375"/>
      <c r="U141" s="1361">
        <f>S141/L141</f>
        <v>0.93137718883104592</v>
      </c>
      <c r="V141" s="114"/>
      <c r="W141" s="1221">
        <f>(U141/U134-1)*100</f>
        <v>8.8903560762077163</v>
      </c>
      <c r="X141" s="246"/>
      <c r="Y141" s="114"/>
      <c r="Z141" s="1344">
        <v>8.0410000000000004</v>
      </c>
      <c r="AA141" s="1057"/>
      <c r="AB141" s="1358">
        <f>AVERAGE(Z141,Z140)</f>
        <v>7.9705000000000004</v>
      </c>
      <c r="AC141" s="114"/>
      <c r="AD141" s="1151">
        <f>(AB141/AB134-1)*100</f>
        <v>1.0971588026382539</v>
      </c>
      <c r="AE141" s="246"/>
      <c r="AF141" s="1220">
        <f>+H141/AD141*100</f>
        <v>571.92957703393802</v>
      </c>
      <c r="AG141" s="310"/>
      <c r="AH141" s="114"/>
      <c r="AI141" s="1132">
        <f>+S141</f>
        <v>984</v>
      </c>
      <c r="AJ141" s="114"/>
      <c r="AK141" s="1362">
        <f>AI141/AB141</f>
        <v>123.45524120193213</v>
      </c>
      <c r="AL141" s="114"/>
      <c r="AM141" s="1221">
        <f>(AK141/AK134-1)*100</f>
        <v>5.1216245421787487</v>
      </c>
      <c r="AN141" s="246"/>
      <c r="AO141" s="246"/>
      <c r="AP141" s="1382">
        <f>AS141-AQ141</f>
        <v>136.13800000000001</v>
      </c>
      <c r="AQ141" s="1382">
        <f>AS141*AR141</f>
        <v>22.162000000000003</v>
      </c>
      <c r="AR141" s="1384">
        <v>0.14000000000000001</v>
      </c>
      <c r="AS141" s="1385">
        <v>158.30000000000001</v>
      </c>
      <c r="AT141" s="1329">
        <f>(AP141+AQ141)/(AP134+AQ134)-1</f>
        <v>0.19561933534743203</v>
      </c>
      <c r="AU141" s="1173">
        <f>AS141/'qtrP&amp;L'!BX12</f>
        <v>0.13533974722331232</v>
      </c>
      <c r="AV141" s="1151">
        <f>'qtrP&amp;L'!BX12</f>
        <v>1169.6489999999999</v>
      </c>
      <c r="AW141" s="1151"/>
      <c r="AX141" s="1151"/>
      <c r="AY141" s="1151">
        <f>SUM(SegqtrSales!AS85,SegqtrSales!AS206,SegqtrSales!AS308,SegqtrSales!AS440)</f>
        <v>158.30000000000001</v>
      </c>
      <c r="AZ141" s="114" t="str">
        <f>IF(AS141=AY141:AY141,"OK","check")</f>
        <v>OK</v>
      </c>
      <c r="BA141" s="1123">
        <f>AY141+S141</f>
        <v>1142.3</v>
      </c>
      <c r="BB141" s="1123">
        <f>+'qtrP&amp;L'!BX12</f>
        <v>1169.6489999999999</v>
      </c>
      <c r="BC141" s="114"/>
      <c r="BD141" s="1377">
        <v>351.1</v>
      </c>
      <c r="BE141" s="1360">
        <f>+BD141/BD134-1</f>
        <v>0.37309346890887785</v>
      </c>
      <c r="BF141" s="1377">
        <v>818.6</v>
      </c>
      <c r="BG141" s="1360">
        <f>+BF141/BF134-1</f>
        <v>-1.9507437210436462E-3</v>
      </c>
      <c r="BH141" s="1352"/>
    </row>
    <row r="142" spans="1:60">
      <c r="A142" s="114" t="str">
        <f>$A$16</f>
        <v>4Q</v>
      </c>
      <c r="B142" s="245" t="str">
        <f>$B$16</f>
        <v>Jan</v>
      </c>
      <c r="C142" s="114"/>
      <c r="D142" s="1364">
        <f>(S142/S135-1)*100</f>
        <v>6.9371131288847865</v>
      </c>
      <c r="E142" s="114"/>
      <c r="F142" s="1104">
        <f>+'qtrP&amp;L'!BZ13</f>
        <v>-1</v>
      </c>
      <c r="G142" s="114"/>
      <c r="H142" s="1107">
        <f>D142-F142</f>
        <v>7.9371131288847865</v>
      </c>
      <c r="I142" s="114"/>
      <c r="J142" s="1063">
        <f>SegqtrSales!J86+SegqtrSales!J207+SegqtrSales!J309+SegqtrSales!J441</f>
        <v>1044</v>
      </c>
      <c r="K142" s="1057"/>
      <c r="L142" s="1365">
        <f>AVERAGE(J142,J141)</f>
        <v>1051</v>
      </c>
      <c r="M142" s="114"/>
      <c r="N142" s="1364">
        <f>(L142/L135-1)*100</f>
        <v>-1.407129455909939</v>
      </c>
      <c r="O142" s="246"/>
      <c r="P142" s="1365">
        <f>H142/N142*100</f>
        <v>-564.06417302608065</v>
      </c>
      <c r="Q142" s="310"/>
      <c r="R142" s="114"/>
      <c r="S142" s="1111">
        <f>SegqtrSales!S86+SegqtrSales!S207+SegqtrSales!S309+SegqtrSales!S441</f>
        <v>1166.3000000000002</v>
      </c>
      <c r="T142" s="1375"/>
      <c r="U142" s="1367">
        <f>S142/L142</f>
        <v>1.1097050428163655</v>
      </c>
      <c r="V142" s="114"/>
      <c r="W142" s="1368">
        <f>(U142/U135-1)*100</f>
        <v>8.4633326311999824</v>
      </c>
      <c r="X142" s="246"/>
      <c r="Y142" s="114"/>
      <c r="Z142" s="1344">
        <v>7.9580000000000002</v>
      </c>
      <c r="AA142" s="1057"/>
      <c r="AB142" s="1369">
        <f>AVERAGE(Z142,Z141)</f>
        <v>7.9995000000000003</v>
      </c>
      <c r="AC142" s="114"/>
      <c r="AD142" s="1364">
        <f>(AB142/AB135-1)*100</f>
        <v>1.8426135364677299</v>
      </c>
      <c r="AE142" s="246"/>
      <c r="AF142" s="1365">
        <f>+H142/AD142*100</f>
        <v>430.75300228718316</v>
      </c>
      <c r="AG142" s="310"/>
      <c r="AH142" s="114"/>
      <c r="AI142" s="1111">
        <f>+S142</f>
        <v>1166.3000000000002</v>
      </c>
      <c r="AJ142" s="114"/>
      <c r="AK142" s="1370">
        <f>AI142/AB142</f>
        <v>145.79661228826802</v>
      </c>
      <c r="AL142" s="114"/>
      <c r="AM142" s="1368">
        <f>(AK142/AK135-1)*100</f>
        <v>5.0023260553823112</v>
      </c>
      <c r="AN142" s="246"/>
      <c r="AO142" s="246"/>
      <c r="AP142" s="1383">
        <f>AS142-AQ142</f>
        <v>229.10399999999998</v>
      </c>
      <c r="AQ142" s="1383">
        <f>AS142*AR142</f>
        <v>37.295999999999999</v>
      </c>
      <c r="AR142" s="1386">
        <v>0.14000000000000001</v>
      </c>
      <c r="AS142" s="1371">
        <v>266.39999999999998</v>
      </c>
      <c r="AT142" s="1330">
        <f>(AP142+AQ142)/(AP135+AQ135)-1</f>
        <v>0.25482807348092296</v>
      </c>
      <c r="AU142" s="1372">
        <f>AS142/'qtrP&amp;L'!BX13</f>
        <v>0.18140577216279397</v>
      </c>
      <c r="AV142" s="1364">
        <f>'qtrP&amp;L'!BX13</f>
        <v>1468.5309999999999</v>
      </c>
      <c r="AW142" s="1151"/>
      <c r="AX142" s="1151"/>
      <c r="AY142" s="1151">
        <f>SUM(SegqtrSales!AS86,SegqtrSales!AS207,SegqtrSales!AS309,SegqtrSales!AS441)</f>
        <v>266.39999999999998</v>
      </c>
      <c r="AZ142" s="114" t="str">
        <f>IF(AS142=AY142:AY142,"OK","check")</f>
        <v>OK</v>
      </c>
      <c r="BA142" s="1123">
        <f>AY142+S142</f>
        <v>1432.7000000000003</v>
      </c>
      <c r="BB142" s="1123">
        <f>+'qtrP&amp;L'!BX13</f>
        <v>1468.5309999999999</v>
      </c>
      <c r="BC142" s="114"/>
      <c r="BD142" s="1387">
        <v>492.2</v>
      </c>
      <c r="BE142" s="1360">
        <f>+BD142/BD135-1</f>
        <v>0.34340294173037522</v>
      </c>
      <c r="BF142" s="1387">
        <v>976.4</v>
      </c>
      <c r="BG142" s="1360">
        <f>+BF142/BF135-1</f>
        <v>1.461232955572811E-2</v>
      </c>
      <c r="BH142" s="114"/>
    </row>
    <row r="143" spans="1:60">
      <c r="A143" s="114"/>
      <c r="B143" s="245" t="str">
        <f>$B$17</f>
        <v>Year</v>
      </c>
      <c r="C143" s="114"/>
      <c r="D143" s="1151">
        <f>(S143/S136-1)*100</f>
        <v>4.7543963396320166</v>
      </c>
      <c r="E143" s="114"/>
      <c r="F143" s="1349">
        <f>F139*S139/$S$143+F140*S140/$S$143+F141*S141/$S$143+F142*S142/$S$143</f>
        <v>-1.4033290708370674</v>
      </c>
      <c r="G143" s="114"/>
      <c r="H143" s="1123">
        <f>D143-F143</f>
        <v>6.1577254104690837</v>
      </c>
      <c r="I143" s="114"/>
      <c r="J143" s="114"/>
      <c r="K143" s="114"/>
      <c r="L143" s="1357">
        <f>AVERAGE(L139:L142)</f>
        <v>1051</v>
      </c>
      <c r="M143" s="114"/>
      <c r="N143" s="1151">
        <f>(L143/L136-1)*100</f>
        <v>-2.0160820417200798</v>
      </c>
      <c r="O143" s="246"/>
      <c r="P143" s="1220">
        <f>H143/N143*100</f>
        <v>-305.43029911696647</v>
      </c>
      <c r="Q143" s="310"/>
      <c r="R143" s="114"/>
      <c r="S143" s="1129">
        <f>SUM(S139:S142)</f>
        <v>3700.4920000000002</v>
      </c>
      <c r="T143" s="1375"/>
      <c r="U143" s="1237">
        <f>SUM(U139:U142)</f>
        <v>3.5197917621047954</v>
      </c>
      <c r="V143" s="114"/>
      <c r="W143" s="1221">
        <f>(U143/U136-1)*100</f>
        <v>6.8585398115320828</v>
      </c>
      <c r="X143" s="246"/>
      <c r="Y143" s="114"/>
      <c r="Z143" s="114"/>
      <c r="AA143" s="114"/>
      <c r="AB143" s="1358">
        <f>AVERAGE(AB139:AB142)</f>
        <v>7.9078167500000003</v>
      </c>
      <c r="AC143" s="114"/>
      <c r="AD143" s="1151">
        <f>(AB143/AB136-1)*100</f>
        <v>1.2021650956803631</v>
      </c>
      <c r="AE143" s="246"/>
      <c r="AF143" s="1220">
        <f>+H143/AD143*100</f>
        <v>512.21961381137339</v>
      </c>
      <c r="AG143" s="310"/>
      <c r="AH143" s="114"/>
      <c r="AI143" s="1129">
        <f>SUM(AI139:AI142)</f>
        <v>3700.4920000000002</v>
      </c>
      <c r="AJ143" s="114"/>
      <c r="AK143" s="1359">
        <f>SUM(AK139:AK142)</f>
        <v>467.19419833944693</v>
      </c>
      <c r="AL143" s="114"/>
      <c r="AM143" s="1221">
        <f>(AK143/AK136-1)*100</f>
        <v>3.4351957914574349</v>
      </c>
      <c r="AN143" s="246"/>
      <c r="AO143" s="246"/>
      <c r="AP143" s="1142">
        <f>+SUM(AP139:AP142)</f>
        <v>606.128017</v>
      </c>
      <c r="AQ143" s="1142">
        <f>+SUM(AQ139:AQ142)</f>
        <v>94.500983000000019</v>
      </c>
      <c r="AR143" s="1384">
        <v>0.16</v>
      </c>
      <c r="AS143" s="1142">
        <f>AP143+AQ143</f>
        <v>700.62900000000002</v>
      </c>
      <c r="AT143" s="1331">
        <f>AP143/AP136-1</f>
        <v>0.23598698409461671</v>
      </c>
      <c r="AU143" s="1373">
        <f>AS143/'qtrP&amp;L'!BX14</f>
        <v>0.15532238702404561</v>
      </c>
      <c r="AV143" s="1151">
        <f>'qtrP&amp;L'!BX14</f>
        <v>4510.8050000000003</v>
      </c>
      <c r="AW143" s="1373">
        <f>(AS143-AS136)/AV136</f>
        <v>3.5624563197531163E-2</v>
      </c>
      <c r="AX143" s="1151"/>
      <c r="AY143" s="114"/>
      <c r="AZ143" s="114"/>
      <c r="BA143" s="114"/>
      <c r="BB143" s="114"/>
      <c r="BC143" s="114"/>
      <c r="BD143" s="1388">
        <v>1424</v>
      </c>
      <c r="BE143" s="1360">
        <f>+BD143/BD136-1</f>
        <v>0.35660650218447953</v>
      </c>
      <c r="BF143" s="1388">
        <v>3087</v>
      </c>
      <c r="BG143" s="1360">
        <f>+BF143/BF136-1</f>
        <v>-6.878180917391119E-3</v>
      </c>
      <c r="BH143" s="114"/>
    </row>
    <row r="144" spans="1:60">
      <c r="A144" s="114"/>
      <c r="B144" s="245"/>
      <c r="C144" s="114"/>
      <c r="D144" s="1151"/>
      <c r="E144" s="114"/>
      <c r="F144" s="1349"/>
      <c r="G144" s="114"/>
      <c r="H144" s="1123"/>
      <c r="I144" s="114"/>
      <c r="J144" s="114"/>
      <c r="K144" s="114"/>
      <c r="L144" s="1357"/>
      <c r="M144" s="114"/>
      <c r="N144" s="1151"/>
      <c r="O144" s="246"/>
      <c r="P144" s="1220"/>
      <c r="Q144" s="310"/>
      <c r="R144" s="114"/>
      <c r="S144" s="1129"/>
      <c r="T144" s="1375"/>
      <c r="U144" s="1237"/>
      <c r="V144" s="114"/>
      <c r="W144" s="1221"/>
      <c r="X144" s="246"/>
      <c r="Y144" s="114"/>
      <c r="Z144" s="114"/>
      <c r="AA144" s="114"/>
      <c r="AB144" s="1358"/>
      <c r="AC144" s="114"/>
      <c r="AD144" s="1151"/>
      <c r="AE144" s="246"/>
      <c r="AF144" s="1220"/>
      <c r="AG144" s="310"/>
      <c r="AH144" s="114"/>
      <c r="AI144" s="1129"/>
      <c r="AJ144" s="114"/>
      <c r="AK144" s="1359"/>
      <c r="AL144" s="114"/>
      <c r="AM144" s="1221"/>
      <c r="AN144" s="246"/>
      <c r="AO144" s="246"/>
      <c r="AP144" s="1142"/>
      <c r="AQ144" s="1142"/>
      <c r="AR144" s="1389"/>
      <c r="AS144" s="1142"/>
      <c r="AT144" s="1331"/>
      <c r="AU144" s="1373"/>
      <c r="AV144" s="1151"/>
      <c r="AW144" s="1151"/>
      <c r="AX144" s="1151"/>
      <c r="AY144" s="114"/>
      <c r="AZ144" s="114"/>
      <c r="BA144" s="114"/>
      <c r="BB144" s="114"/>
      <c r="BC144" s="114"/>
      <c r="BD144" s="114"/>
      <c r="BE144" s="114"/>
      <c r="BF144" s="114"/>
      <c r="BG144" s="114"/>
      <c r="BH144" s="114"/>
    </row>
    <row r="145" spans="1:60">
      <c r="A145" s="1120"/>
      <c r="B145" s="1172">
        <v>2013</v>
      </c>
      <c r="C145" s="114"/>
      <c r="D145" s="1151"/>
      <c r="E145" s="114"/>
      <c r="F145" s="1349"/>
      <c r="G145" s="114"/>
      <c r="H145" s="1123"/>
      <c r="I145" s="114"/>
      <c r="J145" s="114"/>
      <c r="K145" s="114"/>
      <c r="L145" s="1357"/>
      <c r="M145" s="114"/>
      <c r="N145" s="1151"/>
      <c r="O145" s="246"/>
      <c r="P145" s="1220"/>
      <c r="Q145" s="310"/>
      <c r="R145" s="114"/>
      <c r="S145" s="1129"/>
      <c r="T145" s="1375"/>
      <c r="U145" s="1237"/>
      <c r="V145" s="114"/>
      <c r="W145" s="1221"/>
      <c r="X145" s="246"/>
      <c r="Y145" s="114"/>
      <c r="Z145" s="114"/>
      <c r="AA145" s="114"/>
      <c r="AB145" s="1358"/>
      <c r="AC145" s="114"/>
      <c r="AD145" s="1151"/>
      <c r="AE145" s="246"/>
      <c r="AF145" s="1220"/>
      <c r="AG145" s="310"/>
      <c r="AH145" s="114"/>
      <c r="AI145" s="1129"/>
      <c r="AJ145" s="114"/>
      <c r="AK145" s="1359"/>
      <c r="AL145" s="114"/>
      <c r="AM145" s="1221"/>
      <c r="AN145" s="246"/>
      <c r="AO145" s="246"/>
      <c r="AP145" s="1142"/>
      <c r="AQ145" s="1142"/>
      <c r="AR145" s="1389"/>
      <c r="AS145" s="1142"/>
      <c r="AT145" s="1331"/>
      <c r="AU145" s="1373"/>
      <c r="AV145" s="1151"/>
      <c r="AW145" s="1151"/>
      <c r="AX145" s="1151"/>
      <c r="AY145" s="114"/>
      <c r="AZ145" s="114"/>
      <c r="BA145" s="1353" t="s">
        <v>373</v>
      </c>
      <c r="BB145" s="1353" t="s">
        <v>372</v>
      </c>
      <c r="BC145" s="114"/>
      <c r="BD145" s="114"/>
      <c r="BE145" s="114"/>
      <c r="BF145" s="114"/>
      <c r="BG145" s="114"/>
      <c r="BH145" s="114"/>
    </row>
    <row r="146" spans="1:60">
      <c r="A146" s="114" t="str">
        <f>$A$13</f>
        <v>1Q</v>
      </c>
      <c r="B146" s="245" t="str">
        <f>$B$13</f>
        <v>Apr</v>
      </c>
      <c r="C146" s="114"/>
      <c r="D146" s="1151">
        <f>(S146/S139-1)*100</f>
        <v>-8.8933923651478679</v>
      </c>
      <c r="E146" s="114" t="s">
        <v>76</v>
      </c>
      <c r="F146" s="1144">
        <f>'qtrP&amp;L'!CD10</f>
        <v>-15</v>
      </c>
      <c r="G146" s="114"/>
      <c r="H146" s="1123">
        <f>D146-F146</f>
        <v>6.1066076348521321</v>
      </c>
      <c r="I146" s="114" t="s">
        <v>76</v>
      </c>
      <c r="J146" s="1063">
        <f>SegqtrSales!J90+SegqtrSales!J211+SegqtrSales!J313+SegqtrSales!J445</f>
        <v>1053</v>
      </c>
      <c r="K146" s="114"/>
      <c r="L146" s="1357">
        <f>AVERAGE(J146,J142)</f>
        <v>1048.5</v>
      </c>
      <c r="M146" s="114"/>
      <c r="N146" s="1151">
        <f>(L146/L139-1)*100</f>
        <v>0.38295835327908367</v>
      </c>
      <c r="O146" s="246" t="s">
        <v>76</v>
      </c>
      <c r="P146" s="1220">
        <f>H146/N146*100</f>
        <v>1594.5879186507516</v>
      </c>
      <c r="Q146" s="310" t="s">
        <v>76</v>
      </c>
      <c r="R146" s="114"/>
      <c r="S146" s="1129">
        <f>SegqtrSales!S90+SegqtrSales!S211+SegqtrSales!S313+SegqtrSales!S445</f>
        <v>686.48099999999999</v>
      </c>
      <c r="T146" s="1375"/>
      <c r="U146" s="1237">
        <f>S146/L146</f>
        <v>0.65472675250357648</v>
      </c>
      <c r="V146" s="114"/>
      <c r="W146" s="1221">
        <f>(U146/U139-1)*100</f>
        <v>-9.2409616837357706</v>
      </c>
      <c r="X146" s="246" t="s">
        <v>76</v>
      </c>
      <c r="Y146" s="114"/>
      <c r="Z146" s="1344">
        <v>7.97</v>
      </c>
      <c r="AA146" s="114"/>
      <c r="AB146" s="1358">
        <f>AVERAGE(Z146,Z142)</f>
        <v>7.9640000000000004</v>
      </c>
      <c r="AC146" s="114"/>
      <c r="AD146" s="1151">
        <f>(AB146/AB139-1)*100</f>
        <v>2.2170078371078983</v>
      </c>
      <c r="AE146" s="310" t="s">
        <v>76</v>
      </c>
      <c r="AF146" s="1220">
        <f>+H146/AD146*100</f>
        <v>275.44366477379003</v>
      </c>
      <c r="AG146" s="310" t="s">
        <v>76</v>
      </c>
      <c r="AH146" s="114"/>
      <c r="AI146" s="1129">
        <f>+S146</f>
        <v>686.48099999999999</v>
      </c>
      <c r="AJ146" s="114"/>
      <c r="AK146" s="1359">
        <f>AI146/AB146</f>
        <v>86.198016072325458</v>
      </c>
      <c r="AL146" s="114"/>
      <c r="AM146" s="1221">
        <f>(AK146/AK139-1)*100</f>
        <v>-10.869424215548552</v>
      </c>
      <c r="AN146" s="246" t="s">
        <v>76</v>
      </c>
      <c r="AO146" s="246"/>
      <c r="AP146" s="1382">
        <f>AS146-AQ146</f>
        <v>115.863687</v>
      </c>
      <c r="AQ146" s="1382">
        <f>AS146*AR146</f>
        <v>16.855312999999999</v>
      </c>
      <c r="AR146" s="1384">
        <v>0.127</v>
      </c>
      <c r="AS146" s="1363">
        <v>132.71899999999999</v>
      </c>
      <c r="AT146" s="1329">
        <f>(AP146+AQ146)/(AP139+AQ139)-1</f>
        <v>-0.10463539523305165</v>
      </c>
      <c r="AU146" s="1173">
        <f>AS146/'qtrP&amp;L'!CB10</f>
        <v>0.15823069283676436</v>
      </c>
      <c r="AV146" s="1151">
        <f>'qtrP&amp;L'!CB10</f>
        <v>838.76900000000001</v>
      </c>
      <c r="AW146" s="1373">
        <f>(AS146-AS139)/AV139</f>
        <v>-1.68364057150425E-2</v>
      </c>
      <c r="AX146" s="1151">
        <f>'qtrP&amp;L'!CD10-(AW146*100)</f>
        <v>-13.316359428495749</v>
      </c>
      <c r="AY146" s="1151">
        <f>SegqtrSales!AS90+SegqtrSales!AS211+SegqtrSales!AS313+SegqtrSales!AS445</f>
        <v>132.71899999999999</v>
      </c>
      <c r="AZ146" s="114" t="str">
        <f>IF(AS146=AY146:AY146,"OK","check")</f>
        <v>OK</v>
      </c>
      <c r="BA146" s="1123">
        <f>AY146+S146</f>
        <v>819.2</v>
      </c>
      <c r="BB146" s="1123">
        <f>'qtrP&amp;L'!CB10</f>
        <v>838.76900000000001</v>
      </c>
      <c r="BC146" s="114"/>
      <c r="BD146" s="1377">
        <v>303.89999999999998</v>
      </c>
      <c r="BE146" s="1360">
        <f>+BD146/BD139-1</f>
        <v>9.7278287682608822E-2</v>
      </c>
      <c r="BF146" s="1377">
        <v>534.9</v>
      </c>
      <c r="BG146" s="1360">
        <f>+BF146/BF139-1</f>
        <v>-0.1697451339521312</v>
      </c>
      <c r="BH146" s="114"/>
    </row>
    <row r="147" spans="1:60">
      <c r="A147" s="114" t="str">
        <f>$A$14</f>
        <v>2Q</v>
      </c>
      <c r="B147" s="245" t="str">
        <f>$B$14</f>
        <v>Jul</v>
      </c>
      <c r="C147" s="114"/>
      <c r="D147" s="1151">
        <f>(S147/S140-1)*100</f>
        <v>-3.7529810468181268</v>
      </c>
      <c r="E147" s="114"/>
      <c r="F147" s="1144">
        <f>'qtrP&amp;L'!CD11</f>
        <v>-10</v>
      </c>
      <c r="G147" s="114"/>
      <c r="H147" s="1123">
        <f>D147-F147</f>
        <v>6.2470189531818736</v>
      </c>
      <c r="I147" s="114"/>
      <c r="J147" s="1063">
        <f>SegqtrSales!J91+SegqtrSales!J212+SegqtrSales!J314+SegqtrSales!J446</f>
        <v>1057</v>
      </c>
      <c r="K147" s="114"/>
      <c r="L147" s="1357">
        <f>AVERAGE(J147,J146)</f>
        <v>1055</v>
      </c>
      <c r="M147" s="114"/>
      <c r="N147" s="1151">
        <f>(L147/L140-1)*100</f>
        <v>0.28517110266159662</v>
      </c>
      <c r="O147" s="246"/>
      <c r="P147" s="1220">
        <f>H147/N147*100</f>
        <v>2190.6213129157795</v>
      </c>
      <c r="Q147" s="310"/>
      <c r="R147" s="114"/>
      <c r="S147" s="311">
        <f>SegqtrSales!S91+SegqtrSales!S212+SegqtrSales!S314+SegqtrSales!S446</f>
        <v>766.80000000000007</v>
      </c>
      <c r="T147" s="1375"/>
      <c r="U147" s="1361">
        <f>S147/L147</f>
        <v>0.72682464454976314</v>
      </c>
      <c r="V147" s="114"/>
      <c r="W147" s="1221">
        <f>(U147/U140-1)*100</f>
        <v>-4.0266692523721943</v>
      </c>
      <c r="X147" s="246"/>
      <c r="Y147" s="114"/>
      <c r="Z147" s="1344">
        <v>8.0060000000000002</v>
      </c>
      <c r="AA147" s="114"/>
      <c r="AB147" s="1358">
        <f>AVERAGE(Z147,Z146)</f>
        <v>7.9879999999999995</v>
      </c>
      <c r="AC147" s="114"/>
      <c r="AD147" s="1151">
        <f>(AB147/AB140-1)*100</f>
        <v>1.499364675984749</v>
      </c>
      <c r="AE147" s="246"/>
      <c r="AF147" s="1220">
        <f>+H147/AD147*100</f>
        <v>416.64439967408009</v>
      </c>
      <c r="AG147" s="310"/>
      <c r="AH147" s="114"/>
      <c r="AI147" s="1132">
        <f>+S147</f>
        <v>766.80000000000007</v>
      </c>
      <c r="AJ147" s="114"/>
      <c r="AK147" s="1362">
        <f>AI147/AB147</f>
        <v>95.99399098647973</v>
      </c>
      <c r="AL147" s="114"/>
      <c r="AM147" s="1221">
        <f>(AK147/AK140-1)*100</f>
        <v>-5.1747572406683258</v>
      </c>
      <c r="AN147" s="246"/>
      <c r="AO147" s="246"/>
      <c r="AP147" s="1382">
        <f>AS147-AQ147</f>
        <v>134.24100000000001</v>
      </c>
      <c r="AQ147" s="1382">
        <f>AS147*AR147</f>
        <v>20.059000000000001</v>
      </c>
      <c r="AR147" s="1384">
        <v>0.13</v>
      </c>
      <c r="AS147" s="1363">
        <v>154.30000000000001</v>
      </c>
      <c r="AT147" s="1329">
        <f>(AP147+AQ147)/(AP140+AQ140)-1</f>
        <v>0.20830070477682083</v>
      </c>
      <c r="AU147" s="1173">
        <f>AS147/'qtrP&amp;L'!CB11</f>
        <v>0.16315990940025252</v>
      </c>
      <c r="AV147" s="1151">
        <f>'qtrP&amp;L'!CB11</f>
        <v>945.69799999999998</v>
      </c>
      <c r="AW147" s="1373">
        <f>(AS147-AS140)/AV140</f>
        <v>2.795859185395946E-2</v>
      </c>
      <c r="AX147" s="1151">
        <f>'qtrP&amp;L'!CD11-(AW147*100)</f>
        <v>-12.795859185395946</v>
      </c>
      <c r="AY147" s="1151">
        <f>SegqtrSales!AS91+SegqtrSales!AS212+SegqtrSales!AS314+SegqtrSales!AS446</f>
        <v>154.30000000000001</v>
      </c>
      <c r="AZ147" s="114" t="str">
        <f>IF(AS147=AY147:AY147,"OK","check")</f>
        <v>OK</v>
      </c>
      <c r="BA147" s="1123">
        <f>AY147+S147</f>
        <v>921.10000000000014</v>
      </c>
      <c r="BB147" s="1123">
        <f>'qtrP&amp;L'!CB11</f>
        <v>945.69799999999998</v>
      </c>
      <c r="BC147" s="114"/>
      <c r="BD147" s="1377">
        <v>348.4</v>
      </c>
      <c r="BE147" s="1360">
        <f>+BD147/BD140-1</f>
        <v>0.14831905075807517</v>
      </c>
      <c r="BF147" s="1377">
        <v>597.29999999999995</v>
      </c>
      <c r="BG147" s="1360">
        <f>+BF147/BF140-1</f>
        <v>-7.8240740740740833E-2</v>
      </c>
      <c r="BH147" s="114"/>
    </row>
    <row r="148" spans="1:60">
      <c r="A148" s="114" t="str">
        <f>$A$15</f>
        <v>3Q</v>
      </c>
      <c r="B148" s="245" t="str">
        <f>$B$15</f>
        <v>Oct</v>
      </c>
      <c r="C148" s="114"/>
      <c r="D148" s="1151">
        <f>(S148/S141-1)*100</f>
        <v>-14.928861788617887</v>
      </c>
      <c r="E148" s="114"/>
      <c r="F148" s="1144">
        <f>'qtrP&amp;L'!CD12</f>
        <v>-14</v>
      </c>
      <c r="G148" s="114"/>
      <c r="H148" s="1123">
        <f>D148-F148</f>
        <v>-0.92886178861788693</v>
      </c>
      <c r="I148" s="114"/>
      <c r="J148" s="1063">
        <f>SegqtrSales!J92+SegqtrSales!J213+SegqtrSales!J315+SegqtrSales!J447</f>
        <v>1059</v>
      </c>
      <c r="K148" s="114"/>
      <c r="L148" s="1357">
        <f>AVERAGE(J148,J147)</f>
        <v>1058</v>
      </c>
      <c r="M148" s="114"/>
      <c r="N148" s="1151">
        <f>(L148/L141-1)*100</f>
        <v>0.14197823000472454</v>
      </c>
      <c r="O148" s="246"/>
      <c r="P148" s="1220">
        <f>H148/N148*100</f>
        <v>-654.22831978323552</v>
      </c>
      <c r="Q148" s="310"/>
      <c r="R148" s="114"/>
      <c r="S148" s="311">
        <f>SegqtrSales!S92+SegqtrSales!S213+SegqtrSales!S315+SegqtrSales!S447</f>
        <v>837.1</v>
      </c>
      <c r="T148" s="1375"/>
      <c r="U148" s="1361">
        <f>S148/L148</f>
        <v>0.79120982986767485</v>
      </c>
      <c r="V148" s="114"/>
      <c r="W148" s="1221">
        <f>(U148/U141-1)*100</f>
        <v>-15.049473043170892</v>
      </c>
      <c r="X148" s="246"/>
      <c r="Y148" s="114"/>
      <c r="Z148" s="1344">
        <v>8.0690000000000008</v>
      </c>
      <c r="AA148" s="114"/>
      <c r="AB148" s="1358">
        <f>AVERAGE(Z148,Z147)</f>
        <v>8.0375000000000014</v>
      </c>
      <c r="AC148" s="114"/>
      <c r="AD148" s="1151">
        <f>(AB148/AB141-1)*100</f>
        <v>0.84059971143592982</v>
      </c>
      <c r="AE148" s="246"/>
      <c r="AF148" s="1220">
        <f>+H148/AD148*100</f>
        <v>-110.49989382356389</v>
      </c>
      <c r="AG148" s="310"/>
      <c r="AH148" s="114"/>
      <c r="AI148" s="1132">
        <f>+S148</f>
        <v>837.1</v>
      </c>
      <c r="AJ148" s="114"/>
      <c r="AK148" s="1362">
        <f>AI148/AB148</f>
        <v>104.14930015552098</v>
      </c>
      <c r="AL148" s="114"/>
      <c r="AM148" s="1221">
        <f>(AK148/AK141-1)*100</f>
        <v>-15.638008446180896</v>
      </c>
      <c r="AN148" s="246"/>
      <c r="AO148" s="246"/>
      <c r="AP148" s="1382">
        <f>AS148-AQ148</f>
        <v>150.15600000000001</v>
      </c>
      <c r="AQ148" s="1382">
        <f>AS148*AR148</f>
        <v>24.444000000000003</v>
      </c>
      <c r="AR148" s="1384">
        <v>0.14000000000000001</v>
      </c>
      <c r="AS148" s="1363">
        <v>174.6</v>
      </c>
      <c r="AT148" s="1329">
        <f>(AP148+AQ148)/(AP141+AQ141)-1</f>
        <v>0.10296904611497171</v>
      </c>
      <c r="AU148" s="1173">
        <f>AS148/'qtrP&amp;L'!CB12</f>
        <v>0.168974337385427</v>
      </c>
      <c r="AV148" s="1151">
        <f>'qtrP&amp;L'!CB12</f>
        <v>1033.2929999999999</v>
      </c>
      <c r="AW148" s="1373">
        <f>(AS148-AS141)/AV141</f>
        <v>1.3935804673025826E-2</v>
      </c>
      <c r="AX148" s="1151">
        <f>'qtrP&amp;L'!CD12-(AW148*100)</f>
        <v>-15.393580467302582</v>
      </c>
      <c r="AY148" s="1151">
        <f>SegqtrSales!AS92+SegqtrSales!AS213+SegqtrSales!AS315+SegqtrSales!AS447</f>
        <v>174.6</v>
      </c>
      <c r="AZ148" s="114" t="str">
        <f>IF(AS148=AY148:AY148,"OK","check")</f>
        <v>OK</v>
      </c>
      <c r="BA148" s="1123">
        <f>AY148+S148</f>
        <v>1011.7</v>
      </c>
      <c r="BB148" s="1123">
        <f>'qtrP&amp;L'!CB12</f>
        <v>1033.2929999999999</v>
      </c>
      <c r="BD148" s="114"/>
      <c r="BE148" s="114"/>
      <c r="BF148" s="114"/>
    </row>
    <row r="149" spans="1:60">
      <c r="A149" s="114" t="str">
        <f>$A$16</f>
        <v>4Q</v>
      </c>
      <c r="B149" s="245" t="str">
        <f>$B$16</f>
        <v>Jan</v>
      </c>
      <c r="C149" s="114"/>
      <c r="D149" s="1364">
        <f>(S149/S142-1)*100</f>
        <v>-18.155534596587508</v>
      </c>
      <c r="E149" s="114"/>
      <c r="F149" s="1104">
        <f>'qtrP&amp;L'!CD13</f>
        <v>-8</v>
      </c>
      <c r="G149" s="114"/>
      <c r="H149" s="1107">
        <f>D149-F149</f>
        <v>-10.155534596587508</v>
      </c>
      <c r="I149" s="114"/>
      <c r="J149" s="1063">
        <f>SegqtrSales!J93+SegqtrSales!J214+SegqtrSales!J316+SegqtrSales!J448</f>
        <v>1005</v>
      </c>
      <c r="K149" s="114"/>
      <c r="L149" s="1365">
        <f>AVERAGE(J149,J148)</f>
        <v>1032</v>
      </c>
      <c r="M149" s="114"/>
      <c r="N149" s="1364">
        <f>(L149/L142-1)*100</f>
        <v>-1.807802093244526</v>
      </c>
      <c r="O149" s="246"/>
      <c r="P149" s="1365">
        <f>H149/N149*100</f>
        <v>561.76141373755206</v>
      </c>
      <c r="Q149" s="310"/>
      <c r="R149" s="114"/>
      <c r="S149" s="1111">
        <f>SegqtrSales!S93+SegqtrSales!S214+SegqtrSales!S316+SegqtrSales!S448</f>
        <v>954.55200000000002</v>
      </c>
      <c r="T149" s="1375"/>
      <c r="U149" s="1367">
        <f>S149/L149</f>
        <v>0.92495348837209301</v>
      </c>
      <c r="V149" s="114"/>
      <c r="W149" s="1368">
        <f>(U149/U142-1)*100</f>
        <v>-16.648708198656472</v>
      </c>
      <c r="X149" s="246"/>
      <c r="Y149" s="114"/>
      <c r="Z149" s="1344">
        <v>7.7359999999999998</v>
      </c>
      <c r="AA149" s="114"/>
      <c r="AB149" s="1369">
        <f>AVERAGE(Z149,Z148)</f>
        <v>7.9024999999999999</v>
      </c>
      <c r="AC149" s="114"/>
      <c r="AD149" s="1364">
        <f>(AB149/AB142-1)*100</f>
        <v>-1.2125757859866249</v>
      </c>
      <c r="AE149" s="246"/>
      <c r="AF149" s="1365">
        <f>+H149/AD149*100</f>
        <v>837.51751551960535</v>
      </c>
      <c r="AG149" s="310"/>
      <c r="AH149" s="114"/>
      <c r="AI149" s="1111">
        <f>+S149</f>
        <v>954.55200000000002</v>
      </c>
      <c r="AJ149" s="114"/>
      <c r="AK149" s="1370">
        <f>AI149/AB149</f>
        <v>120.79114204365708</v>
      </c>
      <c r="AL149" s="114"/>
      <c r="AM149" s="1368">
        <f>(AK149/AK142-1)*100</f>
        <v>-17.150926796001475</v>
      </c>
      <c r="AN149" s="246"/>
      <c r="AO149" s="246"/>
      <c r="AP149" s="1383">
        <f>AS149-AQ149</f>
        <v>271.19928000000004</v>
      </c>
      <c r="AQ149" s="1383">
        <f>AS149*AR149</f>
        <v>44.148720000000012</v>
      </c>
      <c r="AR149" s="1386">
        <v>0.14000000000000001</v>
      </c>
      <c r="AS149" s="1371">
        <v>315.34800000000007</v>
      </c>
      <c r="AT149" s="1330">
        <f>(AP149+AQ149)/(AP142+AQ142)-1</f>
        <v>0.18373873873873903</v>
      </c>
      <c r="AU149" s="1372">
        <f>AS149/'qtrP&amp;L'!CB13</f>
        <v>0.2427365243234548</v>
      </c>
      <c r="AV149" s="1364">
        <f>'qtrP&amp;L'!CB13</f>
        <v>1299.1369999999999</v>
      </c>
      <c r="AW149" s="1390">
        <f>(AS149-AS142)/AV142</f>
        <v>3.3331267777118832E-2</v>
      </c>
      <c r="AX149" s="1151">
        <f>'qtrP&amp;L'!CD13-(AW149*100)</f>
        <v>-11.333126777711882</v>
      </c>
      <c r="AY149" s="1151">
        <f>SegqtrSales!AS93+SegqtrSales!AS214+SegqtrSales!AS316+SegqtrSales!AS448</f>
        <v>315.34800000000007</v>
      </c>
      <c r="AZ149" s="114" t="str">
        <f>IF(AS149=AY149:AY149,"OK","check")</f>
        <v>OK</v>
      </c>
      <c r="BA149" s="1123">
        <f>AY149+S149</f>
        <v>1269.9000000000001</v>
      </c>
      <c r="BB149" s="1123">
        <f>'qtrP&amp;L'!CB13</f>
        <v>1299.1369999999999</v>
      </c>
      <c r="BD149" s="114"/>
      <c r="BE149" s="114"/>
      <c r="BF149" s="114"/>
    </row>
    <row r="150" spans="1:60">
      <c r="A150" s="114"/>
      <c r="B150" s="245" t="str">
        <f>$B$17</f>
        <v>Year</v>
      </c>
      <c r="C150" s="114"/>
      <c r="D150" s="1151">
        <f>(S150/S143-1)*100</f>
        <v>-12.310768405930894</v>
      </c>
      <c r="E150" s="114"/>
      <c r="F150" s="1349">
        <f>F146*S146/$S$150+F147*S147/$S$150+F148*S148/$S$150+F149*S149/$S$150</f>
        <v>-11.501325605181988</v>
      </c>
      <c r="G150" s="114"/>
      <c r="H150" s="1123">
        <f>D150-F150</f>
        <v>-0.80944280074890607</v>
      </c>
      <c r="I150" s="114"/>
      <c r="J150" s="114"/>
      <c r="K150" s="114"/>
      <c r="L150" s="1357">
        <f>AVERAGE(L146:L149)</f>
        <v>1048.375</v>
      </c>
      <c r="M150" s="114"/>
      <c r="N150" s="1151">
        <f>(L150/L143-1)*100</f>
        <v>-0.24976213130352143</v>
      </c>
      <c r="O150" s="246"/>
      <c r="P150" s="1220">
        <f>H150/N150*100</f>
        <v>324.08547946175122</v>
      </c>
      <c r="Q150" s="310"/>
      <c r="R150" s="114"/>
      <c r="S150" s="1129">
        <f>SUM(S146:S149)</f>
        <v>3244.933</v>
      </c>
      <c r="T150" s="1375"/>
      <c r="U150" s="1237">
        <f>SUM(U146:U149)</f>
        <v>3.0977147152931073</v>
      </c>
      <c r="V150" s="114"/>
      <c r="W150" s="1221">
        <f>(U150/U143-1)*100</f>
        <v>-11.991534594628718</v>
      </c>
      <c r="X150" s="246"/>
      <c r="Y150" s="114"/>
      <c r="Z150" s="114"/>
      <c r="AA150" s="114"/>
      <c r="AB150" s="1358">
        <f>AVERAGE(AB146:AB149)</f>
        <v>7.9729999999999999</v>
      </c>
      <c r="AC150" s="114"/>
      <c r="AD150" s="1151">
        <f>(AB150/AB143-1)*100</f>
        <v>0.82428882788665447</v>
      </c>
      <c r="AE150" s="246"/>
      <c r="AF150" s="1220">
        <f>+H150/AD150*100</f>
        <v>-98.198928987572074</v>
      </c>
      <c r="AG150" s="310"/>
      <c r="AH150" s="114"/>
      <c r="AI150" s="1129">
        <f>SUM(AI146:AI149)</f>
        <v>3244.933</v>
      </c>
      <c r="AJ150" s="114"/>
      <c r="AK150" s="1359">
        <f>SUM(AK146:AK149)</f>
        <v>407.13244925798324</v>
      </c>
      <c r="AL150" s="114"/>
      <c r="AM150" s="1221">
        <f>(AK150/AK143-1)*100</f>
        <v>-12.855842237541005</v>
      </c>
      <c r="AN150" s="246"/>
      <c r="AO150" s="246"/>
      <c r="AP150" s="1142">
        <f>+SUM(AP146:AP149)</f>
        <v>671.45996700000001</v>
      </c>
      <c r="AQ150" s="1142">
        <f>+SUM(AQ146:AQ149)</f>
        <v>105.50703300000001</v>
      </c>
      <c r="AR150" s="1384">
        <v>0.16</v>
      </c>
      <c r="AS150" s="1142">
        <v>776.91600000000005</v>
      </c>
      <c r="AT150" s="1331">
        <f>AP150/AP143-1</f>
        <v>0.10778572870357839</v>
      </c>
      <c r="AU150" s="1373">
        <f>AS150/'qtrP&amp;L'!CB14</f>
        <v>0.18871397559861228</v>
      </c>
      <c r="AV150" s="1151">
        <f>'qtrP&amp;L'!CB14</f>
        <v>4116.8969999999999</v>
      </c>
      <c r="AW150" s="1373">
        <f>(AS150-AS143)/AV143</f>
        <v>1.6912058934048364E-2</v>
      </c>
      <c r="AX150" s="1151">
        <f>'qtrP&amp;L'!CD14-(AW150*100)</f>
        <v>-12.691205893404836</v>
      </c>
      <c r="AY150" s="114"/>
      <c r="AZ150" s="114"/>
      <c r="BA150" s="1151"/>
      <c r="BB150" s="114"/>
      <c r="BD150" s="114"/>
      <c r="BE150" s="114"/>
      <c r="BF150" s="114"/>
    </row>
    <row r="151" spans="1:60">
      <c r="B151" s="200"/>
      <c r="D151" s="114"/>
      <c r="E151" s="114"/>
      <c r="F151" s="1182"/>
      <c r="G151" s="114"/>
      <c r="O151" s="86"/>
      <c r="S151" s="1059"/>
      <c r="Z151" s="380"/>
      <c r="AE151" s="86"/>
      <c r="AT151" s="1115"/>
      <c r="AW151" s="24"/>
      <c r="BA151" s="1053"/>
      <c r="BD151" s="114"/>
      <c r="BE151" s="114"/>
      <c r="BF151" s="114"/>
    </row>
    <row r="152" spans="1:60">
      <c r="A152" s="1120"/>
      <c r="B152" s="1172">
        <v>2014</v>
      </c>
      <c r="C152" s="114"/>
      <c r="D152" s="1151"/>
      <c r="E152" s="114"/>
      <c r="F152" s="1349"/>
      <c r="G152" s="114"/>
      <c r="H152" s="1123"/>
      <c r="I152" s="114"/>
      <c r="J152" s="114"/>
      <c r="K152" s="114"/>
      <c r="L152" s="1357"/>
      <c r="M152" s="114"/>
      <c r="N152" s="1151"/>
      <c r="O152" s="246"/>
      <c r="P152" s="1220"/>
      <c r="Q152" s="310"/>
      <c r="R152" s="114"/>
      <c r="S152" s="1129"/>
      <c r="T152" s="1375"/>
      <c r="U152" s="1237"/>
      <c r="V152" s="114"/>
      <c r="W152" s="1221"/>
      <c r="X152" s="246"/>
      <c r="Y152" s="114"/>
      <c r="Z152" s="114"/>
      <c r="AA152" s="114"/>
      <c r="AB152" s="1358"/>
      <c r="AC152" s="114"/>
      <c r="AD152" s="1151"/>
      <c r="AE152" s="246"/>
      <c r="AF152" s="1220"/>
      <c r="AG152" s="310"/>
      <c r="AH152" s="114"/>
      <c r="AI152" s="1129"/>
      <c r="AJ152" s="114"/>
      <c r="AK152" s="1359"/>
      <c r="AL152" s="114"/>
      <c r="AM152" s="1221"/>
      <c r="AN152" s="246"/>
      <c r="AO152" s="246"/>
      <c r="AP152" s="1142"/>
      <c r="AQ152" s="1142"/>
      <c r="AR152" s="1389"/>
      <c r="AS152" s="1142"/>
      <c r="AT152" s="1331"/>
      <c r="AU152" s="1373"/>
      <c r="AV152" s="114"/>
      <c r="AW152" s="236"/>
      <c r="AX152" s="114"/>
      <c r="AY152" s="114"/>
      <c r="AZ152" s="114"/>
      <c r="BA152" s="1353" t="s">
        <v>373</v>
      </c>
      <c r="BB152" s="1353" t="s">
        <v>372</v>
      </c>
      <c r="BC152" s="114"/>
      <c r="BD152" s="114"/>
      <c r="BE152" s="114"/>
      <c r="BF152" s="114"/>
      <c r="BG152" s="114"/>
      <c r="BH152" s="114"/>
    </row>
    <row r="153" spans="1:60">
      <c r="A153" s="114" t="str">
        <f>$A$13</f>
        <v>1Q</v>
      </c>
      <c r="B153" s="245" t="str">
        <f>$B$13</f>
        <v>Apr</v>
      </c>
      <c r="C153" s="114"/>
      <c r="D153" s="1151">
        <f>(S153/S146-1)*100</f>
        <v>-5.0184928643327353</v>
      </c>
      <c r="E153" s="114" t="s">
        <v>76</v>
      </c>
      <c r="F153" s="1144">
        <f>'qtrP&amp;L'!CH10</f>
        <v>-4</v>
      </c>
      <c r="G153" s="114"/>
      <c r="H153" s="1123">
        <f>D153-F153</f>
        <v>-1.0184928643327353</v>
      </c>
      <c r="I153" s="114" t="s">
        <v>76</v>
      </c>
      <c r="J153" s="1063">
        <f>SegqtrSales!J97+SegqtrSales!J218+SegqtrSales!J320</f>
        <v>998</v>
      </c>
      <c r="K153" s="114"/>
      <c r="L153" s="1357">
        <f>AVERAGE(J153,J149)</f>
        <v>1001.5</v>
      </c>
      <c r="M153" s="114"/>
      <c r="N153" s="1151">
        <f>(L153/L146-1)*100</f>
        <v>-4.4825941821650002</v>
      </c>
      <c r="O153" s="246" t="s">
        <v>76</v>
      </c>
      <c r="P153" s="1220">
        <f>H153/N153*100</f>
        <v>22.721058898997285</v>
      </c>
      <c r="Q153" s="310" t="s">
        <v>76</v>
      </c>
      <c r="R153" s="114"/>
      <c r="S153" s="1129">
        <f>'qtrP&amp;L'!CF10-qtrSales!AS153</f>
        <v>652.03</v>
      </c>
      <c r="T153" s="1375"/>
      <c r="U153" s="1237">
        <f>S153/L153</f>
        <v>0.65105341987019472</v>
      </c>
      <c r="V153" s="114"/>
      <c r="W153" s="1221">
        <f>(U153/U146-1)*100</f>
        <v>-0.56104819595892419</v>
      </c>
      <c r="X153" s="246" t="s">
        <v>76</v>
      </c>
      <c r="Y153" s="114"/>
      <c r="Z153" s="1391">
        <v>7.6820000000000004</v>
      </c>
      <c r="AA153" s="114"/>
      <c r="AB153" s="1358">
        <f>AVERAGE(Z153,Z149)</f>
        <v>7.7089999999999996</v>
      </c>
      <c r="AC153" s="114"/>
      <c r="AD153" s="1151">
        <f>(AB153/AB146-1)*100</f>
        <v>-3.2019085886489274</v>
      </c>
      <c r="AE153" s="310" t="s">
        <v>76</v>
      </c>
      <c r="AF153" s="1220">
        <f>+H153/AD153*100</f>
        <v>31.808930084493671</v>
      </c>
      <c r="AG153" s="310" t="s">
        <v>76</v>
      </c>
      <c r="AH153" s="114"/>
      <c r="AI153" s="1129">
        <f>+S153</f>
        <v>652.03</v>
      </c>
      <c r="AJ153" s="114"/>
      <c r="AK153" s="1359">
        <f>AI153/AB153</f>
        <v>84.580360617460116</v>
      </c>
      <c r="AL153" s="114"/>
      <c r="AM153" s="1221">
        <f>(AK153/AK146-1)*100</f>
        <v>-1.8766736504794101</v>
      </c>
      <c r="AN153" s="246" t="s">
        <v>76</v>
      </c>
      <c r="AO153" s="246"/>
      <c r="AP153" s="1089">
        <f>AP146*(1+AT153)</f>
        <v>148.757454</v>
      </c>
      <c r="AQ153" s="1089">
        <f>AS153-AP153</f>
        <v>21.640546000000001</v>
      </c>
      <c r="AR153" s="1384">
        <f>AQ153/AS153</f>
        <v>0.127</v>
      </c>
      <c r="AS153" s="1363">
        <v>170.398</v>
      </c>
      <c r="AT153" s="1329">
        <f>AS153/AS146-1</f>
        <v>0.28390057188495987</v>
      </c>
      <c r="AU153" s="1173">
        <f>AS153/'qtrP&amp;L'!CF10</f>
        <v>0.20718895757440164</v>
      </c>
      <c r="AV153" s="1151">
        <f>'qtrP&amp;L'!CF10</f>
        <v>822.428</v>
      </c>
      <c r="AW153" s="1373">
        <f>(AS153-AS146)/AV146</f>
        <v>4.4921784186110841E-2</v>
      </c>
      <c r="AX153" s="1151">
        <f>'qtrP&amp;L'!CH10-(AW153*100)</f>
        <v>-8.4921784186110845</v>
      </c>
      <c r="AY153" s="1151">
        <f>SegqtrSales!AS97+SegqtrSales!AS218+SegqtrSales!AS320+SegqtrSales!AS452</f>
        <v>170.398</v>
      </c>
      <c r="AZ153" s="114" t="str">
        <f>IF(AS153=AY153:AY153,"OK","check")</f>
        <v>OK</v>
      </c>
      <c r="BA153" s="1123">
        <f>AY153+S153</f>
        <v>822.428</v>
      </c>
      <c r="BB153" s="1123">
        <f>'qtrP&amp;L'!CF10</f>
        <v>822.428</v>
      </c>
      <c r="BC153" s="114"/>
      <c r="BD153" s="114"/>
      <c r="BE153" s="114"/>
      <c r="BF153" s="114"/>
      <c r="BG153" s="114"/>
      <c r="BH153" s="114"/>
    </row>
    <row r="154" spans="1:60">
      <c r="A154" s="114" t="str">
        <f>$A$14</f>
        <v>2Q</v>
      </c>
      <c r="B154" s="245" t="str">
        <f>$B$14</f>
        <v>Jul</v>
      </c>
      <c r="C154" s="114"/>
      <c r="D154" s="1151">
        <f>(S154/S147-1)*100</f>
        <v>-6.4836984872196135</v>
      </c>
      <c r="E154" s="114"/>
      <c r="F154" s="1144">
        <f>'qtrP&amp;L'!CH11</f>
        <v>-7</v>
      </c>
      <c r="G154" s="114"/>
      <c r="H154" s="1123">
        <f>D154-F154</f>
        <v>0.5163015127803865</v>
      </c>
      <c r="I154" s="114"/>
      <c r="J154" s="1063">
        <f>SegqtrSales!J98+SegqtrSales!J219+SegqtrSales!J321</f>
        <v>997</v>
      </c>
      <c r="K154" s="114"/>
      <c r="L154" s="1357">
        <f>AVERAGE(J154,J153)</f>
        <v>997.5</v>
      </c>
      <c r="M154" s="114"/>
      <c r="N154" s="1151">
        <f>(L154/L147-1)*100</f>
        <v>-5.4502369668246402</v>
      </c>
      <c r="O154" s="246"/>
      <c r="P154" s="1220">
        <f>H154/N154*100</f>
        <v>-9.4730103649270987</v>
      </c>
      <c r="Q154" s="310"/>
      <c r="R154" s="114"/>
      <c r="S154" s="311">
        <f>'qtrP&amp;L'!CF11-qtrSales!AS154</f>
        <v>717.08300000000008</v>
      </c>
      <c r="T154" s="1375"/>
      <c r="U154" s="1361">
        <f>S154/L154</f>
        <v>0.71888020050125323</v>
      </c>
      <c r="V154" s="114"/>
      <c r="W154" s="1221">
        <f>(U154/U147-1)*100</f>
        <v>-1.093034490242295</v>
      </c>
      <c r="X154" s="246"/>
      <c r="Y154" s="114"/>
      <c r="Z154" s="1391">
        <v>7.6829999999999998</v>
      </c>
      <c r="AA154" s="114"/>
      <c r="AB154" s="1358">
        <f>AVERAGE(Z154,Z153)</f>
        <v>7.6825000000000001</v>
      </c>
      <c r="AC154" s="114"/>
      <c r="AD154" s="1151">
        <f>(AB154/AB147-1)*100</f>
        <v>-3.8244867300951335</v>
      </c>
      <c r="AE154" s="246"/>
      <c r="AF154" s="1220">
        <f>+H154/AD154*100</f>
        <v>-13.499890291619435</v>
      </c>
      <c r="AG154" s="310"/>
      <c r="AH154" s="114"/>
      <c r="AI154" s="1132">
        <f>+S154</f>
        <v>717.08300000000008</v>
      </c>
      <c r="AJ154" s="114"/>
      <c r="AK154" s="1362">
        <f>AI154/AB154</f>
        <v>93.339798242759528</v>
      </c>
      <c r="AL154" s="114"/>
      <c r="AM154" s="1221">
        <f>(AK154/AK147-1)*100</f>
        <v>-2.7649571774696069</v>
      </c>
      <c r="AN154" s="246"/>
      <c r="AO154" s="246"/>
      <c r="AP154" s="1089">
        <f>AP147*(1+AT154)</f>
        <v>150.96414000000001</v>
      </c>
      <c r="AQ154" s="1089">
        <f>AS154-AP154</f>
        <v>22.557859999999977</v>
      </c>
      <c r="AR154" s="1384">
        <f>AQ154/AS154</f>
        <v>0.12999999999999987</v>
      </c>
      <c r="AS154" s="1392">
        <v>173.52199999999999</v>
      </c>
      <c r="AT154" s="1329">
        <f>AS154/AS147-1</f>
        <v>0.12457550226830838</v>
      </c>
      <c r="AU154" s="1173">
        <f>AS154/'qtrP&amp;L'!CF11</f>
        <v>0.19483609456493056</v>
      </c>
      <c r="AV154" s="1151">
        <f>'qtrP&amp;L'!CF11</f>
        <v>890.60500000000002</v>
      </c>
      <c r="AW154" s="1373">
        <f>(AS154-AS147)/AV147</f>
        <v>2.0325727663588145E-2</v>
      </c>
      <c r="AX154" s="1151">
        <f>'qtrP&amp;L'!CH11-(AW154*100)</f>
        <v>-9.0325727663588147</v>
      </c>
      <c r="AY154" s="1151">
        <f>SegqtrSales!AS98+SegqtrSales!AS219+SegqtrSales!AS321+SegqtrSales!AS453</f>
        <v>173.52199999999999</v>
      </c>
      <c r="AZ154" s="114" t="str">
        <f>IF(AS154=AY154:AY154,"OK","check")</f>
        <v>OK</v>
      </c>
      <c r="BA154" s="1123">
        <f>AY154+S154</f>
        <v>890.60500000000002</v>
      </c>
      <c r="BB154" s="1123">
        <f>'qtrP&amp;L'!CF11</f>
        <v>890.60500000000002</v>
      </c>
      <c r="BC154" s="114"/>
      <c r="BD154" s="1377"/>
      <c r="BE154" s="1360"/>
      <c r="BF154" s="1377"/>
      <c r="BG154" s="1360"/>
      <c r="BH154" s="114"/>
    </row>
    <row r="155" spans="1:60">
      <c r="A155" s="114" t="str">
        <f>$A$15</f>
        <v>3Q</v>
      </c>
      <c r="B155" s="245" t="str">
        <f>$B$15</f>
        <v>Oct</v>
      </c>
      <c r="C155" s="114"/>
      <c r="D155" s="1151">
        <f>(S155/S148-1)*100</f>
        <v>-13.518337116234624</v>
      </c>
      <c r="E155" s="114"/>
      <c r="F155" s="1144">
        <f>'qtrP&amp;L'!CH12</f>
        <v>-10</v>
      </c>
      <c r="G155" s="114"/>
      <c r="H155" s="1123">
        <f>D155-F155</f>
        <v>-3.5183371162346244</v>
      </c>
      <c r="I155" s="114"/>
      <c r="J155" s="1063">
        <f>SegqtrSales!J99+SegqtrSales!J220+SegqtrSales!J322</f>
        <v>1000</v>
      </c>
      <c r="K155" s="114"/>
      <c r="L155" s="1357">
        <f>AVERAGE(J155,J154)</f>
        <v>998.5</v>
      </c>
      <c r="M155" s="114"/>
      <c r="N155" s="1151">
        <f>(L155/L148-1)*100</f>
        <v>-5.6238185255198525</v>
      </c>
      <c r="O155" s="246"/>
      <c r="P155" s="1220">
        <f>H155/N155*100</f>
        <v>62.561355781113114</v>
      </c>
      <c r="Q155" s="310"/>
      <c r="R155" s="114"/>
      <c r="S155" s="311">
        <f>'qtrP&amp;L'!CF12-qtrSales!AS155</f>
        <v>723.93799999999999</v>
      </c>
      <c r="T155" s="1375"/>
      <c r="U155" s="1361">
        <f>S155/L155</f>
        <v>0.72502553830746119</v>
      </c>
      <c r="V155" s="114"/>
      <c r="W155" s="1221">
        <f>(U155/U148-1)*100</f>
        <v>-8.3649480911129004</v>
      </c>
      <c r="X155" s="246"/>
      <c r="Y155" s="114"/>
      <c r="Z155" s="1391">
        <v>7.7149999999999999</v>
      </c>
      <c r="AA155" s="114"/>
      <c r="AB155" s="1358">
        <f>AVERAGE(Z155,Z154)</f>
        <v>7.6989999999999998</v>
      </c>
      <c r="AC155" s="114"/>
      <c r="AD155" s="1151">
        <f>(AB155/AB148-1)*100</f>
        <v>-4.2115085536547632</v>
      </c>
      <c r="AE155" s="246"/>
      <c r="AF155" s="1220">
        <f>+H155/AD155*100</f>
        <v>83.541017937180683</v>
      </c>
      <c r="AG155" s="310"/>
      <c r="AH155" s="114"/>
      <c r="AI155" s="1132">
        <f>+S155</f>
        <v>723.93799999999999</v>
      </c>
      <c r="AJ155" s="114"/>
      <c r="AK155" s="1362">
        <f>AI155/AB155</f>
        <v>94.030133783608264</v>
      </c>
      <c r="AL155" s="114"/>
      <c r="AM155" s="1221">
        <f>(AK155/AK148-1)*100</f>
        <v>-9.7160195573107728</v>
      </c>
      <c r="AN155" s="246"/>
      <c r="AO155" s="246"/>
      <c r="AP155" s="1089">
        <f>AP148*(1+AT155)</f>
        <v>161.2629</v>
      </c>
      <c r="AQ155" s="1089">
        <f>AS155-AP155</f>
        <v>26.252099999999984</v>
      </c>
      <c r="AR155" s="1384">
        <f>AQ155/AS155</f>
        <v>0.13999999999999993</v>
      </c>
      <c r="AS155" s="1392">
        <v>187.51499999999999</v>
      </c>
      <c r="AT155" s="1329">
        <f>AS155/AS148-1</f>
        <v>7.3969072164948413E-2</v>
      </c>
      <c r="AU155" s="1173">
        <f>AS155/'qtrP&amp;L'!CF12</f>
        <v>0.20573194668293374</v>
      </c>
      <c r="AV155" s="1151">
        <f>'qtrP&amp;L'!CF12</f>
        <v>911.45299999999997</v>
      </c>
      <c r="AW155" s="1373">
        <f>(AS155-AS148)/AV148</f>
        <v>1.2498874956086989E-2</v>
      </c>
      <c r="AX155" s="1151">
        <f>'qtrP&amp;L'!CH12-(AW155*100)</f>
        <v>-11.249887495608698</v>
      </c>
      <c r="AY155" s="1151">
        <f>SegqtrSales!AS99+SegqtrSales!AS220+SegqtrSales!AS322+SegqtrSales!AS454</f>
        <v>187.51499999999999</v>
      </c>
      <c r="AZ155" s="114" t="str">
        <f>IF(AS155=AY155:AY155,"OK","check")</f>
        <v>OK</v>
      </c>
      <c r="BA155" s="1123">
        <f>AY155+S155</f>
        <v>911.45299999999997</v>
      </c>
      <c r="BB155" s="1123">
        <f>'qtrP&amp;L'!CF12</f>
        <v>911.45299999999997</v>
      </c>
    </row>
    <row r="156" spans="1:60">
      <c r="A156" s="114" t="str">
        <f>$A$16</f>
        <v>4Q</v>
      </c>
      <c r="B156" s="245" t="str">
        <f>$B$16</f>
        <v>Jan</v>
      </c>
      <c r="C156" s="114"/>
      <c r="D156" s="1364">
        <f>(S156/S149-1)*100</f>
        <v>-14.259568886765717</v>
      </c>
      <c r="E156" s="114"/>
      <c r="F156" s="1104">
        <f>'qtrP&amp;L'!CH13</f>
        <v>-10</v>
      </c>
      <c r="G156" s="114"/>
      <c r="H156" s="1107">
        <f>D156-F156</f>
        <v>-4.2595688867657167</v>
      </c>
      <c r="I156" s="114"/>
      <c r="J156" s="1063">
        <f>SegqtrSales!J100+SegqtrSales!J221+SegqtrSales!J323</f>
        <v>964</v>
      </c>
      <c r="K156" s="114"/>
      <c r="L156" s="1365">
        <f>AVERAGE(J156,J155)</f>
        <v>982</v>
      </c>
      <c r="M156" s="114"/>
      <c r="N156" s="1364">
        <f>(L156/L149-1)*100</f>
        <v>-4.8449612403100755</v>
      </c>
      <c r="O156" s="246"/>
      <c r="P156" s="1365">
        <f>H156/N156*100</f>
        <v>87.917501822844429</v>
      </c>
      <c r="Q156" s="310"/>
      <c r="R156" s="114"/>
      <c r="S156" s="1111">
        <f>'qtrP&amp;L'!CF13-qtrSales!AS156</f>
        <v>818.43700000000013</v>
      </c>
      <c r="T156" s="1375"/>
      <c r="U156" s="1367">
        <f>S156/L156</f>
        <v>0.83343890020366607</v>
      </c>
      <c r="V156" s="114"/>
      <c r="W156" s="1368">
        <f>(U156/U149-1)*100</f>
        <v>-9.8939664879248657</v>
      </c>
      <c r="X156" s="246"/>
      <c r="Y156" s="114"/>
      <c r="Z156" s="1344">
        <v>7.5170000000000003</v>
      </c>
      <c r="AA156" s="114"/>
      <c r="AB156" s="1369">
        <f>AVERAGE(Z156,Z155)</f>
        <v>7.6159999999999997</v>
      </c>
      <c r="AC156" s="114"/>
      <c r="AD156" s="1364">
        <f>(AB156/AB149-1)*100</f>
        <v>-3.6254349889275561</v>
      </c>
      <c r="AE156" s="246"/>
      <c r="AF156" s="1365">
        <f>+H156/AD156*100</f>
        <v>117.49125000930563</v>
      </c>
      <c r="AG156" s="310"/>
      <c r="AH156" s="114"/>
      <c r="AI156" s="1111">
        <f>+S156</f>
        <v>818.43700000000013</v>
      </c>
      <c r="AJ156" s="114"/>
      <c r="AK156" s="1370">
        <f>AI156/AB156</f>
        <v>107.46284138655464</v>
      </c>
      <c r="AL156" s="114"/>
      <c r="AM156" s="1368">
        <f>(AK156/AK149-1)*100</f>
        <v>-11.034170578737667</v>
      </c>
      <c r="AN156" s="246"/>
      <c r="AO156" s="246"/>
      <c r="AP156" s="1092">
        <f>AP149*(1+AT156)</f>
        <v>258.95202</v>
      </c>
      <c r="AQ156" s="1092">
        <f>AS156-AP156</f>
        <v>42.154980000000023</v>
      </c>
      <c r="AR156" s="1386">
        <f>AQ156/AS156</f>
        <v>0.14000000000000007</v>
      </c>
      <c r="AS156" s="1371">
        <f>'intlsales&amp;OM'!V131</f>
        <v>301.10700000000003</v>
      </c>
      <c r="AT156" s="1329">
        <f>AS156/AS149-1</f>
        <v>-4.5159633167167867E-2</v>
      </c>
      <c r="AU156" s="1372">
        <f>AS156/'qtrP&amp;L'!CF13</f>
        <v>0.26895503883724087</v>
      </c>
      <c r="AV156" s="1364">
        <f>'qtrP&amp;L'!CF13</f>
        <v>1119.5440000000001</v>
      </c>
      <c r="AW156" s="1390">
        <f>(AS156-AS149)/AV149</f>
        <v>-1.0961892394720528E-2</v>
      </c>
      <c r="AX156" s="1151">
        <f>'qtrP&amp;L'!CH13-(AW156*100)</f>
        <v>-8.9038107605279464</v>
      </c>
      <c r="AY156" s="1151">
        <f>SegqtrSales!AS100+SegqtrSales!AS221+SegqtrSales!AS323+SegqtrSales!AS455</f>
        <v>301.10700000000003</v>
      </c>
      <c r="AZ156" s="114" t="str">
        <f>IF(AS156=AY156:AY156,"OK","check")</f>
        <v>OK</v>
      </c>
      <c r="BA156" s="1123">
        <f>AY156+S156</f>
        <v>1119.5440000000001</v>
      </c>
      <c r="BB156" s="1123">
        <f>'qtrP&amp;L'!CF13</f>
        <v>1119.5440000000001</v>
      </c>
    </row>
    <row r="157" spans="1:60">
      <c r="A157" s="114"/>
      <c r="B157" s="245" t="str">
        <f>$B$17</f>
        <v>Year</v>
      </c>
      <c r="C157" s="114"/>
      <c r="D157" s="1151">
        <f>(S157/S150-1)*100</f>
        <v>-10.275867020983165</v>
      </c>
      <c r="E157" s="114"/>
      <c r="F157" s="1349">
        <f>F153*S153/$S$157+F154*S154/$S$157+F155*S155/$S$157+F156*S156/$S$157</f>
        <v>-7.9174123334872055</v>
      </c>
      <c r="G157" s="114"/>
      <c r="H157" s="1123">
        <f>D157-F157</f>
        <v>-2.3584546874959598</v>
      </c>
      <c r="I157" s="114"/>
      <c r="J157" s="114"/>
      <c r="K157" s="114"/>
      <c r="L157" s="1357">
        <f>AVERAGE(L153:L156)</f>
        <v>994.875</v>
      </c>
      <c r="M157" s="114"/>
      <c r="N157" s="1151">
        <f>(L157/L150-1)*100</f>
        <v>-5.1031358054131388</v>
      </c>
      <c r="O157" s="246"/>
      <c r="P157" s="1220">
        <f>H157/N157*100</f>
        <v>46.215793140253773</v>
      </c>
      <c r="Q157" s="310"/>
      <c r="R157" s="114"/>
      <c r="S157" s="1129">
        <f>SUM(S153:S156)</f>
        <v>2911.4880000000003</v>
      </c>
      <c r="T157" s="1375"/>
      <c r="U157" s="1237">
        <f>SUM(U153:U156)</f>
        <v>2.9283980588825753</v>
      </c>
      <c r="V157" s="114"/>
      <c r="W157" s="1221">
        <f>(U157/U150-1)*100</f>
        <v>-5.4658569936938513</v>
      </c>
      <c r="X157" s="246"/>
      <c r="Y157" s="114"/>
      <c r="Z157" s="114"/>
      <c r="AA157" s="114"/>
      <c r="AB157" s="1358">
        <f>AVERAGE(AB153:AB156)</f>
        <v>7.6766249999999996</v>
      </c>
      <c r="AC157" s="114"/>
      <c r="AD157" s="1151">
        <f>(AB157/AB150-1)*100</f>
        <v>-3.7172331619214849</v>
      </c>
      <c r="AE157" s="246"/>
      <c r="AF157" s="1220">
        <f>+H157/AD157*100</f>
        <v>63.44650939993349</v>
      </c>
      <c r="AG157" s="310"/>
      <c r="AH157" s="114"/>
      <c r="AI157" s="1129">
        <f>SUM(AI153:AI156)</f>
        <v>2911.4880000000003</v>
      </c>
      <c r="AJ157" s="114"/>
      <c r="AK157" s="1359">
        <f>SUM(AK153:AK156)</f>
        <v>379.41313403038259</v>
      </c>
      <c r="AL157" s="114"/>
      <c r="AM157" s="1221">
        <f>(AK157/AK150-1)*100</f>
        <v>-6.8084269082752558</v>
      </c>
      <c r="AN157" s="246"/>
      <c r="AO157" s="246"/>
      <c r="AP157" s="1142">
        <f>+SUM(AP153:AP156)</f>
        <v>719.93651399999999</v>
      </c>
      <c r="AQ157" s="1142">
        <f>+SUM(AQ153:AQ156)</f>
        <v>112.60548599999998</v>
      </c>
      <c r="AR157" s="1384">
        <v>0.16</v>
      </c>
      <c r="AS157" s="1142">
        <f>AP157+AQ157</f>
        <v>832.54199999999992</v>
      </c>
      <c r="AT157" s="1331">
        <f>AP157/AP150-1</f>
        <v>7.2195736726624604E-2</v>
      </c>
      <c r="AU157" s="1394">
        <f>AS157/'qtrP&amp;L'!CF14</f>
        <v>0.22236520540700794</v>
      </c>
      <c r="AV157" s="1151">
        <f>'qtrP&amp;L'!CF14</f>
        <v>3744.0299999999997</v>
      </c>
      <c r="AW157" s="1373">
        <f>(AS157-AS150)/AV150</f>
        <v>1.3511632668973711E-2</v>
      </c>
      <c r="AX157" s="1151">
        <f>'qtrP&amp;L'!CH14-(AW157*100)</f>
        <v>-9.3195601547428222</v>
      </c>
      <c r="AY157" s="114"/>
      <c r="AZ157" s="114"/>
      <c r="BA157" s="1151"/>
      <c r="BB157" s="114"/>
    </row>
    <row r="158" spans="1:60">
      <c r="B158" s="200"/>
      <c r="D158" s="114"/>
      <c r="E158" s="114"/>
      <c r="F158" s="1182"/>
      <c r="G158" s="114"/>
      <c r="O158" s="86"/>
      <c r="S158" s="1059"/>
      <c r="Z158" s="380"/>
      <c r="AE158" s="86"/>
      <c r="AT158" s="1115"/>
      <c r="AW158" s="24"/>
      <c r="BA158" s="1053"/>
      <c r="BD158" s="114"/>
      <c r="BE158" s="114"/>
      <c r="BF158" s="114"/>
    </row>
    <row r="159" spans="1:60">
      <c r="A159" s="1120"/>
      <c r="B159" s="1172">
        <v>2015</v>
      </c>
      <c r="C159" s="114"/>
      <c r="D159" s="1151"/>
      <c r="E159" s="114"/>
      <c r="F159" s="1349"/>
      <c r="G159" s="114"/>
      <c r="H159" s="1123"/>
      <c r="I159" s="114"/>
      <c r="J159" s="114"/>
      <c r="K159" s="114"/>
      <c r="L159" s="1357"/>
      <c r="M159" s="114"/>
      <c r="N159" s="1151"/>
      <c r="O159" s="246"/>
      <c r="P159" s="1220"/>
      <c r="Q159" s="310"/>
      <c r="R159" s="114"/>
      <c r="S159" s="1129"/>
      <c r="T159" s="1375"/>
      <c r="U159" s="1237"/>
      <c r="V159" s="114"/>
      <c r="W159" s="1221"/>
      <c r="X159" s="246"/>
      <c r="Y159" s="114"/>
      <c r="Z159" s="114"/>
      <c r="AA159" s="114"/>
      <c r="AB159" s="1358"/>
      <c r="AC159" s="114"/>
      <c r="AD159" s="1151"/>
      <c r="AE159" s="246"/>
      <c r="AF159" s="1220"/>
      <c r="AG159" s="310"/>
      <c r="AH159" s="114"/>
      <c r="AI159" s="1129"/>
      <c r="AJ159" s="114"/>
      <c r="AK159" s="1359"/>
      <c r="AL159" s="114"/>
      <c r="AM159" s="1221"/>
      <c r="AN159" s="246"/>
      <c r="AO159" s="246"/>
      <c r="AP159" s="1142"/>
      <c r="AQ159" s="1142"/>
      <c r="AR159" s="1389"/>
      <c r="AS159" s="1142"/>
      <c r="AT159" s="1331"/>
      <c r="AU159" s="1373"/>
      <c r="AV159" s="114"/>
      <c r="AW159" s="236"/>
      <c r="AX159" s="114"/>
      <c r="AY159" s="114"/>
      <c r="AZ159" s="114"/>
      <c r="BA159" s="1353" t="s">
        <v>373</v>
      </c>
      <c r="BB159" s="1353" t="s">
        <v>372</v>
      </c>
      <c r="BC159" s="114"/>
      <c r="BD159" s="114"/>
      <c r="BE159" s="114"/>
      <c r="BF159" s="114"/>
      <c r="BG159" s="114"/>
      <c r="BH159" s="114"/>
    </row>
    <row r="160" spans="1:60">
      <c r="A160" s="114" t="str">
        <f>$A$13</f>
        <v>1Q</v>
      </c>
      <c r="B160" s="245" t="str">
        <f>$B$13</f>
        <v>Apr</v>
      </c>
      <c r="C160" s="114"/>
      <c r="D160" s="1151">
        <f>(S160/S153-1)*100</f>
        <v>-16.22242228118337</v>
      </c>
      <c r="E160" s="114" t="s">
        <v>76</v>
      </c>
      <c r="F160" s="1144">
        <f>'qtrP&amp;L'!CL10</f>
        <v>-8</v>
      </c>
      <c r="G160" s="114"/>
      <c r="H160" s="1123">
        <f>D160-F160</f>
        <v>-8.2224222811833698</v>
      </c>
      <c r="I160" s="114" t="s">
        <v>76</v>
      </c>
      <c r="J160" s="1063">
        <f>SegqtrSales!J104+SegqtrSales!J327</f>
        <v>962</v>
      </c>
      <c r="K160" s="114"/>
      <c r="L160" s="1357">
        <f>AVERAGE(J160,J156)</f>
        <v>963</v>
      </c>
      <c r="M160" s="114"/>
      <c r="N160" s="1151">
        <f>(L160/L153-1)*100</f>
        <v>-3.8442336495257079</v>
      </c>
      <c r="O160" s="246" t="s">
        <v>76</v>
      </c>
      <c r="P160" s="1220">
        <f>H160/N160*100</f>
        <v>213.88976401571824</v>
      </c>
      <c r="Q160" s="310" t="s">
        <v>76</v>
      </c>
      <c r="R160" s="114"/>
      <c r="S160" s="311">
        <f>'qtrP&amp;L'!CJ10-AS160</f>
        <v>546.25494000000003</v>
      </c>
      <c r="T160" s="1375"/>
      <c r="U160" s="1237">
        <f>S160/L160</f>
        <v>0.56724292834890966</v>
      </c>
      <c r="V160" s="114"/>
      <c r="W160" s="1221">
        <f>(U160/U153-1)*100</f>
        <v>-12.873059101355299</v>
      </c>
      <c r="X160" s="246" t="s">
        <v>76</v>
      </c>
      <c r="Y160" s="114"/>
      <c r="Z160" s="1391">
        <v>7.4560000000000004</v>
      </c>
      <c r="AA160" s="114"/>
      <c r="AB160" s="1358">
        <f>AVERAGE(Z160,Z156)</f>
        <v>7.4865000000000004</v>
      </c>
      <c r="AC160" s="114"/>
      <c r="AD160" s="1151">
        <f>(AB160/AB153-1)*100</f>
        <v>-2.8862368660007687</v>
      </c>
      <c r="AE160" s="310" t="s">
        <v>76</v>
      </c>
      <c r="AF160" s="1220">
        <f>+H160/AD160*100</f>
        <v>284.88383535120363</v>
      </c>
      <c r="AG160" s="310" t="s">
        <v>76</v>
      </c>
      <c r="AH160" s="114"/>
      <c r="AI160" s="1129">
        <f>+S160</f>
        <v>546.25494000000003</v>
      </c>
      <c r="AJ160" s="114"/>
      <c r="AK160" s="1359">
        <f>AI160/AB160</f>
        <v>72.965329593267882</v>
      </c>
      <c r="AL160" s="114"/>
      <c r="AM160" s="1221">
        <f>(AK160/AK153-1)*100</f>
        <v>-13.732539018986534</v>
      </c>
      <c r="AN160" s="246" t="s">
        <v>76</v>
      </c>
      <c r="AO160" s="246"/>
      <c r="AP160" s="1089">
        <f>AP153*(1+AT160)</f>
        <v>142.44484338000001</v>
      </c>
      <c r="AQ160" s="1089">
        <f>AS160-AP160</f>
        <v>20.722216620000012</v>
      </c>
      <c r="AR160" s="1384">
        <f>AQ160/AS160</f>
        <v>0.12700000000000006</v>
      </c>
      <c r="AS160" s="1392">
        <f>'qtrP&amp;L'!CJ10*AU160</f>
        <v>163.16706000000002</v>
      </c>
      <c r="AT160" s="1329">
        <f>AS160/AS153-1</f>
        <v>-4.2435591967041719E-2</v>
      </c>
      <c r="AU160" s="2164">
        <v>0.23</v>
      </c>
      <c r="AV160" s="1151">
        <f>'qtrP&amp;L'!CJ10</f>
        <v>709.42200000000003</v>
      </c>
      <c r="AW160" s="1373">
        <f>(AS160-AS153)/AV153</f>
        <v>-8.7921860637040269E-3</v>
      </c>
      <c r="AX160" s="1151">
        <f>'qtrP&amp;L'!CL10-(AW160*100)</f>
        <v>-7.1207813936295974</v>
      </c>
      <c r="AY160" s="1151">
        <f>SegqtrSales!AS104+SegqtrSales!AS225+SegqtrSales!AS327+SegqtrSales!AS459</f>
        <v>163.16706000000002</v>
      </c>
      <c r="AZ160" s="114" t="str">
        <f>IF(AS160=AY160:AY160,"OK","check")</f>
        <v>OK</v>
      </c>
      <c r="BA160" s="1123">
        <f>AY160+S160</f>
        <v>709.42200000000003</v>
      </c>
      <c r="BB160" s="1123">
        <f>'qtrP&amp;L'!CJ10</f>
        <v>709.42200000000003</v>
      </c>
      <c r="BC160" s="114"/>
      <c r="BD160" s="114"/>
      <c r="BE160" s="114"/>
      <c r="BF160" s="114"/>
      <c r="BG160" s="114"/>
      <c r="BH160" s="114"/>
    </row>
    <row r="161" spans="1:60">
      <c r="A161" s="114" t="str">
        <f>$A$14</f>
        <v>2Q</v>
      </c>
      <c r="B161" s="245" t="str">
        <f>$B$14</f>
        <v>Jul</v>
      </c>
      <c r="C161" s="114"/>
      <c r="D161" s="1151">
        <f>(S161/S154-1)*100</f>
        <v>-9.90900077117991</v>
      </c>
      <c r="E161" s="114"/>
      <c r="F161" s="1144">
        <f>'qtrP&amp;L'!CL11</f>
        <v>-4</v>
      </c>
      <c r="G161" s="114"/>
      <c r="H161" s="1123">
        <f>D161-F161</f>
        <v>-5.90900077117991</v>
      </c>
      <c r="I161" s="114"/>
      <c r="J161" s="1063">
        <f>SegqtrSales!J105+SegqtrSales!J328</f>
        <v>954</v>
      </c>
      <c r="K161" s="114"/>
      <c r="L161" s="1357">
        <f>AVERAGE(J161,J160)</f>
        <v>958</v>
      </c>
      <c r="M161" s="114"/>
      <c r="N161" s="1151">
        <f>(L161/L154-1)*100</f>
        <v>-3.95989974937343</v>
      </c>
      <c r="O161" s="246"/>
      <c r="P161" s="1220">
        <f>H161/N161*100</f>
        <v>149.22096884182193</v>
      </c>
      <c r="Q161" s="310"/>
      <c r="R161" s="114"/>
      <c r="S161" s="311">
        <f>'qtrP&amp;L'!CJ11-AS161</f>
        <v>646.02724000000001</v>
      </c>
      <c r="T161" s="1375"/>
      <c r="U161" s="1361">
        <f>S161/L161</f>
        <v>0.67434993736951987</v>
      </c>
      <c r="V161" s="114"/>
      <c r="W161" s="1221">
        <f>(U161/U154-1)*100</f>
        <v>-6.1943927653987041</v>
      </c>
      <c r="X161" s="246"/>
      <c r="Y161" s="114"/>
      <c r="Z161" s="1391">
        <v>7.4340000000000002</v>
      </c>
      <c r="AA161" s="114"/>
      <c r="AB161" s="1358">
        <f>AVERAGE(Z161,Z160)</f>
        <v>7.4450000000000003</v>
      </c>
      <c r="AC161" s="114"/>
      <c r="AD161" s="1151">
        <f>(AB161/AB154-1)*100</f>
        <v>-3.0914415880247237</v>
      </c>
      <c r="AE161" s="246"/>
      <c r="AF161" s="1220">
        <f>+H161/AD161*100</f>
        <v>191.14062494564115</v>
      </c>
      <c r="AG161" s="310"/>
      <c r="AH161" s="114"/>
      <c r="AI161" s="1132">
        <f>+S161</f>
        <v>646.02724000000001</v>
      </c>
      <c r="AJ161" s="114"/>
      <c r="AK161" s="1362">
        <f>AI161/AB161</f>
        <v>86.773302887844181</v>
      </c>
      <c r="AL161" s="114"/>
      <c r="AM161" s="1221">
        <f>(AK161/AK154-1)*100</f>
        <v>-7.0350434418522179</v>
      </c>
      <c r="AN161" s="246"/>
      <c r="AO161" s="246"/>
      <c r="AP161" s="1089">
        <f>AP154*(1+AT161)</f>
        <v>149.40402120000002</v>
      </c>
      <c r="AQ161" s="1089">
        <f>AS161-AP161</f>
        <v>22.324738799999977</v>
      </c>
      <c r="AR161" s="1384">
        <f>AQ161/AS161</f>
        <v>0.12999999999999987</v>
      </c>
      <c r="AS161" s="1392">
        <f>'qtrP&amp;L'!CJ11*AU161</f>
        <v>171.72875999999999</v>
      </c>
      <c r="AT161" s="1329">
        <f>AS161/AS154-1</f>
        <v>-1.0334366823803287E-2</v>
      </c>
      <c r="AU161" s="2164">
        <v>0.21</v>
      </c>
      <c r="AV161" s="1151">
        <f>'qtrP&amp;L'!CJ11</f>
        <v>817.75599999999997</v>
      </c>
      <c r="AW161" s="1373">
        <f>(AS161-AS154)/AV154</f>
        <v>-2.0135076717512222E-3</v>
      </c>
      <c r="AX161" s="1151">
        <f>'qtrP&amp;L'!CL11-(AW161*100)</f>
        <v>-3.7986492328248778</v>
      </c>
      <c r="AY161" s="1151">
        <f>SegqtrSales!AS105+SegqtrSales!AS226+SegqtrSales!AS328+SegqtrSales!AS460</f>
        <v>171.72875999999999</v>
      </c>
      <c r="AZ161" s="114" t="str">
        <f>IF(AS161=AY161:AY161,"OK","check")</f>
        <v>OK</v>
      </c>
      <c r="BA161" s="1123">
        <f>AY161+S161</f>
        <v>817.75599999999997</v>
      </c>
      <c r="BB161" s="1123">
        <f>'qtrP&amp;L'!CJ11</f>
        <v>817.75599999999997</v>
      </c>
      <c r="BC161" s="114"/>
      <c r="BD161" s="1377"/>
      <c r="BE161" s="1360"/>
      <c r="BF161" s="1377"/>
      <c r="BG161" s="1360"/>
      <c r="BH161" s="114"/>
    </row>
    <row r="162" spans="1:60">
      <c r="A162" s="114" t="str">
        <f>$A$15</f>
        <v>3Q</v>
      </c>
      <c r="B162" s="245" t="str">
        <f>$B$15</f>
        <v>Oct</v>
      </c>
      <c r="C162" s="114"/>
      <c r="D162" s="1151">
        <f>(S162/S155-1)*100</f>
        <v>-4.125507985490473</v>
      </c>
      <c r="E162" s="114"/>
      <c r="F162" s="1144">
        <f>'qtrP&amp;L'!CL12</f>
        <v>-1</v>
      </c>
      <c r="G162" s="114"/>
      <c r="H162" s="1123">
        <f>D162-F162</f>
        <v>-3.125507985490473</v>
      </c>
      <c r="I162" s="114"/>
      <c r="J162" s="1063">
        <f>SegqtrSales!J106+SegqtrSales!J329</f>
        <v>965</v>
      </c>
      <c r="K162" s="114"/>
      <c r="L162" s="1357">
        <f>AVERAGE(J162,J161)</f>
        <v>959.5</v>
      </c>
      <c r="M162" s="114"/>
      <c r="N162" s="1151">
        <f>(L162/L155-1)*100</f>
        <v>-3.9058587881822704</v>
      </c>
      <c r="O162" s="246"/>
      <c r="P162" s="1220">
        <f>H162/N162*100</f>
        <v>80.021018551595887</v>
      </c>
      <c r="Q162" s="310"/>
      <c r="R162" s="114"/>
      <c r="S162" s="311">
        <f>'qtrP&amp;L'!CJ12-AS162</f>
        <v>694.07187999999996</v>
      </c>
      <c r="T162" s="1375"/>
      <c r="U162" s="1361">
        <f>S162/L162</f>
        <v>0.72336829598749341</v>
      </c>
      <c r="V162" s="114"/>
      <c r="W162" s="1221">
        <f>(U162/U155-1)*100</f>
        <v>-0.22857709589603203</v>
      </c>
      <c r="X162" s="246"/>
      <c r="Y162" s="114"/>
      <c r="Z162" s="2025">
        <v>7.4770000000000003</v>
      </c>
      <c r="AA162" s="114"/>
      <c r="AB162" s="1358">
        <f>AVERAGE(Z162,Z161)</f>
        <v>7.4555000000000007</v>
      </c>
      <c r="AC162" s="114"/>
      <c r="AD162" s="1151">
        <f>(AB162/AB155-1)*100</f>
        <v>-3.1627484088842639</v>
      </c>
      <c r="AE162" s="246"/>
      <c r="AF162" s="1220">
        <f>+H162/AD162*100</f>
        <v>98.822529693187704</v>
      </c>
      <c r="AG162" s="310"/>
      <c r="AH162" s="114"/>
      <c r="AI162" s="1132">
        <f>+S162</f>
        <v>694.07187999999996</v>
      </c>
      <c r="AJ162" s="114"/>
      <c r="AK162" s="1362">
        <f>AI162/AB162</f>
        <v>93.095282677218151</v>
      </c>
      <c r="AL162" s="114"/>
      <c r="AM162" s="1221">
        <f>(AK162/AK155-1)*100</f>
        <v>-0.99420373956021768</v>
      </c>
      <c r="AN162" s="246"/>
      <c r="AO162" s="246"/>
      <c r="AP162" s="1089">
        <f>AP155*(1+AT162)</f>
        <v>158.6701032</v>
      </c>
      <c r="AQ162" s="1089">
        <f>AS162-AP162</f>
        <v>25.830016799999981</v>
      </c>
      <c r="AR162" s="1384">
        <f>AQ162/AS162</f>
        <v>0.1399999999999999</v>
      </c>
      <c r="AS162" s="1392">
        <f>'qtrP&amp;L'!CJ12*AU162</f>
        <v>184.50011999999998</v>
      </c>
      <c r="AT162" s="1329">
        <f>AS162/AS155-1</f>
        <v>-1.6078073754099753E-2</v>
      </c>
      <c r="AU162" s="2164">
        <v>0.21</v>
      </c>
      <c r="AV162" s="1151">
        <f>'qtrP&amp;L'!CJ12</f>
        <v>878.572</v>
      </c>
      <c r="AW162" s="1373">
        <f>(AS162-AS155)/AV155</f>
        <v>-3.3077734123427155E-3</v>
      </c>
      <c r="AX162" s="1151">
        <f>'qtrP&amp;L'!CL12-(AW162*100)</f>
        <v>-0.6692226587657284</v>
      </c>
      <c r="AY162" s="1151">
        <f>SegqtrSales!AS106+SegqtrSales!AS227+SegqtrSales!AS329+SegqtrSales!AS461</f>
        <v>184.50011999999998</v>
      </c>
      <c r="AZ162" s="114" t="str">
        <f>IF(AS162=AY162:AY162,"OK","check")</f>
        <v>OK</v>
      </c>
      <c r="BA162" s="1123">
        <f>AY162+S162</f>
        <v>878.57199999999989</v>
      </c>
      <c r="BB162" s="1123">
        <f>'qtrP&amp;L'!CJ12</f>
        <v>878.572</v>
      </c>
    </row>
    <row r="163" spans="1:60">
      <c r="A163" s="114" t="str">
        <f>$A$16</f>
        <v>4Q</v>
      </c>
      <c r="B163" s="245" t="str">
        <f>$B$16</f>
        <v>Jan</v>
      </c>
      <c r="C163" s="114"/>
      <c r="D163" s="1364">
        <f>(S163/S156-1)*100</f>
        <v>-2.0926962001962424</v>
      </c>
      <c r="E163" s="114"/>
      <c r="F163" s="1104">
        <f>'qtrP&amp;L'!CL13</f>
        <v>1</v>
      </c>
      <c r="G163" s="114"/>
      <c r="H163" s="1107">
        <f>D163-F163</f>
        <v>-3.0926962001962424</v>
      </c>
      <c r="I163" s="114"/>
      <c r="J163" s="1063">
        <f>SegqtrSales!J107+SegqtrSales!J330</f>
        <v>932</v>
      </c>
      <c r="K163" s="114"/>
      <c r="L163" s="1365">
        <f>AVERAGE(J163,J162)</f>
        <v>948.5</v>
      </c>
      <c r="M163" s="114"/>
      <c r="N163" s="1364">
        <f>(L163/L156-1)*100</f>
        <v>-3.4114052953156837</v>
      </c>
      <c r="O163" s="246"/>
      <c r="P163" s="1365">
        <f>H163/N163*100</f>
        <v>90.657542346051017</v>
      </c>
      <c r="Q163" s="310"/>
      <c r="R163" s="114"/>
      <c r="S163" s="1111">
        <f>'qtrP&amp;L'!CJ13-AS163</f>
        <v>801.30960000000005</v>
      </c>
      <c r="T163" s="1375"/>
      <c r="U163" s="1367">
        <f>S163/L163</f>
        <v>0.84481771217712187</v>
      </c>
      <c r="V163" s="114"/>
      <c r="W163" s="1368">
        <f>(U163/U156-1)*100</f>
        <v>1.3652844822428012</v>
      </c>
      <c r="X163" s="246"/>
      <c r="Y163" s="114"/>
      <c r="Z163" s="2047">
        <v>7.2919999999999998</v>
      </c>
      <c r="AA163" s="114"/>
      <c r="AB163" s="1369">
        <f>AVERAGE(Z163,Z162)</f>
        <v>7.3845000000000001</v>
      </c>
      <c r="AC163" s="114"/>
      <c r="AD163" s="1364">
        <f>(AB163/AB156-1)*100</f>
        <v>-3.0396533613445298</v>
      </c>
      <c r="AE163" s="246"/>
      <c r="AF163" s="1365">
        <f>+H163/AD163*100</f>
        <v>101.74502920386455</v>
      </c>
      <c r="AG163" s="310"/>
      <c r="AH163" s="114"/>
      <c r="AI163" s="1111">
        <f>+S163</f>
        <v>801.30960000000005</v>
      </c>
      <c r="AJ163" s="114"/>
      <c r="AK163" s="1370">
        <f>AI163/AB163</f>
        <v>108.51237050578916</v>
      </c>
      <c r="AL163" s="114"/>
      <c r="AM163" s="1368">
        <f>(AK163/AK156-1)*100</f>
        <v>0.97664374558947831</v>
      </c>
      <c r="AN163" s="246"/>
      <c r="AO163" s="246"/>
      <c r="AP163" s="1092">
        <f>AP156*(1+AT163)</f>
        <v>267.99354400000004</v>
      </c>
      <c r="AQ163" s="1092">
        <f>AS163-AP163</f>
        <v>43.626856000000032</v>
      </c>
      <c r="AR163" s="1386">
        <f>AQ163/AS163</f>
        <v>0.14000000000000007</v>
      </c>
      <c r="AS163" s="1371">
        <f>'qtrP&amp;L'!CJ13*AU163</f>
        <v>311.62040000000007</v>
      </c>
      <c r="AT163" s="1329">
        <f>AS163/AS156-1</f>
        <v>3.4915827264062393E-2</v>
      </c>
      <c r="AU163" s="2165">
        <v>0.28000000000000003</v>
      </c>
      <c r="AV163" s="1364">
        <f>'qtrP&amp;L'!CJ13</f>
        <v>1112.93</v>
      </c>
      <c r="AW163" s="1390">
        <f>(AS163-AS156)/AV156</f>
        <v>9.3907876778403041E-3</v>
      </c>
      <c r="AX163" s="1151">
        <f>'qtrP&amp;L'!CL13-(AW163*100)</f>
        <v>6.0921232215969567E-2</v>
      </c>
      <c r="AY163" s="1151">
        <f>SegqtrSales!AS107+SegqtrSales!AS228+SegqtrSales!AS330+SegqtrSales!AS462</f>
        <v>311.62040000000007</v>
      </c>
      <c r="AZ163" s="114" t="str">
        <f>IF(AS163=AY163:AY163,"OK","check")</f>
        <v>OK</v>
      </c>
      <c r="BA163" s="1123">
        <f>AY163+S163</f>
        <v>1112.93</v>
      </c>
      <c r="BB163" s="1123">
        <f>'qtrP&amp;L'!CJ13</f>
        <v>1112.93</v>
      </c>
    </row>
    <row r="164" spans="1:60">
      <c r="A164" s="114"/>
      <c r="B164" s="245" t="str">
        <f>$B$17</f>
        <v>Year</v>
      </c>
      <c r="C164" s="114"/>
      <c r="D164" s="1151">
        <f>(S164/S157-1)*100</f>
        <v>-7.6876270827837878</v>
      </c>
      <c r="E164" s="114"/>
      <c r="F164" s="1349">
        <f>F160*S160/$S$164+F161*S161/$S$164+F162*S162/$S$164+F163*S163/$S$164</f>
        <v>-2.5475325882108333</v>
      </c>
      <c r="G164" s="114"/>
      <c r="H164" s="1123">
        <f>D164-F164</f>
        <v>-5.1400944945729545</v>
      </c>
      <c r="I164" s="114"/>
      <c r="J164" s="114"/>
      <c r="K164" s="114"/>
      <c r="L164" s="1357">
        <f>AVERAGE(L160:L163)</f>
        <v>957.25</v>
      </c>
      <c r="M164" s="114"/>
      <c r="N164" s="1151">
        <f>(L164/L157-1)*100</f>
        <v>-3.7818821459982388</v>
      </c>
      <c r="O164" s="246"/>
      <c r="P164" s="1220">
        <f>H164/N164*100</f>
        <v>135.91366140301054</v>
      </c>
      <c r="Q164" s="310"/>
      <c r="R164" s="114"/>
      <c r="S164" s="1129">
        <f>SUM(S160:S163)</f>
        <v>2687.6636600000002</v>
      </c>
      <c r="T164" s="1375"/>
      <c r="U164" s="1237">
        <f>SUM(U160:U163)</f>
        <v>2.8097788738830447</v>
      </c>
      <c r="V164" s="114"/>
      <c r="W164" s="1221">
        <f>(U164/U157-1)*100</f>
        <v>-4.0506509912383137</v>
      </c>
      <c r="X164" s="246"/>
      <c r="Y164" s="114"/>
      <c r="Z164" s="114"/>
      <c r="AA164" s="114"/>
      <c r="AB164" s="1358">
        <f>AVERAGE(AB160:AB163)</f>
        <v>7.4428749999999999</v>
      </c>
      <c r="AC164" s="114"/>
      <c r="AD164" s="1151">
        <f>(AB164/AB157-1)*100</f>
        <v>-3.0449579079347977</v>
      </c>
      <c r="AE164" s="246"/>
      <c r="AF164" s="1220">
        <f>+H164/AD164*100</f>
        <v>168.80675037176968</v>
      </c>
      <c r="AG164" s="310"/>
      <c r="AH164" s="114"/>
      <c r="AI164" s="1129">
        <f>SUM(AI160:AI163)</f>
        <v>2687.6636600000002</v>
      </c>
      <c r="AJ164" s="114"/>
      <c r="AK164" s="1359">
        <f>SUM(AK160:AK163)</f>
        <v>361.34628566411936</v>
      </c>
      <c r="AL164" s="114"/>
      <c r="AM164" s="1221">
        <f>(AK164/AK157-1)*100</f>
        <v>-4.7617878101226978</v>
      </c>
      <c r="AN164" s="246"/>
      <c r="AO164" s="246"/>
      <c r="AP164" s="1142">
        <f>+SUM(AP160:AP163)</f>
        <v>718.51251178000007</v>
      </c>
      <c r="AQ164" s="1142">
        <f>+SUM(AQ160:AQ163)</f>
        <v>112.50382822</v>
      </c>
      <c r="AR164" s="1384">
        <v>0.16</v>
      </c>
      <c r="AS164" s="1142">
        <f>SUM(AS160:AS163)</f>
        <v>831.01634000000013</v>
      </c>
      <c r="AT164" s="1331">
        <f>AS164/AS157-1</f>
        <v>-1.8325321725507493E-3</v>
      </c>
      <c r="AU164" s="1394">
        <f>AS164/'qtrP&amp;L'!CJ14</f>
        <v>0.2361727522821058</v>
      </c>
      <c r="AV164" s="1151">
        <f>'qtrP&amp;L'!CJ14</f>
        <v>3518.6800000000003</v>
      </c>
      <c r="AW164" s="1373">
        <f>(AS164-AS157)/AV157</f>
        <v>-4.0749139296420941E-4</v>
      </c>
      <c r="AX164" s="1151">
        <f>'qtrP&amp;L'!CL14-(AW164*100)</f>
        <v>-2.959250860703579</v>
      </c>
      <c r="AY164" s="114"/>
      <c r="AZ164" s="114"/>
      <c r="BA164" s="1151"/>
      <c r="BB164" s="114"/>
    </row>
    <row r="165" spans="1:60">
      <c r="B165" s="200"/>
      <c r="D165" s="114"/>
      <c r="E165" s="114"/>
      <c r="F165" s="1182"/>
      <c r="G165" s="114"/>
      <c r="O165" s="86"/>
      <c r="S165" s="1059"/>
      <c r="Z165" s="380"/>
      <c r="AE165" s="86"/>
      <c r="AT165" s="1115"/>
      <c r="AW165" s="24"/>
      <c r="BA165" s="1053"/>
      <c r="BD165" s="114"/>
      <c r="BE165" s="114"/>
      <c r="BF165" s="114"/>
    </row>
    <row r="166" spans="1:60">
      <c r="A166" s="1120"/>
      <c r="B166" s="1172">
        <v>2016</v>
      </c>
      <c r="C166" s="114"/>
      <c r="D166" s="1151"/>
      <c r="E166" s="114"/>
      <c r="F166" s="1349"/>
      <c r="G166" s="114"/>
      <c r="H166" s="1123"/>
      <c r="I166" s="114"/>
      <c r="J166" s="114"/>
      <c r="K166" s="114"/>
      <c r="L166" s="1357"/>
      <c r="M166" s="114"/>
      <c r="N166" s="1151"/>
      <c r="O166" s="246"/>
      <c r="P166" s="1220"/>
      <c r="Q166" s="310"/>
      <c r="R166" s="114"/>
      <c r="S166" s="1129"/>
      <c r="T166" s="1375"/>
      <c r="U166" s="1237"/>
      <c r="V166" s="114"/>
      <c r="W166" s="1221"/>
      <c r="X166" s="246"/>
      <c r="Y166" s="114"/>
      <c r="Z166" s="114"/>
      <c r="AA166" s="114"/>
      <c r="AB166" s="1358"/>
      <c r="AC166" s="114"/>
      <c r="AD166" s="1151"/>
      <c r="AE166" s="246"/>
      <c r="AF166" s="1220"/>
      <c r="AG166" s="310"/>
      <c r="AH166" s="114"/>
      <c r="AI166" s="1129"/>
      <c r="AJ166" s="114"/>
      <c r="AK166" s="1359"/>
      <c r="AL166" s="114"/>
      <c r="AM166" s="1221"/>
      <c r="AN166" s="246"/>
      <c r="AO166" s="246"/>
      <c r="AP166" s="1142"/>
      <c r="AQ166" s="1142"/>
      <c r="AR166" s="1389"/>
      <c r="AS166" s="1142"/>
      <c r="AT166" s="1331"/>
      <c r="AU166" s="1373"/>
      <c r="AV166" s="114"/>
      <c r="AW166" s="236"/>
      <c r="AX166" s="114"/>
      <c r="AY166" s="114"/>
      <c r="AZ166" s="114"/>
      <c r="BA166" s="1353" t="s">
        <v>373</v>
      </c>
      <c r="BB166" s="1353" t="s">
        <v>372</v>
      </c>
      <c r="BC166" s="114"/>
      <c r="BD166" s="114"/>
      <c r="BE166" s="114"/>
      <c r="BF166" s="114"/>
      <c r="BG166" s="114"/>
      <c r="BH166" s="114"/>
    </row>
    <row r="167" spans="1:60">
      <c r="A167" s="114" t="str">
        <f>$A$13</f>
        <v>1Q</v>
      </c>
      <c r="B167" s="245" t="str">
        <f>$B$13</f>
        <v>Apr</v>
      </c>
      <c r="C167" s="114"/>
      <c r="D167" s="1151">
        <f>(S167/S160-1)*100</f>
        <v>-4.6293146566326993</v>
      </c>
      <c r="E167" s="114" t="s">
        <v>76</v>
      </c>
      <c r="F167" s="1144">
        <f>'qtrP&amp;L'!CP10</f>
        <v>-4</v>
      </c>
      <c r="G167" s="114"/>
      <c r="H167" s="1123">
        <f>D167-F167</f>
        <v>-0.62931465663269925</v>
      </c>
      <c r="I167" s="114" t="s">
        <v>76</v>
      </c>
      <c r="J167" s="1063">
        <f>SegqtrSales!J111+SegqtrSales!J334</f>
        <v>925</v>
      </c>
      <c r="K167" s="114"/>
      <c r="L167" s="1357">
        <f>AVERAGE(J167,J163)</f>
        <v>928.5</v>
      </c>
      <c r="M167" s="114"/>
      <c r="N167" s="1151">
        <f>(L167/L160-1)*100</f>
        <v>-3.5825545171339512</v>
      </c>
      <c r="O167" s="246" t="s">
        <v>76</v>
      </c>
      <c r="P167" s="1220">
        <f>H167/N167*100</f>
        <v>17.566087372095371</v>
      </c>
      <c r="Q167" s="310" t="s">
        <v>76</v>
      </c>
      <c r="R167" s="114"/>
      <c r="S167" s="311">
        <f>'qtrP&amp;L'!CN10-AS167</f>
        <v>520.9670799999999</v>
      </c>
      <c r="T167" s="1375"/>
      <c r="U167" s="1237">
        <f>S167/L167</f>
        <v>0.56108463112547113</v>
      </c>
      <c r="V167" s="114"/>
      <c r="W167" s="1221">
        <f>(U167/U160-1)*100</f>
        <v>-1.085654296539873</v>
      </c>
      <c r="X167" s="246" t="s">
        <v>76</v>
      </c>
      <c r="Y167" s="114"/>
      <c r="Z167" s="2027">
        <v>7.2089999999999996</v>
      </c>
      <c r="AA167" s="114"/>
      <c r="AB167" s="1358">
        <f>AVERAGE(Z167,Z163)</f>
        <v>7.2504999999999997</v>
      </c>
      <c r="AC167" s="114"/>
      <c r="AD167" s="1151">
        <f>(AB167/AB160-1)*100</f>
        <v>-3.1523408802511255</v>
      </c>
      <c r="AE167" s="310" t="s">
        <v>76</v>
      </c>
      <c r="AF167" s="1220">
        <f>+H167/AD167*100</f>
        <v>19.963407529155479</v>
      </c>
      <c r="AG167" s="310" t="s">
        <v>76</v>
      </c>
      <c r="AH167" s="114"/>
      <c r="AI167" s="1129">
        <f>+S167</f>
        <v>520.9670799999999</v>
      </c>
      <c r="AJ167" s="114"/>
      <c r="AK167" s="1359">
        <f>AI167/AB167</f>
        <v>71.852572926005095</v>
      </c>
      <c r="AL167" s="114"/>
      <c r="AM167" s="1221">
        <f>(AK167/AK160-1)*100</f>
        <v>-1.5250485038108441</v>
      </c>
      <c r="AN167" s="246" t="s">
        <v>76</v>
      </c>
      <c r="AO167" s="246"/>
      <c r="AP167" s="1089">
        <f>AP160*(1+AT167)</f>
        <v>143.62239815999999</v>
      </c>
      <c r="AQ167" s="1089">
        <f>AS167-AP167</f>
        <v>20.893521840000005</v>
      </c>
      <c r="AR167" s="1384">
        <f>AQ167/AS167</f>
        <v>0.12700000000000003</v>
      </c>
      <c r="AS167" s="2030">
        <f>'qtrP&amp;L'!CN10*AU167</f>
        <v>164.51591999999999</v>
      </c>
      <c r="AT167" s="1329">
        <f>AS167/AS160-1</f>
        <v>8.2667420740434316E-3</v>
      </c>
      <c r="AU167" s="2164">
        <v>0.24</v>
      </c>
      <c r="AV167" s="1151">
        <f>'qtrP&amp;L'!CN10</f>
        <v>685.48299999999995</v>
      </c>
      <c r="AW167" s="1373">
        <f>(AS167-AS160)/AV160</f>
        <v>1.9013506770299954E-3</v>
      </c>
      <c r="AX167" s="1151">
        <f>'qtrP&amp;L'!CP10-(AW167*100)</f>
        <v>-4.1901350677029994</v>
      </c>
      <c r="AY167" s="1151">
        <f>SegqtrSales!AS111+SegqtrSales!AS334</f>
        <v>164.51591999999999</v>
      </c>
      <c r="AZ167" s="114" t="str">
        <f>IF(AS167=AY167:AY167,"OK","check")</f>
        <v>OK</v>
      </c>
      <c r="BA167" s="1123">
        <f>AY167+S167</f>
        <v>685.48299999999995</v>
      </c>
      <c r="BB167" s="1123">
        <f>'qtrP&amp;L'!CN10</f>
        <v>685.48299999999995</v>
      </c>
      <c r="BC167" s="114"/>
      <c r="BD167" s="114"/>
      <c r="BE167" s="114"/>
      <c r="BF167" s="114"/>
      <c r="BG167" s="114"/>
      <c r="BH167" s="114"/>
    </row>
    <row r="168" spans="1:60">
      <c r="A168" s="114" t="str">
        <f>$A$14</f>
        <v>2Q</v>
      </c>
      <c r="B168" s="245" t="str">
        <f>$B$14</f>
        <v>Jul</v>
      </c>
      <c r="C168" s="114"/>
      <c r="D168" s="1151">
        <f>(S168/S161-1)*100</f>
        <v>-6.6551435199543647</v>
      </c>
      <c r="E168" s="114"/>
      <c r="F168" s="1144">
        <f>'qtrP&amp;L'!CP11</f>
        <v>-4</v>
      </c>
      <c r="G168" s="114"/>
      <c r="H168" s="1123">
        <f>D168-F168</f>
        <v>-2.6551435199543647</v>
      </c>
      <c r="I168" s="114"/>
      <c r="J168" s="1063">
        <f>SegqtrSales!J112+SegqtrSales!J335</f>
        <v>926</v>
      </c>
      <c r="K168" s="114"/>
      <c r="L168" s="1357">
        <f>AVERAGE(J168,J167)</f>
        <v>925.5</v>
      </c>
      <c r="M168" s="114"/>
      <c r="N168" s="1151">
        <f>(L168/L161-1)*100</f>
        <v>-3.3924843423799533</v>
      </c>
      <c r="O168" s="246"/>
      <c r="P168" s="1220">
        <f>H168/N168*100</f>
        <v>78.2654612958857</v>
      </c>
      <c r="Q168" s="310"/>
      <c r="R168" s="114"/>
      <c r="S168" s="311">
        <f>'qtrP&amp;L'!CN11-AS168</f>
        <v>603.03319999999997</v>
      </c>
      <c r="T168" s="1375"/>
      <c r="U168" s="1361">
        <f>S168/L168</f>
        <v>0.65157558076715283</v>
      </c>
      <c r="V168" s="114"/>
      <c r="W168" s="1221">
        <f>(U168/U161-1)*100</f>
        <v>-3.3772312178457997</v>
      </c>
      <c r="X168" s="246"/>
      <c r="Y168" s="114"/>
      <c r="Z168" s="2040">
        <v>7.2089999999999996</v>
      </c>
      <c r="AA168" s="114"/>
      <c r="AB168" s="1358">
        <f>AVERAGE(Z168,Z167)</f>
        <v>7.2089999999999996</v>
      </c>
      <c r="AC168" s="114"/>
      <c r="AD168" s="1151">
        <f>(AB168/AB161-1)*100</f>
        <v>-3.1699126930826105</v>
      </c>
      <c r="AE168" s="246"/>
      <c r="AF168" s="1220">
        <f>+H168/AD168*100</f>
        <v>83.760777568051765</v>
      </c>
      <c r="AG168" s="310"/>
      <c r="AH168" s="114"/>
      <c r="AI168" s="1132">
        <f>+S168</f>
        <v>603.03319999999997</v>
      </c>
      <c r="AJ168" s="114"/>
      <c r="AK168" s="1362">
        <f>AI168/AB168</f>
        <v>83.65004855042308</v>
      </c>
      <c r="AL168" s="114"/>
      <c r="AM168" s="1221">
        <f>(AK168/AK161-1)*100</f>
        <v>-3.5993263290414967</v>
      </c>
      <c r="AN168" s="246"/>
      <c r="AO168" s="246"/>
      <c r="AP168" s="1089">
        <f>AP161*(1+AT168)</f>
        <v>156.71031600000001</v>
      </c>
      <c r="AQ168" s="1089">
        <f>AS168-AP168</f>
        <v>23.416483999999997</v>
      </c>
      <c r="AR168" s="1384">
        <f>AQ168/AS168</f>
        <v>0.12999999999999998</v>
      </c>
      <c r="AS168" s="2030">
        <f>'qtrP&amp;L'!CN11*AU168</f>
        <v>180.1268</v>
      </c>
      <c r="AT168" s="1329">
        <f>AS168/AS161-1</f>
        <v>4.8902932741143657E-2</v>
      </c>
      <c r="AU168" s="2164">
        <v>0.23</v>
      </c>
      <c r="AV168" s="1151">
        <f>'qtrP&amp;L'!CN11</f>
        <v>783.16</v>
      </c>
      <c r="AW168" s="1373">
        <f>(AS168-AS161)/AV161</f>
        <v>1.0269615875640178E-2</v>
      </c>
      <c r="AX168" s="1151">
        <f>'qtrP&amp;L'!CP11-(AW168*100)</f>
        <v>-5.0269615875640179</v>
      </c>
      <c r="AY168" s="1151">
        <f>SegqtrSales!AS112+SegqtrSales!AS335</f>
        <v>180.1268</v>
      </c>
      <c r="AZ168" s="114" t="str">
        <f>IF(AS168=AY168:AY168,"OK","check")</f>
        <v>OK</v>
      </c>
      <c r="BA168" s="1123">
        <f>AY168+S168</f>
        <v>783.16</v>
      </c>
      <c r="BB168" s="1123">
        <f>'qtrP&amp;L'!CN11</f>
        <v>783.16</v>
      </c>
      <c r="BC168" s="114"/>
      <c r="BD168" s="1377"/>
      <c r="BE168" s="1360"/>
      <c r="BF168" s="1377"/>
      <c r="BG168" s="1360"/>
      <c r="BH168" s="114"/>
    </row>
    <row r="169" spans="1:60">
      <c r="A169" s="114" t="str">
        <f>$A$15</f>
        <v>3Q</v>
      </c>
      <c r="B169" s="245" t="str">
        <f>$B$15</f>
        <v>Oct</v>
      </c>
      <c r="C169" s="114"/>
      <c r="D169" s="1151">
        <f>(S169/S162-1)*100</f>
        <v>-8.8372259080716447</v>
      </c>
      <c r="E169" s="114"/>
      <c r="F169" s="1144">
        <f>'qtrP&amp;L'!CP12</f>
        <v>-6</v>
      </c>
      <c r="G169" s="114"/>
      <c r="H169" s="1123">
        <f>D169-F169</f>
        <v>-2.8372259080716447</v>
      </c>
      <c r="I169" s="114"/>
      <c r="J169" s="1063">
        <f>SegqtrSales!J113+SegqtrSales!J336</f>
        <v>930</v>
      </c>
      <c r="K169" s="114"/>
      <c r="L169" s="1357">
        <f>AVERAGE(J169,J168)</f>
        <v>928</v>
      </c>
      <c r="M169" s="114"/>
      <c r="N169" s="1151">
        <f>(L169/L162-1)*100</f>
        <v>-3.2829598749348654</v>
      </c>
      <c r="O169" s="246"/>
      <c r="P169" s="1220">
        <f>H169/N169*100</f>
        <v>86.422801866499682</v>
      </c>
      <c r="Q169" s="310"/>
      <c r="R169" s="114"/>
      <c r="S169" s="311">
        <f>'qtrP&amp;L'!CN12-AS169</f>
        <v>632.73518000000001</v>
      </c>
      <c r="T169" s="1375"/>
      <c r="U169" s="1361">
        <f>S169/L169</f>
        <v>0.68182670258620692</v>
      </c>
      <c r="V169" s="114"/>
      <c r="W169" s="1221">
        <f>(U169/U162-1)*100</f>
        <v>-5.742799847839164</v>
      </c>
      <c r="X169" s="246"/>
      <c r="Y169" s="114"/>
      <c r="Z169" s="2047">
        <v>7.2190000000000003</v>
      </c>
      <c r="AA169" s="114"/>
      <c r="AB169" s="1358">
        <f>AVERAGE(Z169,Z168)</f>
        <v>7.2140000000000004</v>
      </c>
      <c r="AC169" s="114"/>
      <c r="AD169" s="1151">
        <f>(AB169/AB162-1)*100</f>
        <v>-3.2392193682516335</v>
      </c>
      <c r="AE169" s="246"/>
      <c r="AF169" s="1220">
        <f>+H169/AD169*100</f>
        <v>87.589804379412413</v>
      </c>
      <c r="AG169" s="310"/>
      <c r="AH169" s="114"/>
      <c r="AI169" s="1132">
        <f>+S169</f>
        <v>632.73518000000001</v>
      </c>
      <c r="AJ169" s="114"/>
      <c r="AK169" s="1362">
        <f>AI169/AB169</f>
        <v>87.709340171887987</v>
      </c>
      <c r="AL169" s="114"/>
      <c r="AM169" s="1221">
        <f>(AK169/AK162-1)*100</f>
        <v>-5.7854086162500984</v>
      </c>
      <c r="AN169" s="246"/>
      <c r="AO169" s="246"/>
      <c r="AP169" s="1089">
        <f>AP162*(1+AT169)</f>
        <v>162.53898520000004</v>
      </c>
      <c r="AQ169" s="1089">
        <f>AS169-AP169</f>
        <v>26.459834799999982</v>
      </c>
      <c r="AR169" s="1384">
        <f>AQ169/AS169</f>
        <v>0.13999999999999987</v>
      </c>
      <c r="AS169" s="2030">
        <f>'qtrP&amp;L'!CN12*AU169</f>
        <v>188.99882000000002</v>
      </c>
      <c r="AT169" s="1329">
        <f>AS169/AS162-1</f>
        <v>2.4383181972998491E-2</v>
      </c>
      <c r="AU169" s="2164">
        <v>0.23</v>
      </c>
      <c r="AV169" s="1151">
        <f>'qtrP&amp;L'!CN12</f>
        <v>821.73400000000004</v>
      </c>
      <c r="AW169" s="1373">
        <f>(AS169-AS162)/AV162</f>
        <v>5.1204682143296647E-3</v>
      </c>
      <c r="AX169" s="1151">
        <f>'qtrP&amp;L'!CP12-(AW169*100)</f>
        <v>-6.5120468214329668</v>
      </c>
      <c r="AY169" s="1151">
        <f>SegqtrSales!AS113+SegqtrSales!AS336</f>
        <v>188.99882000000002</v>
      </c>
      <c r="AZ169" s="114" t="str">
        <f>IF(AS169=AY169:AY169,"OK","check")</f>
        <v>OK</v>
      </c>
      <c r="BA169" s="1123">
        <f>AY169+S169</f>
        <v>821.73400000000004</v>
      </c>
      <c r="BB169" s="1123">
        <f>'qtrP&amp;L'!CN12</f>
        <v>821.73400000000004</v>
      </c>
    </row>
    <row r="170" spans="1:60">
      <c r="A170" s="114" t="str">
        <f>$A$16</f>
        <v>4Q</v>
      </c>
      <c r="B170" s="245" t="str">
        <f>$B$16</f>
        <v>Jan</v>
      </c>
      <c r="C170" s="114"/>
      <c r="D170" s="1364">
        <f>(S170/S163-1)*100</f>
        <v>-10.759777494241918</v>
      </c>
      <c r="E170" s="114"/>
      <c r="F170" s="1104">
        <f>'qtrP&amp;L'!CP13</f>
        <v>-5</v>
      </c>
      <c r="G170" s="114"/>
      <c r="H170" s="1107">
        <f>D170-F170</f>
        <v>-5.7597774942419182</v>
      </c>
      <c r="I170" s="114"/>
      <c r="J170" s="1063">
        <f>SegqtrSales!J114+SegqtrSales!J337</f>
        <v>898</v>
      </c>
      <c r="K170" s="114"/>
      <c r="L170" s="1365">
        <f>AVERAGE(J170,J169)</f>
        <v>914</v>
      </c>
      <c r="M170" s="114"/>
      <c r="N170" s="1364">
        <f>(L170/L163-1)*100</f>
        <v>-3.6373220875065893</v>
      </c>
      <c r="O170" s="246"/>
      <c r="P170" s="1365">
        <f>H170/N170*100</f>
        <v>158.35214357357853</v>
      </c>
      <c r="Q170" s="310"/>
      <c r="R170" s="114"/>
      <c r="S170" s="1111">
        <f>'qtrP&amp;L'!CN13-AS170</f>
        <v>715.0904700000001</v>
      </c>
      <c r="T170" s="1375"/>
      <c r="U170" s="1367">
        <f>S170/L170</f>
        <v>0.78237469365426704</v>
      </c>
      <c r="V170" s="114"/>
      <c r="W170" s="1368">
        <f>(U170/U163-1)*100</f>
        <v>-7.3913008241668132</v>
      </c>
      <c r="X170" s="246"/>
      <c r="Y170" s="114"/>
      <c r="Z170" s="2047">
        <v>7.0069999999999997</v>
      </c>
      <c r="AA170" s="114"/>
      <c r="AB170" s="1369">
        <f>AVERAGE(Z170,Z169)</f>
        <v>7.1129999999999995</v>
      </c>
      <c r="AC170" s="114"/>
      <c r="AD170" s="1364">
        <f>(AB170/AB163-1)*100</f>
        <v>-3.6766199471866767</v>
      </c>
      <c r="AE170" s="246"/>
      <c r="AF170" s="1365">
        <f>+H170/AD170*100</f>
        <v>156.65958344835883</v>
      </c>
      <c r="AG170" s="310"/>
      <c r="AH170" s="114"/>
      <c r="AI170" s="1111">
        <f>+S170</f>
        <v>715.0904700000001</v>
      </c>
      <c r="AJ170" s="114"/>
      <c r="AK170" s="1370">
        <f>AI170/AB170</f>
        <v>100.53289329396881</v>
      </c>
      <c r="AL170" s="114"/>
      <c r="AM170" s="1368">
        <f>(AK170/AK163-1)*100</f>
        <v>-7.3535184740938337</v>
      </c>
      <c r="AN170" s="246"/>
      <c r="AO170" s="246"/>
      <c r="AP170" s="1092">
        <f>AP163*(1+AT170)</f>
        <v>276.29437579999995</v>
      </c>
      <c r="AQ170" s="1092">
        <f>AS170-AP170</f>
        <v>44.978154200000063</v>
      </c>
      <c r="AR170" s="1386">
        <f>AQ170/AS170</f>
        <v>0.14000000000000018</v>
      </c>
      <c r="AS170" s="2060">
        <f>'qtrP&amp;L'!CN13*AU170</f>
        <v>321.27253000000002</v>
      </c>
      <c r="AT170" s="1330">
        <f>AS170/AS163-1</f>
        <v>3.0973999134844554E-2</v>
      </c>
      <c r="AU170" s="2165">
        <v>0.31</v>
      </c>
      <c r="AV170" s="1364">
        <f>'qtrP&amp;L'!CN13</f>
        <v>1036.3630000000001</v>
      </c>
      <c r="AW170" s="1390">
        <f>(AS170-AS163)/AV163</f>
        <v>8.6727197577565005E-3</v>
      </c>
      <c r="AX170" s="1151">
        <f>'qtrP&amp;L'!CP13-(AW170*100)</f>
        <v>-5.8672719757756502</v>
      </c>
      <c r="AY170" s="1151">
        <f>SegqtrSales!AS114+SegqtrSales!AS337</f>
        <v>321.27253000000002</v>
      </c>
      <c r="AZ170" s="114" t="str">
        <f>IF(AS170=AY170:AY170,"OK","check")</f>
        <v>OK</v>
      </c>
      <c r="BA170" s="1123">
        <f>AY170+S170</f>
        <v>1036.3630000000001</v>
      </c>
      <c r="BB170" s="1123">
        <f>'qtrP&amp;L'!CN13</f>
        <v>1036.3630000000001</v>
      </c>
    </row>
    <row r="171" spans="1:60">
      <c r="A171" s="114"/>
      <c r="B171" s="245" t="str">
        <f>$B$17</f>
        <v>Year</v>
      </c>
      <c r="C171" s="114"/>
      <c r="D171" s="1151">
        <f>(S171/S164-1)*100</f>
        <v>-8.0306823064311583</v>
      </c>
      <c r="E171" s="114"/>
      <c r="F171" s="1349">
        <f>'qtrP&amp;L'!CP14</f>
        <v>-5</v>
      </c>
      <c r="G171" s="114"/>
      <c r="H171" s="1123">
        <f>D171-F171</f>
        <v>-3.0306823064311583</v>
      </c>
      <c r="I171" s="114"/>
      <c r="J171" s="114"/>
      <c r="K171" s="114"/>
      <c r="L171" s="1357">
        <f>AVERAGE(L167:L170)</f>
        <v>924</v>
      </c>
      <c r="M171" s="114"/>
      <c r="N171" s="1151">
        <f>(L171/L164-1)*100</f>
        <v>-3.4734917733089565</v>
      </c>
      <c r="O171" s="246"/>
      <c r="P171" s="1220">
        <f>H171/N171*100</f>
        <v>87.251748506202333</v>
      </c>
      <c r="Q171" s="310"/>
      <c r="R171" s="114"/>
      <c r="S171" s="1129">
        <f>SUM(S167:S170)</f>
        <v>2471.82593</v>
      </c>
      <c r="T171" s="1375"/>
      <c r="U171" s="1237">
        <f>SUM(U167:U170)</f>
        <v>2.6768616081330983</v>
      </c>
      <c r="V171" s="114"/>
      <c r="W171" s="1221">
        <f>(U171/U164-1)*100</f>
        <v>-4.7305240631358991</v>
      </c>
      <c r="X171" s="246"/>
      <c r="Y171" s="114"/>
      <c r="Z171" s="114"/>
      <c r="AA171" s="114"/>
      <c r="AB171" s="1358">
        <f>AVERAGE(AB167:AB170)</f>
        <v>7.1966249999999992</v>
      </c>
      <c r="AC171" s="114"/>
      <c r="AD171" s="1151">
        <f>(AB171/AB164-1)*100</f>
        <v>-3.3085333288547902</v>
      </c>
      <c r="AE171" s="246"/>
      <c r="AF171" s="1220">
        <f>+H171/AD171*100</f>
        <v>91.601988107527788</v>
      </c>
      <c r="AG171" s="310"/>
      <c r="AH171" s="114"/>
      <c r="AI171" s="1129">
        <f>SUM(AI167:AI170)</f>
        <v>2471.82593</v>
      </c>
      <c r="AJ171" s="114"/>
      <c r="AK171" s="1359">
        <f>SUM(AK167:AK170)</f>
        <v>343.74485494228497</v>
      </c>
      <c r="AL171" s="114"/>
      <c r="AM171" s="1221">
        <f>(AK171/AK164-1)*100</f>
        <v>-4.8710700566589988</v>
      </c>
      <c r="AN171" s="246"/>
      <c r="AO171" s="246"/>
      <c r="AP171" s="1142">
        <f>+SUM(AP167:AP170)</f>
        <v>739.16607515999999</v>
      </c>
      <c r="AQ171" s="1142">
        <f>+SUM(AQ167:AQ170)</f>
        <v>115.74799484000005</v>
      </c>
      <c r="AR171" s="1384">
        <v>0.16</v>
      </c>
      <c r="AS171" s="1142">
        <f>SUM(AS167:AS170)</f>
        <v>854.91407000000004</v>
      </c>
      <c r="AT171" s="1331">
        <f>AS171/AS164-1</f>
        <v>2.8757232378848085E-2</v>
      </c>
      <c r="AU171" s="1394">
        <f>AS171/'qtrP&amp;L'!CN14</f>
        <v>0.25698253244918451</v>
      </c>
      <c r="AV171" s="1151">
        <f>'qtrP&amp;L'!CN14</f>
        <v>3326.74</v>
      </c>
      <c r="AW171" s="1373">
        <f>(AS171-AS164)/AV164</f>
        <v>6.7916747189286633E-3</v>
      </c>
      <c r="AX171" s="1151">
        <f>'qtrP&amp;L'!CP14-(AW171*100)</f>
        <v>-5.6791674718928666</v>
      </c>
      <c r="AY171" s="114"/>
      <c r="AZ171" s="114"/>
      <c r="BA171" s="1151"/>
      <c r="BB171" s="114"/>
    </row>
    <row r="172" spans="1:60">
      <c r="A172" s="114"/>
      <c r="B172" s="245"/>
      <c r="C172" s="114"/>
      <c r="D172" s="1151"/>
      <c r="E172" s="114"/>
      <c r="F172" s="1349"/>
      <c r="G172" s="114"/>
      <c r="H172" s="1123"/>
      <c r="I172" s="114"/>
      <c r="J172" s="114"/>
      <c r="K172" s="114"/>
      <c r="L172" s="1357"/>
      <c r="M172" s="114"/>
      <c r="N172" s="1151"/>
      <c r="O172" s="246"/>
      <c r="P172" s="1220"/>
      <c r="Q172" s="310"/>
      <c r="R172" s="114"/>
      <c r="S172" s="1129"/>
      <c r="T172" s="1375"/>
      <c r="U172" s="1237"/>
      <c r="V172" s="114"/>
      <c r="W172" s="1221"/>
      <c r="X172" s="246"/>
      <c r="Y172" s="114"/>
      <c r="Z172" s="114"/>
      <c r="AA172" s="114"/>
      <c r="AB172" s="1358"/>
      <c r="AC172" s="114"/>
      <c r="AD172" s="1151"/>
      <c r="AE172" s="246"/>
      <c r="AF172" s="1220"/>
      <c r="AG172" s="310"/>
      <c r="AH172" s="114"/>
      <c r="AI172" s="1129"/>
      <c r="AJ172" s="114"/>
      <c r="AK172" s="1359"/>
      <c r="AL172" s="114"/>
      <c r="AM172" s="1221"/>
      <c r="AN172" s="246"/>
      <c r="AO172" s="246"/>
      <c r="AP172" s="1142"/>
      <c r="AQ172" s="1142"/>
      <c r="AR172" s="1384"/>
      <c r="AS172" s="1142"/>
      <c r="AT172" s="1331"/>
      <c r="AU172" s="1173"/>
      <c r="AV172" s="1151"/>
      <c r="AW172" s="1373"/>
      <c r="AX172" s="114"/>
      <c r="AY172" s="114"/>
      <c r="AZ172" s="114"/>
      <c r="BA172" s="1151"/>
      <c r="BB172" s="114"/>
    </row>
    <row r="173" spans="1:60">
      <c r="A173" s="1120"/>
      <c r="B173" s="1172">
        <v>2017</v>
      </c>
      <c r="C173" s="114"/>
      <c r="D173" s="1151"/>
      <c r="E173" s="114"/>
      <c r="F173" s="1349"/>
      <c r="G173" s="114"/>
      <c r="H173" s="1123"/>
      <c r="I173" s="114"/>
      <c r="J173" s="114"/>
      <c r="K173" s="114"/>
      <c r="L173" s="1357"/>
      <c r="M173" s="114"/>
      <c r="N173" s="1151"/>
      <c r="O173" s="246"/>
      <c r="P173" s="1220"/>
      <c r="Q173" s="310"/>
      <c r="R173" s="114"/>
      <c r="S173" s="1129"/>
      <c r="T173" s="1375"/>
      <c r="U173" s="1237"/>
      <c r="V173" s="114"/>
      <c r="W173" s="1221"/>
      <c r="X173" s="246"/>
      <c r="Y173" s="114"/>
      <c r="Z173" s="114"/>
      <c r="AA173" s="114"/>
      <c r="AB173" s="1358"/>
      <c r="AC173" s="114"/>
      <c r="AD173" s="1151"/>
      <c r="AE173" s="246"/>
      <c r="AF173" s="1220"/>
      <c r="AG173" s="310"/>
      <c r="AH173" s="114"/>
      <c r="AI173" s="1129"/>
      <c r="AJ173" s="114"/>
      <c r="AK173" s="1359"/>
      <c r="AL173" s="114"/>
      <c r="AM173" s="1221"/>
      <c r="AN173" s="246"/>
      <c r="AO173" s="246"/>
      <c r="AP173" s="1142"/>
      <c r="AQ173" s="1142"/>
      <c r="AR173" s="1389"/>
      <c r="AS173" s="1142"/>
      <c r="AT173" s="1331"/>
      <c r="AU173" s="1373"/>
      <c r="AV173" s="114"/>
      <c r="AW173" s="236"/>
      <c r="AX173" s="114"/>
      <c r="AY173" s="114"/>
      <c r="AZ173" s="114"/>
      <c r="BA173" s="1353" t="s">
        <v>373</v>
      </c>
      <c r="BB173" s="1353" t="s">
        <v>372</v>
      </c>
      <c r="BC173" s="114"/>
      <c r="BD173" s="114"/>
      <c r="BE173" s="114"/>
      <c r="BF173" s="114"/>
      <c r="BG173" s="114"/>
      <c r="BH173" s="114"/>
    </row>
    <row r="174" spans="1:60">
      <c r="A174" s="114" t="str">
        <f>$A$13</f>
        <v>1Q</v>
      </c>
      <c r="B174" s="245" t="str">
        <f>$B$13</f>
        <v>Apr</v>
      </c>
      <c r="C174" s="114"/>
      <c r="D174" s="1219">
        <f>(S174/S167-1)*100</f>
        <v>-7.3641524527806812</v>
      </c>
      <c r="E174" s="114" t="s">
        <v>76</v>
      </c>
      <c r="F174" s="1144">
        <f>'qtrP&amp;L'!CT10</f>
        <v>-3</v>
      </c>
      <c r="G174" s="114"/>
      <c r="H174" s="1123">
        <f>D174-F174</f>
        <v>-4.3641524527806812</v>
      </c>
      <c r="I174" s="114" t="s">
        <v>76</v>
      </c>
      <c r="J174" s="1063">
        <f>SegqtrSales!J118+SegqtrSales!J341</f>
        <v>893</v>
      </c>
      <c r="K174" s="114"/>
      <c r="L174" s="1357">
        <f>AVERAGE(J174,J170)</f>
        <v>895.5</v>
      </c>
      <c r="M174" s="114"/>
      <c r="N174" s="1151">
        <f>(L174/L167-1)*100</f>
        <v>-3.5541195476575083</v>
      </c>
      <c r="O174" s="246" t="s">
        <v>76</v>
      </c>
      <c r="P174" s="1220">
        <f>H174/N174*100</f>
        <v>122.79138037596566</v>
      </c>
      <c r="Q174" s="310" t="s">
        <v>76</v>
      </c>
      <c r="R174" s="114"/>
      <c r="S174" s="311">
        <f>'qtrP&amp;L'!CR10-AS174</f>
        <v>482.60227000000003</v>
      </c>
      <c r="T174" s="1375"/>
      <c r="U174" s="1237">
        <f>S174/L174</f>
        <v>0.53891934115019546</v>
      </c>
      <c r="V174" s="114"/>
      <c r="W174" s="1221">
        <f>(U174/U167-1)*100</f>
        <v>-3.9504361277575284</v>
      </c>
      <c r="X174" s="246" t="s">
        <v>76</v>
      </c>
      <c r="Y174" s="114"/>
      <c r="Z174" s="2155">
        <v>6.9390000000000001</v>
      </c>
      <c r="AA174" s="114"/>
      <c r="AB174" s="1358">
        <f>AVERAGE(Z174,Z170)</f>
        <v>6.9729999999999999</v>
      </c>
      <c r="AC174" s="114"/>
      <c r="AD174" s="1151">
        <f>(AB174/AB167-1)*100</f>
        <v>-3.8273222536376772</v>
      </c>
      <c r="AE174" s="310" t="s">
        <v>76</v>
      </c>
      <c r="AF174" s="1220">
        <f>+H174/AD174*100</f>
        <v>114.02626075274362</v>
      </c>
      <c r="AG174" s="310" t="s">
        <v>76</v>
      </c>
      <c r="AH174" s="114"/>
      <c r="AI174" s="1129">
        <f>+S174</f>
        <v>482.60227000000003</v>
      </c>
      <c r="AJ174" s="114"/>
      <c r="AK174" s="1359">
        <f>AI174/AB174</f>
        <v>69.210134805679047</v>
      </c>
      <c r="AL174" s="114"/>
      <c r="AM174" s="1221">
        <f>(AK174/AK167-1)*100</f>
        <v>-3.6775831577350315</v>
      </c>
      <c r="AN174" s="246" t="s">
        <v>76</v>
      </c>
      <c r="AO174" s="246"/>
      <c r="AP174" s="1089">
        <f>AP167*(1+AT174)</f>
        <v>155.82764529000002</v>
      </c>
      <c r="AQ174" s="1089">
        <f>AS174-AP174</f>
        <v>22.669084709999993</v>
      </c>
      <c r="AR174" s="1384">
        <f>AQ174/AS174</f>
        <v>0.12699999999999995</v>
      </c>
      <c r="AS174" s="2030">
        <f>'qtrP&amp;L'!CR10*AU174</f>
        <v>178.49673000000001</v>
      </c>
      <c r="AT174" s="1329">
        <f>AS174/AS167-1</f>
        <v>8.4981502094144012E-2</v>
      </c>
      <c r="AU174" s="2164">
        <v>0.27</v>
      </c>
      <c r="AV174" s="1219">
        <f>'qtrP&amp;L'!CR10</f>
        <v>661.09900000000005</v>
      </c>
      <c r="AW174" s="1373">
        <f>(AS174-AS167)/AV167</f>
        <v>2.0395560502594549E-2</v>
      </c>
      <c r="AX174" s="1151">
        <f>'qtrP&amp;L'!CT10-(AW174*100)</f>
        <v>-5.0395560502594545</v>
      </c>
      <c r="AY174" s="1151">
        <f>SegqtrSales!AS118+SegqtrSales!AS341</f>
        <v>178.49673000000001</v>
      </c>
      <c r="AZ174" s="114" t="str">
        <f>IF(AS174=AY174:AY174,"OK","check")</f>
        <v>OK</v>
      </c>
      <c r="BA174" s="1123">
        <f>AY174+S174</f>
        <v>661.09900000000005</v>
      </c>
      <c r="BB174" s="1123">
        <f>'qtrP&amp;L'!CR10</f>
        <v>661.09900000000005</v>
      </c>
      <c r="BC174" s="114"/>
      <c r="BD174" s="114"/>
      <c r="BE174" s="114"/>
      <c r="BF174" s="114"/>
      <c r="BG174" s="114"/>
      <c r="BH174" s="114"/>
    </row>
    <row r="175" spans="1:60">
      <c r="A175" s="114" t="str">
        <f>$A$14</f>
        <v>2Q</v>
      </c>
      <c r="B175" s="245" t="str">
        <f>$B$14</f>
        <v>Jul</v>
      </c>
      <c r="C175" s="114"/>
      <c r="D175" s="1219">
        <f>(S175/S168-1)*100</f>
        <v>-1.7825287231283404</v>
      </c>
      <c r="E175" s="114"/>
      <c r="F175" s="1144">
        <f>'qtrP&amp;L'!CT11</f>
        <v>-1</v>
      </c>
      <c r="G175" s="114"/>
      <c r="H175" s="1123">
        <f>D175-F175</f>
        <v>-0.78252872312834043</v>
      </c>
      <c r="I175" s="114"/>
      <c r="J175" s="1063">
        <f>SegqtrSales!J119+SegqtrSales!J342</f>
        <v>891</v>
      </c>
      <c r="K175" s="114"/>
      <c r="L175" s="1357">
        <f>AVERAGE(J175,J174)</f>
        <v>892</v>
      </c>
      <c r="M175" s="114"/>
      <c r="N175" s="1151">
        <f>(L175/L168-1)*100</f>
        <v>-3.6196650459211277</v>
      </c>
      <c r="O175" s="246"/>
      <c r="P175" s="1220">
        <f>H175/N175*100</f>
        <v>21.618815918068009</v>
      </c>
      <c r="Q175" s="310"/>
      <c r="R175" s="114"/>
      <c r="S175" s="311">
        <f>'qtrP&amp;L'!CR11-AS175</f>
        <v>592.28395999999998</v>
      </c>
      <c r="T175" s="1375"/>
      <c r="U175" s="1361">
        <f>S175/L175</f>
        <v>0.66399547085201793</v>
      </c>
      <c r="V175" s="114"/>
      <c r="W175" s="1221">
        <f>(U175/U168-1)*100</f>
        <v>1.9061319133909516</v>
      </c>
      <c r="X175" s="246"/>
      <c r="Y175" s="114"/>
      <c r="Z175" s="2156">
        <v>6.9080000000000004</v>
      </c>
      <c r="AA175" s="114"/>
      <c r="AB175" s="1358">
        <f>AVERAGE(Z175,Z174)</f>
        <v>6.9235000000000007</v>
      </c>
      <c r="AC175" s="114"/>
      <c r="AD175" s="1151">
        <f>(AB175/AB168-1)*100</f>
        <v>-3.9603273685670515</v>
      </c>
      <c r="AE175" s="246"/>
      <c r="AF175" s="1220">
        <f>+H175/AD175*100</f>
        <v>19.759192872267008</v>
      </c>
      <c r="AG175" s="310"/>
      <c r="AH175" s="114"/>
      <c r="AI175" s="1132">
        <f>+S175</f>
        <v>592.28395999999998</v>
      </c>
      <c r="AJ175" s="114"/>
      <c r="AK175" s="1362">
        <f>AI175/AB175</f>
        <v>85.546899689463416</v>
      </c>
      <c r="AL175" s="114"/>
      <c r="AM175" s="1221">
        <f>(AK175/AK168-1)*100</f>
        <v>2.2676031537470553</v>
      </c>
      <c r="AN175" s="246"/>
      <c r="AO175" s="246"/>
      <c r="AP175" s="1089">
        <f>AP168*(1+AT175)</f>
        <v>162.72222479999999</v>
      </c>
      <c r="AQ175" s="1089">
        <f>AS175-AP175</f>
        <v>24.314815199999998</v>
      </c>
      <c r="AR175" s="1384">
        <f>AQ175/AS175</f>
        <v>0.13</v>
      </c>
      <c r="AS175" s="2030">
        <f>'qtrP&amp;L'!CR11*AU175</f>
        <v>187.03703999999999</v>
      </c>
      <c r="AT175" s="1329">
        <f>AS175/AS168-1</f>
        <v>3.8363197480885569E-2</v>
      </c>
      <c r="AU175" s="2164">
        <v>0.24</v>
      </c>
      <c r="AV175" s="1219">
        <f>'qtrP&amp;L'!CR11</f>
        <v>779.32100000000003</v>
      </c>
      <c r="AW175" s="1373">
        <f>(AS175-AS168)/AV168</f>
        <v>8.8235354206036929E-3</v>
      </c>
      <c r="AX175" s="1151">
        <f>'qtrP&amp;L'!CT11-(AW175*100)</f>
        <v>-1.8823535420603692</v>
      </c>
      <c r="AY175" s="1151">
        <f>SegqtrSales!AS119+SegqtrSales!AS342</f>
        <v>187.03703999999999</v>
      </c>
      <c r="AZ175" s="114" t="str">
        <f>IF(AS175=AY175:AY175,"OK","check")</f>
        <v>OK</v>
      </c>
      <c r="BA175" s="1123">
        <f>AY175+S175</f>
        <v>779.32099999999991</v>
      </c>
      <c r="BB175" s="1123">
        <f>'qtrP&amp;L'!CR11</f>
        <v>779.32100000000003</v>
      </c>
      <c r="BC175" s="114"/>
      <c r="BD175" s="1377"/>
      <c r="BE175" s="1360"/>
      <c r="BF175" s="1377"/>
      <c r="BG175" s="1360"/>
      <c r="BH175" s="114"/>
    </row>
    <row r="176" spans="1:60">
      <c r="A176" s="114" t="str">
        <f>$A$15</f>
        <v>3Q</v>
      </c>
      <c r="B176" s="245" t="str">
        <f>$B$15</f>
        <v>Oct</v>
      </c>
      <c r="C176" s="114"/>
      <c r="D176" s="1219">
        <f>(S176/S169-1)*100</f>
        <v>3.1890023880132734</v>
      </c>
      <c r="E176" s="114"/>
      <c r="F176" s="1144">
        <f>'qtrP&amp;L'!CT12</f>
        <v>4</v>
      </c>
      <c r="G176" s="114"/>
      <c r="H176" s="1123">
        <f>D176-F176</f>
        <v>-0.8109976119867266</v>
      </c>
      <c r="I176" s="114"/>
      <c r="J176" s="1063">
        <f>SegqtrSales!J120+SegqtrSales!J343</f>
        <v>889</v>
      </c>
      <c r="K176" s="114"/>
      <c r="L176" s="1357">
        <f>AVERAGE(J176,J175)</f>
        <v>890</v>
      </c>
      <c r="M176" s="114"/>
      <c r="N176" s="1151">
        <f>(L176/L169-1)*100</f>
        <v>-4.094827586206895</v>
      </c>
      <c r="O176" s="246"/>
      <c r="P176" s="1220">
        <f>H176/N176*100</f>
        <v>19.805415366412699</v>
      </c>
      <c r="Q176" s="310"/>
      <c r="R176" s="114"/>
      <c r="S176" s="311">
        <f>SegqtrSales!S120+SegqtrSales!S343</f>
        <v>652.91312000000005</v>
      </c>
      <c r="T176" s="1375"/>
      <c r="U176" s="1361">
        <f>S176/L176</f>
        <v>0.73361024719101131</v>
      </c>
      <c r="V176" s="114"/>
      <c r="W176" s="1221">
        <f>(U176/U169-1)*100</f>
        <v>7.5948249618835062</v>
      </c>
      <c r="X176" s="246"/>
      <c r="Y176" s="114"/>
      <c r="Z176" s="2156">
        <v>6.88</v>
      </c>
      <c r="AA176" s="114"/>
      <c r="AB176" s="1358">
        <f>AVERAGE(Z176,Z175)</f>
        <v>6.8940000000000001</v>
      </c>
      <c r="AC176" s="114"/>
      <c r="AD176" s="1151">
        <f>(AB176/AB169-1)*100</f>
        <v>-4.4358192403659569</v>
      </c>
      <c r="AE176" s="246"/>
      <c r="AF176" s="1220">
        <f>+H176/AD176*100</f>
        <v>18.28292741522576</v>
      </c>
      <c r="AG176" s="310"/>
      <c r="AH176" s="114"/>
      <c r="AI176" s="1132">
        <f>+S176</f>
        <v>652.91312000000005</v>
      </c>
      <c r="AJ176" s="114"/>
      <c r="AK176" s="1362">
        <f>AI176/AB176</f>
        <v>94.707444154337111</v>
      </c>
      <c r="AL176" s="114"/>
      <c r="AM176" s="1221">
        <f>(AK176/AK169-1)*100</f>
        <v>7.9787443033257688</v>
      </c>
      <c r="AN176" s="246"/>
      <c r="AO176" s="246"/>
      <c r="AP176" s="1089">
        <f>AP169*(1+AT176)</f>
        <v>177.32071679999999</v>
      </c>
      <c r="AQ176" s="1089">
        <f>AS176-AP176</f>
        <v>28.866163199999988</v>
      </c>
      <c r="AR176" s="1384">
        <f>AQ176/AS176</f>
        <v>0.13999999999999996</v>
      </c>
      <c r="AS176" s="2030">
        <f>'qtrP&amp;L'!CR12*AU176</f>
        <v>206.18687999999997</v>
      </c>
      <c r="AT176" s="1329">
        <f>AS176/AS169-1</f>
        <v>9.0942684192419465E-2</v>
      </c>
      <c r="AU176" s="2164">
        <v>0.24</v>
      </c>
      <c r="AV176" s="1219">
        <f>'qtrP&amp;L'!CR12</f>
        <v>859.11199999999997</v>
      </c>
      <c r="AW176" s="1373">
        <f>(AS176-AS169)/AV169</f>
        <v>2.0916817364256497E-2</v>
      </c>
      <c r="AX176" s="1151">
        <f>'qtrP&amp;L'!CT12-(AW176*100)</f>
        <v>1.9083182635743503</v>
      </c>
      <c r="AY176" s="1151">
        <f>SegqtrSales!AS120+SegqtrSales!AS343</f>
        <v>206.18687999999997</v>
      </c>
      <c r="AZ176" s="114" t="str">
        <f>IF(AS176=AY176:AY176,"OK","check")</f>
        <v>OK</v>
      </c>
      <c r="BA176" s="1123">
        <f>AY176+S176</f>
        <v>859.1</v>
      </c>
      <c r="BB176" s="1123">
        <f>'qtrP&amp;L'!CR12</f>
        <v>859.11199999999997</v>
      </c>
    </row>
    <row r="177" spans="1:60">
      <c r="A177" s="114" t="str">
        <f>$A$16</f>
        <v>4Q</v>
      </c>
      <c r="B177" s="245" t="str">
        <f>$B$16</f>
        <v>Jan</v>
      </c>
      <c r="C177" s="114"/>
      <c r="D177" s="1364">
        <f>(S177/S170-1)*100</f>
        <v>10.12960080421712</v>
      </c>
      <c r="E177" s="114"/>
      <c r="F177" s="1104">
        <f>'qtrP&amp;L'!CT13</f>
        <v>9</v>
      </c>
      <c r="G177" s="114"/>
      <c r="H177" s="1107">
        <f>D177-F177</f>
        <v>1.1296008042171195</v>
      </c>
      <c r="I177" s="114"/>
      <c r="J177" s="1063">
        <f>SegqtrSales!J121+SegqtrSales!J344</f>
        <v>868</v>
      </c>
      <c r="K177" s="114"/>
      <c r="L177" s="1365">
        <f>AVERAGE(J177,J176)</f>
        <v>878.5</v>
      </c>
      <c r="M177" s="114"/>
      <c r="N177" s="1364">
        <f>(L177/L170-1)*100</f>
        <v>-3.8840262582056861</v>
      </c>
      <c r="O177" s="246"/>
      <c r="P177" s="1365">
        <f>H177/N177*100</f>
        <v>-29.083243240970369</v>
      </c>
      <c r="Q177" s="310"/>
      <c r="R177" s="114"/>
      <c r="S177" s="1111">
        <f>SegqtrSales!S121+SegqtrSales!S344</f>
        <v>787.52628000000016</v>
      </c>
      <c r="T177" s="1375"/>
      <c r="U177" s="1367">
        <f>S177/L177</f>
        <v>0.89644425725668775</v>
      </c>
      <c r="V177" s="114"/>
      <c r="W177" s="1368">
        <f>(U177/U170-1)*100</f>
        <v>14.579914780938497</v>
      </c>
      <c r="X177" s="246"/>
      <c r="Y177" s="114"/>
      <c r="Z177" s="1334">
        <f>(SegqtrSales!Z121+SegqtrSales!Z344)/1000</f>
        <v>6.8868139999999984</v>
      </c>
      <c r="AA177" s="114"/>
      <c r="AB177" s="1369">
        <f>AVERAGE(Z177,Z176)</f>
        <v>6.8834069999999992</v>
      </c>
      <c r="AC177" s="114"/>
      <c r="AD177" s="1364">
        <f>(AB177/AB170-1)*100</f>
        <v>-3.2277941796710286</v>
      </c>
      <c r="AE177" s="246"/>
      <c r="AF177" s="1365">
        <f>+H177/AD177*100</f>
        <v>-34.996060508797576</v>
      </c>
      <c r="AG177" s="310"/>
      <c r="AH177" s="114"/>
      <c r="AI177" s="1111">
        <f>+S177</f>
        <v>787.52628000000016</v>
      </c>
      <c r="AJ177" s="114"/>
      <c r="AK177" s="1370">
        <f>AI177/AB177</f>
        <v>114.40937314908159</v>
      </c>
      <c r="AL177" s="114"/>
      <c r="AM177" s="1368">
        <f>(AK177/AK170-1)*100</f>
        <v>13.802924993451127</v>
      </c>
      <c r="AN177" s="246"/>
      <c r="AO177" s="246"/>
      <c r="AP177" s="1092">
        <f>AP170*(1+AT177)</f>
        <v>348.87939919999991</v>
      </c>
      <c r="AQ177" s="1092">
        <f>AS177-AP177</f>
        <v>56.794320800000094</v>
      </c>
      <c r="AR177" s="1386">
        <f>AQ177/AS177</f>
        <v>0.14000000000000024</v>
      </c>
      <c r="AS177" s="2265">
        <f>'qtrP&amp;L'!CR13*AU177</f>
        <v>405.67372</v>
      </c>
      <c r="AT177" s="2266">
        <f>AS177/AS170-1</f>
        <v>0.26270901530236634</v>
      </c>
      <c r="AU177" s="2165">
        <v>0.34</v>
      </c>
      <c r="AV177" s="1364">
        <f>'qtrP&amp;L'!CR13</f>
        <v>1193.1579999999999</v>
      </c>
      <c r="AW177" s="1390">
        <f>(AS177-AS170)/AV170</f>
        <v>8.1439794743733598E-2</v>
      </c>
      <c r="AX177" s="1151">
        <f>'qtrP&amp;L'!CT13-(AW177*100)</f>
        <v>0.85602052562663999</v>
      </c>
      <c r="AY177" s="1151">
        <f>SegqtrSales!AS121+SegqtrSales!AS344</f>
        <v>405.67371999999995</v>
      </c>
      <c r="AZ177" s="114" t="str">
        <f>IF(AS177=AY177:AY177,"OK","check")</f>
        <v>OK</v>
      </c>
      <c r="BA177" s="1123">
        <f>AY177+S177</f>
        <v>1193.2</v>
      </c>
      <c r="BB177" s="1123">
        <f>'qtrP&amp;L'!CR13</f>
        <v>1193.1579999999999</v>
      </c>
    </row>
    <row r="178" spans="1:60">
      <c r="A178" s="114"/>
      <c r="B178" s="245" t="str">
        <f>$B$17</f>
        <v>Year</v>
      </c>
      <c r="C178" s="114"/>
      <c r="D178" s="1151">
        <f>(S178/S171-1)*100</f>
        <v>1.7598205226369013</v>
      </c>
      <c r="E178" s="114"/>
      <c r="F178" s="1349">
        <f>'qtrP&amp;L'!CT14</f>
        <v>3</v>
      </c>
      <c r="G178" s="114"/>
      <c r="H178" s="1123">
        <f>D178-F178</f>
        <v>-1.2401794773630987</v>
      </c>
      <c r="I178" s="114"/>
      <c r="J178" s="114"/>
      <c r="K178" s="114"/>
      <c r="L178" s="1357">
        <f>AVERAGE(L174:L177)</f>
        <v>889</v>
      </c>
      <c r="M178" s="114"/>
      <c r="N178" s="1151">
        <f>(L178/L171-1)*100</f>
        <v>-3.7878787878787845</v>
      </c>
      <c r="O178" s="246"/>
      <c r="P178" s="1220">
        <f>H178/N178*100</f>
        <v>32.740738202385842</v>
      </c>
      <c r="Q178" s="310"/>
      <c r="R178" s="114"/>
      <c r="S178" s="1129">
        <f>SUM(S174:S177)</f>
        <v>2515.3256300000003</v>
      </c>
      <c r="T178" s="1375"/>
      <c r="U178" s="1237">
        <f>SUM(U174:U177)</f>
        <v>2.8329693164499123</v>
      </c>
      <c r="V178" s="114"/>
      <c r="W178" s="1221">
        <f>(U178/U171-1)*100</f>
        <v>5.8317437047366472</v>
      </c>
      <c r="X178" s="246"/>
      <c r="Y178" s="114"/>
      <c r="Z178" s="114"/>
      <c r="AA178" s="114"/>
      <c r="AB178" s="1358">
        <f>AVERAGE(AB174:AB177)</f>
        <v>6.91847675</v>
      </c>
      <c r="AC178" s="114"/>
      <c r="AD178" s="1151">
        <f>(AB178/AB171-1)*100</f>
        <v>-3.8649818491306553</v>
      </c>
      <c r="AE178" s="246"/>
      <c r="AF178" s="1220">
        <f>+H178/AD178*100</f>
        <v>32.087588655611682</v>
      </c>
      <c r="AG178" s="310"/>
      <c r="AH178" s="114"/>
      <c r="AI178" s="1129">
        <f>SUM(AI174:AI177)</f>
        <v>2515.3256300000003</v>
      </c>
      <c r="AJ178" s="114"/>
      <c r="AK178" s="1359">
        <f>SUM(AK174:AK177)</f>
        <v>363.87385179856119</v>
      </c>
      <c r="AL178" s="114"/>
      <c r="AM178" s="1221">
        <f>(AK178/AK171-1)*100</f>
        <v>5.8557958226475471</v>
      </c>
      <c r="AN178" s="246"/>
      <c r="AO178" s="246"/>
      <c r="AP178" s="1142">
        <f>+SUM(AP174:AP177)</f>
        <v>844.74998608999999</v>
      </c>
      <c r="AQ178" s="1142">
        <f>+SUM(AQ174:AQ177)</f>
        <v>132.64438391000007</v>
      </c>
      <c r="AR178" s="1384">
        <v>0.16</v>
      </c>
      <c r="AS178" s="1142">
        <f>SUM(AS174:AS177)</f>
        <v>977.39436999999998</v>
      </c>
      <c r="AT178" s="1331">
        <f>AS178/AS171-1</f>
        <v>0.14326621153866359</v>
      </c>
      <c r="AU178" s="1394">
        <f>AS178/'qtrP&amp;L'!CR14</f>
        <v>0.27984000011452492</v>
      </c>
      <c r="AV178" s="1151">
        <f>'qtrP&amp;L'!CR14</f>
        <v>3492.69</v>
      </c>
      <c r="AW178" s="1373">
        <f>(AS178-AS171)/AV171</f>
        <v>3.6816913855606377E-2</v>
      </c>
      <c r="AX178" s="1151">
        <f>'qtrP&amp;L'!CT14-(AW178*100)</f>
        <v>-0.68169138556063791</v>
      </c>
      <c r="AY178" s="114"/>
      <c r="AZ178" s="114"/>
      <c r="BA178" s="1151"/>
      <c r="BB178" s="114"/>
    </row>
    <row r="179" spans="1:60">
      <c r="A179" s="114"/>
      <c r="B179" s="245"/>
      <c r="C179" s="114"/>
      <c r="D179" s="1151"/>
      <c r="E179" s="114"/>
      <c r="F179" s="1349"/>
      <c r="G179" s="114"/>
      <c r="H179" s="1123"/>
      <c r="I179" s="114"/>
      <c r="J179" s="114"/>
      <c r="K179" s="114"/>
      <c r="L179" s="1357"/>
      <c r="M179" s="114"/>
      <c r="N179" s="1151"/>
      <c r="O179" s="246"/>
      <c r="P179" s="1220"/>
      <c r="Q179" s="310"/>
      <c r="R179" s="114"/>
      <c r="S179" s="1129"/>
      <c r="T179" s="1375"/>
      <c r="U179" s="1237"/>
      <c r="V179" s="114"/>
      <c r="W179" s="1221"/>
      <c r="X179" s="246"/>
      <c r="Y179" s="114"/>
      <c r="Z179" s="114"/>
      <c r="AA179" s="114"/>
      <c r="AB179" s="1358"/>
      <c r="AC179" s="114"/>
      <c r="AD179" s="1151"/>
      <c r="AE179" s="246"/>
      <c r="AF179" s="1220"/>
      <c r="AG179" s="310"/>
      <c r="AH179" s="114"/>
      <c r="AI179" s="1129"/>
      <c r="AJ179" s="114"/>
      <c r="AK179" s="1359"/>
      <c r="AL179" s="114"/>
      <c r="AM179" s="1221"/>
      <c r="AN179" s="246"/>
      <c r="AO179" s="246"/>
      <c r="AP179" s="1142"/>
      <c r="AQ179" s="1142"/>
      <c r="AR179" s="1384"/>
      <c r="AS179" s="1142"/>
      <c r="AT179" s="1331"/>
      <c r="AU179" s="1173"/>
      <c r="AV179" s="1151"/>
      <c r="AW179" s="1373"/>
      <c r="AX179" s="114"/>
      <c r="AY179" s="114"/>
      <c r="AZ179" s="114"/>
      <c r="BA179" s="1151"/>
      <c r="BB179" s="114"/>
    </row>
    <row r="180" spans="1:60">
      <c r="A180" s="1120"/>
      <c r="B180" s="1175">
        <v>2018</v>
      </c>
      <c r="C180" s="114"/>
      <c r="D180" s="1151"/>
      <c r="E180" s="114"/>
      <c r="F180" s="1349"/>
      <c r="G180" s="114"/>
      <c r="H180" s="1123"/>
      <c r="I180" s="114"/>
      <c r="J180" s="114"/>
      <c r="K180" s="114"/>
      <c r="L180" s="1357"/>
      <c r="M180" s="114"/>
      <c r="N180" s="1151"/>
      <c r="O180" s="246"/>
      <c r="P180" s="1220"/>
      <c r="Q180" s="310"/>
      <c r="R180" s="114"/>
      <c r="S180" s="1129"/>
      <c r="T180" s="1375"/>
      <c r="U180" s="1237"/>
      <c r="V180" s="114"/>
      <c r="W180" s="1221"/>
      <c r="X180" s="246"/>
      <c r="Y180" s="114"/>
      <c r="Z180" s="114"/>
      <c r="AA180" s="114"/>
      <c r="AB180" s="1358"/>
      <c r="AC180" s="114"/>
      <c r="AD180" s="1151"/>
      <c r="AE180" s="246"/>
      <c r="AF180" s="1220"/>
      <c r="AG180" s="310"/>
      <c r="AH180" s="114"/>
      <c r="AI180" s="1129"/>
      <c r="AJ180" s="114"/>
      <c r="AK180" s="1359"/>
      <c r="AL180" s="114"/>
      <c r="AM180" s="1221"/>
      <c r="AN180" s="246"/>
      <c r="AO180" s="246"/>
      <c r="AP180" s="1142"/>
      <c r="AQ180" s="1142"/>
      <c r="AR180" s="1389"/>
      <c r="AS180" s="1142"/>
      <c r="AT180" s="1331"/>
      <c r="AU180" s="1373"/>
      <c r="AV180" s="114"/>
      <c r="AW180" s="236"/>
      <c r="AX180" s="114"/>
      <c r="AY180" s="114"/>
      <c r="AZ180" s="114"/>
      <c r="BA180" s="1353" t="s">
        <v>373</v>
      </c>
      <c r="BB180" s="1353" t="s">
        <v>372</v>
      </c>
      <c r="BC180" s="114"/>
      <c r="BD180" s="114"/>
      <c r="BE180" s="114"/>
      <c r="BF180" s="114"/>
      <c r="BG180" s="114"/>
      <c r="BH180" s="114"/>
    </row>
    <row r="181" spans="1:60">
      <c r="A181" s="114" t="str">
        <f>$A$13</f>
        <v>1Q</v>
      </c>
      <c r="B181" s="245" t="str">
        <f>$B$13</f>
        <v>Apr</v>
      </c>
      <c r="C181" s="114"/>
      <c r="D181" s="1219">
        <f>(S181/S174-1)*100</f>
        <v>6.7520669173395831</v>
      </c>
      <c r="E181" s="114" t="s">
        <v>76</v>
      </c>
      <c r="F181" s="1144">
        <f>SegqtrSales!F125*0.32+SegqtrSales!F348*0.68</f>
        <v>2.68</v>
      </c>
      <c r="G181" s="114"/>
      <c r="H181" s="1123">
        <f>D181-F181</f>
        <v>4.0720669173395834</v>
      </c>
      <c r="I181" s="114" t="s">
        <v>76</v>
      </c>
      <c r="J181" s="1063">
        <f>SegqtrSales!J125+SegqtrSales!J348</f>
        <v>889</v>
      </c>
      <c r="K181" s="114"/>
      <c r="L181" s="1357">
        <f>AVERAGE(J181,J177)</f>
        <v>878.5</v>
      </c>
      <c r="M181" s="114"/>
      <c r="N181" s="1151">
        <f>(L181/L174-1)*100</f>
        <v>-1.8983807928531493</v>
      </c>
      <c r="O181" s="246" t="s">
        <v>76</v>
      </c>
      <c r="P181" s="1220">
        <f>H181/N181*100</f>
        <v>-214.50211320456512</v>
      </c>
      <c r="Q181" s="310" t="s">
        <v>76</v>
      </c>
      <c r="R181" s="114"/>
      <c r="S181" s="311">
        <f>SegqtrSales!S125+SegqtrSales!S348</f>
        <v>515.1878982149999</v>
      </c>
      <c r="T181" s="1375"/>
      <c r="U181" s="1237">
        <f>S181/L181</f>
        <v>0.58644040775754114</v>
      </c>
      <c r="V181" s="114"/>
      <c r="W181" s="1221">
        <f>(U181/U174-1)*100</f>
        <v>8.817843966394534</v>
      </c>
      <c r="X181" s="246" t="s">
        <v>76</v>
      </c>
      <c r="Y181" s="114"/>
      <c r="Z181" s="1334">
        <f>(SegqtrSales!Z125+SegqtrSales!Z348)/1000</f>
        <v>7.0692139999999979</v>
      </c>
      <c r="AA181" s="114"/>
      <c r="AB181" s="1358">
        <f>AVERAGE(Z181,Z177)</f>
        <v>6.9780139999999982</v>
      </c>
      <c r="AC181" s="114"/>
      <c r="AD181" s="1151">
        <f>(AB181/AB174-1)*100</f>
        <v>7.1905922845227899E-2</v>
      </c>
      <c r="AE181" s="310" t="s">
        <v>76</v>
      </c>
      <c r="AF181" s="1220">
        <f>+H181/AD181*100</f>
        <v>5663.0479885563827</v>
      </c>
      <c r="AG181" s="310" t="s">
        <v>76</v>
      </c>
      <c r="AH181" s="114"/>
      <c r="AI181" s="1129">
        <f>+S181</f>
        <v>515.1878982149999</v>
      </c>
      <c r="AJ181" s="114"/>
      <c r="AK181" s="1359">
        <f>AI181/AB181</f>
        <v>73.83016116261733</v>
      </c>
      <c r="AL181" s="114"/>
      <c r="AM181" s="1221">
        <f>(AK181/AK174-1)*100</f>
        <v>6.6753610145535935</v>
      </c>
      <c r="AN181" s="246" t="s">
        <v>76</v>
      </c>
      <c r="AO181" s="246"/>
      <c r="AP181" s="1089">
        <f>AP174*(1+AT181)</f>
        <v>160.50247464870003</v>
      </c>
      <c r="AQ181" s="1089">
        <f>AS181-AP181</f>
        <v>23.349157251299999</v>
      </c>
      <c r="AR181" s="1384">
        <f>AQ181/AS181</f>
        <v>0.12699999999999997</v>
      </c>
      <c r="AS181" s="1378">
        <f t="shared" ref="AS181:AS182" si="0">AS174*(1+AT181)</f>
        <v>183.85163190000003</v>
      </c>
      <c r="AT181" s="2174">
        <v>0.03</v>
      </c>
      <c r="AU181" s="2180">
        <f>AS181/'qtrP&amp;L'!CV10</f>
        <v>0.26300605899891577</v>
      </c>
      <c r="AV181" s="1219">
        <f>'qtrP&amp;L'!CV10</f>
        <v>699.03953011499993</v>
      </c>
      <c r="AW181" s="1373">
        <f>(AS181-AS174)/AV174</f>
        <v>8.1000000000000238E-3</v>
      </c>
      <c r="AX181" s="1151">
        <f>'qtrP&amp;L'!CX10-(AW181*100)</f>
        <v>2.68</v>
      </c>
      <c r="AY181" s="1151">
        <f>SegqtrSales!AS125+SegqtrSales!AS348</f>
        <v>183.85163190000003</v>
      </c>
      <c r="AZ181" s="114" t="str">
        <f>IF(AS181=AY181:AY181,"OK","check")</f>
        <v>OK</v>
      </c>
      <c r="BA181" s="1123">
        <f>AY181+S181</f>
        <v>699.03953011499993</v>
      </c>
      <c r="BB181" s="1123">
        <f>'qtrP&amp;L'!CV10</f>
        <v>699.03953011499993</v>
      </c>
      <c r="BC181" s="114"/>
      <c r="BD181" s="114"/>
      <c r="BE181" s="114"/>
      <c r="BF181" s="114"/>
      <c r="BG181" s="114"/>
      <c r="BH181" s="114"/>
    </row>
    <row r="182" spans="1:60">
      <c r="A182" s="114" t="str">
        <f>$A$14</f>
        <v>2Q</v>
      </c>
      <c r="B182" s="245" t="str">
        <f>$B$14</f>
        <v>Jul</v>
      </c>
      <c r="C182" s="114"/>
      <c r="D182" s="1219">
        <f>(S182/S175-1)*100</f>
        <v>7.3334612404496013</v>
      </c>
      <c r="E182" s="114"/>
      <c r="F182" s="1144">
        <f>SegqtrSales!F126*0.32+SegqtrSales!F349*0.68</f>
        <v>1.6800000000000002</v>
      </c>
      <c r="G182" s="114"/>
      <c r="H182" s="1123">
        <f>D182-F182</f>
        <v>5.6534612404496016</v>
      </c>
      <c r="I182" s="114"/>
      <c r="J182" s="1063">
        <f>SegqtrSales!J126+SegqtrSales!J349</f>
        <v>883</v>
      </c>
      <c r="K182" s="114"/>
      <c r="L182" s="1357">
        <f>AVERAGE(J182,J181)</f>
        <v>886</v>
      </c>
      <c r="M182" s="114"/>
      <c r="N182" s="1151">
        <f>(L182/L175-1)*100</f>
        <v>-0.67264573991031584</v>
      </c>
      <c r="O182" s="246"/>
      <c r="P182" s="1220">
        <f>H182/N182*100</f>
        <v>-840.48123774683836</v>
      </c>
      <c r="Q182" s="310"/>
      <c r="R182" s="114"/>
      <c r="S182" s="311">
        <f>SegqtrSales!S126+SegqtrSales!S349</f>
        <v>635.71887463999997</v>
      </c>
      <c r="T182" s="1375"/>
      <c r="U182" s="1361">
        <f>S182/L182</f>
        <v>0.71751565986455978</v>
      </c>
      <c r="V182" s="114"/>
      <c r="W182" s="1221">
        <f>(U182/U175-1)*100</f>
        <v>8.0603244091208115</v>
      </c>
      <c r="X182" s="246"/>
      <c r="Y182" s="114"/>
      <c r="Z182" s="1334">
        <f>(SegqtrSales!Z126+SegqtrSales!Z349)/1000</f>
        <v>7.0188139999999981</v>
      </c>
      <c r="AA182" s="114"/>
      <c r="AB182" s="1358">
        <f>AVERAGE(Z182,Z181)</f>
        <v>7.044013999999998</v>
      </c>
      <c r="AC182" s="114"/>
      <c r="AD182" s="1151">
        <f>(AB182/AB175-1)*100</f>
        <v>1.7406514046363508</v>
      </c>
      <c r="AE182" s="246"/>
      <c r="AF182" s="1220">
        <f>+H182/AD182*100</f>
        <v>324.78997376448831</v>
      </c>
      <c r="AG182" s="310"/>
      <c r="AH182" s="114"/>
      <c r="AI182" s="1132">
        <f>+S182</f>
        <v>635.71887463999997</v>
      </c>
      <c r="AJ182" s="114"/>
      <c r="AK182" s="1362">
        <f>AI182/AB182</f>
        <v>90.249518902148708</v>
      </c>
      <c r="AL182" s="114"/>
      <c r="AM182" s="1221">
        <f>(AK182/AK175-1)*100</f>
        <v>5.497124068500292</v>
      </c>
      <c r="AN182" s="246"/>
      <c r="AO182" s="246"/>
      <c r="AP182" s="1089">
        <f>AP175*(1+AT182)</f>
        <v>170.85833604000001</v>
      </c>
      <c r="AQ182" s="1089">
        <f>AS182-AP182</f>
        <v>25.530555959999987</v>
      </c>
      <c r="AR182" s="1384">
        <f>AQ182/AS182</f>
        <v>0.12999999999999992</v>
      </c>
      <c r="AS182" s="1378">
        <f t="shared" si="0"/>
        <v>196.388892</v>
      </c>
      <c r="AT182" s="2174">
        <v>0.05</v>
      </c>
      <c r="AU182" s="2180">
        <f>AS182/'qtrP&amp;L'!CV11</f>
        <v>0.23601377114049338</v>
      </c>
      <c r="AV182" s="1219">
        <f>'qtrP&amp;L'!CV11</f>
        <v>832.10776663999991</v>
      </c>
      <c r="AW182" s="1373">
        <f>(AS182-AS175)/AV175</f>
        <v>1.2000000000000011E-2</v>
      </c>
      <c r="AX182" s="1151">
        <f>'qtrP&amp;L'!CX11-(AW182*100)</f>
        <v>1.6800000000000002</v>
      </c>
      <c r="AY182" s="1151">
        <f>SegqtrSales!AS126+SegqtrSales!AS349</f>
        <v>196.388892</v>
      </c>
      <c r="AZ182" s="114" t="str">
        <f>IF(AS182=AY182:AY182,"OK","check")</f>
        <v>OK</v>
      </c>
      <c r="BA182" s="1123">
        <f>AY182+S182</f>
        <v>832.10776663999991</v>
      </c>
      <c r="BB182" s="1123">
        <f>'qtrP&amp;L'!CV11</f>
        <v>832.10776663999991</v>
      </c>
      <c r="BC182" s="114"/>
      <c r="BD182" s="1377"/>
      <c r="BE182" s="1360"/>
      <c r="BF182" s="1377"/>
      <c r="BG182" s="1360"/>
      <c r="BH182" s="114"/>
    </row>
    <row r="183" spans="1:60">
      <c r="A183" s="114" t="str">
        <f>$A$15</f>
        <v>3Q</v>
      </c>
      <c r="B183" s="245" t="str">
        <f>$B$15</f>
        <v>Oct</v>
      </c>
      <c r="C183" s="114"/>
      <c r="D183" s="1219">
        <f>(S183/S176-1)*100</f>
        <v>0.27559712079303633</v>
      </c>
      <c r="E183" s="114"/>
      <c r="F183" s="1144">
        <f>SegqtrSales!F127*0.32+SegqtrSales!F350*0.68</f>
        <v>-1.6400000000000001</v>
      </c>
      <c r="G183" s="114"/>
      <c r="H183" s="1123">
        <f>D183-F183</f>
        <v>1.9155971207930365</v>
      </c>
      <c r="I183" s="114"/>
      <c r="J183" s="1063">
        <f>SegqtrSales!J127+SegqtrSales!J350</f>
        <v>875</v>
      </c>
      <c r="K183" s="114"/>
      <c r="L183" s="1357">
        <f>AVERAGE(J183,J182)</f>
        <v>879</v>
      </c>
      <c r="M183" s="114"/>
      <c r="N183" s="1151">
        <f>(L183/L176-1)*100</f>
        <v>-1.2359550561797716</v>
      </c>
      <c r="O183" s="246"/>
      <c r="P183" s="1220">
        <f>H183/N183*100</f>
        <v>-154.98922159143703</v>
      </c>
      <c r="Q183" s="310"/>
      <c r="R183" s="114"/>
      <c r="S183" s="311">
        <f>SegqtrSales!S127+SegqtrSales!S350</f>
        <v>654.71252976000005</v>
      </c>
      <c r="T183" s="1375"/>
      <c r="U183" s="1361">
        <f>S183/L183</f>
        <v>0.74483791781569975</v>
      </c>
      <c r="V183" s="114"/>
      <c r="W183" s="1221">
        <f>(U183/U176-1)*100</f>
        <v>1.5304680745231058</v>
      </c>
      <c r="X183" s="246"/>
      <c r="Y183" s="114"/>
      <c r="Z183" s="1334">
        <f>(SegqtrSales!Z127+SegqtrSales!Z350)/1000</f>
        <v>6.9508139999999985</v>
      </c>
      <c r="AA183" s="114"/>
      <c r="AB183" s="1358">
        <f>AVERAGE(Z183,Z182)</f>
        <v>6.9848139999999983</v>
      </c>
      <c r="AC183" s="114"/>
      <c r="AD183" s="1151">
        <f>(AB183/AB176-1)*100</f>
        <v>1.3172903974470351</v>
      </c>
      <c r="AE183" s="246"/>
      <c r="AF183" s="1220">
        <f>+H183/AD183*100</f>
        <v>145.41950085611685</v>
      </c>
      <c r="AG183" s="310"/>
      <c r="AH183" s="114"/>
      <c r="AI183" s="1132">
        <f>+S183</f>
        <v>654.71252976000005</v>
      </c>
      <c r="AJ183" s="114"/>
      <c r="AK183" s="1362">
        <f>AI183/AB183</f>
        <v>93.733709982828486</v>
      </c>
      <c r="AL183" s="114"/>
      <c r="AM183" s="1221">
        <f>(AK183/AK176-1)*100</f>
        <v>-1.0281495612127434</v>
      </c>
      <c r="AN183" s="246"/>
      <c r="AO183" s="246"/>
      <c r="AP183" s="1089">
        <f>AP176*(1+AT183)</f>
        <v>179.98052755199996</v>
      </c>
      <c r="AQ183" s="1089">
        <f>AS183-AP183</f>
        <v>29.29915564800001</v>
      </c>
      <c r="AR183" s="1384">
        <f>AQ183/AS183</f>
        <v>0.14000000000000007</v>
      </c>
      <c r="AS183" s="1378">
        <f>AS176*(1+AT183)</f>
        <v>209.27968319999997</v>
      </c>
      <c r="AT183" s="2052">
        <v>1.4999999999999999E-2</v>
      </c>
      <c r="AU183" s="2180">
        <f>AS183/'qtrP&amp;L'!CV12</f>
        <v>0.24222403866698847</v>
      </c>
      <c r="AV183" s="1219">
        <f>'qtrP&amp;L'!CV12</f>
        <v>863.99221295999996</v>
      </c>
      <c r="AW183" s="1373">
        <f>(AS183-AS176)/AV176</f>
        <v>3.5999999999999904E-3</v>
      </c>
      <c r="AX183" s="1151">
        <f>'qtrP&amp;L'!CX12-(AW183*100)</f>
        <v>-1.6400000000000001</v>
      </c>
      <c r="AY183" s="1151">
        <f>SegqtrSales!AS127+SegqtrSales!AS350</f>
        <v>209.27968319999997</v>
      </c>
      <c r="AZ183" s="114" t="str">
        <f>IF(AS183=AY183:AY183,"OK","check")</f>
        <v>OK</v>
      </c>
      <c r="BA183" s="1123">
        <f>AY183+S183</f>
        <v>863.99221295999996</v>
      </c>
      <c r="BB183" s="1123">
        <f>'qtrP&amp;L'!CV12</f>
        <v>863.99221295999996</v>
      </c>
    </row>
    <row r="184" spans="1:60">
      <c r="A184" s="114" t="str">
        <f>$A$16</f>
        <v>4Q</v>
      </c>
      <c r="B184" s="245" t="str">
        <f>$B$16</f>
        <v>Jan</v>
      </c>
      <c r="C184" s="114"/>
      <c r="D184" s="1364">
        <f>(S184/S177-1)*100</f>
        <v>-9.1889854266196664</v>
      </c>
      <c r="E184" s="114"/>
      <c r="F184" s="1104">
        <f>SegqtrSales!F128*0.32+SegqtrSales!F351*0.68</f>
        <v>-3.3200000000000003</v>
      </c>
      <c r="G184" s="114"/>
      <c r="H184" s="1107">
        <f>D184-F184</f>
        <v>-5.8689854266196662</v>
      </c>
      <c r="I184" s="114"/>
      <c r="J184" s="1063">
        <f>SegqtrSales!J128+SegqtrSales!J351</f>
        <v>834</v>
      </c>
      <c r="K184" s="114"/>
      <c r="L184" s="1365">
        <f>AVERAGE(J184,J183)</f>
        <v>854.5</v>
      </c>
      <c r="M184" s="114"/>
      <c r="N184" s="1364">
        <f>(L184/L177-1)*100</f>
        <v>-2.7319294251565207</v>
      </c>
      <c r="O184" s="246"/>
      <c r="P184" s="1365">
        <f>H184/N184*100</f>
        <v>214.82932072022373</v>
      </c>
      <c r="Q184" s="310"/>
      <c r="R184" s="114"/>
      <c r="S184" s="1111">
        <f>SegqtrSales!S128+SegqtrSales!S351</f>
        <v>715.16060490000018</v>
      </c>
      <c r="T184" s="1375"/>
      <c r="U184" s="1367">
        <f>S184/L184</f>
        <v>0.8369345873610301</v>
      </c>
      <c r="V184" s="114"/>
      <c r="W184" s="1368">
        <f>(U184/U177-1)*100</f>
        <v>-6.6384127528207992</v>
      </c>
      <c r="X184" s="246"/>
      <c r="Y184" s="114"/>
      <c r="Z184" s="1334">
        <f>(SegqtrSales!Z128+SegqtrSales!Z351)/1000</f>
        <v>6.5972139999999984</v>
      </c>
      <c r="AA184" s="114"/>
      <c r="AB184" s="1369">
        <f>AVERAGE(Z184,Z183)</f>
        <v>6.7740139999999984</v>
      </c>
      <c r="AC184" s="114"/>
      <c r="AD184" s="1364">
        <f>(AB184/AB177-1)*100</f>
        <v>-1.5892275438601944</v>
      </c>
      <c r="AE184" s="246"/>
      <c r="AF184" s="1365">
        <f>+H184/AD184*100</f>
        <v>369.29799318504422</v>
      </c>
      <c r="AG184" s="310"/>
      <c r="AH184" s="114"/>
      <c r="AI184" s="1111">
        <f>+S184</f>
        <v>715.16060490000018</v>
      </c>
      <c r="AJ184" s="114"/>
      <c r="AK184" s="1370">
        <f>AI184/AB184</f>
        <v>105.57412560706257</v>
      </c>
      <c r="AL184" s="114"/>
      <c r="AM184" s="1368">
        <f>(AK184/AK177-1)*100</f>
        <v>-7.722485753423558</v>
      </c>
      <c r="AN184" s="246"/>
      <c r="AO184" s="246"/>
      <c r="AP184" s="1092">
        <f>AP177*(1+AT184)</f>
        <v>341.90181121599989</v>
      </c>
      <c r="AQ184" s="1092">
        <f>AS184-AP184</f>
        <v>55.658434384000088</v>
      </c>
      <c r="AR184" s="1386">
        <f>AQ184/AS184</f>
        <v>0.14000000000000024</v>
      </c>
      <c r="AS184" s="1379">
        <f>AS177*(1+AT184)</f>
        <v>397.56024559999997</v>
      </c>
      <c r="AT184" s="1393">
        <v>-0.02</v>
      </c>
      <c r="AU184" s="2181">
        <f>AS184/'qtrP&amp;L'!CV13</f>
        <v>0.35728659656315115</v>
      </c>
      <c r="AV184" s="1364">
        <f>'qtrP&amp;L'!CV13</f>
        <v>1112.7208505000001</v>
      </c>
      <c r="AW184" s="1390">
        <f>(AS184-AS177)/AV177</f>
        <v>-6.8000000000000256E-3</v>
      </c>
      <c r="AX184" s="1151">
        <f>'qtrP&amp;L'!CX13-(AW184*100)</f>
        <v>-3.3200000000000003</v>
      </c>
      <c r="AY184" s="1151">
        <f>SegqtrSales!AS128+SegqtrSales!AS351</f>
        <v>397.56024559999997</v>
      </c>
      <c r="AZ184" s="114" t="str">
        <f>IF(AS184=AY184:AY184,"OK","check")</f>
        <v>OK</v>
      </c>
      <c r="BA184" s="1123">
        <f>AY184+S184</f>
        <v>1112.7208505000001</v>
      </c>
      <c r="BB184" s="1123">
        <f>'qtrP&amp;L'!CV13</f>
        <v>1112.7208505000001</v>
      </c>
    </row>
    <row r="185" spans="1:60">
      <c r="A185" s="114"/>
      <c r="B185" s="245" t="str">
        <f>$B$17</f>
        <v>Year</v>
      </c>
      <c r="C185" s="114"/>
      <c r="D185" s="1151">
        <f>(S185/S178-1)*100</f>
        <v>0.21684180568699585</v>
      </c>
      <c r="E185" s="114"/>
      <c r="F185" s="1349">
        <f>(F181*S181/$S$185)+(F182*S182/$S$185)+(F183*S183/$S$185)+(F184*S184/$S$185)</f>
        <v>-0.3964449563739052</v>
      </c>
      <c r="G185" s="114"/>
      <c r="H185" s="1123">
        <f>D185-F185</f>
        <v>0.61328676206090105</v>
      </c>
      <c r="I185" s="114"/>
      <c r="J185" s="114"/>
      <c r="K185" s="114"/>
      <c r="L185" s="1357">
        <f>AVERAGE(L181:L184)</f>
        <v>874.5</v>
      </c>
      <c r="M185" s="114"/>
      <c r="N185" s="1151">
        <f>(L185/L178-1)*100</f>
        <v>-1.6310461192350911</v>
      </c>
      <c r="O185" s="246"/>
      <c r="P185" s="1220">
        <f>H185/N185*100</f>
        <v>-37.600822860147758</v>
      </c>
      <c r="Q185" s="310"/>
      <c r="R185" s="114"/>
      <c r="S185" s="1129">
        <f>SUM(S181:S184)</f>
        <v>2520.7799075150001</v>
      </c>
      <c r="T185" s="1375"/>
      <c r="U185" s="1237">
        <f>SUM(U181:U184)</f>
        <v>2.8857285727988309</v>
      </c>
      <c r="V185" s="114"/>
      <c r="W185" s="1221">
        <f>(U185/U178-1)*100</f>
        <v>1.8623306663636097</v>
      </c>
      <c r="X185" s="246"/>
      <c r="Y185" s="114"/>
      <c r="Z185" s="114"/>
      <c r="AA185" s="114"/>
      <c r="AB185" s="1358">
        <f>AVERAGE(AB181:AB184)</f>
        <v>6.9452139999999973</v>
      </c>
      <c r="AC185" s="114"/>
      <c r="AD185" s="1151">
        <f>(AB185/AB178-1)*100</f>
        <v>0.38646151408974205</v>
      </c>
      <c r="AE185" s="246"/>
      <c r="AF185" s="1220">
        <f>+H185/AD185*100</f>
        <v>158.69284254744363</v>
      </c>
      <c r="AG185" s="310"/>
      <c r="AH185" s="114"/>
      <c r="AI185" s="1129">
        <f>SUM(AI181:AI184)</f>
        <v>2520.7799075150001</v>
      </c>
      <c r="AJ185" s="114"/>
      <c r="AK185" s="1359">
        <f>SUM(AK181:AK184)</f>
        <v>363.38751565465708</v>
      </c>
      <c r="AL185" s="114"/>
      <c r="AM185" s="1221">
        <f>(AK185/AK178-1)*100</f>
        <v>-0.13365515040452136</v>
      </c>
      <c r="AN185" s="246"/>
      <c r="AO185" s="246"/>
      <c r="AP185" s="1142">
        <f>+SUM(AP181:AP184)</f>
        <v>853.24314945669994</v>
      </c>
      <c r="AQ185" s="1142">
        <f>+SUM(AQ181:AQ184)</f>
        <v>133.83730324330008</v>
      </c>
      <c r="AR185" s="1384">
        <v>0.16</v>
      </c>
      <c r="AS185" s="1142">
        <f>SUM(AS181:AS184)</f>
        <v>987.08045270000002</v>
      </c>
      <c r="AT185" s="1331">
        <f>AS185/AS178-1</f>
        <v>9.9101069100695494E-3</v>
      </c>
      <c r="AU185" s="1394">
        <f>AS185/'qtrP&amp;L'!CV14</f>
        <v>0.28139103366118629</v>
      </c>
      <c r="AV185" s="1151">
        <f>'qtrP&amp;L'!CV14</f>
        <v>3507.8603602149997</v>
      </c>
      <c r="AW185" s="1373">
        <f>(AS185-AS178)/AV178</f>
        <v>2.7732443188488078E-3</v>
      </c>
      <c r="AX185" s="1151">
        <f>'qtrP&amp;L'!CX14-(AW185*100)</f>
        <v>-0.3964449563739052</v>
      </c>
      <c r="AY185" s="114"/>
      <c r="AZ185" s="114"/>
      <c r="BA185" s="1151"/>
      <c r="BB185" s="114"/>
    </row>
    <row r="186" spans="1:60">
      <c r="A186" s="114"/>
      <c r="B186" s="245"/>
      <c r="C186" s="114"/>
      <c r="D186" s="1151"/>
      <c r="E186" s="114"/>
      <c r="F186" s="1349"/>
      <c r="G186" s="114"/>
      <c r="H186" s="1123"/>
      <c r="I186" s="114"/>
      <c r="J186" s="114"/>
      <c r="K186" s="114"/>
      <c r="L186" s="1357"/>
      <c r="M186" s="114"/>
      <c r="N186" s="1151"/>
      <c r="O186" s="246"/>
      <c r="P186" s="1220"/>
      <c r="Q186" s="310"/>
      <c r="R186" s="114"/>
      <c r="S186" s="1129"/>
      <c r="T186" s="1375"/>
      <c r="U186" s="1237"/>
      <c r="V186" s="114"/>
      <c r="W186" s="1221"/>
      <c r="X186" s="246"/>
      <c r="Y186" s="114"/>
      <c r="Z186" s="114"/>
      <c r="AA186" s="114"/>
      <c r="AB186" s="1358"/>
      <c r="AC186" s="114"/>
      <c r="AD186" s="1151"/>
      <c r="AE186" s="246"/>
      <c r="AF186" s="1220"/>
      <c r="AG186" s="310"/>
      <c r="AH186" s="114"/>
      <c r="AI186" s="1129"/>
      <c r="AJ186" s="114"/>
      <c r="AK186" s="1359"/>
      <c r="AL186" s="114"/>
      <c r="AM186" s="1221"/>
      <c r="AN186" s="246"/>
      <c r="AO186" s="246"/>
      <c r="AP186" s="1142"/>
      <c r="AQ186" s="1142"/>
      <c r="AR186" s="1384"/>
      <c r="AS186" s="1142"/>
      <c r="AT186" s="1331"/>
      <c r="AU186" s="1173"/>
      <c r="AV186" s="1151"/>
      <c r="AW186" s="1373"/>
      <c r="AX186" s="114"/>
      <c r="AY186" s="114"/>
      <c r="AZ186" s="114"/>
      <c r="BA186" s="1151"/>
      <c r="BB186" s="114"/>
    </row>
    <row r="187" spans="1:60">
      <c r="A187" s="22" t="s">
        <v>7</v>
      </c>
      <c r="B187" s="200"/>
      <c r="F187" s="114"/>
      <c r="N187" s="865"/>
      <c r="Z187" s="18"/>
      <c r="AS187" s="1059"/>
      <c r="AT187" s="1115"/>
      <c r="AU187" s="114"/>
    </row>
    <row r="188" spans="1:60">
      <c r="A188" s="22" t="s">
        <v>699</v>
      </c>
      <c r="B188" s="200"/>
      <c r="N188" s="865"/>
      <c r="S188" s="1030"/>
      <c r="AS188" s="360"/>
      <c r="AT188" s="1115"/>
    </row>
    <row r="189" spans="1:60">
      <c r="N189" s="865"/>
      <c r="S189" s="2185"/>
      <c r="AS189" s="1059"/>
      <c r="AT189" s="1115"/>
    </row>
    <row r="190" spans="1:60">
      <c r="N190" s="865"/>
      <c r="AS190" s="2187"/>
      <c r="AT190" s="1115"/>
    </row>
    <row r="191" spans="1:60">
      <c r="AS191" s="2145"/>
      <c r="AT191" s="2185"/>
      <c r="AU191" s="2145"/>
    </row>
  </sheetData>
  <dataConsolidate/>
  <mergeCells count="2">
    <mergeCell ref="Z5:AM5"/>
    <mergeCell ref="BD102:BF102"/>
  </mergeCells>
  <phoneticPr fontId="0" type="noConversion"/>
  <dataValidations disablePrompts="1" count="1">
    <dataValidation type="custom" allowBlank="1" showInputMessage="1" showErrorMessage="1" sqref="F69 S132:S135 Z132:Z135 AT7 AP7:AS8 S104:S107 S90:S93 Z90:Z93 Z104:Z107 F83:F85 S97:S100 F90:F92 Z83:Z86 Z97:Z100 Z76:Z78 S77:S79 F76:F78 Z70:Z71 S70:S72 Z111:Z114 S111:S114 Z118:Z121 S118:S121 S125:S128 Z125:Z128 S139:S142 Z139:Z142 AW8:AW9">
      <formula1>-1</formula1>
    </dataValidation>
  </dataValidations>
  <printOptions horizontalCentered="1"/>
  <pageMargins left="0" right="0" top="0.22" bottom="0" header="0.42" footer="0.5"/>
  <pageSetup scale="80" orientation="landscape" r:id="rId1"/>
  <headerFooter alignWithMargins="0">
    <oddFooter>&amp;R&amp;8&amp;D/&amp;T
&amp;F/&amp;A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E240"/>
  <sheetViews>
    <sheetView showGridLines="0" topLeftCell="BX1" zoomScale="85" zoomScaleNormal="85" zoomScaleSheetLayoutView="100" workbookViewId="0">
      <pane ySplit="9720" topLeftCell="A151"/>
      <selection activeCell="CT23" sqref="CT23"/>
      <selection pane="bottomLeft" activeCell="CX186" sqref="CX186"/>
    </sheetView>
  </sheetViews>
  <sheetFormatPr defaultRowHeight="12.75" outlineLevelRow="2" outlineLevelCol="1"/>
  <cols>
    <col min="1" max="1" width="3" style="114" customWidth="1"/>
    <col min="2" max="2" width="5.140625" style="114" customWidth="1"/>
    <col min="3" max="3" width="5.7109375" style="114" hidden="1" customWidth="1"/>
    <col min="4" max="4" width="9.140625" style="114" hidden="1" customWidth="1" outlineLevel="1"/>
    <col min="5" max="6" width="5.7109375" style="114" hidden="1" customWidth="1" outlineLevel="1"/>
    <col min="7" max="7" width="2.42578125" style="114" hidden="1" customWidth="1" outlineLevel="1"/>
    <col min="8" max="8" width="9.140625" style="114" hidden="1" customWidth="1" outlineLevel="1"/>
    <col min="9" max="10" width="5.7109375" style="114" hidden="1" customWidth="1" outlineLevel="1"/>
    <col min="11" max="11" width="2.42578125" style="114" hidden="1" customWidth="1" outlineLevel="1"/>
    <col min="12" max="12" width="9.140625" style="114" hidden="1" customWidth="1" outlineLevel="1"/>
    <col min="13" max="14" width="5.7109375" style="114" hidden="1" customWidth="1" outlineLevel="1"/>
    <col min="15" max="15" width="2.42578125" style="114" hidden="1" customWidth="1" outlineLevel="1"/>
    <col min="16" max="16" width="9.140625" style="114" hidden="1" customWidth="1" outlineLevel="1"/>
    <col min="17" max="18" width="5.7109375" style="114" hidden="1" customWidth="1" outlineLevel="1"/>
    <col min="19" max="19" width="2.42578125" style="114" hidden="1" customWidth="1" outlineLevel="1"/>
    <col min="20" max="20" width="9.140625" style="114" hidden="1" customWidth="1" outlineLevel="1" collapsed="1"/>
    <col min="21" max="21" width="6" style="114" hidden="1" customWidth="1" outlineLevel="1"/>
    <col min="22" max="22" width="6.28515625" style="114" hidden="1" customWidth="1" outlineLevel="1"/>
    <col min="23" max="23" width="2.42578125" style="114" hidden="1" customWidth="1" outlineLevel="1"/>
    <col min="24" max="24" width="9.140625" style="114" hidden="1" customWidth="1" outlineLevel="1"/>
    <col min="25" max="25" width="6.28515625" style="114" hidden="1" customWidth="1" outlineLevel="1"/>
    <col min="26" max="26" width="6.42578125" style="114" hidden="1" customWidth="1" outlineLevel="1"/>
    <col min="27" max="27" width="2.42578125" style="114" hidden="1" customWidth="1" outlineLevel="1"/>
    <col min="28" max="28" width="9.140625" style="114" hidden="1" customWidth="1" outlineLevel="1"/>
    <col min="29" max="30" width="5.7109375" style="114" hidden="1" customWidth="1" outlineLevel="1"/>
    <col min="31" max="31" width="2.42578125" style="114" hidden="1" customWidth="1" outlineLevel="1"/>
    <col min="32" max="32" width="9.140625" style="114" hidden="1" customWidth="1" outlineLevel="1" collapsed="1"/>
    <col min="33" max="34" width="5.7109375" style="114" hidden="1" customWidth="1" outlineLevel="1"/>
    <col min="35" max="35" width="2.42578125" style="114" hidden="1" customWidth="1" outlineLevel="1"/>
    <col min="36" max="36" width="9.140625" style="114" hidden="1" customWidth="1" outlineLevel="1" collapsed="1"/>
    <col min="37" max="37" width="6.28515625" style="114" hidden="1" customWidth="1" outlineLevel="1"/>
    <col min="38" max="38" width="5.7109375" style="114" hidden="1" customWidth="1" outlineLevel="1"/>
    <col min="39" max="39" width="2.42578125" style="114" hidden="1" customWidth="1" outlineLevel="1" collapsed="1"/>
    <col min="40" max="40" width="9.140625" style="114" hidden="1" customWidth="1" outlineLevel="1"/>
    <col min="41" max="41" width="6.28515625" style="114" hidden="1" customWidth="1" outlineLevel="1"/>
    <col min="42" max="42" width="5.7109375" style="114" hidden="1" customWidth="1" outlineLevel="1"/>
    <col min="43" max="43" width="2.42578125" style="114" hidden="1" customWidth="1" outlineLevel="1"/>
    <col min="44" max="44" width="9.140625" style="114" hidden="1" customWidth="1" outlineLevel="1"/>
    <col min="45" max="45" width="6.28515625" style="114" hidden="1" customWidth="1" outlineLevel="1"/>
    <col min="46" max="46" width="5.7109375" style="114" hidden="1" customWidth="1" outlineLevel="1"/>
    <col min="47" max="47" width="2.42578125" style="114" hidden="1" customWidth="1" outlineLevel="1"/>
    <col min="48" max="48" width="9.140625" style="114" hidden="1" customWidth="1" outlineLevel="1"/>
    <col min="49" max="49" width="6.28515625" style="114" hidden="1" customWidth="1" outlineLevel="1"/>
    <col min="50" max="50" width="6.140625" style="114" hidden="1" customWidth="1" outlineLevel="1"/>
    <col min="51" max="51" width="2" style="114" hidden="1" customWidth="1" outlineLevel="1"/>
    <col min="52" max="52" width="9" style="114" hidden="1" customWidth="1" outlineLevel="1"/>
    <col min="53" max="53" width="6.28515625" style="114" hidden="1" customWidth="1" outlineLevel="1"/>
    <col min="54" max="54" width="6.140625" style="114" hidden="1" customWidth="1" outlineLevel="1"/>
    <col min="55" max="55" width="1.7109375" style="114" hidden="1" customWidth="1" outlineLevel="1"/>
    <col min="56" max="56" width="9" style="114" hidden="1" customWidth="1" outlineLevel="1"/>
    <col min="57" max="57" width="6.28515625" style="114" hidden="1" customWidth="1" outlineLevel="1"/>
    <col min="58" max="58" width="7.140625" style="114" hidden="1" customWidth="1" outlineLevel="1"/>
    <col min="59" max="59" width="1.85546875" style="114" hidden="1" customWidth="1" outlineLevel="1"/>
    <col min="60" max="60" width="9.5703125" style="114" hidden="1" customWidth="1" outlineLevel="1"/>
    <col min="61" max="61" width="6.28515625" style="114" hidden="1" customWidth="1" outlineLevel="1"/>
    <col min="62" max="62" width="6.42578125" style="114" hidden="1" customWidth="1" outlineLevel="1"/>
    <col min="63" max="63" width="1.5703125" style="114" hidden="1" customWidth="1" outlineLevel="1"/>
    <col min="64" max="64" width="9.5703125" style="114" hidden="1" customWidth="1" outlineLevel="1"/>
    <col min="65" max="65" width="7.5703125" style="114" hidden="1" customWidth="1" outlineLevel="1"/>
    <col min="66" max="66" width="7.7109375" style="114" hidden="1" customWidth="1" outlineLevel="1"/>
    <col min="67" max="67" width="1.7109375" style="114" hidden="1" customWidth="1" outlineLevel="1"/>
    <col min="68" max="68" width="9.5703125" style="114" hidden="1" customWidth="1" outlineLevel="1"/>
    <col min="69" max="69" width="7.42578125" style="114" hidden="1" customWidth="1" outlineLevel="1"/>
    <col min="70" max="70" width="6.42578125" style="114" hidden="1" customWidth="1" outlineLevel="1"/>
    <col min="71" max="71" width="1.7109375" style="22" hidden="1" customWidth="1" outlineLevel="1"/>
    <col min="72" max="72" width="11.5703125" style="22" hidden="1" customWidth="1" outlineLevel="1"/>
    <col min="73" max="73" width="7.140625" style="22" hidden="1" customWidth="1" outlineLevel="1"/>
    <col min="74" max="74" width="6.42578125" style="22" hidden="1" customWidth="1" outlineLevel="1"/>
    <col min="75" max="75" width="1.7109375" style="22" hidden="1" customWidth="1" outlineLevel="1"/>
    <col min="76" max="76" width="9.42578125" style="22" bestFit="1" customWidth="1" collapsed="1"/>
    <col min="77" max="77" width="6.28515625" style="22" customWidth="1"/>
    <col min="78" max="78" width="6.42578125" style="22" customWidth="1"/>
    <col min="79" max="79" width="1.7109375" style="22" customWidth="1"/>
    <col min="80" max="80" width="9" style="22" customWidth="1"/>
    <col min="81" max="81" width="8.85546875" style="22" customWidth="1"/>
    <col min="82" max="82" width="7.42578125" style="22" customWidth="1"/>
    <col min="83" max="83" width="1.7109375" style="22" customWidth="1"/>
    <col min="84" max="84" width="10.5703125" style="22" customWidth="1"/>
    <col min="85" max="85" width="7.140625" style="22" customWidth="1"/>
    <col min="86" max="86" width="8.42578125" style="22" customWidth="1"/>
    <col min="87" max="87" width="1.7109375" style="22" customWidth="1"/>
    <col min="88" max="88" width="9.28515625" style="22" customWidth="1"/>
    <col min="89" max="89" width="7.140625" style="22" customWidth="1"/>
    <col min="90" max="90" width="8.42578125" style="22" customWidth="1"/>
    <col min="91" max="91" width="1.7109375" style="22" customWidth="1"/>
    <col min="92" max="92" width="9.28515625" style="22" customWidth="1"/>
    <col min="93" max="93" width="8" style="22" customWidth="1"/>
    <col min="94" max="94" width="6.85546875" style="22" customWidth="1"/>
    <col min="95" max="95" width="1.7109375" style="22" customWidth="1"/>
    <col min="96" max="96" width="9.28515625" style="22" customWidth="1"/>
    <col min="97" max="97" width="8" style="22" customWidth="1"/>
    <col min="98" max="98" width="7.7109375" style="22" customWidth="1"/>
    <col min="99" max="99" width="1.7109375" style="22" customWidth="1"/>
    <col min="100" max="100" width="9.28515625" style="22" customWidth="1"/>
    <col min="101" max="101" width="8" style="22" customWidth="1"/>
    <col min="102" max="102" width="6.85546875" style="22" customWidth="1"/>
    <col min="103" max="103" width="8.140625" style="22" customWidth="1"/>
    <col min="104" max="104" width="7.5703125" style="22" customWidth="1"/>
    <col min="105" max="105" width="8.28515625" style="22" customWidth="1"/>
    <col min="106" max="106" width="9.5703125" style="22" bestFit="1" customWidth="1"/>
    <col min="107" max="107" width="9.85546875" style="22" bestFit="1" customWidth="1"/>
    <col min="108" max="108" width="1" style="22" customWidth="1"/>
    <col min="109" max="109" width="17.28515625" style="22" bestFit="1" customWidth="1"/>
    <col min="110" max="110" width="11" style="22" bestFit="1" customWidth="1"/>
    <col min="111" max="114" width="9.28515625" style="22" bestFit="1" customWidth="1"/>
    <col min="115" max="129" width="9.140625" style="22"/>
    <col min="130" max="130" width="9.28515625" style="22" bestFit="1" customWidth="1"/>
    <col min="131" max="134" width="9.140625" style="22"/>
    <col min="135" max="135" width="9.28515625" style="22" bestFit="1" customWidth="1"/>
    <col min="136" max="16384" width="9.140625" style="22"/>
  </cols>
  <sheetData>
    <row r="1" spans="1:135">
      <c r="A1" s="236" t="str">
        <f>sumry!A1</f>
        <v>Abercrombie &amp; Fitch</v>
      </c>
      <c r="B1" s="236"/>
      <c r="C1" s="236"/>
      <c r="D1" s="1517"/>
      <c r="E1" s="236"/>
      <c r="F1" s="236"/>
      <c r="G1" s="236"/>
      <c r="H1" s="1517"/>
      <c r="I1" s="236"/>
      <c r="J1" s="236"/>
      <c r="K1" s="236"/>
      <c r="L1" s="1517"/>
      <c r="M1" s="236"/>
      <c r="N1" s="236"/>
      <c r="O1" s="236"/>
      <c r="P1" s="1517"/>
      <c r="Q1" s="236"/>
      <c r="R1" s="236"/>
      <c r="S1" s="1517"/>
      <c r="T1" s="1517"/>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4"/>
      <c r="BT1" s="236"/>
      <c r="BU1" s="236"/>
      <c r="BV1" s="236"/>
      <c r="BW1" s="24"/>
      <c r="BX1" s="236"/>
      <c r="BY1" s="236"/>
      <c r="BZ1" s="236"/>
      <c r="CA1" s="1518"/>
      <c r="CY1" s="24"/>
      <c r="CZ1" s="24"/>
      <c r="DA1" s="24"/>
      <c r="DB1" s="24"/>
      <c r="DC1" s="24"/>
      <c r="DD1" s="24"/>
      <c r="DE1" s="24"/>
      <c r="DF1" s="24"/>
      <c r="DG1" s="24"/>
      <c r="DH1" s="24"/>
      <c r="DI1" s="24"/>
      <c r="DJ1" s="24"/>
      <c r="DK1" s="24"/>
      <c r="DL1" s="24"/>
      <c r="DM1" s="24"/>
      <c r="DN1" s="24"/>
      <c r="DO1" s="24"/>
      <c r="DP1" s="24"/>
      <c r="DQ1" s="24"/>
      <c r="DR1" s="24"/>
      <c r="DS1" s="24"/>
      <c r="DT1" s="24"/>
      <c r="DU1" s="24"/>
      <c r="DV1" s="24"/>
      <c r="DW1" s="24"/>
      <c r="DX1" s="24"/>
      <c r="DY1" s="24"/>
      <c r="DZ1" s="24"/>
      <c r="EA1" s="24"/>
      <c r="EB1" s="24"/>
      <c r="EC1" s="24"/>
      <c r="ED1" s="24"/>
      <c r="EE1" s="24"/>
    </row>
    <row r="2" spans="1:135">
      <c r="A2" s="1520" t="s">
        <v>111</v>
      </c>
      <c r="B2" s="1520"/>
      <c r="C2" s="1520"/>
      <c r="D2" s="1521"/>
      <c r="E2" s="1520"/>
      <c r="F2" s="1520"/>
      <c r="G2" s="1520"/>
      <c r="H2" s="1521"/>
      <c r="I2" s="1520"/>
      <c r="J2" s="1520"/>
      <c r="K2" s="1520"/>
      <c r="L2" s="1521"/>
      <c r="M2" s="1520"/>
      <c r="N2" s="1520"/>
      <c r="O2" s="1520"/>
      <c r="P2" s="1521"/>
      <c r="Q2" s="1520"/>
      <c r="R2" s="1520"/>
      <c r="S2" s="1521"/>
      <c r="T2" s="1521"/>
      <c r="U2" s="1520"/>
      <c r="V2" s="1520"/>
      <c r="W2" s="1520"/>
      <c r="X2" s="1520"/>
      <c r="Y2" s="1520"/>
      <c r="Z2" s="1520"/>
      <c r="AA2" s="1520"/>
      <c r="AB2" s="1520"/>
      <c r="AC2" s="1520"/>
      <c r="AD2" s="1520"/>
      <c r="AE2" s="1520"/>
      <c r="AF2" s="1520"/>
      <c r="AG2" s="1520"/>
      <c r="AH2" s="1520"/>
      <c r="AI2" s="1520"/>
      <c r="AJ2" s="1520"/>
      <c r="AK2" s="1520"/>
      <c r="AL2" s="1520"/>
      <c r="AM2" s="1520"/>
      <c r="AN2" s="1520"/>
      <c r="AO2" s="1520"/>
      <c r="AP2" s="1520"/>
      <c r="AQ2" s="1520"/>
      <c r="AR2" s="1520"/>
      <c r="AS2" s="1520"/>
      <c r="AT2" s="1520"/>
      <c r="AU2" s="1520"/>
      <c r="AV2" s="1520"/>
      <c r="AW2" s="1520"/>
      <c r="AX2" s="1520"/>
      <c r="AY2" s="1520"/>
      <c r="AZ2" s="1520"/>
      <c r="BA2" s="1520"/>
      <c r="BB2" s="1520"/>
      <c r="BC2" s="1520"/>
      <c r="BD2" s="1520"/>
      <c r="BE2" s="1520"/>
      <c r="BF2" s="1520"/>
      <c r="BG2" s="1520"/>
      <c r="BH2" s="1520"/>
      <c r="BI2" s="1520"/>
      <c r="BJ2" s="1520"/>
      <c r="BK2" s="1520"/>
      <c r="BL2" s="1520"/>
      <c r="BM2" s="1520"/>
      <c r="BN2" s="1520"/>
      <c r="BO2" s="1520"/>
      <c r="BP2" s="1520"/>
      <c r="BQ2" s="1520"/>
      <c r="BR2" s="1520"/>
      <c r="BS2" s="25"/>
      <c r="BT2" s="1520"/>
      <c r="BU2" s="1520"/>
      <c r="BV2" s="1520"/>
      <c r="BW2" s="25"/>
      <c r="BX2" s="1520"/>
      <c r="BY2" s="1520"/>
      <c r="BZ2" s="1520"/>
      <c r="CA2" s="1522"/>
      <c r="CB2" s="1522"/>
      <c r="CC2" s="1522"/>
      <c r="CD2" s="1522"/>
      <c r="CE2" s="1522"/>
      <c r="CF2" s="1522"/>
      <c r="CG2" s="1522"/>
      <c r="CH2" s="1522"/>
      <c r="CI2" s="1522"/>
      <c r="CJ2" s="1522"/>
      <c r="CK2" s="1522"/>
      <c r="CL2" s="1522"/>
      <c r="CM2" s="1522"/>
      <c r="CN2" s="1522"/>
      <c r="CO2" s="1522"/>
      <c r="CP2" s="1522"/>
      <c r="CQ2" s="1522"/>
      <c r="CR2" s="1522"/>
      <c r="CS2" s="1522"/>
      <c r="CT2" s="1522"/>
      <c r="CU2" s="1522"/>
      <c r="CV2" s="1522"/>
      <c r="CW2" s="1522"/>
      <c r="CX2" s="1522"/>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row>
    <row r="3" spans="1:135">
      <c r="A3" s="1523" t="s">
        <v>252</v>
      </c>
      <c r="BT3" s="114"/>
      <c r="BU3" s="114"/>
      <c r="BV3" s="114"/>
      <c r="BX3" s="114"/>
      <c r="BY3" s="236"/>
      <c r="BZ3" s="114"/>
      <c r="CA3" s="237"/>
      <c r="CB3" s="237"/>
      <c r="CC3" s="237"/>
      <c r="CD3" s="237"/>
      <c r="CE3" s="237"/>
      <c r="CF3" s="237"/>
      <c r="CG3" s="237"/>
      <c r="CH3" s="237"/>
      <c r="CI3" s="237"/>
      <c r="CJ3" s="237"/>
      <c r="CK3" s="237"/>
      <c r="CL3" s="237"/>
      <c r="CM3" s="237"/>
      <c r="CN3" s="237"/>
      <c r="CO3" s="237"/>
      <c r="CP3" s="237"/>
      <c r="CQ3" s="237"/>
      <c r="CR3" s="237"/>
      <c r="CS3" s="237"/>
      <c r="CT3" s="237"/>
      <c r="CU3" s="237"/>
      <c r="CV3" s="237"/>
      <c r="CW3" s="237"/>
      <c r="CX3" s="237"/>
    </row>
    <row r="4" spans="1:135">
      <c r="A4" s="1523" t="s">
        <v>114</v>
      </c>
      <c r="AN4" s="236"/>
      <c r="AO4" s="236"/>
      <c r="AP4" s="236"/>
      <c r="AR4" s="236"/>
      <c r="AS4" s="236"/>
      <c r="AT4" s="236"/>
      <c r="AV4" s="236"/>
      <c r="AW4" s="236"/>
      <c r="AX4" s="236"/>
      <c r="AZ4" s="236"/>
      <c r="BA4" s="236"/>
      <c r="BB4" s="236"/>
      <c r="BD4" s="1524"/>
      <c r="BE4" s="236"/>
      <c r="BF4" s="236"/>
      <c r="BH4" s="236"/>
      <c r="BI4" s="236"/>
      <c r="BJ4" s="236"/>
      <c r="BL4" s="236"/>
      <c r="BM4" s="236"/>
      <c r="BN4" s="236"/>
      <c r="BP4" s="236"/>
      <c r="BQ4" s="236"/>
      <c r="BR4" s="236"/>
      <c r="BT4" s="236"/>
      <c r="BU4" s="236"/>
      <c r="BV4" s="236"/>
      <c r="BX4" s="1525"/>
      <c r="BY4" s="1525"/>
      <c r="BZ4" s="236"/>
      <c r="CA4" s="200"/>
      <c r="CB4" s="200"/>
      <c r="CC4" s="200"/>
      <c r="CD4" s="200"/>
      <c r="CE4" s="200"/>
      <c r="CF4" s="200"/>
      <c r="CG4" s="200"/>
      <c r="CH4" s="200"/>
      <c r="CI4" s="200"/>
      <c r="CJ4" s="200"/>
      <c r="CK4" s="200"/>
      <c r="CL4" s="200"/>
      <c r="CM4" s="200"/>
      <c r="CN4" s="200"/>
      <c r="CO4" s="200"/>
      <c r="CP4" s="200"/>
      <c r="CQ4" s="200"/>
      <c r="CR4" s="200"/>
      <c r="CS4" s="200"/>
      <c r="CT4" s="200"/>
      <c r="CU4" s="200"/>
      <c r="CV4" s="200"/>
      <c r="CW4" s="200"/>
      <c r="CX4" s="200"/>
      <c r="DG4" s="379"/>
      <c r="DH4" s="317"/>
    </row>
    <row r="5" spans="1:135">
      <c r="A5" s="1523"/>
      <c r="BT5" s="114"/>
      <c r="BU5" s="114"/>
      <c r="BV5" s="114"/>
      <c r="BX5" s="114"/>
      <c r="BY5" s="114"/>
      <c r="BZ5" s="114"/>
      <c r="CA5" s="1303"/>
      <c r="CB5" s="1303"/>
      <c r="CC5" s="1303"/>
      <c r="CD5" s="1303"/>
      <c r="CE5" s="1303"/>
      <c r="CF5" s="1303"/>
      <c r="CG5" s="1303"/>
      <c r="CH5" s="1303"/>
      <c r="CI5" s="1303"/>
      <c r="CJ5" s="1303"/>
      <c r="CK5" s="1303"/>
      <c r="CL5" s="1303"/>
      <c r="CM5" s="1303"/>
      <c r="CN5" s="1303"/>
      <c r="CO5" s="1303"/>
      <c r="CP5" s="1303"/>
      <c r="CQ5" s="1303"/>
      <c r="CR5" s="1303"/>
      <c r="CS5" s="1303"/>
      <c r="CT5" s="1303"/>
      <c r="CU5" s="1303"/>
      <c r="CV5" s="1303"/>
      <c r="CW5" s="1303"/>
      <c r="CX5" s="1303"/>
      <c r="DI5" s="379"/>
    </row>
    <row r="6" spans="1:135">
      <c r="A6" s="1523"/>
      <c r="D6" s="1526">
        <v>1994</v>
      </c>
      <c r="E6" s="1527"/>
      <c r="F6" s="1528"/>
      <c r="H6" s="1526">
        <v>1995</v>
      </c>
      <c r="I6" s="1527"/>
      <c r="J6" s="1528"/>
      <c r="L6" s="1528">
        <f>H6+1</f>
        <v>1996</v>
      </c>
      <c r="M6" s="1527"/>
      <c r="N6" s="1528"/>
      <c r="P6" s="1528">
        <f>L6+1</f>
        <v>1997</v>
      </c>
      <c r="Q6" s="1527"/>
      <c r="R6" s="1528"/>
      <c r="T6" s="1528">
        <f>P6+1</f>
        <v>1998</v>
      </c>
      <c r="U6" s="1527"/>
      <c r="V6" s="1528"/>
      <c r="X6" s="1528">
        <f>T6+1</f>
        <v>1999</v>
      </c>
      <c r="Y6" s="1527"/>
      <c r="Z6" s="1528"/>
      <c r="AB6" s="1528">
        <f>X6+1</f>
        <v>2000</v>
      </c>
      <c r="AC6" s="1527"/>
      <c r="AD6" s="1528"/>
      <c r="AF6" s="1528">
        <f>AB6+1</f>
        <v>2001</v>
      </c>
      <c r="AG6" s="1527"/>
      <c r="AH6" s="1528"/>
      <c r="AJ6" s="1528">
        <f>AF6+1</f>
        <v>2002</v>
      </c>
      <c r="AK6" s="1527"/>
      <c r="AL6" s="1528"/>
      <c r="AN6" s="1528">
        <f>AJ6+1</f>
        <v>2003</v>
      </c>
      <c r="AO6" s="1527"/>
      <c r="AP6" s="1528"/>
      <c r="AR6" s="1528">
        <v>2004</v>
      </c>
      <c r="AS6" s="1527"/>
      <c r="AT6" s="1528"/>
      <c r="AV6" s="1528">
        <v>2005</v>
      </c>
      <c r="AW6" s="1527"/>
      <c r="AX6" s="1528"/>
      <c r="AZ6" s="1528">
        <v>2006</v>
      </c>
      <c r="BA6" s="1527"/>
      <c r="BB6" s="1528"/>
      <c r="BD6" s="1528">
        <v>2007</v>
      </c>
      <c r="BE6" s="1527"/>
      <c r="BF6" s="1528"/>
      <c r="BH6" s="1528">
        <v>2008</v>
      </c>
      <c r="BI6" s="1527"/>
      <c r="BJ6" s="1528"/>
      <c r="BL6" s="1528">
        <v>2009</v>
      </c>
      <c r="BM6" s="1528"/>
      <c r="BN6" s="1528"/>
      <c r="BP6" s="1528">
        <v>2010</v>
      </c>
      <c r="BQ6" s="1528"/>
      <c r="BR6" s="1528"/>
      <c r="BT6" s="1529" t="s">
        <v>68</v>
      </c>
      <c r="BU6" s="1529"/>
      <c r="BV6" s="1529"/>
      <c r="BX6" s="1529" t="s">
        <v>552</v>
      </c>
      <c r="BY6" s="1529"/>
      <c r="BZ6" s="1529"/>
      <c r="CA6" s="200"/>
      <c r="CB6" s="2303" t="s">
        <v>679</v>
      </c>
      <c r="CC6" s="2303"/>
      <c r="CD6" s="2303"/>
      <c r="CE6" s="200"/>
      <c r="CF6" s="2303" t="s">
        <v>790</v>
      </c>
      <c r="CG6" s="2303"/>
      <c r="CH6" s="2303"/>
      <c r="CI6" s="200"/>
      <c r="CJ6" s="2303" t="s">
        <v>1431</v>
      </c>
      <c r="CK6" s="2303"/>
      <c r="CL6" s="2303"/>
      <c r="CM6" s="200"/>
      <c r="CN6" s="2303" t="s">
        <v>1433</v>
      </c>
      <c r="CO6" s="2303"/>
      <c r="CP6" s="2303"/>
      <c r="CQ6" s="200"/>
      <c r="CR6" s="2303" t="s">
        <v>1437</v>
      </c>
      <c r="CS6" s="2303"/>
      <c r="CT6" s="2303"/>
      <c r="CU6" s="200"/>
      <c r="CV6" s="2302" t="s">
        <v>375</v>
      </c>
      <c r="CW6" s="2302"/>
      <c r="CX6" s="2302"/>
      <c r="DE6" s="22">
        <v>2</v>
      </c>
      <c r="DH6" s="379"/>
      <c r="DI6" s="379"/>
      <c r="DJ6" s="317"/>
    </row>
    <row r="7" spans="1:135">
      <c r="AO7" s="312"/>
      <c r="AS7" s="312"/>
      <c r="BN7" s="22"/>
      <c r="BP7" s="1530" t="s">
        <v>768</v>
      </c>
      <c r="BQ7" s="1530"/>
      <c r="BT7" s="1530" t="s">
        <v>760</v>
      </c>
      <c r="BU7" s="114"/>
      <c r="BV7" s="114"/>
      <c r="BX7" s="1530"/>
      <c r="BY7" s="114"/>
      <c r="BZ7" s="114"/>
      <c r="CA7" s="114"/>
      <c r="CB7" s="200"/>
      <c r="CC7" s="200"/>
      <c r="CD7" s="200"/>
      <c r="CE7" s="200"/>
      <c r="CF7" s="200"/>
      <c r="CG7" s="200"/>
      <c r="CH7" s="200"/>
      <c r="CI7" s="200"/>
      <c r="CJ7" s="200"/>
      <c r="CK7" s="200"/>
      <c r="CL7" s="200"/>
      <c r="CM7" s="200"/>
      <c r="CN7" s="200"/>
      <c r="CO7" s="200"/>
      <c r="CP7" s="200"/>
      <c r="CQ7" s="200"/>
      <c r="CR7" s="200"/>
      <c r="CS7" s="200"/>
      <c r="CT7" s="200"/>
      <c r="CU7" s="200"/>
      <c r="CV7" s="200"/>
      <c r="CW7" s="200"/>
      <c r="CX7" s="200"/>
      <c r="DE7" s="22">
        <v>1</v>
      </c>
      <c r="DI7" s="379"/>
    </row>
    <row r="8" spans="1:135">
      <c r="C8" s="313"/>
      <c r="D8" s="1531"/>
      <c r="H8" s="1532"/>
      <c r="I8" s="1533"/>
      <c r="J8" s="1533"/>
      <c r="K8" s="1533"/>
      <c r="L8" s="1532"/>
      <c r="M8" s="1533"/>
      <c r="N8" s="1533"/>
      <c r="O8" s="1533"/>
      <c r="P8" s="1532"/>
      <c r="Q8" s="1533"/>
      <c r="R8" s="1533"/>
      <c r="S8" s="1533"/>
      <c r="T8" s="1532"/>
      <c r="U8" s="1533"/>
      <c r="V8" s="1533"/>
      <c r="W8" s="1533"/>
      <c r="Y8" s="1533"/>
      <c r="Z8" s="1533"/>
      <c r="AA8" s="1533"/>
      <c r="AC8" s="1533"/>
      <c r="AD8" s="1533"/>
      <c r="AE8" s="1533"/>
      <c r="AF8" s="1532"/>
      <c r="AG8" s="1533"/>
      <c r="AH8" s="1533"/>
      <c r="AI8" s="1533"/>
      <c r="AK8" s="1533"/>
      <c r="AL8" s="1533"/>
      <c r="AM8" s="1533"/>
      <c r="AN8" s="1532"/>
      <c r="AO8" s="1533"/>
      <c r="AP8" s="1533"/>
      <c r="AQ8" s="1533"/>
      <c r="AS8" s="1533"/>
      <c r="AT8" s="1533"/>
      <c r="AU8" s="1533"/>
      <c r="AV8" s="1532"/>
      <c r="AW8" s="1533"/>
      <c r="AX8" s="1533"/>
      <c r="AY8" s="1533"/>
      <c r="AZ8" s="1532"/>
      <c r="BA8" s="1533"/>
      <c r="BB8" s="1533"/>
      <c r="BC8" s="1533"/>
      <c r="BD8" s="1532"/>
      <c r="BE8" s="1533"/>
      <c r="BF8" s="1533"/>
      <c r="BG8" s="1533"/>
      <c r="BH8" s="1532"/>
      <c r="BI8" s="22"/>
      <c r="BJ8" s="1533"/>
      <c r="BK8" s="1533"/>
      <c r="BL8" s="1532"/>
      <c r="BM8" s="1533"/>
      <c r="BN8" s="1533"/>
      <c r="BO8" s="1533"/>
      <c r="BP8" s="1532"/>
      <c r="BQ8" s="1533"/>
      <c r="BR8" s="1533"/>
      <c r="BS8" s="1534"/>
      <c r="BT8" s="1532"/>
      <c r="BU8" s="1533"/>
      <c r="BW8" s="1534"/>
      <c r="BX8" s="1532"/>
      <c r="BY8" s="1533"/>
      <c r="BZ8" s="1533"/>
      <c r="CA8" s="1533"/>
      <c r="CB8" s="200"/>
      <c r="CC8" s="1532" t="s">
        <v>769</v>
      </c>
      <c r="CD8" s="200"/>
      <c r="CE8" s="200"/>
      <c r="CF8" s="200"/>
      <c r="CG8" s="200"/>
      <c r="CH8" s="200"/>
      <c r="CI8" s="200"/>
      <c r="CJ8" s="200"/>
      <c r="CK8" s="200"/>
      <c r="CL8" s="200"/>
      <c r="CM8" s="200"/>
      <c r="CN8" s="200"/>
      <c r="CO8" s="200"/>
      <c r="CP8" s="200"/>
      <c r="CQ8" s="200"/>
      <c r="CR8" s="200"/>
      <c r="CS8" s="200"/>
      <c r="CT8" s="200"/>
      <c r="CU8" s="200"/>
      <c r="CV8" s="200"/>
      <c r="CW8" s="200"/>
      <c r="CX8" s="200"/>
      <c r="DE8" s="22">
        <v>-2</v>
      </c>
      <c r="DI8" s="379"/>
    </row>
    <row r="9" spans="1:135">
      <c r="AR9" s="1535"/>
      <c r="AZ9" s="1536"/>
      <c r="BL9" s="1537"/>
      <c r="BM9" s="1517"/>
      <c r="BN9" s="1538"/>
      <c r="BP9" s="1537"/>
      <c r="BT9" s="1539"/>
      <c r="BU9" s="1540"/>
      <c r="BV9" s="114"/>
      <c r="BX9" s="1539"/>
      <c r="BY9" s="1540"/>
      <c r="BZ9" s="114"/>
      <c r="CA9" s="114"/>
      <c r="CB9" s="200"/>
      <c r="CC9" s="200"/>
      <c r="CD9" s="200"/>
      <c r="CE9" s="200"/>
      <c r="CF9" s="200"/>
      <c r="CG9" s="200"/>
      <c r="CH9" s="200"/>
      <c r="CI9" s="200"/>
      <c r="CJ9" s="200"/>
      <c r="CK9" s="200"/>
      <c r="CL9" s="200"/>
      <c r="CM9" s="200"/>
      <c r="CN9" s="200"/>
      <c r="CO9" s="200"/>
      <c r="CP9" s="200"/>
      <c r="CQ9" s="200"/>
      <c r="CR9" s="200"/>
      <c r="CS9" s="200"/>
      <c r="CT9" s="200"/>
      <c r="CU9" s="200"/>
      <c r="CV9" s="200"/>
      <c r="CW9" s="200"/>
      <c r="CX9" s="200"/>
      <c r="CY9" s="379"/>
      <c r="CZ9" s="379"/>
      <c r="DA9" s="1347"/>
      <c r="DB9" s="1347"/>
      <c r="DC9" s="1347"/>
      <c r="DE9" s="2145">
        <v>-4</v>
      </c>
      <c r="DI9" s="379"/>
      <c r="DJ9" s="317"/>
    </row>
    <row r="10" spans="1:135">
      <c r="A10" s="114" t="s">
        <v>115</v>
      </c>
      <c r="B10" s="114" t="s">
        <v>96</v>
      </c>
      <c r="D10" s="1541">
        <v>23.399000000000001</v>
      </c>
      <c r="E10" s="1542"/>
      <c r="F10" s="1543">
        <v>15</v>
      </c>
      <c r="H10" s="1541">
        <v>33.377000000000002</v>
      </c>
      <c r="I10" s="1542">
        <f t="shared" ref="I10:I16" si="0">(H10/D10-1)*100</f>
        <v>42.642847984956632</v>
      </c>
      <c r="J10" s="1543">
        <v>7</v>
      </c>
      <c r="L10" s="1541">
        <v>51.02</v>
      </c>
      <c r="M10" s="1542">
        <f>(L10/H10-1)*100</f>
        <v>52.859753722623367</v>
      </c>
      <c r="N10" s="1543">
        <v>17</v>
      </c>
      <c r="P10" s="1541">
        <v>74.316000000000003</v>
      </c>
      <c r="Q10" s="1542">
        <f>(P10/L10-1)*100</f>
        <v>45.660525284202279</v>
      </c>
      <c r="R10" s="1543">
        <v>14</v>
      </c>
      <c r="T10" s="1541">
        <v>132.14400000000001</v>
      </c>
      <c r="U10" s="1542">
        <f>(T10/P10-1)*100</f>
        <v>77.813660584530922</v>
      </c>
      <c r="V10" s="1543">
        <v>48</v>
      </c>
      <c r="X10" s="1541">
        <v>186.42699999999999</v>
      </c>
      <c r="Y10" s="1542">
        <f>(X10/T10-1)*100</f>
        <v>41.078671752028086</v>
      </c>
      <c r="Z10" s="1543">
        <v>22</v>
      </c>
      <c r="AB10" s="1541">
        <v>205.006</v>
      </c>
      <c r="AC10" s="1542">
        <f>(AB10/X10-1)*100</f>
        <v>9.9658311296110682</v>
      </c>
      <c r="AD10" s="1543">
        <v>-8</v>
      </c>
      <c r="AF10" s="1541">
        <v>263.68</v>
      </c>
      <c r="AG10" s="1542">
        <f>(AF10/AB10-1)*100</f>
        <v>28.620625737783278</v>
      </c>
      <c r="AH10" s="1543">
        <v>2</v>
      </c>
      <c r="AJ10" s="1541">
        <v>312.79199999999997</v>
      </c>
      <c r="AK10" s="1542">
        <f>(AJ10/AF10-1)*100</f>
        <v>18.62560679611649</v>
      </c>
      <c r="AL10" s="1543">
        <v>-6</v>
      </c>
      <c r="AN10" s="1541">
        <v>346.72199999999998</v>
      </c>
      <c r="AO10" s="1542">
        <f>(AN10/AJ10-1)*100</f>
        <v>10.84746412951738</v>
      </c>
      <c r="AP10" s="1543">
        <v>-6</v>
      </c>
      <c r="AR10" s="1541">
        <v>411.93</v>
      </c>
      <c r="AS10" s="1542">
        <f>(AR10/AN10-1)*100</f>
        <v>18.806998113762631</v>
      </c>
      <c r="AT10" s="1543">
        <v>0</v>
      </c>
      <c r="AV10" s="1541">
        <v>546.80999999999995</v>
      </c>
      <c r="AW10" s="1542">
        <f>(AV10/AR10-1)*100</f>
        <v>32.743427281334192</v>
      </c>
      <c r="AX10" s="1543">
        <v>19</v>
      </c>
      <c r="AZ10" s="1544">
        <v>657.27099999999996</v>
      </c>
      <c r="BA10" s="1542">
        <f t="shared" ref="BA10:BA16" si="1">(AZ10/AV10-1)*100</f>
        <v>20.200983888370729</v>
      </c>
      <c r="BB10" s="1543">
        <v>6</v>
      </c>
      <c r="BD10" s="1544">
        <v>742.41</v>
      </c>
      <c r="BE10" s="1542">
        <f t="shared" ref="BE10:BE16" si="2">(BD10/AZ10-1)*100</f>
        <v>12.953408867879457</v>
      </c>
      <c r="BF10" s="1543">
        <v>-4</v>
      </c>
      <c r="BH10" s="1544">
        <v>787.13900000000001</v>
      </c>
      <c r="BI10" s="1542">
        <f t="shared" ref="BI10:BI16" si="3">(BH10/BD10-1)*100</f>
        <v>6.0248380275050195</v>
      </c>
      <c r="BJ10" s="1543">
        <v>-3</v>
      </c>
      <c r="BK10" s="1538"/>
      <c r="BL10" s="1544">
        <v>601.72900000000004</v>
      </c>
      <c r="BM10" s="1542">
        <f t="shared" ref="BM10:BM16" si="4">(BL10/BH10-1)*100</f>
        <v>-23.554924860793324</v>
      </c>
      <c r="BN10" s="1543">
        <v>-30</v>
      </c>
      <c r="BO10" s="1538"/>
      <c r="BP10" s="1544">
        <v>687.80399999999997</v>
      </c>
      <c r="BQ10" s="1542">
        <f t="shared" ref="BQ10:BQ16" si="5">(BP10/BL10-1)*100</f>
        <v>14.304612209150624</v>
      </c>
      <c r="BR10" s="1543">
        <v>1</v>
      </c>
      <c r="BS10" s="1515"/>
      <c r="BT10" s="1544">
        <v>836.67399999999998</v>
      </c>
      <c r="BU10" s="1542">
        <f t="shared" ref="BU10:BU16" si="6">(BT10/BP10-1)*100</f>
        <v>21.644247489110271</v>
      </c>
      <c r="BV10" s="1972">
        <v>10</v>
      </c>
      <c r="BW10" s="1515"/>
      <c r="BX10" s="1544">
        <v>921.21799999999996</v>
      </c>
      <c r="BY10" s="1542">
        <f t="shared" ref="BY10:BY16" si="7">(BX10/BT10-1)*100</f>
        <v>10.104771990046292</v>
      </c>
      <c r="BZ10" s="1972">
        <v>1</v>
      </c>
      <c r="CA10" s="1545"/>
      <c r="CB10" s="1544">
        <v>838.76900000000001</v>
      </c>
      <c r="CC10" s="1542">
        <f t="shared" ref="CC10:CC16" si="8">(CB10/BX10-1)*100</f>
        <v>-8.9499988059286721</v>
      </c>
      <c r="CD10" s="1972">
        <v>-15</v>
      </c>
      <c r="CE10" s="200"/>
      <c r="CF10" s="1544">
        <v>822.428</v>
      </c>
      <c r="CG10" s="1542">
        <f t="shared" ref="CG10:CG16" si="9">(CF10/CB10-1)*100</f>
        <v>-1.9482122014523706</v>
      </c>
      <c r="CH10" s="1972">
        <v>-4</v>
      </c>
      <c r="CI10" s="200"/>
      <c r="CJ10" s="1971">
        <v>709.42200000000003</v>
      </c>
      <c r="CK10" s="1542">
        <f t="shared" ref="CK10:CK16" si="10">(CJ10/CF10-1)*100</f>
        <v>-13.740534125783654</v>
      </c>
      <c r="CL10" s="1973">
        <v>-8</v>
      </c>
      <c r="CM10" s="200"/>
      <c r="CN10" s="2026">
        <v>685.48299999999995</v>
      </c>
      <c r="CO10" s="1542">
        <f t="shared" ref="CO10:CO16" si="11">(CN10/CJ10-1)*100</f>
        <v>-3.3744372179041693</v>
      </c>
      <c r="CP10" s="1973">
        <v>-4</v>
      </c>
      <c r="CQ10" s="200"/>
      <c r="CR10" s="2067">
        <v>661.09900000000005</v>
      </c>
      <c r="CS10" s="1542">
        <f t="shared" ref="CS10:CS16" si="12">(CR10/CN10-1)*100</f>
        <v>-3.5571998138538619</v>
      </c>
      <c r="CT10" s="2068">
        <v>-3</v>
      </c>
      <c r="CU10" s="200"/>
      <c r="CV10" s="2175">
        <f>qtrSales!S181+qtrSales!AS181</f>
        <v>699.03953011499993</v>
      </c>
      <c r="CW10" s="1542">
        <f t="shared" ref="CW10:CW16" si="13">(CV10/CR10-1)*100</f>
        <v>5.7390088496579006</v>
      </c>
      <c r="CX10" s="2184">
        <f>qtrSales!F181+(qtrSales!AW181*100)</f>
        <v>3.4900000000000024</v>
      </c>
      <c r="CY10" s="1515">
        <f>CH10+CL10</f>
        <v>-12</v>
      </c>
      <c r="CZ10" s="1515">
        <f>CP10+CL10</f>
        <v>-12</v>
      </c>
      <c r="DA10" s="360">
        <f>CO10-CP10</f>
        <v>0.62556278209583072</v>
      </c>
      <c r="DB10" s="360">
        <f>CS10-CT10</f>
        <v>-0.55719981385386186</v>
      </c>
      <c r="DE10" s="18">
        <f>1.5/CR10</f>
        <v>2.2689491286479028E-3</v>
      </c>
      <c r="DI10" s="379"/>
    </row>
    <row r="11" spans="1:135">
      <c r="A11" s="114" t="s">
        <v>116</v>
      </c>
      <c r="B11" s="114" t="s">
        <v>97</v>
      </c>
      <c r="D11" s="1547">
        <v>29.045000000000002</v>
      </c>
      <c r="E11" s="1542"/>
      <c r="F11" s="1543">
        <v>14</v>
      </c>
      <c r="H11" s="1547">
        <v>38.667999999999999</v>
      </c>
      <c r="I11" s="1542">
        <f t="shared" si="0"/>
        <v>33.131347908417965</v>
      </c>
      <c r="J11" s="1543">
        <v>0</v>
      </c>
      <c r="L11" s="1547">
        <v>57.430999999999997</v>
      </c>
      <c r="M11" s="1542">
        <f t="shared" ref="M11:M16" si="14">(L11/H11-1)*100</f>
        <v>48.52332678183511</v>
      </c>
      <c r="N11" s="1543">
        <v>16</v>
      </c>
      <c r="P11" s="1547">
        <v>86.64</v>
      </c>
      <c r="Q11" s="1542">
        <f t="shared" ref="Q11:Q16" si="15">(P11/L11-1)*100</f>
        <v>50.859292019989219</v>
      </c>
      <c r="R11" s="1543">
        <v>15</v>
      </c>
      <c r="T11" s="1547">
        <v>145.03100000000001</v>
      </c>
      <c r="U11" s="1542">
        <f t="shared" ref="U11:U16" si="16">(T11/P11-1)*100</f>
        <v>67.394967682363813</v>
      </c>
      <c r="V11" s="1543">
        <v>45</v>
      </c>
      <c r="X11" s="1547">
        <v>196.227</v>
      </c>
      <c r="Y11" s="1542">
        <f t="shared" ref="Y11:Y16" si="17">(X11/T11-1)*100</f>
        <v>35.300039301942341</v>
      </c>
      <c r="Z11" s="1543">
        <v>17</v>
      </c>
      <c r="AB11" s="1547">
        <v>229.03100000000001</v>
      </c>
      <c r="AC11" s="1542">
        <f t="shared" ref="AC11:AC16" si="18">(AB11/X11-1)*100</f>
        <v>16.717373246291277</v>
      </c>
      <c r="AD11" s="1543">
        <v>-6</v>
      </c>
      <c r="AF11" s="1547">
        <v>280.11599999999999</v>
      </c>
      <c r="AG11" s="1542">
        <f t="shared" ref="AG11:AG16" si="19">(AF11/AB11-1)*100</f>
        <v>22.304840829407357</v>
      </c>
      <c r="AH11" s="1543">
        <v>-8</v>
      </c>
      <c r="AJ11" s="1548">
        <v>329.154</v>
      </c>
      <c r="AK11" s="1542">
        <f t="shared" ref="AK11:AK16" si="20">(AJ11/AF11-1)*100</f>
        <v>17.506318810778399</v>
      </c>
      <c r="AL11" s="1543">
        <v>-5</v>
      </c>
      <c r="AN11" s="1548">
        <v>355.71899999999999</v>
      </c>
      <c r="AO11" s="1542">
        <f t="shared" ref="AO11:AO16" si="21">(AN11/AJ11-1)*100</f>
        <v>8.0706903151716247</v>
      </c>
      <c r="AP11" s="1543">
        <v>-8</v>
      </c>
      <c r="AR11" s="1548">
        <v>401.346</v>
      </c>
      <c r="AS11" s="1542">
        <f t="shared" ref="AS11:AS16" si="22">(AR11/AN11-1)*100</f>
        <v>12.826697477503313</v>
      </c>
      <c r="AT11" s="1543">
        <v>-5</v>
      </c>
      <c r="AV11" s="1548">
        <v>571.59100000000001</v>
      </c>
      <c r="AW11" s="1542">
        <f t="shared" ref="AW11:AW16" si="23">(AV11/AR11-1)*100</f>
        <v>42.418511708102244</v>
      </c>
      <c r="AX11" s="1543">
        <v>30</v>
      </c>
      <c r="AZ11" s="1548">
        <v>658.69600000000003</v>
      </c>
      <c r="BA11" s="1542">
        <f t="shared" si="1"/>
        <v>15.239043301941436</v>
      </c>
      <c r="BB11" s="1543">
        <v>0</v>
      </c>
      <c r="BD11" s="1548">
        <v>804.53800000000001</v>
      </c>
      <c r="BE11" s="1542">
        <f t="shared" si="2"/>
        <v>22.141018011343625</v>
      </c>
      <c r="BF11" s="1543">
        <v>-2</v>
      </c>
      <c r="BH11" s="1548">
        <v>833.298</v>
      </c>
      <c r="BI11" s="1542">
        <f t="shared" si="3"/>
        <v>3.5747223872582667</v>
      </c>
      <c r="BJ11" s="1543">
        <v>-4</v>
      </c>
      <c r="BK11" s="1538"/>
      <c r="BL11" s="1548">
        <v>637.221</v>
      </c>
      <c r="BM11" s="1542">
        <f t="shared" si="4"/>
        <v>-23.530237682077715</v>
      </c>
      <c r="BN11" s="1543">
        <v>-30</v>
      </c>
      <c r="BO11" s="1538"/>
      <c r="BP11" s="1548">
        <v>745.798</v>
      </c>
      <c r="BQ11" s="1542">
        <f t="shared" si="5"/>
        <v>17.039143405506096</v>
      </c>
      <c r="BR11" s="1543">
        <v>5</v>
      </c>
      <c r="BS11" s="1515"/>
      <c r="BT11" s="1548">
        <v>916.76300000000003</v>
      </c>
      <c r="BU11" s="1542">
        <f t="shared" si="6"/>
        <v>22.923767561725828</v>
      </c>
      <c r="BV11" s="1972">
        <v>9</v>
      </c>
      <c r="BW11" s="1515"/>
      <c r="BX11" s="1548">
        <v>951.40700000000004</v>
      </c>
      <c r="BY11" s="1542">
        <f t="shared" si="7"/>
        <v>3.7789483214309527</v>
      </c>
      <c r="BZ11" s="1972">
        <v>-6</v>
      </c>
      <c r="CA11" s="1545"/>
      <c r="CB11" s="1548">
        <v>945.69799999999998</v>
      </c>
      <c r="CC11" s="1542">
        <f t="shared" si="8"/>
        <v>-0.60005864997840774</v>
      </c>
      <c r="CD11" s="1972">
        <v>-10</v>
      </c>
      <c r="CE11" s="200"/>
      <c r="CF11" s="1549">
        <v>890.60500000000002</v>
      </c>
      <c r="CG11" s="1542">
        <f t="shared" si="9"/>
        <v>-5.8256441274064148</v>
      </c>
      <c r="CH11" s="1973">
        <v>-7</v>
      </c>
      <c r="CI11" s="200"/>
      <c r="CJ11" s="1549">
        <v>817.75599999999997</v>
      </c>
      <c r="CK11" s="1542">
        <f t="shared" si="10"/>
        <v>-8.1797205270574551</v>
      </c>
      <c r="CL11" s="1973">
        <v>-4</v>
      </c>
      <c r="CM11" s="200"/>
      <c r="CN11" s="2032">
        <v>783.16</v>
      </c>
      <c r="CO11" s="1542">
        <f>(CN11/CJ11-1)*100</f>
        <v>-4.2306017931999289</v>
      </c>
      <c r="CP11" s="1973">
        <v>-4</v>
      </c>
      <c r="CQ11" s="200"/>
      <c r="CR11" s="2032">
        <v>779.32100000000003</v>
      </c>
      <c r="CS11" s="1542">
        <f t="shared" si="12"/>
        <v>-0.49019357474844316</v>
      </c>
      <c r="CT11" s="2068">
        <v>-1</v>
      </c>
      <c r="CU11" s="200"/>
      <c r="CV11" s="2176">
        <f>qtrSales!S182+qtrSales!AS182</f>
        <v>832.10776663999991</v>
      </c>
      <c r="CW11" s="1542">
        <f t="shared" si="13"/>
        <v>6.7734305427416874</v>
      </c>
      <c r="CX11" s="2184">
        <f>qtrSales!F182+(qtrSales!AW182*100)</f>
        <v>2.8800000000000012</v>
      </c>
      <c r="CY11" s="1515">
        <f>CH11+CL11</f>
        <v>-11</v>
      </c>
      <c r="CZ11" s="1515">
        <f>CP11+CL11</f>
        <v>-8</v>
      </c>
      <c r="DA11" s="360">
        <f>CO11-CP11</f>
        <v>-0.23060179319992891</v>
      </c>
      <c r="DB11" s="360">
        <f>CS11-CT11</f>
        <v>0.50980642525155684</v>
      </c>
      <c r="DC11" s="1347"/>
      <c r="DE11" s="18">
        <f t="shared" ref="DE11:DE13" si="24">1.5/CR11</f>
        <v>1.9247524447563969E-3</v>
      </c>
      <c r="DI11" s="317"/>
    </row>
    <row r="12" spans="1:135">
      <c r="A12" s="114" t="s">
        <v>117</v>
      </c>
      <c r="B12" s="114" t="s">
        <v>99</v>
      </c>
      <c r="D12" s="1547">
        <v>38.584000000000003</v>
      </c>
      <c r="E12" s="1542"/>
      <c r="F12" s="1543">
        <v>18</v>
      </c>
      <c r="H12" s="1547">
        <v>57.222000000000001</v>
      </c>
      <c r="I12" s="1542">
        <f t="shared" si="0"/>
        <v>48.304996889902554</v>
      </c>
      <c r="J12" s="1543">
        <v>9</v>
      </c>
      <c r="L12" s="1547">
        <v>87.688000000000002</v>
      </c>
      <c r="M12" s="1542">
        <f t="shared" si="14"/>
        <v>53.241760162175389</v>
      </c>
      <c r="N12" s="1543">
        <v>19</v>
      </c>
      <c r="P12" s="1547">
        <v>148.51599999999999</v>
      </c>
      <c r="Q12" s="1542">
        <f t="shared" si="15"/>
        <v>69.368670741720635</v>
      </c>
      <c r="R12" s="1543">
        <v>25</v>
      </c>
      <c r="T12" s="1547">
        <v>227.92</v>
      </c>
      <c r="U12" s="1542">
        <f t="shared" si="16"/>
        <v>53.464946537746783</v>
      </c>
      <c r="V12" s="1543">
        <v>35</v>
      </c>
      <c r="X12" s="1547">
        <v>284.51</v>
      </c>
      <c r="Y12" s="1542">
        <f t="shared" si="17"/>
        <v>24.828887328887326</v>
      </c>
      <c r="Z12" s="1543">
        <v>11</v>
      </c>
      <c r="AB12" s="1547">
        <v>364.12200000000001</v>
      </c>
      <c r="AC12" s="1542">
        <f t="shared" si="18"/>
        <v>27.982144740079452</v>
      </c>
      <c r="AD12" s="1543">
        <v>-3</v>
      </c>
      <c r="AF12" s="1547">
        <v>354.47300000000001</v>
      </c>
      <c r="AG12" s="1542">
        <f t="shared" si="19"/>
        <v>-2.6499360104580316</v>
      </c>
      <c r="AH12" s="1543">
        <v>-15</v>
      </c>
      <c r="AJ12" s="1548">
        <v>419.32900000000001</v>
      </c>
      <c r="AK12" s="1542">
        <f t="shared" si="20"/>
        <v>18.296456993903632</v>
      </c>
      <c r="AL12" s="1543">
        <v>-5</v>
      </c>
      <c r="AN12" s="1548">
        <v>444.97899999999998</v>
      </c>
      <c r="AO12" s="1542">
        <f t="shared" si="21"/>
        <v>6.116915357630881</v>
      </c>
      <c r="AP12" s="1543">
        <v>-9</v>
      </c>
      <c r="AR12" s="1548">
        <v>520.72400000000005</v>
      </c>
      <c r="AS12" s="1542">
        <f t="shared" si="22"/>
        <v>17.022151607154502</v>
      </c>
      <c r="AT12" s="1543">
        <v>1</v>
      </c>
      <c r="AV12" s="1548">
        <v>704.91800000000001</v>
      </c>
      <c r="AW12" s="1542">
        <f t="shared" si="23"/>
        <v>35.372673431606749</v>
      </c>
      <c r="AX12" s="1543">
        <v>25</v>
      </c>
      <c r="AZ12" s="1548">
        <v>863.44799999999998</v>
      </c>
      <c r="BA12" s="1542">
        <f t="shared" si="1"/>
        <v>22.489140580890265</v>
      </c>
      <c r="BB12" s="1543">
        <v>5</v>
      </c>
      <c r="BD12" s="1548">
        <v>973.93</v>
      </c>
      <c r="BE12" s="1542">
        <f t="shared" si="2"/>
        <v>12.795443385125683</v>
      </c>
      <c r="BF12" s="1543">
        <v>1</v>
      </c>
      <c r="BH12" s="1548">
        <v>882.81100000000004</v>
      </c>
      <c r="BI12" s="1542">
        <f t="shared" si="3"/>
        <v>-9.355805858737277</v>
      </c>
      <c r="BJ12" s="1543">
        <v>-14</v>
      </c>
      <c r="BK12" s="1538"/>
      <c r="BL12" s="1548">
        <v>753.68399999999997</v>
      </c>
      <c r="BM12" s="1542">
        <f t="shared" si="4"/>
        <v>-14.626800073854994</v>
      </c>
      <c r="BN12" s="1543">
        <v>-22</v>
      </c>
      <c r="BO12" s="1538"/>
      <c r="BP12" s="1548">
        <v>885.77800000000002</v>
      </c>
      <c r="BQ12" s="1542">
        <f t="shared" si="5"/>
        <v>17.526443443140629</v>
      </c>
      <c r="BR12" s="1543">
        <v>7</v>
      </c>
      <c r="BS12" s="1515"/>
      <c r="BT12" s="1548">
        <v>1075.856</v>
      </c>
      <c r="BU12" s="1542">
        <f>(BT12/BP12-1)*100</f>
        <v>21.458875700231882</v>
      </c>
      <c r="BV12" s="1972">
        <v>7</v>
      </c>
      <c r="BW12" s="1538"/>
      <c r="BX12" s="1548">
        <v>1169.6489999999999</v>
      </c>
      <c r="BY12" s="1542">
        <f t="shared" si="7"/>
        <v>8.7179882809595313</v>
      </c>
      <c r="BZ12" s="1972">
        <v>0</v>
      </c>
      <c r="CA12" s="1545"/>
      <c r="CB12" s="1548">
        <v>1033.2929999999999</v>
      </c>
      <c r="CC12" s="1542">
        <f t="shared" si="8"/>
        <v>-11.657856331258355</v>
      </c>
      <c r="CD12" s="1972">
        <v>-14</v>
      </c>
      <c r="CE12" s="200"/>
      <c r="CF12" s="1550">
        <v>911.45299999999997</v>
      </c>
      <c r="CG12" s="1542">
        <f t="shared" si="9"/>
        <v>-11.79142798799565</v>
      </c>
      <c r="CH12" s="1973">
        <v>-10</v>
      </c>
      <c r="CI12" s="200"/>
      <c r="CJ12" s="1549">
        <v>878.572</v>
      </c>
      <c r="CK12" s="1542">
        <f t="shared" si="10"/>
        <v>-3.6075365378137936</v>
      </c>
      <c r="CL12" s="1973">
        <v>-1</v>
      </c>
      <c r="CM12" s="200"/>
      <c r="CN12" s="2038">
        <v>821.73400000000004</v>
      </c>
      <c r="CO12" s="1542">
        <f t="shared" si="11"/>
        <v>-6.4693616459436392</v>
      </c>
      <c r="CP12" s="1973">
        <v>-6</v>
      </c>
      <c r="CQ12" s="200"/>
      <c r="CR12" s="2237">
        <v>859.11199999999997</v>
      </c>
      <c r="CS12" s="1542">
        <f t="shared" si="12"/>
        <v>4.5486739017735589</v>
      </c>
      <c r="CT12" s="2239">
        <v>4</v>
      </c>
      <c r="CU12" s="200"/>
      <c r="CV12" s="2177">
        <f>qtrSales!S183+qtrSales!AS183</f>
        <v>863.99221295999996</v>
      </c>
      <c r="CW12" s="1542">
        <f t="shared" si="13"/>
        <v>0.56805317118140408</v>
      </c>
      <c r="CX12" s="2044">
        <f>qtrSales!F183+(qtrSales!AW183*100)</f>
        <v>-1.2800000000000011</v>
      </c>
      <c r="CY12" s="1515">
        <f>CH12+CL12</f>
        <v>-11</v>
      </c>
      <c r="CZ12" s="1515">
        <f>CP12+CL12</f>
        <v>-7</v>
      </c>
      <c r="DA12" s="360">
        <f>CO12-CP12</f>
        <v>-0.46936164594363916</v>
      </c>
      <c r="DB12" s="360">
        <f>CS12-CT12</f>
        <v>0.5486739017735589</v>
      </c>
      <c r="DE12" s="18">
        <f t="shared" si="24"/>
        <v>1.7459888815428025E-3</v>
      </c>
      <c r="DZ12" s="22">
        <f>0.067*AR10</f>
        <v>27.599310000000003</v>
      </c>
      <c r="EC12" s="22" t="s">
        <v>709</v>
      </c>
    </row>
    <row r="13" spans="1:135">
      <c r="A13" s="114" t="s">
        <v>118</v>
      </c>
      <c r="B13" s="114" t="s">
        <v>100</v>
      </c>
      <c r="C13" s="310"/>
      <c r="D13" s="1551">
        <v>74.435000000000002</v>
      </c>
      <c r="E13" s="1542"/>
      <c r="F13" s="1543">
        <v>14</v>
      </c>
      <c r="H13" s="1551">
        <v>106.392</v>
      </c>
      <c r="I13" s="1542">
        <f t="shared" si="0"/>
        <v>42.932760126284663</v>
      </c>
      <c r="J13" s="1543">
        <v>5</v>
      </c>
      <c r="L13" s="1551">
        <v>139.233</v>
      </c>
      <c r="M13" s="1542">
        <f t="shared" si="14"/>
        <v>30.867922400180483</v>
      </c>
      <c r="N13" s="1543">
        <v>8</v>
      </c>
      <c r="P13" s="1551">
        <v>212.14500000000001</v>
      </c>
      <c r="Q13" s="1542">
        <f t="shared" si="15"/>
        <v>52.366895779017916</v>
      </c>
      <c r="R13" s="1543">
        <v>23</v>
      </c>
      <c r="T13" s="1551">
        <v>300.08499999999998</v>
      </c>
      <c r="U13" s="1542">
        <f t="shared" si="16"/>
        <v>41.452779938249762</v>
      </c>
      <c r="V13" s="1543">
        <v>26</v>
      </c>
      <c r="X13" s="1551">
        <v>363.69400000000002</v>
      </c>
      <c r="Y13" s="1542">
        <f t="shared" si="17"/>
        <v>21.196994184980934</v>
      </c>
      <c r="Z13" s="1543">
        <v>3</v>
      </c>
      <c r="AB13" s="1551">
        <v>439.44499999999999</v>
      </c>
      <c r="AC13" s="1542">
        <f t="shared" si="18"/>
        <v>20.828223726539342</v>
      </c>
      <c r="AD13" s="1543">
        <v>-9</v>
      </c>
      <c r="AF13" s="1551">
        <v>466.584</v>
      </c>
      <c r="AG13" s="1542">
        <f t="shared" si="19"/>
        <v>6.1757444048743393</v>
      </c>
      <c r="AH13" s="1543">
        <v>-9</v>
      </c>
      <c r="AJ13" s="1551">
        <v>534.48199999999997</v>
      </c>
      <c r="AK13" s="1542">
        <f t="shared" si="20"/>
        <v>14.552149237864986</v>
      </c>
      <c r="AL13" s="1543">
        <v>-4</v>
      </c>
      <c r="AN13" s="1551">
        <v>560.38900000000001</v>
      </c>
      <c r="AO13" s="1542">
        <f t="shared" si="21"/>
        <v>4.8471230088197537</v>
      </c>
      <c r="AP13" s="1543">
        <v>-11</v>
      </c>
      <c r="AR13" s="1551">
        <v>687.25400000000002</v>
      </c>
      <c r="AS13" s="1542">
        <f t="shared" si="22"/>
        <v>22.638738447756836</v>
      </c>
      <c r="AT13" s="1543">
        <v>9</v>
      </c>
      <c r="AV13" s="1552">
        <v>961.39200000000005</v>
      </c>
      <c r="AW13" s="1542">
        <f>(AV13/AR13-1)*100</f>
        <v>39.888891152325058</v>
      </c>
      <c r="AX13" s="1543">
        <v>28</v>
      </c>
      <c r="AZ13" s="1552">
        <f>1138.743</f>
        <v>1138.7429999999999</v>
      </c>
      <c r="BA13" s="1542">
        <f>(AZ13/AV13-1)*100</f>
        <v>18.447313894852456</v>
      </c>
      <c r="BB13" s="1543">
        <v>-3</v>
      </c>
      <c r="BD13" s="1552">
        <v>1228.9690000000001</v>
      </c>
      <c r="BE13" s="1542">
        <f t="shared" si="2"/>
        <v>7.923297881962843</v>
      </c>
      <c r="BF13" s="1543">
        <v>-1</v>
      </c>
      <c r="BH13" s="1552">
        <v>980.80899999999997</v>
      </c>
      <c r="BI13" s="1542">
        <f t="shared" si="3"/>
        <v>-20.192535369077667</v>
      </c>
      <c r="BJ13" s="1543">
        <v>-25</v>
      </c>
      <c r="BK13" s="1538"/>
      <c r="BL13" s="1552">
        <v>935.99099999999999</v>
      </c>
      <c r="BM13" s="1542">
        <f t="shared" si="4"/>
        <v>-4.5694931429055003</v>
      </c>
      <c r="BN13" s="1543">
        <v>-13</v>
      </c>
      <c r="BO13" s="1538"/>
      <c r="BP13" s="1552">
        <v>1149.396</v>
      </c>
      <c r="BQ13" s="1542">
        <f t="shared" si="5"/>
        <v>22.79989871697483</v>
      </c>
      <c r="BR13" s="1543">
        <f>qtrSales!F128</f>
        <v>13</v>
      </c>
      <c r="BS13" s="1515"/>
      <c r="BT13" s="1552">
        <v>1328.7650000000001</v>
      </c>
      <c r="BU13" s="1542">
        <f t="shared" si="6"/>
        <v>15.605500628156022</v>
      </c>
      <c r="BV13" s="1972">
        <v>0</v>
      </c>
      <c r="BW13" s="1538"/>
      <c r="BX13" s="1552">
        <v>1468.5309999999999</v>
      </c>
      <c r="BY13" s="1542">
        <f t="shared" si="7"/>
        <v>10.518488972843198</v>
      </c>
      <c r="BZ13" s="1972">
        <v>-1</v>
      </c>
      <c r="CA13" s="1545"/>
      <c r="CB13" s="1552">
        <v>1299.1369999999999</v>
      </c>
      <c r="CC13" s="1542">
        <f t="shared" si="8"/>
        <v>-11.534928442096215</v>
      </c>
      <c r="CD13" s="1972">
        <v>-8</v>
      </c>
      <c r="CE13" s="200"/>
      <c r="CF13" s="1552">
        <v>1119.5440000000001</v>
      </c>
      <c r="CG13" s="1542">
        <f t="shared" si="9"/>
        <v>-13.82402317846385</v>
      </c>
      <c r="CH13" s="1973">
        <v>-10</v>
      </c>
      <c r="CI13" s="200"/>
      <c r="CJ13" s="2020">
        <v>1112.93</v>
      </c>
      <c r="CK13" s="1542">
        <f t="shared" si="10"/>
        <v>-0.59077624461387757</v>
      </c>
      <c r="CL13" s="2019">
        <v>1</v>
      </c>
      <c r="CM13" s="200"/>
      <c r="CN13" s="2020">
        <v>1036.3630000000001</v>
      </c>
      <c r="CO13" s="1542">
        <f t="shared" si="11"/>
        <v>-6.8797678200785306</v>
      </c>
      <c r="CP13" s="2062">
        <v>-5</v>
      </c>
      <c r="CQ13" s="200"/>
      <c r="CR13" s="2259">
        <v>1193.1579999999999</v>
      </c>
      <c r="CS13" s="1542">
        <f t="shared" si="12"/>
        <v>15.129351395215762</v>
      </c>
      <c r="CT13" s="2239">
        <v>9</v>
      </c>
      <c r="CU13" s="200"/>
      <c r="CV13" s="2178">
        <f>qtrSales!S184+qtrSales!AS184</f>
        <v>1112.7208505000001</v>
      </c>
      <c r="CW13" s="1542">
        <f t="shared" si="13"/>
        <v>-6.7415337700455265</v>
      </c>
      <c r="CX13" s="2044">
        <f>qtrSales!F184+(qtrSales!AW184*100)</f>
        <v>-4.0000000000000027</v>
      </c>
      <c r="CY13" s="1515">
        <f>CH13+CL13</f>
        <v>-9</v>
      </c>
      <c r="CZ13" s="1515">
        <f>CP13+CL13</f>
        <v>-4</v>
      </c>
      <c r="DA13" s="360">
        <f>CO13-CP13</f>
        <v>-1.8797678200785306</v>
      </c>
      <c r="DB13" s="360">
        <f>CS13-CT13</f>
        <v>6.1293513952157621</v>
      </c>
      <c r="DC13" s="1347"/>
      <c r="DE13" s="18">
        <f t="shared" si="24"/>
        <v>1.257167952609797E-3</v>
      </c>
    </row>
    <row r="14" spans="1:135">
      <c r="B14" s="114" t="s">
        <v>119</v>
      </c>
      <c r="D14" s="1536">
        <f>SUM(D10:D13)</f>
        <v>165.46300000000002</v>
      </c>
      <c r="E14" s="1542"/>
      <c r="F14" s="1543">
        <v>15</v>
      </c>
      <c r="H14" s="1536">
        <f>SUM(H10:H13)</f>
        <v>235.65899999999999</v>
      </c>
      <c r="I14" s="1542">
        <f t="shared" si="0"/>
        <v>42.423986027087615</v>
      </c>
      <c r="J14" s="1543">
        <v>5</v>
      </c>
      <c r="L14" s="1536">
        <f>SUM(L10:L13)</f>
        <v>335.37200000000001</v>
      </c>
      <c r="M14" s="1542">
        <f t="shared" si="14"/>
        <v>42.312409031694109</v>
      </c>
      <c r="N14" s="1543">
        <v>13</v>
      </c>
      <c r="P14" s="1536">
        <f>SUM(P10:P13)</f>
        <v>521.61699999999996</v>
      </c>
      <c r="Q14" s="1542">
        <f t="shared" si="15"/>
        <v>55.533854943167562</v>
      </c>
      <c r="R14" s="1543">
        <v>21</v>
      </c>
      <c r="T14" s="1536">
        <f>SUM(T10:T13)</f>
        <v>805.18000000000006</v>
      </c>
      <c r="U14" s="1542">
        <f t="shared" si="16"/>
        <v>54.362300308463894</v>
      </c>
      <c r="V14" s="1543">
        <v>35</v>
      </c>
      <c r="X14" s="1536">
        <f>SUM(X10:X13)</f>
        <v>1030.8579999999999</v>
      </c>
      <c r="Y14" s="1542">
        <f t="shared" si="17"/>
        <v>28.028266971360427</v>
      </c>
      <c r="Z14" s="1543">
        <v>10</v>
      </c>
      <c r="AB14" s="1536">
        <f>SUM(AB10:AB13)</f>
        <v>1237.604</v>
      </c>
      <c r="AC14" s="1542">
        <f t="shared" si="18"/>
        <v>20.055720574511724</v>
      </c>
      <c r="AD14" s="1543">
        <v>-7</v>
      </c>
      <c r="AF14" s="1536">
        <f>SUM(AF10:AF13)</f>
        <v>1364.8530000000001</v>
      </c>
      <c r="AG14" s="1542">
        <f t="shared" si="19"/>
        <v>10.281883381113822</v>
      </c>
      <c r="AH14" s="1543">
        <v>-9</v>
      </c>
      <c r="AJ14" s="1536">
        <f>SUM(AJ10:AJ13)</f>
        <v>1595.7569999999998</v>
      </c>
      <c r="AK14" s="1542">
        <f t="shared" si="20"/>
        <v>16.91786588006179</v>
      </c>
      <c r="AL14" s="1543">
        <v>-5</v>
      </c>
      <c r="AN14" s="1536">
        <f>SUM(AN10:AN13)</f>
        <v>1707.8090000000002</v>
      </c>
      <c r="AO14" s="1542">
        <f t="shared" si="21"/>
        <v>7.0218711244882659</v>
      </c>
      <c r="AP14" s="1543">
        <v>-9</v>
      </c>
      <c r="AR14" s="1536">
        <f>SUM(AR10:AR13)</f>
        <v>2021.2539999999999</v>
      </c>
      <c r="AS14" s="1542">
        <f t="shared" si="22"/>
        <v>18.353633222450494</v>
      </c>
      <c r="AT14" s="1543">
        <v>2</v>
      </c>
      <c r="AV14" s="1536">
        <f>SUM(AV10:AV13)</f>
        <v>2784.7110000000002</v>
      </c>
      <c r="AW14" s="1542">
        <f>(AV14/AR14-1)*100</f>
        <v>37.771452771398373</v>
      </c>
      <c r="AX14" s="1543">
        <v>26</v>
      </c>
      <c r="AZ14" s="1536">
        <f>SUM(AZ10:AZ13)</f>
        <v>3318.1579999999999</v>
      </c>
      <c r="BA14" s="1542">
        <f t="shared" si="1"/>
        <v>19.156278694629346</v>
      </c>
      <c r="BB14" s="1543">
        <v>2</v>
      </c>
      <c r="BD14" s="1536">
        <f>SUM(BD10:BD13)</f>
        <v>3749.8469999999998</v>
      </c>
      <c r="BE14" s="1542">
        <f t="shared" si="2"/>
        <v>13.009898865575419</v>
      </c>
      <c r="BF14" s="1543">
        <v>-1</v>
      </c>
      <c r="BH14" s="1536">
        <f>SUM(BH10:BH13)</f>
        <v>3484.0569999999998</v>
      </c>
      <c r="BI14" s="1542">
        <f t="shared" si="3"/>
        <v>-7.0880225246523381</v>
      </c>
      <c r="BJ14" s="1543">
        <v>-13</v>
      </c>
      <c r="BL14" s="1536">
        <f>SUM(BL10:BL13)</f>
        <v>2928.625</v>
      </c>
      <c r="BM14" s="1542">
        <f t="shared" si="4"/>
        <v>-15.942104276709589</v>
      </c>
      <c r="BN14" s="1543">
        <v>-23</v>
      </c>
      <c r="BP14" s="1536">
        <f>SUM(BP10:BP13)</f>
        <v>3468.7759999999998</v>
      </c>
      <c r="BQ14" s="1542">
        <f t="shared" si="5"/>
        <v>18.443843100431078</v>
      </c>
      <c r="BR14" s="1543">
        <f>qtrSales!F129</f>
        <v>7</v>
      </c>
      <c r="BT14" s="1554">
        <f>SUM(BT10:BT13)</f>
        <v>4158.058</v>
      </c>
      <c r="BU14" s="1542">
        <f t="shared" si="6"/>
        <v>19.871043849473136</v>
      </c>
      <c r="BV14" s="1972">
        <v>5</v>
      </c>
      <c r="BW14" s="114"/>
      <c r="BX14" s="1536">
        <f>SUM(BX10:BX13)</f>
        <v>4510.8050000000003</v>
      </c>
      <c r="BY14" s="1542">
        <f t="shared" si="7"/>
        <v>8.48345549773477</v>
      </c>
      <c r="BZ14" s="1972">
        <v>-1</v>
      </c>
      <c r="CA14" s="1546"/>
      <c r="CB14" s="1536">
        <f>SUM(CB10:CB13)</f>
        <v>4116.8969999999999</v>
      </c>
      <c r="CC14" s="1542">
        <f t="shared" si="8"/>
        <v>-8.7325433043547775</v>
      </c>
      <c r="CD14" s="1972">
        <v>-11</v>
      </c>
      <c r="CE14" s="1555"/>
      <c r="CF14" s="1536">
        <f>SUM(CF10:CF13)</f>
        <v>3744.0299999999997</v>
      </c>
      <c r="CG14" s="1542">
        <f>(CF14/CB14-1)*100</f>
        <v>-9.0569912242157162</v>
      </c>
      <c r="CH14" s="1972">
        <f>(SUMPRODUCT(CF10:CF13,CH10:CH13)/CF14)</f>
        <v>-7.9683968878454507</v>
      </c>
      <c r="CI14" s="1555"/>
      <c r="CJ14" s="1536">
        <f>SUM(CJ10:CJ13)</f>
        <v>3518.6800000000003</v>
      </c>
      <c r="CK14" s="1542">
        <f>(CJ14/CF14-1)*100</f>
        <v>-6.0189154467245043</v>
      </c>
      <c r="CL14" s="2019">
        <v>-3</v>
      </c>
      <c r="CM14" s="1555"/>
      <c r="CN14" s="1536">
        <f>SUM(CN10:CN13)</f>
        <v>3326.74</v>
      </c>
      <c r="CO14" s="1542">
        <f t="shared" si="11"/>
        <v>-5.4548864915252455</v>
      </c>
      <c r="CP14" s="2062">
        <v>-5</v>
      </c>
      <c r="CQ14" s="1555"/>
      <c r="CR14" s="1536">
        <f>SUM(CR10:CR13)</f>
        <v>3492.69</v>
      </c>
      <c r="CS14" s="1542">
        <f t="shared" si="12"/>
        <v>4.9883669899060346</v>
      </c>
      <c r="CT14" s="2239">
        <v>3</v>
      </c>
      <c r="CU14" s="1555"/>
      <c r="CV14" s="1536">
        <f>SUM(CV10:CV13)</f>
        <v>3507.8603602149997</v>
      </c>
      <c r="CW14" s="1542">
        <f t="shared" si="13"/>
        <v>0.43434602598568794</v>
      </c>
      <c r="CX14" s="2044">
        <f>qtrSales!F185+(qtrSales!AW185*100)</f>
        <v>-0.11912052448902444</v>
      </c>
      <c r="CY14" s="1515">
        <f>CH14+CL14</f>
        <v>-10.968396887845451</v>
      </c>
      <c r="CZ14" s="1515">
        <f>CP14+CL14</f>
        <v>-8</v>
      </c>
      <c r="DB14" s="1053"/>
      <c r="DE14" s="1500"/>
      <c r="DF14" s="2185"/>
      <c r="EC14" s="22" t="s">
        <v>712</v>
      </c>
      <c r="ED14" s="22" t="s">
        <v>703</v>
      </c>
      <c r="EE14" s="317">
        <v>-0.04</v>
      </c>
    </row>
    <row r="15" spans="1:135" ht="12.75" hidden="1" customHeight="1" outlineLevel="1">
      <c r="A15" s="1057" t="s">
        <v>120</v>
      </c>
      <c r="B15" s="1057"/>
      <c r="D15" s="1537">
        <f>SUM(D10:D11)</f>
        <v>52.444000000000003</v>
      </c>
      <c r="E15" s="1542"/>
      <c r="F15" s="1546">
        <f>((D10/D15)*F10)+((D11/D15)*F11)</f>
        <v>14.446171153992829</v>
      </c>
      <c r="H15" s="1537">
        <f>SUM(H10:H11)</f>
        <v>72.045000000000002</v>
      </c>
      <c r="I15" s="1542">
        <f t="shared" si="0"/>
        <v>37.375104873770113</v>
      </c>
      <c r="J15" s="1546">
        <f>((H10/H15)*J10)+((H11/H15)*J11)</f>
        <v>3.2429592615726284</v>
      </c>
      <c r="L15" s="1537">
        <f>SUM(L10:L11)</f>
        <v>108.45099999999999</v>
      </c>
      <c r="M15" s="1542">
        <f t="shared" si="14"/>
        <v>50.532306197515432</v>
      </c>
      <c r="N15" s="1546">
        <f>((L10/L15)*N10)+((L11/L15)*N11)</f>
        <v>16.47044287281814</v>
      </c>
      <c r="P15" s="1537">
        <f>SUM(P10:P11)</f>
        <v>160.95600000000002</v>
      </c>
      <c r="Q15" s="1542">
        <f t="shared" si="15"/>
        <v>48.413569261694242</v>
      </c>
      <c r="R15" s="1546">
        <f>((P10/P15)*R10)+((P11/P15)*R11)</f>
        <v>14.538283754566462</v>
      </c>
      <c r="T15" s="1537">
        <f>SUM(T10:T11)</f>
        <v>277.17500000000001</v>
      </c>
      <c r="U15" s="1542">
        <f t="shared" si="16"/>
        <v>72.205447451477411</v>
      </c>
      <c r="V15" s="1546">
        <f>((T10/T15)*V10)+((T11/T15)*V11)</f>
        <v>46.430258861729953</v>
      </c>
      <c r="X15" s="1537">
        <f>SUM(X10:X11)</f>
        <v>382.654</v>
      </c>
      <c r="Y15" s="1542">
        <f t="shared" si="17"/>
        <v>38.055019392080801</v>
      </c>
      <c r="Z15" s="1546">
        <f>((X10/X15)*Z10)+((X11/X15)*Z11)</f>
        <v>19.435973490411705</v>
      </c>
      <c r="AB15" s="1537">
        <f>SUM(AB10:AB11)</f>
        <v>434.03700000000003</v>
      </c>
      <c r="AC15" s="1542">
        <f t="shared" si="18"/>
        <v>13.428057723165065</v>
      </c>
      <c r="AD15" s="1546">
        <f>((AB10/AB15)*AD10)+((AB11/AB15)*AD11)</f>
        <v>-6.9446475761283022</v>
      </c>
      <c r="AF15" s="1537">
        <f>SUM(AF10:AF11)</f>
        <v>543.79600000000005</v>
      </c>
      <c r="AG15" s="1542">
        <f t="shared" si="19"/>
        <v>25.287936281929891</v>
      </c>
      <c r="AH15" s="1546">
        <f>((AF10/AF15)*AH10)+((AF11/AF15)*AH11)</f>
        <v>-3.1511228475384145</v>
      </c>
      <c r="AJ15" s="1537">
        <f>SUM(AJ10:AJ11)</f>
        <v>641.94599999999991</v>
      </c>
      <c r="AK15" s="1542">
        <f t="shared" si="20"/>
        <v>18.049047804691433</v>
      </c>
      <c r="AL15" s="1546">
        <f>((AJ10/AJ15)*AL10)+((AJ11/AJ15)*AL11)</f>
        <v>-5.4872559374152967</v>
      </c>
      <c r="AN15" s="1537">
        <f>SUM(AN10:AN11)</f>
        <v>702.44100000000003</v>
      </c>
      <c r="AO15" s="1542">
        <f t="shared" si="21"/>
        <v>9.423689843070937</v>
      </c>
      <c r="AP15" s="1546">
        <f>((AN10/AN15)*AP10)+((AN11/AN15)*AP11)</f>
        <v>-7.0128081931436235</v>
      </c>
      <c r="AR15" s="1537">
        <f>SUM(AR10:AR11)</f>
        <v>813.27600000000007</v>
      </c>
      <c r="AS15" s="1542">
        <f t="shared" si="22"/>
        <v>15.778549372829897</v>
      </c>
      <c r="AT15" s="1546">
        <f>((AR10/AR15)*AT10)+((AR11/AR15)*AT11)</f>
        <v>-2.4674649196582705</v>
      </c>
      <c r="AV15" s="1537">
        <f>SUM(AV10:AV11)</f>
        <v>1118.4009999999998</v>
      </c>
      <c r="AW15" s="1542">
        <f>(AV15/AR15-1)*100</f>
        <v>37.518013564890616</v>
      </c>
      <c r="AX15" s="1546">
        <f>((AV10/AV15)*AX10)+((AV11/AV15)*AX11)</f>
        <v>24.621866396757515</v>
      </c>
      <c r="AZ15" s="1537">
        <f>SUM(AZ10:AZ11)</f>
        <v>1315.9670000000001</v>
      </c>
      <c r="BA15" s="1542">
        <f t="shared" si="1"/>
        <v>17.665041429684013</v>
      </c>
      <c r="BB15" s="1546">
        <f>((AZ10/AZ15)*BB10)+((AZ11/AZ15)*BB11)</f>
        <v>2.9967514382959446</v>
      </c>
      <c r="BD15" s="1537">
        <f>SUM(BD10:BD11)</f>
        <v>1546.9479999999999</v>
      </c>
      <c r="BE15" s="1542">
        <f t="shared" si="2"/>
        <v>17.552187858814072</v>
      </c>
      <c r="BF15" s="1546">
        <f>((BD10/BD15)*BF10)+((BD11/BD15)*BF11)</f>
        <v>-2.9598383397502697</v>
      </c>
      <c r="BH15" s="1537">
        <f>SUM(BH10:BH11)</f>
        <v>1620.4369999999999</v>
      </c>
      <c r="BI15" s="1542">
        <f t="shared" si="3"/>
        <v>4.7505798514235753</v>
      </c>
      <c r="BJ15" s="1546">
        <f>((BH10/BH15)*BJ10)+((BH11/BH15)*BJ11)</f>
        <v>-3.514242762909018</v>
      </c>
      <c r="BL15" s="1537">
        <f>SUM(BL10:BL11)</f>
        <v>1238.95</v>
      </c>
      <c r="BM15" s="1542">
        <f t="shared" si="4"/>
        <v>-23.542229657802181</v>
      </c>
      <c r="BN15" s="1546">
        <f>((BL10/BL15)*BN10)+((BL11/BL15)*BN11)</f>
        <v>-30</v>
      </c>
      <c r="BP15" s="1537">
        <f>SUM(BP10:BP11)</f>
        <v>1433.6019999999999</v>
      </c>
      <c r="BQ15" s="1542">
        <f t="shared" si="5"/>
        <v>15.711045643488418</v>
      </c>
      <c r="BR15" s="1546">
        <f>((BP10/BP15)*BR10)+((BP11/BP15)*BR11)</f>
        <v>3.0809066951636512</v>
      </c>
      <c r="BT15" s="1537">
        <f>SUM(BT10:BT11)</f>
        <v>1753.4369999999999</v>
      </c>
      <c r="BU15" s="1542">
        <f t="shared" si="6"/>
        <v>22.309887960535768</v>
      </c>
      <c r="BV15" s="1546">
        <f>((BT10/BT15)*BV10)+((BT11/BT15)*BV11)</f>
        <v>9.4771622818498749</v>
      </c>
      <c r="BW15" s="114"/>
      <c r="BX15" s="1537">
        <f>SUM(BX10:BX11)</f>
        <v>1872.625</v>
      </c>
      <c r="BY15" s="1542">
        <f t="shared" si="7"/>
        <v>6.7973927777273957</v>
      </c>
      <c r="BZ15" s="1546">
        <f>((BX10/BX15)*BZ10)+((BX11/BX15)*BZ11)</f>
        <v>-2.5564242707429412</v>
      </c>
      <c r="CA15" s="1546"/>
      <c r="CB15" s="1537">
        <f>SUM(CB10:CB11)</f>
        <v>1784.4670000000001</v>
      </c>
      <c r="CC15" s="1542">
        <f t="shared" si="8"/>
        <v>-4.7077231159468607</v>
      </c>
      <c r="CD15" s="1546">
        <f>((CB10/CB15)*CD10)+((CB11/CB15)*CD11)</f>
        <v>-12.350194764038786</v>
      </c>
      <c r="CE15" s="1555"/>
      <c r="CF15" s="1537">
        <f>SUM(CF10:CF11)</f>
        <v>1713.0329999999999</v>
      </c>
      <c r="CG15" s="1542">
        <f t="shared" si="9"/>
        <v>-4.0031000853476222</v>
      </c>
      <c r="CH15" s="1546">
        <f>((CF10/CF15)*CH10)+((CF11/CF15)*CH11)</f>
        <v>-5.5596984996786407</v>
      </c>
      <c r="CI15" s="1555"/>
      <c r="CJ15" s="1537">
        <f>SUM(CJ10:CJ11)</f>
        <v>1527.1779999999999</v>
      </c>
      <c r="CK15" s="1542">
        <f t="shared" si="10"/>
        <v>-10.849469916808374</v>
      </c>
      <c r="CL15" s="1546">
        <f>((CJ10/CJ15)*CL10)+((CJ11/CJ15)*CL11)</f>
        <v>-5.8581252480064538</v>
      </c>
      <c r="CM15" s="1555"/>
      <c r="CN15" s="1537">
        <f>SUM(CN10:CN11)</f>
        <v>1468.643</v>
      </c>
      <c r="CO15" s="1542">
        <f t="shared" si="11"/>
        <v>-3.8328865397484702</v>
      </c>
      <c r="CP15" s="1546">
        <f>((CN10/CN15)*CP10)+((CN11/CN15)*CP11)</f>
        <v>-4</v>
      </c>
      <c r="CQ15" s="1555">
        <f>CH15-CG15</f>
        <v>-1.5565984143310185</v>
      </c>
      <c r="CR15" s="1537">
        <f>SUM(CR10:CR11)</f>
        <v>1440.42</v>
      </c>
      <c r="CS15" s="1542">
        <f t="shared" si="12"/>
        <v>-1.9217059557700478</v>
      </c>
      <c r="CT15" s="1546">
        <f>((CR10/CR15)*CT10)+((CR11/CR15)*CT11)</f>
        <v>-1.9179253273350827</v>
      </c>
      <c r="CU15" s="1555">
        <f>CL15-CK15</f>
        <v>4.9913446688019203</v>
      </c>
      <c r="CV15" s="1537">
        <f>SUM(CV10:CV11)</f>
        <v>1531.1472967549998</v>
      </c>
      <c r="CW15" s="1542">
        <f t="shared" si="13"/>
        <v>6.2986696071284598</v>
      </c>
      <c r="CX15" s="1546">
        <f>((CV10/CV15)*CX10)+((CV11/CV15)*CX11)</f>
        <v>3.1584932019759715</v>
      </c>
      <c r="DA15" s="1515">
        <f>CP15+CL15</f>
        <v>-9.8581252480064538</v>
      </c>
      <c r="ED15" s="22" t="s">
        <v>704</v>
      </c>
      <c r="EE15" s="317">
        <v>-0.03</v>
      </c>
    </row>
    <row r="16" spans="1:135" ht="12.75" hidden="1" customHeight="1" outlineLevel="1">
      <c r="A16" s="1057" t="s">
        <v>121</v>
      </c>
      <c r="B16" s="1057"/>
      <c r="D16" s="1537">
        <f>SUM(D10:D12)</f>
        <v>91.028000000000006</v>
      </c>
      <c r="E16" s="1542"/>
      <c r="F16" s="1546">
        <f>((D12/D16)*F12)+((D15/D16)*F15)</f>
        <v>15.95253108933515</v>
      </c>
      <c r="H16" s="1537">
        <f>SUM(H10:H12)</f>
        <v>129.267</v>
      </c>
      <c r="I16" s="1542">
        <f t="shared" si="0"/>
        <v>42.007953596695515</v>
      </c>
      <c r="J16" s="1546">
        <f>((H12/H16)*J12)+((H15/H16)*J15)</f>
        <v>5.7914007441961219</v>
      </c>
      <c r="L16" s="1537">
        <f>SUM(L10:L12)</f>
        <v>196.13900000000001</v>
      </c>
      <c r="M16" s="1542">
        <f t="shared" si="14"/>
        <v>51.73168712819205</v>
      </c>
      <c r="N16" s="1546">
        <f>((L12/L16)*N12)+((L15/L16)*N15)</f>
        <v>17.601333748005242</v>
      </c>
      <c r="P16" s="1537">
        <f>SUM(P10:P12)</f>
        <v>309.47199999999998</v>
      </c>
      <c r="Q16" s="1542">
        <f t="shared" si="15"/>
        <v>57.781981146023973</v>
      </c>
      <c r="R16" s="1546">
        <f>((P12/P16)*R12)+((P15/P16)*R15)</f>
        <v>19.558874470065142</v>
      </c>
      <c r="T16" s="1537">
        <f>SUM(T10:T12)</f>
        <v>505.09500000000003</v>
      </c>
      <c r="U16" s="1542">
        <f t="shared" si="16"/>
        <v>63.211857615551658</v>
      </c>
      <c r="V16" s="1546">
        <f>((T12/T16)*V12)+((T15/T16)*V15)</f>
        <v>41.27244775735258</v>
      </c>
      <c r="X16" s="1537">
        <f>SUM(X10:X12)</f>
        <v>667.16399999999999</v>
      </c>
      <c r="Y16" s="1542">
        <f t="shared" si="17"/>
        <v>32.086835149823287</v>
      </c>
      <c r="Z16" s="1546">
        <f>((X12/X16)*Z12)+((X15/X16)*Z15)</f>
        <v>15.838478994669977</v>
      </c>
      <c r="AB16" s="1537">
        <f>SUM(AB10:AB12)</f>
        <v>798.15900000000011</v>
      </c>
      <c r="AC16" s="1542">
        <f t="shared" si="18"/>
        <v>19.634602586470518</v>
      </c>
      <c r="AD16" s="1546">
        <f>((AB12/AB16)*AD12)+((AB15/AB16)*AD15)</f>
        <v>-5.145090138681641</v>
      </c>
      <c r="AF16" s="1537">
        <f>SUM(AF10:AF12)</f>
        <v>898.26900000000001</v>
      </c>
      <c r="AG16" s="1542">
        <f t="shared" si="19"/>
        <v>12.542613689753534</v>
      </c>
      <c r="AH16" s="1546">
        <f>((AF12/AF16)*AH12)+((AF15/AF16)*AH15)</f>
        <v>-7.8269015183647666</v>
      </c>
      <c r="AJ16" s="1537">
        <f>SUM(AJ10:AJ12)</f>
        <v>1061.2749999999999</v>
      </c>
      <c r="AK16" s="1542">
        <f t="shared" si="20"/>
        <v>18.146679892103567</v>
      </c>
      <c r="AL16" s="1546">
        <f>((AJ12/AJ16)*AL12)+((AJ15/AJ16)*AL15)</f>
        <v>-5.2947322795693861</v>
      </c>
      <c r="AN16" s="1537">
        <f>SUM(AN10:AN12)</f>
        <v>1147.42</v>
      </c>
      <c r="AO16" s="1542">
        <f t="shared" si="21"/>
        <v>8.1171232715366202</v>
      </c>
      <c r="AP16" s="1546">
        <f>((AN12/AN16)*AP12)+((AN15/AN16)*AP15)</f>
        <v>-7.7834576702515204</v>
      </c>
      <c r="AR16" s="1537">
        <f>SUM(AR10:AR12)</f>
        <v>1334</v>
      </c>
      <c r="AS16" s="1542">
        <f t="shared" si="22"/>
        <v>16.260828641648217</v>
      </c>
      <c r="AT16" s="1546">
        <f>((AR12/AR16)*AT12)+((AR15/AR16)*AT15)</f>
        <v>-1.1139475262368812</v>
      </c>
      <c r="AV16" s="1537">
        <f>SUM(AV10:AV12)</f>
        <v>1823.319</v>
      </c>
      <c r="AW16" s="1542">
        <f t="shared" si="23"/>
        <v>36.680584707646169</v>
      </c>
      <c r="AX16" s="1546">
        <f>((AV12/AV16)*AX12)+((AV15/AV16)*AX15)</f>
        <v>24.768057591677596</v>
      </c>
      <c r="AZ16" s="1537">
        <f>SUM(AZ10:AZ12)</f>
        <v>2179.415</v>
      </c>
      <c r="BA16" s="1542">
        <f t="shared" si="1"/>
        <v>19.530098682677032</v>
      </c>
      <c r="BB16" s="1546">
        <f>((AZ12/AZ16)*BB12)+((AZ15/AZ16)*BB15)</f>
        <v>3.7904052234200458</v>
      </c>
      <c r="BD16" s="1537">
        <f>SUM(BD10:BD12)</f>
        <v>2520.8779999999997</v>
      </c>
      <c r="BE16" s="1542">
        <f t="shared" si="2"/>
        <v>15.667644757882272</v>
      </c>
      <c r="BF16" s="1546">
        <f>((BD12/BD16)*BF12)+((BD15/BD16)*BF15)</f>
        <v>-1.4299724143730876</v>
      </c>
      <c r="BH16" s="1537">
        <f>SUM(BH10:BH12)</f>
        <v>2503.248</v>
      </c>
      <c r="BI16" s="1542">
        <f t="shared" si="3"/>
        <v>-0.69935950886951259</v>
      </c>
      <c r="BJ16" s="1546">
        <f>((BH12/BH16)*BJ12)+((BH15/BH16)*BJ15)</f>
        <v>-7.2122150901548707</v>
      </c>
      <c r="BL16" s="1537">
        <f>SUM(BL10:BL12)</f>
        <v>1992.634</v>
      </c>
      <c r="BM16" s="1542">
        <f t="shared" si="4"/>
        <v>-20.398058841952537</v>
      </c>
      <c r="BN16" s="1546">
        <f>((BL12/BL16)*BN12)+((BL15/BL16)*BN15)</f>
        <v>-26.97411968279172</v>
      </c>
      <c r="BP16" s="1537">
        <f>SUM(BP10:BP12)</f>
        <v>2319.38</v>
      </c>
      <c r="BQ16" s="1542">
        <f t="shared" si="5"/>
        <v>16.397692702222287</v>
      </c>
      <c r="BR16" s="1546">
        <f>((BP12/BP16)*BR12)+((BP15/BP16)*BR15)</f>
        <v>4.5776198811751421</v>
      </c>
      <c r="BT16" s="1537">
        <f>SUM(BT10:BT12)</f>
        <v>2829.2929999999997</v>
      </c>
      <c r="BU16" s="1542">
        <f t="shared" si="6"/>
        <v>21.984883891384754</v>
      </c>
      <c r="BV16" s="1546">
        <f>((BT12/BT16)*BV12)+((BT15/BT16)*BV15)</f>
        <v>8.5352061451394405</v>
      </c>
      <c r="BW16" s="114"/>
      <c r="BX16" s="1537">
        <f>SUM(BX10:BX12)</f>
        <v>3042.2739999999999</v>
      </c>
      <c r="BY16" s="1542">
        <f t="shared" si="7"/>
        <v>7.5277109864549274</v>
      </c>
      <c r="BZ16" s="1546">
        <f>((BX12/BX16)*BZ12)+((BX15/BX16)*BZ15)</f>
        <v>-1.5735676668176504</v>
      </c>
      <c r="CA16" s="1546"/>
      <c r="CB16" s="1537">
        <f>SUM(CB10:CB12)</f>
        <v>2817.76</v>
      </c>
      <c r="CC16" s="1542">
        <f t="shared" si="8"/>
        <v>-7.3798086562880112</v>
      </c>
      <c r="CD16" s="1546">
        <f>((CB12/CB16)*CD12)+((CB15/CB16)*CD15)</f>
        <v>-12.955190292998694</v>
      </c>
      <c r="CE16" s="1555"/>
      <c r="CF16" s="1537">
        <f>SUM(CF10:CF12)</f>
        <v>2624.4859999999999</v>
      </c>
      <c r="CG16" s="1542">
        <f t="shared" si="9"/>
        <v>-6.8591363352450312</v>
      </c>
      <c r="CH16" s="1546">
        <f>((CF12/CF16)*CH12)+((CF15/CF16)*CH15)</f>
        <v>-7.1017627832649897</v>
      </c>
      <c r="CI16" s="1555"/>
      <c r="CJ16" s="1537">
        <f>SUM(CJ10:CJ12)</f>
        <v>2405.75</v>
      </c>
      <c r="CK16" s="1542">
        <f t="shared" si="10"/>
        <v>-8.3344319611535322</v>
      </c>
      <c r="CL16" s="1546">
        <f>((CJ12/CJ16)*CL12)+((CJ15/CJ16)*CL15)</f>
        <v>-4.0839538605424508</v>
      </c>
      <c r="CM16" s="1555"/>
      <c r="CN16" s="1537">
        <f>SUM(CN10:CN12)</f>
        <v>2290.377</v>
      </c>
      <c r="CO16" s="1542">
        <f t="shared" si="11"/>
        <v>-4.7957185908760298</v>
      </c>
      <c r="CP16" s="1546">
        <f>((CN12/CN16)*CP12)+((CN15/CN16)*CP15)</f>
        <v>-4.7175534857361914</v>
      </c>
      <c r="CQ16" s="1555">
        <f>CH16-CG16</f>
        <v>-0.24262644801995847</v>
      </c>
      <c r="CR16" s="1537">
        <f>SUM(CR10:CR12)</f>
        <v>2299.5320000000002</v>
      </c>
      <c r="CS16" s="1542">
        <f t="shared" si="12"/>
        <v>0.39971585463878245</v>
      </c>
      <c r="CT16" s="1546">
        <f>((CR12/CR16)*CT12)+((CR15/CR16)*CT15)</f>
        <v>0.29302919028741492</v>
      </c>
      <c r="CU16" s="1555">
        <f>CL16-CK16</f>
        <v>4.2504781006110814</v>
      </c>
      <c r="CV16" s="1537">
        <f>SUM(CV10:CV12)</f>
        <v>2395.1395097149998</v>
      </c>
      <c r="CW16" s="1542">
        <f t="shared" si="13"/>
        <v>4.1576942488732227</v>
      </c>
      <c r="CX16" s="1546">
        <f>((CV12/CV16)*CX12)+((CV15/CV16)*CX15)</f>
        <v>1.557407524824979</v>
      </c>
      <c r="DA16" s="1515">
        <f>CP16+CL16</f>
        <v>-8.8015073462786422</v>
      </c>
    </row>
    <row r="17" spans="1:135" collapsed="1">
      <c r="BH17" s="314"/>
      <c r="BL17" s="314"/>
      <c r="BN17" s="1517"/>
      <c r="BP17" s="1536"/>
      <c r="BQ17" s="1517"/>
      <c r="BR17" s="1517"/>
      <c r="BT17" s="1360"/>
      <c r="BU17" s="114"/>
      <c r="BV17" s="114"/>
      <c r="BW17" s="114"/>
      <c r="BX17" s="1360"/>
      <c r="BY17" s="114"/>
      <c r="BZ17" s="114"/>
      <c r="CA17" s="114"/>
      <c r="CB17" s="1959"/>
      <c r="CC17" s="200"/>
      <c r="CD17" s="200"/>
      <c r="CE17" s="200"/>
      <c r="CF17" s="1556"/>
      <c r="CG17" s="200"/>
      <c r="CH17" s="200"/>
      <c r="CI17" s="200"/>
      <c r="CJ17"/>
      <c r="CK17" s="200"/>
      <c r="CL17" s="200"/>
      <c r="CM17" s="200"/>
      <c r="CN17" s="1994"/>
      <c r="CO17" s="200"/>
      <c r="CP17" s="200"/>
      <c r="CQ17" s="200"/>
      <c r="CR17" s="1994"/>
      <c r="CS17" s="200"/>
      <c r="CT17" s="200"/>
      <c r="CU17" s="200"/>
      <c r="CV17" s="2182"/>
      <c r="CW17" s="200"/>
      <c r="CX17" s="200"/>
      <c r="DA17" s="1514"/>
      <c r="EC17" s="22" t="s">
        <v>707</v>
      </c>
      <c r="ED17" s="22" t="s">
        <v>703</v>
      </c>
      <c r="EE17" s="317">
        <v>-0.02</v>
      </c>
    </row>
    <row r="18" spans="1:135" ht="12" customHeight="1">
      <c r="C18" s="313"/>
      <c r="D18" s="1531"/>
      <c r="H18" s="1532"/>
      <c r="I18" s="1533"/>
      <c r="J18" s="1533"/>
      <c r="K18" s="1533"/>
      <c r="L18" s="1532"/>
      <c r="M18" s="1533"/>
      <c r="N18" s="1533"/>
      <c r="O18" s="1533"/>
      <c r="P18" s="1532"/>
      <c r="Q18" s="1533"/>
      <c r="R18" s="1533"/>
      <c r="S18" s="1533"/>
      <c r="T18" s="1532"/>
      <c r="U18" s="1533"/>
      <c r="V18" s="1533"/>
      <c r="W18" s="1533"/>
      <c r="Y18" s="1533"/>
      <c r="Z18" s="1533"/>
      <c r="AA18" s="1533"/>
      <c r="AC18" s="1533"/>
      <c r="AD18" s="1533"/>
      <c r="AE18" s="1533"/>
      <c r="AF18" s="1532"/>
      <c r="AG18" s="1533"/>
      <c r="AH18" s="1533"/>
      <c r="AI18" s="1533"/>
      <c r="AK18" s="1533"/>
      <c r="AL18" s="1533"/>
      <c r="AM18" s="1533"/>
      <c r="AN18" s="1532"/>
      <c r="AO18" s="1533"/>
      <c r="AP18" s="1533"/>
      <c r="AQ18" s="1533"/>
      <c r="AS18" s="1533"/>
      <c r="AT18" s="1533"/>
      <c r="AU18" s="1533"/>
      <c r="AV18" s="1532"/>
      <c r="AW18" s="1533"/>
      <c r="AX18" s="1533"/>
      <c r="AY18" s="1533"/>
      <c r="AZ18" s="1532"/>
      <c r="BA18" s="1533"/>
      <c r="BB18" s="1533"/>
      <c r="BC18" s="1533"/>
      <c r="BD18" s="1532"/>
      <c r="BE18" s="1533"/>
      <c r="BF18" s="1533"/>
      <c r="BG18" s="1533"/>
      <c r="BH18" s="1532"/>
      <c r="BI18" s="22"/>
      <c r="BJ18" s="1533"/>
      <c r="BK18" s="1533"/>
      <c r="BL18" s="1532"/>
      <c r="BM18" s="1533"/>
      <c r="BN18" s="1533"/>
      <c r="BO18" s="1533"/>
      <c r="BP18" s="1532"/>
      <c r="BQ18" s="1533"/>
      <c r="BR18" s="1533"/>
      <c r="BS18" s="1534"/>
      <c r="BT18" s="1532"/>
      <c r="BU18" s="1533"/>
      <c r="BW18" s="1533"/>
      <c r="BX18" s="1557"/>
      <c r="BY18" s="1533"/>
      <c r="BZ18" s="1533"/>
      <c r="CA18" s="1533"/>
      <c r="CB18" s="200"/>
      <c r="CC18" s="1532" t="s">
        <v>66</v>
      </c>
      <c r="CD18" s="200"/>
      <c r="CE18" s="200"/>
      <c r="CF18" s="1994"/>
      <c r="CG18" s="200"/>
      <c r="CH18" s="200"/>
      <c r="CI18" s="200"/>
      <c r="CJ18" s="2015"/>
      <c r="CK18" s="200"/>
      <c r="CL18" s="200"/>
      <c r="CM18" s="200"/>
      <c r="CN18" s="1959"/>
      <c r="CO18" s="200"/>
      <c r="CP18" s="1613"/>
      <c r="CQ18" s="200"/>
      <c r="CR18" s="2280"/>
      <c r="CS18" s="2251"/>
      <c r="CT18" s="200"/>
      <c r="CU18" s="200"/>
      <c r="CV18" s="2015"/>
      <c r="CW18" s="200"/>
      <c r="CX18" s="200"/>
      <c r="CY18" s="2145"/>
      <c r="DA18" s="2268"/>
      <c r="DB18" s="379"/>
      <c r="DC18" s="2267"/>
      <c r="DE18" s="18"/>
      <c r="ED18" s="22" t="s">
        <v>704</v>
      </c>
      <c r="EE18" s="317">
        <v>-0.05</v>
      </c>
    </row>
    <row r="19" spans="1:135">
      <c r="AB19" s="312" t="s">
        <v>72</v>
      </c>
      <c r="AC19" s="312"/>
      <c r="AD19" s="312"/>
      <c r="AE19" s="312"/>
      <c r="AF19" s="312" t="s">
        <v>72</v>
      </c>
      <c r="AR19" s="1559"/>
      <c r="BD19" s="1537"/>
      <c r="BT19" s="1536"/>
      <c r="BU19" s="114"/>
      <c r="BV19" s="114"/>
      <c r="BW19" s="114"/>
      <c r="BX19" s="1536"/>
      <c r="BY19" s="114"/>
      <c r="BZ19" s="114"/>
      <c r="CA19" s="114"/>
      <c r="CB19" s="200"/>
      <c r="CC19" s="200"/>
      <c r="CD19" s="200"/>
      <c r="CE19" s="200"/>
      <c r="CF19" s="200"/>
      <c r="CG19" s="200"/>
      <c r="CH19" s="200"/>
      <c r="CI19" s="200"/>
      <c r="CJ19" s="200"/>
      <c r="CK19" s="200"/>
      <c r="CL19" s="200"/>
      <c r="CM19" s="200"/>
      <c r="CN19" s="200"/>
      <c r="CO19" s="200"/>
      <c r="CP19" s="200"/>
      <c r="CQ19" s="200"/>
      <c r="CR19" s="200"/>
      <c r="CS19" s="200"/>
      <c r="CT19" s="200"/>
      <c r="CU19" s="200"/>
      <c r="CV19" s="200"/>
      <c r="CW19" s="200"/>
      <c r="CX19" s="200"/>
      <c r="DA19" s="1514"/>
      <c r="DB19" s="317"/>
      <c r="DC19" s="1558"/>
    </row>
    <row r="20" spans="1:135">
      <c r="A20" s="114" t="str">
        <f>$A$10</f>
        <v>1Q</v>
      </c>
      <c r="B20" s="114" t="str">
        <f>$B$10</f>
        <v>Apr</v>
      </c>
      <c r="D20" s="1541">
        <v>17.756</v>
      </c>
      <c r="E20" s="1516">
        <f t="shared" ref="E20:E26" si="25">((D10-D20)/D10)*100</f>
        <v>24.116415231420149</v>
      </c>
      <c r="H20" s="1541">
        <v>24.949000000000002</v>
      </c>
      <c r="I20" s="1516">
        <f t="shared" ref="I20:I26" si="26">((H10-H20)/H10)*100</f>
        <v>25.250921293106032</v>
      </c>
      <c r="L20" s="1541">
        <v>36.125999999999998</v>
      </c>
      <c r="M20" s="1516">
        <f t="shared" ref="M20:M26" si="27">((L10-L20)/L10)*100</f>
        <v>29.192473539788327</v>
      </c>
      <c r="P20" s="1541">
        <v>50.375</v>
      </c>
      <c r="Q20" s="1516">
        <f t="shared" ref="Q20:Q26" si="28">((P10-P20)/P10)*100</f>
        <v>32.215135367888479</v>
      </c>
      <c r="T20" s="1541">
        <v>85.376000000000005</v>
      </c>
      <c r="U20" s="1516">
        <f t="shared" ref="U20:U26" si="29">((T10-T20)/T10)*100</f>
        <v>35.391693909674295</v>
      </c>
      <c r="X20" s="1541">
        <v>117.059</v>
      </c>
      <c r="Y20" s="1516">
        <f t="shared" ref="Y20:Y26" si="30">((X10-X20)/X10)*100</f>
        <v>37.209202529676496</v>
      </c>
      <c r="AB20" s="1541">
        <v>129.60300000000001</v>
      </c>
      <c r="AC20" s="1516">
        <f t="shared" ref="AC20:AC26" si="31">((AB10-AB20)/AB10)*100</f>
        <v>36.780874706106161</v>
      </c>
      <c r="AF20" s="1541">
        <v>165.84</v>
      </c>
      <c r="AG20" s="1516">
        <f t="shared" ref="AG20:AG26" si="32">((AF10-AF20)/AF10)*100</f>
        <v>37.105582524271846</v>
      </c>
      <c r="AH20" s="1516"/>
      <c r="AJ20" s="1541">
        <v>122.84</v>
      </c>
      <c r="AK20" s="1516">
        <f t="shared" ref="AK20:AK26" si="33">((AJ10-AJ20)/AJ10)*100</f>
        <v>60.72789585411391</v>
      </c>
      <c r="AL20" s="1516"/>
      <c r="AN20" s="1541">
        <v>130.24299999999999</v>
      </c>
      <c r="AO20" s="1516">
        <f t="shared" ref="AO20:AO26" si="34">((AN10-AN20)/AN10)*100</f>
        <v>62.43589965447822</v>
      </c>
      <c r="AP20" s="1516">
        <f>AO20-AK20</f>
        <v>1.7080038003643097</v>
      </c>
      <c r="AR20" s="1541">
        <v>144.006</v>
      </c>
      <c r="AS20" s="1516">
        <f t="shared" ref="AS20:AS26" si="35">((AR10-AR20)/AR10)*100</f>
        <v>65.041147767824626</v>
      </c>
      <c r="AT20" s="1516">
        <f>AS20-AO20</f>
        <v>2.6052481133464056</v>
      </c>
      <c r="AV20" s="1541">
        <v>189.55799999999999</v>
      </c>
      <c r="AW20" s="1516">
        <f t="shared" ref="AW20:AW26" si="36">((AV10-AV20)/AV10)*100</f>
        <v>65.333845394195421</v>
      </c>
      <c r="AX20" s="1560">
        <f>AW20-AS20</f>
        <v>0.29269762637079566</v>
      </c>
      <c r="AZ20" s="1541">
        <v>227.35599999999999</v>
      </c>
      <c r="BA20" s="1516">
        <f t="shared" ref="BA20:BA26" si="37">((AZ10-AZ20)/AZ10)*100</f>
        <v>65.409093052941643</v>
      </c>
      <c r="BB20" s="1560">
        <f>BA20-AW20</f>
        <v>7.5247658746221191E-2</v>
      </c>
      <c r="BD20" s="1541">
        <v>255.14099999999999</v>
      </c>
      <c r="BE20" s="1516">
        <f t="shared" ref="BE20:BE26" si="38">((BD10-BD20)/BD10)*100</f>
        <v>65.633410110316404</v>
      </c>
      <c r="BF20" s="1560">
        <f>BE20-BA20</f>
        <v>0.22431705737476193</v>
      </c>
      <c r="BH20" s="1541">
        <v>260.404</v>
      </c>
      <c r="BI20" s="1516">
        <f t="shared" ref="BI20:BI26" si="39">((BH10-BH20)/BH10)*100</f>
        <v>66.917660032090893</v>
      </c>
      <c r="BJ20" s="1560">
        <f>BI20-BE20</f>
        <v>1.2842499217744887</v>
      </c>
      <c r="BL20" s="1541">
        <v>220.27699999999999</v>
      </c>
      <c r="BM20" s="1516">
        <f t="shared" ref="BM20:BM26" si="40">((BL10-BL20)/BL10)*100</f>
        <v>63.392656827242831</v>
      </c>
      <c r="BN20" s="1560">
        <f>BM20-BI20</f>
        <v>-3.525003204848062</v>
      </c>
      <c r="BP20" s="1541">
        <v>256.38799999999998</v>
      </c>
      <c r="BQ20" s="1516">
        <f t="shared" ref="BQ20:BQ26" si="41">((BP10-BP20)/BP10)*100</f>
        <v>62.723682909666124</v>
      </c>
      <c r="BR20" s="1560">
        <f>BQ20-BM20</f>
        <v>-0.66897391757670732</v>
      </c>
      <c r="BT20" s="1541">
        <v>311.13799999999998</v>
      </c>
      <c r="BU20" s="1516">
        <f t="shared" ref="BU20:BU26" si="42">((BT10-BT20)/BT10)*100</f>
        <v>62.812517181124313</v>
      </c>
      <c r="BV20" s="1560">
        <f>BU20-BQ20</f>
        <v>8.8834271458189562E-2</v>
      </c>
      <c r="BW20" s="114"/>
      <c r="BX20" s="1541">
        <v>380.12599999999998</v>
      </c>
      <c r="BY20" s="1516">
        <f t="shared" ref="BY20:BY26" si="43">((BX10-BX20)/BX10)*100</f>
        <v>58.736585694157085</v>
      </c>
      <c r="BZ20" s="1560">
        <f>BY20-BU20</f>
        <v>-4.0759314869672281</v>
      </c>
      <c r="CA20" s="1560"/>
      <c r="CB20" s="1544">
        <v>285.60300000000001</v>
      </c>
      <c r="CC20" s="1516">
        <f t="shared" ref="CC20:CC26" si="44">((CB10-CB20)/CB10)*100</f>
        <v>65.949743016253564</v>
      </c>
      <c r="CD20" s="1560">
        <f>CC20-BY20</f>
        <v>7.2131573220964782</v>
      </c>
      <c r="CE20" s="1561"/>
      <c r="CF20" s="1544">
        <f>310.769</f>
        <v>310.76900000000001</v>
      </c>
      <c r="CG20" s="1516">
        <f t="shared" ref="CG20:CG26" si="45">((CF10-CF20)/CF10)*100</f>
        <v>62.213227176117549</v>
      </c>
      <c r="CH20" s="1560">
        <f>CG20-CC20</f>
        <v>-3.7365158401360148</v>
      </c>
      <c r="CI20" s="1561"/>
      <c r="CJ20" s="1971">
        <f>297.873-26.861</f>
        <v>271.012</v>
      </c>
      <c r="CK20" s="1516">
        <f t="shared" ref="CK20:CK26" si="46">((CJ10-CJ20)/CJ10)*100</f>
        <v>61.798196278096817</v>
      </c>
      <c r="CL20" s="1560">
        <f>CK20-CG20</f>
        <v>-0.41503089802073134</v>
      </c>
      <c r="CM20" s="1561"/>
      <c r="CN20" s="2026">
        <v>259.762</v>
      </c>
      <c r="CO20" s="1516">
        <f t="shared" ref="CO20:CO26" si="47">((CN10-CN20)/CN10)*100</f>
        <v>62.105260086683401</v>
      </c>
      <c r="CP20" s="1560">
        <f>CO20-CK20</f>
        <v>0.30706380858658378</v>
      </c>
      <c r="CQ20" s="1561"/>
      <c r="CR20" s="2026">
        <v>262.17399999999998</v>
      </c>
      <c r="CS20" s="1516">
        <f t="shared" ref="CS20:CS26" si="48">((CR10-CR20)/CR10)*100</f>
        <v>60.342702076390985</v>
      </c>
      <c r="CT20" s="1560">
        <f>CS20-CO20</f>
        <v>-1.7625580102924161</v>
      </c>
      <c r="CU20" s="1561"/>
      <c r="CV20" s="2175">
        <f t="shared" ref="CV20:CV21" si="49">CV10*(1-CW20/100)</f>
        <v>280.31485157611502</v>
      </c>
      <c r="CW20" s="2194">
        <v>59.9</v>
      </c>
      <c r="CX20" s="1560">
        <f>CW20-CS20</f>
        <v>-0.44270207639098658</v>
      </c>
      <c r="CY20" s="1560">
        <f>CD20+CH20+CL20</f>
        <v>3.0616105839397321</v>
      </c>
      <c r="CZ20" s="1562">
        <f>CP20+CL20</f>
        <v>-0.10796708943414757</v>
      </c>
      <c r="DE20" s="2145"/>
      <c r="DF20" s="1053"/>
      <c r="EC20" s="22" t="s">
        <v>708</v>
      </c>
      <c r="ED20" s="22" t="s">
        <v>703</v>
      </c>
      <c r="EE20" s="317">
        <v>7.0000000000000007E-2</v>
      </c>
    </row>
    <row r="21" spans="1:135">
      <c r="A21" s="114" t="str">
        <f>$A$11</f>
        <v>2Q</v>
      </c>
      <c r="B21" s="114" t="str">
        <f>$B$11</f>
        <v>Jul</v>
      </c>
      <c r="D21" s="1547">
        <v>20.76</v>
      </c>
      <c r="E21" s="1516">
        <f t="shared" si="25"/>
        <v>28.524703046996041</v>
      </c>
      <c r="H21" s="1547">
        <v>26.645</v>
      </c>
      <c r="I21" s="1516">
        <f t="shared" si="26"/>
        <v>31.092893348505225</v>
      </c>
      <c r="L21" s="1547">
        <v>39.378999999999998</v>
      </c>
      <c r="M21" s="1516">
        <f t="shared" si="27"/>
        <v>31.432501610628407</v>
      </c>
      <c r="P21" s="1547">
        <v>58.853999999999999</v>
      </c>
      <c r="Q21" s="1516">
        <f t="shared" si="28"/>
        <v>32.070637119113577</v>
      </c>
      <c r="T21" s="1547">
        <v>92.341999999999999</v>
      </c>
      <c r="U21" s="1516">
        <f t="shared" si="29"/>
        <v>36.329474388234246</v>
      </c>
      <c r="X21" s="1547">
        <v>118.881</v>
      </c>
      <c r="Y21" s="1516">
        <f t="shared" si="30"/>
        <v>39.416594046690825</v>
      </c>
      <c r="AB21" s="1547">
        <v>141.26599999999999</v>
      </c>
      <c r="AC21" s="1516">
        <f t="shared" si="31"/>
        <v>38.320140068375032</v>
      </c>
      <c r="AF21" s="1182">
        <v>171.78899999999999</v>
      </c>
      <c r="AG21" s="1516">
        <f t="shared" si="32"/>
        <v>38.672192948635562</v>
      </c>
      <c r="AH21" s="1516"/>
      <c r="AJ21" s="1547">
        <v>119.02800000000001</v>
      </c>
      <c r="AK21" s="1516">
        <f t="shared" si="33"/>
        <v>63.838203394155926</v>
      </c>
      <c r="AL21" s="1516"/>
      <c r="AN21" s="1547">
        <v>122.068</v>
      </c>
      <c r="AO21" s="1516">
        <f t="shared" si="34"/>
        <v>65.684149567495695</v>
      </c>
      <c r="AP21" s="1516">
        <f>AO21-AK21</f>
        <v>1.8459461733397688</v>
      </c>
      <c r="AR21" s="1547">
        <v>120.429</v>
      </c>
      <c r="AS21" s="1516">
        <f t="shared" si="35"/>
        <v>69.993721128402925</v>
      </c>
      <c r="AT21" s="1516">
        <f>AS21-AO21</f>
        <v>4.30957156090723</v>
      </c>
      <c r="AV21" s="1547">
        <v>181.93100000000001</v>
      </c>
      <c r="AW21" s="1516">
        <f t="shared" si="36"/>
        <v>68.171122358469589</v>
      </c>
      <c r="AX21" s="1560">
        <f>AW21-AS21</f>
        <v>-1.8225987699333359</v>
      </c>
      <c r="AZ21" s="1547">
        <v>203.43799999999999</v>
      </c>
      <c r="BA21" s="1516">
        <f t="shared" si="37"/>
        <v>69.115039411200314</v>
      </c>
      <c r="BB21" s="1560">
        <f>BA21-AW21</f>
        <v>0.94391705273072546</v>
      </c>
      <c r="BD21" s="1547">
        <v>251.1</v>
      </c>
      <c r="BE21" s="1516">
        <f t="shared" si="38"/>
        <v>68.789541326823596</v>
      </c>
      <c r="BF21" s="1560">
        <f>BE21-BA21</f>
        <v>-0.32549808437671857</v>
      </c>
      <c r="BH21" s="1547">
        <v>247.751</v>
      </c>
      <c r="BI21" s="1516">
        <f t="shared" si="39"/>
        <v>70.268619389462117</v>
      </c>
      <c r="BJ21" s="1560">
        <f>BI21-BE21</f>
        <v>1.4790780626385214</v>
      </c>
      <c r="BL21" s="1547">
        <v>212.70599999999999</v>
      </c>
      <c r="BM21" s="1516">
        <f t="shared" si="40"/>
        <v>66.619744170389865</v>
      </c>
      <c r="BN21" s="1560">
        <f>BM21-BI21</f>
        <v>-3.6488752190722522</v>
      </c>
      <c r="BP21" s="1547">
        <v>260.45</v>
      </c>
      <c r="BQ21" s="1516">
        <f t="shared" si="41"/>
        <v>65.077675188187683</v>
      </c>
      <c r="BR21" s="1560">
        <f>BQ21-BM21</f>
        <v>-1.5420689822021814</v>
      </c>
      <c r="BT21" s="1547">
        <v>338.298</v>
      </c>
      <c r="BU21" s="1516">
        <f t="shared" si="42"/>
        <v>63.098641633661046</v>
      </c>
      <c r="BV21" s="1560">
        <f>BU21-BQ21</f>
        <v>-1.9790335545266373</v>
      </c>
      <c r="BW21" s="114"/>
      <c r="BX21" s="1547">
        <v>358.95600000000002</v>
      </c>
      <c r="BY21" s="1516">
        <f t="shared" si="43"/>
        <v>62.271036475451623</v>
      </c>
      <c r="BZ21" s="1560">
        <f>BY21-BU21</f>
        <v>-0.8276051582094226</v>
      </c>
      <c r="CA21" s="1560"/>
      <c r="CB21" s="1548">
        <v>341.57600000000002</v>
      </c>
      <c r="CC21" s="1516">
        <f t="shared" si="44"/>
        <v>63.881069855281488</v>
      </c>
      <c r="CD21" s="1560">
        <f>CC21-BY21</f>
        <v>1.6100333798298649</v>
      </c>
      <c r="CE21" s="1561"/>
      <c r="CF21" s="1549">
        <v>337.649</v>
      </c>
      <c r="CG21" s="1516">
        <f t="shared" si="45"/>
        <v>62.087681968998595</v>
      </c>
      <c r="CH21" s="1560">
        <f>CG21-CC21</f>
        <v>-1.7933878862828934</v>
      </c>
      <c r="CI21" s="1561"/>
      <c r="CJ21" s="1549">
        <f>307.894+2.621</f>
        <v>310.51499999999999</v>
      </c>
      <c r="CK21" s="1516">
        <f t="shared" si="46"/>
        <v>62.02840456077363</v>
      </c>
      <c r="CL21" s="1560">
        <f>CK21-CG21</f>
        <v>-5.9277408224964745E-2</v>
      </c>
      <c r="CM21" s="1561"/>
      <c r="CN21" s="2032">
        <v>306.053</v>
      </c>
      <c r="CO21" s="1516">
        <f t="shared" si="47"/>
        <v>60.920756933449105</v>
      </c>
      <c r="CP21" s="1560">
        <f>CO21-CK21</f>
        <v>-1.1076476273245248</v>
      </c>
      <c r="CQ21" s="1561"/>
      <c r="CR21" s="2032">
        <v>318.42599999999999</v>
      </c>
      <c r="CS21" s="1516">
        <f t="shared" si="48"/>
        <v>59.140585201733309</v>
      </c>
      <c r="CT21" s="1560">
        <f>CS21-CO21</f>
        <v>-1.7801717317157966</v>
      </c>
      <c r="CU21" s="1561"/>
      <c r="CV21" s="2176">
        <f t="shared" si="49"/>
        <v>341.99629208903997</v>
      </c>
      <c r="CW21" s="2194">
        <v>58.9</v>
      </c>
      <c r="CX21" s="1560">
        <f>CW21-CS21</f>
        <v>-0.24058520173331033</v>
      </c>
      <c r="CY21" s="1560">
        <f>CD21+CH21+CL21</f>
        <v>-0.24263191467799317</v>
      </c>
      <c r="CZ21" s="1562">
        <f>CP21+CL21</f>
        <v>-1.1669250355494896</v>
      </c>
      <c r="DE21" s="2269"/>
      <c r="DF21" s="2189"/>
      <c r="ED21" s="22" t="s">
        <v>704</v>
      </c>
      <c r="EE21" s="317">
        <v>-0.11</v>
      </c>
    </row>
    <row r="22" spans="1:135">
      <c r="A22" s="114" t="str">
        <f>$A$12</f>
        <v>3Q</v>
      </c>
      <c r="B22" s="114" t="str">
        <f>$B$12</f>
        <v>Oct</v>
      </c>
      <c r="D22" s="1547">
        <v>26.768999999999998</v>
      </c>
      <c r="E22" s="1516">
        <f t="shared" si="25"/>
        <v>30.621501140369073</v>
      </c>
      <c r="H22" s="1547">
        <v>37.719000000000001</v>
      </c>
      <c r="I22" s="1516">
        <f t="shared" si="26"/>
        <v>34.083044982698965</v>
      </c>
      <c r="L22" s="1547">
        <v>56.731000000000002</v>
      </c>
      <c r="M22" s="1516">
        <f t="shared" si="27"/>
        <v>35.303576316029563</v>
      </c>
      <c r="P22" s="1547">
        <v>95.525999999999996</v>
      </c>
      <c r="Q22" s="1516">
        <f t="shared" si="28"/>
        <v>35.679657410649355</v>
      </c>
      <c r="T22" s="1547">
        <v>140.91800000000001</v>
      </c>
      <c r="U22" s="1516">
        <f t="shared" si="29"/>
        <v>38.172165672165661</v>
      </c>
      <c r="X22" s="1547">
        <v>165.91</v>
      </c>
      <c r="Y22" s="1516">
        <f t="shared" si="30"/>
        <v>41.685705247618706</v>
      </c>
      <c r="AB22" s="1547">
        <v>220.839</v>
      </c>
      <c r="AC22" s="1516">
        <f t="shared" si="31"/>
        <v>39.350272710794734</v>
      </c>
      <c r="AF22" s="1182">
        <v>211.07</v>
      </c>
      <c r="AG22" s="1516">
        <f t="shared" si="32"/>
        <v>40.455267396952664</v>
      </c>
      <c r="AH22" s="1516"/>
      <c r="AJ22" s="1547">
        <v>169.96299999999999</v>
      </c>
      <c r="AK22" s="1516">
        <f t="shared" si="33"/>
        <v>59.467864135320958</v>
      </c>
      <c r="AL22" s="1516"/>
      <c r="AN22" s="1547">
        <v>167.328</v>
      </c>
      <c r="AO22" s="1516">
        <f t="shared" si="34"/>
        <v>62.396427696587921</v>
      </c>
      <c r="AP22" s="1516">
        <f>AO22-AK22</f>
        <v>2.9285635612669623</v>
      </c>
      <c r="AR22" s="1547">
        <v>184.107</v>
      </c>
      <c r="AS22" s="1516">
        <f t="shared" si="35"/>
        <v>64.644034075633158</v>
      </c>
      <c r="AT22" s="1516">
        <f>AS22-AO22</f>
        <v>2.2476063790452372</v>
      </c>
      <c r="AV22" s="1547">
        <v>239.83199999999999</v>
      </c>
      <c r="AW22" s="1516">
        <f t="shared" si="36"/>
        <v>65.977319347782299</v>
      </c>
      <c r="AX22" s="1560">
        <f>AW22-AS22</f>
        <v>1.3332852721491406</v>
      </c>
      <c r="AZ22" s="1547">
        <v>295.25</v>
      </c>
      <c r="BA22" s="1516">
        <f t="shared" si="37"/>
        <v>65.805699937923308</v>
      </c>
      <c r="BB22" s="1560">
        <f>BA22-AW22</f>
        <v>-0.17161940985899093</v>
      </c>
      <c r="BD22" s="1547">
        <v>328.887</v>
      </c>
      <c r="BE22" s="1516">
        <f t="shared" si="38"/>
        <v>66.23094062201595</v>
      </c>
      <c r="BF22" s="1560">
        <f>BE22-BA22</f>
        <v>0.4252406840926426</v>
      </c>
      <c r="BH22" s="1547">
        <v>297.84699999999998</v>
      </c>
      <c r="BI22" s="1516">
        <f t="shared" si="39"/>
        <v>66.261521435505458</v>
      </c>
      <c r="BJ22" s="1560">
        <f>BI22-BE22</f>
        <v>3.0580813489507364E-2</v>
      </c>
      <c r="BL22" s="1547">
        <v>270.59699999999998</v>
      </c>
      <c r="BM22" s="1516">
        <f t="shared" si="40"/>
        <v>64.096756730937628</v>
      </c>
      <c r="BN22" s="1560">
        <f>BM22-BI22</f>
        <v>-2.1647647045678298</v>
      </c>
      <c r="BP22" s="1547">
        <v>321.346</v>
      </c>
      <c r="BQ22" s="1516">
        <f t="shared" si="41"/>
        <v>63.721609703560034</v>
      </c>
      <c r="BR22" s="1560">
        <f>BQ22-BM22</f>
        <v>-0.37514702737759364</v>
      </c>
      <c r="BT22" s="1547">
        <v>419.60199999999998</v>
      </c>
      <c r="BU22" s="1516">
        <f t="shared" si="42"/>
        <v>60.998312041760236</v>
      </c>
      <c r="BV22" s="1560">
        <f>BU22-BQ22</f>
        <v>-2.7232976617997977</v>
      </c>
      <c r="BW22" s="114"/>
      <c r="BX22" s="1548">
        <v>417.13499999999999</v>
      </c>
      <c r="BY22" s="1516">
        <f t="shared" si="43"/>
        <v>64.336736918511448</v>
      </c>
      <c r="BZ22" s="1560">
        <f>BY22-BU22</f>
        <v>3.3384248767512119</v>
      </c>
      <c r="CA22" s="1560"/>
      <c r="CB22" s="1548">
        <v>382.25299999999999</v>
      </c>
      <c r="CC22" s="1516">
        <f t="shared" si="44"/>
        <v>63.006330247083838</v>
      </c>
      <c r="CD22" s="1560">
        <f>CC22-BY22</f>
        <v>-1.3304066714276104</v>
      </c>
      <c r="CE22" s="1561"/>
      <c r="CF22" s="1549">
        <v>344.38299999999998</v>
      </c>
      <c r="CG22" s="1516">
        <f t="shared" si="45"/>
        <v>62.216044052737765</v>
      </c>
      <c r="CH22" s="1560">
        <f>CG22-CC22</f>
        <v>-0.7902861943460735</v>
      </c>
      <c r="CI22" s="1561"/>
      <c r="CJ22" s="1549">
        <f>318.785+2.573</f>
        <v>321.358</v>
      </c>
      <c r="CK22" s="1516">
        <f t="shared" si="46"/>
        <v>63.42269045678669</v>
      </c>
      <c r="CL22" s="1560">
        <f>CK22-CG22</f>
        <v>1.2066464040489251</v>
      </c>
      <c r="CM22" s="1561"/>
      <c r="CN22" s="2039">
        <v>310.995</v>
      </c>
      <c r="CO22" s="1516">
        <f t="shared" si="47"/>
        <v>62.153811330673911</v>
      </c>
      <c r="CP22" s="1560">
        <f>CO22-CK22</f>
        <v>-1.268879126112779</v>
      </c>
      <c r="CQ22" s="1561"/>
      <c r="CR22" s="2237">
        <v>332.48500000000001</v>
      </c>
      <c r="CS22" s="1516">
        <f t="shared" si="48"/>
        <v>61.298992448016087</v>
      </c>
      <c r="CT22" s="1560">
        <f>CS22-CO22</f>
        <v>-0.85481888265782402</v>
      </c>
      <c r="CU22" s="1561"/>
      <c r="CV22" s="2177">
        <f>CV12*(1-CW22/100)</f>
        <v>335.22897862847998</v>
      </c>
      <c r="CW22" s="2054">
        <v>61.2</v>
      </c>
      <c r="CX22" s="1560">
        <f>CW22-CS22</f>
        <v>-9.8992448016083756E-2</v>
      </c>
      <c r="CY22" s="1560">
        <f>CD22+CH22+CL22</f>
        <v>-0.91404646172475879</v>
      </c>
      <c r="CZ22" s="1562">
        <f>CP22+CL22</f>
        <v>-6.2232722063853885E-2</v>
      </c>
      <c r="DE22" s="2145"/>
      <c r="DF22" s="1053"/>
    </row>
    <row r="23" spans="1:135">
      <c r="A23" s="114" t="str">
        <f>$A$13</f>
        <v>4Q</v>
      </c>
      <c r="B23" s="114" t="str">
        <f>$B$13</f>
        <v>Jan</v>
      </c>
      <c r="C23" s="310"/>
      <c r="D23" s="1551">
        <v>43.357999999999997</v>
      </c>
      <c r="E23" s="1516">
        <f t="shared" si="25"/>
        <v>41.750520588432863</v>
      </c>
      <c r="H23" s="1551">
        <v>66.552000000000007</v>
      </c>
      <c r="I23" s="1516">
        <f t="shared" si="26"/>
        <v>37.446424543198724</v>
      </c>
      <c r="L23" s="1551">
        <v>79.37</v>
      </c>
      <c r="M23" s="1516">
        <f t="shared" si="27"/>
        <v>42.99483599434042</v>
      </c>
      <c r="P23" s="1551">
        <v>115.782</v>
      </c>
      <c r="Q23" s="1516">
        <f t="shared" si="28"/>
        <v>45.423177543661183</v>
      </c>
      <c r="T23" s="1551">
        <v>155.19</v>
      </c>
      <c r="U23" s="1516">
        <f t="shared" si="29"/>
        <v>48.28465268174017</v>
      </c>
      <c r="X23" s="1551">
        <v>178.625</v>
      </c>
      <c r="Y23" s="1516">
        <f t="shared" si="30"/>
        <v>50.885909583331049</v>
      </c>
      <c r="AB23" s="1551">
        <v>236.52099999999999</v>
      </c>
      <c r="AC23" s="1516">
        <f t="shared" si="31"/>
        <v>46.177337323214509</v>
      </c>
      <c r="AF23" s="1564">
        <v>258.12</v>
      </c>
      <c r="AG23" s="1516">
        <f t="shared" si="32"/>
        <v>44.678771668124071</v>
      </c>
      <c r="AH23" s="1516"/>
      <c r="AJ23" s="1551">
        <v>203.37</v>
      </c>
      <c r="AK23" s="1516">
        <f t="shared" si="33"/>
        <v>61.95007502591293</v>
      </c>
      <c r="AL23" s="1516"/>
      <c r="AN23" s="1551">
        <v>205.001</v>
      </c>
      <c r="AO23" s="1516">
        <f t="shared" si="34"/>
        <v>63.418089933956601</v>
      </c>
      <c r="AP23" s="1516">
        <f>AO23-AK23</f>
        <v>1.4680149080436706</v>
      </c>
      <c r="AR23" s="1551">
        <v>231.48699999999999</v>
      </c>
      <c r="AS23" s="1516">
        <f t="shared" si="35"/>
        <v>66.317111286365744</v>
      </c>
      <c r="AT23" s="1516">
        <f>AS23-AO23</f>
        <v>2.899021352409143</v>
      </c>
      <c r="AV23" s="1551">
        <v>321.97399999999999</v>
      </c>
      <c r="AW23" s="1516">
        <f t="shared" si="36"/>
        <v>66.509602742689779</v>
      </c>
      <c r="AX23" s="1560">
        <f>AW23-AS23</f>
        <v>0.19249145632403497</v>
      </c>
      <c r="AZ23" s="1551">
        <v>383.108</v>
      </c>
      <c r="BA23" s="1516">
        <f t="shared" si="37"/>
        <v>66.356939186453829</v>
      </c>
      <c r="BB23" s="1560">
        <f>BA23-AW23</f>
        <v>-0.15266355623595018</v>
      </c>
      <c r="BD23" s="1551">
        <v>403.35199999999998</v>
      </c>
      <c r="BE23" s="1516">
        <f t="shared" si="38"/>
        <v>67.179644075643893</v>
      </c>
      <c r="BF23" s="1560">
        <f>BE23-BA23</f>
        <v>0.82270488919006368</v>
      </c>
      <c r="BH23" s="1551">
        <v>346.96</v>
      </c>
      <c r="BI23" s="1516">
        <f t="shared" si="39"/>
        <v>64.625120691184506</v>
      </c>
      <c r="BJ23" s="1560">
        <f>BI23-BE23</f>
        <v>-2.5545233844593866</v>
      </c>
      <c r="BL23" s="1551">
        <v>341.44900000000001</v>
      </c>
      <c r="BM23" s="1516">
        <f t="shared" si="40"/>
        <v>63.520055214206117</v>
      </c>
      <c r="BN23" s="1560">
        <f>BM23-BI23</f>
        <v>-1.105065476978389</v>
      </c>
      <c r="BP23" s="1551">
        <v>418.41</v>
      </c>
      <c r="BQ23" s="1516">
        <f t="shared" si="41"/>
        <v>63.597402461814724</v>
      </c>
      <c r="BR23" s="1560">
        <f>BQ23-BM23</f>
        <v>7.7347247608607006E-2</v>
      </c>
      <c r="BT23" s="1551">
        <v>538.79600000000005</v>
      </c>
      <c r="BU23" s="1516">
        <f t="shared" si="42"/>
        <v>59.45137025734423</v>
      </c>
      <c r="BV23" s="1560">
        <f>BU23-BQ23</f>
        <v>-4.1460322044704938</v>
      </c>
      <c r="BW23" s="114"/>
      <c r="BX23" s="1552">
        <v>537.87900000000002</v>
      </c>
      <c r="BY23" s="1516">
        <f t="shared" si="43"/>
        <v>63.372989742811015</v>
      </c>
      <c r="BZ23" s="1560">
        <f>BY23-BU23</f>
        <v>3.9216194854667847</v>
      </c>
      <c r="CA23" s="1560"/>
      <c r="CB23" s="1552">
        <v>532.03</v>
      </c>
      <c r="CC23" s="1516">
        <f t="shared" si="44"/>
        <v>59.04742917798508</v>
      </c>
      <c r="CD23" s="1560">
        <f>CC23-BY23</f>
        <v>-4.3255605648259348</v>
      </c>
      <c r="CE23" s="1561"/>
      <c r="CF23" s="1552">
        <v>437.65899999999999</v>
      </c>
      <c r="CG23" s="1516">
        <f t="shared" si="45"/>
        <v>60.907387293398031</v>
      </c>
      <c r="CH23" s="1560">
        <f>CG23-CC23</f>
        <v>1.859958115412951</v>
      </c>
      <c r="CI23" s="1561"/>
      <c r="CJ23" s="2020">
        <f>436.585+1.02</f>
        <v>437.60499999999996</v>
      </c>
      <c r="CK23" s="1516">
        <f t="shared" si="46"/>
        <v>60.67991697591043</v>
      </c>
      <c r="CL23" s="1560">
        <f>CK23-CG23</f>
        <v>-0.22747031748760094</v>
      </c>
      <c r="CM23" s="1561"/>
      <c r="CN23" s="2020">
        <f>421.362</f>
        <v>421.36200000000002</v>
      </c>
      <c r="CO23" s="1516">
        <f t="shared" si="47"/>
        <v>59.342238192602395</v>
      </c>
      <c r="CP23" s="1560">
        <f>CO23-CK23</f>
        <v>-1.3376787833080357</v>
      </c>
      <c r="CQ23" s="1561"/>
      <c r="CR23" s="2020">
        <v>495.76299999999998</v>
      </c>
      <c r="CS23" s="1516">
        <f t="shared" si="48"/>
        <v>58.449509620687287</v>
      </c>
      <c r="CT23" s="1560">
        <f>CS23-CO23</f>
        <v>-0.89272857191510724</v>
      </c>
      <c r="CU23" s="1561"/>
      <c r="CV23" s="1553">
        <f>CV13*(1-CW23/100)</f>
        <v>462.89187380800007</v>
      </c>
      <c r="CW23" s="2054">
        <v>58.4</v>
      </c>
      <c r="CX23" s="1560">
        <f>CW23-CS23</f>
        <v>-4.9509620687288702E-2</v>
      </c>
      <c r="CY23" s="1560">
        <f>CD23+CH23+CL23</f>
        <v>-2.6930727669005847</v>
      </c>
      <c r="CZ23" s="1562">
        <f>CP23+CL23</f>
        <v>-1.5651491007956366</v>
      </c>
      <c r="DE23" s="2145"/>
      <c r="DF23" s="1053"/>
      <c r="EC23" s="22" t="s">
        <v>706</v>
      </c>
      <c r="ED23" s="22" t="s">
        <v>703</v>
      </c>
      <c r="EE23" s="317">
        <v>0.1</v>
      </c>
    </row>
    <row r="24" spans="1:135">
      <c r="B24" s="114" t="str">
        <f>$B$14</f>
        <v>Year</v>
      </c>
      <c r="D24" s="1536">
        <f>SUM(D20:D23)</f>
        <v>108.643</v>
      </c>
      <c r="E24" s="1516">
        <f t="shared" si="25"/>
        <v>34.340003505315394</v>
      </c>
      <c r="H24" s="1536">
        <f>SUM(H20:H23)</f>
        <v>155.86500000000001</v>
      </c>
      <c r="I24" s="1516">
        <f t="shared" si="26"/>
        <v>33.859941695415827</v>
      </c>
      <c r="L24" s="1536">
        <f>SUM(L20:L23)</f>
        <v>211.60599999999999</v>
      </c>
      <c r="M24" s="1516">
        <f t="shared" si="27"/>
        <v>36.904094557685205</v>
      </c>
      <c r="P24" s="1536">
        <f>SUM(P20:P23)</f>
        <v>320.53699999999998</v>
      </c>
      <c r="Q24" s="1516">
        <f t="shared" si="28"/>
        <v>38.549357095340071</v>
      </c>
      <c r="T24" s="1536">
        <f>SUM(T20:T23)</f>
        <v>473.82600000000002</v>
      </c>
      <c r="U24" s="1516">
        <f t="shared" si="29"/>
        <v>41.152785712511495</v>
      </c>
      <c r="X24" s="1536">
        <f>SUM(X20:X23)</f>
        <v>580.47500000000002</v>
      </c>
      <c r="Y24" s="1516">
        <f t="shared" si="30"/>
        <v>43.690110568089878</v>
      </c>
      <c r="AA24" s="1129"/>
      <c r="AB24" s="1536">
        <f>SUM(AB20:AB23)</f>
        <v>728.22900000000004</v>
      </c>
      <c r="AC24" s="1516">
        <f t="shared" si="31"/>
        <v>41.15815721345438</v>
      </c>
      <c r="AE24" s="1129"/>
      <c r="AF24" s="1536">
        <f>SUM(AF20:AF23)</f>
        <v>806.81900000000007</v>
      </c>
      <c r="AG24" s="1516">
        <f t="shared" si="32"/>
        <v>40.886014830901203</v>
      </c>
      <c r="AI24" s="1129"/>
      <c r="AJ24" s="1536">
        <f>SUM(AJ20:AJ23)</f>
        <v>615.20100000000002</v>
      </c>
      <c r="AK24" s="1516">
        <f t="shared" si="33"/>
        <v>61.447701623743455</v>
      </c>
      <c r="AM24" s="1129"/>
      <c r="AN24" s="1536">
        <f>SUM(AN20:AN23)</f>
        <v>624.64</v>
      </c>
      <c r="AO24" s="1516">
        <f t="shared" si="34"/>
        <v>63.424481309092542</v>
      </c>
      <c r="AP24" s="1516">
        <f>AO24-AK24</f>
        <v>1.9767796853490864</v>
      </c>
      <c r="AQ24" s="1129"/>
      <c r="AR24" s="1536">
        <f>SUM(AR20:AR23)</f>
        <v>680.029</v>
      </c>
      <c r="AS24" s="1516">
        <f t="shared" si="35"/>
        <v>66.356083896432608</v>
      </c>
      <c r="AT24" s="1516">
        <f>AS24-AO24</f>
        <v>2.9316025873400662</v>
      </c>
      <c r="AU24" s="1129"/>
      <c r="AV24" s="1536">
        <f>SUM(AV20:AV23)</f>
        <v>933.29500000000007</v>
      </c>
      <c r="AW24" s="1516">
        <f t="shared" si="36"/>
        <v>66.485032019480656</v>
      </c>
      <c r="AX24" s="1560">
        <f>AW24-AS24</f>
        <v>0.12894812304804759</v>
      </c>
      <c r="AY24" s="1129"/>
      <c r="AZ24" s="1536">
        <f>SUM(AZ20:AZ23)</f>
        <v>1109.152</v>
      </c>
      <c r="BA24" s="1516">
        <f t="shared" si="37"/>
        <v>66.573261429986147</v>
      </c>
      <c r="BB24" s="1560">
        <f>BA24-AW24</f>
        <v>8.8229410505491046E-2</v>
      </c>
      <c r="BC24" s="1129"/>
      <c r="BD24" s="1536">
        <f>SUM(BD20:BD23)</f>
        <v>1238.48</v>
      </c>
      <c r="BE24" s="1516">
        <f t="shared" si="38"/>
        <v>66.972519145447791</v>
      </c>
      <c r="BF24" s="1560">
        <f>BE24-BA24</f>
        <v>0.39925771546164412</v>
      </c>
      <c r="BG24" s="1129"/>
      <c r="BH24" s="1536">
        <f>SUM(BH20:BH23)</f>
        <v>1152.962</v>
      </c>
      <c r="BI24" s="1516">
        <f t="shared" si="39"/>
        <v>66.907487449258156</v>
      </c>
      <c r="BJ24" s="1560">
        <f>BI24-BE24</f>
        <v>-6.5031696189635113E-2</v>
      </c>
      <c r="BK24" s="1129"/>
      <c r="BL24" s="1536">
        <f>SUM(BL20:BL23)</f>
        <v>1045.029</v>
      </c>
      <c r="BM24" s="1516">
        <f t="shared" si="40"/>
        <v>64.316735669469466</v>
      </c>
      <c r="BN24" s="1560">
        <f>BM24-BI24</f>
        <v>-2.5907517797886896</v>
      </c>
      <c r="BO24" s="1129"/>
      <c r="BP24" s="1536">
        <f>SUM(BP20:BP23)</f>
        <v>1256.5940000000001</v>
      </c>
      <c r="BQ24" s="1516">
        <f t="shared" si="41"/>
        <v>63.774138197450625</v>
      </c>
      <c r="BR24" s="1560">
        <f>BQ24-BM24</f>
        <v>-0.54259747201884068</v>
      </c>
      <c r="BS24" s="1030"/>
      <c r="BT24" s="1536">
        <f>SUM(BT20:BT23)</f>
        <v>1607.8340000000001</v>
      </c>
      <c r="BU24" s="1516">
        <f t="shared" si="42"/>
        <v>61.332093010727604</v>
      </c>
      <c r="BV24" s="1560">
        <f>BU24-BQ24</f>
        <v>-2.4420451867230213</v>
      </c>
      <c r="BW24" s="1129"/>
      <c r="BX24" s="1536">
        <f>SUM(BX20:BX23)</f>
        <v>1694.096</v>
      </c>
      <c r="BY24" s="1516">
        <f t="shared" si="43"/>
        <v>62.443599313204636</v>
      </c>
      <c r="BZ24" s="1560">
        <f>BY24-BU24</f>
        <v>1.1115063024770322</v>
      </c>
      <c r="CA24" s="1560"/>
      <c r="CB24" s="1536">
        <f>SUM(CB20:CB23)</f>
        <v>1541.462</v>
      </c>
      <c r="CC24" s="1516">
        <f t="shared" si="44"/>
        <v>62.557673898569718</v>
      </c>
      <c r="CD24" s="1560">
        <f>CC24-BY24</f>
        <v>0.1140745853650813</v>
      </c>
      <c r="CE24" s="1561"/>
      <c r="CF24" s="1536">
        <f>SUM(CF20:CF23)</f>
        <v>1430.46</v>
      </c>
      <c r="CG24" s="1516">
        <f t="shared" si="45"/>
        <v>61.793575371992205</v>
      </c>
      <c r="CH24" s="1560">
        <f>CG24-CC24</f>
        <v>-0.76409852657751287</v>
      </c>
      <c r="CI24" s="1561"/>
      <c r="CJ24" s="1536">
        <f>SUM(CJ20:CJ23)</f>
        <v>1340.49</v>
      </c>
      <c r="CK24" s="1516">
        <f t="shared" si="46"/>
        <v>61.903611581615849</v>
      </c>
      <c r="CL24" s="1560">
        <f>CK24-CG24</f>
        <v>0.1100362096236438</v>
      </c>
      <c r="CM24" s="1561"/>
      <c r="CN24" s="1536">
        <f>SUM(CN20:CN23)</f>
        <v>1298.172</v>
      </c>
      <c r="CO24" s="1516">
        <f t="shared" si="47"/>
        <v>60.977653799214849</v>
      </c>
      <c r="CP24" s="1560">
        <f>CO24-CK24</f>
        <v>-0.92595778240099946</v>
      </c>
      <c r="CQ24" s="1561"/>
      <c r="CR24" s="1536">
        <f>SUM(CR20:CR23)</f>
        <v>1408.848</v>
      </c>
      <c r="CS24" s="1516">
        <f t="shared" si="48"/>
        <v>59.66295319653333</v>
      </c>
      <c r="CT24" s="1560">
        <f>CS24-CO24</f>
        <v>-1.3147006026815191</v>
      </c>
      <c r="CU24" s="1561"/>
      <c r="CV24" s="1536">
        <f>SUM(CV20:CV23)</f>
        <v>1420.4319961016351</v>
      </c>
      <c r="CW24" s="1516">
        <f>((CV14-CV24)/CV14)*100</f>
        <v>59.507168181159408</v>
      </c>
      <c r="CX24" s="1560">
        <f>CW24-CS24</f>
        <v>-0.15578501537392242</v>
      </c>
      <c r="DE24" s="2145"/>
      <c r="DF24" s="1053"/>
      <c r="ED24" s="22" t="s">
        <v>704</v>
      </c>
      <c r="EE24" s="317">
        <v>-0.17</v>
      </c>
    </row>
    <row r="25" spans="1:135" ht="12.75" hidden="1" customHeight="1" outlineLevel="1">
      <c r="A25" s="114" t="str">
        <f>$A$15</f>
        <v>6 Mos</v>
      </c>
      <c r="D25" s="1537">
        <f>SUM(D20:D21)</f>
        <v>38.516000000000005</v>
      </c>
      <c r="E25" s="1516">
        <f t="shared" si="25"/>
        <v>26.557852185188004</v>
      </c>
      <c r="H25" s="1537">
        <f>SUM(H20:H21)</f>
        <v>51.594000000000001</v>
      </c>
      <c r="I25" s="1516">
        <f t="shared" si="26"/>
        <v>28.386425150947325</v>
      </c>
      <c r="L25" s="1537">
        <f>SUM(L20:L21)</f>
        <v>75.504999999999995</v>
      </c>
      <c r="M25" s="1516">
        <f t="shared" si="27"/>
        <v>30.378696369789122</v>
      </c>
      <c r="P25" s="1537">
        <f>SUM(P20:P21)</f>
        <v>109.229</v>
      </c>
      <c r="Q25" s="1516">
        <f t="shared" si="28"/>
        <v>32.137354308009655</v>
      </c>
      <c r="T25" s="1537">
        <f>SUM(T20:T21)</f>
        <v>177.71800000000002</v>
      </c>
      <c r="U25" s="1516">
        <f t="shared" si="29"/>
        <v>35.882384774961665</v>
      </c>
      <c r="X25" s="1537">
        <f>SUM(X20:X21)</f>
        <v>235.94</v>
      </c>
      <c r="Y25" s="1516">
        <f t="shared" si="30"/>
        <v>38.34116460300951</v>
      </c>
      <c r="AB25" s="1537">
        <f>SUM(AB20:AB21)</f>
        <v>270.86900000000003</v>
      </c>
      <c r="AC25" s="1516">
        <f t="shared" si="31"/>
        <v>37.593108421632252</v>
      </c>
      <c r="AF25" s="1537">
        <f>SUM(AF20:AF21)</f>
        <v>337.62900000000002</v>
      </c>
      <c r="AG25" s="1516">
        <f t="shared" si="32"/>
        <v>37.912562799285027</v>
      </c>
      <c r="AJ25" s="1537">
        <f>SUM(AJ20:AJ21)</f>
        <v>241.86799999999999</v>
      </c>
      <c r="AK25" s="1516">
        <f t="shared" si="33"/>
        <v>62.322687578082892</v>
      </c>
      <c r="AN25" s="1537">
        <f>SUM(AN20:AN21)</f>
        <v>252.31099999999998</v>
      </c>
      <c r="AO25" s="1516">
        <f t="shared" si="34"/>
        <v>64.080826717119308</v>
      </c>
      <c r="AR25" s="1537">
        <f>SUM(AR20:AR21)</f>
        <v>264.435</v>
      </c>
      <c r="AS25" s="1516">
        <f t="shared" si="35"/>
        <v>67.485207973676836</v>
      </c>
      <c r="AV25" s="1537">
        <f>SUM(AV20:AV21)</f>
        <v>371.48900000000003</v>
      </c>
      <c r="AW25" s="1516">
        <f t="shared" si="36"/>
        <v>66.783917396354255</v>
      </c>
      <c r="AZ25" s="1537">
        <f>SUM(AZ20:AZ21)</f>
        <v>430.79399999999998</v>
      </c>
      <c r="BA25" s="1516">
        <f t="shared" si="37"/>
        <v>67.264072731307095</v>
      </c>
      <c r="BD25" s="1537">
        <f>SUM(BD20:BD21)</f>
        <v>506.24099999999999</v>
      </c>
      <c r="BE25" s="1516">
        <f t="shared" si="38"/>
        <v>67.274853453380459</v>
      </c>
      <c r="BH25" s="1537">
        <f>SUM(BH20:BH21)</f>
        <v>508.15499999999997</v>
      </c>
      <c r="BI25" s="1516">
        <f t="shared" si="39"/>
        <v>68.6408666304213</v>
      </c>
      <c r="BL25" s="1537">
        <f>SUM(BL20:BL21)</f>
        <v>432.98299999999995</v>
      </c>
      <c r="BM25" s="1516">
        <f t="shared" si="40"/>
        <v>65.052423423059864</v>
      </c>
      <c r="BP25" s="1537">
        <f>SUM(BP20:BP21)</f>
        <v>516.83799999999997</v>
      </c>
      <c r="BQ25" s="1516">
        <f t="shared" si="41"/>
        <v>63.948292482850889</v>
      </c>
      <c r="BT25" s="1537">
        <f>SUM(BT20:BT21)</f>
        <v>649.43599999999992</v>
      </c>
      <c r="BU25" s="1516">
        <f t="shared" si="42"/>
        <v>62.96211383699557</v>
      </c>
      <c r="BV25" s="114"/>
      <c r="BW25" s="114"/>
      <c r="BX25" s="1537">
        <f>SUM(BX20:BX21)</f>
        <v>739.08199999999999</v>
      </c>
      <c r="BY25" s="1516">
        <f t="shared" si="43"/>
        <v>60.532300914491699</v>
      </c>
      <c r="BZ25" s="114"/>
      <c r="CA25" s="1560"/>
      <c r="CB25" s="1537">
        <f>SUM(CB20:CB21)</f>
        <v>627.17900000000009</v>
      </c>
      <c r="CC25" s="1516">
        <f t="shared" si="44"/>
        <v>64.85342682156633</v>
      </c>
      <c r="CD25" s="114"/>
      <c r="CE25" s="200"/>
      <c r="CF25" s="1537">
        <f>SUM(CF20:CF21)</f>
        <v>648.41800000000001</v>
      </c>
      <c r="CG25" s="1516">
        <f t="shared" si="45"/>
        <v>62.147956285722451</v>
      </c>
      <c r="CH25" s="114"/>
      <c r="CI25" s="200"/>
      <c r="CJ25" s="1537">
        <f>SUM(CJ20:CJ21)</f>
        <v>581.52700000000004</v>
      </c>
      <c r="CK25" s="1516">
        <f t="shared" si="46"/>
        <v>61.921465605188132</v>
      </c>
      <c r="CL25" s="114"/>
      <c r="CM25" s="200"/>
      <c r="CN25" s="1537">
        <f>SUM(CN20:CN21)</f>
        <v>565.81500000000005</v>
      </c>
      <c r="CO25" s="1516">
        <f t="shared" si="47"/>
        <v>61.473618844062173</v>
      </c>
      <c r="CP25" s="114"/>
      <c r="CQ25" s="200"/>
      <c r="CR25" s="1537">
        <f>SUM(CR20:CR21)</f>
        <v>580.59999999999991</v>
      </c>
      <c r="CS25" s="1516">
        <f t="shared" si="48"/>
        <v>59.692311964565903</v>
      </c>
      <c r="CT25" s="114"/>
      <c r="CU25" s="200"/>
      <c r="CV25" s="1537">
        <f>SUM(CV20:CV21)</f>
        <v>622.31114366515499</v>
      </c>
      <c r="CW25" s="1516">
        <f>((CV15-CV25)/CV15)*100</f>
        <v>59.35654623274749</v>
      </c>
      <c r="CX25" s="114"/>
      <c r="DZ25" s="1053">
        <f>+(AO23-AK23)*100</f>
        <v>146.80149080436706</v>
      </c>
    </row>
    <row r="26" spans="1:135" ht="12.75" hidden="1" customHeight="1" outlineLevel="1">
      <c r="A26" s="114" t="str">
        <f>$A$16</f>
        <v>9 Mos</v>
      </c>
      <c r="D26" s="1537">
        <f>SUM(D20:D22)</f>
        <v>65.284999999999997</v>
      </c>
      <c r="E26" s="1516">
        <f t="shared" si="25"/>
        <v>28.280309355363194</v>
      </c>
      <c r="H26" s="1537">
        <f>SUM(H20:H22)</f>
        <v>89.313000000000002</v>
      </c>
      <c r="I26" s="1516">
        <f t="shared" si="26"/>
        <v>30.908120401958733</v>
      </c>
      <c r="L26" s="1537">
        <f>SUM(L20:L22)</f>
        <v>132.23599999999999</v>
      </c>
      <c r="M26" s="1516">
        <f t="shared" si="27"/>
        <v>32.580465894085329</v>
      </c>
      <c r="P26" s="1537">
        <f>SUM(P20:P22)</f>
        <v>204.755</v>
      </c>
      <c r="Q26" s="1516">
        <f t="shared" si="28"/>
        <v>33.837309998965978</v>
      </c>
      <c r="T26" s="1537">
        <f>SUM(T20:T22)</f>
        <v>318.63600000000002</v>
      </c>
      <c r="U26" s="1516">
        <f t="shared" si="29"/>
        <v>36.915629733020523</v>
      </c>
      <c r="X26" s="1537">
        <f>SUM(X20:X22)</f>
        <v>401.85</v>
      </c>
      <c r="Y26" s="1516">
        <f t="shared" si="30"/>
        <v>39.767433494613016</v>
      </c>
      <c r="AB26" s="1537">
        <f>SUM(AB20:AB22)</f>
        <v>491.70800000000003</v>
      </c>
      <c r="AC26" s="1516">
        <f t="shared" si="31"/>
        <v>38.394730874424774</v>
      </c>
      <c r="AF26" s="1537">
        <f>SUM(AF20:AF22)</f>
        <v>548.69900000000007</v>
      </c>
      <c r="AG26" s="1516">
        <f t="shared" si="32"/>
        <v>38.915959473164492</v>
      </c>
      <c r="AJ26" s="1537">
        <f>SUM(AJ20:AJ22)</f>
        <v>411.83100000000002</v>
      </c>
      <c r="AK26" s="1516">
        <f t="shared" si="33"/>
        <v>61.19469506018703</v>
      </c>
      <c r="AN26" s="1537">
        <f>SUM(AN20:AN22)</f>
        <v>419.63900000000001</v>
      </c>
      <c r="AO26" s="1516">
        <f t="shared" si="34"/>
        <v>63.427602795837622</v>
      </c>
      <c r="AR26" s="1537">
        <f>SUM(AR20:AR22)</f>
        <v>448.54200000000003</v>
      </c>
      <c r="AS26" s="1516">
        <f t="shared" si="35"/>
        <v>66.37616191904047</v>
      </c>
      <c r="AV26" s="1537">
        <f>SUM(AV20:AV22)</f>
        <v>611.32100000000003</v>
      </c>
      <c r="AW26" s="1516">
        <f t="shared" si="36"/>
        <v>66.472076471533512</v>
      </c>
      <c r="AZ26" s="1537">
        <f>SUM(AZ20:AZ22)</f>
        <v>726.04399999999998</v>
      </c>
      <c r="BA26" s="1516">
        <f t="shared" si="37"/>
        <v>66.686289669475528</v>
      </c>
      <c r="BD26" s="1537">
        <f>SUM(BD20:BD22)</f>
        <v>835.12799999999993</v>
      </c>
      <c r="BE26" s="1516">
        <f t="shared" si="38"/>
        <v>66.871542375315258</v>
      </c>
      <c r="BH26" s="1537">
        <f>SUM(BH20:BH22)</f>
        <v>806.00199999999995</v>
      </c>
      <c r="BI26" s="1516">
        <f t="shared" si="39"/>
        <v>67.801751963848574</v>
      </c>
      <c r="BL26" s="1537">
        <f>SUM(BL20:BL22)</f>
        <v>703.57999999999993</v>
      </c>
      <c r="BM26" s="1516">
        <f t="shared" si="40"/>
        <v>64.690956793871834</v>
      </c>
      <c r="BP26" s="1537">
        <f>SUM(BP20:BP22)</f>
        <v>838.18399999999997</v>
      </c>
      <c r="BQ26" s="1516">
        <f t="shared" si="41"/>
        <v>63.861721666997219</v>
      </c>
      <c r="BT26" s="1537">
        <f>SUM(BT20:BT22)</f>
        <v>1069.038</v>
      </c>
      <c r="BU26" s="1516">
        <f t="shared" si="42"/>
        <v>62.215366170983344</v>
      </c>
      <c r="BV26" s="114"/>
      <c r="BW26" s="114"/>
      <c r="BX26" s="1537">
        <f>SUM(BX20:BX22)</f>
        <v>1156.2170000000001</v>
      </c>
      <c r="BY26" s="1516">
        <f t="shared" si="43"/>
        <v>61.994974811604727</v>
      </c>
      <c r="BZ26" s="114"/>
      <c r="CA26" s="1560"/>
      <c r="CB26" s="1537">
        <f>SUM(CB20:CB22)</f>
        <v>1009.432</v>
      </c>
      <c r="CC26" s="1516">
        <f t="shared" si="44"/>
        <v>64.176083129862022</v>
      </c>
      <c r="CD26" s="114"/>
      <c r="CE26" s="200"/>
      <c r="CF26" s="1537">
        <f>SUM(CF20:CF22)</f>
        <v>992.80099999999993</v>
      </c>
      <c r="CG26" s="1516">
        <f t="shared" si="45"/>
        <v>62.171602363281799</v>
      </c>
      <c r="CH26" s="114"/>
      <c r="CI26" s="200"/>
      <c r="CJ26" s="1537">
        <f>SUM(CJ20:CJ22)</f>
        <v>902.88499999999999</v>
      </c>
      <c r="CK26" s="1516">
        <f t="shared" si="46"/>
        <v>62.469707991270916</v>
      </c>
      <c r="CL26" s="114"/>
      <c r="CM26" s="200"/>
      <c r="CN26" s="1537">
        <f>SUM(CN20:CN22)</f>
        <v>876.81000000000006</v>
      </c>
      <c r="CO26" s="1516">
        <f t="shared" si="47"/>
        <v>61.717656088932081</v>
      </c>
      <c r="CP26" s="114"/>
      <c r="CQ26" s="200"/>
      <c r="CR26" s="1537">
        <f>SUM(CR20:CR22)</f>
        <v>913.08499999999992</v>
      </c>
      <c r="CS26" s="1516">
        <f t="shared" si="48"/>
        <v>60.292572575637124</v>
      </c>
      <c r="CT26" s="114"/>
      <c r="CU26" s="200"/>
      <c r="CV26" s="1537">
        <f>SUM(CV20:CV22)</f>
        <v>957.54012229363502</v>
      </c>
      <c r="CW26" s="1516">
        <f>((CV16-CV26)/CV16)*100</f>
        <v>60.021530336344632</v>
      </c>
      <c r="CX26" s="114"/>
      <c r="DZ26" s="1053">
        <f>+(AO24-AK24)*100</f>
        <v>197.67796853490864</v>
      </c>
      <c r="EC26" s="22" t="s">
        <v>705</v>
      </c>
      <c r="ED26" s="22" t="s">
        <v>703</v>
      </c>
      <c r="EE26" s="317">
        <v>0.06</v>
      </c>
    </row>
    <row r="27" spans="1:135" collapsed="1">
      <c r="X27" s="1565"/>
      <c r="AJ27" s="1536"/>
      <c r="AN27" s="1536"/>
      <c r="AR27" s="1536"/>
      <c r="AV27" s="1536"/>
      <c r="AZ27" s="1536"/>
      <c r="BD27" s="1537"/>
      <c r="BL27" s="1171"/>
      <c r="BM27" s="1171"/>
      <c r="BN27" s="1171"/>
      <c r="BO27" s="1171"/>
      <c r="BS27" s="1347"/>
      <c r="BT27" s="114"/>
      <c r="BU27" s="114"/>
      <c r="BV27" s="114"/>
      <c r="BW27" s="1171"/>
      <c r="BX27" s="114"/>
      <c r="BY27" s="114"/>
      <c r="BZ27" s="114"/>
      <c r="CA27" s="114"/>
      <c r="CB27" s="200"/>
      <c r="CC27" s="200"/>
      <c r="CD27" s="200"/>
      <c r="CE27" s="200"/>
      <c r="CF27" s="1967"/>
      <c r="CG27" s="200"/>
      <c r="CH27" s="200"/>
      <c r="CI27" s="200"/>
      <c r="CJ27" s="200"/>
      <c r="CK27" s="200"/>
      <c r="CL27" s="200"/>
      <c r="CM27" s="200"/>
      <c r="CN27" s="200"/>
      <c r="CO27" s="200"/>
      <c r="CP27" s="200"/>
      <c r="CQ27" s="200"/>
      <c r="CR27" s="200"/>
      <c r="CS27" s="200"/>
      <c r="CT27" s="200"/>
      <c r="CU27" s="200"/>
      <c r="CV27" s="200"/>
      <c r="CW27" s="200"/>
      <c r="CX27" s="200"/>
      <c r="ED27" s="22" t="s">
        <v>704</v>
      </c>
      <c r="EE27" s="317">
        <v>-0.15</v>
      </c>
    </row>
    <row r="28" spans="1:135" outlineLevel="1">
      <c r="C28" s="313"/>
      <c r="D28" s="1531"/>
      <c r="H28" s="1532"/>
      <c r="I28" s="1533"/>
      <c r="J28" s="1533"/>
      <c r="K28" s="1533"/>
      <c r="L28" s="1532"/>
      <c r="M28" s="1533"/>
      <c r="N28" s="1533"/>
      <c r="O28" s="1533"/>
      <c r="P28" s="1532"/>
      <c r="Q28" s="1533"/>
      <c r="R28" s="1533"/>
      <c r="S28" s="1533"/>
      <c r="T28" s="1532"/>
      <c r="U28" s="1533"/>
      <c r="V28" s="1533"/>
      <c r="W28" s="1533"/>
      <c r="Y28" s="1533"/>
      <c r="Z28" s="1533"/>
      <c r="AA28" s="1533"/>
      <c r="AC28" s="1566"/>
      <c r="AD28" s="1566"/>
      <c r="AE28" s="1566"/>
      <c r="AF28" s="1567"/>
      <c r="AG28" s="1566"/>
      <c r="AH28" s="1566"/>
      <c r="AI28" s="1566"/>
      <c r="AK28" s="1566"/>
      <c r="AL28" s="1566"/>
      <c r="AM28" s="1566"/>
      <c r="AN28" s="1567"/>
      <c r="AO28" s="1566"/>
      <c r="AP28" s="1566"/>
      <c r="AQ28" s="1566"/>
      <c r="AS28" s="1566"/>
      <c r="AT28" s="1566"/>
      <c r="AU28" s="1566"/>
      <c r="AV28" s="1567"/>
      <c r="AW28" s="1566"/>
      <c r="AX28" s="1566"/>
      <c r="AY28" s="1566"/>
      <c r="AZ28" s="1567"/>
      <c r="BA28" s="1566"/>
      <c r="BB28" s="1566"/>
      <c r="BC28" s="1566"/>
      <c r="BD28" s="1567"/>
      <c r="BE28" s="1566"/>
      <c r="BF28" s="1566"/>
      <c r="BG28" s="1566"/>
      <c r="BH28" s="1567"/>
      <c r="BI28" s="22"/>
      <c r="BJ28" s="1566"/>
      <c r="BK28" s="1566"/>
      <c r="BL28" s="1567"/>
      <c r="BM28" s="1566"/>
      <c r="BN28" s="1566"/>
      <c r="BO28" s="1566"/>
      <c r="BP28" s="1567"/>
      <c r="BQ28" s="1566"/>
      <c r="BR28" s="1566"/>
      <c r="BS28" s="1568"/>
      <c r="BT28" s="1567"/>
      <c r="BU28" s="1566"/>
      <c r="BV28" s="1566"/>
      <c r="BW28" s="1566"/>
      <c r="BY28" s="1566"/>
      <c r="BZ28" s="1566"/>
      <c r="CA28" s="1566"/>
      <c r="CB28" s="306"/>
      <c r="CC28" s="306"/>
      <c r="CD28" s="1567" t="s">
        <v>73</v>
      </c>
      <c r="CE28" s="306"/>
      <c r="CF28" s="1968"/>
      <c r="CG28" s="306"/>
      <c r="CH28" s="306"/>
      <c r="CI28" s="306"/>
      <c r="CJ28" s="2166"/>
      <c r="CK28" s="306"/>
      <c r="CL28" s="2271"/>
      <c r="CM28" s="306"/>
      <c r="CN28" s="2166"/>
      <c r="CO28" s="306"/>
      <c r="CP28" s="306"/>
      <c r="CQ28" s="306"/>
      <c r="CR28" s="2166"/>
      <c r="CS28" s="2274"/>
      <c r="CT28" s="2274"/>
      <c r="CU28" s="306"/>
      <c r="CV28" s="2166"/>
      <c r="CW28" s="2271"/>
      <c r="CX28" s="306"/>
      <c r="CY28" s="1500"/>
      <c r="DE28" s="1053"/>
      <c r="DF28" s="1053"/>
      <c r="DH28" s="2145"/>
    </row>
    <row r="29" spans="1:135" outlineLevel="1">
      <c r="AB29" s="312"/>
      <c r="AC29" s="312"/>
      <c r="AD29" s="312"/>
      <c r="AE29" s="312"/>
      <c r="AF29" s="312"/>
      <c r="AG29" s="312"/>
      <c r="AH29" s="312"/>
      <c r="AI29" s="312"/>
      <c r="AJ29" s="312"/>
      <c r="AK29" s="312"/>
      <c r="AL29" s="312"/>
      <c r="AM29" s="312"/>
      <c r="AN29" s="312"/>
      <c r="AO29" s="312"/>
      <c r="AP29" s="312"/>
      <c r="AQ29" s="312"/>
      <c r="AR29" s="312"/>
      <c r="AS29" s="312"/>
      <c r="AT29" s="312"/>
      <c r="AU29" s="312"/>
      <c r="AV29" s="312"/>
      <c r="AW29" s="312"/>
      <c r="AX29" s="312"/>
      <c r="AY29" s="312"/>
      <c r="AZ29" s="312"/>
      <c r="BA29" s="312"/>
      <c r="BB29" s="312"/>
      <c r="BC29" s="312"/>
      <c r="BD29" s="312"/>
      <c r="BE29" s="312"/>
      <c r="BF29" s="312"/>
      <c r="BG29" s="1569"/>
      <c r="BH29" s="312"/>
      <c r="BI29" s="1570"/>
      <c r="BJ29" s="312"/>
      <c r="BK29" s="1569"/>
      <c r="BL29" s="1571"/>
      <c r="BM29" s="1572"/>
      <c r="BN29" s="1573"/>
      <c r="BO29" s="1569"/>
      <c r="BP29" s="312"/>
      <c r="BQ29" s="1548"/>
      <c r="BR29" s="312"/>
      <c r="BS29" s="1574"/>
      <c r="BT29" s="1575"/>
      <c r="BU29" s="1548"/>
      <c r="BV29" s="312"/>
      <c r="BW29" s="1569"/>
      <c r="BX29" s="312"/>
      <c r="BY29" s="1548"/>
      <c r="BZ29" s="312"/>
      <c r="CA29" s="312"/>
      <c r="CB29" s="306"/>
      <c r="CC29" s="306"/>
      <c r="CD29" s="306"/>
      <c r="CE29" s="306"/>
      <c r="CF29" s="306"/>
      <c r="CG29" s="306"/>
      <c r="CH29" s="306"/>
      <c r="CI29" s="306"/>
      <c r="CJ29" s="306"/>
      <c r="CK29" s="306"/>
      <c r="CL29" s="306"/>
      <c r="CM29" s="306"/>
      <c r="CN29" s="306"/>
      <c r="CO29" s="306"/>
      <c r="CP29" s="306"/>
      <c r="CQ29" s="306"/>
      <c r="CR29" s="306"/>
      <c r="CS29" s="2250"/>
      <c r="CT29" s="306"/>
      <c r="CU29" s="306"/>
      <c r="CV29" s="306"/>
      <c r="CW29" s="306"/>
      <c r="CX29" s="306"/>
      <c r="CY29" s="86"/>
      <c r="CZ29" s="1576"/>
      <c r="DG29" s="2145"/>
      <c r="DH29" s="2145"/>
      <c r="EC29" s="22" t="s">
        <v>710</v>
      </c>
      <c r="ED29" s="22" t="s">
        <v>703</v>
      </c>
      <c r="EE29" s="317">
        <v>0.03</v>
      </c>
    </row>
    <row r="30" spans="1:135" outlineLevel="1">
      <c r="A30" s="114" t="str">
        <f>$A$10</f>
        <v>1Q</v>
      </c>
      <c r="B30" s="114" t="str">
        <f>$B$10</f>
        <v>Apr</v>
      </c>
      <c r="D30" s="1577"/>
      <c r="E30" s="1578"/>
      <c r="F30" s="1579"/>
      <c r="G30" s="310"/>
      <c r="H30" s="1577"/>
      <c r="I30" s="1578"/>
      <c r="J30" s="1579"/>
      <c r="K30" s="310"/>
      <c r="L30" s="1577"/>
      <c r="M30" s="1578"/>
      <c r="N30" s="1579"/>
      <c r="O30" s="310"/>
      <c r="P30" s="1577"/>
      <c r="Q30" s="1578"/>
      <c r="R30" s="1579"/>
      <c r="S30" s="310"/>
      <c r="T30" s="1577"/>
      <c r="U30" s="1578"/>
      <c r="V30" s="1579"/>
      <c r="W30" s="1580"/>
      <c r="X30" s="1577"/>
      <c r="Y30" s="1578"/>
      <c r="Z30" s="1579"/>
      <c r="AB30" s="1581"/>
      <c r="AC30" s="1582"/>
      <c r="AD30" s="1583"/>
      <c r="AE30" s="1584"/>
      <c r="AF30" s="1581"/>
      <c r="AG30" s="1582"/>
      <c r="AH30" s="1583"/>
      <c r="AI30" s="1584"/>
      <c r="AJ30" s="1585">
        <f>119.575</f>
        <v>119.575</v>
      </c>
      <c r="AK30" s="1586">
        <f t="shared" ref="AK30:AK36" si="50">AJ30/AJ10*100</f>
        <v>38.228279495639278</v>
      </c>
      <c r="AL30" s="1583"/>
      <c r="AM30" s="1584"/>
      <c r="AN30" s="1585">
        <f>137.747</f>
        <v>137.74700000000001</v>
      </c>
      <c r="AO30" s="1586">
        <f t="shared" ref="AO30:AO36" si="51">AN30/AN10*100</f>
        <v>39.728370279359268</v>
      </c>
      <c r="AP30" s="1587">
        <f>(AN30/AJ30-1)*100</f>
        <v>15.197156596278493</v>
      </c>
      <c r="AQ30" s="1584"/>
      <c r="AR30" s="1585">
        <f>165.515</f>
        <v>165.51499999999999</v>
      </c>
      <c r="AS30" s="1586">
        <f t="shared" ref="AS30:AS36" si="52">AR30/AR10*100</f>
        <v>40.180370451290266</v>
      </c>
      <c r="AT30" s="1587">
        <f t="shared" ref="AT30:AT36" si="53">(AR30/AN30-1)*100</f>
        <v>20.158696741126825</v>
      </c>
      <c r="AU30" s="1584"/>
      <c r="AV30" s="1585">
        <v>222.22300000000001</v>
      </c>
      <c r="AW30" s="1586">
        <f t="shared" ref="AW30:AW36" si="54">AV30/AV10*100</f>
        <v>40.639893198734484</v>
      </c>
      <c r="AX30" s="1587">
        <f t="shared" ref="AX30:AX36" si="55">(AV30/AR30-1)*100</f>
        <v>34.261547291786258</v>
      </c>
      <c r="AY30" s="1584"/>
      <c r="AZ30" s="1541">
        <v>258.35199999999998</v>
      </c>
      <c r="BA30" s="1586">
        <f t="shared" ref="BA30:BA36" si="56">AZ30/AZ10*100</f>
        <v>39.306769962466014</v>
      </c>
      <c r="BB30" s="1587">
        <f t="shared" ref="BB30:BB36" si="57">(AZ30/AV30-1)*100</f>
        <v>16.257993097024137</v>
      </c>
      <c r="BC30" s="1584"/>
      <c r="BD30" s="1541">
        <v>308.238</v>
      </c>
      <c r="BE30" s="1586">
        <f t="shared" ref="BE30:BE36" si="58">BD30/BD10*100</f>
        <v>41.518567907221076</v>
      </c>
      <c r="BF30" s="1587">
        <f t="shared" ref="BF30:BF36" si="59">(BD30/AZ30-1)*100</f>
        <v>19.309314423731983</v>
      </c>
      <c r="BG30" s="1569"/>
      <c r="BH30" s="1541">
        <v>329.755</v>
      </c>
      <c r="BI30" s="1586">
        <f t="shared" ref="BI30:BI36" si="60">BH30/BH10*100</f>
        <v>41.8928550103603</v>
      </c>
      <c r="BJ30" s="1587">
        <f t="shared" ref="BJ30:BJ36" si="61">(BH30/BD30-1)*100</f>
        <v>6.9806448264003729</v>
      </c>
      <c r="BK30" s="1569"/>
      <c r="BL30" s="1541">
        <v>330.31</v>
      </c>
      <c r="BM30" s="1586">
        <f>100*BL30/BL10</f>
        <v>54.893481949515476</v>
      </c>
      <c r="BN30" s="1587">
        <f t="shared" ref="BN30:BN36" si="62">(BL30/BH30-1)*100</f>
        <v>0.16830677321042486</v>
      </c>
      <c r="BO30" s="1569"/>
      <c r="BP30" s="1541">
        <v>354.41</v>
      </c>
      <c r="BQ30" s="1586">
        <f>100*BP30/BP10</f>
        <v>51.527760815581182</v>
      </c>
      <c r="BR30" s="1587">
        <f t="shared" ref="BR30:BR36" si="63">(BP30/BL30-1)*100</f>
        <v>7.2961763192152862</v>
      </c>
      <c r="BS30" s="1574"/>
      <c r="BT30" s="1541">
        <v>399.101</v>
      </c>
      <c r="BU30" s="1586">
        <f>100*BT30/BT10</f>
        <v>47.700896645527408</v>
      </c>
      <c r="BV30" s="1587">
        <f t="shared" ref="BV30:BV36" si="64">(BT30/BP30-1)*100</f>
        <v>12.609971501932771</v>
      </c>
      <c r="BW30" s="1569"/>
      <c r="BX30" s="1541">
        <v>455.73200000000003</v>
      </c>
      <c r="BY30" s="1586">
        <f>100*BX30/BX10</f>
        <v>49.470592194247189</v>
      </c>
      <c r="BZ30" s="1587">
        <f t="shared" ref="BZ30:BZ36" si="65">(BX30/BT30-1)*100</f>
        <v>14.189641218638904</v>
      </c>
      <c r="CA30" s="1587"/>
      <c r="CB30" s="1588">
        <v>449.125</v>
      </c>
      <c r="CC30" s="1586">
        <f>100*CB30/CB10</f>
        <v>53.545731899962924</v>
      </c>
      <c r="CD30" s="1587">
        <f t="shared" ref="CD30:CD36" si="66">(CB30/BX30-1)*100</f>
        <v>-1.4497555580911703</v>
      </c>
      <c r="CE30" s="1589"/>
      <c r="CF30" s="1588">
        <f>417.571-0.8</f>
        <v>416.77100000000002</v>
      </c>
      <c r="CG30" s="1586">
        <f>100*CF30/CF10</f>
        <v>50.675682248172485</v>
      </c>
      <c r="CH30" s="1587">
        <f t="shared" ref="CH30:CH36" si="67">(CF30/CB30-1)*100</f>
        <v>-7.2037851377678823</v>
      </c>
      <c r="CI30" s="1589"/>
      <c r="CJ30" s="1588">
        <f>391.638-4.688</f>
        <v>386.95</v>
      </c>
      <c r="CK30" s="1586">
        <f>100*CJ30/CJ10</f>
        <v>54.544403754042023</v>
      </c>
      <c r="CL30" s="1587">
        <f t="shared" ref="CL30:CL36" si="68">(CJ30/CF30-1)*100</f>
        <v>-7.155248325819219</v>
      </c>
      <c r="CM30" s="1589"/>
      <c r="CN30" s="1588">
        <v>369.11799999999999</v>
      </c>
      <c r="CO30" s="1586">
        <f>100*CN30/CN10</f>
        <v>53.847870771412282</v>
      </c>
      <c r="CP30" s="1587">
        <f t="shared" ref="CP30:CP36" si="69">(CN30/CJ30-1)*100</f>
        <v>-4.6083473316966046</v>
      </c>
      <c r="CQ30" s="1589"/>
      <c r="CR30" s="1588">
        <v>359.92899999999997</v>
      </c>
      <c r="CS30" s="1586">
        <f>100*CR30/CR10</f>
        <v>54.444039395007394</v>
      </c>
      <c r="CT30" s="1587">
        <f t="shared" ref="CT30:CT36" si="70">(CR30/CN30-1)*100</f>
        <v>-2.4894478188546842</v>
      </c>
      <c r="CU30" s="1589"/>
      <c r="CV30" s="2201">
        <f>'S&amp;D Costs'!AH28</f>
        <v>364.89863472002997</v>
      </c>
      <c r="CW30" s="1586">
        <f>100*CV30/CV10</f>
        <v>52.199999999999996</v>
      </c>
      <c r="CX30" s="1587">
        <f t="shared" ref="CX30:CX36" si="71">(CV30/CR30-1)*100</f>
        <v>1.3807263988258711</v>
      </c>
      <c r="CY30" s="1590"/>
      <c r="CZ30" s="1590">
        <f>CR30-CN30</f>
        <v>-9.1890000000000214</v>
      </c>
      <c r="DH30" s="2145"/>
      <c r="ED30" s="22" t="s">
        <v>704</v>
      </c>
      <c r="EE30" s="317">
        <v>-0.15</v>
      </c>
    </row>
    <row r="31" spans="1:135" outlineLevel="1">
      <c r="A31" s="114" t="str">
        <f>$A$11</f>
        <v>2Q</v>
      </c>
      <c r="B31" s="114" t="str">
        <f>$B$11</f>
        <v>Jul</v>
      </c>
      <c r="D31" s="1591"/>
      <c r="E31" s="1578"/>
      <c r="F31" s="1579"/>
      <c r="G31" s="310"/>
      <c r="H31" s="1591"/>
      <c r="I31" s="1578"/>
      <c r="J31" s="1579"/>
      <c r="K31" s="310"/>
      <c r="L31" s="1591"/>
      <c r="M31" s="1578"/>
      <c r="N31" s="1579"/>
      <c r="O31" s="310"/>
      <c r="P31" s="1591"/>
      <c r="Q31" s="1578"/>
      <c r="R31" s="1579"/>
      <c r="S31" s="310"/>
      <c r="T31" s="1591"/>
      <c r="U31" s="1578"/>
      <c r="V31" s="1579"/>
      <c r="W31" s="310"/>
      <c r="X31" s="1591"/>
      <c r="Y31" s="1578"/>
      <c r="Z31" s="1579"/>
      <c r="AB31" s="1592"/>
      <c r="AC31" s="1582"/>
      <c r="AD31" s="1583"/>
      <c r="AE31" s="1584"/>
      <c r="AF31" s="1592"/>
      <c r="AG31" s="1582"/>
      <c r="AH31" s="1583"/>
      <c r="AI31" s="1584"/>
      <c r="AJ31" s="1593">
        <f>125.684</f>
        <v>125.684</v>
      </c>
      <c r="AK31" s="1586">
        <f t="shared" si="50"/>
        <v>38.183950369735747</v>
      </c>
      <c r="AL31" s="1583"/>
      <c r="AM31" s="1584"/>
      <c r="AN31" s="1593">
        <f>139.732</f>
        <v>139.732</v>
      </c>
      <c r="AO31" s="1586">
        <f t="shared" si="51"/>
        <v>39.281567754322936</v>
      </c>
      <c r="AP31" s="1587">
        <f t="shared" ref="AP31:AP36" si="72">(AN31/AJ31-1)*100</f>
        <v>11.177238152827718</v>
      </c>
      <c r="AQ31" s="1584"/>
      <c r="AR31" s="1593">
        <f>160.515</f>
        <v>160.51499999999999</v>
      </c>
      <c r="AS31" s="1586">
        <f t="shared" si="52"/>
        <v>39.994169619231286</v>
      </c>
      <c r="AT31" s="1587">
        <f t="shared" si="53"/>
        <v>14.873472075115203</v>
      </c>
      <c r="AU31" s="1584"/>
      <c r="AV31" s="1593">
        <v>232.09700000000001</v>
      </c>
      <c r="AW31" s="1586">
        <f t="shared" si="54"/>
        <v>40.60543290569656</v>
      </c>
      <c r="AX31" s="1587">
        <f t="shared" si="55"/>
        <v>44.595209170482519</v>
      </c>
      <c r="AY31" s="1584"/>
      <c r="AZ31" s="1548">
        <v>270.49400000000003</v>
      </c>
      <c r="BA31" s="1586">
        <f t="shared" si="56"/>
        <v>41.065074025043423</v>
      </c>
      <c r="BB31" s="1587">
        <f>(AZ31/AV31-1)*100</f>
        <v>16.543514134176675</v>
      </c>
      <c r="BC31" s="1584"/>
      <c r="BD31" s="1548">
        <v>334.41699999999997</v>
      </c>
      <c r="BE31" s="1586">
        <f t="shared" si="58"/>
        <v>41.566339936709014</v>
      </c>
      <c r="BF31" s="1587">
        <f t="shared" si="59"/>
        <v>23.631947473881088</v>
      </c>
      <c r="BG31" s="1569"/>
      <c r="BH31" s="1548">
        <v>348.02800000000002</v>
      </c>
      <c r="BI31" s="1586">
        <f t="shared" si="60"/>
        <v>41.765130841547681</v>
      </c>
      <c r="BJ31" s="1587">
        <f t="shared" si="61"/>
        <v>4.0700682082549733</v>
      </c>
      <c r="BK31" s="1569"/>
      <c r="BL31" s="1548">
        <v>332.29599999999999</v>
      </c>
      <c r="BM31" s="1586">
        <f>100*BL31/BL11</f>
        <v>52.147685026074157</v>
      </c>
      <c r="BN31" s="1587">
        <f t="shared" si="62"/>
        <v>-4.5203259507855753</v>
      </c>
      <c r="BO31" s="1569"/>
      <c r="BP31" s="1548">
        <f>364.482-2.2</f>
        <v>362.28200000000004</v>
      </c>
      <c r="BQ31" s="1586">
        <f>100*BP31/BP11</f>
        <v>48.576424179201346</v>
      </c>
      <c r="BR31" s="1587">
        <f t="shared" si="63"/>
        <v>9.0238823217854147</v>
      </c>
      <c r="BS31" s="1574"/>
      <c r="BT31" s="1548">
        <v>425.32499999999999</v>
      </c>
      <c r="BU31" s="1586">
        <f>100*BT31/BT11</f>
        <v>46.394215298828591</v>
      </c>
      <c r="BV31" s="1587">
        <f t="shared" si="64"/>
        <v>17.401637398490656</v>
      </c>
      <c r="BW31" s="1569"/>
      <c r="BX31" s="1548">
        <v>458.08499999999998</v>
      </c>
      <c r="BY31" s="1586">
        <f>100*BX31/BX11</f>
        <v>48.148163719627874</v>
      </c>
      <c r="BZ31" s="1587">
        <f t="shared" si="65"/>
        <v>7.7023452653852909</v>
      </c>
      <c r="CA31" s="1587"/>
      <c r="CB31" s="1594">
        <f>471.722</f>
        <v>471.72199999999998</v>
      </c>
      <c r="CC31" s="1586">
        <f>100*CB31/CB11</f>
        <v>49.880828763516469</v>
      </c>
      <c r="CD31" s="1587">
        <f t="shared" si="66"/>
        <v>2.9769584247465009</v>
      </c>
      <c r="CE31" s="1589"/>
      <c r="CF31" s="1550">
        <f>426.301-1.245</f>
        <v>425.05599999999998</v>
      </c>
      <c r="CG31" s="1586">
        <f>100*CF31/CF11</f>
        <v>47.726657721436546</v>
      </c>
      <c r="CH31" s="1587">
        <f t="shared" si="67"/>
        <v>-9.8926910341260328</v>
      </c>
      <c r="CI31" s="1589"/>
      <c r="CJ31" s="1550">
        <f>389.193-1.394</f>
        <v>387.79899999999998</v>
      </c>
      <c r="CK31" s="1586">
        <f>100*CJ31/CJ11</f>
        <v>47.42233624699788</v>
      </c>
      <c r="CL31" s="1587">
        <f t="shared" si="68"/>
        <v>-8.7651979974403442</v>
      </c>
      <c r="CM31" s="1589"/>
      <c r="CN31" s="2035">
        <v>382.91699999999997</v>
      </c>
      <c r="CO31" s="1586">
        <f>100*CN31/CN11</f>
        <v>48.893840339138869</v>
      </c>
      <c r="CP31" s="1587">
        <f t="shared" si="69"/>
        <v>-1.25889958457861</v>
      </c>
      <c r="CQ31" s="1589"/>
      <c r="CR31" s="2035">
        <v>369.29500000000002</v>
      </c>
      <c r="CS31" s="1586">
        <f>100*CR31/CR11</f>
        <v>47.38676360575424</v>
      </c>
      <c r="CT31" s="1587">
        <f t="shared" si="70"/>
        <v>-3.5574288945123822</v>
      </c>
      <c r="CU31" s="1589"/>
      <c r="CV31" s="2177">
        <f>'S&amp;D Costs'!AH29</f>
        <v>376.11271052127995</v>
      </c>
      <c r="CW31" s="1586">
        <f>100*CV31/CV11</f>
        <v>45.199999999999996</v>
      </c>
      <c r="CX31" s="1587">
        <f t="shared" si="71"/>
        <v>1.8461421143746604</v>
      </c>
      <c r="CY31" s="1590"/>
      <c r="CZ31" s="1590">
        <f>CR31-CN31</f>
        <v>-13.621999999999957</v>
      </c>
      <c r="DH31" s="2145"/>
    </row>
    <row r="32" spans="1:135" outlineLevel="1">
      <c r="A32" s="114" t="str">
        <f>$A$12</f>
        <v>3Q</v>
      </c>
      <c r="B32" s="114" t="str">
        <f>$B$12</f>
        <v>Oct</v>
      </c>
      <c r="D32" s="1591"/>
      <c r="E32" s="1578"/>
      <c r="F32" s="1579"/>
      <c r="G32" s="310"/>
      <c r="H32" s="1591"/>
      <c r="I32" s="1578"/>
      <c r="J32" s="1579"/>
      <c r="K32" s="310"/>
      <c r="L32" s="1591"/>
      <c r="M32" s="1578"/>
      <c r="N32" s="1579"/>
      <c r="O32" s="310"/>
      <c r="P32" s="1591"/>
      <c r="Q32" s="1578"/>
      <c r="R32" s="1579"/>
      <c r="S32" s="310"/>
      <c r="T32" s="1591"/>
      <c r="U32" s="1578"/>
      <c r="V32" s="1579"/>
      <c r="W32" s="310"/>
      <c r="X32" s="1591"/>
      <c r="Y32" s="1578"/>
      <c r="Z32" s="1579"/>
      <c r="AB32" s="1592"/>
      <c r="AC32" s="1582"/>
      <c r="AD32" s="1583"/>
      <c r="AE32" s="1584"/>
      <c r="AF32" s="1592"/>
      <c r="AG32" s="1582"/>
      <c r="AH32" s="1583"/>
      <c r="AI32" s="1584"/>
      <c r="AJ32" s="1595">
        <f>140.139</f>
        <v>140.13900000000001</v>
      </c>
      <c r="AK32" s="1586">
        <f t="shared" si="50"/>
        <v>33.419820713568583</v>
      </c>
      <c r="AL32" s="1583"/>
      <c r="AM32" s="1584"/>
      <c r="AN32" s="1595">
        <f>155.937</f>
        <v>155.93700000000001</v>
      </c>
      <c r="AO32" s="1586">
        <f t="shared" si="51"/>
        <v>35.043676218428288</v>
      </c>
      <c r="AP32" s="1587">
        <f t="shared" si="72"/>
        <v>11.273093143236368</v>
      </c>
      <c r="AQ32" s="1584"/>
      <c r="AR32" s="1595">
        <f>188.381</f>
        <v>188.381</v>
      </c>
      <c r="AS32" s="1586">
        <f t="shared" si="52"/>
        <v>36.176746222567033</v>
      </c>
      <c r="AT32" s="1587">
        <f t="shared" si="53"/>
        <v>20.8058382551928</v>
      </c>
      <c r="AU32" s="1584"/>
      <c r="AV32" s="1593">
        <v>252.947</v>
      </c>
      <c r="AW32" s="1586">
        <f t="shared" si="54"/>
        <v>35.883180738752593</v>
      </c>
      <c r="AX32" s="1587">
        <f t="shared" si="55"/>
        <v>34.274157160223176</v>
      </c>
      <c r="AY32" s="1584"/>
      <c r="AZ32" s="1548">
        <v>308.45600000000002</v>
      </c>
      <c r="BA32" s="1586">
        <f t="shared" si="56"/>
        <v>35.723749432507809</v>
      </c>
      <c r="BB32" s="1587">
        <f t="shared" si="57"/>
        <v>21.944913361297047</v>
      </c>
      <c r="BC32" s="1584"/>
      <c r="BD32" s="1548">
        <v>355.77</v>
      </c>
      <c r="BE32" s="1586">
        <f t="shared" si="58"/>
        <v>36.529319355600506</v>
      </c>
      <c r="BF32" s="1587">
        <f t="shared" si="59"/>
        <v>15.33897865497833</v>
      </c>
      <c r="BG32" s="1584"/>
      <c r="BH32" s="1548">
        <v>373.56299999999999</v>
      </c>
      <c r="BI32" s="1586">
        <f t="shared" si="60"/>
        <v>42.315172783302422</v>
      </c>
      <c r="BJ32" s="1587">
        <f t="shared" si="61"/>
        <v>5.0012648621300393</v>
      </c>
      <c r="BK32" s="1584"/>
      <c r="BL32" s="1548">
        <v>349.36200000000002</v>
      </c>
      <c r="BM32" s="1586">
        <f>100*BL32/BL12</f>
        <v>46.353909596064142</v>
      </c>
      <c r="BN32" s="1587">
        <f t="shared" si="62"/>
        <v>-6.4784253258486473</v>
      </c>
      <c r="BO32" s="1584"/>
      <c r="BP32" s="1548">
        <v>385.13499999999999</v>
      </c>
      <c r="BQ32" s="1586">
        <f>100*BP32/BP12</f>
        <v>43.479856126478644</v>
      </c>
      <c r="BR32" s="1587">
        <f t="shared" si="63"/>
        <v>10.239522329274497</v>
      </c>
      <c r="BS32" s="1596"/>
      <c r="BT32" s="1548">
        <v>461.68299999999999</v>
      </c>
      <c r="BU32" s="1586">
        <f>100*BT32/BT12</f>
        <v>42.9130850225309</v>
      </c>
      <c r="BV32" s="1587">
        <f>(BT32/BP32-1)*100</f>
        <v>19.875628026536152</v>
      </c>
      <c r="BW32" s="1584"/>
      <c r="BX32" s="1594">
        <v>496.94200000000001</v>
      </c>
      <c r="BY32" s="1586">
        <f>100*BX32/BX12</f>
        <v>42.486421140017221</v>
      </c>
      <c r="BZ32" s="1597">
        <f t="shared" si="65"/>
        <v>7.6370583279003146</v>
      </c>
      <c r="CA32" s="1587"/>
      <c r="CB32" s="1594">
        <f>564.935-43.571-40.132-0.639</f>
        <v>480.5929999999999</v>
      </c>
      <c r="CC32" s="1586">
        <f>100*CB32/CB12</f>
        <v>46.510815422150344</v>
      </c>
      <c r="CD32" s="1597">
        <f t="shared" si="66"/>
        <v>-3.2899211578011345</v>
      </c>
      <c r="CE32" s="1589"/>
      <c r="CF32" s="1550">
        <f>413.551-2.357</f>
        <v>411.19399999999996</v>
      </c>
      <c r="CG32" s="1586">
        <f>100*CF32/CF12</f>
        <v>45.114119982050632</v>
      </c>
      <c r="CH32" s="1597">
        <f t="shared" si="67"/>
        <v>-14.440285230954252</v>
      </c>
      <c r="CI32" s="1589"/>
      <c r="CJ32" s="1550">
        <f>392.942-0.583</f>
        <v>392.35899999999998</v>
      </c>
      <c r="CK32" s="1586">
        <f>100*CJ32/CJ12</f>
        <v>44.658718921158425</v>
      </c>
      <c r="CL32" s="1597">
        <f t="shared" si="68"/>
        <v>-4.5805629459573787</v>
      </c>
      <c r="CM32" s="1589"/>
      <c r="CN32" s="2038">
        <v>386.60899999999998</v>
      </c>
      <c r="CO32" s="1586">
        <f>100*CN32/CN12</f>
        <v>47.04794982317879</v>
      </c>
      <c r="CP32" s="1597">
        <f>(CN32/CJ32-1)*100</f>
        <v>-1.4654946108028644</v>
      </c>
      <c r="CQ32" s="1589"/>
      <c r="CR32" s="2238">
        <f>375.944</f>
        <v>375.94400000000002</v>
      </c>
      <c r="CS32" s="1586">
        <f>100*CR32/CR12</f>
        <v>43.759602938848488</v>
      </c>
      <c r="CT32" s="1597">
        <f t="shared" si="70"/>
        <v>-2.7586010672281169</v>
      </c>
      <c r="CU32" s="1589"/>
      <c r="CV32" s="2202">
        <f>'S&amp;D Costs'!AH30</f>
        <v>379.29258148943995</v>
      </c>
      <c r="CW32" s="1586">
        <f>100*CV32/CV12</f>
        <v>43.9</v>
      </c>
      <c r="CX32" s="1597">
        <f t="shared" si="71"/>
        <v>0.89071284272124185</v>
      </c>
      <c r="CY32" s="1590"/>
      <c r="CZ32" s="1590">
        <f>CR32-CN32</f>
        <v>-10.664999999999964</v>
      </c>
      <c r="DH32" s="2145"/>
      <c r="EC32" s="22" t="s">
        <v>713</v>
      </c>
      <c r="ED32" s="22" t="s">
        <v>703</v>
      </c>
      <c r="EE32" s="281">
        <v>-0.03</v>
      </c>
    </row>
    <row r="33" spans="1:135" outlineLevel="1">
      <c r="A33" s="114" t="str">
        <f>$A$13</f>
        <v>4Q</v>
      </c>
      <c r="B33" s="114" t="str">
        <f>$B$13</f>
        <v>Jan</v>
      </c>
      <c r="C33" s="310"/>
      <c r="D33" s="1591"/>
      <c r="E33" s="1578"/>
      <c r="F33" s="1579"/>
      <c r="G33" s="310"/>
      <c r="H33" s="1591"/>
      <c r="I33" s="1578"/>
      <c r="J33" s="1579"/>
      <c r="K33" s="310"/>
      <c r="L33" s="1591"/>
      <c r="M33" s="1578"/>
      <c r="N33" s="1579"/>
      <c r="O33" s="310"/>
      <c r="P33" s="1591"/>
      <c r="Q33" s="1578"/>
      <c r="R33" s="1579"/>
      <c r="S33" s="310"/>
      <c r="T33" s="1591"/>
      <c r="U33" s="1578"/>
      <c r="V33" s="1579"/>
      <c r="W33" s="310"/>
      <c r="X33" s="1591"/>
      <c r="Y33" s="1578"/>
      <c r="Z33" s="1579"/>
      <c r="AB33" s="1598"/>
      <c r="AC33" s="1582"/>
      <c r="AD33" s="1583"/>
      <c r="AE33" s="1584"/>
      <c r="AF33" s="1598"/>
      <c r="AG33" s="1582"/>
      <c r="AH33" s="1583"/>
      <c r="AI33" s="1584"/>
      <c r="AJ33" s="1599">
        <f>147.691</f>
        <v>147.691</v>
      </c>
      <c r="AK33" s="1586">
        <f t="shared" si="50"/>
        <v>27.632548897811343</v>
      </c>
      <c r="AL33" s="1583"/>
      <c r="AM33" s="1584"/>
      <c r="AN33" s="1599">
        <f>163.999</f>
        <v>163.999</v>
      </c>
      <c r="AO33" s="1586">
        <f t="shared" si="51"/>
        <v>29.265206847386366</v>
      </c>
      <c r="AP33" s="1587">
        <f t="shared" si="72"/>
        <v>11.041972767467211</v>
      </c>
      <c r="AQ33" s="1584"/>
      <c r="AR33" s="1599">
        <f>223.833</f>
        <v>223.833</v>
      </c>
      <c r="AS33" s="1586">
        <f t="shared" si="52"/>
        <v>32.569181117898182</v>
      </c>
      <c r="AT33" s="1587">
        <f t="shared" si="53"/>
        <v>36.484368807126863</v>
      </c>
      <c r="AU33" s="1584"/>
      <c r="AV33" s="1552">
        <v>293.488</v>
      </c>
      <c r="AW33" s="1586">
        <f t="shared" si="54"/>
        <v>30.527401933862564</v>
      </c>
      <c r="AX33" s="1587">
        <f t="shared" si="55"/>
        <v>31.119182604888461</v>
      </c>
      <c r="AY33" s="1584"/>
      <c r="AZ33" s="1552">
        <f>349.77</f>
        <v>349.77</v>
      </c>
      <c r="BA33" s="1586">
        <f t="shared" si="56"/>
        <v>30.715446768937326</v>
      </c>
      <c r="BB33" s="1587">
        <f t="shared" si="57"/>
        <v>19.176933980264941</v>
      </c>
      <c r="BC33" s="1584"/>
      <c r="BD33" s="1552">
        <v>388.42099999999999</v>
      </c>
      <c r="BE33" s="1586">
        <f t="shared" si="58"/>
        <v>31.605435124889237</v>
      </c>
      <c r="BF33" s="1587">
        <f t="shared" si="59"/>
        <v>11.050404551562455</v>
      </c>
      <c r="BG33" s="1584"/>
      <c r="BH33" s="1552">
        <v>385.017</v>
      </c>
      <c r="BI33" s="1586">
        <f t="shared" si="60"/>
        <v>39.255043540587415</v>
      </c>
      <c r="BJ33" s="1587">
        <f t="shared" si="61"/>
        <v>-0.8763686824347805</v>
      </c>
      <c r="BK33" s="1584"/>
      <c r="BL33" s="1552">
        <f>413.983-(33.2)</f>
        <v>380.78300000000002</v>
      </c>
      <c r="BM33" s="1586">
        <f>100*BL33/BL13</f>
        <v>40.682335620748496</v>
      </c>
      <c r="BN33" s="1587">
        <f t="shared" si="62"/>
        <v>-1.0996917019248431</v>
      </c>
      <c r="BO33" s="1584"/>
      <c r="BP33" s="1552">
        <f>485.475-48.4-4</f>
        <v>433.07500000000005</v>
      </c>
      <c r="BQ33" s="1586">
        <f>100*BP33/BP13</f>
        <v>37.678485047799029</v>
      </c>
      <c r="BR33" s="1587">
        <f t="shared" si="63"/>
        <v>13.732755926603879</v>
      </c>
      <c r="BS33" s="1596"/>
      <c r="BT33" s="1552">
        <f>602.14-68.022-14.649-18.971</f>
        <v>500.49799999999993</v>
      </c>
      <c r="BU33" s="1586">
        <f>100*BT33/BT13</f>
        <v>37.666404518481443</v>
      </c>
      <c r="BV33" s="1587">
        <f>(BT33/BP33-1)*100</f>
        <v>15.568435028574701</v>
      </c>
      <c r="BW33" s="1584"/>
      <c r="BX33" s="1552">
        <f>577.167-7.4</f>
        <v>569.76700000000005</v>
      </c>
      <c r="BY33" s="1586">
        <f>100*BX33/BX13</f>
        <v>38.798431902356846</v>
      </c>
      <c r="BZ33" s="1587">
        <f t="shared" si="65"/>
        <v>13.840015344716683</v>
      </c>
      <c r="CA33" s="1587"/>
      <c r="CB33" s="1552">
        <f>505.607-3.174-0.5</f>
        <v>501.93300000000005</v>
      </c>
      <c r="CC33" s="1586">
        <f>100*CB33/CB13</f>
        <v>38.635879048937873</v>
      </c>
      <c r="CD33" s="1587">
        <f t="shared" si="66"/>
        <v>-11.905568416563261</v>
      </c>
      <c r="CE33" s="1589"/>
      <c r="CF33" s="1552">
        <f>445.629-3.97</f>
        <v>441.65899999999999</v>
      </c>
      <c r="CG33" s="1586">
        <f>100*CF33/CF13</f>
        <v>39.449901031134104</v>
      </c>
      <c r="CH33" s="1587">
        <f t="shared" si="67"/>
        <v>-12.00837561985365</v>
      </c>
      <c r="CI33" s="1589"/>
      <c r="CJ33" s="2020">
        <v>430.44099999999997</v>
      </c>
      <c r="CK33" s="1586">
        <f>100*CJ33/CJ13</f>
        <v>38.676376771225499</v>
      </c>
      <c r="CL33" s="1587">
        <f t="shared" si="68"/>
        <v>-2.5399686183231851</v>
      </c>
      <c r="CM33" s="1589"/>
      <c r="CN33" s="2020">
        <f>439.816+1.574</f>
        <v>441.39</v>
      </c>
      <c r="CO33" s="1586">
        <f>100*CN33/CN13</f>
        <v>42.590289309826765</v>
      </c>
      <c r="CP33" s="1587">
        <f t="shared" si="69"/>
        <v>2.5436703288023166</v>
      </c>
      <c r="CQ33" s="1589"/>
      <c r="CR33" s="2020">
        <v>437.25700000000001</v>
      </c>
      <c r="CS33" s="1586">
        <f>100*CR33/CR13</f>
        <v>36.647032496953464</v>
      </c>
      <c r="CT33" s="1587">
        <f t="shared" si="70"/>
        <v>-0.93636013502798043</v>
      </c>
      <c r="CU33" s="1589"/>
      <c r="CV33" s="2203">
        <f>'S&amp;D Costs'!AH31</f>
        <v>439.52473594750006</v>
      </c>
      <c r="CW33" s="1586">
        <f>100*CV33/CV13</f>
        <v>39.500000000000007</v>
      </c>
      <c r="CX33" s="1587">
        <f t="shared" si="71"/>
        <v>0.51862770578861017</v>
      </c>
      <c r="CY33" s="1590"/>
      <c r="CZ33" s="1590">
        <f>CR33-CN33</f>
        <v>-4.1329999999999814</v>
      </c>
      <c r="ED33" s="22" t="s">
        <v>704</v>
      </c>
      <c r="EE33" s="281">
        <v>-0.11</v>
      </c>
    </row>
    <row r="34" spans="1:135" outlineLevel="1">
      <c r="B34" s="114" t="str">
        <f>$B$14</f>
        <v>Year</v>
      </c>
      <c r="D34" s="1600"/>
      <c r="E34" s="1578"/>
      <c r="F34" s="1579"/>
      <c r="G34" s="310"/>
      <c r="H34" s="1600"/>
      <c r="I34" s="1578"/>
      <c r="J34" s="1579"/>
      <c r="K34" s="310"/>
      <c r="L34" s="1600"/>
      <c r="M34" s="1578"/>
      <c r="N34" s="1579"/>
      <c r="O34" s="310"/>
      <c r="P34" s="1600"/>
      <c r="Q34" s="1578"/>
      <c r="R34" s="1579"/>
      <c r="S34" s="310"/>
      <c r="T34" s="1600"/>
      <c r="U34" s="1578"/>
      <c r="V34" s="1579"/>
      <c r="W34" s="310"/>
      <c r="X34" s="1600"/>
      <c r="Y34" s="1578"/>
      <c r="Z34" s="1579"/>
      <c r="AB34" s="1601"/>
      <c r="AC34" s="1582"/>
      <c r="AD34" s="1583"/>
      <c r="AE34" s="1584"/>
      <c r="AF34" s="1601"/>
      <c r="AG34" s="1582"/>
      <c r="AH34" s="1583"/>
      <c r="AI34" s="1584"/>
      <c r="AJ34" s="1602">
        <f>SUM(AJ30:AJ33)</f>
        <v>533.08900000000006</v>
      </c>
      <c r="AK34" s="1586">
        <f t="shared" si="50"/>
        <v>33.406652767307307</v>
      </c>
      <c r="AL34" s="1583"/>
      <c r="AM34" s="1584"/>
      <c r="AN34" s="1602">
        <f>SUM(AN30:AN33)</f>
        <v>597.41500000000008</v>
      </c>
      <c r="AO34" s="1586">
        <f t="shared" si="51"/>
        <v>34.981370867585312</v>
      </c>
      <c r="AP34" s="1587">
        <f t="shared" si="72"/>
        <v>12.066653035421847</v>
      </c>
      <c r="AQ34" s="1584"/>
      <c r="AR34" s="1602">
        <f>SUM(AR30:AR33)</f>
        <v>738.24399999999991</v>
      </c>
      <c r="AS34" s="1586">
        <f t="shared" si="52"/>
        <v>36.524058826847096</v>
      </c>
      <c r="AT34" s="1587">
        <f t="shared" si="53"/>
        <v>23.57306060276354</v>
      </c>
      <c r="AU34" s="1584"/>
      <c r="AV34" s="1602">
        <f>SUM(AV30:AV33)</f>
        <v>1000.7550000000001</v>
      </c>
      <c r="AW34" s="1586">
        <f t="shared" si="54"/>
        <v>35.937481483715906</v>
      </c>
      <c r="AX34" s="1587">
        <f t="shared" si="55"/>
        <v>35.558839624839521</v>
      </c>
      <c r="AY34" s="1584"/>
      <c r="AZ34" s="1602">
        <f>SUM(AZ30:AZ33)</f>
        <v>1187.0720000000001</v>
      </c>
      <c r="BA34" s="1586">
        <f t="shared" si="56"/>
        <v>35.77502939884117</v>
      </c>
      <c r="BB34" s="1587">
        <f t="shared" si="57"/>
        <v>18.617643679022343</v>
      </c>
      <c r="BC34" s="1584"/>
      <c r="BD34" s="1602">
        <f>SUM(BD30:BD33)</f>
        <v>1386.846</v>
      </c>
      <c r="BE34" s="1586">
        <f t="shared" si="58"/>
        <v>36.98406895001316</v>
      </c>
      <c r="BF34" s="1587">
        <f t="shared" si="59"/>
        <v>16.829139260297588</v>
      </c>
      <c r="BG34" s="1584"/>
      <c r="BH34" s="1602">
        <f>SUM(BH30:BH33)</f>
        <v>1436.3630000000001</v>
      </c>
      <c r="BI34" s="1586">
        <f t="shared" si="60"/>
        <v>41.226736531577991</v>
      </c>
      <c r="BJ34" s="1587">
        <f t="shared" si="61"/>
        <v>3.5704757413584476</v>
      </c>
      <c r="BK34" s="1584"/>
      <c r="BL34" s="1602">
        <v>1425.95</v>
      </c>
      <c r="BM34" s="1586">
        <f>BL34/BL14*100</f>
        <v>48.690084937470658</v>
      </c>
      <c r="BN34" s="1587">
        <f t="shared" si="62"/>
        <v>-0.72495601738558069</v>
      </c>
      <c r="BO34" s="1584"/>
      <c r="BP34" s="1602">
        <f>SUM(BP30:BP33)</f>
        <v>1534.902</v>
      </c>
      <c r="BQ34" s="1586">
        <f>BP34/BP14*100</f>
        <v>44.249095358132095</v>
      </c>
      <c r="BR34" s="1587">
        <f t="shared" si="63"/>
        <v>7.6406606122234377</v>
      </c>
      <c r="BS34" s="1596"/>
      <c r="BT34" s="1602">
        <f>SUM(BT30:BT33)</f>
        <v>1786.607</v>
      </c>
      <c r="BU34" s="1586">
        <f>BT34/BT14*100</f>
        <v>42.967341965888885</v>
      </c>
      <c r="BV34" s="1587">
        <f t="shared" si="64"/>
        <v>16.398766826807186</v>
      </c>
      <c r="BW34" s="1584"/>
      <c r="BX34" s="1536">
        <f>SUM(BX30:BX33)</f>
        <v>1980.5260000000001</v>
      </c>
      <c r="BY34" s="1516">
        <f>BX34/BX14*100</f>
        <v>43.906265067986752</v>
      </c>
      <c r="BZ34" s="1587">
        <f t="shared" si="65"/>
        <v>10.854037849398335</v>
      </c>
      <c r="CA34" s="1587"/>
      <c r="CB34" s="1536">
        <f>SUM(CB30:CB33)</f>
        <v>1903.3729999999998</v>
      </c>
      <c r="CC34" s="1516">
        <f>CB34/CB14*100</f>
        <v>46.23319456376975</v>
      </c>
      <c r="CD34" s="1587">
        <f t="shared" si="66"/>
        <v>-3.8955812748734497</v>
      </c>
      <c r="CE34" s="1603"/>
      <c r="CF34" s="1536">
        <f>SUM(CF30:CF33)</f>
        <v>1694.6799999999998</v>
      </c>
      <c r="CG34" s="1516">
        <f>CF34/CF14*100</f>
        <v>45.263526200377669</v>
      </c>
      <c r="CH34" s="1587">
        <f t="shared" si="67"/>
        <v>-10.964377449927055</v>
      </c>
      <c r="CI34" s="1603"/>
      <c r="CJ34" s="1536">
        <f>SUM(CJ30:CJ33)</f>
        <v>1597.549</v>
      </c>
      <c r="CK34" s="1516">
        <f>CJ34/CJ14*100</f>
        <v>45.401940500414923</v>
      </c>
      <c r="CL34" s="1587">
        <f t="shared" si="68"/>
        <v>-5.7315245356055371</v>
      </c>
      <c r="CM34" s="1603"/>
      <c r="CN34" s="1536">
        <f>SUM(CN30:CN33)</f>
        <v>1580.0340000000001</v>
      </c>
      <c r="CO34" s="1516">
        <f>CN34/CN14*100</f>
        <v>47.494965040850815</v>
      </c>
      <c r="CP34" s="1587">
        <f t="shared" si="69"/>
        <v>-1.0963669971938206</v>
      </c>
      <c r="CQ34" s="1603"/>
      <c r="CR34" s="1536">
        <f>SUM(CR30:CR33)</f>
        <v>1542.425</v>
      </c>
      <c r="CS34" s="1516">
        <f>CR34/CR14*100</f>
        <v>44.16152020362528</v>
      </c>
      <c r="CT34" s="1587">
        <f t="shared" si="70"/>
        <v>-2.3802652347987507</v>
      </c>
      <c r="CU34" s="1603"/>
      <c r="CV34" s="1536">
        <f>SUM(CV30:CV33)</f>
        <v>1559.8286626782501</v>
      </c>
      <c r="CW34" s="1516">
        <f>CV34/CV14*100</f>
        <v>44.466669208652505</v>
      </c>
      <c r="CX34" s="1587">
        <f t="shared" si="71"/>
        <v>1.128331210804423</v>
      </c>
      <c r="CY34" s="1590"/>
      <c r="CZ34" s="1590">
        <f>CR34-CN34</f>
        <v>-37.609000000000151</v>
      </c>
      <c r="DE34" s="2145"/>
    </row>
    <row r="35" spans="1:135" ht="12.75" hidden="1" customHeight="1" outlineLevel="2">
      <c r="A35" s="114" t="str">
        <f>$A$15</f>
        <v>6 Mos</v>
      </c>
      <c r="D35" s="560"/>
      <c r="E35" s="1578"/>
      <c r="F35" s="1579"/>
      <c r="G35" s="310"/>
      <c r="H35" s="560"/>
      <c r="I35" s="1578"/>
      <c r="J35" s="1579"/>
      <c r="K35" s="310"/>
      <c r="L35" s="560"/>
      <c r="M35" s="1578"/>
      <c r="N35" s="1579"/>
      <c r="O35" s="310"/>
      <c r="P35" s="560"/>
      <c r="Q35" s="1578"/>
      <c r="R35" s="1579"/>
      <c r="S35" s="310"/>
      <c r="T35" s="560"/>
      <c r="U35" s="1578"/>
      <c r="V35" s="1579"/>
      <c r="W35" s="310"/>
      <c r="X35" s="560"/>
      <c r="Y35" s="1578"/>
      <c r="Z35" s="1579"/>
      <c r="AB35" s="1569"/>
      <c r="AC35" s="1582"/>
      <c r="AD35" s="1583"/>
      <c r="AE35" s="1584"/>
      <c r="AF35" s="1569"/>
      <c r="AG35" s="1582"/>
      <c r="AH35" s="1583"/>
      <c r="AI35" s="1584"/>
      <c r="AJ35" s="1604">
        <f>SUM(AJ30:AJ31)</f>
        <v>245.25900000000001</v>
      </c>
      <c r="AK35" s="1586">
        <f t="shared" si="50"/>
        <v>38.205549999532678</v>
      </c>
      <c r="AL35" s="1583"/>
      <c r="AM35" s="1584"/>
      <c r="AN35" s="1604">
        <f>SUM(AN30:AN31)</f>
        <v>277.47900000000004</v>
      </c>
      <c r="AO35" s="1586">
        <f t="shared" si="51"/>
        <v>39.502107650322237</v>
      </c>
      <c r="AP35" s="1587">
        <f t="shared" si="72"/>
        <v>13.137132582290567</v>
      </c>
      <c r="AQ35" s="1584"/>
      <c r="AR35" s="1604">
        <f>SUM(AR30:AR31)</f>
        <v>326.02999999999997</v>
      </c>
      <c r="AS35" s="1586">
        <f t="shared" si="52"/>
        <v>40.088481647066921</v>
      </c>
      <c r="AT35" s="1587">
        <f t="shared" si="53"/>
        <v>17.497179966772226</v>
      </c>
      <c r="AU35" s="1584"/>
      <c r="AV35" s="1604">
        <f>SUM(AV30:AV31)</f>
        <v>454.32000000000005</v>
      </c>
      <c r="AW35" s="1586">
        <f t="shared" si="54"/>
        <v>40.622281274784278</v>
      </c>
      <c r="AX35" s="1587">
        <f t="shared" si="55"/>
        <v>39.349139649725508</v>
      </c>
      <c r="AY35" s="1584"/>
      <c r="AZ35" s="1604">
        <f>SUM(AZ30:AZ31)</f>
        <v>528.846</v>
      </c>
      <c r="BA35" s="1586">
        <f t="shared" si="56"/>
        <v>40.186873986961672</v>
      </c>
      <c r="BB35" s="1587">
        <f t="shared" si="57"/>
        <v>16.403856312731115</v>
      </c>
      <c r="BC35" s="1584"/>
      <c r="BD35" s="1604">
        <f>SUM(BD30:BD31)</f>
        <v>642.65499999999997</v>
      </c>
      <c r="BE35" s="1586">
        <f t="shared" si="58"/>
        <v>41.543413223973921</v>
      </c>
      <c r="BF35" s="1587">
        <f t="shared" si="59"/>
        <v>21.52025353316467</v>
      </c>
      <c r="BG35" s="1584"/>
      <c r="BH35" s="1604">
        <f>SUM(BH30:BH31)</f>
        <v>677.78300000000002</v>
      </c>
      <c r="BI35" s="1586">
        <f t="shared" si="60"/>
        <v>41.827173780899848</v>
      </c>
      <c r="BJ35" s="1587">
        <f t="shared" si="61"/>
        <v>5.4660743322622718</v>
      </c>
      <c r="BK35" s="1584"/>
      <c r="BL35" s="1604">
        <f>SUM(BL30:BL31)</f>
        <v>662.60599999999999</v>
      </c>
      <c r="BM35" s="1586">
        <f>BL35/BL15*100</f>
        <v>53.481254287905081</v>
      </c>
      <c r="BN35" s="1587">
        <f t="shared" si="62"/>
        <v>-2.239212255249845</v>
      </c>
      <c r="BO35" s="1584"/>
      <c r="BP35" s="1604">
        <f>SUM(BP30:BP31)</f>
        <v>716.69200000000001</v>
      </c>
      <c r="BQ35" s="1586">
        <f>BP35/BP15*100</f>
        <v>49.992396774000042</v>
      </c>
      <c r="BR35" s="1587">
        <f t="shared" si="63"/>
        <v>8.1626185093403905</v>
      </c>
      <c r="BS35" s="1596"/>
      <c r="BT35" s="1604">
        <f>SUM(BT30:BT31)</f>
        <v>824.42599999999993</v>
      </c>
      <c r="BU35" s="1586">
        <f>BT35/BT15*100</f>
        <v>47.017714351870069</v>
      </c>
      <c r="BV35" s="1587">
        <f t="shared" si="64"/>
        <v>15.032119794835141</v>
      </c>
      <c r="BW35" s="1584"/>
      <c r="BX35" s="1604">
        <f>SUM(BX30:BX31)</f>
        <v>913.81700000000001</v>
      </c>
      <c r="BY35" s="1586">
        <f>BX35/BX15*100</f>
        <v>48.798718376610374</v>
      </c>
      <c r="BZ35" s="1587">
        <f t="shared" si="65"/>
        <v>10.842816699133717</v>
      </c>
      <c r="CA35" s="1587"/>
      <c r="CB35" s="1604">
        <f>SUM(CB30:CB31)</f>
        <v>920.84699999999998</v>
      </c>
      <c r="CC35" s="1586">
        <f>CB35/CB15*100</f>
        <v>51.60347599591362</v>
      </c>
      <c r="CD35" s="1587">
        <f t="shared" si="66"/>
        <v>0.76930063677957961</v>
      </c>
      <c r="CE35" s="1603"/>
      <c r="CF35" s="1604">
        <f>SUM(CF30:CF31)</f>
        <v>841.827</v>
      </c>
      <c r="CG35" s="1586">
        <f>CF35/CF15*100</f>
        <v>49.14248587155064</v>
      </c>
      <c r="CH35" s="1587">
        <f t="shared" si="67"/>
        <v>-8.5812301066300893</v>
      </c>
      <c r="CI35" s="1603"/>
      <c r="CJ35" s="1604">
        <f>SUM(CJ30:CJ31)</f>
        <v>774.74900000000002</v>
      </c>
      <c r="CK35" s="1586">
        <f>CJ35/CJ15*100</f>
        <v>50.730759610209162</v>
      </c>
      <c r="CL35" s="1587">
        <f t="shared" si="68"/>
        <v>-7.9681454740700879</v>
      </c>
      <c r="CM35" s="1603"/>
      <c r="CN35" s="1604">
        <f>SUM(CN30:CN31)</f>
        <v>752.03499999999997</v>
      </c>
      <c r="CO35" s="1586">
        <f>CN35/CN15*100</f>
        <v>51.206113398559069</v>
      </c>
      <c r="CP35" s="1587">
        <f t="shared" si="69"/>
        <v>-2.9317882307689391</v>
      </c>
      <c r="CQ35" s="1603"/>
      <c r="CR35" s="1604">
        <f>SUM(CR30:CR31)</f>
        <v>729.22399999999993</v>
      </c>
      <c r="CS35" s="1586">
        <f>CR35/CR15*100</f>
        <v>50.625789700226321</v>
      </c>
      <c r="CT35" s="1587">
        <f t="shared" si="70"/>
        <v>-3.0332364850040316</v>
      </c>
      <c r="CU35" s="1603"/>
      <c r="CV35" s="1604">
        <f>SUM(CV30:CV31)</f>
        <v>741.01134524130998</v>
      </c>
      <c r="CW35" s="1586">
        <f>CV35/CV15*100</f>
        <v>48.395823629232446</v>
      </c>
      <c r="CX35" s="1587">
        <f t="shared" si="71"/>
        <v>1.6164231074827562</v>
      </c>
      <c r="CY35" s="97"/>
      <c r="DZ35" s="22">
        <f>+(AO33-AK33)*100</f>
        <v>163.26579495750229</v>
      </c>
    </row>
    <row r="36" spans="1:135" ht="12.75" hidden="1" customHeight="1" outlineLevel="2">
      <c r="A36" s="114" t="str">
        <f>$A$16</f>
        <v>9 Mos</v>
      </c>
      <c r="D36" s="560"/>
      <c r="E36" s="1578"/>
      <c r="F36" s="1579"/>
      <c r="G36" s="310"/>
      <c r="H36" s="560"/>
      <c r="I36" s="1578"/>
      <c r="J36" s="1579"/>
      <c r="K36" s="310"/>
      <c r="L36" s="560"/>
      <c r="M36" s="1578"/>
      <c r="N36" s="1579"/>
      <c r="O36" s="310"/>
      <c r="P36" s="560"/>
      <c r="Q36" s="1578"/>
      <c r="R36" s="1579"/>
      <c r="S36" s="310"/>
      <c r="T36" s="560"/>
      <c r="U36" s="1578"/>
      <c r="V36" s="1579"/>
      <c r="W36" s="310"/>
      <c r="X36" s="560"/>
      <c r="Y36" s="1578"/>
      <c r="Z36" s="1579"/>
      <c r="AB36" s="1569"/>
      <c r="AC36" s="1582"/>
      <c r="AD36" s="1583"/>
      <c r="AE36" s="1584"/>
      <c r="AF36" s="1569"/>
      <c r="AG36" s="1582"/>
      <c r="AH36" s="1583"/>
      <c r="AI36" s="1584"/>
      <c r="AJ36" s="1604">
        <f>SUM(AJ30:AJ32)</f>
        <v>385.39800000000002</v>
      </c>
      <c r="AK36" s="1586">
        <f t="shared" si="50"/>
        <v>36.314621563685193</v>
      </c>
      <c r="AL36" s="1583"/>
      <c r="AM36" s="1584"/>
      <c r="AN36" s="1604">
        <f>SUM(AN30:AN32)</f>
        <v>433.41600000000005</v>
      </c>
      <c r="AO36" s="1586">
        <f t="shared" si="51"/>
        <v>37.773090934444234</v>
      </c>
      <c r="AP36" s="1587">
        <f t="shared" si="72"/>
        <v>12.459327759874217</v>
      </c>
      <c r="AQ36" s="1584"/>
      <c r="AR36" s="1604">
        <f>SUM(AR30:AR32)</f>
        <v>514.41099999999994</v>
      </c>
      <c r="AS36" s="1586">
        <f t="shared" si="52"/>
        <v>38.561544227886053</v>
      </c>
      <c r="AT36" s="1587">
        <f t="shared" si="53"/>
        <v>18.687588829207936</v>
      </c>
      <c r="AU36" s="1584"/>
      <c r="AV36" s="1604">
        <f>SUM(AV30:AV32)</f>
        <v>707.26700000000005</v>
      </c>
      <c r="AW36" s="1586">
        <f t="shared" si="54"/>
        <v>38.790085552774919</v>
      </c>
      <c r="AX36" s="1587">
        <f t="shared" si="55"/>
        <v>37.490644640180726</v>
      </c>
      <c r="AY36" s="1584"/>
      <c r="AZ36" s="1604">
        <f>SUM(AZ30:AZ32)</f>
        <v>837.30200000000002</v>
      </c>
      <c r="BA36" s="1586">
        <f t="shared" si="56"/>
        <v>38.418658217916281</v>
      </c>
      <c r="BB36" s="1587">
        <f t="shared" si="57"/>
        <v>18.385560191554241</v>
      </c>
      <c r="BC36" s="1584"/>
      <c r="BD36" s="1604">
        <f>SUM(BD30:BD32)</f>
        <v>998.42499999999995</v>
      </c>
      <c r="BE36" s="1586">
        <f t="shared" si="58"/>
        <v>39.606240365459975</v>
      </c>
      <c r="BF36" s="1587">
        <f t="shared" si="59"/>
        <v>19.243116581591813</v>
      </c>
      <c r="BG36" s="1584"/>
      <c r="BH36" s="1604">
        <f>SUM(BH30:BH32)</f>
        <v>1051.346</v>
      </c>
      <c r="BI36" s="1586">
        <f t="shared" si="60"/>
        <v>41.999274542514364</v>
      </c>
      <c r="BJ36" s="1587">
        <f t="shared" si="61"/>
        <v>5.3004482059243463</v>
      </c>
      <c r="BK36" s="1584"/>
      <c r="BL36" s="1604">
        <f>SUM(BL30:BL32)</f>
        <v>1011.9680000000001</v>
      </c>
      <c r="BM36" s="1586">
        <f>BL36/BL16*100</f>
        <v>50.785442785780035</v>
      </c>
      <c r="BN36" s="1587">
        <f t="shared" si="62"/>
        <v>-3.7454843600489229</v>
      </c>
      <c r="BO36" s="1584"/>
      <c r="BP36" s="1604">
        <f>SUM(BP30:BP32)</f>
        <v>1101.827</v>
      </c>
      <c r="BQ36" s="1586">
        <f>BP36/BP16*100</f>
        <v>47.505238468901169</v>
      </c>
      <c r="BR36" s="1587">
        <f t="shared" si="63"/>
        <v>8.8796286048570714</v>
      </c>
      <c r="BS36" s="1596"/>
      <c r="BT36" s="1604">
        <f>SUM(BT30:BT32)</f>
        <v>1286.1089999999999</v>
      </c>
      <c r="BU36" s="1586">
        <f>BT36/BT16*100</f>
        <v>45.456903897899586</v>
      </c>
      <c r="BV36" s="1587">
        <f t="shared" si="64"/>
        <v>16.725130170162817</v>
      </c>
      <c r="BW36" s="1584"/>
      <c r="BX36" s="1604">
        <f>SUM(BX30:BX32)</f>
        <v>1410.759</v>
      </c>
      <c r="BY36" s="1586">
        <f>BX36/BX16*100</f>
        <v>46.371858682025355</v>
      </c>
      <c r="BZ36" s="1587">
        <f t="shared" si="65"/>
        <v>9.6920245484636283</v>
      </c>
      <c r="CA36" s="1587"/>
      <c r="CB36" s="1604">
        <f>SUM(CB30:CB32)</f>
        <v>1401.4399999999998</v>
      </c>
      <c r="CC36" s="1586">
        <f>CB36/CB16*100</f>
        <v>49.735960479245918</v>
      </c>
      <c r="CD36" s="1587">
        <f t="shared" si="66"/>
        <v>-0.6605664043256243</v>
      </c>
      <c r="CE36" s="1603"/>
      <c r="CF36" s="1604">
        <f>SUM(CF30:CF32)</f>
        <v>1253.021</v>
      </c>
      <c r="CG36" s="1586">
        <f>CF36/CF16*100</f>
        <v>47.74348196180128</v>
      </c>
      <c r="CH36" s="1587">
        <f t="shared" si="67"/>
        <v>-10.590464094074658</v>
      </c>
      <c r="CI36" s="1603"/>
      <c r="CJ36" s="1604">
        <f>SUM(CJ30:CJ32)</f>
        <v>1167.1079999999999</v>
      </c>
      <c r="CK36" s="1586">
        <f>CJ36/CJ16*100</f>
        <v>48.513270289930368</v>
      </c>
      <c r="CL36" s="1587">
        <f t="shared" si="68"/>
        <v>-6.8564692850319409</v>
      </c>
      <c r="CM36" s="1603"/>
      <c r="CN36" s="1604">
        <f>SUM(CN30:CN32)</f>
        <v>1138.644</v>
      </c>
      <c r="CO36" s="1586">
        <f>CN36/CN16*100</f>
        <v>49.714261014671386</v>
      </c>
      <c r="CP36" s="1587">
        <f t="shared" si="69"/>
        <v>-2.4388488468933378</v>
      </c>
      <c r="CQ36" s="1603"/>
      <c r="CR36" s="1604">
        <f>SUM(CR30:CR32)</f>
        <v>1105.1679999999999</v>
      </c>
      <c r="CS36" s="1586">
        <f>CR36/CR16*100</f>
        <v>48.060561888245076</v>
      </c>
      <c r="CT36" s="1587">
        <f t="shared" si="70"/>
        <v>-2.9399882667453636</v>
      </c>
      <c r="CU36" s="1603"/>
      <c r="CV36" s="1604">
        <f>SUM(CV30:CV32)</f>
        <v>1120.3039267307499</v>
      </c>
      <c r="CW36" s="1586">
        <f>CV36/CV16*100</f>
        <v>46.774057301741728</v>
      </c>
      <c r="CX36" s="1587">
        <f t="shared" si="71"/>
        <v>1.3695589024247834</v>
      </c>
      <c r="CY36" s="97"/>
      <c r="DZ36" s="22">
        <f>+(AO34-AK34)*100</f>
        <v>157.47181002780053</v>
      </c>
    </row>
    <row r="37" spans="1:135" outlineLevel="1" collapsed="1">
      <c r="D37" s="1537"/>
      <c r="E37" s="1516"/>
      <c r="F37" s="1517"/>
      <c r="H37" s="1537"/>
      <c r="I37" s="1516"/>
      <c r="J37" s="1517"/>
      <c r="L37" s="1537"/>
      <c r="M37" s="1516"/>
      <c r="N37" s="1517"/>
      <c r="P37" s="1537"/>
      <c r="Q37" s="1516"/>
      <c r="R37" s="1517"/>
      <c r="T37" s="1537"/>
      <c r="U37" s="1516"/>
      <c r="V37" s="1517"/>
      <c r="X37" s="1537"/>
      <c r="Y37" s="1516"/>
      <c r="Z37" s="1517"/>
      <c r="AB37" s="1604"/>
      <c r="AC37" s="1586"/>
      <c r="AD37" s="1587"/>
      <c r="AE37" s="312"/>
      <c r="AF37" s="1604"/>
      <c r="AG37" s="1586"/>
      <c r="AH37" s="1587"/>
      <c r="AI37" s="312"/>
      <c r="AJ37" s="1604"/>
      <c r="AK37" s="1586"/>
      <c r="AL37" s="1587"/>
      <c r="AM37" s="312"/>
      <c r="AN37" s="1604"/>
      <c r="AO37" s="1586"/>
      <c r="AP37" s="1587"/>
      <c r="AQ37" s="312"/>
      <c r="AR37" s="1604"/>
      <c r="AS37" s="1586"/>
      <c r="AT37" s="1587"/>
      <c r="AU37" s="312"/>
      <c r="AV37" s="1573">
        <f>AV33/AV32-1</f>
        <v>0.16027468204801787</v>
      </c>
      <c r="AW37" s="1586">
        <f>AV33-AV32</f>
        <v>40.540999999999997</v>
      </c>
      <c r="AX37" s="1587"/>
      <c r="AY37" s="312"/>
      <c r="AZ37" s="1573">
        <f>AZ33/AZ32-1</f>
        <v>0.13393806572088063</v>
      </c>
      <c r="BA37" s="1586">
        <f>AZ33-AZ32</f>
        <v>41.313999999999965</v>
      </c>
      <c r="BB37" s="1587"/>
      <c r="BC37" s="312"/>
      <c r="BD37" s="1573">
        <f>BD33/BD32-1</f>
        <v>9.1775585350085676E-2</v>
      </c>
      <c r="BE37" s="1586">
        <f>BD33-BD32</f>
        <v>32.65100000000001</v>
      </c>
      <c r="BF37" s="1587"/>
      <c r="BG37" s="312"/>
      <c r="BH37" s="1573">
        <f>BH33/BH32-1</f>
        <v>3.0661494848258641E-2</v>
      </c>
      <c r="BI37" s="1586"/>
      <c r="BJ37" s="1587"/>
      <c r="BK37" s="312"/>
      <c r="BL37" s="1604">
        <f>BL33+8.3</f>
        <v>389.08300000000003</v>
      </c>
      <c r="BM37" s="1605">
        <f>21.6+25.4</f>
        <v>47</v>
      </c>
      <c r="BN37" s="1586">
        <f>BL33-BL32</f>
        <v>31.420999999999992</v>
      </c>
      <c r="BO37" s="312"/>
      <c r="BP37" s="1605"/>
      <c r="BQ37" s="1516"/>
      <c r="BR37" s="1587"/>
      <c r="BS37" s="111"/>
      <c r="BT37" s="1605"/>
      <c r="BU37" s="114"/>
      <c r="BV37" s="1587"/>
      <c r="BW37" s="312"/>
      <c r="BX37" s="1606"/>
      <c r="BY37" s="114"/>
      <c r="BZ37" s="1587"/>
      <c r="CA37" s="1587"/>
      <c r="CB37" s="1603"/>
      <c r="CC37" s="1603"/>
      <c r="CD37" s="1603"/>
      <c r="CE37" s="1603"/>
      <c r="CF37" s="1603"/>
      <c r="CG37" s="1603"/>
      <c r="CH37" s="1603"/>
      <c r="CI37" s="1603"/>
      <c r="CJ37" s="1603"/>
      <c r="CK37" s="1603"/>
      <c r="CL37" s="1603"/>
      <c r="CM37" s="1603"/>
      <c r="CN37" s="1603"/>
      <c r="CO37" s="1603"/>
      <c r="CP37" s="1603"/>
      <c r="CQ37" s="1603"/>
      <c r="CR37" s="1603"/>
      <c r="CS37" s="1603"/>
      <c r="CT37" s="1603"/>
      <c r="CU37" s="1603"/>
      <c r="CV37" s="1603"/>
      <c r="CW37" s="1603"/>
      <c r="CX37" s="1603"/>
      <c r="CY37" s="376"/>
    </row>
    <row r="38" spans="1:135" outlineLevel="1">
      <c r="D38" s="1537"/>
      <c r="E38" s="1516"/>
      <c r="F38" s="1517"/>
      <c r="H38" s="1537"/>
      <c r="I38" s="1516"/>
      <c r="J38" s="1517"/>
      <c r="L38" s="1537"/>
      <c r="M38" s="1516"/>
      <c r="N38" s="1517"/>
      <c r="P38" s="1537"/>
      <c r="Q38" s="1516"/>
      <c r="R38" s="1517"/>
      <c r="T38" s="1537"/>
      <c r="U38" s="1516"/>
      <c r="V38" s="1517"/>
      <c r="X38" s="1537"/>
      <c r="Y38" s="1516"/>
      <c r="Z38" s="1517"/>
      <c r="AC38" s="1607"/>
      <c r="AD38" s="1608"/>
      <c r="AE38" s="1566"/>
      <c r="AF38" s="1609"/>
      <c r="AG38" s="1607"/>
      <c r="AH38" s="1608"/>
      <c r="AI38" s="1566"/>
      <c r="AK38" s="1607"/>
      <c r="AL38" s="1608"/>
      <c r="AM38" s="1566"/>
      <c r="AN38" s="1567"/>
      <c r="AO38" s="1607"/>
      <c r="AP38" s="1608"/>
      <c r="AQ38" s="1566"/>
      <c r="AS38" s="1607"/>
      <c r="AT38" s="1608"/>
      <c r="AU38" s="1566"/>
      <c r="AV38" s="1609"/>
      <c r="AW38" s="1607"/>
      <c r="AX38" s="1608"/>
      <c r="AY38" s="1566"/>
      <c r="AZ38" s="1609"/>
      <c r="BA38" s="1607"/>
      <c r="BB38" s="1608"/>
      <c r="BC38" s="1566"/>
      <c r="BD38" s="1609"/>
      <c r="BE38" s="1607"/>
      <c r="BF38" s="1608"/>
      <c r="BG38" s="1566"/>
      <c r="BH38" s="1609"/>
      <c r="BI38" s="22"/>
      <c r="BJ38" s="1608"/>
      <c r="BK38" s="1566"/>
      <c r="BL38" s="1609"/>
      <c r="BM38" s="1607"/>
      <c r="BN38" s="1608"/>
      <c r="BO38" s="1566"/>
      <c r="BP38" s="1609"/>
      <c r="BQ38" s="1607"/>
      <c r="BR38" s="1608"/>
      <c r="BS38" s="1568"/>
      <c r="BT38" s="1609"/>
      <c r="BU38" s="1607"/>
      <c r="BW38" s="1566"/>
      <c r="BX38" s="1609"/>
      <c r="BZ38" s="1608"/>
      <c r="CA38" s="1608"/>
      <c r="CB38" s="1603"/>
      <c r="CC38" s="1603"/>
      <c r="CD38" s="1567" t="s">
        <v>74</v>
      </c>
      <c r="CE38" s="1603"/>
      <c r="CF38" s="1603"/>
      <c r="CG38" s="1603"/>
      <c r="CH38" s="1603"/>
      <c r="CI38" s="1603"/>
      <c r="CJ38" s="1603"/>
      <c r="CK38" s="1603"/>
      <c r="CL38" s="1603"/>
      <c r="CM38" s="1603"/>
      <c r="CN38" s="1603"/>
      <c r="CO38" s="1603"/>
      <c r="CP38" s="1603"/>
      <c r="CQ38" s="1603"/>
      <c r="CR38" s="1603"/>
      <c r="CS38" s="1603"/>
      <c r="CT38" s="1603"/>
      <c r="CU38" s="1603"/>
      <c r="CV38" s="1603"/>
      <c r="CW38" s="1603"/>
      <c r="CX38" s="1603"/>
      <c r="CY38" s="97"/>
    </row>
    <row r="39" spans="1:135" outlineLevel="1">
      <c r="D39" s="1537"/>
      <c r="E39" s="1516"/>
      <c r="F39" s="1517"/>
      <c r="H39" s="1537"/>
      <c r="I39" s="1516"/>
      <c r="J39" s="1517"/>
      <c r="L39" s="1537"/>
      <c r="M39" s="1516"/>
      <c r="N39" s="1517"/>
      <c r="P39" s="1537"/>
      <c r="Q39" s="1516"/>
      <c r="R39" s="1517"/>
      <c r="T39" s="1537"/>
      <c r="U39" s="1516"/>
      <c r="V39" s="1517"/>
      <c r="X39" s="1537"/>
      <c r="Y39" s="1516"/>
      <c r="Z39" s="1517"/>
      <c r="AB39" s="1604"/>
      <c r="AC39" s="1586"/>
      <c r="AD39" s="1587"/>
      <c r="AE39" s="312"/>
      <c r="AF39" s="1604"/>
      <c r="AG39" s="1586"/>
      <c r="AH39" s="1587"/>
      <c r="AI39" s="312"/>
      <c r="AJ39" s="1604"/>
      <c r="AK39" s="1586"/>
      <c r="AL39" s="1587"/>
      <c r="AM39" s="312"/>
      <c r="AN39" s="1604"/>
      <c r="AO39" s="1586"/>
      <c r="AP39" s="1587"/>
      <c r="AQ39" s="312"/>
      <c r="AR39" s="1604"/>
      <c r="AS39" s="1586"/>
      <c r="AT39" s="1610"/>
      <c r="AU39" s="312"/>
      <c r="AV39" s="1604"/>
      <c r="AW39" s="1586"/>
      <c r="AX39" s="1587"/>
      <c r="AY39" s="312"/>
      <c r="AZ39" s="1604"/>
      <c r="BA39" s="1586"/>
      <c r="BB39" s="1587"/>
      <c r="BC39" s="312"/>
      <c r="BD39" s="1604"/>
      <c r="BE39" s="1586"/>
      <c r="BF39" s="1587"/>
      <c r="BG39" s="312"/>
      <c r="BH39" s="1604"/>
      <c r="BI39" s="1570"/>
      <c r="BJ39" s="1587"/>
      <c r="BK39" s="312"/>
      <c r="BL39" s="1604"/>
      <c r="BM39" s="1570">
        <f>BM43-BI43</f>
        <v>-6.6281535100078059E-2</v>
      </c>
      <c r="BN39" s="1587"/>
      <c r="BO39" s="312"/>
      <c r="BP39" s="1604"/>
      <c r="BQ39" s="1570"/>
      <c r="BR39" s="1587"/>
      <c r="BS39" s="111"/>
      <c r="BT39" s="1604"/>
      <c r="BU39" s="1570"/>
      <c r="BV39" s="1587"/>
      <c r="BW39" s="312"/>
      <c r="BX39" s="1604"/>
      <c r="BY39" s="1570"/>
      <c r="BZ39" s="1587"/>
      <c r="CA39" s="1587"/>
      <c r="CB39" s="1603"/>
      <c r="CC39" s="1603"/>
      <c r="CD39" s="1603"/>
      <c r="CE39" s="1603"/>
      <c r="CF39" s="1603"/>
      <c r="CG39" s="1603"/>
      <c r="CH39" s="1603"/>
      <c r="CI39" s="1603"/>
      <c r="CJ39" s="1603"/>
      <c r="CK39" s="1603"/>
      <c r="CL39" s="1603"/>
      <c r="CM39" s="1603"/>
      <c r="CN39" s="1603"/>
      <c r="CO39" s="1603"/>
      <c r="CP39" s="1603"/>
      <c r="CQ39" s="1603"/>
      <c r="CR39" s="1603"/>
      <c r="CS39" s="1603"/>
      <c r="CT39" s="1603"/>
      <c r="CU39" s="1603"/>
      <c r="CV39" s="1603"/>
      <c r="CW39" s="1603"/>
      <c r="CX39" s="1603"/>
      <c r="CY39" s="97"/>
    </row>
    <row r="40" spans="1:135" outlineLevel="1">
      <c r="A40" s="114" t="str">
        <f>$A$10</f>
        <v>1Q</v>
      </c>
      <c r="B40" s="114" t="str">
        <f>$B$10</f>
        <v>Apr</v>
      </c>
      <c r="D40" s="1537"/>
      <c r="E40" s="1516"/>
      <c r="F40" s="1517"/>
      <c r="H40" s="1537"/>
      <c r="I40" s="1516"/>
      <c r="J40" s="1517"/>
      <c r="L40" s="1537"/>
      <c r="M40" s="1516"/>
      <c r="N40" s="1517"/>
      <c r="P40" s="1537"/>
      <c r="Q40" s="1516"/>
      <c r="R40" s="1517"/>
      <c r="T40" s="1537"/>
      <c r="U40" s="1516"/>
      <c r="V40" s="1517"/>
      <c r="X40" s="1537"/>
      <c r="Y40" s="1516"/>
      <c r="Z40" s="1517"/>
      <c r="AB40" s="1604"/>
      <c r="AC40" s="1586"/>
      <c r="AD40" s="1587"/>
      <c r="AE40" s="312"/>
      <c r="AF40" s="1604"/>
      <c r="AG40" s="1586"/>
      <c r="AH40" s="1587"/>
      <c r="AI40" s="312"/>
      <c r="AJ40" s="1585">
        <v>33.844000000000001</v>
      </c>
      <c r="AK40" s="1586">
        <f t="shared" ref="AK40:AK46" si="73">AJ40/AJ10*100</f>
        <v>10.819969820200006</v>
      </c>
      <c r="AL40" s="1587"/>
      <c r="AM40" s="312"/>
      <c r="AN40" s="1585">
        <v>38.238</v>
      </c>
      <c r="AO40" s="1586">
        <f t="shared" ref="AO40:AO46" si="74">AN40/AN10*100</f>
        <v>11.028432000276879</v>
      </c>
      <c r="AP40" s="1587">
        <f>(AN40/AJ40-1)*100</f>
        <v>12.983098924476998</v>
      </c>
      <c r="AQ40" s="312"/>
      <c r="AR40" s="1585">
        <f>55.784</f>
        <v>55.783999999999999</v>
      </c>
      <c r="AS40" s="1586">
        <f t="shared" ref="AS40:AS46" si="75">AR40/AR10*100</f>
        <v>13.542106668608744</v>
      </c>
      <c r="AT40" s="1587">
        <f>(AR40/AN40-1)*100</f>
        <v>45.886291124012772</v>
      </c>
      <c r="AU40" s="312"/>
      <c r="AV40" s="1585">
        <v>67.146000000000001</v>
      </c>
      <c r="AW40" s="1586">
        <f t="shared" ref="AW40:AW46" si="76">AV40/AV10*100</f>
        <v>12.279585230701707</v>
      </c>
      <c r="AX40" s="1587">
        <f t="shared" ref="AX40:AX46" si="77">(AV40/AR40-1)*100</f>
        <v>20.367847411444153</v>
      </c>
      <c r="AY40" s="312"/>
      <c r="AZ40" s="1548">
        <v>89.698999999999998</v>
      </c>
      <c r="BA40" s="1586">
        <f t="shared" ref="BA40:BA46" si="78">AZ40/AZ10*100</f>
        <v>13.647186624695143</v>
      </c>
      <c r="BB40" s="1587">
        <f t="shared" ref="BB40:BB46" si="79">(AZ40/AV40-1)*100</f>
        <v>33.588002263723823</v>
      </c>
      <c r="BC40" s="1516"/>
      <c r="BD40" s="1548">
        <v>90.174999999999997</v>
      </c>
      <c r="BE40" s="1586">
        <f t="shared" ref="BE40:BE46" si="80">BD40/BD10*100</f>
        <v>12.146253417922711</v>
      </c>
      <c r="BF40" s="1587">
        <f t="shared" ref="BF40:BF46" si="81">(BD40/AZ40-1)*100</f>
        <v>0.53066366403193843</v>
      </c>
      <c r="BG40" s="1516"/>
      <c r="BH40" s="1548">
        <v>100.986</v>
      </c>
      <c r="BI40" s="1586">
        <f t="shared" ref="BI40:BI46" si="82">BH40/BH10*100</f>
        <v>12.829500253449519</v>
      </c>
      <c r="BJ40" s="1587">
        <f t="shared" ref="BJ40:BJ46" si="83">(BH40/BD40-1)*100</f>
        <v>11.988910451899093</v>
      </c>
      <c r="BK40" s="1516"/>
      <c r="BL40" s="1548">
        <v>86.344999999999999</v>
      </c>
      <c r="BM40" s="1586">
        <f t="shared" ref="BM40:BM46" si="84">BL40/BL10*100</f>
        <v>14.349482906757027</v>
      </c>
      <c r="BN40" s="1587">
        <f t="shared" ref="BN40:BN46" si="85">(BL40/BH40-1)*100</f>
        <v>-14.498049234547372</v>
      </c>
      <c r="BO40" s="1516"/>
      <c r="BP40" s="1548">
        <v>96.632000000000005</v>
      </c>
      <c r="BQ40" s="1586">
        <f t="shared" ref="BQ40:BQ46" si="86">BP40/BP10*100</f>
        <v>14.04935126867538</v>
      </c>
      <c r="BR40" s="1587">
        <f t="shared" ref="BR40:BR46" si="87">(BP40/BL40-1)*100</f>
        <v>11.913834037871339</v>
      </c>
      <c r="BS40" s="1563"/>
      <c r="BT40" s="1588">
        <v>107.651</v>
      </c>
      <c r="BU40" s="1586">
        <f t="shared" ref="BU40:BU46" si="88">BT40/BT10*100</f>
        <v>12.866540611994637</v>
      </c>
      <c r="BV40" s="1587">
        <f t="shared" ref="BV40:BV46" si="89">(BT40/BP40-1)*100</f>
        <v>11.403054888649722</v>
      </c>
      <c r="BW40" s="1516"/>
      <c r="BX40" s="1588">
        <v>116.889</v>
      </c>
      <c r="BY40" s="1586">
        <f t="shared" ref="BY40:BY46" si="90">BX40/BX10*100</f>
        <v>12.688527579791103</v>
      </c>
      <c r="BZ40" s="1587">
        <f t="shared" ref="BZ40:BZ46" si="91">(BX40/BT40-1)*100</f>
        <v>8.5814344502141093</v>
      </c>
      <c r="CA40" s="1587"/>
      <c r="CB40" s="1588">
        <f>118.78-0.818</f>
        <v>117.962</v>
      </c>
      <c r="CC40" s="1586">
        <f t="shared" ref="CC40:CC46" si="92">CB40/CB10*100</f>
        <v>14.063705263308494</v>
      </c>
      <c r="CD40" s="1587">
        <f t="shared" ref="CD40:CD46" si="93">(CB40/BX40-1)*100</f>
        <v>0.91796490687747756</v>
      </c>
      <c r="CE40" s="1611"/>
      <c r="CF40" s="1588">
        <f>123.581-2.3-6.9</f>
        <v>114.381</v>
      </c>
      <c r="CG40" s="1586">
        <f t="shared" ref="CG40:CG46" si="94">CF40/CF10*100</f>
        <v>13.907722013355576</v>
      </c>
      <c r="CH40" s="1587">
        <f t="shared" ref="CH40:CH46" si="95">(CF40/CB40-1)*100</f>
        <v>-3.035723368542409</v>
      </c>
      <c r="CI40" s="1611"/>
      <c r="CJ40" s="1588">
        <f>107.533+1.77+1.598-6.133+1.0006</f>
        <v>105.76860000000001</v>
      </c>
      <c r="CK40" s="1586">
        <f t="shared" ref="CK40:CK46" si="96">CJ40/CJ10*100</f>
        <v>14.909123201705048</v>
      </c>
      <c r="CL40" s="1587">
        <f t="shared" ref="CL40:CL46" si="97">(CJ40/CF40-1)*100</f>
        <v>-7.5295722191622723</v>
      </c>
      <c r="CM40" s="1611"/>
      <c r="CN40" s="1588">
        <v>114.447</v>
      </c>
      <c r="CO40" s="1586">
        <f t="shared" ref="CO40:CO46" si="98">CN40/CN10*100</f>
        <v>16.695818860569847</v>
      </c>
      <c r="CP40" s="1587">
        <f t="shared" ref="CP40:CP46" si="99">(CN40/CJ40-1)*100</f>
        <v>8.2050816593960629</v>
      </c>
      <c r="CQ40" s="1611"/>
      <c r="CR40" s="1588">
        <v>109.893</v>
      </c>
      <c r="CS40" s="1586">
        <f t="shared" ref="CS40:CS46" si="100">CR40/CR10*100</f>
        <v>16.622775106300267</v>
      </c>
      <c r="CT40" s="1587">
        <f t="shared" ref="CT40:CT46" si="101">(CR40/CN40-1)*100</f>
        <v>-3.9791344465123557</v>
      </c>
      <c r="CU40" s="1611"/>
      <c r="CV40" s="2201">
        <f t="shared" ref="CV40:CV41" si="102">CV10*(CW40/100)</f>
        <v>114.64248293885997</v>
      </c>
      <c r="CW40" s="2225">
        <v>16.399999999999999</v>
      </c>
      <c r="CX40" s="1587">
        <f t="shared" ref="CX40:CX46" si="103">(CV40/CR40-1)*100</f>
        <v>4.3219158079768283</v>
      </c>
      <c r="CY40" s="1009"/>
      <c r="CZ40" s="1590">
        <f>CR40-CN40</f>
        <v>-4.554000000000002</v>
      </c>
    </row>
    <row r="41" spans="1:135" outlineLevel="1">
      <c r="A41" s="114" t="str">
        <f>$A$11</f>
        <v>2Q</v>
      </c>
      <c r="B41" s="114" t="str">
        <f>$B$11</f>
        <v>Jul</v>
      </c>
      <c r="D41" s="1537"/>
      <c r="E41" s="1516"/>
      <c r="F41" s="1517"/>
      <c r="H41" s="1537"/>
      <c r="I41" s="1516"/>
      <c r="J41" s="1517"/>
      <c r="L41" s="1537"/>
      <c r="M41" s="1516"/>
      <c r="N41" s="1517"/>
      <c r="P41" s="1537"/>
      <c r="Q41" s="1516"/>
      <c r="R41" s="1517"/>
      <c r="T41" s="1537"/>
      <c r="U41" s="1516"/>
      <c r="V41" s="1517"/>
      <c r="X41" s="1537"/>
      <c r="Y41" s="1516"/>
      <c r="Z41" s="1517"/>
      <c r="AB41" s="1604"/>
      <c r="AC41" s="1586"/>
      <c r="AD41" s="1587"/>
      <c r="AE41" s="312"/>
      <c r="AF41" s="1604"/>
      <c r="AG41" s="1586"/>
      <c r="AH41" s="1587"/>
      <c r="AI41" s="312"/>
      <c r="AJ41" s="1593">
        <v>35.491</v>
      </c>
      <c r="AK41" s="1586">
        <f t="shared" si="73"/>
        <v>10.782490870534765</v>
      </c>
      <c r="AL41" s="1587"/>
      <c r="AM41" s="312"/>
      <c r="AN41" s="1593">
        <v>38.932000000000002</v>
      </c>
      <c r="AO41" s="1586">
        <f t="shared" si="74"/>
        <v>10.944593906988382</v>
      </c>
      <c r="AP41" s="1587">
        <f t="shared" ref="AP41:AP46" si="104">(AN41/AJ41-1)*100</f>
        <v>9.695415739201497</v>
      </c>
      <c r="AQ41" s="312"/>
      <c r="AR41" s="1593">
        <v>51.703000000000003</v>
      </c>
      <c r="AS41" s="1586">
        <f t="shared" si="75"/>
        <v>12.88240072157191</v>
      </c>
      <c r="AT41" s="1587">
        <f t="shared" ref="AT41:AT46" si="105">(AR41/AN41-1)*100</f>
        <v>32.803349429774983</v>
      </c>
      <c r="AU41" s="312"/>
      <c r="AV41" s="1593">
        <v>67.884</v>
      </c>
      <c r="AW41" s="1586">
        <f t="shared" si="76"/>
        <v>11.876324154858981</v>
      </c>
      <c r="AX41" s="1587">
        <f t="shared" si="77"/>
        <v>31.296056321683462</v>
      </c>
      <c r="AY41" s="312"/>
      <c r="AZ41" s="1548">
        <v>85.34</v>
      </c>
      <c r="BA41" s="1586">
        <f t="shared" si="78"/>
        <v>12.955900749359339</v>
      </c>
      <c r="BB41" s="1587">
        <f t="shared" si="79"/>
        <v>25.71445406870545</v>
      </c>
      <c r="BC41" s="312"/>
      <c r="BD41" s="1548">
        <v>98.44</v>
      </c>
      <c r="BE41" s="1586">
        <f t="shared" si="80"/>
        <v>12.235593595330489</v>
      </c>
      <c r="BF41" s="1587">
        <f t="shared" si="81"/>
        <v>15.350363252870869</v>
      </c>
      <c r="BG41" s="312"/>
      <c r="BH41" s="1548">
        <v>105.423</v>
      </c>
      <c r="BI41" s="1586">
        <f t="shared" si="82"/>
        <v>12.651296414967995</v>
      </c>
      <c r="BJ41" s="1587">
        <f t="shared" si="83"/>
        <v>7.0936611133685545</v>
      </c>
      <c r="BK41" s="312"/>
      <c r="BL41" s="1548">
        <v>86.665999999999997</v>
      </c>
      <c r="BM41" s="1586">
        <f t="shared" si="84"/>
        <v>13.60061893754286</v>
      </c>
      <c r="BN41" s="1587">
        <f t="shared" si="85"/>
        <v>-17.792132646576174</v>
      </c>
      <c r="BO41" s="312"/>
      <c r="BP41" s="1548">
        <v>95.206000000000003</v>
      </c>
      <c r="BQ41" s="1586">
        <f t="shared" si="86"/>
        <v>12.765655043322724</v>
      </c>
      <c r="BR41" s="1587">
        <f t="shared" si="87"/>
        <v>9.8539219532457913</v>
      </c>
      <c r="BS41" s="111"/>
      <c r="BT41" s="1548">
        <v>109.999</v>
      </c>
      <c r="BU41" s="1586">
        <f t="shared" si="88"/>
        <v>11.99862996216034</v>
      </c>
      <c r="BV41" s="1587">
        <f t="shared" si="89"/>
        <v>15.537886267672206</v>
      </c>
      <c r="BW41" s="312"/>
      <c r="BX41" s="1548">
        <v>111.29300000000001</v>
      </c>
      <c r="BY41" s="1586">
        <f t="shared" si="90"/>
        <v>11.697727681213193</v>
      </c>
      <c r="BZ41" s="1587">
        <f t="shared" si="91"/>
        <v>1.1763743306757446</v>
      </c>
      <c r="CA41" s="1587"/>
      <c r="CB41" s="1548">
        <f>117.646-2.575</f>
        <v>115.071</v>
      </c>
      <c r="CC41" s="1586">
        <f t="shared" si="92"/>
        <v>12.167837935577742</v>
      </c>
      <c r="CD41" s="1587">
        <f t="shared" si="93"/>
        <v>3.3946429694589941</v>
      </c>
      <c r="CE41" s="1612"/>
      <c r="CF41" s="1549">
        <f>111.033-0.719</f>
        <v>110.31400000000001</v>
      </c>
      <c r="CG41" s="1586">
        <f t="shared" si="94"/>
        <v>12.38641148432807</v>
      </c>
      <c r="CH41" s="1587">
        <f t="shared" si="95"/>
        <v>-4.1339694623319438</v>
      </c>
      <c r="CI41" s="1612"/>
      <c r="CJ41" s="1549">
        <f>119.846-15.753</f>
        <v>104.093</v>
      </c>
      <c r="CK41" s="1586">
        <f t="shared" si="96"/>
        <v>12.729102568492316</v>
      </c>
      <c r="CL41" s="1587">
        <f t="shared" si="97"/>
        <v>-5.6393567452907138</v>
      </c>
      <c r="CM41" s="1612"/>
      <c r="CN41" s="2032">
        <v>111.71899999999999</v>
      </c>
      <c r="CO41" s="1586">
        <f t="shared" si="98"/>
        <v>14.265156545278105</v>
      </c>
      <c r="CP41" s="1587">
        <f t="shared" si="99"/>
        <v>7.3261410469483979</v>
      </c>
      <c r="CQ41" s="1612"/>
      <c r="CR41" s="2032">
        <v>109.35299999999999</v>
      </c>
      <c r="CS41" s="1586">
        <f t="shared" si="100"/>
        <v>14.031830272763083</v>
      </c>
      <c r="CT41" s="1587">
        <f t="shared" si="101"/>
        <v>-2.1178134426552364</v>
      </c>
      <c r="CU41" s="1612"/>
      <c r="CV41" s="2176">
        <f t="shared" si="102"/>
        <v>112.66739160305598</v>
      </c>
      <c r="CW41" s="2225">
        <v>13.54</v>
      </c>
      <c r="CX41" s="1587">
        <f t="shared" si="103"/>
        <v>3.0309105402284153</v>
      </c>
      <c r="CY41" s="1009"/>
      <c r="CZ41" s="1590">
        <f>CR41-CN41</f>
        <v>-2.3659999999999997</v>
      </c>
    </row>
    <row r="42" spans="1:135" outlineLevel="1">
      <c r="A42" s="114" t="str">
        <f>$A$12</f>
        <v>3Q</v>
      </c>
      <c r="B42" s="114" t="str">
        <f>$B$12</f>
        <v>Oct</v>
      </c>
      <c r="D42" s="1537"/>
      <c r="E42" s="1516"/>
      <c r="F42" s="1517"/>
      <c r="H42" s="1537"/>
      <c r="I42" s="1516"/>
      <c r="J42" s="1517"/>
      <c r="L42" s="1537"/>
      <c r="M42" s="1516"/>
      <c r="N42" s="1517"/>
      <c r="P42" s="1537"/>
      <c r="Q42" s="1516"/>
      <c r="R42" s="1517"/>
      <c r="T42" s="1537"/>
      <c r="U42" s="1516"/>
      <c r="V42" s="1517"/>
      <c r="X42" s="1537"/>
      <c r="Y42" s="1516"/>
      <c r="Z42" s="1517"/>
      <c r="AB42" s="1604"/>
      <c r="AC42" s="1586"/>
      <c r="AD42" s="1587"/>
      <c r="AE42" s="312"/>
      <c r="AF42" s="1604"/>
      <c r="AG42" s="1586"/>
      <c r="AH42" s="1587"/>
      <c r="AI42" s="312"/>
      <c r="AJ42" s="1595">
        <v>33.676000000000002</v>
      </c>
      <c r="AK42" s="1586">
        <f t="shared" si="73"/>
        <v>8.0309255978002945</v>
      </c>
      <c r="AL42" s="1587"/>
      <c r="AM42" s="312"/>
      <c r="AN42" s="1595">
        <v>41.323</v>
      </c>
      <c r="AO42" s="1586">
        <f t="shared" si="74"/>
        <v>9.2865056553230598</v>
      </c>
      <c r="AP42" s="1587">
        <f t="shared" si="104"/>
        <v>22.707566219265949</v>
      </c>
      <c r="AQ42" s="312"/>
      <c r="AR42" s="1595">
        <f>86.273-32.9</f>
        <v>53.372999999999998</v>
      </c>
      <c r="AS42" s="1586">
        <f t="shared" si="75"/>
        <v>10.249767631221145</v>
      </c>
      <c r="AT42" s="1587">
        <f t="shared" si="105"/>
        <v>29.16051593543547</v>
      </c>
      <c r="AU42" s="312"/>
      <c r="AV42" s="1593">
        <f>97.644-13.5</f>
        <v>84.144000000000005</v>
      </c>
      <c r="AW42" s="1586">
        <f t="shared" si="76"/>
        <v>11.936707531939886</v>
      </c>
      <c r="AX42" s="1587">
        <f t="shared" si="77"/>
        <v>57.652745770333325</v>
      </c>
      <c r="AY42" s="312"/>
      <c r="AZ42" s="1548">
        <v>97.167000000000002</v>
      </c>
      <c r="BA42" s="1586">
        <f t="shared" si="78"/>
        <v>11.253370208744476</v>
      </c>
      <c r="BB42" s="1587">
        <f t="shared" si="79"/>
        <v>15.477039361095258</v>
      </c>
      <c r="BC42" s="312"/>
      <c r="BD42" s="1548">
        <v>103.996</v>
      </c>
      <c r="BE42" s="1586">
        <f t="shared" si="80"/>
        <v>10.677974803117268</v>
      </c>
      <c r="BF42" s="1587">
        <f t="shared" si="81"/>
        <v>7.0281062500643143</v>
      </c>
      <c r="BG42" s="312"/>
      <c r="BH42" s="1548">
        <v>101.375</v>
      </c>
      <c r="BI42" s="1586">
        <f t="shared" si="82"/>
        <v>11.483205351994934</v>
      </c>
      <c r="BJ42" s="1587">
        <f t="shared" si="83"/>
        <v>-2.5202892418939138</v>
      </c>
      <c r="BK42" s="312"/>
      <c r="BL42" s="1548">
        <v>87.867000000000004</v>
      </c>
      <c r="BM42" s="1586">
        <f t="shared" si="84"/>
        <v>11.658334262104542</v>
      </c>
      <c r="BN42" s="1587">
        <f t="shared" si="85"/>
        <v>-13.324784217016028</v>
      </c>
      <c r="BO42" s="312"/>
      <c r="BP42" s="1548">
        <v>102.61199999999999</v>
      </c>
      <c r="BQ42" s="1586">
        <f t="shared" si="86"/>
        <v>11.584392477573386</v>
      </c>
      <c r="BR42" s="1587">
        <f t="shared" si="87"/>
        <v>16.781044077981488</v>
      </c>
      <c r="BS42" s="111"/>
      <c r="BT42" s="1548">
        <v>107.84399999999999</v>
      </c>
      <c r="BU42" s="1586">
        <f t="shared" si="88"/>
        <v>10.024018084204576</v>
      </c>
      <c r="BV42" s="1587">
        <f t="shared" si="89"/>
        <v>5.0988188515963095</v>
      </c>
      <c r="BW42" s="312"/>
      <c r="BX42" s="1548">
        <v>123.381</v>
      </c>
      <c r="BY42" s="1586">
        <f t="shared" si="90"/>
        <v>10.548549180138659</v>
      </c>
      <c r="BZ42" s="1587">
        <f t="shared" si="91"/>
        <v>14.406921108267511</v>
      </c>
      <c r="CA42" s="1587"/>
      <c r="CB42" s="1548">
        <f>131.326-4.576-6.951</f>
        <v>119.79900000000001</v>
      </c>
      <c r="CC42" s="1586">
        <f t="shared" si="92"/>
        <v>11.593904149161952</v>
      </c>
      <c r="CD42" s="1587">
        <f t="shared" si="93"/>
        <v>-2.9032022758771592</v>
      </c>
      <c r="CE42" s="1611"/>
      <c r="CF42" s="1549">
        <f>104.981-1.205</f>
        <v>103.776</v>
      </c>
      <c r="CG42" s="1586">
        <f t="shared" si="94"/>
        <v>11.385776337342682</v>
      </c>
      <c r="CH42" s="1587">
        <f t="shared" si="95"/>
        <v>-13.374902962462132</v>
      </c>
      <c r="CI42" s="1611"/>
      <c r="CJ42" s="1550">
        <v>117.69799999999999</v>
      </c>
      <c r="CK42" s="1586">
        <f t="shared" si="96"/>
        <v>13.396511612024966</v>
      </c>
      <c r="CL42" s="1587">
        <f t="shared" si="97"/>
        <v>13.415433240826392</v>
      </c>
      <c r="CM42" s="1611"/>
      <c r="CN42" s="2039">
        <f>105.307+6</f>
        <v>111.307</v>
      </c>
      <c r="CO42" s="1586">
        <f t="shared" si="98"/>
        <v>13.545380865340853</v>
      </c>
      <c r="CP42" s="1587">
        <f t="shared" si="99"/>
        <v>-5.4299988105150359</v>
      </c>
      <c r="CQ42" s="1611"/>
      <c r="CR42" s="2237">
        <v>113.46299999999999</v>
      </c>
      <c r="CS42" s="1586">
        <f t="shared" si="100"/>
        <v>13.207009097766065</v>
      </c>
      <c r="CT42" s="1587">
        <f t="shared" si="101"/>
        <v>1.9369850952770218</v>
      </c>
      <c r="CU42" s="1611"/>
      <c r="CV42" s="560">
        <f>CV12*(CW42/100)</f>
        <v>115.77495653664</v>
      </c>
      <c r="CW42" s="2054">
        <v>13.4</v>
      </c>
      <c r="CX42" s="1587">
        <f t="shared" si="103"/>
        <v>2.0376303611221447</v>
      </c>
      <c r="CY42" s="1009"/>
      <c r="CZ42" s="1590">
        <f>CR42-CN42</f>
        <v>2.1559999999999917</v>
      </c>
      <c r="DB42" s="1500"/>
      <c r="DC42" s="1500"/>
    </row>
    <row r="43" spans="1:135" outlineLevel="1">
      <c r="A43" s="114" t="str">
        <f>$A$13</f>
        <v>4Q</v>
      </c>
      <c r="B43" s="114" t="str">
        <f>$B$13</f>
        <v>Jan</v>
      </c>
      <c r="D43" s="1537"/>
      <c r="E43" s="1516"/>
      <c r="F43" s="1517"/>
      <c r="H43" s="1537"/>
      <c r="I43" s="1516"/>
      <c r="J43" s="1517"/>
      <c r="L43" s="1537"/>
      <c r="M43" s="1516"/>
      <c r="N43" s="1517"/>
      <c r="P43" s="1537"/>
      <c r="Q43" s="1516"/>
      <c r="R43" s="1517"/>
      <c r="T43" s="1537"/>
      <c r="U43" s="1516"/>
      <c r="V43" s="1517"/>
      <c r="X43" s="1537"/>
      <c r="Y43" s="1516"/>
      <c r="Z43" s="1517"/>
      <c r="AB43" s="1604"/>
      <c r="AC43" s="1586"/>
      <c r="AD43" s="1587"/>
      <c r="AE43" s="312"/>
      <c r="AF43" s="1604"/>
      <c r="AG43" s="1586"/>
      <c r="AH43" s="1587"/>
      <c r="AI43" s="312"/>
      <c r="AJ43" s="1599">
        <v>32.700000000000003</v>
      </c>
      <c r="AK43" s="1586">
        <f t="shared" si="73"/>
        <v>6.1180731998458331</v>
      </c>
      <c r="AL43" s="1587"/>
      <c r="AM43" s="312"/>
      <c r="AN43" s="1599">
        <v>37.06</v>
      </c>
      <c r="AO43" s="1586">
        <f t="shared" si="74"/>
        <v>6.6132632867525949</v>
      </c>
      <c r="AP43" s="1587">
        <f t="shared" si="104"/>
        <v>13.33333333333333</v>
      </c>
      <c r="AQ43" s="312"/>
      <c r="AR43" s="1599">
        <v>66.075999999999993</v>
      </c>
      <c r="AS43" s="1586">
        <f t="shared" si="75"/>
        <v>9.6144947864981489</v>
      </c>
      <c r="AT43" s="1587">
        <f t="shared" si="105"/>
        <v>78.294657312466228</v>
      </c>
      <c r="AU43" s="312"/>
      <c r="AV43" s="1552">
        <v>80.783000000000001</v>
      </c>
      <c r="AW43" s="1586">
        <f t="shared" si="76"/>
        <v>8.4027119010767723</v>
      </c>
      <c r="AX43" s="1587">
        <f t="shared" si="77"/>
        <v>22.25770325080212</v>
      </c>
      <c r="AY43" s="312"/>
      <c r="AZ43" s="1552">
        <v>101.623</v>
      </c>
      <c r="BA43" s="1586">
        <f t="shared" si="78"/>
        <v>8.9241382822989923</v>
      </c>
      <c r="BB43" s="1587">
        <f t="shared" si="79"/>
        <v>25.797506901204457</v>
      </c>
      <c r="BC43" s="312"/>
      <c r="BD43" s="1552">
        <v>103.14700000000001</v>
      </c>
      <c r="BE43" s="1586">
        <f t="shared" si="80"/>
        <v>8.3929700423688463</v>
      </c>
      <c r="BF43" s="1587">
        <f t="shared" si="81"/>
        <v>1.4996605099239391</v>
      </c>
      <c r="BG43" s="312"/>
      <c r="BH43" s="1552">
        <v>97.463999999999999</v>
      </c>
      <c r="BI43" s="1586">
        <f t="shared" si="82"/>
        <v>9.9371029425708777</v>
      </c>
      <c r="BJ43" s="1587">
        <f t="shared" si="83"/>
        <v>-5.5096124947889962</v>
      </c>
      <c r="BK43" s="312"/>
      <c r="BL43" s="1552">
        <f>92.39</f>
        <v>92.39</v>
      </c>
      <c r="BM43" s="1586">
        <f t="shared" si="84"/>
        <v>9.8708214074707996</v>
      </c>
      <c r="BN43" s="1587">
        <f t="shared" si="85"/>
        <v>-5.2060247886399065</v>
      </c>
      <c r="BO43" s="312"/>
      <c r="BP43" s="1552">
        <v>106.354</v>
      </c>
      <c r="BQ43" s="1586">
        <f t="shared" si="86"/>
        <v>9.2530337673003906</v>
      </c>
      <c r="BR43" s="1587">
        <f t="shared" si="87"/>
        <v>15.114189847386083</v>
      </c>
      <c r="BS43" s="111"/>
      <c r="BT43" s="1552">
        <f>111.627-10</f>
        <v>101.627</v>
      </c>
      <c r="BU43" s="1586">
        <f t="shared" si="88"/>
        <v>7.6482297471712455</v>
      </c>
      <c r="BV43" s="1587">
        <f t="shared" si="89"/>
        <v>-4.4445907065084551</v>
      </c>
      <c r="BW43" s="312"/>
      <c r="BX43" s="1552">
        <f>122.32</f>
        <v>122.32</v>
      </c>
      <c r="BY43" s="1586">
        <f t="shared" si="90"/>
        <v>8.3294121812886477</v>
      </c>
      <c r="BZ43" s="1587">
        <f t="shared" si="91"/>
        <v>20.361714898599772</v>
      </c>
      <c r="CA43" s="1587"/>
      <c r="CB43" s="1552">
        <v>118.608</v>
      </c>
      <c r="CC43" s="1586">
        <f t="shared" si="92"/>
        <v>9.1297530591461875</v>
      </c>
      <c r="CD43" s="1587">
        <f>(CB43/BX43-1)*100</f>
        <v>-3.0346631785480582</v>
      </c>
      <c r="CE43" s="1611"/>
      <c r="CF43" s="1552">
        <f>119.225-5.295</f>
        <v>113.92999999999999</v>
      </c>
      <c r="CG43" s="1586">
        <f t="shared" si="94"/>
        <v>10.176464703486419</v>
      </c>
      <c r="CH43" s="1587">
        <f t="shared" si="95"/>
        <v>-3.9440847160393977</v>
      </c>
      <c r="CI43" s="1611"/>
      <c r="CJ43" s="2020">
        <v>125.244</v>
      </c>
      <c r="CK43" s="1586">
        <f t="shared" si="96"/>
        <v>11.253537958362161</v>
      </c>
      <c r="CL43" s="1587">
        <f t="shared" si="97"/>
        <v>9.9306591766874508</v>
      </c>
      <c r="CM43" s="1611"/>
      <c r="CN43" s="2020">
        <v>121.729</v>
      </c>
      <c r="CO43" s="1586">
        <f t="shared" si="98"/>
        <v>11.745787914080296</v>
      </c>
      <c r="CP43" s="1587">
        <f t="shared" si="99"/>
        <v>-2.8065216697007456</v>
      </c>
      <c r="CQ43" s="1611"/>
      <c r="CR43" s="2020">
        <f>128.135-4</f>
        <v>124.13499999999999</v>
      </c>
      <c r="CS43" s="1586">
        <f t="shared" si="100"/>
        <v>10.403902919814476</v>
      </c>
      <c r="CT43" s="1587">
        <f t="shared" si="101"/>
        <v>1.9765216176917511</v>
      </c>
      <c r="CU43" s="1611"/>
      <c r="CV43" s="1553">
        <f>CV13*(CW43/100)</f>
        <v>127.96289780750001</v>
      </c>
      <c r="CW43" s="2054">
        <v>11.5</v>
      </c>
      <c r="CX43" s="1587">
        <f t="shared" si="103"/>
        <v>3.0836571535022506</v>
      </c>
      <c r="CY43" s="1009"/>
      <c r="CZ43" s="1590">
        <f>CR43-CN43</f>
        <v>2.4059999999999917</v>
      </c>
      <c r="DB43" s="1500"/>
      <c r="DC43" s="1500"/>
    </row>
    <row r="44" spans="1:135" outlineLevel="1">
      <c r="B44" s="114" t="str">
        <f>$B$14</f>
        <v>Year</v>
      </c>
      <c r="D44" s="1537"/>
      <c r="E44" s="1516"/>
      <c r="F44" s="1517"/>
      <c r="H44" s="1537"/>
      <c r="I44" s="1516"/>
      <c r="J44" s="1517"/>
      <c r="L44" s="1537"/>
      <c r="M44" s="1516"/>
      <c r="N44" s="1517"/>
      <c r="P44" s="1537"/>
      <c r="Q44" s="1516"/>
      <c r="R44" s="1517"/>
      <c r="T44" s="1537"/>
      <c r="U44" s="1516"/>
      <c r="V44" s="1517"/>
      <c r="X44" s="1537"/>
      <c r="Y44" s="1516"/>
      <c r="Z44" s="1517"/>
      <c r="AB44" s="1604"/>
      <c r="AC44" s="1586"/>
      <c r="AD44" s="1587"/>
      <c r="AE44" s="312"/>
      <c r="AF44" s="1604"/>
      <c r="AG44" s="1586"/>
      <c r="AH44" s="1587"/>
      <c r="AI44" s="312"/>
      <c r="AJ44" s="1602">
        <f>SUM(AJ40:AJ43)</f>
        <v>135.71100000000001</v>
      </c>
      <c r="AK44" s="1586">
        <f t="shared" si="73"/>
        <v>8.5044903453345349</v>
      </c>
      <c r="AL44" s="1587"/>
      <c r="AM44" s="312"/>
      <c r="AN44" s="1602">
        <f>SUM(AN40:AN43)</f>
        <v>155.553</v>
      </c>
      <c r="AO44" s="1586">
        <f t="shared" si="74"/>
        <v>9.1083370564272688</v>
      </c>
      <c r="AP44" s="1587">
        <f t="shared" si="104"/>
        <v>14.620775029290179</v>
      </c>
      <c r="AQ44" s="312"/>
      <c r="AR44" s="1602">
        <f>SUM(AR40:AR43)</f>
        <v>226.93599999999998</v>
      </c>
      <c r="AS44" s="1586">
        <f t="shared" si="75"/>
        <v>11.227485511469611</v>
      </c>
      <c r="AT44" s="1587">
        <f t="shared" si="105"/>
        <v>45.889825332844737</v>
      </c>
      <c r="AU44" s="312"/>
      <c r="AV44" s="1602">
        <f>SUM(AV40:AV43)</f>
        <v>299.95699999999999</v>
      </c>
      <c r="AW44" s="1586">
        <f t="shared" si="76"/>
        <v>10.771566600627496</v>
      </c>
      <c r="AX44" s="1587">
        <f t="shared" si="77"/>
        <v>32.176913314767177</v>
      </c>
      <c r="AY44" s="312"/>
      <c r="AZ44" s="1602">
        <f>SUM(AZ40:AZ43)</f>
        <v>373.82900000000001</v>
      </c>
      <c r="BA44" s="1586">
        <f t="shared" si="78"/>
        <v>11.266160321479568</v>
      </c>
      <c r="BB44" s="1587">
        <f t="shared" si="79"/>
        <v>24.627529945958937</v>
      </c>
      <c r="BC44" s="312"/>
      <c r="BD44" s="1602">
        <f>SUM(BD40:BD43)</f>
        <v>395.75799999999998</v>
      </c>
      <c r="BE44" s="1586">
        <f t="shared" si="80"/>
        <v>10.553977268939239</v>
      </c>
      <c r="BF44" s="1587">
        <f t="shared" si="81"/>
        <v>5.8660510554290779</v>
      </c>
      <c r="BG44" s="312"/>
      <c r="BH44" s="1602">
        <f>SUM(BH40:BH43)</f>
        <v>405.24799999999999</v>
      </c>
      <c r="BI44" s="1586">
        <f t="shared" si="82"/>
        <v>11.631497418096203</v>
      </c>
      <c r="BJ44" s="1587">
        <f t="shared" si="83"/>
        <v>2.3979300481607568</v>
      </c>
      <c r="BK44" s="312"/>
      <c r="BL44" s="1602">
        <f>SUM(BL40:BL43)</f>
        <v>353.26799999999997</v>
      </c>
      <c r="BM44" s="1586">
        <f t="shared" si="84"/>
        <v>12.062589098979897</v>
      </c>
      <c r="BN44" s="1587">
        <f t="shared" si="85"/>
        <v>-12.826713518635502</v>
      </c>
      <c r="BO44" s="312"/>
      <c r="BP44" s="1602">
        <f>SUM(BP40:BP43)</f>
        <v>400.80400000000003</v>
      </c>
      <c r="BQ44" s="1586">
        <f t="shared" si="86"/>
        <v>11.554623302282998</v>
      </c>
      <c r="BR44" s="1587">
        <f t="shared" si="87"/>
        <v>13.456073009726355</v>
      </c>
      <c r="BS44" s="111"/>
      <c r="BT44" s="1602">
        <f>SUM(BT40:BT43)</f>
        <v>427.12099999999998</v>
      </c>
      <c r="BU44" s="1586">
        <f t="shared" si="88"/>
        <v>10.272127036227008</v>
      </c>
      <c r="BV44" s="1587">
        <f t="shared" si="89"/>
        <v>6.5660522350076134</v>
      </c>
      <c r="BW44" s="312"/>
      <c r="BX44" s="1536">
        <f>SUM(BX40:BX43)</f>
        <v>473.88299999999998</v>
      </c>
      <c r="BY44" s="1586">
        <f t="shared" si="90"/>
        <v>10.505508440289482</v>
      </c>
      <c r="BZ44" s="1587">
        <f t="shared" si="91"/>
        <v>10.948185642944264</v>
      </c>
      <c r="CA44" s="1587"/>
      <c r="CB44" s="1536">
        <f>SUM(CB40:CB43)</f>
        <v>471.44</v>
      </c>
      <c r="CC44" s="1586">
        <f t="shared" si="92"/>
        <v>11.451343086795712</v>
      </c>
      <c r="CD44" s="1587">
        <f t="shared" si="93"/>
        <v>-0.51552809448744963</v>
      </c>
      <c r="CE44" s="1611"/>
      <c r="CF44" s="1536">
        <f>SUM(CF40:CF43)</f>
        <v>442.40100000000001</v>
      </c>
      <c r="CG44" s="1586">
        <f t="shared" si="94"/>
        <v>11.816171344780892</v>
      </c>
      <c r="CH44" s="1587">
        <f t="shared" si="95"/>
        <v>-6.1596385542168619</v>
      </c>
      <c r="CI44" s="1611"/>
      <c r="CJ44" s="1536">
        <f>SUM(CJ40:CJ43)</f>
        <v>452.80359999999996</v>
      </c>
      <c r="CK44" s="1586">
        <f t="shared" si="96"/>
        <v>12.868564347994132</v>
      </c>
      <c r="CL44" s="1587">
        <f t="shared" si="97"/>
        <v>2.3513961315638765</v>
      </c>
      <c r="CM44" s="1611"/>
      <c r="CN44" s="1536">
        <f>SUM(CN40:CN43)</f>
        <v>459.202</v>
      </c>
      <c r="CO44" s="1586">
        <f t="shared" si="98"/>
        <v>13.803363052117087</v>
      </c>
      <c r="CP44" s="1587">
        <f t="shared" si="99"/>
        <v>1.4130629703474229</v>
      </c>
      <c r="CQ44" s="1611"/>
      <c r="CR44" s="1536">
        <f>SUM(CR40:CR43)</f>
        <v>456.84399999999994</v>
      </c>
      <c r="CS44" s="1586">
        <f t="shared" si="100"/>
        <v>13.080004237421583</v>
      </c>
      <c r="CT44" s="1587">
        <f t="shared" si="101"/>
        <v>-0.51349950566418334</v>
      </c>
      <c r="CU44" s="1611"/>
      <c r="CV44" s="1536">
        <f>SUM(CV40:CV43)</f>
        <v>471.04772888605601</v>
      </c>
      <c r="CW44" s="1586">
        <f>CV44/CV14*100</f>
        <v>13.428348922566149</v>
      </c>
      <c r="CX44" s="1587">
        <f t="shared" si="103"/>
        <v>3.10909826681669</v>
      </c>
      <c r="CY44" s="1009"/>
      <c r="CZ44" s="1590">
        <f>CR44-CN44</f>
        <v>-2.3580000000000609</v>
      </c>
      <c r="DB44" s="1500"/>
      <c r="DC44" s="1500"/>
    </row>
    <row r="45" spans="1:135" ht="12.75" hidden="1" customHeight="1" outlineLevel="2">
      <c r="A45" s="114" t="str">
        <f>$A$15</f>
        <v>6 Mos</v>
      </c>
      <c r="D45" s="1537"/>
      <c r="E45" s="1516"/>
      <c r="F45" s="1517"/>
      <c r="H45" s="1537"/>
      <c r="I45" s="1516"/>
      <c r="J45" s="1517"/>
      <c r="L45" s="1537"/>
      <c r="M45" s="1516"/>
      <c r="N45" s="1517"/>
      <c r="P45" s="1537"/>
      <c r="Q45" s="1516"/>
      <c r="R45" s="1517"/>
      <c r="T45" s="1537"/>
      <c r="U45" s="1516"/>
      <c r="V45" s="1517"/>
      <c r="X45" s="1537"/>
      <c r="Y45" s="1516"/>
      <c r="Z45" s="1517"/>
      <c r="AB45" s="1604"/>
      <c r="AC45" s="1586"/>
      <c r="AD45" s="1587"/>
      <c r="AE45" s="312"/>
      <c r="AF45" s="1604"/>
      <c r="AG45" s="1586"/>
      <c r="AH45" s="1587"/>
      <c r="AI45" s="312"/>
      <c r="AJ45" s="1604">
        <f>SUM(AJ40:AJ41)</f>
        <v>69.335000000000008</v>
      </c>
      <c r="AK45" s="1586">
        <f t="shared" si="73"/>
        <v>10.800752711287245</v>
      </c>
      <c r="AL45" s="1587"/>
      <c r="AM45" s="312"/>
      <c r="AN45" s="1604">
        <f>SUM(AN40:AN41)</f>
        <v>77.17</v>
      </c>
      <c r="AO45" s="1586">
        <f t="shared" si="74"/>
        <v>10.985976046386813</v>
      </c>
      <c r="AP45" s="1587">
        <f t="shared" si="104"/>
        <v>11.300209129588223</v>
      </c>
      <c r="AQ45" s="312"/>
      <c r="AR45" s="1604">
        <f>SUM(AR40:AR41)</f>
        <v>107.48699999999999</v>
      </c>
      <c r="AS45" s="1586">
        <f t="shared" si="75"/>
        <v>13.216546412288077</v>
      </c>
      <c r="AT45" s="1587">
        <f t="shared" si="105"/>
        <v>39.285991965789812</v>
      </c>
      <c r="AU45" s="312"/>
      <c r="AV45" s="1604">
        <f>SUM(AV40:AV41)</f>
        <v>135.03</v>
      </c>
      <c r="AW45" s="1586">
        <f t="shared" si="76"/>
        <v>12.073487058756207</v>
      </c>
      <c r="AX45" s="1587">
        <f t="shared" si="77"/>
        <v>25.62449412487091</v>
      </c>
      <c r="AY45" s="312"/>
      <c r="AZ45" s="1604">
        <f>SUM(AZ40:AZ41)</f>
        <v>175.03899999999999</v>
      </c>
      <c r="BA45" s="1586">
        <f t="shared" si="78"/>
        <v>13.301169406223709</v>
      </c>
      <c r="BB45" s="1587">
        <f t="shared" si="79"/>
        <v>29.629711915870537</v>
      </c>
      <c r="BC45" s="312"/>
      <c r="BD45" s="1604">
        <f>SUM(BD40:BD41)</f>
        <v>188.61500000000001</v>
      </c>
      <c r="BE45" s="1586">
        <f t="shared" si="80"/>
        <v>12.192717531552452</v>
      </c>
      <c r="BF45" s="1587">
        <f t="shared" si="81"/>
        <v>7.7559858088768863</v>
      </c>
      <c r="BG45" s="312"/>
      <c r="BH45" s="1604">
        <f>SUM(BH40:BH41)</f>
        <v>206.40899999999999</v>
      </c>
      <c r="BI45" s="1586">
        <f t="shared" si="82"/>
        <v>12.737860219187787</v>
      </c>
      <c r="BJ45" s="1587">
        <f t="shared" si="83"/>
        <v>9.434032287994043</v>
      </c>
      <c r="BK45" s="312"/>
      <c r="BL45" s="1604">
        <f>SUM(BL40:BL41)</f>
        <v>173.011</v>
      </c>
      <c r="BM45" s="1586">
        <f t="shared" si="84"/>
        <v>13.964324629726784</v>
      </c>
      <c r="BN45" s="1587">
        <f t="shared" si="85"/>
        <v>-16.180496005503631</v>
      </c>
      <c r="BO45" s="312"/>
      <c r="BP45" s="1604">
        <f>SUM(BP40:BP41)</f>
        <v>191.83800000000002</v>
      </c>
      <c r="BQ45" s="1586">
        <f t="shared" si="86"/>
        <v>13.381538251202219</v>
      </c>
      <c r="BR45" s="1587">
        <f t="shared" si="87"/>
        <v>10.881967042557994</v>
      </c>
      <c r="BS45" s="111"/>
      <c r="BT45" s="1604">
        <f>SUM(BT40:BT41)</f>
        <v>217.64999999999998</v>
      </c>
      <c r="BU45" s="1586">
        <f t="shared" si="88"/>
        <v>12.41276418827708</v>
      </c>
      <c r="BV45" s="1587">
        <f t="shared" si="89"/>
        <v>13.455102742939328</v>
      </c>
      <c r="BW45" s="312"/>
      <c r="BX45" s="1604">
        <f>SUM(BX40:BX41)</f>
        <v>228.18200000000002</v>
      </c>
      <c r="BY45" s="1586">
        <f t="shared" si="90"/>
        <v>12.185141178826514</v>
      </c>
      <c r="BZ45" s="1587">
        <f t="shared" si="91"/>
        <v>4.8389616356535825</v>
      </c>
      <c r="CA45" s="1587"/>
      <c r="CB45" s="1604">
        <f>SUM(CB40:CB41)</f>
        <v>233.03300000000002</v>
      </c>
      <c r="CC45" s="1586">
        <f t="shared" si="92"/>
        <v>13.058969428966744</v>
      </c>
      <c r="CD45" s="1587">
        <f t="shared" si="93"/>
        <v>2.1259345610083136</v>
      </c>
      <c r="CE45" s="1603"/>
      <c r="CF45" s="1604">
        <f>SUM(CF40:CF41)</f>
        <v>224.69499999999999</v>
      </c>
      <c r="CG45" s="1586">
        <f t="shared" si="94"/>
        <v>13.116793430132404</v>
      </c>
      <c r="CH45" s="1587">
        <f t="shared" si="95"/>
        <v>-3.5780340123501952</v>
      </c>
      <c r="CI45" s="1603"/>
      <c r="CJ45" s="1604">
        <f>SUM(CJ40:CJ41)</f>
        <v>209.86160000000001</v>
      </c>
      <c r="CK45" s="1586">
        <f t="shared" si="96"/>
        <v>13.741790413429216</v>
      </c>
      <c r="CL45" s="1587">
        <f t="shared" si="97"/>
        <v>-6.6015710184917253</v>
      </c>
      <c r="CM45" s="1603"/>
      <c r="CN45" s="1604">
        <f>SUM(CN40:CN41)</f>
        <v>226.166</v>
      </c>
      <c r="CO45" s="1586">
        <f t="shared" si="98"/>
        <v>15.399658051684446</v>
      </c>
      <c r="CP45" s="1587">
        <f t="shared" si="99"/>
        <v>7.7691202201831899</v>
      </c>
      <c r="CQ45" s="1603"/>
      <c r="CR45" s="1604">
        <f>SUM(CR40:CR41)</f>
        <v>219.24599999999998</v>
      </c>
      <c r="CS45" s="1586">
        <f t="shared" si="100"/>
        <v>15.220977214978962</v>
      </c>
      <c r="CT45" s="1587">
        <f t="shared" si="101"/>
        <v>-3.0596995127472826</v>
      </c>
      <c r="CU45" s="1603"/>
      <c r="CV45" s="1604">
        <f>SUM(CV40:CV41)</f>
        <v>227.30987454191595</v>
      </c>
      <c r="CW45" s="1586">
        <f>CV45/CV15*100</f>
        <v>14.845722225657823</v>
      </c>
      <c r="CX45" s="1587">
        <f t="shared" si="103"/>
        <v>3.6780030385575868</v>
      </c>
      <c r="CY45" s="97"/>
    </row>
    <row r="46" spans="1:135" ht="12.75" hidden="1" customHeight="1" outlineLevel="2">
      <c r="A46" s="114" t="str">
        <f>$A$16</f>
        <v>9 Mos</v>
      </c>
      <c r="D46" s="1537"/>
      <c r="E46" s="1516"/>
      <c r="F46" s="1517"/>
      <c r="H46" s="1537"/>
      <c r="I46" s="1516"/>
      <c r="J46" s="1517"/>
      <c r="L46" s="1537"/>
      <c r="M46" s="1516"/>
      <c r="N46" s="1517"/>
      <c r="P46" s="1537"/>
      <c r="Q46" s="1516"/>
      <c r="R46" s="1517"/>
      <c r="T46" s="1537"/>
      <c r="U46" s="1516"/>
      <c r="V46" s="1517"/>
      <c r="X46" s="1537"/>
      <c r="Y46" s="1516"/>
      <c r="Z46" s="1517"/>
      <c r="AB46" s="1604"/>
      <c r="AC46" s="1586"/>
      <c r="AD46" s="1587"/>
      <c r="AE46" s="312"/>
      <c r="AF46" s="1604"/>
      <c r="AG46" s="1586"/>
      <c r="AH46" s="1587"/>
      <c r="AI46" s="312"/>
      <c r="AJ46" s="1604">
        <f>SUM(AJ40:AJ42)</f>
        <v>103.01100000000001</v>
      </c>
      <c r="AK46" s="1586">
        <f t="shared" si="73"/>
        <v>9.7063437845987153</v>
      </c>
      <c r="AL46" s="1587"/>
      <c r="AM46" s="312"/>
      <c r="AN46" s="1604">
        <f>SUM(AN40:AN42)</f>
        <v>118.49299999999999</v>
      </c>
      <c r="AO46" s="1586">
        <f t="shared" si="74"/>
        <v>10.326907322514858</v>
      </c>
      <c r="AP46" s="1587">
        <f t="shared" si="104"/>
        <v>15.02946287289706</v>
      </c>
      <c r="AQ46" s="312"/>
      <c r="AR46" s="1604">
        <f>SUM(AR40:AR42)</f>
        <v>160.85999999999999</v>
      </c>
      <c r="AS46" s="1586">
        <f t="shared" si="75"/>
        <v>12.05847076461769</v>
      </c>
      <c r="AT46" s="1587">
        <f t="shared" si="105"/>
        <v>35.75485471715627</v>
      </c>
      <c r="AU46" s="312"/>
      <c r="AV46" s="1604">
        <f>SUM(AV40:AV42)</f>
        <v>219.17400000000001</v>
      </c>
      <c r="AW46" s="1586">
        <f t="shared" si="76"/>
        <v>12.0206063777101</v>
      </c>
      <c r="AX46" s="1587">
        <f t="shared" si="77"/>
        <v>36.251398731816508</v>
      </c>
      <c r="AY46" s="312"/>
      <c r="AZ46" s="1604">
        <f>SUM(AZ40:AZ42)</f>
        <v>272.20600000000002</v>
      </c>
      <c r="BA46" s="1586">
        <f t="shared" si="78"/>
        <v>12.489865399660001</v>
      </c>
      <c r="BB46" s="1587">
        <f t="shared" si="79"/>
        <v>24.196300656099723</v>
      </c>
      <c r="BC46" s="312"/>
      <c r="BD46" s="1604">
        <f>SUM(BD40:BD42)</f>
        <v>292.61099999999999</v>
      </c>
      <c r="BE46" s="1586">
        <f t="shared" si="80"/>
        <v>11.607503417460109</v>
      </c>
      <c r="BF46" s="1587">
        <f t="shared" si="81"/>
        <v>7.496160995716461</v>
      </c>
      <c r="BG46" s="312"/>
      <c r="BH46" s="1604">
        <f>SUM(BH40:BH42)</f>
        <v>307.78399999999999</v>
      </c>
      <c r="BI46" s="1586">
        <f t="shared" si="82"/>
        <v>12.295385834723527</v>
      </c>
      <c r="BJ46" s="1587">
        <f t="shared" si="83"/>
        <v>5.1853826411173864</v>
      </c>
      <c r="BK46" s="312"/>
      <c r="BL46" s="1604">
        <f>SUM(BL40:BL42)</f>
        <v>260.87799999999999</v>
      </c>
      <c r="BM46" s="1586">
        <f t="shared" si="84"/>
        <v>13.092118271594281</v>
      </c>
      <c r="BN46" s="1587">
        <f t="shared" si="85"/>
        <v>-15.239908507264833</v>
      </c>
      <c r="BO46" s="312"/>
      <c r="BP46" s="1604">
        <f>SUM(BP40:BP42)</f>
        <v>294.45000000000005</v>
      </c>
      <c r="BQ46" s="1586">
        <f t="shared" si="86"/>
        <v>12.695203028395522</v>
      </c>
      <c r="BR46" s="1587">
        <f t="shared" si="87"/>
        <v>12.86885057383147</v>
      </c>
      <c r="BS46" s="111"/>
      <c r="BT46" s="1604">
        <f>SUM(BT40:BT42)</f>
        <v>325.49399999999997</v>
      </c>
      <c r="BU46" s="1586">
        <f t="shared" si="88"/>
        <v>11.504428844944655</v>
      </c>
      <c r="BV46" s="1587">
        <f t="shared" si="89"/>
        <v>10.543046357615872</v>
      </c>
      <c r="BW46" s="312"/>
      <c r="BX46" s="1604">
        <f>SUM(BX40:BX42)</f>
        <v>351.56299999999999</v>
      </c>
      <c r="BY46" s="1586">
        <f t="shared" si="90"/>
        <v>11.555928230001637</v>
      </c>
      <c r="BZ46" s="1587">
        <f t="shared" si="91"/>
        <v>8.0090570025868502</v>
      </c>
      <c r="CA46" s="1587"/>
      <c r="CB46" s="1604">
        <f>SUM(CB40:CB42)</f>
        <v>352.83199999999999</v>
      </c>
      <c r="CC46" s="1586">
        <f t="shared" si="92"/>
        <v>12.521719379932994</v>
      </c>
      <c r="CD46" s="1587">
        <f t="shared" si="93"/>
        <v>0.36095948663539268</v>
      </c>
      <c r="CE46" s="1603"/>
      <c r="CF46" s="1604">
        <f>SUM(CF40:CF42)</f>
        <v>328.471</v>
      </c>
      <c r="CG46" s="1586">
        <f t="shared" si="94"/>
        <v>12.51563163225104</v>
      </c>
      <c r="CH46" s="1587">
        <f t="shared" si="95"/>
        <v>-6.9044191003083561</v>
      </c>
      <c r="CI46" s="1603"/>
      <c r="CJ46" s="1604">
        <f>SUM(CJ40:CJ42)</f>
        <v>327.55959999999999</v>
      </c>
      <c r="CK46" s="1586">
        <f t="shared" si="96"/>
        <v>13.615695728982647</v>
      </c>
      <c r="CL46" s="1587">
        <f t="shared" si="97"/>
        <v>-0.27746741721491608</v>
      </c>
      <c r="CM46" s="1603"/>
      <c r="CN46" s="1604">
        <f>SUM(CN40:CN42)</f>
        <v>337.47300000000001</v>
      </c>
      <c r="CO46" s="1586">
        <f t="shared" si="98"/>
        <v>14.734386522393475</v>
      </c>
      <c r="CP46" s="1587">
        <f t="shared" si="99"/>
        <v>3.026441600246188</v>
      </c>
      <c r="CQ46" s="1603"/>
      <c r="CR46" s="1604">
        <f>SUM(CR40:CR42)</f>
        <v>332.70899999999995</v>
      </c>
      <c r="CS46" s="1586">
        <f t="shared" si="100"/>
        <v>14.468552731599296</v>
      </c>
      <c r="CT46" s="1587">
        <f t="shared" si="101"/>
        <v>-1.4116684890347009</v>
      </c>
      <c r="CU46" s="1603"/>
      <c r="CV46" s="1604">
        <f>SUM(CV40:CV42)</f>
        <v>343.08483107855596</v>
      </c>
      <c r="CW46" s="1586">
        <f>CV46/CV16*100</f>
        <v>14.324210747931756</v>
      </c>
      <c r="CX46" s="1587">
        <f t="shared" si="103"/>
        <v>3.1185904434674283</v>
      </c>
      <c r="CY46" s="97"/>
    </row>
    <row r="47" spans="1:135" outlineLevel="1" collapsed="1">
      <c r="D47" s="1537"/>
      <c r="E47" s="1516"/>
      <c r="F47" s="1517"/>
      <c r="H47" s="1537"/>
      <c r="I47" s="1516"/>
      <c r="J47" s="1517"/>
      <c r="L47" s="1537"/>
      <c r="M47" s="1516"/>
      <c r="N47" s="1517"/>
      <c r="P47" s="1537"/>
      <c r="Q47" s="1516"/>
      <c r="R47" s="1517"/>
      <c r="T47" s="1537"/>
      <c r="U47" s="1516"/>
      <c r="V47" s="1517"/>
      <c r="X47" s="1537"/>
      <c r="Y47" s="1516"/>
      <c r="Z47" s="1517"/>
      <c r="AB47" s="1537"/>
      <c r="AC47" s="1516"/>
      <c r="AD47" s="1517"/>
      <c r="AF47" s="1537"/>
      <c r="AG47" s="1516"/>
      <c r="AH47" s="1517"/>
      <c r="AJ47" s="1537"/>
      <c r="AK47" s="1516"/>
      <c r="AL47" s="1517"/>
      <c r="AN47" s="1537"/>
      <c r="AO47" s="1516"/>
      <c r="AP47" s="1517"/>
      <c r="AR47" s="1537"/>
      <c r="AS47" s="1516"/>
      <c r="AT47" s="1517"/>
      <c r="AV47" s="1537"/>
      <c r="AW47" s="1516"/>
      <c r="AX47" s="1517"/>
      <c r="AZ47" s="1537"/>
      <c r="BA47" s="1516"/>
      <c r="BB47" s="1517"/>
      <c r="BD47" s="1537"/>
      <c r="BE47" s="1516"/>
      <c r="BF47" s="1517"/>
      <c r="BH47" s="1537"/>
      <c r="BI47" s="1516"/>
      <c r="BJ47" s="1517"/>
      <c r="BL47" s="1537"/>
      <c r="BM47" s="1516"/>
      <c r="BN47" s="1517"/>
      <c r="BP47" s="1537"/>
      <c r="BQ47" s="1516"/>
      <c r="BR47" s="1517"/>
      <c r="BT47" s="1537"/>
      <c r="BU47" s="1516"/>
      <c r="BV47" s="1517"/>
      <c r="BW47" s="114"/>
      <c r="BX47" s="1537"/>
      <c r="BY47" s="1516"/>
      <c r="BZ47" s="1517"/>
      <c r="CA47" s="1517"/>
      <c r="CB47" s="1611"/>
      <c r="CC47" s="1611"/>
      <c r="CD47" s="1611"/>
      <c r="CE47" s="1611"/>
      <c r="CF47" s="1611"/>
      <c r="CG47" s="1611"/>
      <c r="CH47" s="1611"/>
      <c r="CI47" s="1611"/>
      <c r="CJ47" s="1611"/>
      <c r="CK47" s="1611"/>
      <c r="CL47" s="1611"/>
      <c r="CM47" s="1611"/>
      <c r="CN47" s="1611"/>
      <c r="CO47" s="1611"/>
      <c r="CP47" s="1611"/>
      <c r="CQ47" s="1611"/>
      <c r="CR47" s="1611"/>
      <c r="CS47" s="1611"/>
      <c r="CT47" s="1611"/>
      <c r="CU47" s="1611"/>
      <c r="CV47" s="1611"/>
      <c r="CW47" s="1611"/>
      <c r="CX47" s="1611"/>
      <c r="CY47" s="376"/>
      <c r="DC47" s="1500"/>
    </row>
    <row r="48" spans="1:135">
      <c r="C48" s="313"/>
      <c r="D48" s="1531"/>
      <c r="H48" s="1532"/>
      <c r="I48" s="1533"/>
      <c r="J48" s="1533"/>
      <c r="K48" s="1533"/>
      <c r="L48" s="1532"/>
      <c r="M48" s="1533"/>
      <c r="N48" s="1533"/>
      <c r="O48" s="1533"/>
      <c r="P48" s="1532"/>
      <c r="Q48" s="1533"/>
      <c r="R48" s="1533"/>
      <c r="S48" s="1533"/>
      <c r="T48" s="1532"/>
      <c r="U48" s="1533"/>
      <c r="V48" s="1533"/>
      <c r="W48" s="1533"/>
      <c r="Y48" s="1533"/>
      <c r="Z48" s="1533"/>
      <c r="AA48" s="1533"/>
      <c r="AC48" s="1533"/>
      <c r="AD48" s="1533"/>
      <c r="AE48" s="1533"/>
      <c r="AF48" s="1532"/>
      <c r="AG48" s="1533"/>
      <c r="AH48" s="1533"/>
      <c r="AI48" s="1533"/>
      <c r="AK48" s="1533"/>
      <c r="AL48" s="1533"/>
      <c r="AM48" s="1533"/>
      <c r="AN48" s="1532"/>
      <c r="AO48" s="1533"/>
      <c r="AP48" s="1533"/>
      <c r="AQ48" s="1533"/>
      <c r="AS48" s="1533"/>
      <c r="AT48" s="1533"/>
      <c r="AU48" s="1533"/>
      <c r="AV48" s="1532"/>
      <c r="AW48" s="1533"/>
      <c r="AX48" s="1533"/>
      <c r="AY48" s="1533"/>
      <c r="AZ48" s="1532"/>
      <c r="BA48" s="1533"/>
      <c r="BB48" s="1533"/>
      <c r="BC48" s="1533"/>
      <c r="BD48" s="1532"/>
      <c r="BE48" s="1533"/>
      <c r="BF48" s="1533"/>
      <c r="BG48" s="1533"/>
      <c r="BH48" s="1532"/>
      <c r="BI48" s="22"/>
      <c r="BJ48" s="1533"/>
      <c r="BK48" s="1533"/>
      <c r="BL48" s="1532"/>
      <c r="BM48" s="1533"/>
      <c r="BN48" s="1533"/>
      <c r="BO48" s="1533"/>
      <c r="BP48" s="1532"/>
      <c r="BQ48" s="1533"/>
      <c r="BR48" s="1533"/>
      <c r="BS48" s="1534"/>
      <c r="BT48" s="1532"/>
      <c r="BU48" s="1533"/>
      <c r="BW48" s="1533"/>
      <c r="BX48" s="1532"/>
      <c r="BY48" s="1533"/>
      <c r="BZ48" s="1533"/>
      <c r="CA48" s="1533"/>
      <c r="CB48" s="200"/>
      <c r="CC48" s="200"/>
      <c r="CD48" s="1532" t="s">
        <v>71</v>
      </c>
      <c r="CE48" s="200"/>
      <c r="CF48" s="200"/>
      <c r="CG48" s="200"/>
      <c r="CH48" s="200"/>
      <c r="CI48" s="200"/>
      <c r="CJ48" s="200"/>
      <c r="CK48" s="200"/>
      <c r="CL48" s="200"/>
      <c r="CM48" s="200"/>
      <c r="CN48" s="200"/>
      <c r="CO48" s="200"/>
      <c r="CP48" s="200"/>
      <c r="CQ48" s="200"/>
      <c r="CR48" s="1556"/>
      <c r="CS48" s="1613"/>
      <c r="CT48" s="200"/>
      <c r="CU48" s="200"/>
      <c r="CV48" s="200"/>
      <c r="CW48" s="200"/>
      <c r="CX48" s="200"/>
    </row>
    <row r="49" spans="1:135">
      <c r="AB49" s="312" t="s">
        <v>72</v>
      </c>
      <c r="AC49" s="312"/>
      <c r="AD49" s="312"/>
      <c r="AE49" s="312"/>
      <c r="AF49" s="312" t="s">
        <v>72</v>
      </c>
      <c r="AW49" s="1560"/>
      <c r="AX49" s="1560"/>
      <c r="BB49" s="1560"/>
      <c r="BF49" s="1560"/>
      <c r="BJ49" s="1560"/>
      <c r="BN49" s="1560"/>
      <c r="BR49" s="1560"/>
      <c r="BT49" s="114"/>
      <c r="BU49" s="1516"/>
      <c r="BV49" s="1560"/>
      <c r="BW49" s="114"/>
      <c r="BX49" s="114"/>
      <c r="BY49" s="1516"/>
      <c r="BZ49" s="1560"/>
      <c r="CA49" s="1560"/>
      <c r="CB49" s="1613"/>
      <c r="CC49" s="1613"/>
      <c r="CD49" s="1613"/>
      <c r="CE49" s="1613"/>
      <c r="CF49" s="1613"/>
      <c r="CG49" s="1613"/>
      <c r="CH49" s="1613"/>
      <c r="CI49" s="1613"/>
      <c r="CJ49" s="1613"/>
      <c r="CK49" s="1613"/>
      <c r="CL49" s="1613"/>
      <c r="CM49" s="1613"/>
      <c r="CN49" s="1613"/>
      <c r="CO49" s="1613"/>
      <c r="CP49" s="1613"/>
      <c r="CQ49" s="1613"/>
      <c r="CR49" s="1613"/>
      <c r="CS49" s="1613"/>
      <c r="CT49" s="1613"/>
      <c r="CU49" s="1613"/>
      <c r="CV49" s="1613"/>
      <c r="CW49" s="1613"/>
      <c r="CX49" s="1613"/>
      <c r="EC49" s="22" t="s">
        <v>710</v>
      </c>
      <c r="ED49" s="22" t="s">
        <v>703</v>
      </c>
      <c r="EE49" s="317">
        <v>0.03</v>
      </c>
    </row>
    <row r="50" spans="1:135">
      <c r="A50" s="114" t="str">
        <f>$A$10</f>
        <v>1Q</v>
      </c>
      <c r="B50" s="114" t="str">
        <f>$B$10</f>
        <v>Apr</v>
      </c>
      <c r="D50" s="1541">
        <v>7.6680000000000001</v>
      </c>
      <c r="E50" s="1516">
        <f t="shared" ref="E50:E56" si="106">D50/D10*100</f>
        <v>32.770631223556563</v>
      </c>
      <c r="F50" s="1517"/>
      <c r="H50" s="1541">
        <v>10.297000000000001</v>
      </c>
      <c r="I50" s="1516">
        <f t="shared" ref="I50:I56" si="107">H50/H10*100</f>
        <v>30.850585732690178</v>
      </c>
      <c r="J50" s="1517">
        <f t="shared" ref="J50:J56" si="108">IF(D50&lt;0,"       NM",(H50/D50-1)*100)</f>
        <v>34.285341679707891</v>
      </c>
      <c r="L50" s="1541">
        <v>15.292999999999999</v>
      </c>
      <c r="M50" s="1516">
        <f t="shared" ref="M50:M56" si="109">L50/L10*100</f>
        <v>29.974519796158365</v>
      </c>
      <c r="N50" s="1517">
        <f t="shared" ref="N50:N56" si="110">IF(H50&lt;0,"       NM",(L50/H50-1)*100)</f>
        <v>48.518986112459928</v>
      </c>
      <c r="P50" s="1541">
        <v>21.960999999999999</v>
      </c>
      <c r="Q50" s="1516">
        <f t="shared" ref="Q50:Q56" si="111">P50/P10*100</f>
        <v>29.550836966467514</v>
      </c>
      <c r="R50" s="1517">
        <f t="shared" ref="R50:R56" si="112">(P50/L50-1)*100</f>
        <v>43.601647812724778</v>
      </c>
      <c r="T50" s="1541">
        <v>36.429000000000002</v>
      </c>
      <c r="U50" s="1516">
        <f t="shared" ref="U50:U56" si="113">T50/T10*100</f>
        <v>27.567653468942972</v>
      </c>
      <c r="V50" s="1517">
        <f t="shared" ref="V50:V56" si="114">(T50/P50-1)*100</f>
        <v>65.880424388689065</v>
      </c>
      <c r="W50" s="1057"/>
      <c r="X50" s="1541">
        <v>46.323999999999998</v>
      </c>
      <c r="Y50" s="1516">
        <f t="shared" ref="Y50:Y56" si="115">X50/X10*100</f>
        <v>24.848332054906212</v>
      </c>
      <c r="Z50" s="1517">
        <f t="shared" ref="Z50:Z56" si="116">(X50/T50-1)*100</f>
        <v>27.162425540091672</v>
      </c>
      <c r="AB50" s="1541">
        <v>50.927</v>
      </c>
      <c r="AC50" s="1516">
        <f t="shared" ref="AC50:AC56" si="117">AB50/AB10*100</f>
        <v>24.841711949894147</v>
      </c>
      <c r="AD50" s="1517">
        <f t="shared" ref="AD50:AD56" si="118">(AB50/X50-1)*100</f>
        <v>9.9365339780675299</v>
      </c>
      <c r="AF50" s="1541">
        <v>65.777000000000001</v>
      </c>
      <c r="AG50" s="1516">
        <f t="shared" ref="AG50:AG56" si="119">AF50/AF10*100</f>
        <v>24.945767597087379</v>
      </c>
      <c r="AH50" s="1517">
        <f t="shared" ref="AH50:AH56" si="120">(AF50/AB50-1)*100</f>
        <v>29.159385002061789</v>
      </c>
      <c r="AJ50" s="1535">
        <f>AJ30+AJ40</f>
        <v>153.41900000000001</v>
      </c>
      <c r="AK50" s="1516">
        <f t="shared" ref="AK50:AK56" si="121">AJ50/AJ10*100</f>
        <v>49.048249315839286</v>
      </c>
      <c r="AL50" s="1517">
        <f t="shared" ref="AL50:AL56" si="122">(AJ50/AF50-1)*100</f>
        <v>133.24110251303648</v>
      </c>
      <c r="AN50" s="1535">
        <f>AN30+AN40</f>
        <v>175.98500000000001</v>
      </c>
      <c r="AO50" s="1516">
        <f t="shared" ref="AO50:AO56" si="123">AN50/AN10*100</f>
        <v>50.75680227963614</v>
      </c>
      <c r="AP50" s="1517">
        <f t="shared" ref="AP50:AP56" si="124">(AN50/AJ50-1)*100</f>
        <v>14.708738813315181</v>
      </c>
      <c r="AR50" s="1535">
        <f>AR30+AR40</f>
        <v>221.29899999999998</v>
      </c>
      <c r="AS50" s="1516">
        <f t="shared" ref="AS50:AS56" si="125">AR50/AR10*100</f>
        <v>53.722477119899004</v>
      </c>
      <c r="AT50" s="1517">
        <f>(AR50/AN50-1)*100</f>
        <v>25.74878540784724</v>
      </c>
      <c r="AV50" s="1535">
        <f>AV30+AV40</f>
        <v>289.36900000000003</v>
      </c>
      <c r="AW50" s="1516">
        <f t="shared" ref="AW50:AW56" si="126">AV50/AV10*100</f>
        <v>52.919478429436197</v>
      </c>
      <c r="AX50" s="1517">
        <f>(AV50/AR50-1)*100</f>
        <v>30.759289468095229</v>
      </c>
      <c r="AZ50" s="1535">
        <f>AZ30+AZ40</f>
        <v>348.05099999999999</v>
      </c>
      <c r="BA50" s="1516">
        <f t="shared" ref="BA50:BA56" si="127">AZ50/AZ10*100</f>
        <v>52.953956587161159</v>
      </c>
      <c r="BB50" s="1517">
        <f t="shared" ref="BB50:BB56" si="128">(AZ50/AV50-1)*100</f>
        <v>20.279297367720783</v>
      </c>
      <c r="BD50" s="1535">
        <f>BD30+BD40</f>
        <v>398.41300000000001</v>
      </c>
      <c r="BE50" s="1516">
        <f t="shared" ref="BE50:BE56" si="129">BD50/BD10*100</f>
        <v>53.664821325143798</v>
      </c>
      <c r="BF50" s="1517">
        <f t="shared" ref="BF50:BF56" si="130">(BD50/AZ50-1)*100</f>
        <v>14.46971851826313</v>
      </c>
      <c r="BH50" s="1535">
        <f>BH30+BH40</f>
        <v>430.74099999999999</v>
      </c>
      <c r="BI50" s="1516">
        <f t="shared" ref="BI50:BI56" si="131">BH50/BH10*100</f>
        <v>54.722355263809817</v>
      </c>
      <c r="BJ50" s="1517">
        <f t="shared" ref="BJ50:BJ56" si="132">(BH50/BD50-1)*100</f>
        <v>8.114193060969388</v>
      </c>
      <c r="BL50" s="1535">
        <f>BL30+BL40</f>
        <v>416.65499999999997</v>
      </c>
      <c r="BM50" s="1516">
        <f t="shared" ref="BM50:BM56" si="133">BL50/BL10*100</f>
        <v>69.242964856272508</v>
      </c>
      <c r="BN50" s="1517">
        <f t="shared" ref="BN50:BN56" si="134">(BL50/BH50-1)*100</f>
        <v>-3.2701785992046317</v>
      </c>
      <c r="BP50" s="1535">
        <f>BP30+BP40</f>
        <v>451.04200000000003</v>
      </c>
      <c r="BQ50" s="1516">
        <f t="shared" ref="BQ50:BQ56" si="135">BP50/BP10*100</f>
        <v>65.577112084256569</v>
      </c>
      <c r="BR50" s="1517">
        <f t="shared" ref="BR50:BR56" si="136">(BP50/BL50-1)*100</f>
        <v>8.2531110871104438</v>
      </c>
      <c r="BT50" s="1535">
        <f>BT30+BT40</f>
        <v>506.75200000000001</v>
      </c>
      <c r="BU50" s="1516">
        <f t="shared" ref="BU50:BU56" si="137">BT50/BT10*100</f>
        <v>60.567437257522052</v>
      </c>
      <c r="BV50" s="1517">
        <f t="shared" ref="BV50:BV56" si="138">(BT50/BP50-1)*100</f>
        <v>12.351399647926353</v>
      </c>
      <c r="BW50" s="114"/>
      <c r="BX50" s="1535">
        <f>BX30+BX40</f>
        <v>572.62099999999998</v>
      </c>
      <c r="BY50" s="1516">
        <f t="shared" ref="BY50:BY56" si="139">BX50/BX10*100</f>
        <v>62.159119774038288</v>
      </c>
      <c r="BZ50" s="1517">
        <f t="shared" ref="BZ50:BZ56" si="140">(BX50/BT50-1)*100</f>
        <v>12.99827134377367</v>
      </c>
      <c r="CA50" s="1517"/>
      <c r="CB50" s="1535">
        <f>CB30+CB40</f>
        <v>567.08699999999999</v>
      </c>
      <c r="CC50" s="1516">
        <f t="shared" ref="CC50:CC56" si="141">CB50/CB10*100</f>
        <v>67.609437163271409</v>
      </c>
      <c r="CD50" s="1517">
        <f t="shared" ref="CD50:CD56" si="142">(CB50/BX50-1)*100</f>
        <v>-0.96643329532098976</v>
      </c>
      <c r="CE50" s="1611"/>
      <c r="CF50" s="1535">
        <f>CF30+CF40</f>
        <v>531.15200000000004</v>
      </c>
      <c r="CG50" s="1516">
        <f t="shared" ref="CG50:CG56" si="143">CF50/CF10*100</f>
        <v>64.583404261528059</v>
      </c>
      <c r="CH50" s="1517">
        <f t="shared" ref="CH50:CH56" si="144">(CF50/CB50-1)*100</f>
        <v>-6.3367701957547817</v>
      </c>
      <c r="CI50" s="1611"/>
      <c r="CJ50" s="1535">
        <f>CJ30+CJ40</f>
        <v>492.71859999999998</v>
      </c>
      <c r="CK50" s="1516">
        <f t="shared" ref="CK50:CK56" si="145">CJ50/CJ10*100</f>
        <v>69.453526955747066</v>
      </c>
      <c r="CL50" s="1517">
        <f t="shared" ref="CL50:CL56" si="146">(CJ50/CF50-1)*100</f>
        <v>-7.2358571557670999</v>
      </c>
      <c r="CM50" s="1611"/>
      <c r="CN50" s="1535">
        <f>CN30+CN40</f>
        <v>483.565</v>
      </c>
      <c r="CO50" s="1516">
        <f t="shared" ref="CO50:CO56" si="147">CN50/CN10*100</f>
        <v>70.543689631982119</v>
      </c>
      <c r="CP50" s="1517">
        <f t="shared" ref="CP50:CP56" si="148">(CN50/CJ50-1)*100</f>
        <v>-1.8577743969884652</v>
      </c>
      <c r="CQ50" s="1611"/>
      <c r="CR50" s="1535">
        <f>CR30+CR40</f>
        <v>469.822</v>
      </c>
      <c r="CS50" s="1516">
        <f t="shared" ref="CS50:CS56" si="149">CR50/CR10*100</f>
        <v>71.066814501307661</v>
      </c>
      <c r="CT50" s="1517">
        <f t="shared" ref="CT50:CT56" si="150">(CR50/CN50-1)*100</f>
        <v>-2.8420171021475871</v>
      </c>
      <c r="CU50" s="1611"/>
      <c r="CV50" s="1535">
        <f>CV30+CV40</f>
        <v>479.54111765888996</v>
      </c>
      <c r="CW50" s="1516">
        <f t="shared" ref="CW50" si="151">CV50/CV10*100</f>
        <v>68.600000000000009</v>
      </c>
      <c r="CX50" s="1517">
        <f t="shared" ref="CX50:CX56" si="152">(CV50/CR50-1)*100</f>
        <v>2.0686808320789396</v>
      </c>
      <c r="CY50" s="376"/>
      <c r="CZ50" s="1590">
        <f>CR50-CN50</f>
        <v>-13.742999999999995</v>
      </c>
      <c r="ED50" s="22" t="s">
        <v>704</v>
      </c>
      <c r="EE50" s="317">
        <v>-0.15</v>
      </c>
    </row>
    <row r="51" spans="1:135">
      <c r="A51" s="114" t="str">
        <f>$A$11</f>
        <v>2Q</v>
      </c>
      <c r="B51" s="114" t="str">
        <f>$B$11</f>
        <v>Jul</v>
      </c>
      <c r="D51" s="1547">
        <v>9.1150000000000002</v>
      </c>
      <c r="E51" s="1516">
        <f t="shared" si="106"/>
        <v>31.382337751764499</v>
      </c>
      <c r="F51" s="1517"/>
      <c r="H51" s="1547">
        <v>11.673</v>
      </c>
      <c r="I51" s="1516">
        <f t="shared" si="107"/>
        <v>30.18775214647771</v>
      </c>
      <c r="J51" s="1517">
        <f t="shared" si="108"/>
        <v>28.063631376851351</v>
      </c>
      <c r="L51" s="1547">
        <v>16.227</v>
      </c>
      <c r="M51" s="1516">
        <f t="shared" si="109"/>
        <v>28.254775295572081</v>
      </c>
      <c r="N51" s="1517">
        <f t="shared" si="110"/>
        <v>39.013107170393212</v>
      </c>
      <c r="P51" s="1547">
        <v>23.196000000000002</v>
      </c>
      <c r="Q51" s="1516">
        <f t="shared" si="111"/>
        <v>26.772853185595569</v>
      </c>
      <c r="R51" s="1517">
        <f t="shared" si="112"/>
        <v>42.946940284710664</v>
      </c>
      <c r="T51" s="1547">
        <v>35.591000000000001</v>
      </c>
      <c r="U51" s="1516">
        <f t="shared" si="113"/>
        <v>24.540270700746735</v>
      </c>
      <c r="V51" s="1517">
        <f t="shared" si="114"/>
        <v>53.435937230556995</v>
      </c>
      <c r="X51" s="1547">
        <v>47.076000000000001</v>
      </c>
      <c r="Y51" s="1516">
        <f t="shared" si="115"/>
        <v>23.990582335764191</v>
      </c>
      <c r="Z51" s="1517">
        <f t="shared" si="116"/>
        <v>32.269393947908178</v>
      </c>
      <c r="AB51" s="1547">
        <v>53.866</v>
      </c>
      <c r="AC51" s="1516">
        <f t="shared" si="117"/>
        <v>23.519086935829648</v>
      </c>
      <c r="AD51" s="1517">
        <f t="shared" si="118"/>
        <v>14.423485427818839</v>
      </c>
      <c r="AF51" s="1547">
        <v>68.397000000000006</v>
      </c>
      <c r="AG51" s="1516">
        <f t="shared" si="119"/>
        <v>24.417384226534725</v>
      </c>
      <c r="AH51" s="1517">
        <f t="shared" si="120"/>
        <v>26.976200200497537</v>
      </c>
      <c r="AJ51" s="1537">
        <f>AJ31+AJ41</f>
        <v>161.17500000000001</v>
      </c>
      <c r="AK51" s="1516">
        <f t="shared" si="121"/>
        <v>48.966441240270512</v>
      </c>
      <c r="AL51" s="1517">
        <f t="shared" si="122"/>
        <v>135.64630027632791</v>
      </c>
      <c r="AN51" s="1537">
        <f>AN31+AN41</f>
        <v>178.66399999999999</v>
      </c>
      <c r="AO51" s="1516">
        <f t="shared" si="123"/>
        <v>50.226161661311309</v>
      </c>
      <c r="AP51" s="1517">
        <f t="shared" si="124"/>
        <v>10.85093842097098</v>
      </c>
      <c r="AR51" s="1537">
        <f>AR31+AR41</f>
        <v>212.21799999999999</v>
      </c>
      <c r="AS51" s="1516">
        <f t="shared" si="125"/>
        <v>52.876570340803198</v>
      </c>
      <c r="AT51" s="1517">
        <f t="shared" ref="AT51:AT56" si="153">(AR51/AN51-1)*100</f>
        <v>18.780504186629642</v>
      </c>
      <c r="AV51" s="1537">
        <f>AV31+AV41</f>
        <v>299.98099999999999</v>
      </c>
      <c r="AW51" s="1516">
        <f t="shared" si="126"/>
        <v>52.481757060555537</v>
      </c>
      <c r="AX51" s="1517">
        <f t="shared" ref="AX51:AX56" si="154">(AV51/AR51-1)*100</f>
        <v>41.355115965657951</v>
      </c>
      <c r="AZ51" s="1537">
        <f>AZ31+AZ41</f>
        <v>355.83400000000006</v>
      </c>
      <c r="BA51" s="1516">
        <f t="shared" si="127"/>
        <v>54.020974774402767</v>
      </c>
      <c r="BB51" s="1517">
        <f t="shared" si="128"/>
        <v>18.618845860237833</v>
      </c>
      <c r="BD51" s="1537">
        <f>BD31+BD41</f>
        <v>432.85699999999997</v>
      </c>
      <c r="BE51" s="1516">
        <f t="shared" si="129"/>
        <v>53.801933532039506</v>
      </c>
      <c r="BF51" s="1517">
        <f t="shared" si="130"/>
        <v>21.645767408398275</v>
      </c>
      <c r="BH51" s="1537">
        <f>BH31+BH41</f>
        <v>453.45100000000002</v>
      </c>
      <c r="BI51" s="1516">
        <f t="shared" si="131"/>
        <v>54.416427256515675</v>
      </c>
      <c r="BJ51" s="1517">
        <f t="shared" si="132"/>
        <v>4.7576913391720765</v>
      </c>
      <c r="BL51" s="1537">
        <f>BL31+BL41</f>
        <v>418.96199999999999</v>
      </c>
      <c r="BM51" s="1516">
        <f t="shared" si="133"/>
        <v>65.748303963617019</v>
      </c>
      <c r="BN51" s="1517">
        <f t="shared" si="134"/>
        <v>-7.6058934702977865</v>
      </c>
      <c r="BP51" s="1537">
        <f>BP31+BP41</f>
        <v>457.48800000000006</v>
      </c>
      <c r="BQ51" s="1516">
        <f t="shared" si="135"/>
        <v>61.34207922252407</v>
      </c>
      <c r="BR51" s="1517">
        <f t="shared" si="136"/>
        <v>9.1955833703295511</v>
      </c>
      <c r="BT51" s="1537">
        <f>BT31+BT41</f>
        <v>535.32399999999996</v>
      </c>
      <c r="BU51" s="1516">
        <f t="shared" si="137"/>
        <v>58.392845260988921</v>
      </c>
      <c r="BV51" s="1517">
        <f t="shared" si="138"/>
        <v>17.013779596404689</v>
      </c>
      <c r="BW51" s="114"/>
      <c r="BX51" s="1537">
        <f>BX31+BX41</f>
        <v>569.37799999999993</v>
      </c>
      <c r="BY51" s="1516">
        <f t="shared" si="139"/>
        <v>59.845891400841055</v>
      </c>
      <c r="BZ51" s="1517">
        <f t="shared" si="140"/>
        <v>6.3613811448767432</v>
      </c>
      <c r="CA51" s="1517"/>
      <c r="CB51" s="1537">
        <f>CB31+CB41</f>
        <v>586.79300000000001</v>
      </c>
      <c r="CC51" s="1516">
        <f t="shared" si="141"/>
        <v>62.048666699094213</v>
      </c>
      <c r="CD51" s="1517">
        <f t="shared" si="142"/>
        <v>3.0586007889310984</v>
      </c>
      <c r="CE51" s="1611"/>
      <c r="CF51" s="1537">
        <f>CF31+CF41</f>
        <v>535.37</v>
      </c>
      <c r="CG51" s="1516">
        <f t="shared" si="143"/>
        <v>60.113069205764624</v>
      </c>
      <c r="CH51" s="1517">
        <f t="shared" si="144"/>
        <v>-8.763396973038196</v>
      </c>
      <c r="CI51" s="1611"/>
      <c r="CJ51" s="1537">
        <f>CJ31+CJ41</f>
        <v>491.892</v>
      </c>
      <c r="CK51" s="1516">
        <f t="shared" si="145"/>
        <v>60.151438815490202</v>
      </c>
      <c r="CL51" s="1517">
        <f t="shared" si="146"/>
        <v>-8.1211125016343857</v>
      </c>
      <c r="CM51" s="1611"/>
      <c r="CN51" s="1537">
        <f>CN31+CN41</f>
        <v>494.63599999999997</v>
      </c>
      <c r="CO51" s="1516">
        <f t="shared" si="147"/>
        <v>63.158996884416972</v>
      </c>
      <c r="CP51" s="1517">
        <f t="shared" si="148"/>
        <v>0.55784603124262588</v>
      </c>
      <c r="CQ51" s="1611"/>
      <c r="CR51" s="1537">
        <f>CR31+CR41</f>
        <v>478.64800000000002</v>
      </c>
      <c r="CS51" s="1516">
        <f>CR51/CR11*100</f>
        <v>61.418593878517328</v>
      </c>
      <c r="CT51" s="1517">
        <f t="shared" si="150"/>
        <v>-3.2322758553764652</v>
      </c>
      <c r="CU51" s="1611"/>
      <c r="CV51" s="1537">
        <f>CV31+CV41</f>
        <v>488.78010212433594</v>
      </c>
      <c r="CW51" s="1516">
        <f>CV51/CV11*100</f>
        <v>58.74</v>
      </c>
      <c r="CX51" s="1517">
        <f t="shared" si="152"/>
        <v>2.1168169770553469</v>
      </c>
      <c r="CY51" s="376"/>
      <c r="CZ51" s="1590">
        <f>CR51-CN51</f>
        <v>-15.987999999999943</v>
      </c>
      <c r="DA51"/>
    </row>
    <row r="52" spans="1:135">
      <c r="A52" s="114" t="str">
        <f>$A$12</f>
        <v>3Q</v>
      </c>
      <c r="B52" s="114" t="str">
        <f>$B$12</f>
        <v>Oct</v>
      </c>
      <c r="D52" s="1547">
        <v>11.048999999999999</v>
      </c>
      <c r="E52" s="1516">
        <f t="shared" si="106"/>
        <v>28.636222268297733</v>
      </c>
      <c r="F52" s="1517"/>
      <c r="H52" s="1547">
        <v>15.22</v>
      </c>
      <c r="I52" s="1516">
        <f t="shared" si="107"/>
        <v>26.598161546258432</v>
      </c>
      <c r="J52" s="1517">
        <f t="shared" si="108"/>
        <v>37.750022626482036</v>
      </c>
      <c r="L52" s="1547">
        <v>21.731999999999999</v>
      </c>
      <c r="M52" s="1516">
        <f t="shared" si="109"/>
        <v>24.783322689535623</v>
      </c>
      <c r="N52" s="1517">
        <f t="shared" si="110"/>
        <v>42.785808147174762</v>
      </c>
      <c r="P52" s="1547">
        <v>34.581000000000003</v>
      </c>
      <c r="Q52" s="1516">
        <f t="shared" si="111"/>
        <v>23.284359934283177</v>
      </c>
      <c r="R52" s="1517">
        <f t="shared" si="112"/>
        <v>59.124792932081746</v>
      </c>
      <c r="T52" s="1547">
        <v>46.219000000000001</v>
      </c>
      <c r="U52" s="1516">
        <f t="shared" si="113"/>
        <v>20.278606528606531</v>
      </c>
      <c r="V52" s="1517">
        <f t="shared" si="114"/>
        <v>33.654318845608856</v>
      </c>
      <c r="X52" s="1547">
        <v>55.19</v>
      </c>
      <c r="Y52" s="1516">
        <f t="shared" si="115"/>
        <v>19.398263681417173</v>
      </c>
      <c r="Z52" s="1517">
        <f t="shared" si="116"/>
        <v>19.409766546225569</v>
      </c>
      <c r="AB52" s="1547">
        <v>72.099999999999994</v>
      </c>
      <c r="AC52" s="1516">
        <f t="shared" si="117"/>
        <v>19.801055690125835</v>
      </c>
      <c r="AD52" s="1517">
        <f t="shared" si="118"/>
        <v>30.639608624750856</v>
      </c>
      <c r="AF52" s="1547">
        <v>72.510999999999996</v>
      </c>
      <c r="AG52" s="1516">
        <f t="shared" si="119"/>
        <v>20.456000880179872</v>
      </c>
      <c r="AH52" s="1517">
        <f t="shared" si="120"/>
        <v>0.57004160887657029</v>
      </c>
      <c r="AJ52" s="1182">
        <f>AJ32+AJ42</f>
        <v>173.815</v>
      </c>
      <c r="AK52" s="1516">
        <f t="shared" si="121"/>
        <v>41.450746311368874</v>
      </c>
      <c r="AL52" s="1517">
        <f t="shared" si="122"/>
        <v>139.70845802705796</v>
      </c>
      <c r="AN52" s="1182">
        <f>AN32+AN42</f>
        <v>197.26000000000002</v>
      </c>
      <c r="AO52" s="1516">
        <f t="shared" si="123"/>
        <v>44.33018187375135</v>
      </c>
      <c r="AP52" s="1517">
        <f t="shared" si="124"/>
        <v>13.488479130109621</v>
      </c>
      <c r="AR52" s="1182">
        <f>AR32+AR42</f>
        <v>241.75399999999999</v>
      </c>
      <c r="AS52" s="1516">
        <f t="shared" si="125"/>
        <v>46.42651385378818</v>
      </c>
      <c r="AT52" s="1517">
        <f t="shared" si="153"/>
        <v>22.556017438913088</v>
      </c>
      <c r="AV52" s="1537">
        <f>AV32+AV42</f>
        <v>337.09100000000001</v>
      </c>
      <c r="AW52" s="1516">
        <f t="shared" si="126"/>
        <v>47.819888270692481</v>
      </c>
      <c r="AX52" s="1517">
        <f t="shared" si="154"/>
        <v>39.435541914508157</v>
      </c>
      <c r="AZ52" s="1537">
        <f>AZ32+AZ42</f>
        <v>405.62300000000005</v>
      </c>
      <c r="BA52" s="1516">
        <f t="shared" si="127"/>
        <v>46.977119641252294</v>
      </c>
      <c r="BB52" s="1517">
        <f t="shared" si="128"/>
        <v>20.33041522912211</v>
      </c>
      <c r="BD52" s="1537">
        <f>BD32+BD42</f>
        <v>459.76599999999996</v>
      </c>
      <c r="BE52" s="1516">
        <f t="shared" si="129"/>
        <v>47.207294158717772</v>
      </c>
      <c r="BF52" s="1517">
        <f t="shared" si="130"/>
        <v>13.348108958318416</v>
      </c>
      <c r="BH52" s="1537">
        <f>BH32+BH42</f>
        <v>474.93799999999999</v>
      </c>
      <c r="BI52" s="1516">
        <f t="shared" si="131"/>
        <v>53.798378135297362</v>
      </c>
      <c r="BJ52" s="1517">
        <f t="shared" si="132"/>
        <v>3.29993953445884</v>
      </c>
      <c r="BL52" s="1537">
        <f>BL32+BL42</f>
        <v>437.22900000000004</v>
      </c>
      <c r="BM52" s="1516">
        <f t="shared" si="133"/>
        <v>58.012243858168688</v>
      </c>
      <c r="BN52" s="1517">
        <f t="shared" si="134"/>
        <v>-7.9397731914481406</v>
      </c>
      <c r="BP52" s="1537">
        <f>BP32+BP42</f>
        <v>487.74699999999996</v>
      </c>
      <c r="BQ52" s="1516">
        <f t="shared" si="135"/>
        <v>55.064248604052025</v>
      </c>
      <c r="BR52" s="1517">
        <f t="shared" si="136"/>
        <v>11.554128385811534</v>
      </c>
      <c r="BT52" s="1537">
        <f>BT32+BT42</f>
        <v>569.52700000000004</v>
      </c>
      <c r="BU52" s="1516">
        <f t="shared" si="137"/>
        <v>52.937103106735485</v>
      </c>
      <c r="BV52" s="1517">
        <f t="shared" si="138"/>
        <v>16.766889391426322</v>
      </c>
      <c r="BW52" s="114"/>
      <c r="BX52" s="1537">
        <f>BX32+BX42</f>
        <v>620.32299999999998</v>
      </c>
      <c r="BY52" s="1516">
        <f t="shared" si="139"/>
        <v>53.034970320155885</v>
      </c>
      <c r="BZ52" s="1517">
        <f t="shared" si="140"/>
        <v>8.918980136148047</v>
      </c>
      <c r="CA52" s="1517"/>
      <c r="CB52" s="1537">
        <f>CB32+CB42</f>
        <v>600.39199999999994</v>
      </c>
      <c r="CC52" s="1516">
        <f t="shared" si="141"/>
        <v>58.104719571312302</v>
      </c>
      <c r="CD52" s="1517">
        <f t="shared" si="142"/>
        <v>-3.2130035481515384</v>
      </c>
      <c r="CE52" s="1612"/>
      <c r="CF52" s="1537">
        <f>CF32+CF42</f>
        <v>514.96999999999991</v>
      </c>
      <c r="CG52" s="1516">
        <f t="shared" si="143"/>
        <v>56.499896319393315</v>
      </c>
      <c r="CH52" s="1517">
        <f t="shared" si="144"/>
        <v>-14.227704566349985</v>
      </c>
      <c r="CI52" s="1612"/>
      <c r="CJ52" s="1537">
        <f>CJ32+CJ42</f>
        <v>510.05699999999996</v>
      </c>
      <c r="CK52" s="1516">
        <f t="shared" si="145"/>
        <v>58.055230533183391</v>
      </c>
      <c r="CL52" s="1517">
        <f t="shared" si="146"/>
        <v>-0.95403615744605874</v>
      </c>
      <c r="CM52" s="1612"/>
      <c r="CN52" s="1537">
        <f>CN32+CN42</f>
        <v>497.916</v>
      </c>
      <c r="CO52" s="1516">
        <f t="shared" si="147"/>
        <v>60.593330688519643</v>
      </c>
      <c r="CP52" s="1517">
        <f t="shared" si="148"/>
        <v>-2.3803221992836021</v>
      </c>
      <c r="CQ52" s="1612"/>
      <c r="CR52" s="1537">
        <f>CR32+CR42</f>
        <v>489.40700000000004</v>
      </c>
      <c r="CS52" s="1516">
        <f t="shared" si="149"/>
        <v>56.966612036614563</v>
      </c>
      <c r="CT52" s="1517">
        <f t="shared" si="150"/>
        <v>-1.7089227901895043</v>
      </c>
      <c r="CU52" s="1612"/>
      <c r="CV52" s="1537">
        <f>CV32+CV42</f>
        <v>495.06753802607994</v>
      </c>
      <c r="CW52" s="1516">
        <f t="shared" ref="CW52:CW56" si="155">CV52/CV12*100</f>
        <v>57.3</v>
      </c>
      <c r="CX52" s="1517">
        <f t="shared" si="152"/>
        <v>1.156611578109823</v>
      </c>
      <c r="CY52" s="376"/>
      <c r="CZ52" s="1590">
        <f>CR52-CN52</f>
        <v>-8.5089999999999577</v>
      </c>
      <c r="DA52"/>
      <c r="DC52" s="1347"/>
      <c r="DG52"/>
      <c r="EC52" s="22" t="s">
        <v>713</v>
      </c>
      <c r="ED52" s="22" t="s">
        <v>703</v>
      </c>
      <c r="EE52" s="281">
        <v>-0.03</v>
      </c>
    </row>
    <row r="53" spans="1:135">
      <c r="A53" s="114" t="str">
        <f>$A$13</f>
        <v>4Q</v>
      </c>
      <c r="B53" s="114" t="str">
        <f>$B$13</f>
        <v>Jan</v>
      </c>
      <c r="C53" s="310"/>
      <c r="D53" s="1551">
        <v>15.237</v>
      </c>
      <c r="E53" s="1516">
        <f t="shared" si="106"/>
        <v>20.470208907100155</v>
      </c>
      <c r="F53" s="1517"/>
      <c r="H53" s="1551">
        <v>18.806000000000001</v>
      </c>
      <c r="I53" s="1516">
        <f t="shared" si="107"/>
        <v>17.676141063237839</v>
      </c>
      <c r="J53" s="1517">
        <f t="shared" si="108"/>
        <v>23.423246045809542</v>
      </c>
      <c r="L53" s="1551">
        <v>24.521000000000001</v>
      </c>
      <c r="M53" s="1516">
        <f t="shared" si="109"/>
        <v>17.611485782824474</v>
      </c>
      <c r="N53" s="1517">
        <f t="shared" si="110"/>
        <v>30.389237477400833</v>
      </c>
      <c r="P53" s="1551">
        <v>37.216999999999999</v>
      </c>
      <c r="Q53" s="1516">
        <f t="shared" si="111"/>
        <v>17.543189799429634</v>
      </c>
      <c r="R53" s="1517">
        <f t="shared" si="112"/>
        <v>51.776028710085221</v>
      </c>
      <c r="T53" s="1551">
        <v>46.156999999999996</v>
      </c>
      <c r="U53" s="1516">
        <f t="shared" si="113"/>
        <v>15.381308629221721</v>
      </c>
      <c r="V53" s="1517">
        <f t="shared" si="114"/>
        <v>24.021280597576379</v>
      </c>
      <c r="X53" s="1551">
        <v>59.728999999999999</v>
      </c>
      <c r="Y53" s="1516">
        <f t="shared" si="115"/>
        <v>16.422871974791995</v>
      </c>
      <c r="Z53" s="1517">
        <f t="shared" si="116"/>
        <v>29.403990727300311</v>
      </c>
      <c r="AB53" s="1551">
        <v>78.83</v>
      </c>
      <c r="AC53" s="1516">
        <f t="shared" si="117"/>
        <v>17.938536108045376</v>
      </c>
      <c r="AD53" s="1517">
        <f t="shared" si="118"/>
        <v>31.979440472802146</v>
      </c>
      <c r="AF53" s="1551">
        <v>79.891000000000005</v>
      </c>
      <c r="AG53" s="1516">
        <f t="shared" si="119"/>
        <v>17.12253313444096</v>
      </c>
      <c r="AH53" s="1517">
        <f t="shared" si="120"/>
        <v>1.3459342889762915</v>
      </c>
      <c r="AJ53" s="1564">
        <f>AJ33+AJ43</f>
        <v>180.39100000000002</v>
      </c>
      <c r="AK53" s="1516">
        <f t="shared" si="121"/>
        <v>33.750622097657178</v>
      </c>
      <c r="AL53" s="1517">
        <f t="shared" si="122"/>
        <v>125.79639759171872</v>
      </c>
      <c r="AN53" s="1564">
        <f>AN33+AN43</f>
        <v>201.059</v>
      </c>
      <c r="AO53" s="1516">
        <f t="shared" si="123"/>
        <v>35.878470134138965</v>
      </c>
      <c r="AP53" s="1517">
        <f t="shared" si="124"/>
        <v>11.45733434594851</v>
      </c>
      <c r="AR53" s="1564">
        <f>AR33+AR43</f>
        <v>289.90899999999999</v>
      </c>
      <c r="AS53" s="1516">
        <f t="shared" si="125"/>
        <v>42.183675904396331</v>
      </c>
      <c r="AT53" s="1517">
        <f>(AR53/AN53-1)*100</f>
        <v>44.19100860941316</v>
      </c>
      <c r="AV53" s="1553">
        <f>AV33+AV43</f>
        <v>374.27100000000002</v>
      </c>
      <c r="AW53" s="1516">
        <f t="shared" si="126"/>
        <v>38.930113834939341</v>
      </c>
      <c r="AX53" s="1517">
        <f t="shared" si="154"/>
        <v>29.099476042482308</v>
      </c>
      <c r="AZ53" s="1553">
        <f>AZ33+AZ43</f>
        <v>451.39299999999997</v>
      </c>
      <c r="BA53" s="1516">
        <f t="shared" si="127"/>
        <v>39.639585051236317</v>
      </c>
      <c r="BB53" s="1517">
        <f t="shared" si="128"/>
        <v>20.605924584058055</v>
      </c>
      <c r="BD53" s="1553">
        <f>BD33+BD43</f>
        <v>491.56799999999998</v>
      </c>
      <c r="BE53" s="1516">
        <f t="shared" si="129"/>
        <v>39.998405167258085</v>
      </c>
      <c r="BF53" s="1517">
        <f t="shared" si="130"/>
        <v>8.900226631782072</v>
      </c>
      <c r="BH53" s="1553">
        <f>BH33+BH43</f>
        <v>482.48099999999999</v>
      </c>
      <c r="BI53" s="1516">
        <f t="shared" si="131"/>
        <v>49.192146483158297</v>
      </c>
      <c r="BJ53" s="1517">
        <f t="shared" si="132"/>
        <v>-1.8485743579728542</v>
      </c>
      <c r="BL53" s="1553">
        <f>BL33+BL43</f>
        <v>473.173</v>
      </c>
      <c r="BM53" s="1516">
        <f t="shared" si="133"/>
        <v>50.553157028219289</v>
      </c>
      <c r="BN53" s="1517">
        <f t="shared" si="134"/>
        <v>-1.9291951392904627</v>
      </c>
      <c r="BP53" s="1553">
        <f>BP33+BP43</f>
        <v>539.42900000000009</v>
      </c>
      <c r="BQ53" s="1516">
        <f t="shared" si="135"/>
        <v>46.931518815099416</v>
      </c>
      <c r="BR53" s="1517">
        <f t="shared" si="136"/>
        <v>14.002489575694321</v>
      </c>
      <c r="BT53" s="1553">
        <f>BT33+BT43</f>
        <v>602.12499999999989</v>
      </c>
      <c r="BU53" s="1516">
        <f>BT53/BT13*100</f>
        <v>45.314634265652678</v>
      </c>
      <c r="BV53" s="1517">
        <f t="shared" si="138"/>
        <v>11.622660257420314</v>
      </c>
      <c r="BW53" s="114"/>
      <c r="BX53" s="1553">
        <f>BX33+BX43</f>
        <v>692.08699999999999</v>
      </c>
      <c r="BY53" s="1516">
        <f t="shared" si="139"/>
        <v>47.127844083645492</v>
      </c>
      <c r="BZ53" s="1517">
        <f t="shared" si="140"/>
        <v>14.94075150508618</v>
      </c>
      <c r="CA53" s="1517"/>
      <c r="CB53" s="1553">
        <f>CB33+CB43</f>
        <v>620.54100000000005</v>
      </c>
      <c r="CC53" s="1516">
        <f t="shared" si="141"/>
        <v>47.765632108084063</v>
      </c>
      <c r="CD53" s="1517">
        <f t="shared" si="142"/>
        <v>-10.337717656884172</v>
      </c>
      <c r="CE53" s="1611"/>
      <c r="CF53" s="1553">
        <f>CF33+CF43</f>
        <v>555.58899999999994</v>
      </c>
      <c r="CG53" s="1516">
        <f t="shared" si="143"/>
        <v>49.626365734620514</v>
      </c>
      <c r="CH53" s="1517">
        <f t="shared" si="144"/>
        <v>-10.466995734367291</v>
      </c>
      <c r="CI53" s="1611"/>
      <c r="CJ53" s="1553">
        <f>CJ33+CJ43</f>
        <v>555.68499999999995</v>
      </c>
      <c r="CK53" s="1516">
        <f t="shared" si="145"/>
        <v>49.929914729587658</v>
      </c>
      <c r="CL53" s="1517">
        <f t="shared" si="146"/>
        <v>1.7278959806610317E-2</v>
      </c>
      <c r="CM53" s="1611"/>
      <c r="CN53" s="1553">
        <f>CN33+CN43</f>
        <v>563.11900000000003</v>
      </c>
      <c r="CO53" s="1516">
        <f t="shared" si="147"/>
        <v>54.336077223907061</v>
      </c>
      <c r="CP53" s="1517">
        <f t="shared" si="148"/>
        <v>1.3378082906682964</v>
      </c>
      <c r="CQ53" s="1611"/>
      <c r="CR53" s="1553">
        <f>CR33+CR43</f>
        <v>561.39200000000005</v>
      </c>
      <c r="CS53" s="1516">
        <f t="shared" si="149"/>
        <v>47.050935416767949</v>
      </c>
      <c r="CT53" s="1517">
        <f t="shared" si="150"/>
        <v>-0.30668473271190377</v>
      </c>
      <c r="CU53" s="1611"/>
      <c r="CV53" s="1553">
        <f>CV33+CV43</f>
        <v>567.48763375500005</v>
      </c>
      <c r="CW53" s="1516">
        <f t="shared" si="155"/>
        <v>51</v>
      </c>
      <c r="CX53" s="1517">
        <f t="shared" si="152"/>
        <v>1.0858070216533289</v>
      </c>
      <c r="CY53" s="376"/>
      <c r="CZ53" s="1590">
        <f>CR53-CN53</f>
        <v>-1.7269999999999754</v>
      </c>
      <c r="ED53" s="22" t="s">
        <v>704</v>
      </c>
      <c r="EE53" s="281">
        <v>-0.11</v>
      </c>
    </row>
    <row r="54" spans="1:135">
      <c r="B54" s="114" t="str">
        <f>$B$14</f>
        <v>Year</v>
      </c>
      <c r="D54" s="1536">
        <f>SUM(D50:D53)</f>
        <v>43.069000000000003</v>
      </c>
      <c r="E54" s="1516">
        <f t="shared" si="106"/>
        <v>26.029384212784727</v>
      </c>
      <c r="F54" s="1517"/>
      <c r="H54" s="1536">
        <f>SUM(H50:H53)</f>
        <v>55.995999999999995</v>
      </c>
      <c r="I54" s="1516">
        <f t="shared" si="107"/>
        <v>23.761451928421998</v>
      </c>
      <c r="J54" s="1517">
        <f t="shared" si="108"/>
        <v>30.01462769045018</v>
      </c>
      <c r="L54" s="1536">
        <f>SUM(L50:L53)</f>
        <v>77.772999999999996</v>
      </c>
      <c r="M54" s="1516">
        <f t="shared" si="109"/>
        <v>23.190069534725616</v>
      </c>
      <c r="N54" s="1517">
        <f t="shared" si="110"/>
        <v>38.89027787699122</v>
      </c>
      <c r="P54" s="1536">
        <f>SUM(P50:P53)</f>
        <v>116.955</v>
      </c>
      <c r="Q54" s="1516">
        <f t="shared" si="111"/>
        <v>22.421623528374269</v>
      </c>
      <c r="R54" s="1517">
        <f t="shared" si="112"/>
        <v>50.379951911331709</v>
      </c>
      <c r="T54" s="1536">
        <f>SUM(T50:T53)</f>
        <v>164.39600000000002</v>
      </c>
      <c r="U54" s="1516">
        <f t="shared" si="113"/>
        <v>20.417297995479274</v>
      </c>
      <c r="V54" s="1517">
        <f t="shared" si="114"/>
        <v>40.563464580394196</v>
      </c>
      <c r="X54" s="1536">
        <f>SUM(X50:X53)</f>
        <v>208.31900000000002</v>
      </c>
      <c r="Y54" s="1516">
        <f t="shared" si="115"/>
        <v>20.208311911048856</v>
      </c>
      <c r="Z54" s="1517">
        <f t="shared" si="116"/>
        <v>26.717803352879631</v>
      </c>
      <c r="AB54" s="1536">
        <f>SUM(AB50:AB53)</f>
        <v>255.72300000000001</v>
      </c>
      <c r="AC54" s="1516">
        <f t="shared" si="117"/>
        <v>20.662748342765539</v>
      </c>
      <c r="AD54" s="1517">
        <f t="shared" si="118"/>
        <v>22.755485577407718</v>
      </c>
      <c r="AF54" s="1536">
        <f>SUM(AF50:AF53)</f>
        <v>286.57600000000002</v>
      </c>
      <c r="AG54" s="1516">
        <f t="shared" si="119"/>
        <v>20.996839952727512</v>
      </c>
      <c r="AH54" s="1517">
        <f t="shared" si="120"/>
        <v>12.065007840514941</v>
      </c>
      <c r="AJ54" s="1536">
        <f>SUM(AJ50:AJ53)</f>
        <v>668.80000000000007</v>
      </c>
      <c r="AK54" s="1516">
        <f t="shared" si="121"/>
        <v>41.911143112641845</v>
      </c>
      <c r="AL54" s="1517">
        <f t="shared" si="122"/>
        <v>133.37613756909161</v>
      </c>
      <c r="AN54" s="1536">
        <f>SUM(AN50:AN53)</f>
        <v>752.96799999999996</v>
      </c>
      <c r="AO54" s="1516">
        <f t="shared" si="123"/>
        <v>44.089707924012572</v>
      </c>
      <c r="AP54" s="1517">
        <f t="shared" si="124"/>
        <v>12.58492822966506</v>
      </c>
      <c r="AR54" s="1536">
        <f>SUM(AR50:AR53)</f>
        <v>965.18</v>
      </c>
      <c r="AS54" s="1516">
        <f t="shared" si="125"/>
        <v>47.751544338316712</v>
      </c>
      <c r="AT54" s="1517">
        <f t="shared" si="153"/>
        <v>28.183402216296049</v>
      </c>
      <c r="AV54" s="1536">
        <f>SUM(AV50:AV53)</f>
        <v>1300.712</v>
      </c>
      <c r="AW54" s="1516">
        <f t="shared" si="126"/>
        <v>46.709048084343394</v>
      </c>
      <c r="AX54" s="1517">
        <f>(AV54/AR54-1)*100</f>
        <v>34.763671025093771</v>
      </c>
      <c r="AZ54" s="1536">
        <f>SUM(AZ50:AZ53)</f>
        <v>1560.9010000000001</v>
      </c>
      <c r="BA54" s="1516">
        <f t="shared" si="127"/>
        <v>47.041189720320737</v>
      </c>
      <c r="BB54" s="1517">
        <f t="shared" si="128"/>
        <v>20.003582653193021</v>
      </c>
      <c r="BD54" s="1536">
        <f>SUM(BD50:BD53)</f>
        <v>1782.604</v>
      </c>
      <c r="BE54" s="1516">
        <f t="shared" si="129"/>
        <v>47.53804621895241</v>
      </c>
      <c r="BF54" s="1517">
        <f t="shared" si="130"/>
        <v>14.203527321719944</v>
      </c>
      <c r="BH54" s="1536">
        <f>SUM(BH50:BH53)</f>
        <v>1841.6110000000001</v>
      </c>
      <c r="BI54" s="1516">
        <f t="shared" si="131"/>
        <v>52.858233949674194</v>
      </c>
      <c r="BJ54" s="1517">
        <f t="shared" si="132"/>
        <v>3.3101574999270689</v>
      </c>
      <c r="BL54" s="1536">
        <f>SUM(BL50:BL53)</f>
        <v>1746.019</v>
      </c>
      <c r="BM54" s="1516">
        <f t="shared" si="133"/>
        <v>59.619070382858851</v>
      </c>
      <c r="BN54" s="1517">
        <f t="shared" si="134"/>
        <v>-5.190672731646373</v>
      </c>
      <c r="BP54" s="1536">
        <f>SUM(BP50:BP53)</f>
        <v>1935.7060000000001</v>
      </c>
      <c r="BQ54" s="1516">
        <f t="shared" si="135"/>
        <v>55.803718660415093</v>
      </c>
      <c r="BR54" s="1517">
        <f t="shared" si="136"/>
        <v>10.863971125171034</v>
      </c>
      <c r="BT54" s="1536">
        <f>SUM(BT50:BT53)</f>
        <v>2213.7280000000001</v>
      </c>
      <c r="BU54" s="1516">
        <f t="shared" si="137"/>
        <v>53.239469002115889</v>
      </c>
      <c r="BV54" s="1517">
        <f t="shared" si="138"/>
        <v>14.362821626837952</v>
      </c>
      <c r="BW54" s="114"/>
      <c r="BX54" s="1536">
        <f>SUM(BX50:BX53)</f>
        <v>2454.4089999999997</v>
      </c>
      <c r="BY54" s="1516">
        <f t="shared" si="139"/>
        <v>54.411773508276227</v>
      </c>
      <c r="BZ54" s="1517">
        <f t="shared" si="140"/>
        <v>10.872202908397032</v>
      </c>
      <c r="CA54" s="1517"/>
      <c r="CB54" s="1536">
        <f>SUM(CB50:CB53)</f>
        <v>2374.8130000000001</v>
      </c>
      <c r="CC54" s="1516">
        <f t="shared" si="141"/>
        <v>57.684537650565474</v>
      </c>
      <c r="CD54" s="1517">
        <f t="shared" si="142"/>
        <v>-3.2429802856817846</v>
      </c>
      <c r="CE54" s="1611"/>
      <c r="CF54" s="1536">
        <f>SUM(CF50:CF53)</f>
        <v>2137.0809999999997</v>
      </c>
      <c r="CG54" s="1516">
        <f t="shared" si="143"/>
        <v>57.07969754515856</v>
      </c>
      <c r="CH54" s="1517">
        <f t="shared" si="144"/>
        <v>-10.010556620668677</v>
      </c>
      <c r="CI54" s="1611"/>
      <c r="CJ54" s="1536">
        <f>SUM(CJ50:CJ53)</f>
        <v>2050.3526000000002</v>
      </c>
      <c r="CK54" s="1516">
        <f t="shared" si="145"/>
        <v>58.270504848409068</v>
      </c>
      <c r="CL54" s="1517">
        <f t="shared" si="146"/>
        <v>-4.0582645206241335</v>
      </c>
      <c r="CM54" s="1611"/>
      <c r="CN54" s="1536">
        <f>SUM(CN50:CN53)</f>
        <v>2039.2359999999999</v>
      </c>
      <c r="CO54" s="1516">
        <f t="shared" si="147"/>
        <v>61.298328092967893</v>
      </c>
      <c r="CP54" s="1517">
        <f t="shared" si="148"/>
        <v>-0.54217991578621172</v>
      </c>
      <c r="CQ54" s="1611"/>
      <c r="CR54" s="1536">
        <f>SUM(CR50:CR53)</f>
        <v>1999.269</v>
      </c>
      <c r="CS54" s="1516">
        <f t="shared" si="149"/>
        <v>57.241524441046877</v>
      </c>
      <c r="CT54" s="1517">
        <f t="shared" si="150"/>
        <v>-1.959900668681791</v>
      </c>
      <c r="CU54" s="1611"/>
      <c r="CV54" s="1536">
        <f>SUM(CV50:CV53)</f>
        <v>2030.8763915643058</v>
      </c>
      <c r="CW54" s="1516">
        <f t="shared" si="155"/>
        <v>57.895018131218649</v>
      </c>
      <c r="CX54" s="1517">
        <f t="shared" si="152"/>
        <v>1.5809474144952818</v>
      </c>
      <c r="CY54" s="376"/>
      <c r="CZ54" s="1590">
        <f>CR54-CN54</f>
        <v>-39.966999999999871</v>
      </c>
      <c r="DA54" s="379"/>
    </row>
    <row r="55" spans="1:135" ht="12.75" hidden="1" customHeight="1" outlineLevel="1">
      <c r="A55" s="114" t="str">
        <f>$A$15</f>
        <v>6 Mos</v>
      </c>
      <c r="D55" s="1537">
        <f>SUM(D50:D51)</f>
        <v>16.783000000000001</v>
      </c>
      <c r="E55" s="1516">
        <f t="shared" si="106"/>
        <v>32.001754252154683</v>
      </c>
      <c r="F55" s="1517"/>
      <c r="H55" s="1537">
        <f>SUM(H50:H51)</f>
        <v>21.97</v>
      </c>
      <c r="I55" s="1516">
        <f t="shared" si="107"/>
        <v>30.494829620376152</v>
      </c>
      <c r="J55" s="1517">
        <f t="shared" si="108"/>
        <v>30.906274206041818</v>
      </c>
      <c r="L55" s="1537">
        <f>SUM(L50:L51)</f>
        <v>31.52</v>
      </c>
      <c r="M55" s="1516">
        <f t="shared" si="109"/>
        <v>29.063816838941094</v>
      </c>
      <c r="N55" s="1517">
        <f t="shared" si="110"/>
        <v>43.468365953573063</v>
      </c>
      <c r="P55" s="1537">
        <f>SUM(P50:P51)</f>
        <v>45.156999999999996</v>
      </c>
      <c r="Q55" s="1516">
        <f t="shared" si="111"/>
        <v>28.055493426775012</v>
      </c>
      <c r="R55" s="1517">
        <f t="shared" si="112"/>
        <v>43.264593908629422</v>
      </c>
      <c r="T55" s="1537">
        <f>SUM(T50:T51)</f>
        <v>72.02000000000001</v>
      </c>
      <c r="U55" s="1516">
        <f t="shared" si="113"/>
        <v>25.983584378100481</v>
      </c>
      <c r="V55" s="1517">
        <f t="shared" si="114"/>
        <v>59.488008503665021</v>
      </c>
      <c r="X55" s="1537">
        <f>SUM(X50:X51)</f>
        <v>93.4</v>
      </c>
      <c r="Y55" s="1516">
        <f t="shared" si="115"/>
        <v>24.408473451211801</v>
      </c>
      <c r="Z55" s="1517">
        <f t="shared" si="116"/>
        <v>29.686198278256025</v>
      </c>
      <c r="AB55" s="1537">
        <f>SUM(AB50:AB51)</f>
        <v>104.79300000000001</v>
      </c>
      <c r="AC55" s="1516">
        <f t="shared" si="117"/>
        <v>24.143794192660994</v>
      </c>
      <c r="AD55" s="1517">
        <f t="shared" si="118"/>
        <v>12.198072805139182</v>
      </c>
      <c r="AF55" s="1537">
        <f>SUM(AF50:AF51)</f>
        <v>134.17400000000001</v>
      </c>
      <c r="AG55" s="1516">
        <f t="shared" si="119"/>
        <v>24.673590831856064</v>
      </c>
      <c r="AH55" s="1517">
        <f t="shared" si="120"/>
        <v>28.037178055786161</v>
      </c>
      <c r="AJ55" s="1537">
        <f>SUM(AJ50:AJ51)</f>
        <v>314.59400000000005</v>
      </c>
      <c r="AK55" s="1516">
        <f t="shared" si="121"/>
        <v>49.006302710819924</v>
      </c>
      <c r="AL55" s="1517">
        <f t="shared" si="122"/>
        <v>134.46718440234324</v>
      </c>
      <c r="AN55" s="1537">
        <f>SUM(AN50:AN51)</f>
        <v>354.649</v>
      </c>
      <c r="AO55" s="1516">
        <f t="shared" si="123"/>
        <v>50.48808369670904</v>
      </c>
      <c r="AP55" s="1517">
        <f t="shared" si="124"/>
        <v>12.732283514625188</v>
      </c>
      <c r="AR55" s="1537">
        <f>SUM(AR50:AR51)</f>
        <v>433.51699999999994</v>
      </c>
      <c r="AS55" s="1516">
        <f t="shared" si="125"/>
        <v>53.305028059354989</v>
      </c>
      <c r="AT55" s="1517">
        <f t="shared" si="153"/>
        <v>22.238325781265409</v>
      </c>
      <c r="AV55" s="1537">
        <f>SUM(AV50:AV51)</f>
        <v>589.35</v>
      </c>
      <c r="AW55" s="1516">
        <f t="shared" si="126"/>
        <v>52.695768333540485</v>
      </c>
      <c r="AX55" s="1517">
        <f t="shared" si="154"/>
        <v>35.94622586888174</v>
      </c>
      <c r="AZ55" s="1537">
        <f>SUM(AZ50:AZ51)</f>
        <v>703.88499999999999</v>
      </c>
      <c r="BA55" s="1516">
        <f t="shared" si="127"/>
        <v>53.488043393185393</v>
      </c>
      <c r="BB55" s="1517">
        <f t="shared" si="128"/>
        <v>19.434122338169168</v>
      </c>
      <c r="BD55" s="1537">
        <f>SUM(BD50:BD51)</f>
        <v>831.27</v>
      </c>
      <c r="BE55" s="1516">
        <f t="shared" si="129"/>
        <v>53.736130755526368</v>
      </c>
      <c r="BF55" s="1517">
        <f t="shared" si="130"/>
        <v>18.097416481385451</v>
      </c>
      <c r="BH55" s="1537">
        <f>SUM(BH50:BH51)</f>
        <v>884.19200000000001</v>
      </c>
      <c r="BI55" s="1516">
        <f t="shared" si="131"/>
        <v>54.565034000087628</v>
      </c>
      <c r="BJ55" s="1517">
        <f t="shared" si="132"/>
        <v>6.3664032143587512</v>
      </c>
      <c r="BL55" s="1537">
        <f>SUM(BL50:BL51)</f>
        <v>835.61699999999996</v>
      </c>
      <c r="BM55" s="1516">
        <f t="shared" si="133"/>
        <v>67.445578917631863</v>
      </c>
      <c r="BN55" s="1517">
        <f t="shared" si="134"/>
        <v>-5.4937162969128988</v>
      </c>
      <c r="BP55" s="1537">
        <f>SUM(BP50:BP51)</f>
        <v>908.53000000000009</v>
      </c>
      <c r="BQ55" s="1516">
        <f t="shared" si="135"/>
        <v>63.373935025202265</v>
      </c>
      <c r="BR55" s="1517">
        <f t="shared" si="136"/>
        <v>8.7256482335807064</v>
      </c>
      <c r="BT55" s="1537">
        <f>SUM(BT50:BT51)</f>
        <v>1042.076</v>
      </c>
      <c r="BU55" s="1516">
        <f t="shared" si="137"/>
        <v>59.430478540147156</v>
      </c>
      <c r="BV55" s="1517">
        <f t="shared" si="138"/>
        <v>14.699129362816855</v>
      </c>
      <c r="BW55" s="114"/>
      <c r="BX55" s="1537">
        <f>SUM(BX50:BX51)</f>
        <v>1141.9989999999998</v>
      </c>
      <c r="BY55" s="1516">
        <f t="shared" si="139"/>
        <v>60.983859555436879</v>
      </c>
      <c r="BZ55" s="1517">
        <f t="shared" si="140"/>
        <v>9.5888399694455941</v>
      </c>
      <c r="CA55" s="1517"/>
      <c r="CB55" s="1537">
        <f>SUM(CB50:CB51)</f>
        <v>1153.8800000000001</v>
      </c>
      <c r="CC55" s="1516">
        <f t="shared" si="141"/>
        <v>64.662445424880374</v>
      </c>
      <c r="CD55" s="1517">
        <f t="shared" si="142"/>
        <v>1.0403686868377671</v>
      </c>
      <c r="CE55" s="1611"/>
      <c r="CF55" s="1537">
        <f>SUM(CF50:CF51)</f>
        <v>1066.5219999999999</v>
      </c>
      <c r="CG55" s="1516">
        <f t="shared" si="143"/>
        <v>62.259279301683037</v>
      </c>
      <c r="CH55" s="1517">
        <f t="shared" si="144"/>
        <v>-7.5708045897320497</v>
      </c>
      <c r="CI55" s="1611"/>
      <c r="CJ55" s="1537">
        <f>SUM(CJ50:CJ51)</f>
        <v>984.61059999999998</v>
      </c>
      <c r="CK55" s="1516">
        <f t="shared" si="145"/>
        <v>64.472550023638377</v>
      </c>
      <c r="CL55" s="1517">
        <f t="shared" si="146"/>
        <v>-7.6802353819236728</v>
      </c>
      <c r="CM55" s="1611"/>
      <c r="CN55" s="1537">
        <f>SUM(CN50:CN51)</f>
        <v>978.20100000000002</v>
      </c>
      <c r="CO55" s="1516">
        <f t="shared" si="147"/>
        <v>66.605771450243523</v>
      </c>
      <c r="CP55" s="1517">
        <f t="shared" si="148"/>
        <v>-0.65097816334700465</v>
      </c>
      <c r="CQ55" s="1611"/>
      <c r="CR55" s="1537">
        <f>SUM(CR50:CR51)</f>
        <v>948.47</v>
      </c>
      <c r="CS55" s="1516">
        <f t="shared" si="149"/>
        <v>65.846766915205293</v>
      </c>
      <c r="CT55" s="1517">
        <f t="shared" si="150"/>
        <v>-3.0393548974086082</v>
      </c>
      <c r="CU55" s="1611"/>
      <c r="CV55" s="1537">
        <f>SUM(CV50:CV51)</f>
        <v>968.32121978322584</v>
      </c>
      <c r="CW55" s="1516">
        <f t="shared" si="155"/>
        <v>63.241545854890255</v>
      </c>
      <c r="CX55" s="1517">
        <f t="shared" si="152"/>
        <v>2.0929728703307227</v>
      </c>
      <c r="CY55" s="376">
        <f>CN55-CJ55</f>
        <v>-6.4095999999999549</v>
      </c>
      <c r="DZ55" s="22">
        <f>+(AO53-AK53)*100</f>
        <v>212.78480364817867</v>
      </c>
    </row>
    <row r="56" spans="1:135" ht="12.75" hidden="1" customHeight="1" outlineLevel="1">
      <c r="A56" s="114" t="str">
        <f>$A$16</f>
        <v>9 Mos</v>
      </c>
      <c r="D56" s="1537">
        <f>SUM(D50:D52)</f>
        <v>27.832000000000001</v>
      </c>
      <c r="E56" s="1516">
        <f t="shared" si="106"/>
        <v>30.575207628422024</v>
      </c>
      <c r="F56" s="1517"/>
      <c r="H56" s="1537">
        <f>SUM(H50:H52)</f>
        <v>37.19</v>
      </c>
      <c r="I56" s="1516">
        <f t="shared" si="107"/>
        <v>28.769910340612835</v>
      </c>
      <c r="J56" s="1517">
        <f t="shared" si="108"/>
        <v>33.623167576889898</v>
      </c>
      <c r="L56" s="1537">
        <f>SUM(L50:L52)</f>
        <v>53.251999999999995</v>
      </c>
      <c r="M56" s="1516">
        <f t="shared" si="109"/>
        <v>27.150133323816267</v>
      </c>
      <c r="N56" s="1517">
        <f t="shared" si="110"/>
        <v>43.189029308954005</v>
      </c>
      <c r="P56" s="1537">
        <f>SUM(P50:P52)</f>
        <v>79.738</v>
      </c>
      <c r="Q56" s="1516">
        <f t="shared" si="111"/>
        <v>25.765820494261192</v>
      </c>
      <c r="R56" s="1517">
        <f t="shared" si="112"/>
        <v>49.737099076091049</v>
      </c>
      <c r="T56" s="1537">
        <f>SUM(T50:T52)</f>
        <v>118.239</v>
      </c>
      <c r="U56" s="1516">
        <f t="shared" si="113"/>
        <v>23.409259644225344</v>
      </c>
      <c r="V56" s="1517">
        <f t="shared" si="114"/>
        <v>48.284381348917705</v>
      </c>
      <c r="X56" s="1537">
        <f>SUM(X50:X52)</f>
        <v>148.59</v>
      </c>
      <c r="Y56" s="1516">
        <f t="shared" si="115"/>
        <v>22.271885173660451</v>
      </c>
      <c r="Z56" s="1517">
        <f t="shared" si="116"/>
        <v>25.66919544312789</v>
      </c>
      <c r="AB56" s="1537">
        <f>SUM(AB50:AB52)</f>
        <v>176.893</v>
      </c>
      <c r="AC56" s="1516">
        <f t="shared" si="117"/>
        <v>22.162626744796459</v>
      </c>
      <c r="AD56" s="1517">
        <f t="shared" si="118"/>
        <v>19.04771518944748</v>
      </c>
      <c r="AF56" s="1537">
        <f>SUM(AF50:AF52)</f>
        <v>206.685</v>
      </c>
      <c r="AG56" s="1516">
        <f t="shared" si="119"/>
        <v>23.009254466089779</v>
      </c>
      <c r="AH56" s="1517">
        <f t="shared" si="120"/>
        <v>16.841819631076405</v>
      </c>
      <c r="AJ56" s="1537">
        <f>SUM(AJ50:AJ52)</f>
        <v>488.40900000000005</v>
      </c>
      <c r="AK56" s="1516">
        <f t="shared" si="121"/>
        <v>46.020965348283916</v>
      </c>
      <c r="AL56" s="1517">
        <f t="shared" si="122"/>
        <v>136.30597285724656</v>
      </c>
      <c r="AN56" s="1537">
        <f>SUM(AN50:AN52)</f>
        <v>551.90899999999999</v>
      </c>
      <c r="AO56" s="1516">
        <f t="shared" si="123"/>
        <v>48.09999825695909</v>
      </c>
      <c r="AP56" s="1517">
        <f t="shared" si="124"/>
        <v>13.001398418129062</v>
      </c>
      <c r="AR56" s="1537">
        <f>SUM(AR50:AR52)</f>
        <v>675.27099999999996</v>
      </c>
      <c r="AS56" s="1516">
        <f t="shared" si="125"/>
        <v>50.620014992503748</v>
      </c>
      <c r="AT56" s="1517">
        <f t="shared" si="153"/>
        <v>22.35187322547738</v>
      </c>
      <c r="AV56" s="1537">
        <f>SUM(AV50:AV52)</f>
        <v>926.44100000000003</v>
      </c>
      <c r="AW56" s="1516">
        <f t="shared" si="126"/>
        <v>50.810691930485021</v>
      </c>
      <c r="AX56" s="1517">
        <f t="shared" si="154"/>
        <v>37.195437091182669</v>
      </c>
      <c r="AZ56" s="1537">
        <f>SUM(AZ50:AZ52)</f>
        <v>1109.508</v>
      </c>
      <c r="BA56" s="1516">
        <f t="shared" si="127"/>
        <v>50.908523617576272</v>
      </c>
      <c r="BB56" s="1517">
        <f t="shared" si="128"/>
        <v>19.76024377159473</v>
      </c>
      <c r="BD56" s="1537">
        <f>SUM(BD50:BD52)</f>
        <v>1291.0360000000001</v>
      </c>
      <c r="BE56" s="1516">
        <f t="shared" si="129"/>
        <v>51.213743782920083</v>
      </c>
      <c r="BF56" s="1517">
        <f t="shared" si="130"/>
        <v>16.361125832350922</v>
      </c>
      <c r="BH56" s="1537">
        <f>SUM(BH50:BH52)</f>
        <v>1359.13</v>
      </c>
      <c r="BI56" s="1516">
        <f t="shared" si="131"/>
        <v>54.294660377237889</v>
      </c>
      <c r="BJ56" s="1517">
        <f t="shared" si="132"/>
        <v>5.2743688014896595</v>
      </c>
      <c r="BL56" s="1537">
        <f>SUM(BL50:BL52)</f>
        <v>1272.846</v>
      </c>
      <c r="BM56" s="1516">
        <f t="shared" si="133"/>
        <v>63.877561057374308</v>
      </c>
      <c r="BN56" s="1517">
        <f t="shared" si="134"/>
        <v>-6.3484729201768841</v>
      </c>
      <c r="BP56" s="1537">
        <f>SUM(BP50:BP52)</f>
        <v>1396.277</v>
      </c>
      <c r="BQ56" s="1516">
        <f t="shared" si="135"/>
        <v>60.200441497296687</v>
      </c>
      <c r="BR56" s="1517">
        <f t="shared" si="136"/>
        <v>9.6972453855376006</v>
      </c>
      <c r="BT56" s="1537">
        <f>SUM(BT50:BT52)</f>
        <v>1611.6030000000001</v>
      </c>
      <c r="BU56" s="1516">
        <f t="shared" si="137"/>
        <v>56.961332742844249</v>
      </c>
      <c r="BV56" s="1517">
        <f t="shared" si="138"/>
        <v>15.421438582745406</v>
      </c>
      <c r="BW56" s="114"/>
      <c r="BX56" s="1537">
        <f>SUM(BX50:BX52)</f>
        <v>1762.3219999999997</v>
      </c>
      <c r="BY56" s="1516">
        <f t="shared" si="139"/>
        <v>57.927786912026981</v>
      </c>
      <c r="BZ56" s="1517">
        <f t="shared" si="140"/>
        <v>9.3521171156916161</v>
      </c>
      <c r="CA56" s="1517"/>
      <c r="CB56" s="1537">
        <f>SUM(CB50:CB52)</f>
        <v>1754.2719999999999</v>
      </c>
      <c r="CC56" s="1516">
        <f t="shared" si="141"/>
        <v>62.257679859178914</v>
      </c>
      <c r="CD56" s="1517">
        <f t="shared" si="142"/>
        <v>-0.45678372056864314</v>
      </c>
      <c r="CE56" s="1611"/>
      <c r="CF56" s="1537">
        <f>SUM(CF50:CF52)</f>
        <v>1581.4919999999997</v>
      </c>
      <c r="CG56" s="1516">
        <f t="shared" si="143"/>
        <v>60.259113594052316</v>
      </c>
      <c r="CH56" s="1517">
        <f t="shared" si="144"/>
        <v>-9.8490997975228538</v>
      </c>
      <c r="CI56" s="1611"/>
      <c r="CJ56" s="1537">
        <f>SUM(CJ50:CJ52)</f>
        <v>1494.6676</v>
      </c>
      <c r="CK56" s="1516">
        <f t="shared" si="145"/>
        <v>62.128966018913026</v>
      </c>
      <c r="CL56" s="1517">
        <f t="shared" si="146"/>
        <v>-5.4900309328153263</v>
      </c>
      <c r="CM56" s="1611"/>
      <c r="CN56" s="1537">
        <f>SUM(CN50:CN52)</f>
        <v>1476.117</v>
      </c>
      <c r="CO56" s="1516">
        <f t="shared" si="147"/>
        <v>64.448647537064858</v>
      </c>
      <c r="CP56" s="1517">
        <f t="shared" si="148"/>
        <v>-1.2411187611212071</v>
      </c>
      <c r="CQ56" s="1611"/>
      <c r="CR56" s="1537">
        <f>SUM(CR50:CR52)</f>
        <v>1437.877</v>
      </c>
      <c r="CS56" s="1516">
        <f t="shared" si="149"/>
        <v>62.529114619844385</v>
      </c>
      <c r="CT56" s="1517">
        <f t="shared" si="150"/>
        <v>-2.590580556961275</v>
      </c>
      <c r="CU56" s="1611"/>
      <c r="CV56" s="1537">
        <f>SUM(CV50:CV52)</f>
        <v>1463.3887578093058</v>
      </c>
      <c r="CW56" s="1516">
        <f t="shared" si="155"/>
        <v>61.098268049673486</v>
      </c>
      <c r="CX56" s="1517">
        <f t="shared" si="152"/>
        <v>1.7742656575844729</v>
      </c>
      <c r="CY56" s="376">
        <f>CN56-CJ56</f>
        <v>-18.550600000000031</v>
      </c>
      <c r="DZ56" s="22">
        <f>+(AO54-AK54)*100</f>
        <v>217.85648113707268</v>
      </c>
    </row>
    <row r="57" spans="1:135" collapsed="1">
      <c r="AS57" s="1560"/>
      <c r="AT57" s="1560"/>
      <c r="BQ57" s="1516"/>
      <c r="BT57" s="114"/>
      <c r="BU57" s="1560">
        <f>BU53-BQ53</f>
        <v>-1.6168845494467377</v>
      </c>
      <c r="BV57" s="114"/>
      <c r="BW57" s="114"/>
      <c r="BX57" s="114"/>
      <c r="BY57" s="1560">
        <f>BY54-BU54</f>
        <v>1.1723045061603372</v>
      </c>
      <c r="BZ57" s="114"/>
      <c r="CA57" s="114"/>
      <c r="CB57" s="200"/>
      <c r="CC57" s="1560">
        <f>CC54-BY54</f>
        <v>3.2727641422892475</v>
      </c>
      <c r="CD57" s="200"/>
      <c r="CE57" s="200"/>
      <c r="CF57" s="200"/>
      <c r="CG57" s="1560">
        <f>CG54-CC54</f>
        <v>-0.60484010540691457</v>
      </c>
      <c r="CH57" s="200"/>
      <c r="CI57" s="200"/>
      <c r="CJ57" s="200"/>
      <c r="CK57" s="1560">
        <f>CK54-CG54</f>
        <v>1.1908073032505087</v>
      </c>
      <c r="CL57" s="200"/>
      <c r="CM57" s="200"/>
      <c r="CN57" s="2015"/>
      <c r="CO57" s="1560">
        <f>CO54-CK54</f>
        <v>3.0278232445588245</v>
      </c>
      <c r="CP57" s="200"/>
      <c r="CQ57" s="200"/>
      <c r="CS57" s="1560">
        <f>CS54-CO54</f>
        <v>-4.0568036519210153</v>
      </c>
      <c r="CT57" s="200"/>
      <c r="CU57" s="200"/>
      <c r="CW57" s="1560">
        <f>CW54-CS54</f>
        <v>0.65349369017177139</v>
      </c>
      <c r="CX57" s="200"/>
    </row>
    <row r="58" spans="1:135" ht="12.75" hidden="1" customHeight="1" outlineLevel="1">
      <c r="C58" s="313"/>
      <c r="D58" s="1531"/>
      <c r="H58" s="1532"/>
      <c r="I58" s="1533"/>
      <c r="J58" s="1533"/>
      <c r="K58" s="1533"/>
      <c r="L58" s="1532"/>
      <c r="M58" s="1533"/>
      <c r="N58" s="1533"/>
      <c r="O58" s="1533"/>
      <c r="P58" s="1532"/>
      <c r="Q58" s="1533"/>
      <c r="R58" s="1533"/>
      <c r="S58" s="1533"/>
      <c r="T58" s="1532"/>
      <c r="U58" s="1533"/>
      <c r="V58" s="1533"/>
      <c r="W58" s="1533"/>
      <c r="Y58" s="1533"/>
      <c r="Z58" s="1533"/>
      <c r="AA58" s="1533"/>
      <c r="AC58" s="1533"/>
      <c r="AD58" s="1533"/>
      <c r="AE58" s="1533"/>
      <c r="AF58" s="1532"/>
      <c r="AG58" s="1533"/>
      <c r="AH58" s="1533"/>
      <c r="AI58" s="1533"/>
      <c r="AJ58" s="1532" t="s">
        <v>720</v>
      </c>
      <c r="AK58" s="1533"/>
      <c r="AL58" s="1533"/>
      <c r="AM58" s="1533"/>
      <c r="AN58" s="1532"/>
      <c r="AO58" s="1533"/>
      <c r="AP58" s="1533"/>
      <c r="AQ58" s="1533"/>
      <c r="AR58" s="1532"/>
      <c r="AS58" s="1533"/>
      <c r="AT58" s="1533"/>
      <c r="AU58" s="1533"/>
      <c r="AV58" s="1532"/>
      <c r="AW58" s="1533"/>
      <c r="AX58" s="1533"/>
      <c r="AY58" s="1533"/>
      <c r="AZ58" s="1532"/>
      <c r="BA58" s="1533"/>
      <c r="BB58" s="1533"/>
      <c r="BC58" s="1533"/>
      <c r="BD58" s="1532"/>
      <c r="BE58" s="1533"/>
      <c r="BF58" s="1533"/>
      <c r="BG58" s="1533"/>
      <c r="BH58" s="1532"/>
      <c r="BI58" s="1533"/>
      <c r="BJ58" s="1533"/>
      <c r="BK58" s="1533"/>
      <c r="BL58" s="1532"/>
      <c r="BM58" s="1533"/>
      <c r="BN58" s="1533"/>
      <c r="BO58" s="1533"/>
      <c r="BP58" s="1532"/>
      <c r="BQ58" s="1533"/>
      <c r="BR58" s="1533"/>
      <c r="BS58" s="1534"/>
      <c r="BT58" s="1532"/>
      <c r="BU58" s="1533"/>
      <c r="BV58" s="1533"/>
      <c r="BW58" s="1533"/>
      <c r="BX58" s="1532"/>
      <c r="BY58" s="1533"/>
      <c r="BZ58" s="1533"/>
      <c r="CA58" s="1533"/>
      <c r="CB58" s="200"/>
      <c r="CC58" s="200"/>
      <c r="CD58" s="200"/>
      <c r="CE58" s="200"/>
      <c r="CF58" s="200"/>
      <c r="CG58" s="200"/>
      <c r="CH58" s="200"/>
      <c r="CI58" s="200"/>
      <c r="CJ58" s="200"/>
      <c r="CK58" s="200"/>
      <c r="CL58" s="200"/>
      <c r="CM58" s="200"/>
      <c r="CN58" s="200"/>
      <c r="CO58" s="200"/>
      <c r="CP58" s="200"/>
      <c r="CQ58" s="200"/>
      <c r="CR58" s="200"/>
      <c r="CS58" s="200"/>
      <c r="CT58" s="200"/>
      <c r="CU58" s="200"/>
      <c r="CV58" s="200"/>
      <c r="CW58" s="200"/>
      <c r="CX58" s="200"/>
    </row>
    <row r="59" spans="1:135" ht="12.75" hidden="1" customHeight="1" outlineLevel="1">
      <c r="AB59" s="312"/>
      <c r="AC59" s="312"/>
      <c r="AD59" s="312"/>
      <c r="AE59" s="312"/>
      <c r="AF59" s="312"/>
      <c r="AX59" s="1560"/>
      <c r="AZ59" s="1614" t="s">
        <v>650</v>
      </c>
      <c r="BB59" s="1560"/>
      <c r="BF59" s="1560"/>
      <c r="BJ59" s="1560"/>
      <c r="BN59" s="1560"/>
      <c r="BR59" s="1560"/>
      <c r="BT59" s="114"/>
      <c r="BU59" s="114"/>
      <c r="BV59" s="1560"/>
      <c r="BW59" s="114"/>
      <c r="BX59" s="114"/>
      <c r="BY59" s="114"/>
      <c r="BZ59" s="1560"/>
      <c r="CA59" s="1560"/>
      <c r="CB59" s="1613"/>
      <c r="CC59" s="1613"/>
      <c r="CD59" s="1613"/>
      <c r="CE59" s="1613"/>
      <c r="CF59" s="1613"/>
      <c r="CG59" s="1613"/>
      <c r="CH59" s="1613"/>
      <c r="CI59" s="1613"/>
      <c r="CJ59" s="1613"/>
      <c r="CK59" s="1613"/>
      <c r="CL59" s="1613"/>
      <c r="CM59" s="1613"/>
      <c r="CN59" s="1613"/>
      <c r="CO59" s="1613"/>
      <c r="CP59" s="1613"/>
      <c r="CQ59" s="1613"/>
      <c r="CR59" s="1613"/>
      <c r="CS59" s="1613"/>
      <c r="CT59" s="1613"/>
      <c r="CU59" s="1613"/>
      <c r="CV59" s="1613"/>
      <c r="CW59" s="1613"/>
      <c r="CX59" s="1613"/>
      <c r="EC59" s="22" t="s">
        <v>710</v>
      </c>
      <c r="ED59" s="22" t="s">
        <v>703</v>
      </c>
      <c r="EE59" s="317">
        <v>0.03</v>
      </c>
    </row>
    <row r="60" spans="1:135" ht="12.75" hidden="1" customHeight="1" outlineLevel="1">
      <c r="A60" s="114" t="str">
        <f>$A$10</f>
        <v>1Q</v>
      </c>
      <c r="B60" s="114" t="str">
        <f>$B$10</f>
        <v>Apr</v>
      </c>
      <c r="D60" s="1577"/>
      <c r="E60" s="1578"/>
      <c r="F60" s="1579"/>
      <c r="G60" s="310"/>
      <c r="H60" s="1577"/>
      <c r="I60" s="1578"/>
      <c r="J60" s="1579"/>
      <c r="K60" s="310"/>
      <c r="L60" s="1577"/>
      <c r="M60" s="1578"/>
      <c r="N60" s="1579"/>
      <c r="O60" s="310"/>
      <c r="P60" s="1577"/>
      <c r="Q60" s="1578"/>
      <c r="R60" s="1579"/>
      <c r="S60" s="310"/>
      <c r="T60" s="1577"/>
      <c r="U60" s="1578"/>
      <c r="V60" s="1579"/>
      <c r="W60" s="1580"/>
      <c r="X60" s="1577"/>
      <c r="Y60" s="1578"/>
      <c r="Z60" s="1579"/>
      <c r="AA60" s="310"/>
      <c r="AB60" s="1577"/>
      <c r="AC60" s="1578"/>
      <c r="AD60" s="1579"/>
      <c r="AE60" s="310"/>
      <c r="AF60" s="1577"/>
      <c r="AG60" s="1578"/>
      <c r="AH60" s="1579"/>
      <c r="AI60" s="310"/>
      <c r="AJ60" s="1615"/>
      <c r="AK60" s="1578"/>
      <c r="AL60" s="1579"/>
      <c r="AN60" s="1616">
        <f>AN$64/4</f>
        <v>9.8195446370160564</v>
      </c>
      <c r="AO60" s="1516">
        <f t="shared" ref="AO60:AO66" si="156">AN60/AN20*100</f>
        <v>7.5394029905761206</v>
      </c>
      <c r="AP60" s="1617" t="s">
        <v>718</v>
      </c>
      <c r="AR60" s="1616">
        <f>AR$64/4</f>
        <v>8.6137096774193544</v>
      </c>
      <c r="AS60" s="1516">
        <f t="shared" ref="AS60:AS66" si="157">AR60/AR20*100</f>
        <v>5.9814936026411081</v>
      </c>
      <c r="AT60" s="1517">
        <f t="shared" ref="AT60:AT66" si="158">(AR60/AN60-1)*100</f>
        <v>-12.279947840464512</v>
      </c>
      <c r="AU60" s="1617" t="s">
        <v>718</v>
      </c>
      <c r="AV60" s="1616">
        <f>AV$64/4</f>
        <v>8.8600806451612897</v>
      </c>
      <c r="AW60" s="1516">
        <f t="shared" ref="AW60:AW66" si="159">AV60/AV20*100</f>
        <v>4.6740737110337154</v>
      </c>
      <c r="AX60" s="1517">
        <f t="shared" ref="AX60:AX66" si="160">(AV60/AR60-1)*100</f>
        <v>2.8602190806104266</v>
      </c>
      <c r="AY60" s="1617" t="s">
        <v>718</v>
      </c>
      <c r="AZ60" s="1618">
        <v>3.9260000000000002</v>
      </c>
      <c r="BA60" s="1516">
        <f t="shared" ref="BA60:BA66" si="161">AZ60/AZ10*100</f>
        <v>0.59731830553911558</v>
      </c>
      <c r="BB60" s="1517">
        <f t="shared" ref="BB60:BB66" si="162">(AZ60/AV60-1)*100</f>
        <v>-55.688890911573296</v>
      </c>
      <c r="BC60" s="1617" t="s">
        <v>718</v>
      </c>
      <c r="BD60" s="1618">
        <v>5.2</v>
      </c>
      <c r="BE60" s="1516">
        <f t="shared" ref="BE60:BE66" si="163">BD60/BD10*100</f>
        <v>0.70042159992456998</v>
      </c>
      <c r="BF60" s="1517">
        <f t="shared" ref="BF60:BF66" si="164">(BD60/AZ60-1)*100</f>
        <v>32.450331125827823</v>
      </c>
      <c r="BG60" s="1617" t="s">
        <v>718</v>
      </c>
      <c r="BH60" s="1618">
        <f>20.353-BH61</f>
        <v>9.1410000000000018</v>
      </c>
      <c r="BI60" s="1516">
        <f t="shared" ref="BI60:BI66" si="165">BH60/BH10*100</f>
        <v>1.161294256795814</v>
      </c>
      <c r="BJ60" s="1517">
        <f t="shared" ref="BJ60:BJ66" si="166">(BH60/BD60-1)*100</f>
        <v>75.788461538461576</v>
      </c>
      <c r="BK60" s="1617" t="s">
        <v>718</v>
      </c>
      <c r="BL60" s="1618">
        <f>20.353-BL61</f>
        <v>9.1410000000000018</v>
      </c>
      <c r="BM60" s="1516">
        <f t="shared" ref="BM60:BM66" si="167">BL60/BL10*100</f>
        <v>1.5191223956299265</v>
      </c>
      <c r="BN60" s="1517">
        <f t="shared" ref="BN60:BN66" si="168">(BL60/BH60-1)*100</f>
        <v>0</v>
      </c>
      <c r="BO60" s="1617" t="s">
        <v>718</v>
      </c>
      <c r="BP60" s="1618">
        <f>20.353-BP61</f>
        <v>9.1410000000000018</v>
      </c>
      <c r="BQ60" s="1516">
        <f t="shared" ref="BQ60:BQ66" si="169">BP60/BP10*100</f>
        <v>1.3290123349093641</v>
      </c>
      <c r="BR60" s="1517">
        <f t="shared" ref="BR60:BR66" si="170">(BP60/BL60-1)*100</f>
        <v>0</v>
      </c>
      <c r="BS60" s="1619" t="s">
        <v>718</v>
      </c>
      <c r="BT60" s="1618">
        <f>20.353-BT61</f>
        <v>9.1410000000000018</v>
      </c>
      <c r="BU60" s="1516">
        <f t="shared" ref="BU60:BU66" si="171">BT60/BT10*100</f>
        <v>1.0925402247470344</v>
      </c>
      <c r="BV60" s="1517">
        <f t="shared" ref="BV60:BV66" si="172">(BT60/BP60-1)*100</f>
        <v>0</v>
      </c>
      <c r="BW60" s="1617" t="s">
        <v>718</v>
      </c>
      <c r="BX60" s="1618">
        <f>20.353-BX61</f>
        <v>9.1410000000000018</v>
      </c>
      <c r="BY60" s="1516">
        <f t="shared" ref="BY60:BY66" si="173">BX60/BX10*100</f>
        <v>0.99227327299292922</v>
      </c>
      <c r="BZ60" s="1517">
        <f t="shared" ref="BZ60:BZ66" si="174">(BX60/BT60-1)*100</f>
        <v>0</v>
      </c>
      <c r="CA60" s="1517"/>
      <c r="CB60" s="1618">
        <f>20.353-CB61</f>
        <v>9.1410000000000018</v>
      </c>
      <c r="CC60" s="1516">
        <f>CB60/CB10*100</f>
        <v>1.0898113783413552</v>
      </c>
      <c r="CD60" s="1517">
        <f>(CB60/BX60-1)*100</f>
        <v>0</v>
      </c>
      <c r="CE60" s="1619"/>
      <c r="CF60" s="1618">
        <f>20.353-CF61</f>
        <v>9.1410000000000018</v>
      </c>
      <c r="CG60" s="1516">
        <f>CF60/CF10*100</f>
        <v>1.1114650765781322</v>
      </c>
      <c r="CH60" s="1517">
        <f>(CF60/CB60-1)*100</f>
        <v>0</v>
      </c>
      <c r="CI60" s="1619"/>
      <c r="CJ60" s="1618">
        <f>20.353-CJ61</f>
        <v>9.1410000000000018</v>
      </c>
      <c r="CK60" s="1516">
        <f>CJ60/CJ10*100</f>
        <v>1.2885137478115989</v>
      </c>
      <c r="CL60" s="1517">
        <f>(CJ60/CF60-1)*100</f>
        <v>0</v>
      </c>
      <c r="CM60" s="1619"/>
      <c r="CN60" s="1618">
        <f>20.353-CN61</f>
        <v>9.1410000000000018</v>
      </c>
      <c r="CO60" s="1516">
        <f>CN60/CN10*100</f>
        <v>1.3335122825803123</v>
      </c>
      <c r="CP60" s="1517">
        <f>(CN60/CJ60-1)*100</f>
        <v>0</v>
      </c>
      <c r="CQ60" s="1619"/>
      <c r="CR60" s="1618">
        <f>20.353-CR61</f>
        <v>9.1410000000000018</v>
      </c>
      <c r="CS60" s="1516">
        <f>CR60/CR10*100</f>
        <v>1.3826975989980321</v>
      </c>
      <c r="CT60" s="1517">
        <f>(CR60/CN60-1)*100</f>
        <v>0</v>
      </c>
      <c r="CU60" s="1619"/>
      <c r="CV60" s="1618">
        <f>20.353-CV61</f>
        <v>9.1410000000000018</v>
      </c>
      <c r="CW60" s="1516">
        <f>CV60/CV10*100</f>
        <v>1.3076513710885855</v>
      </c>
      <c r="CX60" s="1517">
        <f>(CV60/CR60-1)*100</f>
        <v>0</v>
      </c>
      <c r="CZ60" s="1562"/>
      <c r="ED60" s="22" t="s">
        <v>704</v>
      </c>
      <c r="EE60" s="317">
        <v>-0.15</v>
      </c>
    </row>
    <row r="61" spans="1:135" ht="12.75" hidden="1" customHeight="1" outlineLevel="1">
      <c r="A61" s="114" t="str">
        <f>$A$11</f>
        <v>2Q</v>
      </c>
      <c r="B61" s="114" t="str">
        <f>$B$11</f>
        <v>Jul</v>
      </c>
      <c r="D61" s="1591"/>
      <c r="E61" s="1578"/>
      <c r="F61" s="1579"/>
      <c r="G61" s="310"/>
      <c r="H61" s="1591"/>
      <c r="I61" s="1578"/>
      <c r="J61" s="1579"/>
      <c r="K61" s="310"/>
      <c r="L61" s="1591"/>
      <c r="M61" s="1578"/>
      <c r="N61" s="1579"/>
      <c r="O61" s="310"/>
      <c r="P61" s="1591"/>
      <c r="Q61" s="1578"/>
      <c r="R61" s="1579"/>
      <c r="S61" s="310"/>
      <c r="T61" s="1591"/>
      <c r="U61" s="1578"/>
      <c r="V61" s="1579"/>
      <c r="W61" s="310"/>
      <c r="X61" s="1591"/>
      <c r="Y61" s="1578"/>
      <c r="Z61" s="1579"/>
      <c r="AA61" s="310"/>
      <c r="AB61" s="1591"/>
      <c r="AC61" s="1578"/>
      <c r="AD61" s="1579"/>
      <c r="AE61" s="310"/>
      <c r="AF61" s="1591"/>
      <c r="AG61" s="1578"/>
      <c r="AH61" s="1579"/>
      <c r="AI61" s="310"/>
      <c r="AJ61" s="560"/>
      <c r="AK61" s="1578"/>
      <c r="AL61" s="1579"/>
      <c r="AN61" s="1620">
        <f>AN$64/4</f>
        <v>9.8195446370160564</v>
      </c>
      <c r="AO61" s="1516">
        <f t="shared" si="156"/>
        <v>8.0443233583052542</v>
      </c>
      <c r="AP61" s="1617" t="s">
        <v>718</v>
      </c>
      <c r="AR61" s="1620">
        <f>AR$64/4</f>
        <v>8.6137096774193544</v>
      </c>
      <c r="AS61" s="1516">
        <f t="shared" si="157"/>
        <v>7.152521134792579</v>
      </c>
      <c r="AT61" s="1517">
        <f t="shared" si="158"/>
        <v>-12.279947840464512</v>
      </c>
      <c r="AU61" s="1617" t="s">
        <v>718</v>
      </c>
      <c r="AV61" s="1620">
        <f>AV$64/4</f>
        <v>8.8600806451612897</v>
      </c>
      <c r="AW61" s="1516">
        <f t="shared" si="159"/>
        <v>4.8700225058738145</v>
      </c>
      <c r="AX61" s="1517">
        <f t="shared" si="160"/>
        <v>2.8602190806104266</v>
      </c>
      <c r="AY61" s="1617" t="s">
        <v>718</v>
      </c>
      <c r="AZ61" s="1621">
        <v>3.504</v>
      </c>
      <c r="BA61" s="1516">
        <f t="shared" si="161"/>
        <v>0.53196011513657282</v>
      </c>
      <c r="BB61" s="1517">
        <f t="shared" si="162"/>
        <v>-60.451827242524914</v>
      </c>
      <c r="BC61" s="1617" t="s">
        <v>718</v>
      </c>
      <c r="BD61" s="1621">
        <v>8.14</v>
      </c>
      <c r="BE61" s="1516">
        <f t="shared" si="163"/>
        <v>1.0117607869361052</v>
      </c>
      <c r="BF61" s="1517">
        <f t="shared" si="164"/>
        <v>132.30593607305937</v>
      </c>
      <c r="BG61" s="1617" t="s">
        <v>718</v>
      </c>
      <c r="BH61" s="1621">
        <v>11.212</v>
      </c>
      <c r="BI61" s="1516">
        <f t="shared" si="165"/>
        <v>1.3454970490748808</v>
      </c>
      <c r="BJ61" s="1517">
        <f t="shared" si="166"/>
        <v>37.739557739557725</v>
      </c>
      <c r="BK61" s="1617" t="s">
        <v>718</v>
      </c>
      <c r="BL61" s="1621">
        <v>11.212</v>
      </c>
      <c r="BM61" s="1516">
        <f t="shared" si="167"/>
        <v>1.7595151446672348</v>
      </c>
      <c r="BN61" s="1517">
        <f t="shared" si="168"/>
        <v>0</v>
      </c>
      <c r="BO61" s="1617" t="s">
        <v>718</v>
      </c>
      <c r="BP61" s="1621">
        <v>11.212</v>
      </c>
      <c r="BQ61" s="1516">
        <f t="shared" si="169"/>
        <v>1.5033561366482613</v>
      </c>
      <c r="BR61" s="1517">
        <f t="shared" si="170"/>
        <v>0</v>
      </c>
      <c r="BS61" s="1619" t="s">
        <v>718</v>
      </c>
      <c r="BT61" s="1621">
        <v>11.212</v>
      </c>
      <c r="BU61" s="1516">
        <f t="shared" si="171"/>
        <v>1.2229987466771672</v>
      </c>
      <c r="BV61" s="1517">
        <f t="shared" si="172"/>
        <v>0</v>
      </c>
      <c r="BW61" s="1617" t="s">
        <v>718</v>
      </c>
      <c r="BX61" s="1621">
        <v>11.212</v>
      </c>
      <c r="BY61" s="1516">
        <f t="shared" si="173"/>
        <v>1.1784651573932081</v>
      </c>
      <c r="BZ61" s="1517">
        <f t="shared" si="174"/>
        <v>0</v>
      </c>
      <c r="CA61" s="1517"/>
      <c r="CB61" s="1621">
        <v>11.212</v>
      </c>
      <c r="CC61" s="1516">
        <f>CB61/CB11*100</f>
        <v>1.1855793287074732</v>
      </c>
      <c r="CD61" s="1517">
        <f>(CB61/BX61-1)*100</f>
        <v>0</v>
      </c>
      <c r="CE61" s="1619"/>
      <c r="CF61" s="1621">
        <v>11.212</v>
      </c>
      <c r="CG61" s="1516">
        <f>CF61/CF11*100</f>
        <v>1.2589194985431251</v>
      </c>
      <c r="CH61" s="1517">
        <f>(CF61/CB61-1)*100</f>
        <v>0</v>
      </c>
      <c r="CI61" s="1619"/>
      <c r="CJ61" s="1621">
        <v>11.212</v>
      </c>
      <c r="CK61" s="1516">
        <f>CJ61/CJ11*100</f>
        <v>1.3710691208624579</v>
      </c>
      <c r="CL61" s="1517">
        <f>(CJ61/CF61-1)*100</f>
        <v>0</v>
      </c>
      <c r="CM61" s="1619"/>
      <c r="CN61" s="1621">
        <v>11.212</v>
      </c>
      <c r="CO61" s="1516">
        <f>CN61/CN11*100</f>
        <v>1.4316359364625364</v>
      </c>
      <c r="CP61" s="1517">
        <f>(CN61/CJ61-1)*100</f>
        <v>0</v>
      </c>
      <c r="CQ61" s="1619"/>
      <c r="CR61" s="1621">
        <v>11.212</v>
      </c>
      <c r="CS61" s="1516">
        <f>CR61/CR11*100</f>
        <v>1.4386882940405814</v>
      </c>
      <c r="CT61" s="1517">
        <f>(CR61/CN61-1)*100</f>
        <v>0</v>
      </c>
      <c r="CU61" s="1619"/>
      <c r="CV61" s="1621">
        <v>11.212</v>
      </c>
      <c r="CW61" s="1516">
        <f>CV61/CV11*100</f>
        <v>1.3474216260801612</v>
      </c>
      <c r="CX61" s="1517">
        <f>(CV61/CR61-1)*100</f>
        <v>0</v>
      </c>
      <c r="CZ61" s="1562"/>
    </row>
    <row r="62" spans="1:135" ht="12.75" hidden="1" customHeight="1" outlineLevel="1">
      <c r="A62" s="114" t="str">
        <f>$A$12</f>
        <v>3Q</v>
      </c>
      <c r="B62" s="114" t="str">
        <f>$B$12</f>
        <v>Oct</v>
      </c>
      <c r="D62" s="1591"/>
      <c r="E62" s="1578"/>
      <c r="F62" s="1579"/>
      <c r="G62" s="310"/>
      <c r="H62" s="1591"/>
      <c r="I62" s="1578"/>
      <c r="J62" s="1579"/>
      <c r="K62" s="310"/>
      <c r="L62" s="1591"/>
      <c r="M62" s="1578"/>
      <c r="N62" s="1579"/>
      <c r="O62" s="310"/>
      <c r="P62" s="1591"/>
      <c r="Q62" s="1578"/>
      <c r="R62" s="1579"/>
      <c r="S62" s="310"/>
      <c r="T62" s="1591"/>
      <c r="U62" s="1578"/>
      <c r="V62" s="1579"/>
      <c r="W62" s="310"/>
      <c r="X62" s="1591"/>
      <c r="Y62" s="1578"/>
      <c r="Z62" s="1579"/>
      <c r="AA62" s="310"/>
      <c r="AB62" s="1591"/>
      <c r="AC62" s="1578"/>
      <c r="AD62" s="1579"/>
      <c r="AE62" s="310"/>
      <c r="AF62" s="1591"/>
      <c r="AG62" s="1578"/>
      <c r="AH62" s="1579"/>
      <c r="AI62" s="310"/>
      <c r="AJ62" s="1622"/>
      <c r="AK62" s="1578"/>
      <c r="AL62" s="1579"/>
      <c r="AN62" s="1620">
        <f>AN$64/4</f>
        <v>9.8195446370160564</v>
      </c>
      <c r="AO62" s="1516">
        <f t="shared" si="156"/>
        <v>5.8684408090792077</v>
      </c>
      <c r="AP62" s="1617" t="s">
        <v>718</v>
      </c>
      <c r="AR62" s="1620">
        <f>AR$64/4</f>
        <v>8.6137096774193544</v>
      </c>
      <c r="AS62" s="1516">
        <f t="shared" si="157"/>
        <v>4.6786432223757677</v>
      </c>
      <c r="AT62" s="1517">
        <f t="shared" si="158"/>
        <v>-12.279947840464512</v>
      </c>
      <c r="AU62" s="1617" t="s">
        <v>718</v>
      </c>
      <c r="AV62" s="1620">
        <f>AV$64/4</f>
        <v>8.8600806451612897</v>
      </c>
      <c r="AW62" s="1516">
        <f t="shared" si="159"/>
        <v>3.694286269205648</v>
      </c>
      <c r="AX62" s="1517">
        <f t="shared" si="160"/>
        <v>2.8602190806104266</v>
      </c>
      <c r="AY62" s="1617" t="s">
        <v>718</v>
      </c>
      <c r="AZ62" s="1621">
        <v>1.3340000000000001</v>
      </c>
      <c r="BA62" s="1516">
        <f t="shared" si="161"/>
        <v>0.1544968544718385</v>
      </c>
      <c r="BB62" s="1517">
        <f t="shared" si="162"/>
        <v>-84.943703636280887</v>
      </c>
      <c r="BC62" s="1617" t="s">
        <v>718</v>
      </c>
      <c r="BD62" s="1621">
        <v>8.7080000000000002</v>
      </c>
      <c r="BE62" s="1516">
        <f t="shared" si="163"/>
        <v>0.89410943291612344</v>
      </c>
      <c r="BF62" s="1517">
        <f t="shared" si="164"/>
        <v>552.77361319340321</v>
      </c>
      <c r="BG62" s="1617" t="s">
        <v>718</v>
      </c>
      <c r="BH62" s="1621">
        <f>BH61</f>
        <v>11.212</v>
      </c>
      <c r="BI62" s="1516">
        <f t="shared" si="165"/>
        <v>1.2700340163409836</v>
      </c>
      <c r="BJ62" s="1517">
        <f t="shared" si="166"/>
        <v>28.755167661920076</v>
      </c>
      <c r="BK62" s="1617" t="s">
        <v>718</v>
      </c>
      <c r="BL62" s="1621">
        <f>BL61</f>
        <v>11.212</v>
      </c>
      <c r="BM62" s="1516">
        <f t="shared" si="167"/>
        <v>1.487626113862043</v>
      </c>
      <c r="BN62" s="1517">
        <f t="shared" si="168"/>
        <v>0</v>
      </c>
      <c r="BO62" s="1617" t="s">
        <v>718</v>
      </c>
      <c r="BP62" s="1621">
        <f>BP61</f>
        <v>11.212</v>
      </c>
      <c r="BQ62" s="1516">
        <f t="shared" si="169"/>
        <v>1.2657799132514016</v>
      </c>
      <c r="BR62" s="1517">
        <f t="shared" si="170"/>
        <v>0</v>
      </c>
      <c r="BS62" s="1619" t="s">
        <v>718</v>
      </c>
      <c r="BT62" s="1621">
        <f>BT61</f>
        <v>11.212</v>
      </c>
      <c r="BU62" s="1516">
        <f t="shared" si="171"/>
        <v>1.042146904418435</v>
      </c>
      <c r="BV62" s="1517">
        <f t="shared" si="172"/>
        <v>0</v>
      </c>
      <c r="BW62" s="1617" t="s">
        <v>718</v>
      </c>
      <c r="BX62" s="1621">
        <f>BX61</f>
        <v>11.212</v>
      </c>
      <c r="BY62" s="1516">
        <f t="shared" si="173"/>
        <v>0.95857817174212112</v>
      </c>
      <c r="BZ62" s="1517">
        <f t="shared" si="174"/>
        <v>0</v>
      </c>
      <c r="CA62" s="1517"/>
      <c r="CB62" s="1621">
        <f>CB61</f>
        <v>11.212</v>
      </c>
      <c r="CC62" s="1516">
        <f>CB62/CB12*100</f>
        <v>1.0850746109767511</v>
      </c>
      <c r="CD62" s="1517">
        <f>(CB62/BX62-1)*100</f>
        <v>0</v>
      </c>
      <c r="CE62" s="1619"/>
      <c r="CF62" s="1621">
        <f>CF61</f>
        <v>11.212</v>
      </c>
      <c r="CG62" s="1516">
        <f>CF62/CF12*100</f>
        <v>1.2301237694099421</v>
      </c>
      <c r="CH62" s="1517">
        <f>(CF62/CB62-1)*100</f>
        <v>0</v>
      </c>
      <c r="CI62" s="1619"/>
      <c r="CJ62" s="1621">
        <f>CJ61</f>
        <v>11.212</v>
      </c>
      <c r="CK62" s="1516">
        <f>CJ62/CJ12*100</f>
        <v>1.2761617716020996</v>
      </c>
      <c r="CL62" s="1517">
        <f>(CJ62/CF62-1)*100</f>
        <v>0</v>
      </c>
      <c r="CM62" s="1619"/>
      <c r="CN62" s="1621">
        <f>CN61</f>
        <v>11.212</v>
      </c>
      <c r="CO62" s="1516">
        <f>CN62/CN12*100</f>
        <v>1.3644317990980048</v>
      </c>
      <c r="CP62" s="1517">
        <f>(CN62/CJ62-1)*100</f>
        <v>0</v>
      </c>
      <c r="CQ62" s="1619"/>
      <c r="CR62" s="1621">
        <f>CR61</f>
        <v>11.212</v>
      </c>
      <c r="CS62" s="1516">
        <f>CR62/CR12*100</f>
        <v>1.30506848932386</v>
      </c>
      <c r="CT62" s="1517">
        <f>(CR62/CN62-1)*100</f>
        <v>0</v>
      </c>
      <c r="CU62" s="1619"/>
      <c r="CV62" s="1621">
        <f>CV61</f>
        <v>11.212</v>
      </c>
      <c r="CW62" s="1516">
        <f>CV62/CV12*100</f>
        <v>1.2976968810387968</v>
      </c>
      <c r="CX62" s="1517">
        <f>(CV62/CR62-1)*100</f>
        <v>0</v>
      </c>
      <c r="CZ62" s="1562"/>
      <c r="EC62" s="22" t="s">
        <v>713</v>
      </c>
      <c r="ED62" s="22" t="s">
        <v>703</v>
      </c>
      <c r="EE62" s="281">
        <v>-0.03</v>
      </c>
    </row>
    <row r="63" spans="1:135" ht="12.75" hidden="1" customHeight="1" outlineLevel="1">
      <c r="A63" s="114" t="str">
        <f>$A$13</f>
        <v>4Q</v>
      </c>
      <c r="B63" s="114" t="str">
        <f>$B$13</f>
        <v>Jan</v>
      </c>
      <c r="C63" s="310"/>
      <c r="D63" s="1591"/>
      <c r="E63" s="1578"/>
      <c r="F63" s="1579"/>
      <c r="G63" s="310"/>
      <c r="H63" s="1591"/>
      <c r="I63" s="1578"/>
      <c r="J63" s="1579"/>
      <c r="K63" s="310"/>
      <c r="L63" s="1591"/>
      <c r="M63" s="1578"/>
      <c r="N63" s="1579"/>
      <c r="O63" s="310"/>
      <c r="P63" s="1591"/>
      <c r="Q63" s="1578"/>
      <c r="R63" s="1579"/>
      <c r="S63" s="310"/>
      <c r="T63" s="1591"/>
      <c r="U63" s="1578"/>
      <c r="V63" s="1579"/>
      <c r="W63" s="310"/>
      <c r="X63" s="1591"/>
      <c r="Y63" s="1578"/>
      <c r="Z63" s="1579"/>
      <c r="AA63" s="310"/>
      <c r="AB63" s="1591"/>
      <c r="AC63" s="1578"/>
      <c r="AD63" s="1579"/>
      <c r="AE63" s="310"/>
      <c r="AF63" s="1591"/>
      <c r="AG63" s="1578"/>
      <c r="AH63" s="1579"/>
      <c r="AI63" s="310"/>
      <c r="AJ63" s="1622"/>
      <c r="AK63" s="1578"/>
      <c r="AL63" s="1579"/>
      <c r="AN63" s="1623">
        <f>AN$64/4</f>
        <v>9.8195446370160564</v>
      </c>
      <c r="AO63" s="1516">
        <f t="shared" si="156"/>
        <v>4.7899984083082794</v>
      </c>
      <c r="AP63" s="1617" t="s">
        <v>718</v>
      </c>
      <c r="AR63" s="1623">
        <f>AR$64/4</f>
        <v>8.6137096774193544</v>
      </c>
      <c r="AS63" s="1516">
        <f t="shared" si="157"/>
        <v>3.7210338711976716</v>
      </c>
      <c r="AT63" s="1517">
        <f t="shared" si="158"/>
        <v>-12.279947840464512</v>
      </c>
      <c r="AU63" s="1617" t="s">
        <v>718</v>
      </c>
      <c r="AV63" s="1623">
        <f>AV$64/4</f>
        <v>8.8600806451612897</v>
      </c>
      <c r="AW63" s="1516">
        <f t="shared" si="159"/>
        <v>2.7518000351460956</v>
      </c>
      <c r="AX63" s="1517">
        <f t="shared" si="160"/>
        <v>2.8602190806104266</v>
      </c>
      <c r="AY63" s="1617" t="s">
        <v>718</v>
      </c>
      <c r="AZ63" s="1624">
        <f>9.88-AZ60-AZ61-AZ62</f>
        <v>1.1160000000000005</v>
      </c>
      <c r="BA63" s="1516">
        <f t="shared" si="161"/>
        <v>9.8002797821808846E-2</v>
      </c>
      <c r="BB63" s="1517">
        <f t="shared" si="162"/>
        <v>-87.404177854639769</v>
      </c>
      <c r="BC63" s="1617" t="s">
        <v>718</v>
      </c>
      <c r="BD63" s="1624">
        <f>BD62</f>
        <v>8.7080000000000002</v>
      </c>
      <c r="BE63" s="1516">
        <f t="shared" si="163"/>
        <v>0.70856140390847944</v>
      </c>
      <c r="BF63" s="1517">
        <f t="shared" si="164"/>
        <v>680.28673835125403</v>
      </c>
      <c r="BG63" s="1617" t="s">
        <v>718</v>
      </c>
      <c r="BH63" s="1624">
        <f>BH62</f>
        <v>11.212</v>
      </c>
      <c r="BI63" s="1516">
        <f t="shared" si="165"/>
        <v>1.1431379606019114</v>
      </c>
      <c r="BJ63" s="1517">
        <f t="shared" si="166"/>
        <v>28.755167661920076</v>
      </c>
      <c r="BK63" s="1617" t="s">
        <v>718</v>
      </c>
      <c r="BL63" s="1624">
        <f>BL62</f>
        <v>11.212</v>
      </c>
      <c r="BM63" s="1516">
        <f t="shared" si="167"/>
        <v>1.197874765889843</v>
      </c>
      <c r="BN63" s="1517">
        <f t="shared" si="168"/>
        <v>0</v>
      </c>
      <c r="BO63" s="1617" t="s">
        <v>718</v>
      </c>
      <c r="BP63" s="1624">
        <f>BP62</f>
        <v>11.212</v>
      </c>
      <c r="BQ63" s="1516">
        <f t="shared" si="169"/>
        <v>0.9754688549464241</v>
      </c>
      <c r="BR63" s="1517">
        <f t="shared" si="170"/>
        <v>0</v>
      </c>
      <c r="BS63" s="1619" t="s">
        <v>718</v>
      </c>
      <c r="BT63" s="1624">
        <f>BT62</f>
        <v>11.212</v>
      </c>
      <c r="BU63" s="1516">
        <f t="shared" si="171"/>
        <v>0.8437910390475365</v>
      </c>
      <c r="BV63" s="1517">
        <f t="shared" si="172"/>
        <v>0</v>
      </c>
      <c r="BW63" s="1617" t="s">
        <v>718</v>
      </c>
      <c r="BX63" s="1624">
        <f>BX62</f>
        <v>11.212</v>
      </c>
      <c r="BY63" s="1516">
        <f t="shared" si="173"/>
        <v>0.76348405311157885</v>
      </c>
      <c r="BZ63" s="1517">
        <f t="shared" si="174"/>
        <v>0</v>
      </c>
      <c r="CA63" s="1517"/>
      <c r="CB63" s="1624">
        <f>CB62</f>
        <v>11.212</v>
      </c>
      <c r="CC63" s="1516">
        <f>CB63/CB13*100</f>
        <v>0.86303446056882371</v>
      </c>
      <c r="CD63" s="1517">
        <f>(CB63/BX63-1)*100</f>
        <v>0</v>
      </c>
      <c r="CE63" s="1619"/>
      <c r="CF63" s="1624">
        <f>CF62</f>
        <v>11.212</v>
      </c>
      <c r="CG63" s="1516">
        <f>CF63/CF13*100</f>
        <v>1.0014791736635629</v>
      </c>
      <c r="CH63" s="1517">
        <f>(CF63/CB63-1)*100</f>
        <v>0</v>
      </c>
      <c r="CI63" s="1619"/>
      <c r="CJ63" s="1624">
        <f>CJ62</f>
        <v>11.212</v>
      </c>
      <c r="CK63" s="1516">
        <f>CJ63/CJ13*100</f>
        <v>1.007430835721923</v>
      </c>
      <c r="CL63" s="1517">
        <f>(CJ63/CF63-1)*100</f>
        <v>0</v>
      </c>
      <c r="CM63" s="1619"/>
      <c r="CN63" s="1624">
        <f>CN62</f>
        <v>11.212</v>
      </c>
      <c r="CO63" s="1516">
        <f>CN63/CN13*100</f>
        <v>1.0818603134229994</v>
      </c>
      <c r="CP63" s="1517">
        <f>(CN63/CJ63-1)*100</f>
        <v>0</v>
      </c>
      <c r="CQ63" s="1619"/>
      <c r="CR63" s="1624">
        <f>CR62</f>
        <v>11.212</v>
      </c>
      <c r="CS63" s="1516">
        <f>CR63/CR13*100</f>
        <v>0.93969113897740286</v>
      </c>
      <c r="CT63" s="1517">
        <f>(CR63/CN63-1)*100</f>
        <v>0</v>
      </c>
      <c r="CU63" s="1619"/>
      <c r="CV63" s="1624">
        <f>CV62</f>
        <v>11.212</v>
      </c>
      <c r="CW63" s="1516">
        <f>CV63/CV13*100</f>
        <v>1.0076201946752321</v>
      </c>
      <c r="CX63" s="1517">
        <f>(CV63/CR63-1)*100</f>
        <v>0</v>
      </c>
      <c r="CZ63" s="1562"/>
      <c r="ED63" s="22" t="s">
        <v>704</v>
      </c>
      <c r="EE63" s="281">
        <v>-0.11</v>
      </c>
    </row>
    <row r="64" spans="1:135" ht="12.75" hidden="1" customHeight="1" outlineLevel="1">
      <c r="B64" s="114" t="str">
        <f>$B$14</f>
        <v>Year</v>
      </c>
      <c r="D64" s="1600"/>
      <c r="E64" s="1578"/>
      <c r="F64" s="1579"/>
      <c r="G64" s="310"/>
      <c r="H64" s="1600"/>
      <c r="I64" s="1578"/>
      <c r="J64" s="1579"/>
      <c r="K64" s="310"/>
      <c r="L64" s="1600"/>
      <c r="M64" s="1578"/>
      <c r="N64" s="1579"/>
      <c r="O64" s="310"/>
      <c r="P64" s="1600"/>
      <c r="Q64" s="1578"/>
      <c r="R64" s="1579"/>
      <c r="S64" s="310"/>
      <c r="T64" s="1600"/>
      <c r="U64" s="1578"/>
      <c r="V64" s="1579"/>
      <c r="W64" s="310"/>
      <c r="X64" s="1600"/>
      <c r="Y64" s="1578"/>
      <c r="Z64" s="1579"/>
      <c r="AA64" s="310"/>
      <c r="AB64" s="1600"/>
      <c r="AC64" s="1578"/>
      <c r="AD64" s="1579"/>
      <c r="AE64" s="310"/>
      <c r="AF64" s="1600"/>
      <c r="AG64" s="1578"/>
      <c r="AH64" s="1579"/>
      <c r="AI64" s="310"/>
      <c r="AJ64" s="1600"/>
      <c r="AK64" s="1578"/>
      <c r="AL64" s="1579"/>
      <c r="AN64" s="1536">
        <f>'yrP&amp;L'!K24</f>
        <v>39.278178548064226</v>
      </c>
      <c r="AO64" s="1516">
        <f t="shared" si="156"/>
        <v>6.2881305308760611</v>
      </c>
      <c r="AP64" s="1617" t="s">
        <v>718</v>
      </c>
      <c r="AR64" s="1536">
        <f>'yrP&amp;L'!L24</f>
        <v>34.454838709677418</v>
      </c>
      <c r="AS64" s="1516">
        <f t="shared" si="157"/>
        <v>5.0666719668833853</v>
      </c>
      <c r="AT64" s="1517">
        <f t="shared" si="158"/>
        <v>-12.279947840464512</v>
      </c>
      <c r="AU64" s="1617" t="s">
        <v>718</v>
      </c>
      <c r="AV64" s="1536">
        <f>'yrP&amp;L'!M24</f>
        <v>35.440322580645159</v>
      </c>
      <c r="AW64" s="1516">
        <f t="shared" si="159"/>
        <v>3.7973333812615686</v>
      </c>
      <c r="AX64" s="1517">
        <f t="shared" si="160"/>
        <v>2.8602190806104266</v>
      </c>
      <c r="AY64" s="1617" t="s">
        <v>718</v>
      </c>
      <c r="AZ64" s="1536">
        <f>'yrP&amp;L'!O24</f>
        <v>35.119</v>
      </c>
      <c r="BA64" s="1516">
        <f t="shared" si="161"/>
        <v>1.0583884191168715</v>
      </c>
      <c r="BB64" s="1517">
        <f t="shared" si="162"/>
        <v>-0.90665817139216065</v>
      </c>
      <c r="BC64" s="1617" t="s">
        <v>718</v>
      </c>
      <c r="BD64" s="1536">
        <f>SUM(BD60:BD63)</f>
        <v>30.756</v>
      </c>
      <c r="BE64" s="1516">
        <f t="shared" si="163"/>
        <v>0.82019346389332681</v>
      </c>
      <c r="BF64" s="1517">
        <f t="shared" si="164"/>
        <v>-12.423474472507756</v>
      </c>
      <c r="BG64" s="1617" t="s">
        <v>718</v>
      </c>
      <c r="BH64" s="1536">
        <f>SUM(BH60:BH63)</f>
        <v>42.777000000000001</v>
      </c>
      <c r="BI64" s="1516">
        <f t="shared" si="165"/>
        <v>1.227792771473027</v>
      </c>
      <c r="BJ64" s="1517">
        <f t="shared" si="166"/>
        <v>39.08505657432697</v>
      </c>
      <c r="BK64" s="1617" t="s">
        <v>718</v>
      </c>
      <c r="BL64" s="1536">
        <f>SUM(BL60:BL63)</f>
        <v>42.777000000000001</v>
      </c>
      <c r="BM64" s="1516">
        <f t="shared" si="167"/>
        <v>1.4606513295488499</v>
      </c>
      <c r="BN64" s="1517">
        <f t="shared" si="168"/>
        <v>0</v>
      </c>
      <c r="BO64" s="1617" t="s">
        <v>718</v>
      </c>
      <c r="BP64" s="1536">
        <f>SUM(BP60:BP63)</f>
        <v>42.777000000000001</v>
      </c>
      <c r="BQ64" s="1516">
        <f t="shared" si="169"/>
        <v>1.2332015673540178</v>
      </c>
      <c r="BR64" s="1517">
        <f t="shared" si="170"/>
        <v>0</v>
      </c>
      <c r="BS64" s="1619" t="s">
        <v>718</v>
      </c>
      <c r="BT64" s="1536">
        <f>SUM(BT60:BT63)</f>
        <v>42.777000000000001</v>
      </c>
      <c r="BU64" s="1516">
        <f t="shared" si="171"/>
        <v>1.0287735284115807</v>
      </c>
      <c r="BV64" s="1517">
        <f t="shared" si="172"/>
        <v>0</v>
      </c>
      <c r="BW64" s="1617" t="s">
        <v>718</v>
      </c>
      <c r="BX64" s="1536">
        <f>SUM(BX60:BX63)</f>
        <v>42.777000000000001</v>
      </c>
      <c r="BY64" s="1516">
        <f t="shared" si="173"/>
        <v>0.94832297117698505</v>
      </c>
      <c r="BZ64" s="1517">
        <f t="shared" si="174"/>
        <v>0</v>
      </c>
      <c r="CA64" s="1517"/>
      <c r="CB64" s="1536">
        <f>SUM(CB60:CB63)</f>
        <v>42.777000000000001</v>
      </c>
      <c r="CC64" s="1516">
        <f>CB64/CB14*100</f>
        <v>1.0390592720682592</v>
      </c>
      <c r="CD64" s="1517">
        <f>(CB64/BX64-1)*100</f>
        <v>0</v>
      </c>
      <c r="CE64" s="1619"/>
      <c r="CF64" s="1536">
        <f>SUM(CF60:CF63)</f>
        <v>42.777000000000001</v>
      </c>
      <c r="CG64" s="1516">
        <f>CF64/CF14*100</f>
        <v>1.1425389219637665</v>
      </c>
      <c r="CH64" s="1517">
        <f>(CF64/CB64-1)*100</f>
        <v>0</v>
      </c>
      <c r="CI64" s="1619"/>
      <c r="CJ64" s="1536">
        <f>SUM(CJ60:CJ63)</f>
        <v>42.777000000000001</v>
      </c>
      <c r="CK64" s="1516">
        <f>CJ64/CJ14*100</f>
        <v>1.2157115736583035</v>
      </c>
      <c r="CL64" s="1517">
        <f>(CJ64/CF64-1)*100</f>
        <v>0</v>
      </c>
      <c r="CM64" s="1619"/>
      <c r="CN64" s="1536">
        <f>SUM(CN60:CN63)</f>
        <v>42.777000000000001</v>
      </c>
      <c r="CO64" s="1516">
        <f>CN64/CN14*100</f>
        <v>1.2858534180609247</v>
      </c>
      <c r="CP64" s="1517">
        <f>(CN64/CJ64-1)*100</f>
        <v>0</v>
      </c>
      <c r="CQ64" s="1619"/>
      <c r="CR64" s="1536">
        <f>SUM(CR60:CR63)</f>
        <v>42.777000000000001</v>
      </c>
      <c r="CS64" s="1516">
        <f>CR64/CR14*100</f>
        <v>1.2247579945543408</v>
      </c>
      <c r="CT64" s="1517">
        <f>(CR64/CN64-1)*100</f>
        <v>0</v>
      </c>
      <c r="CU64" s="1619"/>
      <c r="CV64" s="1536">
        <f>SUM(CV60:CV63)</f>
        <v>42.777000000000001</v>
      </c>
      <c r="CW64" s="1516">
        <f>CV64/CV14*100</f>
        <v>1.2194613128037446</v>
      </c>
      <c r="CX64" s="1517">
        <f>(CV64/CR64-1)*100</f>
        <v>0</v>
      </c>
      <c r="CZ64" s="1562"/>
    </row>
    <row r="65" spans="1:130" ht="12.75" hidden="1" customHeight="1" outlineLevel="2">
      <c r="A65" s="114" t="str">
        <f>$A$15</f>
        <v>6 Mos</v>
      </c>
      <c r="D65" s="560"/>
      <c r="E65" s="1578"/>
      <c r="F65" s="1579"/>
      <c r="G65" s="310"/>
      <c r="H65" s="560"/>
      <c r="I65" s="1578"/>
      <c r="J65" s="1579"/>
      <c r="K65" s="310"/>
      <c r="L65" s="560"/>
      <c r="M65" s="1578"/>
      <c r="N65" s="1579"/>
      <c r="O65" s="310"/>
      <c r="P65" s="560"/>
      <c r="Q65" s="1578"/>
      <c r="R65" s="1579"/>
      <c r="S65" s="310"/>
      <c r="T65" s="560"/>
      <c r="U65" s="1578"/>
      <c r="V65" s="1579"/>
      <c r="W65" s="310"/>
      <c r="X65" s="560"/>
      <c r="Y65" s="1578"/>
      <c r="Z65" s="1579"/>
      <c r="AA65" s="310"/>
      <c r="AB65" s="560"/>
      <c r="AC65" s="1578"/>
      <c r="AD65" s="1579"/>
      <c r="AE65" s="310"/>
      <c r="AF65" s="560"/>
      <c r="AG65" s="1578"/>
      <c r="AH65" s="1579"/>
      <c r="AI65" s="310"/>
      <c r="AJ65" s="560"/>
      <c r="AK65" s="1578"/>
      <c r="AL65" s="1579"/>
      <c r="AN65" s="1537">
        <f>SUM(AN60:AN61)</f>
        <v>19.639089274032113</v>
      </c>
      <c r="AO65" s="1516">
        <f t="shared" si="156"/>
        <v>7.7836833408103949</v>
      </c>
      <c r="AP65" s="1617" t="s">
        <v>718</v>
      </c>
      <c r="AR65" s="1537">
        <f>SUM(AR60:AR61)</f>
        <v>17.227419354838709</v>
      </c>
      <c r="AS65" s="1516">
        <f t="shared" si="157"/>
        <v>6.5148030158030164</v>
      </c>
      <c r="AT65" s="1517">
        <f t="shared" si="158"/>
        <v>-12.279947840464512</v>
      </c>
      <c r="AU65" s="1617" t="s">
        <v>718</v>
      </c>
      <c r="AV65" s="1537">
        <f>SUM(AV60:AV61)</f>
        <v>17.720161290322579</v>
      </c>
      <c r="AW65" s="1516">
        <f t="shared" si="159"/>
        <v>4.7700366068235072</v>
      </c>
      <c r="AX65" s="1517">
        <f t="shared" si="160"/>
        <v>2.8602190806104266</v>
      </c>
      <c r="AY65" s="1617" t="s">
        <v>718</v>
      </c>
      <c r="AZ65" s="1537">
        <f>SUM(AZ60:AZ61)</f>
        <v>7.43</v>
      </c>
      <c r="BA65" s="1516">
        <f t="shared" si="161"/>
        <v>0.56460382365211281</v>
      </c>
      <c r="BB65" s="1517">
        <f t="shared" si="162"/>
        <v>-58.070359077049105</v>
      </c>
      <c r="BC65" s="1617" t="s">
        <v>718</v>
      </c>
      <c r="BD65" s="1537">
        <f>SUM(BD60:BD61)</f>
        <v>13.34</v>
      </c>
      <c r="BE65" s="1516">
        <f t="shared" si="163"/>
        <v>0.86234314275592983</v>
      </c>
      <c r="BF65" s="1517">
        <f t="shared" si="164"/>
        <v>79.542395693135944</v>
      </c>
      <c r="BG65" s="1617" t="s">
        <v>718</v>
      </c>
      <c r="BH65" s="1537">
        <f>SUM(BH60:BH61)</f>
        <v>20.353000000000002</v>
      </c>
      <c r="BI65" s="1516">
        <f t="shared" si="165"/>
        <v>1.2560192096329572</v>
      </c>
      <c r="BJ65" s="1517">
        <f t="shared" si="166"/>
        <v>52.571214392803611</v>
      </c>
      <c r="BK65" s="1617" t="s">
        <v>718</v>
      </c>
      <c r="BL65" s="1537">
        <f>SUM(BL60:BL61)</f>
        <v>20.353000000000002</v>
      </c>
      <c r="BM65" s="1516">
        <f t="shared" si="167"/>
        <v>1.6427620162234151</v>
      </c>
      <c r="BN65" s="1517">
        <f t="shared" si="168"/>
        <v>0</v>
      </c>
      <c r="BO65" s="1617" t="s">
        <v>718</v>
      </c>
      <c r="BP65" s="1537">
        <f>SUM(BP60:BP61)</f>
        <v>20.353000000000002</v>
      </c>
      <c r="BQ65" s="1516">
        <f t="shared" si="169"/>
        <v>1.4197106309840528</v>
      </c>
      <c r="BR65" s="1517">
        <f t="shared" si="170"/>
        <v>0</v>
      </c>
      <c r="BS65" s="1619" t="s">
        <v>718</v>
      </c>
      <c r="BT65" s="1537">
        <f>SUM(BT60:BT61)</f>
        <v>20.353000000000002</v>
      </c>
      <c r="BU65" s="1516">
        <f t="shared" si="171"/>
        <v>1.1607488606662231</v>
      </c>
      <c r="BV65" s="1517">
        <f t="shared" si="172"/>
        <v>0</v>
      </c>
      <c r="BW65" s="1617" t="s">
        <v>718</v>
      </c>
      <c r="BX65" s="1537">
        <f>SUM(BX60:BX61)</f>
        <v>20.353000000000002</v>
      </c>
      <c r="BY65" s="1516">
        <f t="shared" si="173"/>
        <v>1.0868700353781457</v>
      </c>
      <c r="BZ65" s="1517">
        <f t="shared" si="174"/>
        <v>0</v>
      </c>
      <c r="CA65" s="1517"/>
      <c r="CB65" s="1619"/>
      <c r="CC65" s="1619"/>
      <c r="CD65" s="1619"/>
      <c r="CE65" s="1619"/>
      <c r="CF65" s="1619"/>
      <c r="CG65" s="1619"/>
      <c r="CH65" s="1619"/>
      <c r="CI65" s="1619"/>
      <c r="CJ65" s="1619"/>
      <c r="CK65" s="1619"/>
      <c r="CL65" s="1619"/>
      <c r="CM65" s="1619"/>
      <c r="CN65" s="1619"/>
      <c r="CO65" s="1619"/>
      <c r="CP65" s="1619"/>
      <c r="CQ65" s="1619"/>
      <c r="CR65" s="1619"/>
      <c r="CS65" s="1619"/>
      <c r="CT65" s="1619"/>
      <c r="CU65" s="1619"/>
      <c r="CV65" s="1619"/>
      <c r="CW65" s="1619"/>
      <c r="CX65" s="1619"/>
      <c r="DZ65" s="22">
        <f>+(AO63-AK63)*100</f>
        <v>478.99984083082796</v>
      </c>
    </row>
    <row r="66" spans="1:130" ht="12.75" hidden="1" customHeight="1" outlineLevel="2">
      <c r="A66" s="114" t="str">
        <f>$A$16</f>
        <v>9 Mos</v>
      </c>
      <c r="D66" s="560"/>
      <c r="E66" s="1578"/>
      <c r="F66" s="1579"/>
      <c r="G66" s="310"/>
      <c r="H66" s="560"/>
      <c r="I66" s="1578"/>
      <c r="J66" s="1579"/>
      <c r="K66" s="310"/>
      <c r="L66" s="560"/>
      <c r="M66" s="1578"/>
      <c r="N66" s="1579"/>
      <c r="O66" s="310"/>
      <c r="P66" s="560"/>
      <c r="Q66" s="1578"/>
      <c r="R66" s="1579"/>
      <c r="S66" s="310"/>
      <c r="T66" s="560"/>
      <c r="U66" s="1578"/>
      <c r="V66" s="1579"/>
      <c r="W66" s="310"/>
      <c r="X66" s="560"/>
      <c r="Y66" s="1578"/>
      <c r="Z66" s="1579"/>
      <c r="AA66" s="310"/>
      <c r="AB66" s="560"/>
      <c r="AC66" s="1578"/>
      <c r="AD66" s="1579"/>
      <c r="AE66" s="310"/>
      <c r="AF66" s="560"/>
      <c r="AG66" s="1578"/>
      <c r="AH66" s="1579"/>
      <c r="AI66" s="310"/>
      <c r="AJ66" s="560"/>
      <c r="AK66" s="1578"/>
      <c r="AL66" s="1579"/>
      <c r="AN66" s="1537">
        <f>SUM(AN60:AN62)</f>
        <v>29.458633911048167</v>
      </c>
      <c r="AO66" s="1516">
        <f t="shared" si="156"/>
        <v>7.0199943072612809</v>
      </c>
      <c r="AP66" s="1617" t="s">
        <v>718</v>
      </c>
      <c r="AR66" s="1537">
        <f>SUM(AR60:AR62)</f>
        <v>25.841129032258063</v>
      </c>
      <c r="AS66" s="1516">
        <f t="shared" si="157"/>
        <v>5.7611392093177587</v>
      </c>
      <c r="AT66" s="1517">
        <f t="shared" si="158"/>
        <v>-12.279947840464512</v>
      </c>
      <c r="AU66" s="1617" t="s">
        <v>718</v>
      </c>
      <c r="AV66" s="1537">
        <f>SUM(AV60:AV62)</f>
        <v>26.580241935483869</v>
      </c>
      <c r="AW66" s="1516">
        <f t="shared" si="159"/>
        <v>4.3480007942609316</v>
      </c>
      <c r="AX66" s="1517">
        <f t="shared" si="160"/>
        <v>2.8602190806104266</v>
      </c>
      <c r="AY66" s="1617" t="s">
        <v>718</v>
      </c>
      <c r="AZ66" s="1537">
        <f>SUM(AZ60:AZ62)</f>
        <v>8.7639999999999993</v>
      </c>
      <c r="BA66" s="1516">
        <f t="shared" si="161"/>
        <v>0.40212625865197765</v>
      </c>
      <c r="BB66" s="1517">
        <f t="shared" si="162"/>
        <v>-67.028140596793023</v>
      </c>
      <c r="BC66" s="1617" t="s">
        <v>718</v>
      </c>
      <c r="BD66" s="1537">
        <f>SUM(BD60:BD62)</f>
        <v>22.048000000000002</v>
      </c>
      <c r="BE66" s="1516">
        <f t="shared" si="163"/>
        <v>0.87461590763218233</v>
      </c>
      <c r="BF66" s="1517">
        <f t="shared" si="164"/>
        <v>151.57462345960749</v>
      </c>
      <c r="BG66" s="1617" t="s">
        <v>718</v>
      </c>
      <c r="BH66" s="1537">
        <f>SUM(BH60:BH62)</f>
        <v>31.565000000000001</v>
      </c>
      <c r="BI66" s="1516">
        <f t="shared" si="165"/>
        <v>1.2609617584833783</v>
      </c>
      <c r="BJ66" s="1517">
        <f t="shared" si="166"/>
        <v>43.164912917271401</v>
      </c>
      <c r="BK66" s="1617" t="s">
        <v>718</v>
      </c>
      <c r="BL66" s="1537">
        <f>SUM(BL60:BL62)</f>
        <v>31.565000000000001</v>
      </c>
      <c r="BM66" s="1516">
        <f t="shared" si="167"/>
        <v>1.5840841820424625</v>
      </c>
      <c r="BN66" s="1517">
        <f t="shared" si="168"/>
        <v>0</v>
      </c>
      <c r="BO66" s="1617" t="s">
        <v>718</v>
      </c>
      <c r="BP66" s="1537">
        <f>SUM(BP60:BP62)</f>
        <v>31.565000000000001</v>
      </c>
      <c r="BQ66" s="1516">
        <f t="shared" si="169"/>
        <v>1.3609240400451845</v>
      </c>
      <c r="BR66" s="1517">
        <f t="shared" si="170"/>
        <v>0</v>
      </c>
      <c r="BS66" s="1619" t="s">
        <v>718</v>
      </c>
      <c r="BT66" s="1537">
        <f>SUM(BT60:BT62)</f>
        <v>31.565000000000001</v>
      </c>
      <c r="BU66" s="1516">
        <f t="shared" si="171"/>
        <v>1.1156497400587355</v>
      </c>
      <c r="BV66" s="1517">
        <f t="shared" si="172"/>
        <v>0</v>
      </c>
      <c r="BW66" s="1617" t="s">
        <v>718</v>
      </c>
      <c r="BX66" s="1537">
        <f>SUM(BX60:BX62)</f>
        <v>31.565000000000001</v>
      </c>
      <c r="BY66" s="1516">
        <f t="shared" si="173"/>
        <v>1.0375462565173288</v>
      </c>
      <c r="BZ66" s="1517">
        <f t="shared" si="174"/>
        <v>0</v>
      </c>
      <c r="CA66" s="1517"/>
      <c r="CB66" s="1619"/>
      <c r="CC66" s="1619"/>
      <c r="CD66" s="1619"/>
      <c r="CE66" s="1619"/>
      <c r="CF66" s="1619"/>
      <c r="CG66" s="1619"/>
      <c r="CH66" s="1619"/>
      <c r="CI66" s="1619"/>
      <c r="CJ66" s="1619"/>
      <c r="CK66" s="1619"/>
      <c r="CL66" s="1619"/>
      <c r="CM66" s="1619"/>
      <c r="CN66" s="1619"/>
      <c r="CO66" s="1619"/>
      <c r="CP66" s="1619"/>
      <c r="CQ66" s="1619"/>
      <c r="CR66" s="1619"/>
      <c r="CS66" s="1619"/>
      <c r="CT66" s="1619"/>
      <c r="CU66" s="1619"/>
      <c r="CV66" s="1619"/>
      <c r="CW66" s="1619"/>
      <c r="CX66" s="1619"/>
      <c r="DZ66" s="22">
        <f>+(AO64-AK64)*100</f>
        <v>628.81305308760614</v>
      </c>
    </row>
    <row r="67" spans="1:130" ht="12.75" hidden="1" customHeight="1" outlineLevel="1" collapsed="1">
      <c r="AR67" s="1625"/>
      <c r="AS67" s="1626"/>
      <c r="AT67" s="1626"/>
      <c r="AU67" s="246"/>
      <c r="AV67" s="1625"/>
      <c r="AW67" s="1626"/>
      <c r="AX67" s="246"/>
      <c r="AY67" s="246"/>
      <c r="AZ67" s="246"/>
      <c r="BA67" s="246"/>
      <c r="BB67" s="246"/>
      <c r="BC67" s="246"/>
      <c r="BD67" s="246"/>
      <c r="BG67" s="246"/>
      <c r="BH67" s="246"/>
      <c r="BK67" s="246"/>
      <c r="BL67" s="246"/>
      <c r="BO67" s="246"/>
      <c r="BP67" s="246"/>
      <c r="BS67" s="86"/>
      <c r="BT67" s="246"/>
      <c r="BU67" s="114"/>
      <c r="BV67" s="114"/>
      <c r="BW67" s="246"/>
      <c r="BX67" s="246"/>
      <c r="BY67" s="114"/>
      <c r="BZ67" s="114"/>
      <c r="CA67" s="114"/>
      <c r="CB67" s="200"/>
      <c r="CC67" s="200"/>
      <c r="CD67" s="200"/>
      <c r="CE67" s="200"/>
      <c r="CF67" s="200"/>
      <c r="CG67" s="200"/>
      <c r="CH67" s="200"/>
      <c r="CI67" s="200"/>
      <c r="CJ67" s="200"/>
      <c r="CK67" s="200"/>
      <c r="CL67" s="200"/>
      <c r="CM67" s="200"/>
      <c r="CN67" s="200"/>
      <c r="CO67" s="200"/>
      <c r="CP67" s="200"/>
      <c r="CQ67" s="200"/>
      <c r="CR67" s="200"/>
      <c r="CS67" s="200"/>
      <c r="CT67" s="200"/>
      <c r="CU67" s="200"/>
      <c r="CV67" s="200"/>
      <c r="CW67" s="200"/>
      <c r="CX67" s="200"/>
    </row>
    <row r="68" spans="1:130" ht="12.75" hidden="1" customHeight="1" outlineLevel="1">
      <c r="X68" s="1532" t="s">
        <v>46</v>
      </c>
      <c r="Y68" s="1533"/>
      <c r="Z68" s="1533"/>
      <c r="AA68" s="1533"/>
      <c r="AB68" s="1533"/>
      <c r="AC68" s="1533"/>
      <c r="AD68" s="1533"/>
      <c r="AE68" s="1533"/>
      <c r="AF68" s="1533"/>
      <c r="AG68" s="1533"/>
      <c r="AH68" s="1533"/>
      <c r="AI68" s="1533"/>
      <c r="AJ68" s="1533"/>
      <c r="AK68" s="1533"/>
      <c r="AL68" s="1533"/>
      <c r="AM68" s="1533"/>
      <c r="AN68" s="1533"/>
      <c r="AO68" s="1533"/>
      <c r="AP68" s="1533"/>
      <c r="AQ68" s="1533"/>
      <c r="AR68" s="1533"/>
      <c r="AS68" s="1533"/>
      <c r="AT68" s="1533"/>
      <c r="AU68" s="1533"/>
      <c r="AV68" s="1533"/>
      <c r="AW68" s="1533"/>
      <c r="AX68" s="1533"/>
      <c r="AY68" s="1533"/>
      <c r="AZ68" s="1533"/>
      <c r="BA68" s="1533"/>
      <c r="BB68" s="1533"/>
      <c r="BC68" s="1533"/>
      <c r="BD68" s="1627"/>
      <c r="BE68" s="1533"/>
      <c r="BF68" s="1533"/>
      <c r="BG68" s="1533"/>
      <c r="BH68" s="1628"/>
      <c r="BI68" s="1533"/>
      <c r="BJ68" s="1533"/>
      <c r="BK68" s="1533"/>
      <c r="BL68" s="1628"/>
      <c r="BM68" s="1533"/>
      <c r="BN68" s="1533"/>
      <c r="BO68" s="1533"/>
      <c r="BP68" s="1628"/>
      <c r="BQ68" s="1533"/>
      <c r="BR68" s="1533"/>
      <c r="BS68" s="1534"/>
      <c r="BT68" s="1628"/>
      <c r="BU68" s="1533"/>
      <c r="BV68" s="1533"/>
      <c r="BW68" s="1533"/>
      <c r="BX68" s="1628"/>
      <c r="BY68" s="1533"/>
      <c r="BZ68" s="1533"/>
      <c r="CA68" s="1533"/>
      <c r="CB68" s="200"/>
      <c r="CC68" s="200"/>
      <c r="CD68" s="200"/>
      <c r="CE68" s="200"/>
      <c r="CF68" s="200"/>
      <c r="CG68" s="200"/>
      <c r="CH68" s="200"/>
      <c r="CI68" s="200"/>
      <c r="CJ68" s="200"/>
      <c r="CK68" s="200"/>
      <c r="CL68" s="200"/>
      <c r="CM68" s="200"/>
      <c r="CN68" s="200"/>
      <c r="CO68" s="200"/>
      <c r="CP68" s="200"/>
      <c r="CQ68" s="200"/>
      <c r="CR68" s="200"/>
      <c r="CS68" s="200"/>
      <c r="CT68" s="200"/>
      <c r="CU68" s="200"/>
      <c r="CV68" s="200"/>
      <c r="CW68" s="200"/>
      <c r="CX68" s="200"/>
    </row>
    <row r="69" spans="1:130" ht="12.75" hidden="1" customHeight="1" outlineLevel="1">
      <c r="BT69" s="114"/>
      <c r="BU69" s="114"/>
      <c r="BV69" s="114"/>
      <c r="BW69" s="114"/>
      <c r="BX69" s="114"/>
      <c r="BY69" s="114"/>
      <c r="BZ69" s="114"/>
      <c r="CA69" s="114"/>
      <c r="CB69" s="200"/>
      <c r="CC69" s="200"/>
      <c r="CD69" s="200"/>
      <c r="CE69" s="200"/>
      <c r="CF69" s="200"/>
      <c r="CG69" s="200"/>
      <c r="CH69" s="200"/>
      <c r="CI69" s="200"/>
      <c r="CJ69" s="200"/>
      <c r="CK69" s="200"/>
      <c r="CL69" s="200"/>
      <c r="CM69" s="200"/>
      <c r="CN69" s="200"/>
      <c r="CO69" s="200"/>
      <c r="CP69" s="200"/>
      <c r="CQ69" s="200"/>
      <c r="CR69" s="200"/>
      <c r="CS69" s="200"/>
      <c r="CT69" s="200"/>
      <c r="CU69" s="200"/>
      <c r="CV69" s="200"/>
      <c r="CW69" s="200"/>
      <c r="CX69" s="200"/>
    </row>
    <row r="70" spans="1:130" ht="12.75" hidden="1" customHeight="1" outlineLevel="1">
      <c r="A70" s="114" t="str">
        <f>$A$10</f>
        <v>1Q</v>
      </c>
      <c r="B70" s="114" t="str">
        <f>$B$10</f>
        <v>Apr</v>
      </c>
      <c r="D70" s="1541"/>
      <c r="E70" s="1516">
        <f t="shared" ref="E70:E76" si="175">D70/D20*100</f>
        <v>0</v>
      </c>
      <c r="F70" s="1517"/>
      <c r="H70" s="1541"/>
      <c r="I70" s="1516">
        <f t="shared" ref="I70:I76" si="176">H70/H20*100</f>
        <v>0</v>
      </c>
      <c r="J70" s="1517"/>
      <c r="L70" s="1541">
        <v>2.4830000000000001</v>
      </c>
      <c r="M70" s="1516">
        <f t="shared" ref="M70:M76" si="177">L70/L10*100</f>
        <v>4.8667189337514696</v>
      </c>
      <c r="N70" s="1517"/>
      <c r="P70" s="1541">
        <v>3.4780000000000002</v>
      </c>
      <c r="Q70" s="1516">
        <f t="shared" ref="Q70:Q76" si="178">P70/P10*100</f>
        <v>4.6800150707788362</v>
      </c>
      <c r="R70" s="1517">
        <f t="shared" ref="R70:R76" si="179">(P70/L70-1)*100</f>
        <v>40.072492952074114</v>
      </c>
      <c r="T70" s="1541">
        <v>5.1280000000000001</v>
      </c>
      <c r="U70" s="1516">
        <f t="shared" ref="U70:U76" si="180">T70/T10*100</f>
        <v>3.8806150865722242</v>
      </c>
      <c r="V70" s="1517">
        <f t="shared" ref="V70:V76" si="181">(T70/P70-1)*100</f>
        <v>47.441058079355948</v>
      </c>
      <c r="W70" s="1057"/>
      <c r="X70" s="1541">
        <v>7.157</v>
      </c>
      <c r="Y70" s="1516">
        <f t="shared" ref="Y70:Y76" si="182">X70/X10*100</f>
        <v>3.8390361911096571</v>
      </c>
      <c r="Z70" s="1517">
        <f t="shared" ref="Z70:Z76" si="183">(X70/T70-1)*100</f>
        <v>39.567082683307333</v>
      </c>
      <c r="AB70" s="1541">
        <v>7.1529999999999996</v>
      </c>
      <c r="AC70" s="1516">
        <f t="shared" ref="AC70:AC76" si="184">AB70/AB10*100</f>
        <v>3.4891661707462216</v>
      </c>
      <c r="AD70" s="1517">
        <f t="shared" ref="AD70:AD76" si="185">(AB70/X70-1)*100</f>
        <v>-5.5889339108572411E-2</v>
      </c>
      <c r="AF70" s="1541">
        <v>8.7769999999999992</v>
      </c>
      <c r="AG70" s="1516">
        <f t="shared" ref="AG70:AG76" si="186">AF70/AF10*100</f>
        <v>3.3286559466019412</v>
      </c>
      <c r="AH70" s="1517">
        <f t="shared" ref="AH70:AH76" si="187">(AF70/AB70-1)*100</f>
        <v>22.703760659862994</v>
      </c>
      <c r="AJ70" s="1541">
        <v>12.388999999999999</v>
      </c>
      <c r="AK70" s="1516">
        <f t="shared" ref="AK70:AK76" si="188">AJ70/AJ10*100</f>
        <v>3.9607790480574954</v>
      </c>
      <c r="AL70" s="1517">
        <f t="shared" ref="AL70:AL76" si="189">(AJ70/AF70-1)*100</f>
        <v>41.153013558163387</v>
      </c>
      <c r="AN70" s="1535">
        <f>+AN227</f>
        <v>21.178000000000001</v>
      </c>
      <c r="AO70" s="1516">
        <f t="shared" ref="AO70:AO76" si="190">AN70/AN10*100</f>
        <v>6.1080635206303615</v>
      </c>
      <c r="AP70" s="1517">
        <f t="shared" ref="AP70:AP76" si="191">(AN70/AJ70-1)*100</f>
        <v>70.941964646057002</v>
      </c>
      <c r="AR70" s="1535">
        <f>+AR227</f>
        <v>26.606000000000002</v>
      </c>
      <c r="AS70" s="1516">
        <f t="shared" ref="AS70:AS76" si="192">AR70/AR10*100</f>
        <v>6.4588643701599793</v>
      </c>
      <c r="AT70" s="1517">
        <f t="shared" ref="AT70:AT76" si="193">(AR70/AN70-1)*100</f>
        <v>25.630371139862127</v>
      </c>
      <c r="AV70" s="1535">
        <f>+AV227</f>
        <v>30.044</v>
      </c>
      <c r="AW70" s="1516">
        <f t="shared" ref="AW70:AW76" si="194">AV70/AV10*100</f>
        <v>5.4944130502368287</v>
      </c>
      <c r="AX70" s="1517">
        <f t="shared" ref="AX70:AX76" si="195">(AV70/AR70-1)*100</f>
        <v>12.921897316394793</v>
      </c>
      <c r="AZ70" s="1535">
        <f>+AZ227</f>
        <v>33.226999999999997</v>
      </c>
      <c r="BA70" s="1516">
        <f t="shared" ref="BA70:BA76" si="196">AZ70/AZ10*100</f>
        <v>5.0552968258146178</v>
      </c>
      <c r="BB70" s="1517">
        <f t="shared" ref="BB70:BB76" si="197">(AZ70/AV70-1)*100</f>
        <v>10.594461456530402</v>
      </c>
      <c r="BD70" s="1535">
        <f>+BD227</f>
        <v>42.41</v>
      </c>
      <c r="BE70" s="1516">
        <f t="shared" ref="BE70:BE76" si="198">BD70/BD10*100</f>
        <v>5.7124769332309633</v>
      </c>
      <c r="BF70" s="1517">
        <f t="shared" ref="BF70:BF76" si="199">(BD70/AZ70-1)*100</f>
        <v>27.637162548529815</v>
      </c>
      <c r="BH70" s="1535">
        <f>+BH227</f>
        <v>52.749000000000002</v>
      </c>
      <c r="BI70" s="1516">
        <f t="shared" ref="BI70:BI76" si="200">BH70/BH10*100</f>
        <v>6.7013577017528041</v>
      </c>
      <c r="BJ70" s="1517">
        <f t="shared" ref="BJ70:BJ76" si="201">(BH70/BD70-1)*100</f>
        <v>24.378684272577232</v>
      </c>
      <c r="BL70" s="1535">
        <f>+BL227</f>
        <v>59.676000000000002</v>
      </c>
      <c r="BM70" s="1516">
        <f t="shared" ref="BM70:BM76" si="202">BL70/BL10*100</f>
        <v>9.917421297627337</v>
      </c>
      <c r="BN70" s="1517">
        <f t="shared" ref="BN70:BN76" si="203">(BL70/BH70-1)*100</f>
        <v>13.132002502417105</v>
      </c>
      <c r="BP70" s="1535">
        <f>+BP227</f>
        <v>56.737000000000002</v>
      </c>
      <c r="BQ70" s="1516">
        <f t="shared" ref="BQ70:BQ76" si="204">BP70/BP10*100</f>
        <v>8.2490069845479237</v>
      </c>
      <c r="BR70" s="1517">
        <f t="shared" ref="BR70:BR76" si="205">(BP70/BL70-1)*100</f>
        <v>-4.9249279442321825</v>
      </c>
      <c r="BT70" s="1535">
        <f>+BT227</f>
        <v>57.218000000000004</v>
      </c>
      <c r="BU70" s="1516">
        <f t="shared" ref="BU70:BU76" si="206">BT70/BT10*100</f>
        <v>6.8387448396866644</v>
      </c>
      <c r="BV70" s="1517">
        <f t="shared" ref="BV70:BV76" si="207">(BT70/BP70-1)*100</f>
        <v>0.84777129562718656</v>
      </c>
      <c r="BW70" s="114"/>
      <c r="BX70" s="1535">
        <f>+BX227</f>
        <v>54.546999999999997</v>
      </c>
      <c r="BY70" s="1516">
        <f t="shared" ref="BY70:BY76" si="208">BX70/BX10*100</f>
        <v>5.9211826082425656</v>
      </c>
      <c r="BZ70" s="1517">
        <f t="shared" ref="BZ70:BZ76" si="209">(BX70/BT70-1)*100</f>
        <v>-4.6681114334650058</v>
      </c>
      <c r="CA70" s="1517"/>
      <c r="CB70" s="1535">
        <f>+CB227</f>
        <v>59.459000000000003</v>
      </c>
      <c r="CC70" s="1516">
        <f t="shared" ref="CC70:CC76" si="210">CB70/CB10*100</f>
        <v>7.0888409085218944</v>
      </c>
      <c r="CD70" s="1517">
        <f t="shared" ref="CD70:CD76" si="211">(CB70/BX70-1)*100</f>
        <v>9.0050781894513108</v>
      </c>
      <c r="CE70" s="1611"/>
      <c r="CF70" s="1535">
        <f>+CF227</f>
        <v>58.896999999999998</v>
      </c>
      <c r="CG70" s="1516">
        <f t="shared" ref="CG70:CG76" si="212">CF70/CF10*100</f>
        <v>7.1613563740534127</v>
      </c>
      <c r="CH70" s="1517">
        <f t="shared" ref="CH70:CH76" si="213">(CF70/CB70-1)*100</f>
        <v>-0.94518912191594584</v>
      </c>
      <c r="CI70" s="1611"/>
      <c r="CJ70" s="1535">
        <f>+CJ227</f>
        <v>53.290999999999997</v>
      </c>
      <c r="CK70" s="1516">
        <f t="shared" ref="CK70:CK76" si="214">CJ70/CJ10*100</f>
        <v>7.5118899611232806</v>
      </c>
      <c r="CL70" s="1517">
        <f t="shared" ref="CL70:CL76" si="215">(CJ70/CF70-1)*100</f>
        <v>-9.5183116287756668</v>
      </c>
      <c r="CM70" s="1611"/>
      <c r="CN70" s="1535">
        <f>+CN227</f>
        <v>50.866</v>
      </c>
      <c r="CO70" s="1516">
        <f t="shared" ref="CO70:CO76" si="216">CN70/CN10*100</f>
        <v>7.4204611930565756</v>
      </c>
      <c r="CP70" s="1517">
        <f t="shared" ref="CP70:CP76" si="217">(CN70/CJ70-1)*100</f>
        <v>-4.5504869490157756</v>
      </c>
      <c r="CQ70" s="1611"/>
      <c r="CR70" s="1535">
        <f>+CR227</f>
        <v>48.789000000000001</v>
      </c>
      <c r="CS70" s="1516">
        <f t="shared" ref="CS70:CS76" si="218">CR70/CR10*100</f>
        <v>7.3799839358401691</v>
      </c>
      <c r="CT70" s="1517">
        <f t="shared" ref="CT70:CT76" si="219">(CR70/CN70-1)*100</f>
        <v>-4.0832776314237318</v>
      </c>
      <c r="CU70" s="1611"/>
      <c r="CV70" s="1535">
        <f>+CV227</f>
        <v>45</v>
      </c>
      <c r="CW70" s="1516">
        <f t="shared" ref="CW70:CW76" si="220">CV70/CV10*100</f>
        <v>6.4374041898026837</v>
      </c>
      <c r="CX70" s="1517">
        <f t="shared" ref="CX70:CX76" si="221">(CV70/CR70-1)*100</f>
        <v>-7.7660948164545278</v>
      </c>
    </row>
    <row r="71" spans="1:130" ht="12.75" hidden="1" customHeight="1" outlineLevel="1">
      <c r="A71" s="114" t="str">
        <f>$A$11</f>
        <v>2Q</v>
      </c>
      <c r="B71" s="114" t="str">
        <f>$B$11</f>
        <v>Jul</v>
      </c>
      <c r="D71" s="1547"/>
      <c r="E71" s="1516">
        <f t="shared" si="175"/>
        <v>0</v>
      </c>
      <c r="F71" s="1517"/>
      <c r="H71" s="1547"/>
      <c r="I71" s="1516">
        <f t="shared" si="176"/>
        <v>0</v>
      </c>
      <c r="J71" s="1517"/>
      <c r="L71" s="1182">
        <f>L75-L70</f>
        <v>3.004</v>
      </c>
      <c r="M71" s="1516">
        <f t="shared" si="177"/>
        <v>5.2306245755776501</v>
      </c>
      <c r="N71" s="1517"/>
      <c r="P71" s="1182">
        <f>P75-P$70</f>
        <v>3.6019999999999999</v>
      </c>
      <c r="Q71" s="1516">
        <f t="shared" si="178"/>
        <v>4.157433056325023</v>
      </c>
      <c r="R71" s="1517">
        <f t="shared" si="179"/>
        <v>19.906790945406129</v>
      </c>
      <c r="T71" s="1182">
        <f>T75-T$70</f>
        <v>4.8239999999999998</v>
      </c>
      <c r="U71" s="1516">
        <f t="shared" si="180"/>
        <v>3.3261854362170844</v>
      </c>
      <c r="V71" s="1517">
        <f t="shared" si="181"/>
        <v>33.925596890616319</v>
      </c>
      <c r="X71" s="1182">
        <f>X75-X$70</f>
        <v>6.9160000000000004</v>
      </c>
      <c r="Y71" s="1516">
        <f t="shared" si="182"/>
        <v>3.5244894943101617</v>
      </c>
      <c r="Z71" s="1517">
        <f t="shared" si="183"/>
        <v>43.366500829187402</v>
      </c>
      <c r="AB71" s="1182">
        <f>AB75-AB$70</f>
        <v>6.5110000000000001</v>
      </c>
      <c r="AC71" s="1516">
        <f t="shared" si="184"/>
        <v>2.8428466015517548</v>
      </c>
      <c r="AD71" s="1517">
        <f t="shared" si="185"/>
        <v>-5.8559861191440188</v>
      </c>
      <c r="AF71" s="1182">
        <f>AF75-AF$70</f>
        <v>9.9079999999999995</v>
      </c>
      <c r="AG71" s="1516">
        <f t="shared" si="186"/>
        <v>3.5371060560624881</v>
      </c>
      <c r="AH71" s="1517">
        <f t="shared" si="187"/>
        <v>52.17324527722316</v>
      </c>
      <c r="AJ71" s="1548">
        <v>13.4</v>
      </c>
      <c r="AK71" s="1516">
        <f t="shared" si="188"/>
        <v>4.0710427337963386</v>
      </c>
      <c r="AL71" s="1517">
        <f t="shared" si="189"/>
        <v>35.244247073072273</v>
      </c>
      <c r="AN71" s="1537">
        <f>+AN228</f>
        <v>21.068000000000001</v>
      </c>
      <c r="AO71" s="1516">
        <f t="shared" si="190"/>
        <v>5.922652430710758</v>
      </c>
      <c r="AP71" s="1517">
        <f t="shared" si="191"/>
        <v>57.223880597014933</v>
      </c>
      <c r="AR71" s="1537">
        <f>+AR228</f>
        <v>24.927999999999997</v>
      </c>
      <c r="AS71" s="1516">
        <f t="shared" si="192"/>
        <v>6.2110996496788298</v>
      </c>
      <c r="AT71" s="1517">
        <f t="shared" si="193"/>
        <v>18.321625213594061</v>
      </c>
      <c r="AV71" s="1537">
        <f>+AV228</f>
        <v>30.483999999999998</v>
      </c>
      <c r="AW71" s="1516">
        <f t="shared" si="194"/>
        <v>5.3331840424359376</v>
      </c>
      <c r="AX71" s="1517">
        <f t="shared" si="195"/>
        <v>22.288189987163044</v>
      </c>
      <c r="AZ71" s="1537">
        <f>+AZ228</f>
        <v>33.595999999999997</v>
      </c>
      <c r="BA71" s="1516">
        <f t="shared" si="196"/>
        <v>5.1003801450137836</v>
      </c>
      <c r="BB71" s="1517">
        <f t="shared" si="197"/>
        <v>10.208634037527876</v>
      </c>
      <c r="BD71" s="1537">
        <f>+BD228</f>
        <v>45.322000000000003</v>
      </c>
      <c r="BE71" s="1516">
        <f t="shared" si="198"/>
        <v>5.6332951333560377</v>
      </c>
      <c r="BF71" s="1517">
        <f t="shared" si="199"/>
        <v>34.902964638647482</v>
      </c>
      <c r="BH71" s="1537">
        <f>+BH228</f>
        <v>55.667999999999999</v>
      </c>
      <c r="BI71" s="1516">
        <f t="shared" si="200"/>
        <v>6.6804432507938341</v>
      </c>
      <c r="BJ71" s="1517">
        <f t="shared" si="201"/>
        <v>22.827765764970653</v>
      </c>
      <c r="BL71" s="1537">
        <f>+BL228</f>
        <v>58.715000000000003</v>
      </c>
      <c r="BM71" s="1516">
        <f t="shared" si="202"/>
        <v>9.2142286585030941</v>
      </c>
      <c r="BN71" s="1517">
        <f t="shared" si="203"/>
        <v>5.4735215922971925</v>
      </c>
      <c r="BP71" s="1537">
        <f>+BP228</f>
        <v>55.666000000000004</v>
      </c>
      <c r="BQ71" s="1516">
        <f t="shared" si="204"/>
        <v>7.4639513648467828</v>
      </c>
      <c r="BR71" s="1517">
        <f t="shared" si="205"/>
        <v>-5.1928808651962814</v>
      </c>
      <c r="BT71" s="1537">
        <f>+BT228</f>
        <v>59.179000000000002</v>
      </c>
      <c r="BU71" s="1516">
        <f t="shared" si="206"/>
        <v>6.4552125249382879</v>
      </c>
      <c r="BV71" s="1517">
        <f t="shared" si="207"/>
        <v>6.31085402220386</v>
      </c>
      <c r="BW71" s="114"/>
      <c r="BX71" s="1537">
        <f>+BX228</f>
        <v>54.8</v>
      </c>
      <c r="BY71" s="1516">
        <f t="shared" si="208"/>
        <v>5.7598903518683375</v>
      </c>
      <c r="BZ71" s="1517">
        <f t="shared" si="209"/>
        <v>-7.3995843120025722</v>
      </c>
      <c r="CA71" s="1517"/>
      <c r="CB71" s="1537">
        <f>+CB228</f>
        <v>60.853999999999999</v>
      </c>
      <c r="CC71" s="1516">
        <f t="shared" si="210"/>
        <v>6.4348238021017288</v>
      </c>
      <c r="CD71" s="1517">
        <f t="shared" si="211"/>
        <v>11.047445255474454</v>
      </c>
      <c r="CE71" s="1611"/>
      <c r="CF71" s="1537">
        <f>+CF228</f>
        <v>59.865000000000002</v>
      </c>
      <c r="CG71" s="1516">
        <f t="shared" si="212"/>
        <v>6.721835157000017</v>
      </c>
      <c r="CH71" s="1517">
        <f t="shared" si="213"/>
        <v>-1.6252013014756539</v>
      </c>
      <c r="CI71" s="1611"/>
      <c r="CJ71" s="1537">
        <f>+CJ228</f>
        <v>55.067999999999998</v>
      </c>
      <c r="CK71" s="1516">
        <f t="shared" si="214"/>
        <v>6.7340380260126498</v>
      </c>
      <c r="CL71" s="1517">
        <f t="shared" si="215"/>
        <v>-8.0130293159609174</v>
      </c>
      <c r="CM71" s="1611"/>
      <c r="CN71" s="1537">
        <f>+CN228</f>
        <v>49.067000000000007</v>
      </c>
      <c r="CO71" s="1516">
        <f t="shared" si="216"/>
        <v>6.2652586955411422</v>
      </c>
      <c r="CP71" s="1517">
        <f t="shared" si="217"/>
        <v>-10.89743589743588</v>
      </c>
      <c r="CQ71" s="1611"/>
      <c r="CR71" s="1537">
        <f>+CR228</f>
        <v>46.712999999999994</v>
      </c>
      <c r="CS71" s="1516">
        <f t="shared" si="218"/>
        <v>5.994064063460371</v>
      </c>
      <c r="CT71" s="1517">
        <f t="shared" si="219"/>
        <v>-4.7975217559663612</v>
      </c>
      <c r="CU71" s="1611"/>
      <c r="CV71" s="1537">
        <f>+CV228</f>
        <v>45</v>
      </c>
      <c r="CW71" s="1516">
        <f t="shared" si="220"/>
        <v>5.4079533690338257</v>
      </c>
      <c r="CX71" s="1517">
        <f t="shared" si="221"/>
        <v>-3.6670734056900467</v>
      </c>
    </row>
    <row r="72" spans="1:130" ht="12.75" hidden="1" customHeight="1" outlineLevel="1">
      <c r="A72" s="114" t="str">
        <f>$A$12</f>
        <v>3Q</v>
      </c>
      <c r="B72" s="114" t="str">
        <f>$B$12</f>
        <v>Oct</v>
      </c>
      <c r="D72" s="1547"/>
      <c r="E72" s="1516">
        <f t="shared" si="175"/>
        <v>0</v>
      </c>
      <c r="F72" s="1517"/>
      <c r="H72" s="1547"/>
      <c r="I72" s="1516">
        <f t="shared" si="176"/>
        <v>0</v>
      </c>
      <c r="J72" s="1517"/>
      <c r="L72" s="1182">
        <f>L76-L75</f>
        <v>2.9359999999999999</v>
      </c>
      <c r="M72" s="1516">
        <f t="shared" si="177"/>
        <v>3.3482346501231635</v>
      </c>
      <c r="N72" s="1517"/>
      <c r="P72" s="1182">
        <f>P76-P75</f>
        <v>4.6839999999999993</v>
      </c>
      <c r="Q72" s="1516">
        <f t="shared" si="178"/>
        <v>3.1538689434135043</v>
      </c>
      <c r="R72" s="1517">
        <f t="shared" si="179"/>
        <v>59.536784741144388</v>
      </c>
      <c r="T72" s="1182">
        <f>T76-T75</f>
        <v>4.6509999999999998</v>
      </c>
      <c r="U72" s="1516">
        <f t="shared" si="180"/>
        <v>2.0406282906282907</v>
      </c>
      <c r="V72" s="1517">
        <f t="shared" si="181"/>
        <v>-0.7045260461144176</v>
      </c>
      <c r="X72" s="1182">
        <f>X76-X75</f>
        <v>6.8460000000000001</v>
      </c>
      <c r="Y72" s="1516">
        <f t="shared" si="182"/>
        <v>2.4062423113423081</v>
      </c>
      <c r="Z72" s="1517">
        <f t="shared" si="183"/>
        <v>47.194151795312834</v>
      </c>
      <c r="AB72" s="1182">
        <f>AB76-AB75</f>
        <v>7.4479999999999986</v>
      </c>
      <c r="AC72" s="1516">
        <f t="shared" si="184"/>
        <v>2.0454682771159116</v>
      </c>
      <c r="AD72" s="1517">
        <f t="shared" si="185"/>
        <v>8.7934560327198152</v>
      </c>
      <c r="AF72" s="1182">
        <f>AF76-AF75</f>
        <v>10.511000000000003</v>
      </c>
      <c r="AG72" s="1516">
        <f t="shared" si="186"/>
        <v>2.965247000476765</v>
      </c>
      <c r="AH72" s="1517">
        <f t="shared" si="187"/>
        <v>41.125134264232074</v>
      </c>
      <c r="AJ72" s="1548">
        <v>14.5</v>
      </c>
      <c r="AK72" s="1516">
        <f t="shared" si="188"/>
        <v>3.4579053678615121</v>
      </c>
      <c r="AL72" s="1517">
        <f t="shared" si="189"/>
        <v>37.950718295119358</v>
      </c>
      <c r="AN72" s="1537">
        <f>+AN229</f>
        <v>22.234000000000002</v>
      </c>
      <c r="AO72" s="1516">
        <f t="shared" si="190"/>
        <v>4.9966402908901326</v>
      </c>
      <c r="AP72" s="1517">
        <f t="shared" si="191"/>
        <v>53.337931034482764</v>
      </c>
      <c r="AR72" s="1537">
        <f>+AR229</f>
        <v>25.455000000000005</v>
      </c>
      <c r="AS72" s="1516">
        <f t="shared" si="192"/>
        <v>4.8883861700248126</v>
      </c>
      <c r="AT72" s="1517">
        <f t="shared" si="193"/>
        <v>14.486821984348319</v>
      </c>
      <c r="AV72" s="1537">
        <f>+AV229</f>
        <v>30.338000000000005</v>
      </c>
      <c r="AW72" s="1516">
        <f t="shared" si="194"/>
        <v>4.3037629908726975</v>
      </c>
      <c r="AX72" s="1517">
        <f t="shared" si="195"/>
        <v>19.182871734433316</v>
      </c>
      <c r="AZ72" s="1537">
        <f>+AZ229</f>
        <v>38.156000000000013</v>
      </c>
      <c r="BA72" s="1516">
        <f t="shared" si="196"/>
        <v>4.4190269709351355</v>
      </c>
      <c r="BB72" s="1517">
        <f t="shared" si="197"/>
        <v>25.769661810270961</v>
      </c>
      <c r="BD72" s="1537">
        <f>+BD229</f>
        <v>46.423000000000002</v>
      </c>
      <c r="BE72" s="1516">
        <f t="shared" si="198"/>
        <v>4.7665643321388602</v>
      </c>
      <c r="BF72" s="1517">
        <f t="shared" si="199"/>
        <v>21.66631722402763</v>
      </c>
      <c r="BH72" s="1537">
        <f>+BH229</f>
        <v>57.175000000000004</v>
      </c>
      <c r="BI72" s="1516">
        <f t="shared" si="200"/>
        <v>6.4764711812607683</v>
      </c>
      <c r="BJ72" s="1517">
        <f t="shared" si="201"/>
        <v>23.160933158132835</v>
      </c>
      <c r="BL72" s="1537">
        <f>+BL229</f>
        <v>60.302000000000007</v>
      </c>
      <c r="BM72" s="1516">
        <f t="shared" si="202"/>
        <v>8.0009659220575209</v>
      </c>
      <c r="BN72" s="1517">
        <f t="shared" si="203"/>
        <v>5.4691735898557026</v>
      </c>
      <c r="BP72" s="1537">
        <f>+BP229</f>
        <v>55.353000000000002</v>
      </c>
      <c r="BQ72" s="1516">
        <f t="shared" si="204"/>
        <v>6.2490827272747804</v>
      </c>
      <c r="BR72" s="1517">
        <f t="shared" si="205"/>
        <v>-8.2070246426320885</v>
      </c>
      <c r="BT72" s="1537">
        <f>+BT229</f>
        <v>57.171999999999983</v>
      </c>
      <c r="BU72" s="1516">
        <f t="shared" si="206"/>
        <v>5.314094079505062</v>
      </c>
      <c r="BV72" s="1517">
        <f t="shared" si="207"/>
        <v>3.2861814174479864</v>
      </c>
      <c r="BW72" s="114"/>
      <c r="BX72" s="1537">
        <f>+BX229</f>
        <v>56.168999999999997</v>
      </c>
      <c r="BY72" s="1516">
        <f t="shared" si="208"/>
        <v>4.8022098937373521</v>
      </c>
      <c r="BZ72" s="1517">
        <f t="shared" si="209"/>
        <v>-1.7543552788077843</v>
      </c>
      <c r="CA72" s="1517"/>
      <c r="CB72" s="1537">
        <f>+CB229</f>
        <v>60.296000000000006</v>
      </c>
      <c r="CC72" s="1516">
        <f t="shared" si="210"/>
        <v>5.8353245400868881</v>
      </c>
      <c r="CD72" s="1517">
        <f t="shared" si="211"/>
        <v>7.3474692446011236</v>
      </c>
      <c r="CE72" s="1611"/>
      <c r="CF72" s="1537">
        <f>+CF229</f>
        <v>56.204000000000001</v>
      </c>
      <c r="CG72" s="1516">
        <f t="shared" si="212"/>
        <v>6.166417796638993</v>
      </c>
      <c r="CH72" s="1517">
        <f t="shared" si="213"/>
        <v>-6.7865198354783107</v>
      </c>
      <c r="CI72" s="1611"/>
      <c r="CJ72" s="1537">
        <f>+CJ229</f>
        <v>52.00500000000001</v>
      </c>
      <c r="CK72" s="1516">
        <f t="shared" si="214"/>
        <v>5.9192644427548355</v>
      </c>
      <c r="CL72" s="1517">
        <f t="shared" si="215"/>
        <v>-7.4709985054444372</v>
      </c>
      <c r="CM72" s="1611"/>
      <c r="CN72" s="1537">
        <f>+CN229</f>
        <v>46.73299999999999</v>
      </c>
      <c r="CO72" s="1516">
        <f t="shared" si="216"/>
        <v>5.6871201629724446</v>
      </c>
      <c r="CP72" s="1517">
        <f t="shared" si="217"/>
        <v>-10.137486780117333</v>
      </c>
      <c r="CQ72" s="1611"/>
      <c r="CR72" s="1537">
        <f>+CR229</f>
        <v>50.644999999999996</v>
      </c>
      <c r="CS72" s="1516">
        <f t="shared" si="218"/>
        <v>5.8950404603823481</v>
      </c>
      <c r="CT72" s="1517">
        <f t="shared" si="219"/>
        <v>8.3709584233839109</v>
      </c>
      <c r="CU72" s="1611"/>
      <c r="CV72" s="1537">
        <f>+CV229</f>
        <v>45</v>
      </c>
      <c r="CW72" s="1516">
        <f t="shared" si="220"/>
        <v>5.2083802753073369</v>
      </c>
      <c r="CX72" s="1517">
        <f t="shared" si="221"/>
        <v>-11.146213841445352</v>
      </c>
    </row>
    <row r="73" spans="1:130" ht="12.75" hidden="1" customHeight="1" outlineLevel="1">
      <c r="A73" s="114" t="str">
        <f>$A$13</f>
        <v>4Q</v>
      </c>
      <c r="B73" s="114" t="str">
        <f>$B$13</f>
        <v>Jan</v>
      </c>
      <c r="C73" s="310"/>
      <c r="D73" s="1551"/>
      <c r="E73" s="1516">
        <f t="shared" si="175"/>
        <v>0</v>
      </c>
      <c r="F73" s="1517"/>
      <c r="H73" s="1551"/>
      <c r="I73" s="1516">
        <f t="shared" si="176"/>
        <v>0</v>
      </c>
      <c r="J73" s="1517"/>
      <c r="L73" s="1564">
        <f>L74-L76</f>
        <v>3.3360000000000003</v>
      </c>
      <c r="M73" s="1516">
        <f t="shared" si="177"/>
        <v>2.3959837107582258</v>
      </c>
      <c r="N73" s="1517"/>
      <c r="P73" s="1564">
        <f>P74-P76</f>
        <v>4.5779999999999994</v>
      </c>
      <c r="Q73" s="1516">
        <f t="shared" si="178"/>
        <v>2.1579580004242378</v>
      </c>
      <c r="R73" s="1517">
        <f t="shared" si="179"/>
        <v>37.2302158273381</v>
      </c>
      <c r="T73" s="1564">
        <f>T74-T76</f>
        <v>6.3430000000000017</v>
      </c>
      <c r="U73" s="1516">
        <f t="shared" si="180"/>
        <v>2.113734441908127</v>
      </c>
      <c r="V73" s="1517">
        <f t="shared" si="181"/>
        <v>38.553953691568424</v>
      </c>
      <c r="X73" s="1564">
        <f>X74-X76</f>
        <v>6.8019999999999996</v>
      </c>
      <c r="Y73" s="1516">
        <f t="shared" si="182"/>
        <v>1.8702535648099774</v>
      </c>
      <c r="Z73" s="1517">
        <f t="shared" si="183"/>
        <v>7.2363235062272935</v>
      </c>
      <c r="AB73" s="1564">
        <f>AB74-AB76</f>
        <v>9.6190000000000033</v>
      </c>
      <c r="AC73" s="1516">
        <f t="shared" si="184"/>
        <v>2.1888973591689527</v>
      </c>
      <c r="AD73" s="1517">
        <f t="shared" si="185"/>
        <v>41.414289914731015</v>
      </c>
      <c r="AF73" s="1564">
        <f>AF74-AF76</f>
        <v>11.959</v>
      </c>
      <c r="AG73" s="1516">
        <f t="shared" si="186"/>
        <v>2.5630968914493422</v>
      </c>
      <c r="AH73" s="1517">
        <f t="shared" si="187"/>
        <v>24.326853103233148</v>
      </c>
      <c r="AJ73" s="1552">
        <v>15.7</v>
      </c>
      <c r="AK73" s="1516">
        <f t="shared" si="188"/>
        <v>2.937423524085002</v>
      </c>
      <c r="AL73" s="1517">
        <f t="shared" si="189"/>
        <v>31.281879755832431</v>
      </c>
      <c r="AN73" s="1553">
        <f>+AN230</f>
        <v>25.058999999999997</v>
      </c>
      <c r="AO73" s="1516">
        <f t="shared" si="190"/>
        <v>4.4717151835599909</v>
      </c>
      <c r="AP73" s="1517">
        <f t="shared" si="191"/>
        <v>59.611464968152859</v>
      </c>
      <c r="AR73" s="1553">
        <f>+AR230</f>
        <v>28.824999999999989</v>
      </c>
      <c r="AS73" s="1516">
        <f t="shared" si="192"/>
        <v>4.1942280437800274</v>
      </c>
      <c r="AT73" s="1517">
        <f t="shared" si="193"/>
        <v>15.028532662915485</v>
      </c>
      <c r="AV73" s="1553">
        <f>+AV230</f>
        <v>33.340000000000003</v>
      </c>
      <c r="AW73" s="1516">
        <f t="shared" si="194"/>
        <v>3.4678882287350015</v>
      </c>
      <c r="AX73" s="1517">
        <f t="shared" si="195"/>
        <v>15.663486556808381</v>
      </c>
      <c r="AZ73" s="1553">
        <f>+AZ230</f>
        <v>41.176999999999992</v>
      </c>
      <c r="BA73" s="1516">
        <f t="shared" si="196"/>
        <v>3.61600466479267</v>
      </c>
      <c r="BB73" s="1517">
        <f t="shared" si="197"/>
        <v>23.506298740251918</v>
      </c>
      <c r="BD73" s="1553">
        <f>+BD230</f>
        <v>49.561000000000007</v>
      </c>
      <c r="BE73" s="1516">
        <f t="shared" si="198"/>
        <v>4.0327298735769581</v>
      </c>
      <c r="BF73" s="1517">
        <f t="shared" si="199"/>
        <v>20.360881074386228</v>
      </c>
      <c r="BH73" s="1553">
        <f>+BH230</f>
        <v>59.74199999999999</v>
      </c>
      <c r="BI73" s="1516">
        <f t="shared" si="200"/>
        <v>6.0910941885729022</v>
      </c>
      <c r="BJ73" s="1517">
        <f t="shared" si="201"/>
        <v>20.542361937813979</v>
      </c>
      <c r="BL73" s="1553">
        <f>+BL230</f>
        <v>60.059000000000012</v>
      </c>
      <c r="BM73" s="1516">
        <f t="shared" si="202"/>
        <v>6.4166215273437466</v>
      </c>
      <c r="BN73" s="1517">
        <f t="shared" si="203"/>
        <v>0.53061497773763122</v>
      </c>
      <c r="BP73" s="1553">
        <f>+BP230</f>
        <v>61.396999999999998</v>
      </c>
      <c r="BQ73" s="1516">
        <f t="shared" si="204"/>
        <v>5.3416751058816976</v>
      </c>
      <c r="BR73" s="1517">
        <f t="shared" si="205"/>
        <v>2.227809320834484</v>
      </c>
      <c r="BT73" s="1553">
        <f>+BT230</f>
        <v>59.387000000000015</v>
      </c>
      <c r="BU73" s="1516">
        <f t="shared" si="206"/>
        <v>4.4693380695608331</v>
      </c>
      <c r="BV73" s="1517">
        <f t="shared" si="207"/>
        <v>-3.2737755916412592</v>
      </c>
      <c r="BW73" s="114"/>
      <c r="BX73" s="1553">
        <f>+BX230</f>
        <v>58.729000000000028</v>
      </c>
      <c r="BY73" s="1516">
        <f t="shared" si="208"/>
        <v>3.9991665140197945</v>
      </c>
      <c r="BZ73" s="1517">
        <f t="shared" si="209"/>
        <v>-1.107986596393129</v>
      </c>
      <c r="CA73" s="1517"/>
      <c r="CB73" s="1553">
        <f>+CB230</f>
        <v>54.631000000000014</v>
      </c>
      <c r="CC73" s="1516">
        <f t="shared" si="210"/>
        <v>4.2051762054348396</v>
      </c>
      <c r="CD73" s="1517">
        <f t="shared" si="211"/>
        <v>-6.9778133460471121</v>
      </c>
      <c r="CE73" s="1611"/>
      <c r="CF73" s="1553">
        <f>+CF230</f>
        <v>51.454999999999977</v>
      </c>
      <c r="CG73" s="1516">
        <f t="shared" si="212"/>
        <v>4.5960676847001967</v>
      </c>
      <c r="CH73" s="1517">
        <f t="shared" si="213"/>
        <v>-5.8135490838535535</v>
      </c>
      <c r="CI73" s="1611"/>
      <c r="CJ73" s="1553">
        <f>+CJ230</f>
        <v>53.316000000000017</v>
      </c>
      <c r="CK73" s="1516">
        <f t="shared" si="214"/>
        <v>4.7905977914154541</v>
      </c>
      <c r="CL73" s="1517">
        <f t="shared" si="215"/>
        <v>3.6167525021864488</v>
      </c>
      <c r="CM73" s="1611"/>
      <c r="CN73" s="1553">
        <f>+CN230</f>
        <v>48.747999999999976</v>
      </c>
      <c r="CO73" s="1516">
        <f t="shared" si="216"/>
        <v>4.7037572742369198</v>
      </c>
      <c r="CP73" s="1517">
        <f t="shared" si="217"/>
        <v>-8.567784529972311</v>
      </c>
      <c r="CQ73" s="1611"/>
      <c r="CR73" s="1553">
        <f>+CR230</f>
        <v>46</v>
      </c>
      <c r="CS73" s="1516">
        <f t="shared" si="218"/>
        <v>3.8553150546700445</v>
      </c>
      <c r="CT73" s="1517">
        <f t="shared" si="219"/>
        <v>-5.6371543447935828</v>
      </c>
      <c r="CU73" s="1611"/>
      <c r="CV73" s="1553">
        <f>+CV230</f>
        <v>45</v>
      </c>
      <c r="CW73" s="1516">
        <f t="shared" si="220"/>
        <v>4.0441409882612778</v>
      </c>
      <c r="CX73" s="1517">
        <f t="shared" si="221"/>
        <v>-2.1739130434782594</v>
      </c>
    </row>
    <row r="74" spans="1:130" ht="12.75" hidden="1" customHeight="1" outlineLevel="1">
      <c r="B74" s="114" t="str">
        <f>$B$14</f>
        <v>Year</v>
      </c>
      <c r="D74" s="1536">
        <f>SUM(D70:D73)</f>
        <v>0</v>
      </c>
      <c r="E74" s="1516">
        <f t="shared" si="175"/>
        <v>0</v>
      </c>
      <c r="F74" s="1517"/>
      <c r="H74" s="1536">
        <f>SUM(H70:H73)</f>
        <v>0</v>
      </c>
      <c r="I74" s="1516">
        <f t="shared" si="176"/>
        <v>0</v>
      </c>
      <c r="J74" s="1517"/>
      <c r="L74" s="1544">
        <v>11.759</v>
      </c>
      <c r="M74" s="1516">
        <f t="shared" si="177"/>
        <v>3.5062557398948035</v>
      </c>
      <c r="N74" s="1517"/>
      <c r="P74" s="1544">
        <v>16.341999999999999</v>
      </c>
      <c r="Q74" s="1516">
        <f t="shared" si="178"/>
        <v>3.1329500380547417</v>
      </c>
      <c r="R74" s="1517">
        <f t="shared" si="179"/>
        <v>38.974402585253841</v>
      </c>
      <c r="T74" s="1544">
        <v>20.946000000000002</v>
      </c>
      <c r="U74" s="1516">
        <f t="shared" si="180"/>
        <v>2.6014058968181026</v>
      </c>
      <c r="V74" s="1517">
        <f t="shared" si="181"/>
        <v>28.172806266062935</v>
      </c>
      <c r="X74" s="1544">
        <v>27.721</v>
      </c>
      <c r="Y74" s="1516">
        <f t="shared" si="182"/>
        <v>2.6891191609319618</v>
      </c>
      <c r="Z74" s="1517">
        <f t="shared" si="183"/>
        <v>32.345077819154014</v>
      </c>
      <c r="AB74" s="1544">
        <v>30.731000000000002</v>
      </c>
      <c r="AC74" s="1516">
        <f t="shared" si="184"/>
        <v>2.4831044502118611</v>
      </c>
      <c r="AD74" s="1517">
        <f t="shared" si="185"/>
        <v>10.858194148840239</v>
      </c>
      <c r="AF74" s="1544">
        <v>41.155000000000001</v>
      </c>
      <c r="AG74" s="1516">
        <f t="shared" si="186"/>
        <v>3.0153430442692364</v>
      </c>
      <c r="AH74" s="1517">
        <f t="shared" si="187"/>
        <v>33.920145781133051</v>
      </c>
      <c r="AJ74" s="1536">
        <f>SUM(AJ70:AJ73)</f>
        <v>55.989000000000004</v>
      </c>
      <c r="AK74" s="1516">
        <f t="shared" si="188"/>
        <v>3.5086169134774288</v>
      </c>
      <c r="AL74" s="1517">
        <f t="shared" si="189"/>
        <v>36.044223059166569</v>
      </c>
      <c r="AN74" s="1536">
        <f>SUM(AN70:AN73)</f>
        <v>89.539000000000001</v>
      </c>
      <c r="AO74" s="1516">
        <f t="shared" si="190"/>
        <v>5.2429165088133391</v>
      </c>
      <c r="AP74" s="1517">
        <f t="shared" si="191"/>
        <v>59.922484773794849</v>
      </c>
      <c r="AR74" s="1536">
        <f>SUM(AR70:AR73)</f>
        <v>105.81399999999999</v>
      </c>
      <c r="AS74" s="1516">
        <f t="shared" si="192"/>
        <v>5.2350669435904642</v>
      </c>
      <c r="AT74" s="1517">
        <f t="shared" si="193"/>
        <v>18.176437083282138</v>
      </c>
      <c r="AV74" s="1536">
        <f>SUM(AV70:AV73)</f>
        <v>124.206</v>
      </c>
      <c r="AW74" s="1516">
        <f t="shared" si="194"/>
        <v>4.4602833112664104</v>
      </c>
      <c r="AX74" s="1517">
        <f t="shared" si="195"/>
        <v>17.381442909255874</v>
      </c>
      <c r="AZ74" s="1536">
        <f>SUM(AZ70:AZ73)</f>
        <v>146.15600000000001</v>
      </c>
      <c r="BA74" s="1516">
        <f t="shared" si="196"/>
        <v>4.4047329873984307</v>
      </c>
      <c r="BB74" s="1517">
        <f t="shared" si="197"/>
        <v>17.672254158414248</v>
      </c>
      <c r="BD74" s="1536">
        <f>SUM(BD70:BD73)</f>
        <v>183.71600000000001</v>
      </c>
      <c r="BE74" s="1516">
        <f t="shared" si="198"/>
        <v>4.8992932244968941</v>
      </c>
      <c r="BF74" s="1517">
        <f t="shared" si="199"/>
        <v>25.698568652672481</v>
      </c>
      <c r="BH74" s="1536">
        <f>SUM(BH70:BH73)</f>
        <v>225.334</v>
      </c>
      <c r="BI74" s="1516">
        <f t="shared" si="200"/>
        <v>6.467575013841623</v>
      </c>
      <c r="BJ74" s="1517">
        <f t="shared" si="201"/>
        <v>22.653443358226831</v>
      </c>
      <c r="BL74" s="1536">
        <f>SUM(BL70:BL73)</f>
        <v>238.75200000000001</v>
      </c>
      <c r="BM74" s="1516">
        <f t="shared" si="202"/>
        <v>8.1523581885697229</v>
      </c>
      <c r="BN74" s="1517">
        <f t="shared" si="203"/>
        <v>5.9547161103073787</v>
      </c>
      <c r="BP74" s="1536">
        <f>SUM(BP70:BP73)</f>
        <v>229.15299999999999</v>
      </c>
      <c r="BQ74" s="1516">
        <f t="shared" si="204"/>
        <v>6.6061630961468829</v>
      </c>
      <c r="BR74" s="1517">
        <f t="shared" si="205"/>
        <v>-4.0204898807130522</v>
      </c>
      <c r="BT74" s="1536">
        <f>SUM(BT70:BT73)</f>
        <v>232.95600000000002</v>
      </c>
      <c r="BU74" s="1516">
        <f t="shared" si="206"/>
        <v>5.6025192529781931</v>
      </c>
      <c r="BV74" s="1517">
        <f t="shared" si="207"/>
        <v>1.6595898809965481</v>
      </c>
      <c r="BW74" s="114"/>
      <c r="BX74" s="1536">
        <f>SUM(BX70:BX73)</f>
        <v>224.245</v>
      </c>
      <c r="BY74" s="1516">
        <f t="shared" si="208"/>
        <v>4.9712856131001004</v>
      </c>
      <c r="BZ74" s="1517">
        <f t="shared" si="209"/>
        <v>-3.7393327495321094</v>
      </c>
      <c r="CA74" s="1517"/>
      <c r="CB74" s="1536">
        <f>SUM(CB70:CB73)</f>
        <v>235.24</v>
      </c>
      <c r="CC74" s="1516">
        <f t="shared" si="210"/>
        <v>5.7140122767220074</v>
      </c>
      <c r="CD74" s="1517">
        <f t="shared" si="211"/>
        <v>4.9031193560614472</v>
      </c>
      <c r="CE74" s="1611"/>
      <c r="CF74" s="1536">
        <f>SUM(CF70:CF73)</f>
        <v>226.42099999999999</v>
      </c>
      <c r="CG74" s="1516">
        <f t="shared" si="212"/>
        <v>6.0475209867442299</v>
      </c>
      <c r="CH74" s="1517">
        <f t="shared" si="213"/>
        <v>-3.748937255568785</v>
      </c>
      <c r="CI74" s="1611"/>
      <c r="CJ74" s="1536">
        <f>SUM(CJ70:CJ73)</f>
        <v>213.68</v>
      </c>
      <c r="CK74" s="1516">
        <f t="shared" si="214"/>
        <v>6.0727318198870028</v>
      </c>
      <c r="CL74" s="1517">
        <f t="shared" si="215"/>
        <v>-5.627128225738776</v>
      </c>
      <c r="CM74" s="1611"/>
      <c r="CN74" s="1536">
        <f>SUM(CN70:CN73)</f>
        <v>195.41399999999999</v>
      </c>
      <c r="CO74" s="1516">
        <f t="shared" si="216"/>
        <v>5.8740388488430115</v>
      </c>
      <c r="CP74" s="1517">
        <f t="shared" si="217"/>
        <v>-8.5482965181580042</v>
      </c>
      <c r="CQ74" s="1611"/>
      <c r="CR74" s="1536">
        <f>SUM(CR70:CR73)</f>
        <v>192.14699999999999</v>
      </c>
      <c r="CS74" s="1516">
        <f t="shared" si="218"/>
        <v>5.5014043616811108</v>
      </c>
      <c r="CT74" s="1517">
        <f t="shared" si="219"/>
        <v>-1.671835180693293</v>
      </c>
      <c r="CU74" s="1611"/>
      <c r="CV74" s="1536">
        <f>SUM(CV70:CV73)</f>
        <v>180</v>
      </c>
      <c r="CW74" s="1516">
        <f t="shared" si="220"/>
        <v>5.1313331066852292</v>
      </c>
      <c r="CX74" s="1517">
        <f t="shared" si="221"/>
        <v>-6.321722431263554</v>
      </c>
    </row>
    <row r="75" spans="1:130" ht="12.75" hidden="1" customHeight="1" outlineLevel="1">
      <c r="A75" s="114" t="str">
        <f>$A$15</f>
        <v>6 Mos</v>
      </c>
      <c r="D75" s="1537">
        <f>SUM(D70:D71)</f>
        <v>0</v>
      </c>
      <c r="E75" s="1516">
        <f t="shared" si="175"/>
        <v>0</v>
      </c>
      <c r="F75" s="1517"/>
      <c r="H75" s="1537">
        <f>SUM(H70:H71)</f>
        <v>0</v>
      </c>
      <c r="I75" s="1516">
        <f t="shared" si="176"/>
        <v>0</v>
      </c>
      <c r="J75" s="1517"/>
      <c r="L75" s="1548">
        <v>5.4870000000000001</v>
      </c>
      <c r="M75" s="1516">
        <f t="shared" si="177"/>
        <v>5.0594277600022135</v>
      </c>
      <c r="N75" s="1517"/>
      <c r="P75" s="1548">
        <v>7.08</v>
      </c>
      <c r="Q75" s="1516">
        <f t="shared" si="178"/>
        <v>4.3987176619697301</v>
      </c>
      <c r="R75" s="1517">
        <f t="shared" si="179"/>
        <v>29.032258064516125</v>
      </c>
      <c r="T75" s="1548">
        <v>9.952</v>
      </c>
      <c r="U75" s="1516">
        <f t="shared" si="180"/>
        <v>3.590511409759177</v>
      </c>
      <c r="V75" s="1517">
        <f t="shared" si="181"/>
        <v>40.564971751412429</v>
      </c>
      <c r="X75" s="1548">
        <v>14.073</v>
      </c>
      <c r="Y75" s="1516">
        <f t="shared" si="182"/>
        <v>3.6777349772901888</v>
      </c>
      <c r="Z75" s="1517">
        <f t="shared" si="183"/>
        <v>41.408762057877823</v>
      </c>
      <c r="AB75" s="1548">
        <v>13.664</v>
      </c>
      <c r="AC75" s="1516">
        <f t="shared" si="184"/>
        <v>3.1481187087736755</v>
      </c>
      <c r="AD75" s="1517">
        <f t="shared" si="185"/>
        <v>-2.9062744262062123</v>
      </c>
      <c r="AF75" s="1548">
        <v>18.684999999999999</v>
      </c>
      <c r="AG75" s="1516">
        <f t="shared" si="186"/>
        <v>3.4360311587433516</v>
      </c>
      <c r="AH75" s="1517">
        <f t="shared" si="187"/>
        <v>36.746194379391085</v>
      </c>
      <c r="AJ75" s="1537">
        <f>SUM(AJ70:AJ71)</f>
        <v>25.789000000000001</v>
      </c>
      <c r="AK75" s="1516">
        <f t="shared" si="188"/>
        <v>4.0173160982387932</v>
      </c>
      <c r="AL75" s="1517">
        <f t="shared" si="189"/>
        <v>38.019801980198032</v>
      </c>
      <c r="AN75" s="1537">
        <f>SUM(AN70:AN71)</f>
        <v>42.246000000000002</v>
      </c>
      <c r="AO75" s="1516">
        <f t="shared" si="190"/>
        <v>6.0141705851452292</v>
      </c>
      <c r="AP75" s="1517">
        <f t="shared" si="191"/>
        <v>63.814029237271711</v>
      </c>
      <c r="AR75" s="1537">
        <f>SUM(AR70:AR71)</f>
        <v>51.533999999999999</v>
      </c>
      <c r="AS75" s="1516">
        <f t="shared" si="192"/>
        <v>6.336594218936745</v>
      </c>
      <c r="AT75" s="1517">
        <f t="shared" si="193"/>
        <v>21.98551342138899</v>
      </c>
      <c r="AV75" s="1537">
        <f>SUM(AV70:AV71)</f>
        <v>60.527999999999999</v>
      </c>
      <c r="AW75" s="1516">
        <f t="shared" si="194"/>
        <v>5.412012328315158</v>
      </c>
      <c r="AX75" s="1517">
        <f t="shared" si="195"/>
        <v>17.452555594364895</v>
      </c>
      <c r="AZ75" s="1537">
        <f>SUM(AZ70:AZ71)</f>
        <v>66.822999999999993</v>
      </c>
      <c r="BA75" s="1516">
        <f t="shared" si="196"/>
        <v>5.0778628947382405</v>
      </c>
      <c r="BB75" s="1517">
        <f t="shared" si="197"/>
        <v>10.400145387258775</v>
      </c>
      <c r="BD75" s="1537">
        <f>SUM(BD70:BD71)</f>
        <v>87.731999999999999</v>
      </c>
      <c r="BE75" s="1516">
        <f t="shared" si="198"/>
        <v>5.6712959970212324</v>
      </c>
      <c r="BF75" s="1517">
        <f t="shared" si="199"/>
        <v>31.290124657677755</v>
      </c>
      <c r="BH75" s="1537">
        <f>SUM(BH70:BH71)</f>
        <v>108.417</v>
      </c>
      <c r="BI75" s="1516">
        <f t="shared" si="200"/>
        <v>6.6906025967069374</v>
      </c>
      <c r="BJ75" s="1517">
        <f t="shared" si="201"/>
        <v>23.57748598003009</v>
      </c>
      <c r="BL75" s="1537">
        <f>SUM(BL70:BL71)</f>
        <v>118.39100000000001</v>
      </c>
      <c r="BM75" s="1516">
        <f t="shared" si="202"/>
        <v>9.5557528552403248</v>
      </c>
      <c r="BN75" s="1517">
        <f t="shared" si="203"/>
        <v>9.1996642592951261</v>
      </c>
      <c r="BP75" s="1537">
        <f>SUM(BP70:BP71)</f>
        <v>112.40300000000001</v>
      </c>
      <c r="BQ75" s="1516">
        <f t="shared" si="204"/>
        <v>7.8406001107699357</v>
      </c>
      <c r="BR75" s="1517">
        <f t="shared" si="205"/>
        <v>-5.0578168948653186</v>
      </c>
      <c r="BT75" s="1537">
        <f>SUM(BT70:BT71)</f>
        <v>116.39700000000001</v>
      </c>
      <c r="BU75" s="1516">
        <f t="shared" si="206"/>
        <v>6.6382196794067889</v>
      </c>
      <c r="BV75" s="1517">
        <f t="shared" si="207"/>
        <v>3.5532859443253351</v>
      </c>
      <c r="BW75" s="114"/>
      <c r="BX75" s="1537">
        <f>SUM(BX70:BX71)</f>
        <v>109.34699999999999</v>
      </c>
      <c r="BY75" s="1516">
        <f t="shared" si="208"/>
        <v>5.8392363660636804</v>
      </c>
      <c r="BZ75" s="1517">
        <f t="shared" si="209"/>
        <v>-6.0568571354931873</v>
      </c>
      <c r="CA75" s="1517"/>
      <c r="CB75" s="1537">
        <f>SUM(CB70:CB71)</f>
        <v>120.313</v>
      </c>
      <c r="CC75" s="1516">
        <f t="shared" si="210"/>
        <v>6.7422373179218216</v>
      </c>
      <c r="CD75" s="1517">
        <f t="shared" si="211"/>
        <v>10.02862447072166</v>
      </c>
      <c r="CE75" s="1611"/>
      <c r="CF75" s="1537">
        <f>SUM(CF70:CF71)</f>
        <v>118.762</v>
      </c>
      <c r="CG75" s="1516">
        <f t="shared" si="212"/>
        <v>6.9328495131150429</v>
      </c>
      <c r="CH75" s="1517">
        <f t="shared" si="213"/>
        <v>-1.2891374996883198</v>
      </c>
      <c r="CI75" s="1611"/>
      <c r="CJ75" s="1537">
        <f>SUM(CJ70:CJ71)</f>
        <v>108.35899999999999</v>
      </c>
      <c r="CK75" s="1516">
        <f t="shared" si="214"/>
        <v>7.0953746059725846</v>
      </c>
      <c r="CL75" s="1517">
        <f t="shared" si="215"/>
        <v>-8.7595358784796513</v>
      </c>
      <c r="CM75" s="1611"/>
      <c r="CN75" s="1537">
        <f>SUM(CN70:CN71)</f>
        <v>99.933000000000007</v>
      </c>
      <c r="CO75" s="1516">
        <f t="shared" si="216"/>
        <v>6.8044446472015325</v>
      </c>
      <c r="CP75" s="1517">
        <f t="shared" si="217"/>
        <v>-7.7760038390904178</v>
      </c>
      <c r="CQ75" s="1611"/>
      <c r="CR75" s="1537">
        <f>SUM(CR70:CR71)</f>
        <v>95.501999999999995</v>
      </c>
      <c r="CS75" s="1516">
        <f t="shared" si="218"/>
        <v>6.630149539717582</v>
      </c>
      <c r="CT75" s="1517">
        <f t="shared" si="219"/>
        <v>-4.4339707604094887</v>
      </c>
      <c r="CU75" s="1611"/>
      <c r="CV75" s="1537">
        <f>SUM(CV70:CV71)</f>
        <v>90</v>
      </c>
      <c r="CW75" s="1516">
        <f t="shared" si="220"/>
        <v>5.8779452630546603</v>
      </c>
      <c r="CX75" s="1517">
        <f t="shared" si="221"/>
        <v>-5.7611358924420379</v>
      </c>
    </row>
    <row r="76" spans="1:130" ht="12.75" hidden="1" customHeight="1" outlineLevel="1">
      <c r="A76" s="114" t="str">
        <f>$A$16</f>
        <v>9 Mos</v>
      </c>
      <c r="D76" s="1537">
        <f>SUM(D70:D72)</f>
        <v>0</v>
      </c>
      <c r="E76" s="1516">
        <f t="shared" si="175"/>
        <v>0</v>
      </c>
      <c r="F76" s="1517"/>
      <c r="H76" s="1537">
        <f>SUM(H70:H72)</f>
        <v>0</v>
      </c>
      <c r="I76" s="1516">
        <f t="shared" si="176"/>
        <v>0</v>
      </c>
      <c r="J76" s="1517"/>
      <c r="L76" s="1548">
        <v>8.423</v>
      </c>
      <c r="M76" s="1516">
        <f t="shared" si="177"/>
        <v>4.2944034587715851</v>
      </c>
      <c r="N76" s="1517"/>
      <c r="P76" s="1548">
        <v>11.763999999999999</v>
      </c>
      <c r="Q76" s="1516">
        <f t="shared" si="178"/>
        <v>3.8013132044256022</v>
      </c>
      <c r="R76" s="1517">
        <f t="shared" si="179"/>
        <v>39.665202421939917</v>
      </c>
      <c r="T76" s="1548">
        <v>14.603</v>
      </c>
      <c r="U76" s="1516">
        <f t="shared" si="180"/>
        <v>2.8911392906284954</v>
      </c>
      <c r="V76" s="1517">
        <f t="shared" si="181"/>
        <v>24.132947976878615</v>
      </c>
      <c r="X76" s="1548">
        <v>20.919</v>
      </c>
      <c r="Y76" s="1516">
        <f t="shared" si="182"/>
        <v>3.1355109088619888</v>
      </c>
      <c r="Z76" s="1517">
        <f t="shared" si="183"/>
        <v>43.251386701362748</v>
      </c>
      <c r="AB76" s="1548">
        <v>21.111999999999998</v>
      </c>
      <c r="AC76" s="1516">
        <f t="shared" si="184"/>
        <v>2.6450870064736467</v>
      </c>
      <c r="AD76" s="1517">
        <f t="shared" si="185"/>
        <v>0.92260624312825446</v>
      </c>
      <c r="AF76" s="1548">
        <v>29.196000000000002</v>
      </c>
      <c r="AG76" s="1516">
        <f t="shared" si="186"/>
        <v>3.250251316699118</v>
      </c>
      <c r="AH76" s="1517">
        <f t="shared" si="187"/>
        <v>38.291019325502099</v>
      </c>
      <c r="AJ76" s="1537">
        <f>SUM(AJ70:AJ72)</f>
        <v>40.289000000000001</v>
      </c>
      <c r="AK76" s="1516">
        <f t="shared" si="188"/>
        <v>3.7962827730795512</v>
      </c>
      <c r="AL76" s="1517">
        <f t="shared" si="189"/>
        <v>37.994930812440053</v>
      </c>
      <c r="AN76" s="1537">
        <f>SUM(AN70:AN72)</f>
        <v>64.48</v>
      </c>
      <c r="AO76" s="1516">
        <f t="shared" si="190"/>
        <v>5.6195638911645256</v>
      </c>
      <c r="AP76" s="1517">
        <f t="shared" si="191"/>
        <v>60.043684380351969</v>
      </c>
      <c r="AR76" s="1537">
        <f>SUM(AR70:AR72)</f>
        <v>76.989000000000004</v>
      </c>
      <c r="AS76" s="1516">
        <f t="shared" si="192"/>
        <v>5.771289355322339</v>
      </c>
      <c r="AT76" s="1517">
        <f t="shared" si="193"/>
        <v>19.399813895781648</v>
      </c>
      <c r="AV76" s="1537">
        <f>SUM(AV70:AV72)</f>
        <v>90.866</v>
      </c>
      <c r="AW76" s="1516">
        <f t="shared" si="194"/>
        <v>4.9835492308257638</v>
      </c>
      <c r="AX76" s="1517">
        <f t="shared" si="195"/>
        <v>18.024652872488268</v>
      </c>
      <c r="AZ76" s="1537">
        <f>SUM(AZ70:AZ72)</f>
        <v>104.97900000000001</v>
      </c>
      <c r="BA76" s="1516">
        <f t="shared" si="196"/>
        <v>4.8168430519198964</v>
      </c>
      <c r="BB76" s="1517">
        <f t="shared" si="197"/>
        <v>15.531662007791702</v>
      </c>
      <c r="BD76" s="1537">
        <f>SUM(BD70:BD72)</f>
        <v>134.155</v>
      </c>
      <c r="BE76" s="1516">
        <f t="shared" si="198"/>
        <v>5.3217569434141607</v>
      </c>
      <c r="BF76" s="1517">
        <f t="shared" si="199"/>
        <v>27.792225111688996</v>
      </c>
      <c r="BH76" s="1537">
        <f>SUM(BH70:BH72)</f>
        <v>165.59200000000001</v>
      </c>
      <c r="BI76" s="1516">
        <f t="shared" si="200"/>
        <v>6.6150856806836567</v>
      </c>
      <c r="BJ76" s="1517">
        <f t="shared" si="201"/>
        <v>23.433342029741723</v>
      </c>
      <c r="BL76" s="1537">
        <f>SUM(BL70:BL72)</f>
        <v>178.69300000000001</v>
      </c>
      <c r="BM76" s="1516">
        <f t="shared" si="202"/>
        <v>8.9676779579190171</v>
      </c>
      <c r="BN76" s="1517">
        <f t="shared" si="203"/>
        <v>7.9116140876370755</v>
      </c>
      <c r="BP76" s="1537">
        <f>SUM(BP70:BP72)</f>
        <v>167.756</v>
      </c>
      <c r="BQ76" s="1516">
        <f t="shared" si="204"/>
        <v>7.232794971069854</v>
      </c>
      <c r="BR76" s="1517">
        <f t="shared" si="205"/>
        <v>-6.12055312743085</v>
      </c>
      <c r="BT76" s="1537">
        <f>SUM(BT70:BT72)</f>
        <v>173.56899999999999</v>
      </c>
      <c r="BU76" s="1516">
        <f t="shared" si="206"/>
        <v>6.1347128063442007</v>
      </c>
      <c r="BV76" s="1517">
        <f t="shared" si="207"/>
        <v>3.4651517680440502</v>
      </c>
      <c r="BW76" s="114"/>
      <c r="BX76" s="1537">
        <f>SUM(BX70:BX72)</f>
        <v>165.51599999999999</v>
      </c>
      <c r="BY76" s="1516">
        <f t="shared" si="208"/>
        <v>5.4405355993575855</v>
      </c>
      <c r="BZ76" s="1517">
        <f t="shared" si="209"/>
        <v>-4.6396533943273255</v>
      </c>
      <c r="CA76" s="1517"/>
      <c r="CB76" s="1537">
        <f>SUM(CB70:CB72)</f>
        <v>180.60900000000001</v>
      </c>
      <c r="CC76" s="1516">
        <f t="shared" si="210"/>
        <v>6.4096658338538406</v>
      </c>
      <c r="CD76" s="1517">
        <f t="shared" si="211"/>
        <v>9.1187558906691955</v>
      </c>
      <c r="CE76" s="1611"/>
      <c r="CF76" s="1537">
        <f>SUM(CF70:CF72)</f>
        <v>174.96600000000001</v>
      </c>
      <c r="CG76" s="1516">
        <f t="shared" si="212"/>
        <v>6.6666768273863921</v>
      </c>
      <c r="CH76" s="1517">
        <f t="shared" si="213"/>
        <v>-3.1244290151653531</v>
      </c>
      <c r="CI76" s="1611"/>
      <c r="CJ76" s="1537">
        <f>SUM(CJ70:CJ72)</f>
        <v>160.364</v>
      </c>
      <c r="CK76" s="1516">
        <f t="shared" si="214"/>
        <v>6.6658630364751117</v>
      </c>
      <c r="CL76" s="1517">
        <f t="shared" si="215"/>
        <v>-8.3456214350216662</v>
      </c>
      <c r="CM76" s="1611"/>
      <c r="CN76" s="1537">
        <f>SUM(CN70:CN72)</f>
        <v>146.666</v>
      </c>
      <c r="CO76" s="1516">
        <f t="shared" si="216"/>
        <v>6.4035746080230469</v>
      </c>
      <c r="CP76" s="1517">
        <f t="shared" si="217"/>
        <v>-8.5418173654935092</v>
      </c>
      <c r="CQ76" s="1611"/>
      <c r="CR76" s="1537">
        <f>SUM(CR70:CR72)</f>
        <v>146.14699999999999</v>
      </c>
      <c r="CS76" s="1516">
        <f t="shared" si="218"/>
        <v>6.3555105995480812</v>
      </c>
      <c r="CT76" s="1517">
        <f t="shared" si="219"/>
        <v>-0.35386524484202209</v>
      </c>
      <c r="CU76" s="1611"/>
      <c r="CV76" s="1537">
        <f>SUM(CV70:CV72)</f>
        <v>135</v>
      </c>
      <c r="CW76" s="1516">
        <f t="shared" si="220"/>
        <v>5.6364148915928407</v>
      </c>
      <c r="CX76" s="1517">
        <f t="shared" si="221"/>
        <v>-7.627252013383778</v>
      </c>
    </row>
    <row r="77" spans="1:130" ht="12.75" hidden="1" customHeight="1" outlineLevel="1">
      <c r="BT77" s="114"/>
      <c r="BU77" s="114"/>
      <c r="BV77" s="114"/>
      <c r="BW77" s="114"/>
      <c r="BX77" s="114"/>
      <c r="BY77" s="114"/>
      <c r="BZ77" s="114"/>
      <c r="CA77" s="114"/>
      <c r="CB77" s="200"/>
      <c r="CC77" s="200"/>
      <c r="CD77" s="200"/>
      <c r="CE77" s="200"/>
      <c r="CF77" s="200"/>
      <c r="CG77" s="200"/>
      <c r="CH77" s="200"/>
      <c r="CI77" s="200"/>
      <c r="CJ77" s="200"/>
      <c r="CK77" s="200"/>
      <c r="CL77" s="200"/>
      <c r="CM77" s="200"/>
      <c r="CN77" s="200"/>
      <c r="CO77" s="200"/>
      <c r="CP77" s="200"/>
      <c r="CQ77" s="200"/>
      <c r="CR77" s="200"/>
      <c r="CS77" s="200"/>
      <c r="CT77" s="200"/>
      <c r="CU77" s="200"/>
      <c r="CV77" s="200"/>
      <c r="CW77" s="200"/>
      <c r="CX77" s="200"/>
    </row>
    <row r="78" spans="1:130" collapsed="1">
      <c r="C78" s="313"/>
      <c r="D78" s="313"/>
      <c r="H78" s="1629"/>
      <c r="I78" s="1533"/>
      <c r="J78" s="1533"/>
      <c r="K78" s="1533"/>
      <c r="L78" s="1629"/>
      <c r="M78" s="1533"/>
      <c r="N78" s="1533"/>
      <c r="O78" s="1533"/>
      <c r="P78" s="1629"/>
      <c r="Q78" s="1533"/>
      <c r="R78" s="1533"/>
      <c r="S78" s="1533"/>
      <c r="T78" s="1629"/>
      <c r="U78" s="1533"/>
      <c r="V78" s="1533"/>
      <c r="W78" s="1533"/>
      <c r="Y78" s="1533"/>
      <c r="Z78" s="1533"/>
      <c r="AA78" s="1533"/>
      <c r="AC78" s="1533"/>
      <c r="AD78" s="1533"/>
      <c r="AE78" s="1533"/>
      <c r="AF78" s="1629"/>
      <c r="AG78" s="1533"/>
      <c r="AH78" s="1533"/>
      <c r="AI78" s="1533"/>
      <c r="AK78" s="1533"/>
      <c r="AL78" s="1533"/>
      <c r="AM78" s="1533"/>
      <c r="AN78" s="1629"/>
      <c r="AO78" s="1533"/>
      <c r="AP78" s="1533"/>
      <c r="AQ78" s="1533"/>
      <c r="AS78" s="1533"/>
      <c r="AT78" s="1533"/>
      <c r="AU78" s="1533"/>
      <c r="AV78" s="1629"/>
      <c r="AW78" s="1533"/>
      <c r="AX78" s="1533"/>
      <c r="AY78" s="1533"/>
      <c r="AZ78" s="1629"/>
      <c r="BA78" s="1533"/>
      <c r="BB78" s="1533"/>
      <c r="BC78" s="1533"/>
      <c r="BD78" s="1629"/>
      <c r="BE78" s="1533"/>
      <c r="BF78" s="1533"/>
      <c r="BG78" s="1533"/>
      <c r="BH78" s="1629"/>
      <c r="BI78" s="22"/>
      <c r="BJ78" s="1533"/>
      <c r="BK78" s="1533"/>
      <c r="BL78" s="1629"/>
      <c r="BM78" s="1533"/>
      <c r="BN78" s="1533"/>
      <c r="BO78" s="1533"/>
      <c r="BP78" s="1629"/>
      <c r="BQ78" s="1533"/>
      <c r="BR78" s="1533"/>
      <c r="BS78" s="1534"/>
      <c r="BT78" s="1629"/>
      <c r="BV78" s="1533"/>
      <c r="BW78" s="1533"/>
      <c r="BX78" s="1629"/>
      <c r="BY78" s="1533"/>
      <c r="BZ78" s="1533"/>
      <c r="CA78" s="1533"/>
      <c r="CB78" s="200"/>
      <c r="CC78" s="1629" t="s">
        <v>594</v>
      </c>
      <c r="CD78" s="200"/>
      <c r="CE78" s="200"/>
      <c r="CF78" s="1556"/>
      <c r="CG78" s="200"/>
      <c r="CH78" s="200"/>
      <c r="CI78" s="200"/>
      <c r="CJ78" s="1556"/>
      <c r="CK78" s="200"/>
      <c r="CL78" s="200"/>
      <c r="CM78" s="200"/>
      <c r="CN78" s="1556"/>
      <c r="CO78" s="200"/>
      <c r="CP78" s="200"/>
      <c r="CQ78" s="200"/>
      <c r="CR78" s="2251"/>
      <c r="CS78" s="1561"/>
      <c r="CT78" s="200"/>
      <c r="CU78" s="200"/>
      <c r="CV78" s="1556"/>
      <c r="CW78" s="200"/>
      <c r="CX78" s="200"/>
    </row>
    <row r="79" spans="1:130">
      <c r="AB79" s="312"/>
      <c r="AC79" s="312"/>
      <c r="AD79" s="312"/>
      <c r="AE79" s="312"/>
      <c r="AF79" s="312"/>
      <c r="AR79" s="1630"/>
      <c r="AZ79" s="1536"/>
      <c r="BD79" s="1536"/>
      <c r="BH79" s="1536"/>
      <c r="BL79" s="1536"/>
      <c r="BM79" s="1516">
        <f>BM83-BI83</f>
        <v>-2.4660760220394025</v>
      </c>
      <c r="BP79" s="1536"/>
      <c r="BT79" s="1536"/>
      <c r="BU79" s="1631"/>
      <c r="BV79" s="114"/>
      <c r="BW79" s="114"/>
      <c r="BX79" s="1536"/>
      <c r="BY79" s="1631"/>
      <c r="BZ79" s="114"/>
      <c r="CA79" s="114"/>
      <c r="CB79" s="200"/>
      <c r="CC79" s="200"/>
      <c r="CD79" s="200"/>
      <c r="CE79" s="200"/>
      <c r="CF79" s="200"/>
      <c r="CG79" s="200"/>
      <c r="CH79" s="200"/>
      <c r="CI79" s="200"/>
      <c r="CJ79" s="1994"/>
      <c r="CK79" s="200"/>
      <c r="CL79" s="200"/>
      <c r="CM79" s="200"/>
      <c r="CN79" s="200"/>
      <c r="CO79" s="200"/>
      <c r="CP79" s="200"/>
      <c r="CQ79" s="200"/>
      <c r="CR79" s="2016"/>
      <c r="CS79" s="200"/>
      <c r="CT79" s="200"/>
      <c r="CU79" s="200"/>
      <c r="CV79" s="200"/>
      <c r="CW79" s="200"/>
      <c r="CX79" s="200"/>
      <c r="CZ79" s="1500"/>
      <c r="DA79" s="1500"/>
    </row>
    <row r="80" spans="1:130">
      <c r="A80" s="114" t="str">
        <f>$A$10</f>
        <v>1Q</v>
      </c>
      <c r="B80" s="114" t="str">
        <f>$B$10</f>
        <v>Apr</v>
      </c>
      <c r="D80" s="1536">
        <f>D10-D20-D50</f>
        <v>-2.0249999999999995</v>
      </c>
      <c r="E80" s="1516">
        <f t="shared" ref="E80:E86" si="222">D80/D10*100</f>
        <v>-8.6542159921364128</v>
      </c>
      <c r="F80" s="1517"/>
      <c r="H80" s="1536">
        <f>H10-H20-H50</f>
        <v>-1.8689999999999998</v>
      </c>
      <c r="I80" s="1516">
        <f t="shared" ref="I80:I86" si="223">H80/H10*100</f>
        <v>-5.5996644395841431</v>
      </c>
      <c r="J80" s="1517" t="str">
        <f t="shared" ref="J80:J86" si="224">IF(D80&lt;0,"       NM",(H80/D80-1)*100)</f>
        <v xml:space="preserve">       NM</v>
      </c>
      <c r="L80" s="1536">
        <f>L10-L20-L50</f>
        <v>-0.3989999999999938</v>
      </c>
      <c r="M80" s="1516">
        <f t="shared" ref="M80:M86" si="225">L80/L10*100</f>
        <v>-0.78204625637003866</v>
      </c>
      <c r="N80" s="1517" t="str">
        <f t="shared" ref="N80:N86" si="226">IF(H80&lt;0,"       NM",(L80/H80-1)*100)</f>
        <v xml:space="preserve">       NM</v>
      </c>
      <c r="P80" s="1536">
        <f>P10-P20-P50</f>
        <v>1.980000000000004</v>
      </c>
      <c r="Q80" s="1516">
        <f t="shared" ref="Q80:Q86" si="227">P80/P10*100</f>
        <v>2.6642984014209645</v>
      </c>
      <c r="R80" s="1517" t="str">
        <f t="shared" ref="R80:R86" si="228">IF(L80&lt;0,"       NM",(P80/L80-1)*100)</f>
        <v xml:space="preserve">       NM</v>
      </c>
      <c r="T80" s="1536">
        <f>T10-T20-T50</f>
        <v>10.338999999999999</v>
      </c>
      <c r="U80" s="1516">
        <f t="shared" ref="U80:U86" si="229">T80/T10*100</f>
        <v>7.8240404407313227</v>
      </c>
      <c r="V80" s="1517">
        <f t="shared" ref="V80:V86" si="230">IF(P80&lt;0,"       NM",(T80/P80-1)*100)</f>
        <v>422.17171717171607</v>
      </c>
      <c r="X80" s="1536">
        <f>X10-X20-X50</f>
        <v>23.043999999999997</v>
      </c>
      <c r="Y80" s="1516">
        <f t="shared" ref="Y80:Y86" si="231">X80/X10*100</f>
        <v>12.360870474770284</v>
      </c>
      <c r="Z80" s="1517">
        <f t="shared" ref="Z80:Z86" si="232">IF(T80&lt;0,"       NM",(X80/T80-1)*100)</f>
        <v>122.8842247799594</v>
      </c>
      <c r="AB80" s="1536">
        <f>AB10-AB20-AB50</f>
        <v>24.475999999999992</v>
      </c>
      <c r="AC80" s="1516">
        <f t="shared" ref="AC80:AC86" si="233">AB80/AB10*100</f>
        <v>11.93916275621201</v>
      </c>
      <c r="AD80" s="1517">
        <f t="shared" ref="AD80:AD86" si="234">IF(X80&lt;0,"       NM",(AB80/X80-1)*100)</f>
        <v>6.2141989237979312</v>
      </c>
      <c r="AF80" s="1536">
        <f>AF10-AF20-AF50</f>
        <v>32.063000000000002</v>
      </c>
      <c r="AG80" s="1516">
        <f t="shared" ref="AG80:AG86" si="235">AF80/AF10*100</f>
        <v>12.159814927184467</v>
      </c>
      <c r="AH80" s="1517">
        <f t="shared" ref="AH80:AH86" si="236">IF(AB80&lt;0,"       NM",(AF80/AB80-1)*100)</f>
        <v>30.997712044451763</v>
      </c>
      <c r="AJ80" s="1536">
        <f>AJ10-AJ20-AJ50</f>
        <v>36.532999999999959</v>
      </c>
      <c r="AK80" s="1516">
        <f t="shared" ref="AK80:AK86" si="237">AJ80/AJ10*100</f>
        <v>11.679646538274625</v>
      </c>
      <c r="AL80" s="1517">
        <f t="shared" ref="AL80:AL86" si="238">IF(AF80&lt;0,"       NM",(AJ80/AF80-1)*100)</f>
        <v>13.941303059601262</v>
      </c>
      <c r="AN80" s="1536">
        <f>AN10-AN20-AN50</f>
        <v>40.493999999999971</v>
      </c>
      <c r="AO80" s="1516">
        <f t="shared" ref="AO80:AO86" si="239">AN80/AN10*100</f>
        <v>11.679097374842085</v>
      </c>
      <c r="AP80" s="1517">
        <f t="shared" ref="AP80:AP86" si="240">IF(AJ80&lt;0,"       NM",(AN80/AJ80-1)*100)</f>
        <v>10.84225221033044</v>
      </c>
      <c r="AR80" s="1536">
        <f>AR10-AR20-AR50</f>
        <v>46.625</v>
      </c>
      <c r="AS80" s="1516">
        <f t="shared" ref="AS80:AS86" si="241">AR80/AR10*100</f>
        <v>11.318670647925618</v>
      </c>
      <c r="AT80" s="1517">
        <f t="shared" ref="AT80:AT86" si="242">IF(AN80&lt;0,"       NM",(AR80/AN80-1)*100)</f>
        <v>15.140514644144897</v>
      </c>
      <c r="AV80" s="1536">
        <f>AV10-AV20-AV50</f>
        <v>67.882999999999925</v>
      </c>
      <c r="AW80" s="1516">
        <f t="shared" ref="AW80:AW86" si="243">AV80/AV10*100</f>
        <v>12.414366964759227</v>
      </c>
      <c r="AX80" s="1517">
        <f t="shared" ref="AX80:AX86" si="244">IF(AR80&lt;0,"       NM",(AV80/AR80-1)*100)</f>
        <v>45.593565683645942</v>
      </c>
      <c r="AY80" s="1560"/>
      <c r="AZ80" s="1536">
        <f>AZ10-AZ20-AZ50</f>
        <v>81.863999999999976</v>
      </c>
      <c r="BA80" s="1516">
        <f t="shared" ref="BA80:BA86" si="245">AZ80/AZ10*100</f>
        <v>12.455136465780473</v>
      </c>
      <c r="BB80" s="1517">
        <f t="shared" ref="BB80:BB86" si="246">IF(AV80&lt;0,"       NM",(AZ80/AV80-1)*100)</f>
        <v>20.595730889913622</v>
      </c>
      <c r="BC80" s="1560"/>
      <c r="BD80" s="1536">
        <f>BD10-BD20-BD50</f>
        <v>88.855999999999995</v>
      </c>
      <c r="BE80" s="1516">
        <f t="shared" ref="BE80:BE86" si="247">BD80/BD10*100</f>
        <v>11.968588785172614</v>
      </c>
      <c r="BF80" s="1517">
        <f t="shared" ref="BF80:BF86" si="248">IF(AZ80&lt;0,"       NM",(BD80/AZ80-1)*100)</f>
        <v>8.5409948206782271</v>
      </c>
      <c r="BG80" s="1560"/>
      <c r="BH80" s="1536">
        <f>BH10-BH20-BH50</f>
        <v>95.994000000000028</v>
      </c>
      <c r="BI80" s="1516">
        <f t="shared" ref="BI80:BI86" si="249">BH80/BH10*100</f>
        <v>12.195304768281082</v>
      </c>
      <c r="BJ80" s="1517">
        <f t="shared" ref="BJ80:BJ86" si="250">IF(BD80&lt;0,"       NM",(BH80/BD80-1)*100)</f>
        <v>8.0332222922481655</v>
      </c>
      <c r="BK80" s="1560"/>
      <c r="BL80" s="1536">
        <f>BL10-BL20-BL50</f>
        <v>-35.202999999999918</v>
      </c>
      <c r="BM80" s="1516">
        <f t="shared" ref="BM80:BM86" si="251">BL80/BL10*100</f>
        <v>-5.850308029029665</v>
      </c>
      <c r="BN80" s="1517">
        <f t="shared" ref="BN80:BN86" si="252">IF(BH80&lt;0,"       NM",(BL80/BH80-1)*100)</f>
        <v>-136.67208367189608</v>
      </c>
      <c r="BO80" s="1560"/>
      <c r="BP80" s="1536">
        <f>BP10-BP20-BP50</f>
        <v>-19.626000000000033</v>
      </c>
      <c r="BQ80" s="1516">
        <f t="shared" ref="BQ80:BQ86" si="253">BP80/BP10*100</f>
        <v>-2.8534291745904405</v>
      </c>
      <c r="BR80" s="1517" t="str">
        <f t="shared" ref="BR80:BR86" si="254">IF(BL80&lt;0,"       NM",(BP80/BL80-1)*100)</f>
        <v xml:space="preserve">       NM</v>
      </c>
      <c r="BS80" s="1562"/>
      <c r="BT80" s="1536">
        <f>BT10-BT20-BT50</f>
        <v>18.784000000000049</v>
      </c>
      <c r="BU80" s="1516">
        <f t="shared" ref="BU80:BU86" si="255">BT80/BT10*100</f>
        <v>2.2450799236022689</v>
      </c>
      <c r="BV80" s="1517" t="str">
        <f t="shared" ref="BV80:BV86" si="256">IF(BP80&lt;0,"       NM",(BT80/BP80-1)*100)</f>
        <v xml:space="preserve">       NM</v>
      </c>
      <c r="BW80" s="1560"/>
      <c r="BX80" s="1536">
        <f>BX10-BX20-BX50</f>
        <v>-31.528999999999996</v>
      </c>
      <c r="BY80" s="1516">
        <f t="shared" ref="BY80:BY86" si="257">BX80/BX10*100</f>
        <v>-3.4225340798812001</v>
      </c>
      <c r="BZ80" s="1517">
        <f t="shared" ref="BZ80:BZ86" si="258">IF(BT80&lt;0,"       NM",(BX80/BT80-1)*100)</f>
        <v>-267.85029812606427</v>
      </c>
      <c r="CA80" s="1517"/>
      <c r="CB80" s="1536">
        <f>CB10-CB20-CB50</f>
        <v>-13.921000000000049</v>
      </c>
      <c r="CC80" s="1516">
        <f>CB80/CB10*100</f>
        <v>-1.6596941470178379</v>
      </c>
      <c r="CD80" s="1517" t="str">
        <f t="shared" ref="CD80:CD86" si="259">IF(BX80&lt;0,"       NM",(CB80/BX80-1)*100)</f>
        <v xml:space="preserve">       NM</v>
      </c>
      <c r="CE80" s="1611"/>
      <c r="CF80" s="1536">
        <f>CF10-CF20-CF50</f>
        <v>-19.493000000000052</v>
      </c>
      <c r="CG80" s="1516">
        <f>CF80/CF10*100</f>
        <v>-2.3701770854105226</v>
      </c>
      <c r="CH80" s="1517" t="str">
        <f t="shared" ref="CH80:CH86" si="260">IF(CB80&lt;0,"       NM",(CF80/CB80-1)*100)</f>
        <v xml:space="preserve">       NM</v>
      </c>
      <c r="CI80" s="1611"/>
      <c r="CJ80" s="1536">
        <f>CJ10-CJ20-CJ50</f>
        <v>-54.308599999999956</v>
      </c>
      <c r="CK80" s="1516">
        <f>CJ80/CJ10*100</f>
        <v>-7.6553306776502499</v>
      </c>
      <c r="CL80" s="1517" t="str">
        <f t="shared" ref="CL80:CL86" si="261">IF(CF80&lt;0,"       NM",(CJ80/CF80-1)*100)</f>
        <v xml:space="preserve">       NM</v>
      </c>
      <c r="CM80" s="1611"/>
      <c r="CN80" s="1536">
        <f>CN10-CN20-CN50</f>
        <v>-57.844000000000051</v>
      </c>
      <c r="CO80" s="1516">
        <f>CN80/CN10*100</f>
        <v>-8.4384295452987246</v>
      </c>
      <c r="CP80" s="1517" t="str">
        <f t="shared" ref="CP80:CP86" si="262">IF(CJ80&lt;0,"       NM",(CN80/CJ80-1)*100)</f>
        <v xml:space="preserve">       NM</v>
      </c>
      <c r="CQ80" s="1611"/>
      <c r="CR80" s="1536">
        <f>CR10-CR20-CR50</f>
        <v>-70.896999999999935</v>
      </c>
      <c r="CS80" s="1516">
        <f>CR80/CR10*100</f>
        <v>-10.724112424916681</v>
      </c>
      <c r="CT80" s="1517" t="str">
        <f t="shared" ref="CT80:CT86" si="263">IF(CN80&lt;0,"       NM",(CR80/CN80-1)*100)</f>
        <v xml:space="preserve">       NM</v>
      </c>
      <c r="CU80" s="1611"/>
      <c r="CV80" s="1536">
        <f>CV10-CV20-CV50</f>
        <v>-60.816439120005043</v>
      </c>
      <c r="CW80" s="1516">
        <f>CV80/CV10*100</f>
        <v>-8.7000000000000064</v>
      </c>
      <c r="CX80" s="1517" t="str">
        <f t="shared" ref="CX80:CX86" si="264">IF(CR80&lt;0,"       NM",(CV80/CR80-1)*100)</f>
        <v xml:space="preserve">       NM</v>
      </c>
      <c r="CY80" s="36"/>
      <c r="CZ80" s="1563">
        <f>CO80-CK80</f>
        <v>-0.78309886764847469</v>
      </c>
    </row>
    <row r="81" spans="1:109">
      <c r="A81" s="114" t="str">
        <f>$A$11</f>
        <v>2Q</v>
      </c>
      <c r="B81" s="114" t="str">
        <f>$B$11</f>
        <v>Jul</v>
      </c>
      <c r="D81" s="1537">
        <f>D11-D21-D51</f>
        <v>-0.83000000000000007</v>
      </c>
      <c r="E81" s="1516">
        <f t="shared" si="222"/>
        <v>-2.8576347047684627</v>
      </c>
      <c r="F81" s="1517"/>
      <c r="H81" s="1537">
        <f>H11-H21-H51</f>
        <v>0.34999999999999964</v>
      </c>
      <c r="I81" s="1516">
        <f t="shared" si="223"/>
        <v>0.90514120202751536</v>
      </c>
      <c r="J81" s="1517" t="str">
        <f t="shared" si="224"/>
        <v xml:space="preserve">       NM</v>
      </c>
      <c r="L81" s="1537">
        <f>L11-L21-L51</f>
        <v>1.8249999999999993</v>
      </c>
      <c r="M81" s="1516">
        <f t="shared" si="225"/>
        <v>3.1777263150563275</v>
      </c>
      <c r="N81" s="1517">
        <f t="shared" si="226"/>
        <v>421.42857142857179</v>
      </c>
      <c r="P81" s="1537">
        <f>P11-P21-P51</f>
        <v>4.59</v>
      </c>
      <c r="Q81" s="1516">
        <f t="shared" si="227"/>
        <v>5.2977839335180059</v>
      </c>
      <c r="R81" s="1517">
        <f t="shared" si="228"/>
        <v>151.50684931506859</v>
      </c>
      <c r="T81" s="1537">
        <f>T11-T21-T51</f>
        <v>17.098000000000006</v>
      </c>
      <c r="U81" s="1516">
        <f t="shared" si="229"/>
        <v>11.789203687487507</v>
      </c>
      <c r="V81" s="1517">
        <f t="shared" si="230"/>
        <v>272.50544662309386</v>
      </c>
      <c r="W81" s="1132"/>
      <c r="X81" s="1537">
        <f>X11-X21-X51</f>
        <v>30.270000000000003</v>
      </c>
      <c r="Y81" s="1516">
        <f t="shared" si="231"/>
        <v>15.426011710926632</v>
      </c>
      <c r="Z81" s="1517">
        <f t="shared" si="232"/>
        <v>77.038250087729509</v>
      </c>
      <c r="AB81" s="1537">
        <f>AB11-AB21-AB51</f>
        <v>33.899000000000015</v>
      </c>
      <c r="AC81" s="1516">
        <f t="shared" si="233"/>
        <v>14.801053132545384</v>
      </c>
      <c r="AD81" s="1517">
        <f t="shared" si="234"/>
        <v>11.988767756855001</v>
      </c>
      <c r="AF81" s="1537">
        <f>AF11-AF21-AF51</f>
        <v>39.929999999999993</v>
      </c>
      <c r="AG81" s="1516">
        <f t="shared" si="235"/>
        <v>14.254808722100842</v>
      </c>
      <c r="AH81" s="1517">
        <f t="shared" si="236"/>
        <v>17.791085282751638</v>
      </c>
      <c r="AJ81" s="1537">
        <f>AJ11-AJ21-AJ51</f>
        <v>48.950999999999965</v>
      </c>
      <c r="AK81" s="1516">
        <f t="shared" si="237"/>
        <v>14.871762153885404</v>
      </c>
      <c r="AL81" s="1517">
        <f t="shared" si="238"/>
        <v>22.592036063110378</v>
      </c>
      <c r="AN81" s="1537">
        <f>AN11-AN21-AN51</f>
        <v>54.987000000000023</v>
      </c>
      <c r="AO81" s="1516">
        <f t="shared" si="239"/>
        <v>15.457987906184384</v>
      </c>
      <c r="AP81" s="1517">
        <f t="shared" si="240"/>
        <v>12.33069804498388</v>
      </c>
      <c r="AR81" s="1537">
        <f>AR11-AR21-AR51</f>
        <v>68.699000000000041</v>
      </c>
      <c r="AS81" s="1516">
        <f t="shared" si="241"/>
        <v>17.117150787599737</v>
      </c>
      <c r="AT81" s="1517">
        <f t="shared" si="242"/>
        <v>24.936803244403237</v>
      </c>
      <c r="AV81" s="1537">
        <f>AV11-AV21-AV51</f>
        <v>89.678999999999974</v>
      </c>
      <c r="AW81" s="1516">
        <f t="shared" si="243"/>
        <v>15.689365297914062</v>
      </c>
      <c r="AX81" s="1517">
        <f>IF(AR81&lt;0,"       NM",(AV81/AR81-1)*100)</f>
        <v>30.539018035196897</v>
      </c>
      <c r="AY81" s="1560"/>
      <c r="AZ81" s="1537">
        <f>AZ11-AZ21-AZ51</f>
        <v>99.423999999999978</v>
      </c>
      <c r="BA81" s="1516">
        <f t="shared" si="245"/>
        <v>15.094064636797548</v>
      </c>
      <c r="BB81" s="1517">
        <f t="shared" si="246"/>
        <v>10.866535086252082</v>
      </c>
      <c r="BC81" s="1560"/>
      <c r="BD81" s="1537">
        <f>BD11-BD21-BD51</f>
        <v>120.58100000000002</v>
      </c>
      <c r="BE81" s="1516">
        <f t="shared" si="247"/>
        <v>14.987607794784088</v>
      </c>
      <c r="BF81" s="1517">
        <f t="shared" si="248"/>
        <v>21.279570325072463</v>
      </c>
      <c r="BG81" s="1560"/>
      <c r="BH81" s="1537">
        <f>BH11-BH21-BH51</f>
        <v>132.096</v>
      </c>
      <c r="BI81" s="1516">
        <f t="shared" si="249"/>
        <v>15.852192132946438</v>
      </c>
      <c r="BJ81" s="1517">
        <f t="shared" si="250"/>
        <v>9.5495973660858482</v>
      </c>
      <c r="BK81" s="1560"/>
      <c r="BL81" s="1537">
        <f>BL11-BL21-BL51</f>
        <v>5.5529999999999973</v>
      </c>
      <c r="BM81" s="1516">
        <f t="shared" si="251"/>
        <v>0.87144020677284595</v>
      </c>
      <c r="BN81" s="1517">
        <f t="shared" si="252"/>
        <v>-95.796239098837205</v>
      </c>
      <c r="BO81" s="1560"/>
      <c r="BP81" s="1537">
        <f>BP11-BP21-BP51</f>
        <v>27.859999999999957</v>
      </c>
      <c r="BQ81" s="1516">
        <f t="shared" si="253"/>
        <v>3.7355959656636193</v>
      </c>
      <c r="BR81" s="1517">
        <f t="shared" si="254"/>
        <v>401.71078696200198</v>
      </c>
      <c r="BS81" s="1562"/>
      <c r="BT81" s="1537">
        <f>BT11-BT21-BT51</f>
        <v>43.141000000000076</v>
      </c>
      <c r="BU81" s="1516">
        <f t="shared" si="255"/>
        <v>4.7057963726721166</v>
      </c>
      <c r="BV81" s="1517">
        <f t="shared" si="256"/>
        <v>54.8492462311563</v>
      </c>
      <c r="BW81" s="1560"/>
      <c r="BX81" s="1537">
        <f>BX11-BX21-BX51</f>
        <v>23.073000000000093</v>
      </c>
      <c r="BY81" s="1516">
        <f t="shared" si="257"/>
        <v>2.4251450746105601</v>
      </c>
      <c r="BZ81" s="1517">
        <f t="shared" si="258"/>
        <v>-46.517234185577408</v>
      </c>
      <c r="CA81" s="1517"/>
      <c r="CB81" s="1537">
        <f>CB11-CB21-CB51</f>
        <v>17.328999999999951</v>
      </c>
      <c r="CC81" s="1516">
        <f t="shared" ref="CC81:CC86" si="265">CB81/CB11*100</f>
        <v>1.8324031561872764</v>
      </c>
      <c r="CD81" s="1517">
        <f t="shared" si="259"/>
        <v>-24.894898799463093</v>
      </c>
      <c r="CE81" s="1612"/>
      <c r="CF81" s="1537">
        <f>CF11-CF21-CF51</f>
        <v>17.586000000000013</v>
      </c>
      <c r="CG81" s="1516">
        <f t="shared" ref="CG81:CG86" si="266">CF81/CF11*100</f>
        <v>1.9746127632339829</v>
      </c>
      <c r="CH81" s="1517">
        <f t="shared" si="260"/>
        <v>1.4830630734610439</v>
      </c>
      <c r="CI81" s="1612"/>
      <c r="CJ81" s="1537">
        <f>CJ11-CJ21-CJ51</f>
        <v>15.34899999999999</v>
      </c>
      <c r="CK81" s="1516">
        <f t="shared" ref="CK81:CK86" si="267">CJ81/CJ11*100</f>
        <v>1.8769657452834332</v>
      </c>
      <c r="CL81" s="1517">
        <f t="shared" si="261"/>
        <v>-12.720345729557724</v>
      </c>
      <c r="CM81" s="1612"/>
      <c r="CN81" s="1537">
        <f>CN11-CN21-CN51</f>
        <v>-17.528999999999996</v>
      </c>
      <c r="CO81" s="1516">
        <f t="shared" ref="CO81:CO86" si="268">CN81/CN11*100</f>
        <v>-2.2382399509678734</v>
      </c>
      <c r="CP81" s="1517">
        <f t="shared" si="262"/>
        <v>-214.20287966642783</v>
      </c>
      <c r="CQ81" s="1612"/>
      <c r="CR81" s="1537">
        <f>CR11-CR21-CR51</f>
        <v>-17.752999999999986</v>
      </c>
      <c r="CS81" s="1516">
        <f t="shared" ref="CS81:CS86" si="269">CR81/CR11*100</f>
        <v>-2.2780086767840193</v>
      </c>
      <c r="CT81" s="1517" t="str">
        <f t="shared" si="263"/>
        <v xml:space="preserve">       NM</v>
      </c>
      <c r="CU81" s="1612"/>
      <c r="CV81" s="1537">
        <f>CV11-CV21-CV51</f>
        <v>1.3313724266240001</v>
      </c>
      <c r="CW81" s="1516">
        <f t="shared" ref="CW81:CW86" si="270">CV81/CV11*100</f>
        <v>0.16000000000000003</v>
      </c>
      <c r="CX81" s="1517" t="str">
        <f t="shared" si="264"/>
        <v xml:space="preserve">       NM</v>
      </c>
      <c r="CY81" s="1500"/>
      <c r="CZ81" s="1563">
        <f>CO81-CK81</f>
        <v>-4.1152056962513068</v>
      </c>
    </row>
    <row r="82" spans="1:109">
      <c r="A82" s="114" t="str">
        <f>$A$12</f>
        <v>3Q</v>
      </c>
      <c r="B82" s="114" t="str">
        <f>$B$12</f>
        <v>Oct</v>
      </c>
      <c r="D82" s="1537">
        <f>D12-D22-D52</f>
        <v>0.76600000000000534</v>
      </c>
      <c r="E82" s="1516">
        <f t="shared" si="222"/>
        <v>1.9852788720713384</v>
      </c>
      <c r="F82" s="1517"/>
      <c r="H82" s="1537">
        <f>H12-H22-H52</f>
        <v>4.2829999999999995</v>
      </c>
      <c r="I82" s="1516">
        <f t="shared" si="223"/>
        <v>7.484883436440529</v>
      </c>
      <c r="J82" s="1517">
        <f t="shared" si="224"/>
        <v>459.13838120104043</v>
      </c>
      <c r="L82" s="1537">
        <f>L12-L22-L52</f>
        <v>9.2250000000000014</v>
      </c>
      <c r="M82" s="1516">
        <f t="shared" si="225"/>
        <v>10.520253626493934</v>
      </c>
      <c r="N82" s="1517">
        <f t="shared" si="226"/>
        <v>115.38641139388287</v>
      </c>
      <c r="P82" s="1537">
        <f>P12-P22-P52</f>
        <v>18.408999999999992</v>
      </c>
      <c r="Q82" s="1516">
        <f t="shared" si="227"/>
        <v>12.395297476366178</v>
      </c>
      <c r="R82" s="1517">
        <f t="shared" si="228"/>
        <v>99.555555555555443</v>
      </c>
      <c r="T82" s="1537">
        <f>T12-T22-T52</f>
        <v>40.78299999999998</v>
      </c>
      <c r="U82" s="1516">
        <f t="shared" si="229"/>
        <v>17.893559143559134</v>
      </c>
      <c r="V82" s="1517">
        <f t="shared" si="230"/>
        <v>121.53837796729859</v>
      </c>
      <c r="W82" s="1132"/>
      <c r="X82" s="1537">
        <f>X12-X22-X52</f>
        <v>63.41</v>
      </c>
      <c r="Y82" s="1516">
        <f t="shared" si="231"/>
        <v>22.287441566201537</v>
      </c>
      <c r="Z82" s="1517">
        <f t="shared" si="232"/>
        <v>55.481450604418583</v>
      </c>
      <c r="AB82" s="1537">
        <f>AB12-AB22-AB52</f>
        <v>71.183000000000021</v>
      </c>
      <c r="AC82" s="1516">
        <f t="shared" si="233"/>
        <v>19.549217020668902</v>
      </c>
      <c r="AD82" s="1517">
        <f t="shared" si="234"/>
        <v>12.258318877148744</v>
      </c>
      <c r="AF82" s="1537">
        <f>AF12-AF22-AF52</f>
        <v>70.892000000000024</v>
      </c>
      <c r="AG82" s="1516">
        <f t="shared" si="235"/>
        <v>19.999266516772792</v>
      </c>
      <c r="AH82" s="1517">
        <f t="shared" si="236"/>
        <v>-0.40880547321691107</v>
      </c>
      <c r="AJ82" s="1537">
        <f>AJ12-AJ22-AJ52</f>
        <v>75.551000000000016</v>
      </c>
      <c r="AK82" s="1516">
        <f t="shared" si="237"/>
        <v>18.017117823952077</v>
      </c>
      <c r="AL82" s="1517">
        <f t="shared" si="238"/>
        <v>6.5719686283360446</v>
      </c>
      <c r="AN82" s="1537">
        <f>AN12-AN22-AN52</f>
        <v>80.390999999999934</v>
      </c>
      <c r="AO82" s="1516">
        <f t="shared" si="239"/>
        <v>18.066245822836567</v>
      </c>
      <c r="AP82" s="1517">
        <f t="shared" si="240"/>
        <v>6.4062686132545066</v>
      </c>
      <c r="AR82" s="1537">
        <f>AR12-AR22-AR52</f>
        <v>94.863000000000085</v>
      </c>
      <c r="AS82" s="1516">
        <f t="shared" si="241"/>
        <v>18.217520221844985</v>
      </c>
      <c r="AT82" s="1517">
        <f t="shared" si="242"/>
        <v>18.002015150949944</v>
      </c>
      <c r="AV82" s="1537">
        <f>AV12-AV22-AV52</f>
        <v>127.995</v>
      </c>
      <c r="AW82" s="1516">
        <f t="shared" si="243"/>
        <v>18.157431077089818</v>
      </c>
      <c r="AX82" s="1517">
        <f t="shared" si="244"/>
        <v>34.926156668036953</v>
      </c>
      <c r="AY82" s="1560"/>
      <c r="AZ82" s="1537">
        <f>AZ12-AZ22-AZ52</f>
        <v>162.57499999999993</v>
      </c>
      <c r="BA82" s="1516">
        <f t="shared" si="245"/>
        <v>18.828580296671014</v>
      </c>
      <c r="BB82" s="1517">
        <f t="shared" si="246"/>
        <v>27.016680339075695</v>
      </c>
      <c r="BC82" s="1560"/>
      <c r="BD82" s="1537">
        <f>BD12-BD22-BD52</f>
        <v>185.27699999999993</v>
      </c>
      <c r="BE82" s="1516">
        <f t="shared" si="247"/>
        <v>19.023646463298178</v>
      </c>
      <c r="BF82" s="1517">
        <f t="shared" si="248"/>
        <v>13.964016607719509</v>
      </c>
      <c r="BG82" s="1560"/>
      <c r="BH82" s="1537">
        <f>BH12-BH22-BH52</f>
        <v>110.02600000000007</v>
      </c>
      <c r="BI82" s="1516">
        <f t="shared" si="249"/>
        <v>12.463143300208092</v>
      </c>
      <c r="BJ82" s="1517">
        <f t="shared" si="250"/>
        <v>-40.615402883250425</v>
      </c>
      <c r="BK82" s="1560"/>
      <c r="BL82" s="1537">
        <f>BL12-BL22-BL52</f>
        <v>45.857999999999947</v>
      </c>
      <c r="BM82" s="1516">
        <f t="shared" si="251"/>
        <v>6.0845128727689515</v>
      </c>
      <c r="BN82" s="1517">
        <f t="shared" si="252"/>
        <v>-58.320760547507035</v>
      </c>
      <c r="BO82" s="1560"/>
      <c r="BP82" s="1537">
        <f>BP12-BP22-BP52</f>
        <v>76.685000000000059</v>
      </c>
      <c r="BQ82" s="1516">
        <f t="shared" si="253"/>
        <v>8.6573610995080088</v>
      </c>
      <c r="BR82" s="1517">
        <f t="shared" si="254"/>
        <v>67.222731039295553</v>
      </c>
      <c r="BS82" s="1562"/>
      <c r="BT82" s="1537">
        <f>BT12-BT22-BT52</f>
        <v>86.726999999999975</v>
      </c>
      <c r="BU82" s="1516">
        <f t="shared" si="255"/>
        <v>8.0612089350247587</v>
      </c>
      <c r="BV82" s="1517">
        <f t="shared" si="256"/>
        <v>13.095129425572027</v>
      </c>
      <c r="BW82" s="1560"/>
      <c r="BX82" s="1537">
        <f>BX12-BX22-BX52</f>
        <v>132.19099999999992</v>
      </c>
      <c r="BY82" s="1516">
        <f t="shared" si="257"/>
        <v>11.301766598355568</v>
      </c>
      <c r="BZ82" s="1517">
        <f t="shared" si="258"/>
        <v>52.421967783965727</v>
      </c>
      <c r="CA82" s="1517"/>
      <c r="CB82" s="1537">
        <f>CB12-CB22-CB52</f>
        <v>50.648000000000025</v>
      </c>
      <c r="CC82" s="1516">
        <f t="shared" si="265"/>
        <v>4.9016106757715407</v>
      </c>
      <c r="CD82" s="1517">
        <f t="shared" si="259"/>
        <v>-61.685742599723085</v>
      </c>
      <c r="CE82" s="1611"/>
      <c r="CF82" s="1537">
        <f>CF12-CF22-CF52</f>
        <v>52.100000000000023</v>
      </c>
      <c r="CG82" s="1516">
        <f t="shared" si="266"/>
        <v>5.7161477333444539</v>
      </c>
      <c r="CH82" s="1517">
        <f t="shared" si="260"/>
        <v>2.8668456799873621</v>
      </c>
      <c r="CI82" s="1611"/>
      <c r="CJ82" s="1537">
        <f>CJ12-CJ22-CJ52</f>
        <v>47.156999999999982</v>
      </c>
      <c r="CK82" s="1516">
        <f t="shared" si="267"/>
        <v>5.3674599236032998</v>
      </c>
      <c r="CL82" s="1517">
        <f t="shared" si="261"/>
        <v>-9.487523992322533</v>
      </c>
      <c r="CM82" s="1611"/>
      <c r="CN82" s="1537">
        <f>CN12-CN22-CN52</f>
        <v>12.823000000000036</v>
      </c>
      <c r="CO82" s="1516">
        <f t="shared" si="268"/>
        <v>1.5604806421542781</v>
      </c>
      <c r="CP82" s="1517">
        <f t="shared" si="262"/>
        <v>-72.807854613312898</v>
      </c>
      <c r="CQ82" s="1611"/>
      <c r="CR82" s="1537">
        <f>CR12-CR22-CR52</f>
        <v>37.219999999999914</v>
      </c>
      <c r="CS82" s="1516">
        <f t="shared" si="269"/>
        <v>4.3323804114015303</v>
      </c>
      <c r="CT82" s="1517">
        <f t="shared" si="263"/>
        <v>190.25968962021219</v>
      </c>
      <c r="CU82" s="1611"/>
      <c r="CV82" s="1537">
        <f>CV12-CV22-CV52</f>
        <v>33.695696305439981</v>
      </c>
      <c r="CW82" s="1516">
        <f t="shared" si="270"/>
        <v>3.8999999999999977</v>
      </c>
      <c r="CX82" s="1517">
        <f t="shared" si="264"/>
        <v>-9.4688438865124684</v>
      </c>
      <c r="CZ82" s="1563">
        <f>CO82-CK82</f>
        <v>-3.8069792814490215</v>
      </c>
    </row>
    <row r="83" spans="1:109">
      <c r="A83" s="114" t="str">
        <f>$A$13</f>
        <v>4Q</v>
      </c>
      <c r="B83" s="114" t="str">
        <f>$B$13</f>
        <v>Jan</v>
      </c>
      <c r="C83" s="310"/>
      <c r="D83" s="1553">
        <f>D13-D23-D53</f>
        <v>15.840000000000005</v>
      </c>
      <c r="E83" s="1516">
        <f t="shared" si="222"/>
        <v>21.280311681332712</v>
      </c>
      <c r="F83" s="1517"/>
      <c r="H83" s="1553">
        <f>H13-H23-H53</f>
        <v>21.033999999999988</v>
      </c>
      <c r="I83" s="1516">
        <f t="shared" si="223"/>
        <v>19.770283479960892</v>
      </c>
      <c r="J83" s="1517">
        <f t="shared" si="224"/>
        <v>32.790404040403921</v>
      </c>
      <c r="L83" s="1553">
        <f>L13-L23-L53</f>
        <v>35.341999999999999</v>
      </c>
      <c r="M83" s="1516">
        <f t="shared" si="225"/>
        <v>25.38335021151595</v>
      </c>
      <c r="N83" s="1517">
        <f t="shared" si="226"/>
        <v>68.023200532471321</v>
      </c>
      <c r="P83" s="1553">
        <f>P13-P23-P53</f>
        <v>59.146000000000015</v>
      </c>
      <c r="Q83" s="1516">
        <f t="shared" si="227"/>
        <v>27.879987744231542</v>
      </c>
      <c r="R83" s="1517">
        <f t="shared" si="228"/>
        <v>67.353290702280617</v>
      </c>
      <c r="T83" s="1553">
        <f>T13-T23-T53</f>
        <v>98.737999999999985</v>
      </c>
      <c r="U83" s="1516">
        <f t="shared" si="229"/>
        <v>32.903344052518449</v>
      </c>
      <c r="V83" s="1517">
        <f t="shared" si="230"/>
        <v>66.939438000879107</v>
      </c>
      <c r="W83" s="1132"/>
      <c r="X83" s="1553">
        <f>X13-X23-X53</f>
        <v>125.34000000000002</v>
      </c>
      <c r="Y83" s="1516">
        <f t="shared" si="231"/>
        <v>34.463037608539047</v>
      </c>
      <c r="Z83" s="1517">
        <f t="shared" si="232"/>
        <v>26.942008142761686</v>
      </c>
      <c r="AB83" s="1553">
        <f>AB13-AB23-AB53</f>
        <v>124.09400000000001</v>
      </c>
      <c r="AC83" s="1516">
        <f t="shared" si="233"/>
        <v>28.238801215169136</v>
      </c>
      <c r="AD83" s="1517">
        <f t="shared" si="234"/>
        <v>-0.99409605872028406</v>
      </c>
      <c r="AF83" s="1553">
        <f>AF13-AF23-AF53</f>
        <v>128.57299999999998</v>
      </c>
      <c r="AG83" s="1516">
        <f t="shared" si="235"/>
        <v>27.556238533683103</v>
      </c>
      <c r="AH83" s="1517">
        <f t="shared" si="236"/>
        <v>3.6093606459619121</v>
      </c>
      <c r="AJ83" s="1553">
        <f>AJ13-AJ23-AJ53</f>
        <v>150.72099999999995</v>
      </c>
      <c r="AK83" s="1516">
        <f t="shared" si="237"/>
        <v>28.199452928255759</v>
      </c>
      <c r="AL83" s="1517">
        <f t="shared" si="238"/>
        <v>17.226011682079424</v>
      </c>
      <c r="AN83" s="1553">
        <f>AN13-AN23-AN53</f>
        <v>154.32900000000004</v>
      </c>
      <c r="AO83" s="1516">
        <f t="shared" si="239"/>
        <v>27.539619799817633</v>
      </c>
      <c r="AP83" s="1517">
        <f t="shared" si="240"/>
        <v>2.393827004863347</v>
      </c>
      <c r="AR83" s="1553">
        <f>AR13-AR23-AR53</f>
        <v>165.85800000000006</v>
      </c>
      <c r="AS83" s="1516">
        <f t="shared" si="241"/>
        <v>24.133435381969413</v>
      </c>
      <c r="AT83" s="1517">
        <f t="shared" si="242"/>
        <v>7.4704041366172369</v>
      </c>
      <c r="AV83" s="1553">
        <f>AV13-AV23-AV53</f>
        <v>265.14700000000011</v>
      </c>
      <c r="AW83" s="1516">
        <f t="shared" si="243"/>
        <v>27.579488907750438</v>
      </c>
      <c r="AX83" s="1517">
        <f t="shared" si="244"/>
        <v>59.863859446032144</v>
      </c>
      <c r="AY83" s="1560"/>
      <c r="AZ83" s="1553">
        <f>AZ13-AZ23-AZ53</f>
        <v>304.24200000000002</v>
      </c>
      <c r="BA83" s="1516">
        <f t="shared" si="245"/>
        <v>26.717354135217519</v>
      </c>
      <c r="BB83" s="1517">
        <f t="shared" si="246"/>
        <v>14.744651080344063</v>
      </c>
      <c r="BC83" s="1560"/>
      <c r="BD83" s="1553">
        <f>BD13-BD23-BD53</f>
        <v>334.04900000000009</v>
      </c>
      <c r="BE83" s="1516">
        <f t="shared" si="247"/>
        <v>27.181238908385819</v>
      </c>
      <c r="BF83" s="1517">
        <f t="shared" si="248"/>
        <v>9.7971351752881084</v>
      </c>
      <c r="BG83" s="1560"/>
      <c r="BH83" s="1553">
        <f>BH13-BH23-BH53</f>
        <v>151.36799999999994</v>
      </c>
      <c r="BI83" s="1516">
        <f t="shared" si="249"/>
        <v>15.432974208026225</v>
      </c>
      <c r="BJ83" s="1517">
        <f t="shared" si="250"/>
        <v>-54.686887253067695</v>
      </c>
      <c r="BK83" s="1560"/>
      <c r="BL83" s="1553">
        <f>BL13-BL23-BL53</f>
        <v>121.36899999999991</v>
      </c>
      <c r="BM83" s="1516">
        <f t="shared" si="251"/>
        <v>12.966898185986823</v>
      </c>
      <c r="BN83" s="1517">
        <f t="shared" si="252"/>
        <v>-19.818587812483514</v>
      </c>
      <c r="BO83" s="1560"/>
      <c r="BP83" s="1553">
        <f>BP13-BP23-BP53</f>
        <v>191.55699999999979</v>
      </c>
      <c r="BQ83" s="1516">
        <f t="shared" si="253"/>
        <v>16.665883646715301</v>
      </c>
      <c r="BR83" s="1517">
        <f t="shared" si="254"/>
        <v>57.830253194802573</v>
      </c>
      <c r="BS83" s="1562"/>
      <c r="BT83" s="1553">
        <f>BT13-BT23-BT53</f>
        <v>187.84400000000016</v>
      </c>
      <c r="BU83" s="1516">
        <f t="shared" si="255"/>
        <v>14.136735991691546</v>
      </c>
      <c r="BV83" s="1517">
        <f t="shared" si="256"/>
        <v>-1.9383264511344533</v>
      </c>
      <c r="BW83" s="1560"/>
      <c r="BX83" s="1553">
        <f>BX13-BX23-BX53</f>
        <v>238.56499999999994</v>
      </c>
      <c r="BY83" s="1516">
        <f t="shared" si="257"/>
        <v>16.245145659165516</v>
      </c>
      <c r="BZ83" s="1517">
        <f t="shared" si="258"/>
        <v>27.001660952705286</v>
      </c>
      <c r="CA83" s="1517"/>
      <c r="CB83" s="1553">
        <f>CB13-CB23-CB53</f>
        <v>146.56599999999992</v>
      </c>
      <c r="CC83" s="1516">
        <f t="shared" si="265"/>
        <v>11.281797069901014</v>
      </c>
      <c r="CD83" s="1517">
        <f t="shared" si="259"/>
        <v>-38.563494225892335</v>
      </c>
      <c r="CE83" s="1611"/>
      <c r="CF83" s="1553">
        <f>CF13-CF23-CF53</f>
        <v>126.29600000000016</v>
      </c>
      <c r="CG83" s="1516">
        <f t="shared" si="266"/>
        <v>11.281021558777516</v>
      </c>
      <c r="CH83" s="1517">
        <f t="shared" si="260"/>
        <v>-13.829946918111812</v>
      </c>
      <c r="CI83" s="1611"/>
      <c r="CJ83" s="1553">
        <f>CJ13-CJ23-CJ53</f>
        <v>119.6400000000001</v>
      </c>
      <c r="CK83" s="1516">
        <f t="shared" si="267"/>
        <v>10.750002246322778</v>
      </c>
      <c r="CL83" s="1517">
        <f t="shared" si="261"/>
        <v>-5.270158991575391</v>
      </c>
      <c r="CM83" s="1611"/>
      <c r="CN83" s="1553">
        <f>CN13-CN23-CN53</f>
        <v>51.881999999999948</v>
      </c>
      <c r="CO83" s="1516">
        <f t="shared" si="268"/>
        <v>5.0061609686953261</v>
      </c>
      <c r="CP83" s="1517">
        <f>IF(CJ83&lt;0,"       NM",(CN83/CJ83-1)*100)</f>
        <v>-56.634904714142507</v>
      </c>
      <c r="CQ83" s="1611"/>
      <c r="CR83" s="1553">
        <f>CR13-CR23-CR53</f>
        <v>136.00299999999993</v>
      </c>
      <c r="CS83" s="1516">
        <f t="shared" si="269"/>
        <v>11.398574203919342</v>
      </c>
      <c r="CT83" s="1517">
        <f t="shared" si="263"/>
        <v>162.1390848463823</v>
      </c>
      <c r="CU83" s="1611"/>
      <c r="CV83" s="1553">
        <f>CV13-CV23-CV53</f>
        <v>82.341342936999922</v>
      </c>
      <c r="CW83" s="1516">
        <f t="shared" si="270"/>
        <v>7.3999999999999924</v>
      </c>
      <c r="CX83" s="1517">
        <f t="shared" si="264"/>
        <v>-39.456230423593617</v>
      </c>
      <c r="CZ83" s="1563">
        <f>CO83-CK83</f>
        <v>-5.7438412776274514</v>
      </c>
    </row>
    <row r="84" spans="1:109">
      <c r="B84" s="114" t="str">
        <f>$B$14</f>
        <v>Year</v>
      </c>
      <c r="D84" s="1536">
        <f>SUM(D80:D83)</f>
        <v>13.751000000000012</v>
      </c>
      <c r="E84" s="1516">
        <f t="shared" si="222"/>
        <v>8.3106192925306619</v>
      </c>
      <c r="F84" s="1517"/>
      <c r="H84" s="1536">
        <f>SUM(H80:H83)</f>
        <v>23.797999999999988</v>
      </c>
      <c r="I84" s="1516">
        <f t="shared" si="223"/>
        <v>10.098489766993829</v>
      </c>
      <c r="J84" s="1517">
        <f t="shared" si="224"/>
        <v>73.063777179841225</v>
      </c>
      <c r="L84" s="1536">
        <f>SUM(L80:L83)</f>
        <v>45.993000000000009</v>
      </c>
      <c r="M84" s="1516">
        <f t="shared" si="225"/>
        <v>13.71402502295958</v>
      </c>
      <c r="N84" s="1517">
        <f t="shared" si="226"/>
        <v>93.26413984368449</v>
      </c>
      <c r="P84" s="1536">
        <f>SUM(P80:P83)</f>
        <v>84.125000000000014</v>
      </c>
      <c r="Q84" s="1516">
        <f t="shared" si="227"/>
        <v>16.127733566965805</v>
      </c>
      <c r="R84" s="1517">
        <f t="shared" si="228"/>
        <v>82.908268649577096</v>
      </c>
      <c r="T84" s="1536">
        <f>SUM(T80:T83)</f>
        <v>166.95799999999997</v>
      </c>
      <c r="U84" s="1516">
        <f t="shared" si="229"/>
        <v>20.73548771703221</v>
      </c>
      <c r="V84" s="1517">
        <f t="shared" si="230"/>
        <v>98.464190193164853</v>
      </c>
      <c r="X84" s="1536">
        <f>SUM(X80:X83)</f>
        <v>242.06400000000002</v>
      </c>
      <c r="Y84" s="1516">
        <f t="shared" si="231"/>
        <v>23.481798657041033</v>
      </c>
      <c r="Z84" s="1517">
        <f t="shared" si="232"/>
        <v>44.984966278944441</v>
      </c>
      <c r="AB84" s="1536">
        <f>SUM(AB80:AB83)</f>
        <v>253.65200000000004</v>
      </c>
      <c r="AC84" s="1516">
        <f t="shared" si="233"/>
        <v>20.495408870688848</v>
      </c>
      <c r="AD84" s="1517">
        <f t="shared" si="234"/>
        <v>4.7871637252957955</v>
      </c>
      <c r="AF84" s="1536">
        <f>SUM(AF80:AF83)</f>
        <v>271.45799999999997</v>
      </c>
      <c r="AG84" s="1516">
        <f t="shared" si="235"/>
        <v>19.889174878173691</v>
      </c>
      <c r="AH84" s="1517">
        <f t="shared" si="236"/>
        <v>7.0198539731600507</v>
      </c>
      <c r="AJ84" s="1536">
        <f>SUM(AJ80:AJ83)</f>
        <v>311.75599999999986</v>
      </c>
      <c r="AK84" s="1516">
        <f t="shared" si="237"/>
        <v>19.536558511101621</v>
      </c>
      <c r="AL84" s="1517">
        <f t="shared" si="238"/>
        <v>14.845022066028601</v>
      </c>
      <c r="AN84" s="1536">
        <f>SUM(AN80:AN83)</f>
        <v>330.20099999999996</v>
      </c>
      <c r="AO84" s="1516">
        <f t="shared" si="239"/>
        <v>19.334773385079941</v>
      </c>
      <c r="AP84" s="1517">
        <f t="shared" si="240"/>
        <v>5.9164859697969252</v>
      </c>
      <c r="AR84" s="1536">
        <f>SUM(AR80:AR83)</f>
        <v>376.04500000000019</v>
      </c>
      <c r="AS84" s="1516">
        <f t="shared" si="241"/>
        <v>18.604539558115913</v>
      </c>
      <c r="AT84" s="1517">
        <f t="shared" si="242"/>
        <v>13.883664798107898</v>
      </c>
      <c r="AV84" s="1536">
        <f>SUM(AV80:AV83)</f>
        <v>550.70399999999995</v>
      </c>
      <c r="AW84" s="1516">
        <f t="shared" si="243"/>
        <v>19.775983935137251</v>
      </c>
      <c r="AX84" s="1517">
        <f t="shared" si="244"/>
        <v>46.446302969059474</v>
      </c>
      <c r="AZ84" s="1536">
        <f>SUM(AZ80:AZ83)</f>
        <v>648.1049999999999</v>
      </c>
      <c r="BA84" s="1516">
        <f t="shared" si="245"/>
        <v>19.532071709665423</v>
      </c>
      <c r="BB84" s="1517">
        <f t="shared" si="246"/>
        <v>17.686633835962695</v>
      </c>
      <c r="BD84" s="1536">
        <f>SUM(BD80:BD83)</f>
        <v>728.76300000000003</v>
      </c>
      <c r="BE84" s="1516">
        <f t="shared" si="247"/>
        <v>19.434472926495403</v>
      </c>
      <c r="BF84" s="1517">
        <f t="shared" si="248"/>
        <v>12.445205637975354</v>
      </c>
      <c r="BH84" s="1536">
        <f>SUM(BH80:BH83)</f>
        <v>489.48400000000004</v>
      </c>
      <c r="BI84" s="1516">
        <f t="shared" si="249"/>
        <v>14.049253499583964</v>
      </c>
      <c r="BJ84" s="1517">
        <f t="shared" si="250"/>
        <v>-32.833582385494317</v>
      </c>
      <c r="BL84" s="1536">
        <f>SUM(BL80:BL83)</f>
        <v>137.57699999999994</v>
      </c>
      <c r="BM84" s="1516">
        <f t="shared" si="251"/>
        <v>4.6976652866106088</v>
      </c>
      <c r="BN84" s="1517">
        <f t="shared" si="252"/>
        <v>-71.893463320557998</v>
      </c>
      <c r="BP84" s="1536">
        <f>SUM(BP80:BP83)</f>
        <v>276.47599999999977</v>
      </c>
      <c r="BQ84" s="1516">
        <f t="shared" si="253"/>
        <v>7.9704195370355366</v>
      </c>
      <c r="BR84" s="1517">
        <f t="shared" si="254"/>
        <v>100.96091643225242</v>
      </c>
      <c r="BT84" s="1536">
        <f>SUM(BT80:BT83)</f>
        <v>336.49600000000027</v>
      </c>
      <c r="BU84" s="1516">
        <f>BT84/BT14*100</f>
        <v>8.09262400861172</v>
      </c>
      <c r="BV84" s="1517">
        <f t="shared" si="256"/>
        <v>21.708936761238064</v>
      </c>
      <c r="BW84" s="114"/>
      <c r="BX84" s="1536">
        <f>SUM(BX80:BX83)</f>
        <v>362.29999999999995</v>
      </c>
      <c r="BY84" s="1516">
        <f t="shared" si="257"/>
        <v>8.0318258049283866</v>
      </c>
      <c r="BZ84" s="1517">
        <f t="shared" si="258"/>
        <v>7.6684418239740371</v>
      </c>
      <c r="CA84" s="1517"/>
      <c r="CB84" s="1536">
        <f>SUM(CB80:CB83)</f>
        <v>200.62199999999984</v>
      </c>
      <c r="CC84" s="1516">
        <f t="shared" si="265"/>
        <v>4.8731362480042577</v>
      </c>
      <c r="CD84" s="1517">
        <f t="shared" si="259"/>
        <v>-44.62544852332325</v>
      </c>
      <c r="CE84" s="1611"/>
      <c r="CF84" s="1536">
        <f>SUM(CF80:CF83)</f>
        <v>176.48900000000015</v>
      </c>
      <c r="CG84" s="1516">
        <f t="shared" si="266"/>
        <v>4.7138778268336567</v>
      </c>
      <c r="CH84" s="1517">
        <f t="shared" si="260"/>
        <v>-12.029089531556714</v>
      </c>
      <c r="CI84" s="1611"/>
      <c r="CJ84" s="1536">
        <f>SUM(CJ80:CJ83)</f>
        <v>127.83740000000012</v>
      </c>
      <c r="CK84" s="1516">
        <f t="shared" si="267"/>
        <v>3.6331067332067737</v>
      </c>
      <c r="CL84" s="1517">
        <f t="shared" si="261"/>
        <v>-27.566363909365453</v>
      </c>
      <c r="CM84" s="1611"/>
      <c r="CN84" s="1536">
        <f>SUM(CN80:CN83)</f>
        <v>-10.668000000000063</v>
      </c>
      <c r="CO84" s="1516">
        <f t="shared" si="268"/>
        <v>-0.32067429375304546</v>
      </c>
      <c r="CP84" s="1517">
        <f t="shared" si="262"/>
        <v>-108.34497572697821</v>
      </c>
      <c r="CQ84" s="1611"/>
      <c r="CR84" s="1536">
        <f>SUM(CR80:CR83)</f>
        <v>84.572999999999922</v>
      </c>
      <c r="CS84" s="1516">
        <f t="shared" si="269"/>
        <v>2.4214287554864566</v>
      </c>
      <c r="CT84" s="1517" t="str">
        <f t="shared" si="263"/>
        <v xml:space="preserve">       NM</v>
      </c>
      <c r="CU84" s="1611"/>
      <c r="CV84" s="1536">
        <f>SUM(CV80:CV83)</f>
        <v>56.55197254905886</v>
      </c>
      <c r="CW84" s="1516">
        <f t="shared" si="270"/>
        <v>1.6121500499407775</v>
      </c>
      <c r="CX84" s="1517">
        <f t="shared" si="264"/>
        <v>-33.132356013078748</v>
      </c>
    </row>
    <row r="85" spans="1:109" ht="12.75" hidden="1" customHeight="1" outlineLevel="1">
      <c r="A85" s="114" t="str">
        <f>$A$15</f>
        <v>6 Mos</v>
      </c>
      <c r="D85" s="1537">
        <f>SUM(D80:D81)</f>
        <v>-2.8549999999999995</v>
      </c>
      <c r="E85" s="1516">
        <f t="shared" si="222"/>
        <v>-5.4439020669666682</v>
      </c>
      <c r="F85" s="1517"/>
      <c r="H85" s="1537">
        <f>SUM(H80:H81)</f>
        <v>-1.5190000000000001</v>
      </c>
      <c r="I85" s="1516">
        <f t="shared" si="223"/>
        <v>-2.1084044694288293</v>
      </c>
      <c r="J85" s="1517" t="str">
        <f t="shared" si="224"/>
        <v xml:space="preserve">       NM</v>
      </c>
      <c r="L85" s="1537">
        <f>SUM(L80:L81)</f>
        <v>1.4260000000000055</v>
      </c>
      <c r="M85" s="1516">
        <f t="shared" si="225"/>
        <v>1.3148795308480379</v>
      </c>
      <c r="N85" s="1517" t="str">
        <f t="shared" si="226"/>
        <v xml:space="preserve">       NM</v>
      </c>
      <c r="P85" s="1537">
        <f>SUM(P80:P81)</f>
        <v>6.5700000000000038</v>
      </c>
      <c r="Q85" s="1516">
        <f t="shared" si="227"/>
        <v>4.0818608812346255</v>
      </c>
      <c r="R85" s="1517">
        <f t="shared" si="228"/>
        <v>360.72931276297186</v>
      </c>
      <c r="T85" s="1537">
        <f>SUM(T80:T81)</f>
        <v>27.437000000000005</v>
      </c>
      <c r="U85" s="1516">
        <f t="shared" si="229"/>
        <v>9.8988003968611906</v>
      </c>
      <c r="V85" s="1517">
        <f t="shared" si="230"/>
        <v>317.61035007610332</v>
      </c>
      <c r="X85" s="1537">
        <f>SUM(X80:X81)</f>
        <v>53.314</v>
      </c>
      <c r="Y85" s="1516">
        <f t="shared" si="231"/>
        <v>13.932691151797707</v>
      </c>
      <c r="Z85" s="1517">
        <f t="shared" si="232"/>
        <v>94.314247184458907</v>
      </c>
      <c r="AB85" s="1537">
        <f>SUM(AB80:AB81)</f>
        <v>58.375000000000007</v>
      </c>
      <c r="AC85" s="1516">
        <f t="shared" si="233"/>
        <v>13.449314228971263</v>
      </c>
      <c r="AD85" s="1517">
        <f t="shared" si="234"/>
        <v>9.4928161458528884</v>
      </c>
      <c r="AF85" s="1537">
        <f>SUM(AF80:AF81)</f>
        <v>71.992999999999995</v>
      </c>
      <c r="AG85" s="1516">
        <f t="shared" si="235"/>
        <v>13.238971967428961</v>
      </c>
      <c r="AH85" s="1517">
        <f t="shared" si="236"/>
        <v>23.328479657387557</v>
      </c>
      <c r="AJ85" s="1537">
        <f>SUM(AJ80:AJ81)</f>
        <v>85.483999999999924</v>
      </c>
      <c r="AK85" s="1516">
        <f t="shared" si="237"/>
        <v>13.316384867262968</v>
      </c>
      <c r="AL85" s="1517">
        <f t="shared" si="238"/>
        <v>18.739321878515881</v>
      </c>
      <c r="AN85" s="1537">
        <f>SUM(AN80:AN81)</f>
        <v>95.480999999999995</v>
      </c>
      <c r="AO85" s="1516">
        <f t="shared" si="239"/>
        <v>13.592743020410254</v>
      </c>
      <c r="AP85" s="1517">
        <f t="shared" si="240"/>
        <v>11.694586121379524</v>
      </c>
      <c r="AR85" s="1537">
        <f>SUM(AR80:AR81)</f>
        <v>115.32400000000004</v>
      </c>
      <c r="AS85" s="1516">
        <f t="shared" si="241"/>
        <v>14.180179914321833</v>
      </c>
      <c r="AT85" s="1517">
        <f t="shared" si="242"/>
        <v>20.782145138823481</v>
      </c>
      <c r="AV85" s="1537">
        <f>SUM(AV80:AV81)</f>
        <v>157.5619999999999</v>
      </c>
      <c r="AW85" s="1516">
        <f t="shared" si="243"/>
        <v>14.088149062813779</v>
      </c>
      <c r="AX85" s="1517">
        <f t="shared" si="244"/>
        <v>36.625507266483858</v>
      </c>
      <c r="AZ85" s="1537">
        <f>SUM(AZ80:AZ81)</f>
        <v>181.28799999999995</v>
      </c>
      <c r="BA85" s="1516">
        <f t="shared" si="245"/>
        <v>13.776029338121695</v>
      </c>
      <c r="BB85" s="1517">
        <f t="shared" si="246"/>
        <v>15.058199312016907</v>
      </c>
      <c r="BD85" s="1537">
        <f>SUM(BD80:BD81)</f>
        <v>209.43700000000001</v>
      </c>
      <c r="BE85" s="1516">
        <f t="shared" si="247"/>
        <v>13.5387226978541</v>
      </c>
      <c r="BF85" s="1517">
        <f t="shared" si="248"/>
        <v>15.527227395084097</v>
      </c>
      <c r="BH85" s="1537">
        <f>SUM(BH80:BH81)</f>
        <v>228.09000000000003</v>
      </c>
      <c r="BI85" s="1516">
        <f t="shared" si="249"/>
        <v>14.075832630333673</v>
      </c>
      <c r="BJ85" s="1517">
        <f t="shared" si="250"/>
        <v>8.9062582065251306</v>
      </c>
      <c r="BL85" s="1537">
        <f>SUM(BL80:BL81)</f>
        <v>-29.64999999999992</v>
      </c>
      <c r="BM85" s="1516">
        <f t="shared" si="251"/>
        <v>-2.3931554945720102</v>
      </c>
      <c r="BN85" s="1517">
        <f t="shared" si="252"/>
        <v>-112.99925468017007</v>
      </c>
      <c r="BP85" s="1537">
        <f>SUM(BP80:BP81)</f>
        <v>8.2339999999999236</v>
      </c>
      <c r="BQ85" s="1516">
        <f t="shared" si="253"/>
        <v>0.57435745764863078</v>
      </c>
      <c r="BR85" s="1517" t="str">
        <f t="shared" si="254"/>
        <v xml:space="preserve">       NM</v>
      </c>
      <c r="BT85" s="1537">
        <f>SUM(BT80:BT81)</f>
        <v>61.925000000000125</v>
      </c>
      <c r="BU85" s="1516">
        <f t="shared" si="255"/>
        <v>3.5316352968484255</v>
      </c>
      <c r="BV85" s="1517">
        <f t="shared" si="256"/>
        <v>652.06461015303262</v>
      </c>
      <c r="BW85" s="114"/>
      <c r="BX85" s="1537">
        <f>SUM(BX80:BX81)</f>
        <v>-8.4559999999999036</v>
      </c>
      <c r="BY85" s="1516">
        <f t="shared" si="257"/>
        <v>-0.45155864094519216</v>
      </c>
      <c r="BZ85" s="1517">
        <f t="shared" si="258"/>
        <v>-113.65522809850607</v>
      </c>
      <c r="CA85" s="1517"/>
      <c r="CB85" s="1537">
        <f>SUM(CB80:CB81)</f>
        <v>3.4079999999999018</v>
      </c>
      <c r="CC85" s="1516">
        <f t="shared" si="265"/>
        <v>0.19098139668595168</v>
      </c>
      <c r="CD85" s="1517" t="str">
        <f t="shared" si="259"/>
        <v xml:space="preserve">       NM</v>
      </c>
      <c r="CE85" s="1611"/>
      <c r="CF85" s="1537">
        <f>SUM(CF80:CF81)</f>
        <v>-1.9070000000000391</v>
      </c>
      <c r="CG85" s="1516">
        <f t="shared" si="266"/>
        <v>-0.11132301596058214</v>
      </c>
      <c r="CH85" s="1517">
        <f t="shared" si="260"/>
        <v>-155.95657276995581</v>
      </c>
      <c r="CI85" s="1611"/>
      <c r="CJ85" s="1537">
        <f>SUM(CJ80:CJ81)</f>
        <v>-38.959599999999966</v>
      </c>
      <c r="CK85" s="1516">
        <f t="shared" si="267"/>
        <v>-2.5510844184502375</v>
      </c>
      <c r="CL85" s="1517" t="str">
        <f t="shared" si="261"/>
        <v xml:space="preserve">       NM</v>
      </c>
      <c r="CM85" s="1611"/>
      <c r="CN85" s="1537">
        <f>SUM(CN80:CN81)</f>
        <v>-75.373000000000047</v>
      </c>
      <c r="CO85" s="1516">
        <f t="shared" si="268"/>
        <v>-5.1321526061813554</v>
      </c>
      <c r="CP85" s="1517" t="str">
        <f t="shared" si="262"/>
        <v xml:space="preserve">       NM</v>
      </c>
      <c r="CQ85" s="1611"/>
      <c r="CR85" s="1537">
        <f>SUM(CR80:CR81)</f>
        <v>-88.64999999999992</v>
      </c>
      <c r="CS85" s="1516">
        <f t="shared" si="269"/>
        <v>-6.1544549506393906</v>
      </c>
      <c r="CT85" s="1517" t="str">
        <f t="shared" si="263"/>
        <v xml:space="preserve">       NM</v>
      </c>
      <c r="CU85" s="1611"/>
      <c r="CV85" s="1537">
        <f>SUM(CV80:CV81)</f>
        <v>-59.485066693381043</v>
      </c>
      <c r="CW85" s="1516">
        <f t="shared" si="270"/>
        <v>-3.8849996221427743</v>
      </c>
      <c r="CX85" s="1517" t="str">
        <f t="shared" si="264"/>
        <v xml:space="preserve">       NM</v>
      </c>
    </row>
    <row r="86" spans="1:109" ht="12.75" hidden="1" customHeight="1" outlineLevel="1">
      <c r="A86" s="114" t="str">
        <f>$A$16</f>
        <v>9 Mos</v>
      </c>
      <c r="D86" s="1537">
        <f>SUM(D80:D82)</f>
        <v>-2.0889999999999942</v>
      </c>
      <c r="E86" s="1516">
        <f t="shared" si="222"/>
        <v>-2.2948982730588328</v>
      </c>
      <c r="F86" s="1517"/>
      <c r="H86" s="1537">
        <f>SUM(H80:H82)</f>
        <v>2.7639999999999993</v>
      </c>
      <c r="I86" s="1516">
        <f t="shared" si="223"/>
        <v>2.1382100613458963</v>
      </c>
      <c r="J86" s="1517" t="str">
        <f t="shared" si="224"/>
        <v xml:space="preserve">       NM</v>
      </c>
      <c r="L86" s="1537">
        <f>SUM(L80:L82)</f>
        <v>10.651000000000007</v>
      </c>
      <c r="M86" s="1516">
        <f t="shared" si="225"/>
        <v>5.4303325702690479</v>
      </c>
      <c r="N86" s="1517">
        <f t="shared" si="226"/>
        <v>285.34732272069499</v>
      </c>
      <c r="P86" s="1537">
        <f>SUM(P80:P82)</f>
        <v>24.978999999999996</v>
      </c>
      <c r="Q86" s="1516">
        <f t="shared" si="227"/>
        <v>8.0714895047047861</v>
      </c>
      <c r="R86" s="1517">
        <f t="shared" si="228"/>
        <v>134.52258003943274</v>
      </c>
      <c r="T86" s="1537">
        <f>SUM(T80:T82)</f>
        <v>68.219999999999985</v>
      </c>
      <c r="U86" s="1516">
        <f t="shared" si="229"/>
        <v>13.506370088795173</v>
      </c>
      <c r="V86" s="1517">
        <f t="shared" si="230"/>
        <v>173.10941190600104</v>
      </c>
      <c r="X86" s="1537">
        <f>SUM(X80:X82)</f>
        <v>116.72399999999999</v>
      </c>
      <c r="Y86" s="1516">
        <f t="shared" si="231"/>
        <v>17.495548320952565</v>
      </c>
      <c r="Z86" s="1517">
        <f t="shared" si="232"/>
        <v>71.099384344766946</v>
      </c>
      <c r="AB86" s="1537">
        <f>SUM(AB80:AB82)</f>
        <v>129.55800000000002</v>
      </c>
      <c r="AC86" s="1516">
        <f t="shared" si="233"/>
        <v>16.232104129628308</v>
      </c>
      <c r="AD86" s="1517">
        <f t="shared" si="234"/>
        <v>10.995168088824947</v>
      </c>
      <c r="AF86" s="1537">
        <f>SUM(AF80:AF82)</f>
        <v>142.88500000000002</v>
      </c>
      <c r="AG86" s="1516">
        <f t="shared" si="235"/>
        <v>15.90670500707472</v>
      </c>
      <c r="AH86" s="1517">
        <f t="shared" si="236"/>
        <v>10.286512604393394</v>
      </c>
      <c r="AJ86" s="1537">
        <f>SUM(AJ80:AJ82)</f>
        <v>161.03499999999994</v>
      </c>
      <c r="AK86" s="1516">
        <f t="shared" si="237"/>
        <v>15.17372971190313</v>
      </c>
      <c r="AL86" s="1517">
        <f t="shared" si="238"/>
        <v>12.702523008013378</v>
      </c>
      <c r="AN86" s="1537">
        <f>SUM(AN80:AN82)</f>
        <v>175.87199999999993</v>
      </c>
      <c r="AO86" s="1516">
        <f t="shared" si="239"/>
        <v>15.32760453887852</v>
      </c>
      <c r="AP86" s="1517">
        <f t="shared" si="240"/>
        <v>9.2135250100909616</v>
      </c>
      <c r="AR86" s="1537">
        <f>SUM(AR80:AR82)</f>
        <v>210.18700000000013</v>
      </c>
      <c r="AS86" s="1516">
        <f t="shared" si="241"/>
        <v>15.75614692653674</v>
      </c>
      <c r="AT86" s="1517">
        <f t="shared" si="242"/>
        <v>19.51134916302777</v>
      </c>
      <c r="AV86" s="1537">
        <f>SUM(AV80:AV82)</f>
        <v>285.5569999999999</v>
      </c>
      <c r="AW86" s="1516">
        <f t="shared" si="243"/>
        <v>15.66138454104849</v>
      </c>
      <c r="AX86" s="1517">
        <f t="shared" si="244"/>
        <v>35.858545009919609</v>
      </c>
      <c r="AZ86" s="1537">
        <f>SUM(AZ80:AZ82)</f>
        <v>343.86299999999989</v>
      </c>
      <c r="BA86" s="1516">
        <f t="shared" si="245"/>
        <v>15.777766051899242</v>
      </c>
      <c r="BB86" s="1517">
        <f t="shared" si="246"/>
        <v>20.418340296333138</v>
      </c>
      <c r="BD86" s="1537">
        <f>SUM(BD80:BD82)</f>
        <v>394.71399999999994</v>
      </c>
      <c r="BE86" s="1516">
        <f t="shared" si="247"/>
        <v>15.657798592395189</v>
      </c>
      <c r="BF86" s="1517">
        <f t="shared" si="248"/>
        <v>14.788156911328088</v>
      </c>
      <c r="BH86" s="1537">
        <f>SUM(BH80:BH82)</f>
        <v>338.1160000000001</v>
      </c>
      <c r="BI86" s="1516">
        <f t="shared" si="249"/>
        <v>13.507091586610679</v>
      </c>
      <c r="BJ86" s="1517">
        <f t="shared" si="250"/>
        <v>-14.338989749540133</v>
      </c>
      <c r="BL86" s="1537">
        <f>SUM(BL80:BL82)</f>
        <v>16.208000000000027</v>
      </c>
      <c r="BM86" s="1516">
        <f t="shared" si="251"/>
        <v>0.81339573649752173</v>
      </c>
      <c r="BN86" s="1517">
        <f t="shared" si="252"/>
        <v>-95.206378875888745</v>
      </c>
      <c r="BP86" s="1537">
        <f>SUM(BP80:BP82)</f>
        <v>84.918999999999983</v>
      </c>
      <c r="BQ86" s="1516">
        <f t="shared" si="253"/>
        <v>3.6612801697005226</v>
      </c>
      <c r="BR86" s="1517">
        <f t="shared" si="254"/>
        <v>423.93262586377</v>
      </c>
      <c r="BT86" s="1537">
        <f>SUM(BT80:BT82)</f>
        <v>148.6520000000001</v>
      </c>
      <c r="BU86" s="1516">
        <f t="shared" si="255"/>
        <v>5.2540334281391186</v>
      </c>
      <c r="BV86" s="1517">
        <f t="shared" si="256"/>
        <v>75.051519683463226</v>
      </c>
      <c r="BW86" s="114"/>
      <c r="BX86" s="1537">
        <f>SUM(BX80:BX82)</f>
        <v>123.73500000000001</v>
      </c>
      <c r="BY86" s="1516">
        <f t="shared" si="257"/>
        <v>4.0671878995777506</v>
      </c>
      <c r="BZ86" s="1517">
        <f t="shared" si="258"/>
        <v>-16.761967548368052</v>
      </c>
      <c r="CA86" s="1517"/>
      <c r="CB86" s="1537">
        <f>SUM(CB80:CB82)</f>
        <v>54.055999999999926</v>
      </c>
      <c r="CC86" s="1516">
        <f t="shared" si="265"/>
        <v>1.9184032706830931</v>
      </c>
      <c r="CD86" s="1517">
        <f t="shared" si="259"/>
        <v>-56.313088455166351</v>
      </c>
      <c r="CE86" s="1611"/>
      <c r="CF86" s="1537">
        <f>SUM(CF80:CF82)</f>
        <v>50.192999999999984</v>
      </c>
      <c r="CG86" s="1516">
        <f t="shared" si="266"/>
        <v>1.9124887692294792</v>
      </c>
      <c r="CH86" s="1517">
        <f t="shared" si="260"/>
        <v>-7.1462927334615012</v>
      </c>
      <c r="CI86" s="1611"/>
      <c r="CJ86" s="1537">
        <f>SUM(CJ80:CJ82)</f>
        <v>8.197400000000016</v>
      </c>
      <c r="CK86" s="1516">
        <f t="shared" si="267"/>
        <v>0.34074197235789322</v>
      </c>
      <c r="CL86" s="1517">
        <f t="shared" si="261"/>
        <v>-83.66824059131747</v>
      </c>
      <c r="CM86" s="1611"/>
      <c r="CN86" s="1537">
        <f>SUM(CN80:CN82)</f>
        <v>-62.550000000000011</v>
      </c>
      <c r="CO86" s="1516">
        <f t="shared" si="268"/>
        <v>-2.7309914481327753</v>
      </c>
      <c r="CP86" s="1517">
        <f t="shared" si="262"/>
        <v>-863.0468197233256</v>
      </c>
      <c r="CQ86" s="1611"/>
      <c r="CR86" s="1537">
        <f>SUM(CR80:CR82)</f>
        <v>-51.430000000000007</v>
      </c>
      <c r="CS86" s="1516">
        <f t="shared" si="269"/>
        <v>-2.2365420442072561</v>
      </c>
      <c r="CT86" s="1517" t="str">
        <f t="shared" si="263"/>
        <v xml:space="preserve">       NM</v>
      </c>
      <c r="CU86" s="1611"/>
      <c r="CV86" s="1537">
        <f>SUM(CV80:CV82)</f>
        <v>-25.789370387941062</v>
      </c>
      <c r="CW86" s="1516">
        <f t="shared" si="270"/>
        <v>-1.0767377133288478</v>
      </c>
      <c r="CX86" s="1517" t="str">
        <f t="shared" si="264"/>
        <v xml:space="preserve">       NM</v>
      </c>
    </row>
    <row r="87" spans="1:109" collapsed="1">
      <c r="AS87" s="1560">
        <f>AS83-AO83</f>
        <v>-3.4061844178482197</v>
      </c>
      <c r="AW87" s="1539"/>
      <c r="BQ87" s="1516"/>
      <c r="BT87" s="114"/>
      <c r="BU87" s="1560"/>
      <c r="BV87" s="114"/>
      <c r="BW87" s="114"/>
      <c r="BX87" s="114"/>
      <c r="BY87" s="114"/>
      <c r="BZ87" s="114"/>
      <c r="CA87" s="114"/>
      <c r="CB87" s="1556"/>
      <c r="CC87" s="200"/>
      <c r="CD87" s="200"/>
      <c r="CE87" s="200"/>
      <c r="CF87" s="1556"/>
      <c r="CG87" s="200"/>
      <c r="CH87" s="200"/>
      <c r="CI87" s="200"/>
      <c r="CJ87" s="1556"/>
      <c r="CK87" s="200"/>
      <c r="CL87" s="200"/>
      <c r="CM87" s="200"/>
      <c r="CN87" s="1556"/>
      <c r="CO87" s="200"/>
      <c r="CP87" s="200"/>
      <c r="CQ87" s="200"/>
      <c r="CR87" s="1556"/>
      <c r="CS87" s="200"/>
      <c r="CT87" s="200"/>
      <c r="CU87" s="200"/>
      <c r="CV87" s="1556"/>
      <c r="CW87" s="200"/>
      <c r="CX87" s="200"/>
    </row>
    <row r="88" spans="1:109">
      <c r="C88" s="313"/>
      <c r="D88" s="1531"/>
      <c r="H88" s="1532"/>
      <c r="I88" s="1533"/>
      <c r="J88" s="1533"/>
      <c r="K88" s="1533"/>
      <c r="L88" s="1532"/>
      <c r="M88" s="1533"/>
      <c r="N88" s="1533"/>
      <c r="O88" s="1533"/>
      <c r="P88" s="1532"/>
      <c r="Q88" s="1533"/>
      <c r="R88" s="1533"/>
      <c r="S88" s="1533"/>
      <c r="T88" s="1532"/>
      <c r="U88" s="1533"/>
      <c r="V88" s="1533"/>
      <c r="W88" s="1533"/>
      <c r="Y88" s="1533"/>
      <c r="Z88" s="1533"/>
      <c r="AA88" s="1533"/>
      <c r="AC88" s="1533"/>
      <c r="AD88" s="1533"/>
      <c r="AE88" s="1533"/>
      <c r="AF88" s="1532"/>
      <c r="AG88" s="1533"/>
      <c r="AH88" s="1533"/>
      <c r="AI88" s="1533"/>
      <c r="AK88" s="1533"/>
      <c r="AL88" s="1533"/>
      <c r="AM88" s="1533"/>
      <c r="AN88" s="1532"/>
      <c r="AO88" s="1533"/>
      <c r="AP88" s="1533"/>
      <c r="AQ88" s="1533"/>
      <c r="AS88" s="1533"/>
      <c r="AT88" s="1533"/>
      <c r="AU88" s="1533"/>
      <c r="AV88" s="1532"/>
      <c r="AW88" s="1533"/>
      <c r="AX88" s="1533"/>
      <c r="AY88" s="1533"/>
      <c r="AZ88" s="1532"/>
      <c r="BA88" s="1533"/>
      <c r="BB88" s="1533"/>
      <c r="BC88" s="1533"/>
      <c r="BD88" s="1532"/>
      <c r="BE88" s="1533"/>
      <c r="BF88" s="1533"/>
      <c r="BG88" s="1533"/>
      <c r="BH88" s="1532"/>
      <c r="BI88" s="22"/>
      <c r="BJ88" s="1533"/>
      <c r="BK88" s="1533"/>
      <c r="BL88" s="1532"/>
      <c r="BM88" s="1533"/>
      <c r="BN88" s="1533"/>
      <c r="BO88" s="1533"/>
      <c r="BP88" s="1532"/>
      <c r="BQ88" s="1533"/>
      <c r="BR88" s="1533"/>
      <c r="BS88" s="1534"/>
      <c r="BT88" s="1532"/>
      <c r="BV88" s="1533"/>
      <c r="BW88" s="1533"/>
      <c r="BX88" s="1532"/>
      <c r="BY88" s="1533"/>
      <c r="BZ88" s="1533"/>
      <c r="CA88" s="1533"/>
      <c r="CB88" s="200"/>
      <c r="CC88" s="200"/>
      <c r="CD88" s="1532" t="s">
        <v>736</v>
      </c>
      <c r="CE88" s="200"/>
      <c r="CF88" s="2016"/>
      <c r="CG88" s="200"/>
      <c r="CH88" s="200"/>
      <c r="CI88" s="200"/>
      <c r="CJ88" s="200"/>
      <c r="CK88" s="200"/>
      <c r="CL88" s="200"/>
      <c r="CM88" s="200"/>
      <c r="CN88" s="200"/>
      <c r="CO88" s="1556"/>
      <c r="CP88" s="200"/>
      <c r="CQ88" s="200"/>
      <c r="CR88" s="2016"/>
      <c r="CS88" s="1995"/>
      <c r="CT88" s="200"/>
      <c r="CU88" s="200"/>
      <c r="CV88" s="200"/>
      <c r="CW88" s="200"/>
      <c r="CX88" s="200"/>
    </row>
    <row r="89" spans="1:109">
      <c r="BT89" s="114"/>
      <c r="BU89" s="114"/>
      <c r="BV89" s="114"/>
      <c r="BW89" s="114"/>
      <c r="BX89" s="114"/>
      <c r="BY89" s="114"/>
      <c r="BZ89" s="114"/>
      <c r="CA89" s="114"/>
      <c r="CB89" s="200"/>
      <c r="CC89" s="200"/>
      <c r="CD89" s="200"/>
      <c r="CE89" s="200"/>
      <c r="CF89" s="200"/>
      <c r="CG89" s="200"/>
      <c r="CH89" s="200"/>
      <c r="CI89" s="200"/>
      <c r="CJ89" s="200"/>
      <c r="CK89" s="200"/>
      <c r="CL89" s="200"/>
      <c r="CM89" s="200"/>
      <c r="CN89" s="200"/>
      <c r="CO89" s="200"/>
      <c r="CP89" s="200"/>
      <c r="CQ89" s="200"/>
      <c r="CR89" s="2016"/>
      <c r="CS89" s="2016"/>
      <c r="CT89" s="200"/>
      <c r="CU89" s="200"/>
      <c r="CV89" s="200"/>
      <c r="CW89" s="200"/>
      <c r="CX89" s="200"/>
    </row>
    <row r="90" spans="1:109">
      <c r="A90" s="114" t="str">
        <f>$A$10</f>
        <v>1Q</v>
      </c>
      <c r="B90" s="114" t="str">
        <f>$B$10</f>
        <v>Apr</v>
      </c>
      <c r="D90" s="1541">
        <v>-1.204</v>
      </c>
      <c r="E90" s="1516">
        <f t="shared" ref="E90:E96" si="271">D90/D50*100</f>
        <v>-15.701617110067815</v>
      </c>
      <c r="F90" s="1057"/>
      <c r="H90" s="1541">
        <v>-1.2549999999999999</v>
      </c>
      <c r="I90" s="1516">
        <f t="shared" ref="I90:I96" si="272">H90/H10*100</f>
        <v>-3.7600743026635102</v>
      </c>
      <c r="J90" s="1057"/>
      <c r="L90" s="1541">
        <v>-1.196</v>
      </c>
      <c r="M90" s="1516">
        <f t="shared" ref="M90:M96" si="273">L90/L10*100</f>
        <v>-2.3441787534300271</v>
      </c>
      <c r="N90" s="1057"/>
      <c r="P90" s="1541">
        <v>-1.0349999999999999</v>
      </c>
      <c r="Q90" s="1516">
        <f t="shared" ref="Q90:Q96" si="274">P90/P10*100</f>
        <v>-1.3927014371064104</v>
      </c>
      <c r="R90" s="1057"/>
      <c r="T90" s="1541">
        <v>0.16900000000000001</v>
      </c>
      <c r="U90" s="1516">
        <f t="shared" ref="U90:U96" si="275">T90/T10*100</f>
        <v>0.12789078580942001</v>
      </c>
      <c r="V90" s="1057"/>
      <c r="W90" s="1057"/>
      <c r="X90" s="1541">
        <v>1.887</v>
      </c>
      <c r="Y90" s="1516">
        <f t="shared" ref="Y90:Y96" si="276">X90/X10*100</f>
        <v>1.0121924399362754</v>
      </c>
      <c r="AB90" s="1541">
        <v>2.4670000000000001</v>
      </c>
      <c r="AC90" s="1516">
        <f t="shared" ref="AC90:AC96" si="277">AB90/AB10*100</f>
        <v>1.2033794132854647</v>
      </c>
      <c r="AF90" s="1541">
        <v>1.72</v>
      </c>
      <c r="AG90" s="1516">
        <f t="shared" ref="AG90:AG96" si="278">AF90/AF10*100</f>
        <v>0.65230582524271841</v>
      </c>
      <c r="AJ90" s="1541">
        <v>0.872</v>
      </c>
      <c r="AK90" s="1516">
        <f t="shared" ref="AK90:AK96" si="279">AJ90/AJ10*100</f>
        <v>0.27877950842732557</v>
      </c>
      <c r="AN90" s="1541">
        <v>0.99099999999999999</v>
      </c>
      <c r="AO90" s="1516">
        <f t="shared" ref="AO90:AO96" si="280">AN90/AN10*100</f>
        <v>0.28581976338392145</v>
      </c>
      <c r="AR90" s="1541">
        <v>0.98499999999999999</v>
      </c>
      <c r="AS90" s="1516">
        <f t="shared" ref="AS90:AS96" si="281">AR90/AR10*100</f>
        <v>0.23911829679799965</v>
      </c>
      <c r="AV90" s="1541">
        <v>1.22</v>
      </c>
      <c r="AW90" s="1516">
        <f t="shared" ref="AW90:AW96" si="282">AV90/AV10*100</f>
        <v>0.22311223276823763</v>
      </c>
      <c r="AZ90" s="1541">
        <v>3.1659999999999999</v>
      </c>
      <c r="BA90" s="1516">
        <f t="shared" ref="BA90:BA96" si="283">AZ90/AZ10*100</f>
        <v>0.48168867940316862</v>
      </c>
      <c r="BD90" s="1541">
        <v>3.7109999999999999</v>
      </c>
      <c r="BE90" s="1516">
        <f t="shared" ref="BE90:BE96" si="284">BD90/BD10*100</f>
        <v>0.49985856871539985</v>
      </c>
      <c r="BH90" s="1541">
        <v>7.6459999999999999</v>
      </c>
      <c r="BI90" s="1516">
        <f t="shared" ref="BI90:BI96" si="285">BH90/BH10*100</f>
        <v>0.97136592139380717</v>
      </c>
      <c r="BL90" s="1541">
        <v>1.3740000000000001</v>
      </c>
      <c r="BM90" s="1516">
        <f t="shared" ref="BM90:BM96" si="286">BL90/BL10*100</f>
        <v>0.22834199448588982</v>
      </c>
      <c r="BP90" s="1541">
        <v>-0.82499999999999996</v>
      </c>
      <c r="BQ90" s="1516">
        <f t="shared" ref="BQ90:BQ96" si="287">BP90/BP10*100</f>
        <v>-0.11994696163441911</v>
      </c>
      <c r="BT90" s="1541">
        <v>-0.95</v>
      </c>
      <c r="BU90" s="1516">
        <f t="shared" ref="BU90:BU96" si="288">BT90/BT10*100</f>
        <v>-0.11354482151949266</v>
      </c>
      <c r="BV90" s="114"/>
      <c r="BW90" s="114"/>
      <c r="BX90" s="1541">
        <v>-1.089</v>
      </c>
      <c r="BY90" s="1516">
        <f t="shared" ref="BY90:BY96" si="289">BX90/BX10*100</f>
        <v>-0.11821306140348974</v>
      </c>
      <c r="BZ90" s="114"/>
      <c r="CA90" s="114"/>
      <c r="CB90" s="1541">
        <v>-1.6279999999999999</v>
      </c>
      <c r="CC90" s="1516">
        <f>CB90/CB10*100</f>
        <v>-0.19409396389232314</v>
      </c>
      <c r="CD90" s="200"/>
      <c r="CE90" s="200"/>
      <c r="CF90" s="1541">
        <v>-1.9970000000000001</v>
      </c>
      <c r="CG90" s="1516">
        <f>CF90/CF10*100</f>
        <v>-0.24281760834991029</v>
      </c>
      <c r="CH90" s="200"/>
      <c r="CI90" s="200"/>
      <c r="CJ90" s="1541">
        <v>-4.6390000000000002</v>
      </c>
      <c r="CK90" s="1516">
        <f>CJ90/CJ10*100</f>
        <v>-0.65391262182452758</v>
      </c>
      <c r="CL90" s="200"/>
      <c r="CM90" s="200"/>
      <c r="CN90" s="1541">
        <v>-4.5060000000000002</v>
      </c>
      <c r="CO90" s="1516">
        <f>CN90/CN10*100</f>
        <v>-0.65734671756994711</v>
      </c>
      <c r="CP90" s="200"/>
      <c r="CQ90" s="200"/>
      <c r="CR90" s="1541">
        <v>-4.12</v>
      </c>
      <c r="CS90" s="1516">
        <f>CR90/CR10*100</f>
        <v>-0.62320469400195733</v>
      </c>
      <c r="CT90" s="200"/>
      <c r="CU90" s="200"/>
      <c r="CV90" s="2204">
        <f>CR93</f>
        <v>-4.109</v>
      </c>
      <c r="CW90" s="1516">
        <f>CV90/CV10*100</f>
        <v>-0.58780652924220511</v>
      </c>
      <c r="CX90" s="200"/>
    </row>
    <row r="91" spans="1:109">
      <c r="A91" s="114" t="str">
        <f>$A$11</f>
        <v>2Q</v>
      </c>
      <c r="B91" s="114" t="str">
        <f>$B$11</f>
        <v>Jul</v>
      </c>
      <c r="D91" s="1547">
        <v>-1.319</v>
      </c>
      <c r="E91" s="1516">
        <f t="shared" si="271"/>
        <v>-14.470652770159079</v>
      </c>
      <c r="H91" s="1547">
        <v>-1.43</v>
      </c>
      <c r="I91" s="1516">
        <f t="shared" si="272"/>
        <v>-3.6981483397124237</v>
      </c>
      <c r="L91" s="1547">
        <v>-1.3520000000000001</v>
      </c>
      <c r="M91" s="1516">
        <f t="shared" si="273"/>
        <v>-2.354129302989675</v>
      </c>
      <c r="P91" s="1547">
        <v>-1.167</v>
      </c>
      <c r="Q91" s="1516">
        <f t="shared" si="274"/>
        <v>-1.3469529085872578</v>
      </c>
      <c r="T91" s="1547">
        <v>0.56999999999999995</v>
      </c>
      <c r="U91" s="1516">
        <f t="shared" si="275"/>
        <v>0.39301942343361068</v>
      </c>
      <c r="X91" s="1547">
        <v>1.171</v>
      </c>
      <c r="Y91" s="1516">
        <f t="shared" si="276"/>
        <v>0.59675783658721782</v>
      </c>
      <c r="AB91" s="1547">
        <v>1.3640000000000001</v>
      </c>
      <c r="AC91" s="1516">
        <f t="shared" si="277"/>
        <v>0.59555256711973492</v>
      </c>
      <c r="AF91" s="1547">
        <v>1.1279999999999999</v>
      </c>
      <c r="AG91" s="1516">
        <f t="shared" si="278"/>
        <v>0.40269031401276612</v>
      </c>
      <c r="AJ91" s="1547">
        <v>0.73099999999999998</v>
      </c>
      <c r="AK91" s="1516">
        <f t="shared" si="279"/>
        <v>0.22208449540336742</v>
      </c>
      <c r="AN91" s="1547">
        <v>0.86099999999999999</v>
      </c>
      <c r="AO91" s="1516">
        <f t="shared" si="280"/>
        <v>0.24204498494598264</v>
      </c>
      <c r="AR91" s="1547">
        <v>1.3580000000000001</v>
      </c>
      <c r="AS91" s="1516">
        <f t="shared" si="281"/>
        <v>0.33836141384242024</v>
      </c>
      <c r="AV91" s="1547">
        <f>1.56</f>
        <v>1.56</v>
      </c>
      <c r="AW91" s="1516">
        <f t="shared" si="282"/>
        <v>0.27292242180160292</v>
      </c>
      <c r="AZ91" s="1547">
        <v>2.7650000000000001</v>
      </c>
      <c r="BA91" s="1516">
        <f t="shared" si="283"/>
        <v>0.41976875523762103</v>
      </c>
      <c r="BD91" s="1547">
        <v>4.1429999999999998</v>
      </c>
      <c r="BE91" s="1516">
        <f t="shared" si="284"/>
        <v>0.51495392386686512</v>
      </c>
      <c r="BH91" s="1547">
        <v>1.7569999999999999</v>
      </c>
      <c r="BI91" s="1516">
        <f t="shared" si="285"/>
        <v>0.21084893999505577</v>
      </c>
      <c r="BL91" s="1547">
        <v>1.7789999999999999</v>
      </c>
      <c r="BM91" s="1516">
        <f t="shared" si="286"/>
        <v>0.2791810062756877</v>
      </c>
      <c r="BP91" s="1547">
        <v>-0.80700000000000005</v>
      </c>
      <c r="BQ91" s="1516">
        <f t="shared" si="287"/>
        <v>-0.10820624351365921</v>
      </c>
      <c r="BT91" s="1547">
        <v>-0.98499999999999999</v>
      </c>
      <c r="BU91" s="1516">
        <f t="shared" si="288"/>
        <v>-0.10744325414529163</v>
      </c>
      <c r="BV91" s="114"/>
      <c r="BW91" s="114"/>
      <c r="BX91" s="1547">
        <v>-1.546</v>
      </c>
      <c r="BY91" s="1516">
        <f t="shared" si="289"/>
        <v>-0.16249617671511771</v>
      </c>
      <c r="BZ91" s="114"/>
      <c r="CA91" s="114"/>
      <c r="CB91" s="1547">
        <v>-1.75</v>
      </c>
      <c r="CC91" s="1516">
        <f t="shared" ref="CC91:CC96" si="290">CB91/CB11*100</f>
        <v>-0.18504850385641083</v>
      </c>
      <c r="CD91" s="200"/>
      <c r="CE91" s="200"/>
      <c r="CF91" s="1547">
        <v>-2.02</v>
      </c>
      <c r="CG91" s="1516">
        <f t="shared" ref="CG91:CG96" si="291">CF91/CF11*100</f>
        <v>-0.2268121108684546</v>
      </c>
      <c r="CH91" s="200"/>
      <c r="CI91" s="200"/>
      <c r="CJ91" s="1547">
        <v>-4.5670000000000002</v>
      </c>
      <c r="CK91" s="1516">
        <f t="shared" ref="CK91:CK96" si="292">CJ91/CJ11*100</f>
        <v>-0.55847954646618303</v>
      </c>
      <c r="CL91" s="200"/>
      <c r="CM91" s="200"/>
      <c r="CN91" s="1547">
        <v>-4.7409999999999997</v>
      </c>
      <c r="CO91" s="1516">
        <f t="shared" ref="CO91:CO96" si="293">CN91/CN11*100</f>
        <v>-0.60536799632259053</v>
      </c>
      <c r="CP91" s="200"/>
      <c r="CQ91" s="200"/>
      <c r="CR91" s="1547">
        <v>-4.0890000000000004</v>
      </c>
      <c r="CS91" s="1516">
        <f t="shared" ref="CS91:CS96" si="294">CR91/CR11*100</f>
        <v>-0.52468751644059386</v>
      </c>
      <c r="CT91" s="200"/>
      <c r="CU91" s="200"/>
      <c r="CV91" s="2205">
        <f>CV90</f>
        <v>-4.109</v>
      </c>
      <c r="CW91" s="1516">
        <f t="shared" ref="CW91:CW96" si="295">CV91/CV11*100</f>
        <v>-0.49380623096355536</v>
      </c>
      <c r="CX91" s="200"/>
      <c r="DE91" s="18"/>
    </row>
    <row r="92" spans="1:109">
      <c r="A92" s="114" t="str">
        <f>$A$12</f>
        <v>3Q</v>
      </c>
      <c r="B92" s="114" t="str">
        <f>$B$12</f>
        <v>Oct</v>
      </c>
      <c r="D92" s="1547">
        <v>-1.4470000000000001</v>
      </c>
      <c r="E92" s="1516">
        <f t="shared" si="271"/>
        <v>-13.096207801611007</v>
      </c>
      <c r="H92" s="1547">
        <v>-1.556</v>
      </c>
      <c r="I92" s="1516">
        <f t="shared" si="272"/>
        <v>-2.719233861102373</v>
      </c>
      <c r="L92" s="1547">
        <v>-1.343</v>
      </c>
      <c r="M92" s="1516">
        <f t="shared" si="273"/>
        <v>-1.5315664629139676</v>
      </c>
      <c r="P92" s="1547">
        <v>-1.0760000000000001</v>
      </c>
      <c r="Q92" s="1516">
        <f t="shared" si="274"/>
        <v>-0.7245010638584396</v>
      </c>
      <c r="T92" s="1547">
        <v>0.78</v>
      </c>
      <c r="U92" s="1516">
        <f t="shared" si="275"/>
        <v>0.34222534222534223</v>
      </c>
      <c r="X92" s="1547">
        <v>1.6839999999999999</v>
      </c>
      <c r="Y92" s="1516">
        <f t="shared" si="276"/>
        <v>0.59189483673684584</v>
      </c>
      <c r="AB92" s="1547">
        <v>1.4690000000000001</v>
      </c>
      <c r="AC92" s="1516">
        <f t="shared" si="277"/>
        <v>0.40343621094028925</v>
      </c>
      <c r="AF92" s="1547">
        <v>1.0009999999999999</v>
      </c>
      <c r="AG92" s="1516">
        <f t="shared" si="278"/>
        <v>0.28239104247714208</v>
      </c>
      <c r="AJ92" s="1547">
        <v>0.86599999999999999</v>
      </c>
      <c r="AK92" s="1516">
        <f t="shared" si="279"/>
        <v>0.20652041714262548</v>
      </c>
      <c r="AN92" s="1547">
        <v>0.75700000000000001</v>
      </c>
      <c r="AO92" s="1516">
        <f t="shared" si="280"/>
        <v>0.1701203877036894</v>
      </c>
      <c r="AR92" s="1547">
        <v>1.573</v>
      </c>
      <c r="AS92" s="1516">
        <f t="shared" si="281"/>
        <v>0.30207941251027415</v>
      </c>
      <c r="AV92" s="1547">
        <f>1.516</f>
        <v>1.516</v>
      </c>
      <c r="AW92" s="1516">
        <f t="shared" si="282"/>
        <v>0.21506047511909185</v>
      </c>
      <c r="AZ92" s="1547">
        <f>3.252</f>
        <v>3.2519999999999998</v>
      </c>
      <c r="BA92" s="1516">
        <f t="shared" si="283"/>
        <v>0.37662951330016398</v>
      </c>
      <c r="BD92" s="1547">
        <f>4.618</f>
        <v>4.6180000000000003</v>
      </c>
      <c r="BE92" s="1516">
        <f t="shared" si="284"/>
        <v>0.47416138736870217</v>
      </c>
      <c r="BH92" s="1547">
        <v>0.56000000000000005</v>
      </c>
      <c r="BI92" s="1516">
        <f t="shared" si="285"/>
        <v>6.3433736099799395E-2</v>
      </c>
      <c r="BL92" s="1547">
        <v>-0.46100000000000002</v>
      </c>
      <c r="BM92" s="1516">
        <f t="shared" si="286"/>
        <v>-6.1166218202854256E-2</v>
      </c>
      <c r="BP92" s="1547">
        <v>-0.67100000000000004</v>
      </c>
      <c r="BQ92" s="1516">
        <f t="shared" si="287"/>
        <v>-7.5752615215099045E-2</v>
      </c>
      <c r="BT92" s="1547">
        <v>-0.53300000000000003</v>
      </c>
      <c r="BU92" s="1516">
        <f t="shared" si="288"/>
        <v>-4.9541946134055111E-2</v>
      </c>
      <c r="BV92" s="114"/>
      <c r="BW92" s="114"/>
      <c r="BX92" s="1547">
        <v>-1.5840000000000001</v>
      </c>
      <c r="BY92" s="1516">
        <f t="shared" si="289"/>
        <v>-0.13542524295750266</v>
      </c>
      <c r="BZ92" s="114"/>
      <c r="CA92" s="114"/>
      <c r="CB92" s="1547">
        <v>-1.655</v>
      </c>
      <c r="CC92" s="1516">
        <f t="shared" si="290"/>
        <v>-0.16016754202341449</v>
      </c>
      <c r="CD92" s="200"/>
      <c r="CE92" s="200"/>
      <c r="CF92" s="1547">
        <v>-5.5720000000000001</v>
      </c>
      <c r="CG92" s="1516">
        <f t="shared" si="291"/>
        <v>-0.61133157716305719</v>
      </c>
      <c r="CH92" s="200"/>
      <c r="CI92" s="200"/>
      <c r="CJ92" s="1547">
        <v>-4.5860000000000003</v>
      </c>
      <c r="CK92" s="1516">
        <f t="shared" si="292"/>
        <v>-0.52198340033599988</v>
      </c>
      <c r="CL92" s="200"/>
      <c r="CM92" s="200"/>
      <c r="CN92" s="1547">
        <v>-4.609</v>
      </c>
      <c r="CO92" s="1516">
        <f t="shared" si="293"/>
        <v>-0.56088709971840034</v>
      </c>
      <c r="CP92" s="200"/>
      <c r="CQ92" s="200"/>
      <c r="CR92" s="2240">
        <v>-4.5709999999999997</v>
      </c>
      <c r="CS92" s="1516">
        <f t="shared" si="294"/>
        <v>-0.5320610118354766</v>
      </c>
      <c r="CT92" s="200"/>
      <c r="CU92" s="200"/>
      <c r="CV92" s="2055">
        <f>CV91</f>
        <v>-4.109</v>
      </c>
      <c r="CW92" s="1516">
        <f t="shared" si="295"/>
        <v>-0.4755829900275077</v>
      </c>
      <c r="CX92" s="200"/>
    </row>
    <row r="93" spans="1:109">
      <c r="A93" s="114" t="str">
        <f>$A$13</f>
        <v>4Q</v>
      </c>
      <c r="B93" s="114" t="str">
        <f>$B$13</f>
        <v>Jan</v>
      </c>
      <c r="C93" s="310"/>
      <c r="D93" s="1551">
        <v>-1.302</v>
      </c>
      <c r="E93" s="1516">
        <f t="shared" si="271"/>
        <v>-8.5449891710966739</v>
      </c>
      <c r="H93" s="1551">
        <v>-1.488</v>
      </c>
      <c r="I93" s="1516">
        <f t="shared" si="272"/>
        <v>-1.3986013986013985</v>
      </c>
      <c r="L93" s="1551">
        <v>-1.125</v>
      </c>
      <c r="M93" s="1516">
        <f t="shared" si="273"/>
        <v>-0.80799810389778282</v>
      </c>
      <c r="P93" s="1551">
        <v>-0.30499999999999999</v>
      </c>
      <c r="Q93" s="1516">
        <f t="shared" si="274"/>
        <v>-0.14376959155294727</v>
      </c>
      <c r="T93" s="1551">
        <v>1.625</v>
      </c>
      <c r="U93" s="1516">
        <f t="shared" si="275"/>
        <v>0.54151323791592387</v>
      </c>
      <c r="X93" s="1551">
        <v>2.5289999999999999</v>
      </c>
      <c r="Y93" s="1516">
        <f t="shared" si="276"/>
        <v>0.69536478468162788</v>
      </c>
      <c r="AB93" s="1551">
        <v>2.5009999999999999</v>
      </c>
      <c r="AC93" s="1516">
        <f t="shared" si="277"/>
        <v>0.56912696696970044</v>
      </c>
      <c r="AF93" s="1551">
        <v>1.2150000000000001</v>
      </c>
      <c r="AG93" s="1516">
        <f t="shared" si="278"/>
        <v>0.26040327143665454</v>
      </c>
      <c r="AJ93" s="1551">
        <v>1.3</v>
      </c>
      <c r="AK93" s="1516">
        <f t="shared" si="279"/>
        <v>0.24322615167582823</v>
      </c>
      <c r="AN93" s="1551">
        <v>1.099</v>
      </c>
      <c r="AO93" s="1516">
        <f t="shared" si="280"/>
        <v>0.19611377096980845</v>
      </c>
      <c r="AR93" s="1551">
        <v>1.2989999999999999</v>
      </c>
      <c r="AS93" s="1516">
        <f t="shared" si="281"/>
        <v>0.18901308686453622</v>
      </c>
      <c r="AV93" s="1551">
        <v>2.3759999999999999</v>
      </c>
      <c r="AW93" s="1516">
        <f t="shared" si="282"/>
        <v>0.24714164461530777</v>
      </c>
      <c r="AZ93" s="1551">
        <v>4.7140000000000004</v>
      </c>
      <c r="BA93" s="1516">
        <f t="shared" si="283"/>
        <v>0.41396522305735367</v>
      </c>
      <c r="BD93" s="1551">
        <v>6.3559999999999999</v>
      </c>
      <c r="BE93" s="1516">
        <f t="shared" si="284"/>
        <v>0.51718147487853638</v>
      </c>
      <c r="BH93" s="1551">
        <v>1.419</v>
      </c>
      <c r="BI93" s="1516">
        <f t="shared" si="285"/>
        <v>0.14467648645149056</v>
      </c>
      <c r="BL93" s="1551">
        <v>-1.093</v>
      </c>
      <c r="BM93" s="1516">
        <f t="shared" si="286"/>
        <v>-0.11677462710645721</v>
      </c>
      <c r="BP93" s="1551">
        <v>-1.0580000000000001</v>
      </c>
      <c r="BQ93" s="1516">
        <f t="shared" si="287"/>
        <v>-9.2048345391840591E-2</v>
      </c>
      <c r="BT93" s="1551">
        <v>-1.109</v>
      </c>
      <c r="BU93" s="1516">
        <f t="shared" si="288"/>
        <v>-8.346095810771656E-2</v>
      </c>
      <c r="BV93" s="114"/>
      <c r="BW93" s="114"/>
      <c r="BX93" s="1551">
        <v>-3.069</v>
      </c>
      <c r="BY93" s="1516">
        <f t="shared" si="289"/>
        <v>-0.20898435239024576</v>
      </c>
      <c r="BZ93" s="114"/>
      <c r="CA93" s="114"/>
      <c r="CB93" s="1551">
        <v>-2.5129999999999999</v>
      </c>
      <c r="CC93" s="1516">
        <f t="shared" si="290"/>
        <v>-0.19343610412142831</v>
      </c>
      <c r="CD93" s="200"/>
      <c r="CE93" s="200"/>
      <c r="CF93" s="1551">
        <v>-4.7759999999999998</v>
      </c>
      <c r="CG93" s="1516">
        <f t="shared" si="291"/>
        <v>-0.42660225949136432</v>
      </c>
      <c r="CH93" s="200"/>
      <c r="CI93" s="200"/>
      <c r="CJ93" s="1551">
        <v>-4.4560000000000004</v>
      </c>
      <c r="CK93" s="1516">
        <f t="shared" si="292"/>
        <v>-0.40038457045816001</v>
      </c>
      <c r="CL93" s="200"/>
      <c r="CM93" s="200"/>
      <c r="CN93" s="1551">
        <v>-4.8099999999999996</v>
      </c>
      <c r="CO93" s="1516">
        <f t="shared" si="293"/>
        <v>-0.46412309200540736</v>
      </c>
      <c r="CP93" s="200"/>
      <c r="CQ93" s="200"/>
      <c r="CR93" s="2257">
        <v>-4.109</v>
      </c>
      <c r="CS93" s="1516">
        <f t="shared" si="294"/>
        <v>-0.34438020781824374</v>
      </c>
      <c r="CT93" s="200"/>
      <c r="CU93" s="200"/>
      <c r="CV93" s="2056">
        <f>CV92</f>
        <v>-4.109</v>
      </c>
      <c r="CW93" s="1516">
        <f t="shared" si="295"/>
        <v>-0.36927500712812422</v>
      </c>
      <c r="CX93" s="200"/>
      <c r="CZ93" s="1053"/>
    </row>
    <row r="94" spans="1:109">
      <c r="B94" s="114" t="str">
        <f>$B$14</f>
        <v>Year</v>
      </c>
      <c r="D94" s="1536">
        <f>SUM(D90:D93)</f>
        <v>-5.2720000000000002</v>
      </c>
      <c r="E94" s="1516">
        <f t="shared" si="271"/>
        <v>-12.240822865634215</v>
      </c>
      <c r="H94" s="1536">
        <f>SUM(H90:H93)</f>
        <v>-5.7289999999999992</v>
      </c>
      <c r="I94" s="1516">
        <f t="shared" si="272"/>
        <v>-2.4310550413945573</v>
      </c>
      <c r="L94" s="1536">
        <f>SUM(L90:L93)</f>
        <v>-5.016</v>
      </c>
      <c r="M94" s="1516">
        <f t="shared" si="273"/>
        <v>-1.4956525887671002</v>
      </c>
      <c r="P94" s="1536">
        <f>SUM(P90:P93)</f>
        <v>-3.5830000000000002</v>
      </c>
      <c r="Q94" s="1516">
        <f t="shared" si="274"/>
        <v>-0.68690245908396397</v>
      </c>
      <c r="T94" s="1536">
        <f>SUM(T90:T93)</f>
        <v>3.1440000000000001</v>
      </c>
      <c r="U94" s="1516">
        <f t="shared" si="275"/>
        <v>0.39047169576988994</v>
      </c>
      <c r="X94" s="1536">
        <f>SUM(X90:X93)</f>
        <v>7.2709999999999999</v>
      </c>
      <c r="Y94" s="1516">
        <f t="shared" si="276"/>
        <v>0.70533477937795508</v>
      </c>
      <c r="AB94" s="1536">
        <f>SUM(AB90:AB93)</f>
        <v>7.8010000000000002</v>
      </c>
      <c r="AC94" s="1516">
        <f t="shared" si="277"/>
        <v>0.6303308651232542</v>
      </c>
      <c r="AF94" s="1536">
        <f>SUM(AF90:AF93)</f>
        <v>5.0640000000000001</v>
      </c>
      <c r="AG94" s="1516">
        <f t="shared" si="278"/>
        <v>0.37102896795479073</v>
      </c>
      <c r="AJ94" s="1536">
        <f>SUM(AJ90:AJ93)</f>
        <v>3.7690000000000001</v>
      </c>
      <c r="AK94" s="1516">
        <f t="shared" si="279"/>
        <v>0.2361888432887965</v>
      </c>
      <c r="AN94" s="1536">
        <f>SUM(AN90:AN93)</f>
        <v>3.7080000000000002</v>
      </c>
      <c r="AO94" s="1516">
        <f t="shared" si="280"/>
        <v>0.21712029858139875</v>
      </c>
      <c r="AR94" s="1536">
        <f>SUM(AR90:AR93)</f>
        <v>5.2149999999999999</v>
      </c>
      <c r="AS94" s="1516">
        <f t="shared" si="281"/>
        <v>0.25800814741739531</v>
      </c>
      <c r="AV94" s="1536">
        <f>SUM(AV90:AV93)</f>
        <v>6.6720000000000006</v>
      </c>
      <c r="AW94" s="1516">
        <f t="shared" si="282"/>
        <v>0.23959398300218587</v>
      </c>
      <c r="AZ94" s="1536">
        <f>SUM(AZ90:AZ93)</f>
        <v>13.897</v>
      </c>
      <c r="BA94" s="1516">
        <f t="shared" si="283"/>
        <v>0.41881670493086826</v>
      </c>
      <c r="BD94" s="1536">
        <f>SUM(BD90:BD93)</f>
        <v>18.827999999999999</v>
      </c>
      <c r="BE94" s="1516">
        <f t="shared" si="284"/>
        <v>0.50210048569981658</v>
      </c>
      <c r="BH94" s="1536">
        <f>SUM(BH90:BH93)</f>
        <v>11.382000000000001</v>
      </c>
      <c r="BI94" s="1516">
        <f t="shared" si="285"/>
        <v>0.3266881110154054</v>
      </c>
      <c r="BL94" s="1536">
        <f>SUM(BL90:BL93)</f>
        <v>1.5990000000000002</v>
      </c>
      <c r="BM94" s="1516">
        <f t="shared" si="286"/>
        <v>5.459900123778224E-2</v>
      </c>
      <c r="BP94" s="1536">
        <f>SUM(BP90:BP93)</f>
        <v>-3.3609999999999998</v>
      </c>
      <c r="BQ94" s="1516">
        <f t="shared" si="287"/>
        <v>-9.689296743289276E-2</v>
      </c>
      <c r="BT94" s="1536">
        <f>SUM(BT90:BT93)</f>
        <v>-3.577</v>
      </c>
      <c r="BU94" s="1516">
        <f t="shared" si="288"/>
        <v>-8.6025736052743856E-2</v>
      </c>
      <c r="BV94" s="114"/>
      <c r="BW94" s="114"/>
      <c r="BX94" s="1536">
        <f>SUM(BX90:BX93)</f>
        <v>-7.2879999999999994</v>
      </c>
      <c r="BY94" s="1516">
        <f t="shared" si="289"/>
        <v>-0.16156761376295359</v>
      </c>
      <c r="BZ94" s="114"/>
      <c r="CA94" s="114"/>
      <c r="CB94" s="1536">
        <f>SUM(CB90:CB93)</f>
        <v>-7.5460000000000003</v>
      </c>
      <c r="CC94" s="1516">
        <f t="shared" si="290"/>
        <v>-0.1832933881998991</v>
      </c>
      <c r="CD94" s="200"/>
      <c r="CE94" s="200"/>
      <c r="CF94" s="1536">
        <f>SUM(CF90:CF93)</f>
        <v>-14.365</v>
      </c>
      <c r="CG94" s="1516">
        <f t="shared" si="291"/>
        <v>-0.38367748121676376</v>
      </c>
      <c r="CH94" s="200"/>
      <c r="CI94" s="200"/>
      <c r="CJ94" s="1536">
        <f>SUM(CJ90:CJ93)</f>
        <v>-18.248000000000001</v>
      </c>
      <c r="CK94" s="1516">
        <f t="shared" si="292"/>
        <v>-0.51860356724680845</v>
      </c>
      <c r="CL94" s="200"/>
      <c r="CM94" s="200"/>
      <c r="CN94" s="1536">
        <f>SUM(CN90:CN93)</f>
        <v>-18.666</v>
      </c>
      <c r="CO94" s="1516">
        <f t="shared" si="293"/>
        <v>-0.56108983569500481</v>
      </c>
      <c r="CP94" s="200"/>
      <c r="CQ94" s="200"/>
      <c r="CR94" s="1536">
        <f>SUM(CR90:CR93)</f>
        <v>-16.888999999999999</v>
      </c>
      <c r="CS94" s="1516">
        <f t="shared" si="294"/>
        <v>-0.4835527916877822</v>
      </c>
      <c r="CT94" s="200"/>
      <c r="CU94" s="200"/>
      <c r="CV94" s="1536">
        <f>SUM(CV90:CV93)</f>
        <v>-16.436</v>
      </c>
      <c r="CW94" s="1516">
        <f t="shared" si="295"/>
        <v>-0.46854772745265788</v>
      </c>
      <c r="CX94" s="200"/>
    </row>
    <row r="95" spans="1:109" ht="12.75" hidden="1" customHeight="1" outlineLevel="1">
      <c r="A95" s="114" t="str">
        <f>$A$15</f>
        <v>6 Mos</v>
      </c>
      <c r="D95" s="1537">
        <f>SUM(D90:D91)</f>
        <v>-2.5229999999999997</v>
      </c>
      <c r="E95" s="1516">
        <f t="shared" si="271"/>
        <v>-15.033069177143535</v>
      </c>
      <c r="H95" s="1537">
        <f>SUM(H90:H91)</f>
        <v>-2.6849999999999996</v>
      </c>
      <c r="I95" s="1516">
        <f t="shared" si="272"/>
        <v>-3.7268373932958556</v>
      </c>
      <c r="L95" s="1537">
        <f>SUM(L90:L91)</f>
        <v>-2.548</v>
      </c>
      <c r="M95" s="1516">
        <f t="shared" si="273"/>
        <v>-2.3494481378687153</v>
      </c>
      <c r="P95" s="1537">
        <f>SUM(P90:P91)</f>
        <v>-2.202</v>
      </c>
      <c r="Q95" s="1516">
        <f t="shared" si="274"/>
        <v>-1.3680757474092298</v>
      </c>
      <c r="T95" s="1537">
        <f>SUM(T90:T91)</f>
        <v>0.73899999999999999</v>
      </c>
      <c r="U95" s="1516">
        <f t="shared" si="275"/>
        <v>0.26661856228014791</v>
      </c>
      <c r="X95" s="1537">
        <f>SUM(X90:X91)</f>
        <v>3.0579999999999998</v>
      </c>
      <c r="Y95" s="1516">
        <f t="shared" si="276"/>
        <v>0.79915537273881876</v>
      </c>
      <c r="AB95" s="1537">
        <f>SUM(AB90:AB91)</f>
        <v>3.8310000000000004</v>
      </c>
      <c r="AC95" s="1516">
        <f t="shared" si="277"/>
        <v>0.8826436455878186</v>
      </c>
      <c r="AF95" s="1537">
        <f>SUM(AF90:AF91)</f>
        <v>2.8479999999999999</v>
      </c>
      <c r="AG95" s="1516">
        <f t="shared" si="278"/>
        <v>0.52372580894305942</v>
      </c>
      <c r="AJ95" s="1537">
        <f>SUM(AJ90:AJ91)</f>
        <v>1.603</v>
      </c>
      <c r="AK95" s="1516">
        <f t="shared" si="279"/>
        <v>0.24970947712112859</v>
      </c>
      <c r="AN95" s="1537">
        <f>SUM(AN90:AN91)</f>
        <v>1.8519999999999999</v>
      </c>
      <c r="AO95" s="1516">
        <f t="shared" si="280"/>
        <v>0.2636520362564258</v>
      </c>
      <c r="AR95" s="1537">
        <f>SUM(AR90:AR91)</f>
        <v>2.343</v>
      </c>
      <c r="AS95" s="1516">
        <f t="shared" si="281"/>
        <v>0.28809407876292914</v>
      </c>
      <c r="AV95" s="1537">
        <f>SUM(AV90:AV91)</f>
        <v>2.7800000000000002</v>
      </c>
      <c r="AW95" s="1516">
        <f t="shared" si="282"/>
        <v>0.24856916258122091</v>
      </c>
      <c r="AZ95" s="1537">
        <f>SUM(AZ90:AZ91)</f>
        <v>5.931</v>
      </c>
      <c r="BA95" s="1516">
        <f t="shared" si="283"/>
        <v>0.45069519220466769</v>
      </c>
      <c r="BD95" s="1537">
        <f>SUM(BD90:BD91)</f>
        <v>7.8539999999999992</v>
      </c>
      <c r="BE95" s="1516">
        <f t="shared" si="284"/>
        <v>0.50770937355360357</v>
      </c>
      <c r="BH95" s="1537">
        <f>SUM(BH90:BH91)</f>
        <v>9.4030000000000005</v>
      </c>
      <c r="BI95" s="1516">
        <f t="shared" si="285"/>
        <v>0.58027556764008725</v>
      </c>
      <c r="BL95" s="1537">
        <f>SUM(BL90:BL91)</f>
        <v>3.153</v>
      </c>
      <c r="BM95" s="1516">
        <f t="shared" si="286"/>
        <v>0.25448968884942896</v>
      </c>
      <c r="BP95" s="1537">
        <f>SUM(BP90:BP91)</f>
        <v>-1.6320000000000001</v>
      </c>
      <c r="BQ95" s="1516">
        <f t="shared" si="287"/>
        <v>-0.11383912689853951</v>
      </c>
      <c r="BT95" s="1537">
        <f>SUM(BT90:BT91)</f>
        <v>-1.9350000000000001</v>
      </c>
      <c r="BU95" s="1516">
        <f t="shared" si="288"/>
        <v>-0.11035469195642615</v>
      </c>
      <c r="BV95" s="114"/>
      <c r="BW95" s="114"/>
      <c r="BX95" s="1537">
        <f>SUM(BX90:BX91)</f>
        <v>-2.6349999999999998</v>
      </c>
      <c r="BY95" s="1516">
        <f t="shared" si="289"/>
        <v>-0.14071156798611573</v>
      </c>
      <c r="BZ95" s="114"/>
      <c r="CA95" s="114"/>
      <c r="CB95" s="1537">
        <f>SUM(CB90:CB91)</f>
        <v>-3.3780000000000001</v>
      </c>
      <c r="CC95" s="1516">
        <f t="shared" si="290"/>
        <v>-0.18930022241935548</v>
      </c>
      <c r="CD95" s="200"/>
      <c r="CE95" s="200"/>
      <c r="CF95" s="1537">
        <f>SUM(CF90:CF91)</f>
        <v>-4.0170000000000003</v>
      </c>
      <c r="CG95" s="1516">
        <f t="shared" si="291"/>
        <v>-0.23449635821376474</v>
      </c>
      <c r="CH95" s="200"/>
      <c r="CI95" s="200"/>
      <c r="CJ95" s="1537">
        <f>SUM(CJ90:CJ91)</f>
        <v>-9.2059999999999995</v>
      </c>
      <c r="CK95" s="1516">
        <f t="shared" si="292"/>
        <v>-0.60281119817074369</v>
      </c>
      <c r="CL95" s="200"/>
      <c r="CM95" s="200"/>
      <c r="CN95" s="1537">
        <f>SUM(CN90:CN91)</f>
        <v>-9.2469999999999999</v>
      </c>
      <c r="CO95" s="1516">
        <f t="shared" si="293"/>
        <v>-0.62962884785478845</v>
      </c>
      <c r="CP95" s="200"/>
      <c r="CQ95" s="200"/>
      <c r="CR95" s="1537">
        <f>SUM(CR90:CR91)</f>
        <v>-8.2089999999999996</v>
      </c>
      <c r="CS95" s="1516">
        <f t="shared" si="294"/>
        <v>-0.56990322267116522</v>
      </c>
      <c r="CT95" s="200"/>
      <c r="CU95" s="200"/>
      <c r="CV95" s="1537">
        <f>SUM(CV90:CV91)</f>
        <v>-8.218</v>
      </c>
      <c r="CW95" s="1516">
        <f t="shared" si="295"/>
        <v>-0.53672171301981331</v>
      </c>
      <c r="CX95" s="200"/>
    </row>
    <row r="96" spans="1:109" ht="12.75" hidden="1" customHeight="1" outlineLevel="1">
      <c r="A96" s="114" t="str">
        <f>$A$16</f>
        <v>9 Mos</v>
      </c>
      <c r="D96" s="1537">
        <f>SUM(D90:D92)</f>
        <v>-3.9699999999999998</v>
      </c>
      <c r="E96" s="1516">
        <f t="shared" si="271"/>
        <v>-14.26415636677206</v>
      </c>
      <c r="H96" s="1537">
        <f>SUM(H90:H92)</f>
        <v>-4.2409999999999997</v>
      </c>
      <c r="I96" s="1516">
        <f t="shared" si="272"/>
        <v>-3.2808063929695903</v>
      </c>
      <c r="L96" s="1537">
        <f>SUM(L90:L92)</f>
        <v>-3.891</v>
      </c>
      <c r="M96" s="1516">
        <f t="shared" si="273"/>
        <v>-1.9837972050433621</v>
      </c>
      <c r="P96" s="1537">
        <f>SUM(P90:P92)</f>
        <v>-3.278</v>
      </c>
      <c r="Q96" s="1516">
        <f t="shared" si="274"/>
        <v>-1.0592234515561989</v>
      </c>
      <c r="T96" s="1537">
        <f>SUM(T90:T92)</f>
        <v>1.5190000000000001</v>
      </c>
      <c r="U96" s="1516">
        <f t="shared" si="275"/>
        <v>0.30073550520199172</v>
      </c>
      <c r="X96" s="1537">
        <f>SUM(X90:X92)</f>
        <v>4.742</v>
      </c>
      <c r="Y96" s="1516">
        <f t="shared" si="276"/>
        <v>0.71076976575474704</v>
      </c>
      <c r="AB96" s="1537">
        <f>SUM(AB90:AB92)</f>
        <v>5.3000000000000007</v>
      </c>
      <c r="AC96" s="1516">
        <f t="shared" si="277"/>
        <v>0.66402809465281976</v>
      </c>
      <c r="AF96" s="1537">
        <f>SUM(AF90:AF92)</f>
        <v>3.8489999999999998</v>
      </c>
      <c r="AG96" s="1516">
        <f t="shared" si="278"/>
        <v>0.42849079730014061</v>
      </c>
      <c r="AJ96" s="1537">
        <f>SUM(AJ90:AJ92)</f>
        <v>2.4689999999999999</v>
      </c>
      <c r="AK96" s="1516">
        <f t="shared" si="279"/>
        <v>0.23264469623801562</v>
      </c>
      <c r="AN96" s="1537">
        <f>SUM(AN90:AN92)</f>
        <v>2.609</v>
      </c>
      <c r="AO96" s="1516">
        <f t="shared" si="280"/>
        <v>0.22737968660124452</v>
      </c>
      <c r="AR96" s="1537">
        <f>SUM(AR90:AR92)</f>
        <v>3.9159999999999999</v>
      </c>
      <c r="AS96" s="1516">
        <f t="shared" si="281"/>
        <v>0.29355322338830586</v>
      </c>
      <c r="AV96" s="1537">
        <f>SUM(AV90:AV92)</f>
        <v>4.2960000000000003</v>
      </c>
      <c r="AW96" s="1516">
        <f t="shared" si="282"/>
        <v>0.2356142836223393</v>
      </c>
      <c r="AZ96" s="1537">
        <f>SUM(AZ90:AZ92)</f>
        <v>9.1829999999999998</v>
      </c>
      <c r="BA96" s="1516">
        <f t="shared" si="283"/>
        <v>0.42135160123244086</v>
      </c>
      <c r="BD96" s="1537">
        <f>SUM(BD90:BD92)</f>
        <v>12.472</v>
      </c>
      <c r="BE96" s="1516">
        <f t="shared" si="284"/>
        <v>0.49474825834491004</v>
      </c>
      <c r="BH96" s="1537">
        <f>SUM(BH90:BH92)</f>
        <v>9.963000000000001</v>
      </c>
      <c r="BI96" s="1516">
        <f t="shared" si="285"/>
        <v>0.39800291461333437</v>
      </c>
      <c r="BL96" s="1537">
        <f>SUM(BL90:BL92)</f>
        <v>2.6920000000000002</v>
      </c>
      <c r="BM96" s="1516">
        <f t="shared" si="286"/>
        <v>0.1350975643294253</v>
      </c>
      <c r="BP96" s="1537">
        <f>SUM(BP90:BP92)</f>
        <v>-2.3029999999999999</v>
      </c>
      <c r="BQ96" s="1516">
        <f t="shared" si="287"/>
        <v>-9.9293776785175342E-2</v>
      </c>
      <c r="BT96" s="1537">
        <f>SUM(BT90:BT92)</f>
        <v>-2.468</v>
      </c>
      <c r="BU96" s="1516">
        <f t="shared" si="288"/>
        <v>-8.7230272721842542E-2</v>
      </c>
      <c r="BV96" s="114"/>
      <c r="BW96" s="114"/>
      <c r="BX96" s="1537">
        <f>SUM(BX90:BX92)</f>
        <v>-4.2189999999999994</v>
      </c>
      <c r="BY96" s="1516">
        <f t="shared" si="289"/>
        <v>-0.13867915907640138</v>
      </c>
      <c r="BZ96" s="114"/>
      <c r="CA96" s="114"/>
      <c r="CB96" s="1537">
        <f>SUM(CB90:CB92)</f>
        <v>-5.0330000000000004</v>
      </c>
      <c r="CC96" s="1516">
        <f t="shared" si="290"/>
        <v>-0.17861705752086765</v>
      </c>
      <c r="CD96" s="200"/>
      <c r="CE96" s="200"/>
      <c r="CF96" s="1537">
        <f>SUM(CF90:CF92)</f>
        <v>-9.5890000000000004</v>
      </c>
      <c r="CG96" s="1516">
        <f t="shared" si="291"/>
        <v>-0.36536678039052223</v>
      </c>
      <c r="CH96" s="200"/>
      <c r="CI96" s="200"/>
      <c r="CJ96" s="1537">
        <f>SUM(CJ90:CJ92)</f>
        <v>-13.792</v>
      </c>
      <c r="CK96" s="1516">
        <f t="shared" si="292"/>
        <v>-0.57329315182375551</v>
      </c>
      <c r="CL96" s="200"/>
      <c r="CM96" s="200"/>
      <c r="CN96" s="1537">
        <f>SUM(CN90:CN92)</f>
        <v>-13.856</v>
      </c>
      <c r="CO96" s="1516">
        <f t="shared" si="293"/>
        <v>-0.60496590735935618</v>
      </c>
      <c r="CP96" s="200"/>
      <c r="CQ96" s="200"/>
      <c r="CR96" s="1537">
        <f>SUM(CR90:CR92)</f>
        <v>-12.78</v>
      </c>
      <c r="CS96" s="1516">
        <f t="shared" si="294"/>
        <v>-0.55576526006161253</v>
      </c>
      <c r="CT96" s="200"/>
      <c r="CU96" s="200"/>
      <c r="CV96" s="1537">
        <f>SUM(CV90:CV92)</f>
        <v>-12.327</v>
      </c>
      <c r="CW96" s="1516">
        <f t="shared" si="295"/>
        <v>-0.51466730643455516</v>
      </c>
      <c r="CX96" s="200"/>
    </row>
    <row r="97" spans="1:104" collapsed="1">
      <c r="BT97" s="114"/>
      <c r="BU97" s="114"/>
      <c r="BV97" s="114"/>
      <c r="BW97" s="114"/>
      <c r="BX97" s="114"/>
      <c r="BY97" s="114"/>
      <c r="BZ97" s="114"/>
      <c r="CA97" s="114"/>
      <c r="CB97" s="200"/>
      <c r="CC97" s="200"/>
      <c r="CD97" s="200"/>
      <c r="CE97" s="200"/>
      <c r="CF97" s="200"/>
      <c r="CG97" s="200"/>
      <c r="CH97" s="200"/>
      <c r="CI97" s="200"/>
      <c r="CJ97" s="200"/>
      <c r="CK97" s="200"/>
      <c r="CL97" s="200"/>
      <c r="CM97" s="200"/>
      <c r="CN97" s="200"/>
      <c r="CO97" s="200"/>
      <c r="CP97" s="200"/>
      <c r="CQ97" s="200"/>
      <c r="CR97" s="200"/>
      <c r="CS97" s="200"/>
      <c r="CT97" s="200"/>
      <c r="CU97" s="200"/>
      <c r="CV97" s="200"/>
      <c r="CW97" s="200"/>
      <c r="CX97" s="200"/>
    </row>
    <row r="98" spans="1:104">
      <c r="C98" s="313"/>
      <c r="D98" s="313"/>
      <c r="H98" s="1629"/>
      <c r="I98" s="1533"/>
      <c r="J98" s="1533"/>
      <c r="K98" s="1533"/>
      <c r="L98" s="1629"/>
      <c r="M98" s="1533"/>
      <c r="N98" s="1533"/>
      <c r="O98" s="1533"/>
      <c r="P98" s="1629"/>
      <c r="Q98" s="1533"/>
      <c r="R98" s="1533"/>
      <c r="S98" s="1533"/>
      <c r="T98" s="1629"/>
      <c r="U98" s="1533"/>
      <c r="V98" s="1533"/>
      <c r="W98" s="1533"/>
      <c r="Y98" s="1533"/>
      <c r="Z98" s="1533"/>
      <c r="AA98" s="1533"/>
      <c r="AC98" s="1533"/>
      <c r="AD98" s="1533"/>
      <c r="AE98" s="1533"/>
      <c r="AF98" s="1629"/>
      <c r="AG98" s="1533"/>
      <c r="AH98" s="1533"/>
      <c r="AI98" s="1533"/>
      <c r="AK98" s="1533"/>
      <c r="AL98" s="1533"/>
      <c r="AM98" s="1533"/>
      <c r="AN98" s="1532"/>
      <c r="AO98" s="1533"/>
      <c r="AP98" s="1533"/>
      <c r="AQ98" s="1533"/>
      <c r="AS98" s="1533"/>
      <c r="AT98" s="1533"/>
      <c r="AU98" s="1533"/>
      <c r="AV98" s="1629"/>
      <c r="AW98" s="1533"/>
      <c r="AX98" s="1533"/>
      <c r="AY98" s="1533"/>
      <c r="AZ98" s="1629"/>
      <c r="BA98" s="1533"/>
      <c r="BB98" s="1533"/>
      <c r="BC98" s="1533"/>
      <c r="BD98" s="1629"/>
      <c r="BE98" s="1533"/>
      <c r="BF98" s="1533"/>
      <c r="BG98" s="1533"/>
      <c r="BH98" s="1629"/>
      <c r="BI98" s="22"/>
      <c r="BJ98" s="1533"/>
      <c r="BK98" s="1533"/>
      <c r="BL98" s="1629"/>
      <c r="BM98" s="1533"/>
      <c r="BN98" s="1533"/>
      <c r="BO98" s="1533"/>
      <c r="BP98" s="1629"/>
      <c r="BQ98" s="1533"/>
      <c r="BR98" s="1533"/>
      <c r="BS98" s="1534"/>
      <c r="BT98" s="1629"/>
      <c r="BU98" s="1533"/>
      <c r="BW98" s="1534"/>
      <c r="BX98" s="1629"/>
      <c r="BY98" s="1533"/>
      <c r="BZ98" s="1533"/>
      <c r="CA98" s="1533"/>
      <c r="CB98" s="200"/>
      <c r="CC98" s="200"/>
      <c r="CD98" s="200"/>
      <c r="CE98" s="1532" t="s">
        <v>742</v>
      </c>
      <c r="CF98" s="200"/>
      <c r="CG98" s="200"/>
      <c r="CH98" s="200"/>
      <c r="CI98" s="200"/>
      <c r="CJ98" s="200"/>
      <c r="CK98" s="200"/>
      <c r="CL98" s="200"/>
      <c r="CM98" s="200"/>
      <c r="CN98" s="200"/>
      <c r="CO98" s="200"/>
      <c r="CP98" s="200"/>
      <c r="CQ98" s="200"/>
      <c r="CR98" s="200"/>
      <c r="CS98" s="200"/>
      <c r="CT98" s="200"/>
      <c r="CU98" s="200"/>
      <c r="CV98" s="200"/>
      <c r="CW98" s="200"/>
      <c r="CX98" s="200"/>
    </row>
    <row r="99" spans="1:104">
      <c r="AR99" s="1630"/>
      <c r="BT99" s="114"/>
      <c r="BU99" s="114"/>
      <c r="BV99" s="114"/>
      <c r="BX99" s="114"/>
      <c r="BY99" s="114"/>
      <c r="BZ99" s="114"/>
      <c r="CA99" s="114"/>
      <c r="CB99" s="200"/>
      <c r="CC99" s="200"/>
      <c r="CD99" s="200"/>
      <c r="CE99" s="200"/>
      <c r="CF99" s="200"/>
      <c r="CG99" s="200"/>
      <c r="CH99" s="200"/>
      <c r="CI99" s="200"/>
      <c r="CJ99" s="200"/>
      <c r="CK99" s="200"/>
      <c r="CL99" s="200"/>
      <c r="CM99" s="200"/>
      <c r="CN99" s="200"/>
      <c r="CO99" s="200"/>
      <c r="CP99" s="200"/>
      <c r="CQ99" s="200"/>
      <c r="CR99" s="200"/>
      <c r="CS99" s="200"/>
      <c r="CT99" s="200"/>
      <c r="CU99" s="200"/>
      <c r="CV99" s="200"/>
      <c r="CW99" s="200"/>
      <c r="CX99" s="200"/>
    </row>
    <row r="100" spans="1:104">
      <c r="A100" s="114" t="str">
        <f>$A$10</f>
        <v>1Q</v>
      </c>
      <c r="B100" s="114" t="str">
        <f>$B$10</f>
        <v>Apr</v>
      </c>
      <c r="D100" s="1541"/>
      <c r="E100" s="1516"/>
      <c r="F100" s="1057"/>
      <c r="H100" s="1541"/>
      <c r="I100" s="1516"/>
      <c r="J100" s="1057"/>
      <c r="L100" s="1541"/>
      <c r="M100" s="1516"/>
      <c r="N100" s="1057"/>
      <c r="P100" s="1541"/>
      <c r="Q100" s="1516"/>
      <c r="R100" s="1057"/>
      <c r="T100" s="1541"/>
      <c r="U100" s="1516"/>
      <c r="V100" s="1057"/>
      <c r="W100" s="1057"/>
      <c r="X100" s="1541"/>
      <c r="Y100" s="1516"/>
      <c r="AB100" s="1541"/>
      <c r="AC100" s="1516"/>
      <c r="AF100" s="1541"/>
      <c r="AG100" s="1516"/>
      <c r="AH100" s="1517"/>
      <c r="AJ100" s="1541">
        <f>0.146</f>
        <v>0.14599999999999999</v>
      </c>
      <c r="AK100" s="1516">
        <f>AJ100/AJ10*100</f>
        <v>4.6676385585309094E-2</v>
      </c>
      <c r="AN100" s="1541">
        <f>0.186</f>
        <v>0.186</v>
      </c>
      <c r="AO100" s="1516">
        <f>AN100/AN10*100</f>
        <v>5.3645283541280911E-2</v>
      </c>
      <c r="AR100" s="1541">
        <f>0.095</f>
        <v>9.5000000000000001E-2</v>
      </c>
      <c r="AS100" s="1516">
        <f>AR100/AR10*100</f>
        <v>2.3062170757167481E-2</v>
      </c>
      <c r="AV100" s="1541">
        <f>0.406</f>
        <v>0.40600000000000003</v>
      </c>
      <c r="AW100" s="1516">
        <f>AV100/AV10*100</f>
        <v>7.4248825003200389E-2</v>
      </c>
      <c r="AZ100" s="1541">
        <f>2.121</f>
        <v>2.121</v>
      </c>
      <c r="BA100" s="1516">
        <f>AZ100/AZ10*100</f>
        <v>0.32269794346624148</v>
      </c>
      <c r="BD100" s="1541">
        <f>3.854</f>
        <v>3.8540000000000001</v>
      </c>
      <c r="BE100" s="1516">
        <f>BD100/BD10*100</f>
        <v>0.51912016271332551</v>
      </c>
      <c r="BH100" s="1541">
        <v>2.91</v>
      </c>
      <c r="BI100" s="1516">
        <f>BH100/BH10*100</f>
        <v>0.36969328161862136</v>
      </c>
      <c r="BL100" s="1541">
        <v>1.3240000000000001</v>
      </c>
      <c r="BM100" s="1516">
        <f>BL100/BL10*100</f>
        <v>0.22003260604026065</v>
      </c>
      <c r="BP100" s="1541">
        <v>0.91400000000000003</v>
      </c>
      <c r="BQ100" s="1516">
        <f>BP100/BP10*100</f>
        <v>0.13288669446528373</v>
      </c>
      <c r="BT100" s="1541">
        <f>1.836+0.796-0.199</f>
        <v>2.4330000000000003</v>
      </c>
      <c r="BU100" s="1516">
        <f>BT100/BT10*100</f>
        <v>0.29079426395465857</v>
      </c>
      <c r="BV100" s="114"/>
      <c r="BX100" s="1541">
        <v>2.5840000000000001</v>
      </c>
      <c r="BY100" s="1516">
        <f>BX100/BX10*100</f>
        <v>0.28049820997852842</v>
      </c>
      <c r="BZ100" s="114"/>
      <c r="CA100" s="114"/>
      <c r="CB100" s="1541">
        <v>0.81799999999999995</v>
      </c>
      <c r="CC100" s="1516">
        <f>CB100/CB10*100</f>
        <v>9.7523871292334349E-2</v>
      </c>
      <c r="CD100" s="1611"/>
      <c r="CE100" s="1611"/>
      <c r="CF100" s="1541">
        <v>3.6</v>
      </c>
      <c r="CG100" s="1516">
        <f>CF100/CF10*100</f>
        <v>0.43772828746103004</v>
      </c>
      <c r="CH100" s="1611"/>
      <c r="CI100" s="1611"/>
      <c r="CJ100" s="1541">
        <v>1.96</v>
      </c>
      <c r="CK100" s="1516">
        <f>CJ100/CJ10*100</f>
        <v>0.2762812543168946</v>
      </c>
      <c r="CL100" s="1611"/>
      <c r="CM100" s="1611"/>
      <c r="CN100" s="1541">
        <v>2.9329999999999998</v>
      </c>
      <c r="CO100" s="1516">
        <f>CN100/CN10*100</f>
        <v>0.42787348482748666</v>
      </c>
      <c r="CP100" s="1611"/>
      <c r="CQ100" s="1611"/>
      <c r="CR100" s="1541">
        <f>1.686-0.73</f>
        <v>0.95599999999999996</v>
      </c>
      <c r="CS100" s="1516">
        <f>CR100/CR10*100</f>
        <v>0.144607691132493</v>
      </c>
      <c r="CT100" s="1611"/>
      <c r="CU100" s="1611"/>
      <c r="CV100" s="2204">
        <v>1</v>
      </c>
      <c r="CW100" s="1516">
        <f>CV100/CV10*100</f>
        <v>0.14305342644005964</v>
      </c>
      <c r="CX100" s="1611"/>
      <c r="CZ100" s="1562"/>
    </row>
    <row r="101" spans="1:104">
      <c r="A101" s="114" t="str">
        <f>$A$11</f>
        <v>2Q</v>
      </c>
      <c r="B101" s="114" t="str">
        <f>$B$11</f>
        <v>Jul</v>
      </c>
      <c r="D101" s="1547"/>
      <c r="E101" s="1516"/>
      <c r="H101" s="1547"/>
      <c r="I101" s="1516"/>
      <c r="L101" s="1547"/>
      <c r="M101" s="1516"/>
      <c r="P101" s="1547"/>
      <c r="Q101" s="1516"/>
      <c r="T101" s="1547"/>
      <c r="U101" s="1516"/>
      <c r="X101" s="1547"/>
      <c r="Y101" s="1516"/>
      <c r="AB101" s="1547"/>
      <c r="AC101" s="1516"/>
      <c r="AF101" s="1547"/>
      <c r="AG101" s="1516"/>
      <c r="AH101" s="1517"/>
      <c r="AJ101" s="1547">
        <f>0.102</f>
        <v>0.10199999999999999</v>
      </c>
      <c r="AK101" s="1516">
        <f>AJ101/AJ11*100</f>
        <v>3.0988534242330334E-2</v>
      </c>
      <c r="AN101" s="1547">
        <f>0.147</f>
        <v>0.14699999999999999</v>
      </c>
      <c r="AO101" s="1516">
        <f>AN101/AN11*100</f>
        <v>4.1324753527362888E-2</v>
      </c>
      <c r="AR101" s="1547">
        <f>0.063</f>
        <v>6.3E-2</v>
      </c>
      <c r="AS101" s="1516">
        <f>AR101/AR11*100</f>
        <v>1.56971789926896E-2</v>
      </c>
      <c r="AV101" s="1547">
        <v>1.4079999999999999</v>
      </c>
      <c r="AW101" s="1516">
        <f>AV101/AV11*100</f>
        <v>0.24632998070298517</v>
      </c>
      <c r="AZ101" s="1547">
        <f>3.005</f>
        <v>3.0049999999999999</v>
      </c>
      <c r="BA101" s="1516">
        <f>AZ101/AZ11*100</f>
        <v>0.45620437956204374</v>
      </c>
      <c r="BD101" s="1547">
        <f>3.551</f>
        <v>3.5510000000000002</v>
      </c>
      <c r="BE101" s="1516">
        <f>BD101/BD11*100</f>
        <v>0.44137132118060307</v>
      </c>
      <c r="BH101" s="1547">
        <v>0.745</v>
      </c>
      <c r="BI101" s="1516">
        <f>BH101/BH11*100</f>
        <v>8.9403790720726559E-2</v>
      </c>
      <c r="BL101" s="1547">
        <v>3.3330000000000002</v>
      </c>
      <c r="BM101" s="1516">
        <f>BL101/BL11*100</f>
        <v>0.52305244177451782</v>
      </c>
      <c r="BP101" s="1547">
        <v>1.9</v>
      </c>
      <c r="BQ101" s="1516">
        <f>BP101/BP11*100</f>
        <v>0.25476067246090761</v>
      </c>
      <c r="BT101" s="1547">
        <f>-0.544-0.199</f>
        <v>-0.7430000000000001</v>
      </c>
      <c r="BU101" s="1516">
        <f>BT101/BT11*100</f>
        <v>-8.1046028253758076E-2</v>
      </c>
      <c r="BV101" s="114"/>
      <c r="BX101" s="1547">
        <v>1.9330000000000001</v>
      </c>
      <c r="BY101" s="1516">
        <f>BX101/BX11*100</f>
        <v>0.20317277463798353</v>
      </c>
      <c r="BZ101" s="114"/>
      <c r="CA101" s="114"/>
      <c r="CB101" s="1547">
        <v>4.4109999999999996</v>
      </c>
      <c r="CC101" s="1516">
        <f>CB101/CB11*100</f>
        <v>0.46642797172035894</v>
      </c>
      <c r="CD101" s="1611"/>
      <c r="CE101" s="1611"/>
      <c r="CF101" s="1547">
        <v>4.29</v>
      </c>
      <c r="CG101" s="1516">
        <f>CF101/CF11*100</f>
        <v>0.48169502753746046</v>
      </c>
      <c r="CH101" s="1611"/>
      <c r="CI101" s="1611"/>
      <c r="CJ101" s="1547">
        <v>1.139</v>
      </c>
      <c r="CK101" s="1516">
        <f>CJ101/CJ11*100</f>
        <v>0.13928360048718688</v>
      </c>
      <c r="CL101" s="1611"/>
      <c r="CM101" s="1611"/>
      <c r="CN101" s="1547">
        <v>0.79800000000000004</v>
      </c>
      <c r="CO101" s="1516">
        <f>CN101/CN11*100</f>
        <v>0.10189488737933501</v>
      </c>
      <c r="CP101" s="1611"/>
      <c r="CQ101" s="1611"/>
      <c r="CR101" s="1547">
        <v>2.7989999999999999</v>
      </c>
      <c r="CS101" s="1516">
        <f>CR101/CR11*100</f>
        <v>0.35915880619154367</v>
      </c>
      <c r="CT101" s="1611"/>
      <c r="CU101" s="1611"/>
      <c r="CV101" s="2205">
        <v>1</v>
      </c>
      <c r="CW101" s="1516">
        <f>CV101/CV11*100</f>
        <v>0.12017674153408502</v>
      </c>
      <c r="CX101" s="1611"/>
    </row>
    <row r="102" spans="1:104">
      <c r="A102" s="114" t="str">
        <f>$A$12</f>
        <v>3Q</v>
      </c>
      <c r="B102" s="114" t="str">
        <f>$B$12</f>
        <v>Oct</v>
      </c>
      <c r="D102" s="1547"/>
      <c r="E102" s="1516"/>
      <c r="H102" s="1547"/>
      <c r="I102" s="1516"/>
      <c r="L102" s="1547"/>
      <c r="M102" s="1516"/>
      <c r="P102" s="1547"/>
      <c r="Q102" s="1516"/>
      <c r="T102" s="1547"/>
      <c r="U102" s="1516"/>
      <c r="X102" s="1547"/>
      <c r="Y102" s="1516"/>
      <c r="AB102" s="1547"/>
      <c r="AC102" s="1516"/>
      <c r="AF102" s="1547"/>
      <c r="AG102" s="1516"/>
      <c r="AH102" s="1517"/>
      <c r="AJ102" s="1547">
        <f>0.194</f>
        <v>0.19400000000000001</v>
      </c>
      <c r="AK102" s="1516">
        <f>AJ102/AJ12*100</f>
        <v>4.6264389059664367E-2</v>
      </c>
      <c r="AN102" s="1547">
        <f>0.187</f>
        <v>0.187</v>
      </c>
      <c r="AO102" s="1516">
        <f>AN102/AN12*100</f>
        <v>4.2024455086644541E-2</v>
      </c>
      <c r="AR102" s="1547">
        <f>0.015</f>
        <v>1.4999999999999999E-2</v>
      </c>
      <c r="AS102" s="1516">
        <f>AR102/AR12*100</f>
        <v>2.880604696537897E-3</v>
      </c>
      <c r="AV102" s="1547">
        <v>1.379</v>
      </c>
      <c r="AW102" s="1516">
        <f>AV102/AV12*100</f>
        <v>0.19562559049421352</v>
      </c>
      <c r="AZ102" s="1547">
        <v>0.26600000000000001</v>
      </c>
      <c r="BA102" s="1516">
        <f>AZ102/AZ12*100</f>
        <v>3.0806719107577991E-2</v>
      </c>
      <c r="BD102" s="1547">
        <v>1.31</v>
      </c>
      <c r="BE102" s="1516">
        <f>BD102/BD12*100</f>
        <v>0.13450658671567772</v>
      </c>
      <c r="BH102" s="1547">
        <v>-0.307</v>
      </c>
      <c r="BI102" s="1516">
        <f>BH102/BH12*100</f>
        <v>-3.4775280326140023E-2</v>
      </c>
      <c r="BL102" s="1547">
        <v>1.609</v>
      </c>
      <c r="BM102" s="1516">
        <f>BL102/BL12*100</f>
        <v>0.21348469650410515</v>
      </c>
      <c r="BP102" s="1547">
        <v>1.6919999999999999</v>
      </c>
      <c r="BQ102" s="1516">
        <f>BP102/BP12*100</f>
        <v>0.19101851705506345</v>
      </c>
      <c r="BT102" s="1547">
        <f>2.855-0.199</f>
        <v>2.6560000000000001</v>
      </c>
      <c r="BU102" s="1516">
        <f>BT102/BT12*100</f>
        <v>0.24687318748977558</v>
      </c>
      <c r="BV102" s="114"/>
      <c r="BX102" s="1547">
        <v>1.1539999999999999</v>
      </c>
      <c r="BY102" s="1516">
        <f>BX102/BX12*100</f>
        <v>9.8662077255655331E-2</v>
      </c>
      <c r="BZ102" s="114"/>
      <c r="CA102" s="114"/>
      <c r="CB102" s="1547">
        <v>9.8510000000000009</v>
      </c>
      <c r="CC102" s="1516">
        <f>CB102/CB12*100</f>
        <v>0.95335979243060787</v>
      </c>
      <c r="CD102" s="1611"/>
      <c r="CE102" s="1611"/>
      <c r="CF102" s="1547">
        <v>1.534</v>
      </c>
      <c r="CG102" s="1516">
        <f>CF102/CF12*100</f>
        <v>0.16830269909693643</v>
      </c>
      <c r="CH102" s="1611"/>
      <c r="CI102" s="1611"/>
      <c r="CJ102" s="1547">
        <v>3.919</v>
      </c>
      <c r="CK102" s="1516">
        <f>CJ102/CJ12*100</f>
        <v>0.44606475052699152</v>
      </c>
      <c r="CL102" s="1611"/>
      <c r="CM102" s="1611"/>
      <c r="CN102" s="1547">
        <v>0.82199999999999995</v>
      </c>
      <c r="CO102" s="1516">
        <f>CN102/CN12*100</f>
        <v>0.10003237057247234</v>
      </c>
      <c r="CP102" s="1611"/>
      <c r="CQ102" s="1611"/>
      <c r="CR102" s="2240">
        <f>0.07</f>
        <v>7.0000000000000007E-2</v>
      </c>
      <c r="CS102" s="1516">
        <f>CR102/CR12*100</f>
        <v>8.1479481138664114E-3</v>
      </c>
      <c r="CT102" s="1611"/>
      <c r="CU102" s="1611"/>
      <c r="CV102" s="2055">
        <v>1</v>
      </c>
      <c r="CW102" s="1516">
        <f>CV102/CV12*100</f>
        <v>0.11574178389571861</v>
      </c>
      <c r="CX102" s="1611"/>
    </row>
    <row r="103" spans="1:104">
      <c r="A103" s="114" t="str">
        <f>$A$13</f>
        <v>4Q</v>
      </c>
      <c r="B103" s="114" t="str">
        <f>$B$13</f>
        <v>Jan</v>
      </c>
      <c r="C103" s="310"/>
      <c r="D103" s="1551"/>
      <c r="E103" s="1516"/>
      <c r="H103" s="1551"/>
      <c r="I103" s="1516"/>
      <c r="L103" s="1551"/>
      <c r="M103" s="1516"/>
      <c r="P103" s="1551"/>
      <c r="Q103" s="1516"/>
      <c r="T103" s="1551"/>
      <c r="U103" s="1516"/>
      <c r="X103" s="1551"/>
      <c r="Y103" s="1516"/>
      <c r="AB103" s="1551"/>
      <c r="AC103" s="1516"/>
      <c r="AF103" s="1551"/>
      <c r="AG103" s="1516"/>
      <c r="AH103" s="1517"/>
      <c r="AJ103" s="1551">
        <f>0.117</f>
        <v>0.11700000000000001</v>
      </c>
      <c r="AK103" s="1516">
        <f>AJ103/AJ13*100</f>
        <v>2.1890353650824538E-2</v>
      </c>
      <c r="AN103" s="1551">
        <f>0.459</f>
        <v>0.45900000000000002</v>
      </c>
      <c r="AO103" s="1516">
        <f>AN103/AN13*100</f>
        <v>8.1907389331339481E-2</v>
      </c>
      <c r="AR103" s="1551">
        <f>4.317</f>
        <v>4.3170000000000002</v>
      </c>
      <c r="AS103" s="1516">
        <f>AR103/AR13*100</f>
        <v>0.62815203694703858</v>
      </c>
      <c r="AV103" s="1551">
        <f>2.341</f>
        <v>2.3410000000000002</v>
      </c>
      <c r="AW103" s="1516">
        <f>AV103/AV13*100</f>
        <v>0.24350109008604193</v>
      </c>
      <c r="AZ103" s="1551">
        <f>4.592</f>
        <v>4.5919999999999996</v>
      </c>
      <c r="BA103" s="1516">
        <f>AZ103/AZ13*100</f>
        <v>0.40325165555353581</v>
      </c>
      <c r="BD103" s="1551">
        <f>3.019</f>
        <v>3.0190000000000001</v>
      </c>
      <c r="BE103" s="1516">
        <f>BD103/BD13*100</f>
        <v>0.24565306366556033</v>
      </c>
      <c r="BH103" s="1551">
        <v>5.431</v>
      </c>
      <c r="BI103" s="1516">
        <f>BH103/BH13*100</f>
        <v>0.55372656653843921</v>
      </c>
      <c r="BL103" s="1551">
        <v>7.2679999999999998</v>
      </c>
      <c r="BM103" s="1516">
        <f>BL103/BL13*100</f>
        <v>0.77650319287258096</v>
      </c>
      <c r="BP103" s="1551">
        <v>5.5490000000000004</v>
      </c>
      <c r="BQ103" s="1516">
        <f>BP103/BP13*100</f>
        <v>0.48277530111467248</v>
      </c>
      <c r="BT103" s="1551">
        <f>-7.619+13.441-0.199</f>
        <v>5.6230000000000011</v>
      </c>
      <c r="BU103" s="1516">
        <f>BT103/BT13*100</f>
        <v>0.423174903011443</v>
      </c>
      <c r="BV103" s="114"/>
      <c r="BX103" s="1551">
        <v>13.661999999999999</v>
      </c>
      <c r="BY103" s="1516">
        <f>BX103/BX13*100</f>
        <v>0.93031743967270686</v>
      </c>
      <c r="BZ103" s="114"/>
      <c r="CA103" s="114"/>
      <c r="CB103" s="1551">
        <v>7.9939999999999998</v>
      </c>
      <c r="CC103" s="1516">
        <f>CB103/CB13*100</f>
        <v>0.61533156241412568</v>
      </c>
      <c r="CD103" s="1611"/>
      <c r="CE103" s="1611"/>
      <c r="CF103" s="1551">
        <v>5.8</v>
      </c>
      <c r="CG103" s="1516">
        <f>CF103/CF13*100</f>
        <v>0.51806807057158977</v>
      </c>
      <c r="CH103" s="1611"/>
      <c r="CI103" s="1611"/>
      <c r="CJ103" s="1551">
        <f>-0.577+2.211</f>
        <v>1.6339999999999999</v>
      </c>
      <c r="CK103" s="1516">
        <f>CJ103/CJ13*100</f>
        <v>0.1468196562227633</v>
      </c>
      <c r="CL103" s="1611"/>
      <c r="CM103" s="1611"/>
      <c r="CN103" s="1551">
        <v>9.3770000000000007</v>
      </c>
      <c r="CO103" s="1516">
        <f>CN103/CN13*100</f>
        <v>0.90479880119224632</v>
      </c>
      <c r="CP103" s="1611"/>
      <c r="CQ103" s="1611"/>
      <c r="CR103" s="2257">
        <f>12.383</f>
        <v>12.382999999999999</v>
      </c>
      <c r="CS103" s="1516">
        <f>CR103/CR13*100</f>
        <v>1.0378340504778076</v>
      </c>
      <c r="CT103" s="1611"/>
      <c r="CU103" s="1611"/>
      <c r="CV103" s="2056">
        <v>1</v>
      </c>
      <c r="CW103" s="1516">
        <f>CV103/CV13*100</f>
        <v>8.9869799739139514E-2</v>
      </c>
      <c r="CX103" s="1611"/>
    </row>
    <row r="104" spans="1:104">
      <c r="B104" s="114" t="str">
        <f>$B$14</f>
        <v>Year</v>
      </c>
      <c r="D104" s="1536"/>
      <c r="E104" s="1516"/>
      <c r="H104" s="1536"/>
      <c r="I104" s="1516"/>
      <c r="L104" s="1536"/>
      <c r="M104" s="1516"/>
      <c r="P104" s="1536"/>
      <c r="Q104" s="1516"/>
      <c r="T104" s="1536"/>
      <c r="U104" s="1516"/>
      <c r="X104" s="1536"/>
      <c r="Y104" s="1516"/>
      <c r="AB104" s="1536"/>
      <c r="AC104" s="1516"/>
      <c r="AF104" s="1536"/>
      <c r="AG104" s="1516"/>
      <c r="AH104" s="1517"/>
      <c r="AJ104" s="1536">
        <f>SUM(AJ100:AJ103)</f>
        <v>0.55900000000000005</v>
      </c>
      <c r="AK104" s="1516">
        <f>AJ104/AJ14*100</f>
        <v>3.5030396232007766E-2</v>
      </c>
      <c r="AN104" s="1536">
        <f>SUM(AN100:AN103)</f>
        <v>0.97900000000000009</v>
      </c>
      <c r="AO104" s="1516">
        <f>AN104/AN14*100</f>
        <v>5.7324911626534344E-2</v>
      </c>
      <c r="AR104" s="1536">
        <f>SUM(AR100:AR103)</f>
        <v>4.49</v>
      </c>
      <c r="AS104" s="1516">
        <f>AR104/AR14*100</f>
        <v>0.22213932538909018</v>
      </c>
      <c r="AV104" s="1536">
        <f>SUM(AV100:AV103)</f>
        <v>5.5340000000000007</v>
      </c>
      <c r="AW104" s="1516">
        <f>AV104/AV14*100</f>
        <v>0.19872798290379146</v>
      </c>
      <c r="AZ104" s="1536">
        <f>SUM(AZ100:AZ103)</f>
        <v>9.9839999999999982</v>
      </c>
      <c r="BA104" s="1516">
        <f>AZ104/AZ14*100</f>
        <v>0.30088983104481459</v>
      </c>
      <c r="BD104" s="1536">
        <f>SUM(BD100:BD103)</f>
        <v>11.734</v>
      </c>
      <c r="BE104" s="1516">
        <f>BD104/BD14*100</f>
        <v>0.31291943377956488</v>
      </c>
      <c r="BH104" s="1536">
        <f>SUM(BH100:BH103)</f>
        <v>8.7789999999999999</v>
      </c>
      <c r="BI104" s="1516">
        <f>BH104/BH14*100</f>
        <v>0.25197635974382743</v>
      </c>
      <c r="BL104" s="1536">
        <f>SUM(BL100:BL103)</f>
        <v>13.533999999999999</v>
      </c>
      <c r="BM104" s="1516">
        <f>BL104/BL14*100</f>
        <v>0.46212813180246698</v>
      </c>
      <c r="BP104" s="1536">
        <f>SUM(BP100:BP103)</f>
        <v>10.055</v>
      </c>
      <c r="BQ104" s="1516">
        <f>BP104/BP14*100</f>
        <v>0.28987170114184369</v>
      </c>
      <c r="BT104" s="1536">
        <f>SUM(BT100:BT103)</f>
        <v>9.9690000000000012</v>
      </c>
      <c r="BU104" s="1516">
        <f>BT104/BT14*100</f>
        <v>0.23975134545982765</v>
      </c>
      <c r="BV104" s="114"/>
      <c r="BX104" s="1536">
        <f>SUM(BX100:BX103)</f>
        <v>19.332999999999998</v>
      </c>
      <c r="BY104" s="1516">
        <f>BX104/BX14*100</f>
        <v>0.42859312251360893</v>
      </c>
      <c r="BZ104" s="114"/>
      <c r="CA104" s="114"/>
      <c r="CB104" s="1536">
        <f>SUM(CB100:CB103)</f>
        <v>23.073999999999998</v>
      </c>
      <c r="CC104" s="1516">
        <f>CB104/CB14*100</f>
        <v>0.5604706651635929</v>
      </c>
      <c r="CD104" s="1611"/>
      <c r="CE104" s="1611"/>
      <c r="CF104" s="1536">
        <f>SUM(CF100:CF103)</f>
        <v>15.224</v>
      </c>
      <c r="CG104" s="1516">
        <f>CF104/CF14*100</f>
        <v>0.40662067344545849</v>
      </c>
      <c r="CH104" s="1611"/>
      <c r="CI104" s="1611"/>
      <c r="CJ104" s="1536">
        <f>SUM(CJ100:CJ103)</f>
        <v>8.652000000000001</v>
      </c>
      <c r="CK104" s="1516">
        <f>CJ104/CJ14*100</f>
        <v>0.24588766241886162</v>
      </c>
      <c r="CL104" s="1611"/>
      <c r="CM104" s="1611"/>
      <c r="CN104" s="1536">
        <f>SUM(CN100:CN103)</f>
        <v>13.93</v>
      </c>
      <c r="CO104" s="1516">
        <f>CN104/CN14*100</f>
        <v>0.41872824446755685</v>
      </c>
      <c r="CP104" s="1611"/>
      <c r="CQ104" s="1611"/>
      <c r="CR104" s="1536">
        <f>SUM(CR100:CR103)</f>
        <v>16.207999999999998</v>
      </c>
      <c r="CS104" s="1516">
        <f>CR104/CR14*100</f>
        <v>0.46405492614575006</v>
      </c>
      <c r="CT104" s="1611"/>
      <c r="CU104" s="1611"/>
      <c r="CV104" s="1536">
        <f>SUM(CV100:CV103)</f>
        <v>4</v>
      </c>
      <c r="CW104" s="1516">
        <f>CV104/CV14*100</f>
        <v>0.11402962459300509</v>
      </c>
      <c r="CX104" s="1611"/>
    </row>
    <row r="105" spans="1:104" ht="12.75" hidden="1" customHeight="1" outlineLevel="1">
      <c r="A105" s="114" t="str">
        <f>$A$15</f>
        <v>6 Mos</v>
      </c>
      <c r="D105" s="1537"/>
      <c r="E105" s="1516"/>
      <c r="H105" s="1537"/>
      <c r="I105" s="1516"/>
      <c r="L105" s="1537"/>
      <c r="M105" s="1516"/>
      <c r="P105" s="1537"/>
      <c r="Q105" s="1516"/>
      <c r="T105" s="1537"/>
      <c r="U105" s="1516"/>
      <c r="X105" s="1537"/>
      <c r="Y105" s="1516"/>
      <c r="AB105" s="1537"/>
      <c r="AC105" s="1516"/>
      <c r="AF105" s="1537"/>
      <c r="AG105" s="1516"/>
      <c r="BT105" s="114"/>
      <c r="BU105" s="114"/>
      <c r="BV105" s="114"/>
      <c r="BX105" s="114"/>
      <c r="BY105" s="114"/>
      <c r="BZ105" s="114"/>
      <c r="CA105" s="114"/>
      <c r="CB105" s="200"/>
      <c r="CC105" s="200"/>
      <c r="CD105" s="200"/>
      <c r="CE105" s="200"/>
      <c r="CF105" s="200"/>
      <c r="CG105" s="200"/>
      <c r="CH105" s="200"/>
      <c r="CI105" s="200"/>
      <c r="CJ105" s="200"/>
      <c r="CK105" s="200"/>
      <c r="CL105" s="200"/>
      <c r="CM105" s="200"/>
      <c r="CN105" s="200"/>
      <c r="CO105" s="200"/>
      <c r="CP105" s="200"/>
      <c r="CQ105" s="200"/>
      <c r="CR105" s="200"/>
      <c r="CS105" s="200"/>
      <c r="CT105" s="200"/>
      <c r="CU105" s="200"/>
      <c r="CV105" s="200"/>
      <c r="CW105" s="200"/>
      <c r="CX105" s="200"/>
    </row>
    <row r="106" spans="1:104" ht="12.75" hidden="1" customHeight="1" outlineLevel="1">
      <c r="A106" s="114" t="str">
        <f>$A$16</f>
        <v>9 Mos</v>
      </c>
      <c r="D106" s="1537"/>
      <c r="E106" s="1516"/>
      <c r="H106" s="1537"/>
      <c r="I106" s="1516"/>
      <c r="L106" s="1537"/>
      <c r="M106" s="1516"/>
      <c r="P106" s="1537"/>
      <c r="Q106" s="1516"/>
      <c r="T106" s="1537"/>
      <c r="U106" s="1516"/>
      <c r="X106" s="1537"/>
      <c r="Y106" s="1516"/>
      <c r="AB106" s="1537"/>
      <c r="AC106" s="1516"/>
      <c r="AF106" s="1537"/>
      <c r="AG106" s="1516"/>
      <c r="BT106" s="114"/>
      <c r="BU106" s="114"/>
      <c r="BV106" s="114"/>
      <c r="BX106" s="114"/>
      <c r="BY106" s="114"/>
      <c r="BZ106" s="114"/>
      <c r="CA106" s="114"/>
      <c r="CB106" s="200"/>
      <c r="CC106" s="200"/>
      <c r="CD106" s="200"/>
      <c r="CE106" s="200"/>
      <c r="CF106" s="200"/>
      <c r="CG106" s="200"/>
      <c r="CH106" s="200"/>
      <c r="CI106" s="200"/>
      <c r="CJ106" s="200"/>
      <c r="CK106" s="200"/>
      <c r="CL106" s="200"/>
      <c r="CM106" s="200"/>
      <c r="CN106" s="200"/>
      <c r="CO106" s="200"/>
      <c r="CP106" s="200"/>
      <c r="CQ106" s="200"/>
      <c r="CR106" s="200"/>
      <c r="CS106" s="200"/>
      <c r="CT106" s="200"/>
      <c r="CU106" s="200"/>
      <c r="CV106" s="200"/>
      <c r="CW106" s="200"/>
      <c r="CX106" s="200"/>
    </row>
    <row r="107" spans="1:104" collapsed="1">
      <c r="BT107" s="114"/>
      <c r="BU107" s="114"/>
      <c r="BV107" s="114"/>
      <c r="BX107" s="114"/>
      <c r="BY107" s="114"/>
      <c r="BZ107" s="114"/>
      <c r="CA107" s="114"/>
      <c r="CB107" s="1556"/>
      <c r="CC107" s="200"/>
      <c r="CD107" s="200"/>
      <c r="CE107" s="200"/>
      <c r="CF107" s="1556"/>
      <c r="CG107" s="200"/>
      <c r="CH107" s="200"/>
      <c r="CI107" s="200"/>
      <c r="CJ107" s="200"/>
      <c r="CK107" s="200"/>
      <c r="CL107" s="200"/>
      <c r="CM107" s="200"/>
      <c r="CN107"/>
      <c r="CO107" s="200"/>
      <c r="CP107" s="200"/>
      <c r="CQ107" s="200"/>
      <c r="CR107"/>
      <c r="CS107" s="200"/>
      <c r="CT107" s="200"/>
      <c r="CU107" s="200"/>
      <c r="CV107" s="2169"/>
      <c r="CW107" s="200"/>
      <c r="CX107" s="200"/>
    </row>
    <row r="108" spans="1:104">
      <c r="C108" s="313"/>
      <c r="D108" s="313"/>
      <c r="H108" s="1629"/>
      <c r="I108" s="1533"/>
      <c r="J108" s="1533"/>
      <c r="K108" s="1533"/>
      <c r="L108" s="1629"/>
      <c r="M108" s="1533"/>
      <c r="N108" s="1533"/>
      <c r="O108" s="1533"/>
      <c r="P108" s="1629"/>
      <c r="Q108" s="1533"/>
      <c r="R108" s="1533"/>
      <c r="S108" s="1533"/>
      <c r="T108" s="1629"/>
      <c r="U108" s="1533"/>
      <c r="V108" s="1533"/>
      <c r="W108" s="1533"/>
      <c r="Y108" s="1533"/>
      <c r="Z108" s="1533"/>
      <c r="AA108" s="1533"/>
      <c r="AC108" s="1533"/>
      <c r="AD108" s="1533"/>
      <c r="AE108" s="1533"/>
      <c r="AF108" s="1629"/>
      <c r="AG108" s="1533"/>
      <c r="AH108" s="1533"/>
      <c r="AI108" s="1533"/>
      <c r="AK108" s="1533"/>
      <c r="AL108" s="1533"/>
      <c r="AM108" s="1533"/>
      <c r="AN108" s="1629"/>
      <c r="AO108" s="1533"/>
      <c r="AP108" s="1533"/>
      <c r="AQ108" s="1533"/>
      <c r="AS108" s="1533"/>
      <c r="AT108" s="1533"/>
      <c r="AU108" s="1533"/>
      <c r="AV108" s="1629"/>
      <c r="AW108" s="1533"/>
      <c r="AX108" s="1533"/>
      <c r="AY108" s="1533"/>
      <c r="AZ108" s="1629"/>
      <c r="BA108" s="1533"/>
      <c r="BB108" s="1533"/>
      <c r="BC108" s="1533"/>
      <c r="BD108" s="1629"/>
      <c r="BE108" s="1533"/>
      <c r="BF108" s="1533"/>
      <c r="BG108" s="1533"/>
      <c r="BH108" s="1629"/>
      <c r="BI108" s="22"/>
      <c r="BJ108" s="1533"/>
      <c r="BK108" s="1533"/>
      <c r="BL108" s="1629"/>
      <c r="BM108" s="1533"/>
      <c r="BN108" s="1533"/>
      <c r="BO108" s="1533"/>
      <c r="BP108" s="1629"/>
      <c r="BQ108" s="1533"/>
      <c r="BR108" s="1533"/>
      <c r="BS108" s="1534"/>
      <c r="BT108" s="1629"/>
      <c r="BU108" s="1533"/>
      <c r="BW108" s="1534"/>
      <c r="BX108" s="1629"/>
      <c r="BY108" s="1533"/>
      <c r="BZ108" s="1533"/>
      <c r="CA108" s="1533"/>
      <c r="CB108" s="200"/>
      <c r="CC108" s="200"/>
      <c r="CD108" s="200"/>
      <c r="CE108" s="1629" t="s">
        <v>595</v>
      </c>
      <c r="CF108" s="1556"/>
      <c r="CG108" s="200"/>
      <c r="CH108" s="200"/>
      <c r="CI108" s="200"/>
      <c r="CJ108" s="200"/>
      <c r="CK108" s="200"/>
      <c r="CL108" s="200"/>
      <c r="CM108" s="200"/>
      <c r="CN108" s="1995"/>
      <c r="CO108" s="200"/>
      <c r="CP108" s="200"/>
      <c r="CQ108" s="200"/>
      <c r="CR108" s="1995"/>
      <c r="CS108" s="200"/>
      <c r="CT108" s="1995"/>
      <c r="CU108" s="200"/>
      <c r="CV108" s="1959"/>
      <c r="CW108" s="200"/>
      <c r="CX108" s="200"/>
    </row>
    <row r="109" spans="1:104">
      <c r="AR109" s="1630"/>
      <c r="BT109" s="114"/>
      <c r="BU109" s="114"/>
      <c r="BV109" s="114"/>
      <c r="BX109" s="114"/>
      <c r="BY109" s="114"/>
      <c r="BZ109" s="114"/>
      <c r="CA109" s="114"/>
      <c r="CB109" s="200"/>
      <c r="CC109" s="200"/>
      <c r="CD109" s="200"/>
      <c r="CE109" s="200"/>
      <c r="CF109" s="200"/>
      <c r="CG109" s="200"/>
      <c r="CH109" s="200"/>
      <c r="CI109" s="200"/>
      <c r="CJ109" s="200"/>
      <c r="CK109" s="200"/>
      <c r="CL109" s="200"/>
      <c r="CM109" s="200"/>
      <c r="CN109" s="200"/>
      <c r="CO109" s="200"/>
      <c r="CP109" s="200"/>
      <c r="CQ109" s="200"/>
      <c r="CR109" s="200"/>
      <c r="CS109" s="200"/>
      <c r="CT109" s="200"/>
      <c r="CU109" s="200"/>
      <c r="CV109" s="200"/>
      <c r="CW109" s="200"/>
      <c r="CX109" s="200"/>
    </row>
    <row r="110" spans="1:104">
      <c r="A110" s="114" t="str">
        <f>$A$10</f>
        <v>1Q</v>
      </c>
      <c r="B110" s="114" t="str">
        <f>$B$10</f>
        <v>Apr</v>
      </c>
      <c r="D110" s="1536">
        <f>D80+D90</f>
        <v>-3.2289999999999992</v>
      </c>
      <c r="E110" s="1516">
        <f t="shared" ref="E110:E116" si="296">D110/D10*100</f>
        <v>-13.799735031411595</v>
      </c>
      <c r="F110" s="1517"/>
      <c r="H110" s="1536">
        <f>H80+H90</f>
        <v>-3.1239999999999997</v>
      </c>
      <c r="I110" s="1516">
        <f t="shared" ref="I110:I116" si="297">H110/H10*100</f>
        <v>-9.3597387422476537</v>
      </c>
      <c r="J110" s="1517" t="str">
        <f t="shared" ref="J110:J116" si="298">IF(D110&lt;0,"       NM",(H110/D110-1)*100)</f>
        <v xml:space="preserve">       NM</v>
      </c>
      <c r="L110" s="1536">
        <f>L80+L90</f>
        <v>-1.5949999999999938</v>
      </c>
      <c r="M110" s="1516">
        <f t="shared" ref="M110:M116" si="299">L110/L10*100</f>
        <v>-3.1262250098000663</v>
      </c>
      <c r="N110" s="1517" t="str">
        <f t="shared" ref="N110:N116" si="300">IF(H110&lt;0,"       NM",(L110/H110-1)*100)</f>
        <v xml:space="preserve">       NM</v>
      </c>
      <c r="P110" s="1536">
        <f>P80+P90</f>
        <v>0.94500000000000406</v>
      </c>
      <c r="Q110" s="1516">
        <f t="shared" ref="Q110:Q116" si="301">P110/P10*100</f>
        <v>1.2715969643145542</v>
      </c>
      <c r="R110" s="1517" t="str">
        <f t="shared" ref="R110:R116" si="302">IF(L110&lt;0,"       NM",(P110/L110-1)*100)</f>
        <v xml:space="preserve">       NM</v>
      </c>
      <c r="T110" s="1536">
        <f>T80+T90</f>
        <v>10.507999999999999</v>
      </c>
      <c r="U110" s="1516">
        <f t="shared" ref="U110:U116" si="303">T110/T10*100</f>
        <v>7.9519312265407427</v>
      </c>
      <c r="V110" s="1517">
        <f t="shared" ref="V110:V116" si="304">IF(P110&lt;0,"       NM",(T110/P110-1)*100)</f>
        <v>1011.9576719576671</v>
      </c>
      <c r="X110" s="1536">
        <f>X80+X90</f>
        <v>24.930999999999997</v>
      </c>
      <c r="Y110" s="1516">
        <f t="shared" ref="Y110:Y116" si="305">X110/X10*100</f>
        <v>13.37306291470656</v>
      </c>
      <c r="Z110" s="1517">
        <f t="shared" ref="Z110:Z116" si="306">IF(T110&lt;0,"       NM",(X110/T110-1)*100)</f>
        <v>137.2573277502855</v>
      </c>
      <c r="AB110" s="1536">
        <f>AB80+AB90</f>
        <v>26.942999999999991</v>
      </c>
      <c r="AC110" s="1516">
        <f t="shared" ref="AC110:AC116" si="307">AB110/AB10*100</f>
        <v>13.142542169497473</v>
      </c>
      <c r="AD110" s="1517">
        <f t="shared" ref="AD110:AD116" si="308">IF(X110&lt;0,"       NM",(AB110/X110-1)*100)</f>
        <v>8.0702739561188572</v>
      </c>
      <c r="AF110" s="1536">
        <f>AF80+AF90</f>
        <v>33.783000000000001</v>
      </c>
      <c r="AG110" s="1516">
        <f t="shared" ref="AG110:AG116" si="309">AF110/AF10*100</f>
        <v>12.812120752427184</v>
      </c>
      <c r="AH110" s="1517">
        <f t="shared" ref="AH110:AH116" si="310">IF(AB110&lt;0,"       NM",(AF110/AB110-1)*100)</f>
        <v>25.386927959024664</v>
      </c>
      <c r="AJ110" s="1536">
        <f>AJ80+AJ90+AJ100</f>
        <v>37.550999999999959</v>
      </c>
      <c r="AK110" s="1516">
        <f t="shared" ref="AK110:AK116" si="311">AJ110/AJ10*100</f>
        <v>12.005102432287257</v>
      </c>
      <c r="AL110" s="1517">
        <f t="shared" ref="AL110:AL116" si="312">IF(AF110&lt;0,"       NM",(AJ110/AF110-1)*100)</f>
        <v>11.153538762099146</v>
      </c>
      <c r="AN110" s="1536">
        <f>AN80+AN90+AN100</f>
        <v>41.670999999999971</v>
      </c>
      <c r="AO110" s="1516">
        <f t="shared" ref="AO110:AO116" si="313">AN110/AN10*100</f>
        <v>12.018562421767287</v>
      </c>
      <c r="AP110" s="1517">
        <f t="shared" ref="AP110:AP116" si="314">IF(AJ110&lt;0,"       NM",(AN110/AJ110-1)*100)</f>
        <v>10.971745093339758</v>
      </c>
      <c r="AR110" s="1536">
        <f>AR80+AR90+AR100</f>
        <v>47.704999999999998</v>
      </c>
      <c r="AS110" s="1516">
        <f t="shared" ref="AS110:AS116" si="315">AR110/AR10*100</f>
        <v>11.580851115480785</v>
      </c>
      <c r="AT110" s="1517">
        <f t="shared" ref="AT110:AT116" si="316">IF(AN110&lt;0,"       NM",(AR110/AN110-1)*100)</f>
        <v>14.480094070216776</v>
      </c>
      <c r="AV110" s="1536">
        <f>AV80+AV90+AV100</f>
        <v>69.508999999999929</v>
      </c>
      <c r="AW110" s="1516">
        <f t="shared" ref="AW110:AW116" si="317">AV110/AV10*100</f>
        <v>12.711728022530666</v>
      </c>
      <c r="AX110" s="1517">
        <f t="shared" ref="AX110:AX116" si="318">IF(AR110&lt;0,"       NM",(AV110/AR110-1)*100)</f>
        <v>45.70590084896746</v>
      </c>
      <c r="AZ110" s="1536">
        <f>AZ80+AZ90+AZ100</f>
        <v>87.150999999999968</v>
      </c>
      <c r="BA110" s="1516">
        <f t="shared" ref="BA110:BA116" si="319">AZ110/AZ10*100</f>
        <v>13.259523088649882</v>
      </c>
      <c r="BB110" s="1517">
        <f t="shared" ref="BB110:BB116" si="320">IF(AV110&lt;0,"       NM",(AZ110/AV110-1)*100)</f>
        <v>25.38088592844101</v>
      </c>
      <c r="BD110" s="1536">
        <f>BD80+BD90+BD100</f>
        <v>96.420999999999992</v>
      </c>
      <c r="BE110" s="1516">
        <f t="shared" ref="BE110:BE116" si="321">BD110/BD10*100</f>
        <v>12.98756751660134</v>
      </c>
      <c r="BF110" s="1517">
        <f t="shared" ref="BF110:BF116" si="322">IF(AZ110&lt;0,"       NM",(BD110/AZ110-1)*100)</f>
        <v>10.63671099585779</v>
      </c>
      <c r="BH110" s="1536">
        <f>BH80+BH90+BH100</f>
        <v>106.55000000000003</v>
      </c>
      <c r="BI110" s="1516">
        <f t="shared" ref="BI110:BI116" si="323">BH110/BH10*100</f>
        <v>13.536363971293511</v>
      </c>
      <c r="BJ110" s="1517">
        <f t="shared" ref="BJ110:BJ116" si="324">IF(BD110&lt;0,"       NM",(BH110/BD110-1)*100)</f>
        <v>10.504972983063897</v>
      </c>
      <c r="BL110" s="1536">
        <f>BL80+BL90+BL100</f>
        <v>-32.504999999999917</v>
      </c>
      <c r="BM110" s="1516">
        <f t="shared" ref="BM110:BM116" si="325">BL110/BL10*100</f>
        <v>-5.401933428503515</v>
      </c>
      <c r="BN110" s="1517">
        <f t="shared" ref="BN110:BN116" si="326">IF(BH110&lt;0,"       NM",(BL110/BH110-1)*100)</f>
        <v>-130.50680431722188</v>
      </c>
      <c r="BP110" s="1536">
        <f>BP80+BP90+BP100</f>
        <v>-19.537000000000031</v>
      </c>
      <c r="BQ110" s="1516">
        <f t="shared" ref="BQ110:BQ116" si="327">BP110/BP10*100</f>
        <v>-2.8404894417595759</v>
      </c>
      <c r="BR110" s="1517" t="str">
        <f t="shared" ref="BR110:BR116" si="328">IF(BL110&lt;0,"       NM",(BP110/BL110-1)*100)</f>
        <v xml:space="preserve">       NM</v>
      </c>
      <c r="BT110" s="1536">
        <f>BT80+BT90+BT100</f>
        <v>20.267000000000049</v>
      </c>
      <c r="BU110" s="1516">
        <f t="shared" ref="BU110:BU116" si="329">BT110/BT10*100</f>
        <v>2.4223293660374354</v>
      </c>
      <c r="BV110" s="1517" t="str">
        <f t="shared" ref="BV110:BV116" si="330">IF(BP110&lt;0,"       NM",(BT110/BP110-1)*100)</f>
        <v xml:space="preserve">       NM</v>
      </c>
      <c r="BX110" s="1536">
        <f>BX80+BX90+BX100</f>
        <v>-30.033999999999995</v>
      </c>
      <c r="BY110" s="1516">
        <f t="shared" ref="BY110:BY116" si="331">BX110/BX10*100</f>
        <v>-3.2602489313061618</v>
      </c>
      <c r="BZ110" s="1517">
        <f t="shared" ref="BZ110:BZ116" si="332">IF(BT110&lt;0,"       NM",(BX110/BT110-1)*100)</f>
        <v>-248.19164158484196</v>
      </c>
      <c r="CA110" s="1517"/>
      <c r="CB110" s="1536">
        <f>CB80+CB90+CB100</f>
        <v>-14.73100000000005</v>
      </c>
      <c r="CC110" s="1516">
        <f t="shared" ref="CC110:CC116" si="333">CB110/CB10*100</f>
        <v>-1.7562642396178267</v>
      </c>
      <c r="CD110" s="1517" t="str">
        <f t="shared" ref="CD110:CD116" si="334">IF(BX110&lt;0,"       NM",(CB110/BX110-1)*100)</f>
        <v xml:space="preserve">       NM</v>
      </c>
      <c r="CE110" s="1611"/>
      <c r="CF110" s="1536">
        <f>CF80+CF90+CF100</f>
        <v>-17.89000000000005</v>
      </c>
      <c r="CG110" s="1516">
        <f t="shared" ref="CG110:CG116" si="335">CF110/CF10*100</f>
        <v>-2.1752664062994023</v>
      </c>
      <c r="CH110" s="1517" t="str">
        <f t="shared" ref="CH110:CH116" si="336">IF(CB110&lt;0,"       NM",(CF110/CB110-1)*100)</f>
        <v xml:space="preserve">       NM</v>
      </c>
      <c r="CI110" s="1611"/>
      <c r="CJ110" s="1536">
        <f>CJ80+CJ90+CJ100</f>
        <v>-56.987599999999958</v>
      </c>
      <c r="CK110" s="1516">
        <f t="shared" ref="CK110:CK116" si="337">CJ110/CJ10*100</f>
        <v>-8.032962045157884</v>
      </c>
      <c r="CL110" s="1517" t="str">
        <f t="shared" ref="CL110:CL116" si="338">IF(CF110&lt;0,"       NM",(CJ110/CF110-1)*100)</f>
        <v xml:space="preserve">       NM</v>
      </c>
      <c r="CM110" s="1611"/>
      <c r="CN110" s="1536">
        <f>CN80+CN90+CN100</f>
        <v>-59.417000000000051</v>
      </c>
      <c r="CO110" s="1516">
        <f t="shared" ref="CO110:CO116" si="339">CN110/CN10*100</f>
        <v>-8.667902778041185</v>
      </c>
      <c r="CP110" s="1517" t="str">
        <f t="shared" ref="CP110:CP116" si="340">IF(CJ110&lt;0,"       NM",(CN110/CJ110-1)*100)</f>
        <v xml:space="preserve">       NM</v>
      </c>
      <c r="CQ110" s="1611"/>
      <c r="CR110" s="1536">
        <f>CR80+CR90+CR100</f>
        <v>-74.060999999999936</v>
      </c>
      <c r="CS110" s="1516">
        <f t="shared" ref="CS110:CS116" si="341">CR110/CR10*100</f>
        <v>-11.202709427786145</v>
      </c>
      <c r="CT110" s="1517" t="str">
        <f t="shared" ref="CT110:CT116" si="342">IF(CN110&lt;0,"       NM",(CR110/CN110-1)*100)</f>
        <v xml:space="preserve">       NM</v>
      </c>
      <c r="CU110" s="1611"/>
      <c r="CV110" s="1536">
        <f>CV80+CV90+CV100</f>
        <v>-63.925439120005038</v>
      </c>
      <c r="CW110" s="1516">
        <f t="shared" ref="CW110:CW116" si="343">CV110/CV10*100</f>
        <v>-9.1447531028021523</v>
      </c>
      <c r="CX110" s="1517" t="str">
        <f t="shared" ref="CX110:CX116" si="344">IF(CR110&lt;0,"       NM",(CV110/CR110-1)*100)</f>
        <v xml:space="preserve">       NM</v>
      </c>
      <c r="CZ110" s="381">
        <v>-70.896999999999935</v>
      </c>
    </row>
    <row r="111" spans="1:104">
      <c r="A111" s="114" t="str">
        <f>$A$11</f>
        <v>2Q</v>
      </c>
      <c r="B111" s="114" t="str">
        <f>$B$11</f>
        <v>Jul</v>
      </c>
      <c r="D111" s="1537">
        <f>D81+D91</f>
        <v>-2.149</v>
      </c>
      <c r="E111" s="1516">
        <f t="shared" si="296"/>
        <v>-7.3988638319848503</v>
      </c>
      <c r="H111" s="1537">
        <f>H81+H91</f>
        <v>-1.0800000000000003</v>
      </c>
      <c r="I111" s="1516">
        <f t="shared" si="297"/>
        <v>-2.7930071376849086</v>
      </c>
      <c r="J111" s="1517" t="str">
        <f t="shared" si="298"/>
        <v xml:space="preserve">       NM</v>
      </c>
      <c r="L111" s="1537">
        <f>L81+L91</f>
        <v>0.4729999999999992</v>
      </c>
      <c r="M111" s="1516">
        <f t="shared" si="299"/>
        <v>0.82359701206665259</v>
      </c>
      <c r="N111" s="1517" t="str">
        <f t="shared" si="300"/>
        <v xml:space="preserve">       NM</v>
      </c>
      <c r="P111" s="1537">
        <f>P81+P91</f>
        <v>3.423</v>
      </c>
      <c r="Q111" s="1516">
        <f t="shared" si="301"/>
        <v>3.9508310249307481</v>
      </c>
      <c r="R111" s="1517">
        <f t="shared" si="302"/>
        <v>623.67864693446211</v>
      </c>
      <c r="T111" s="1537">
        <f>T81+T91</f>
        <v>17.668000000000006</v>
      </c>
      <c r="U111" s="1516">
        <f t="shared" si="303"/>
        <v>12.182223110921116</v>
      </c>
      <c r="V111" s="1517">
        <f t="shared" si="304"/>
        <v>416.15541922290402</v>
      </c>
      <c r="X111" s="1537">
        <f>X81+X91</f>
        <v>31.441000000000003</v>
      </c>
      <c r="Y111" s="1516">
        <f t="shared" si="305"/>
        <v>16.02276954751385</v>
      </c>
      <c r="Z111" s="1517">
        <f t="shared" si="306"/>
        <v>77.954494000452755</v>
      </c>
      <c r="AB111" s="1537">
        <f>AB81+AB91</f>
        <v>35.263000000000012</v>
      </c>
      <c r="AC111" s="1516">
        <f t="shared" si="307"/>
        <v>15.396605699665116</v>
      </c>
      <c r="AD111" s="1517">
        <f t="shared" si="308"/>
        <v>12.156101905155726</v>
      </c>
      <c r="AF111" s="1537">
        <f>AF81+AF91</f>
        <v>41.057999999999993</v>
      </c>
      <c r="AG111" s="1516">
        <f t="shared" si="309"/>
        <v>14.657499036113608</v>
      </c>
      <c r="AH111" s="1517">
        <f t="shared" si="310"/>
        <v>16.433655673085035</v>
      </c>
      <c r="AJ111" s="1537">
        <f>AJ81+AJ91+AJ101</f>
        <v>49.783999999999963</v>
      </c>
      <c r="AK111" s="1516">
        <f t="shared" si="311"/>
        <v>15.124835183531102</v>
      </c>
      <c r="AL111" s="1517">
        <f t="shared" si="312"/>
        <v>21.252861805251033</v>
      </c>
      <c r="AN111" s="1537">
        <f>AN81+AN91+AN101</f>
        <v>55.995000000000019</v>
      </c>
      <c r="AO111" s="1516">
        <f t="shared" si="313"/>
        <v>15.741357644657727</v>
      </c>
      <c r="AP111" s="1517">
        <f t="shared" si="314"/>
        <v>12.475895870159203</v>
      </c>
      <c r="AR111" s="1537">
        <f>AR81+AR91+AR101</f>
        <v>70.120000000000047</v>
      </c>
      <c r="AS111" s="1516">
        <f t="shared" si="315"/>
        <v>17.47120938043485</v>
      </c>
      <c r="AT111" s="1517">
        <f t="shared" si="316"/>
        <v>25.225466559514274</v>
      </c>
      <c r="AV111" s="1537">
        <f>AV81+AV91+AV101</f>
        <v>92.646999999999977</v>
      </c>
      <c r="AW111" s="1516">
        <f t="shared" si="317"/>
        <v>16.20861770041865</v>
      </c>
      <c r="AX111" s="1517">
        <f t="shared" si="318"/>
        <v>32.126354820307924</v>
      </c>
      <c r="AZ111" s="1537">
        <f>AZ81+AZ91+AZ101</f>
        <v>105.19399999999997</v>
      </c>
      <c r="BA111" s="1516">
        <f t="shared" si="319"/>
        <v>15.970037771597212</v>
      </c>
      <c r="BB111" s="1517">
        <f t="shared" si="320"/>
        <v>13.542802249398257</v>
      </c>
      <c r="BD111" s="1537">
        <f>BD81+BD91+BD101</f>
        <v>128.27500000000001</v>
      </c>
      <c r="BE111" s="1516">
        <f t="shared" si="321"/>
        <v>15.943933039831556</v>
      </c>
      <c r="BF111" s="1517">
        <f t="shared" si="322"/>
        <v>21.941365477118513</v>
      </c>
      <c r="BH111" s="1537">
        <f>BH81+BH91+BH101</f>
        <v>134.59800000000001</v>
      </c>
      <c r="BI111" s="1516">
        <f t="shared" si="323"/>
        <v>16.152444863662222</v>
      </c>
      <c r="BJ111" s="1517">
        <f t="shared" si="324"/>
        <v>4.9292535568115525</v>
      </c>
      <c r="BL111" s="1537">
        <f>BL81+BL91+BL101</f>
        <v>10.664999999999997</v>
      </c>
      <c r="BM111" s="1516">
        <f t="shared" si="325"/>
        <v>1.6736736548230515</v>
      </c>
      <c r="BN111" s="1517">
        <f t="shared" si="326"/>
        <v>-92.076405295769632</v>
      </c>
      <c r="BP111" s="1537">
        <f>BP81+BP91+BP101</f>
        <v>28.952999999999957</v>
      </c>
      <c r="BQ111" s="1516">
        <f t="shared" si="327"/>
        <v>3.8821503946108669</v>
      </c>
      <c r="BR111" s="1517">
        <f t="shared" si="328"/>
        <v>171.4767932489448</v>
      </c>
      <c r="BT111" s="1537">
        <f>BT81+BT91+BT101</f>
        <v>41.413000000000075</v>
      </c>
      <c r="BU111" s="1516">
        <f t="shared" si="329"/>
        <v>4.5173070902730661</v>
      </c>
      <c r="BV111" s="1517">
        <f t="shared" si="330"/>
        <v>43.035264048631007</v>
      </c>
      <c r="BX111" s="1537">
        <f>BX81+BX91+BX101</f>
        <v>23.460000000000093</v>
      </c>
      <c r="BY111" s="1516">
        <f t="shared" si="331"/>
        <v>2.4658216725334263</v>
      </c>
      <c r="BZ111" s="1517">
        <f t="shared" si="332"/>
        <v>-43.351121628474033</v>
      </c>
      <c r="CA111" s="1517"/>
      <c r="CB111" s="1537">
        <f>CB81+CB91+CB101</f>
        <v>19.989999999999952</v>
      </c>
      <c r="CC111" s="1516">
        <f t="shared" si="333"/>
        <v>2.1137826240512245</v>
      </c>
      <c r="CD111" s="1517">
        <f t="shared" si="334"/>
        <v>-14.791133844842829</v>
      </c>
      <c r="CE111" s="1612"/>
      <c r="CF111" s="1537">
        <f>CF81+CF91+CF101</f>
        <v>19.856000000000012</v>
      </c>
      <c r="CG111" s="1516">
        <f t="shared" si="335"/>
        <v>2.2294956799029886</v>
      </c>
      <c r="CH111" s="1517">
        <f t="shared" si="336"/>
        <v>-0.67033516758349121</v>
      </c>
      <c r="CI111" s="1612"/>
      <c r="CJ111" s="1537">
        <f>CJ81+CJ91+CJ101</f>
        <v>11.920999999999989</v>
      </c>
      <c r="CK111" s="1516">
        <f t="shared" si="337"/>
        <v>1.4577697993044365</v>
      </c>
      <c r="CL111" s="1517">
        <f t="shared" si="338"/>
        <v>-39.962731668009766</v>
      </c>
      <c r="CM111" s="1612"/>
      <c r="CN111" s="1537">
        <f>CN81+CN91+CN101</f>
        <v>-21.471999999999994</v>
      </c>
      <c r="CO111" s="1516">
        <f t="shared" si="339"/>
        <v>-2.7417130599111288</v>
      </c>
      <c r="CP111" s="1517">
        <f t="shared" si="340"/>
        <v>-280.11911752369781</v>
      </c>
      <c r="CQ111" s="1612"/>
      <c r="CR111" s="1537">
        <f>CR81+CR91+CR101</f>
        <v>-19.042999999999985</v>
      </c>
      <c r="CS111" s="1516">
        <f t="shared" si="341"/>
        <v>-2.4435373870330688</v>
      </c>
      <c r="CT111" s="1517" t="str">
        <f t="shared" si="342"/>
        <v xml:space="preserve">       NM</v>
      </c>
      <c r="CU111" s="1612"/>
      <c r="CV111" s="1537">
        <f>CV81+CV91+CV101</f>
        <v>-1.7776275733759999</v>
      </c>
      <c r="CW111" s="1516">
        <f t="shared" si="343"/>
        <v>-0.2136294894294703</v>
      </c>
      <c r="CX111" s="1517" t="str">
        <f t="shared" si="344"/>
        <v xml:space="preserve">       NM</v>
      </c>
      <c r="CZ111" s="381">
        <v>-33.639682921643441</v>
      </c>
    </row>
    <row r="112" spans="1:104">
      <c r="A112" s="114" t="str">
        <f>$A$12</f>
        <v>3Q</v>
      </c>
      <c r="B112" s="114" t="str">
        <f>$B$12</f>
        <v>Oct</v>
      </c>
      <c r="D112" s="1537">
        <f>D82+D92</f>
        <v>-0.68099999999999472</v>
      </c>
      <c r="E112" s="1516">
        <f t="shared" si="296"/>
        <v>-1.7649803027161379</v>
      </c>
      <c r="H112" s="1537">
        <f>H82+H92</f>
        <v>2.7269999999999994</v>
      </c>
      <c r="I112" s="1516">
        <f t="shared" si="297"/>
        <v>4.7656495753381556</v>
      </c>
      <c r="J112" s="1517" t="str">
        <f t="shared" si="298"/>
        <v xml:space="preserve">       NM</v>
      </c>
      <c r="L112" s="1537">
        <f>L82+L92</f>
        <v>7.8820000000000014</v>
      </c>
      <c r="M112" s="1516">
        <f t="shared" si="299"/>
        <v>8.9886871635799679</v>
      </c>
      <c r="N112" s="1517">
        <f t="shared" si="300"/>
        <v>189.03557022368912</v>
      </c>
      <c r="P112" s="1537">
        <f>P82+P92</f>
        <v>17.332999999999991</v>
      </c>
      <c r="Q112" s="1516">
        <f t="shared" si="301"/>
        <v>11.670796412507737</v>
      </c>
      <c r="R112" s="1517">
        <f t="shared" si="302"/>
        <v>119.90611519918785</v>
      </c>
      <c r="T112" s="1537">
        <f>T82+T92</f>
        <v>41.562999999999981</v>
      </c>
      <c r="U112" s="1516">
        <f t="shared" si="303"/>
        <v>18.235784485784478</v>
      </c>
      <c r="V112" s="1517">
        <f t="shared" si="304"/>
        <v>139.79114982980443</v>
      </c>
      <c r="X112" s="1537">
        <f>X82+X92</f>
        <v>65.093999999999994</v>
      </c>
      <c r="Y112" s="1516">
        <f t="shared" si="305"/>
        <v>22.879336402938382</v>
      </c>
      <c r="Z112" s="1517">
        <f t="shared" si="306"/>
        <v>56.615258763804398</v>
      </c>
      <c r="AB112" s="1537">
        <f>AB82+AB92</f>
        <v>72.652000000000015</v>
      </c>
      <c r="AC112" s="1516">
        <f t="shared" si="307"/>
        <v>19.952653231609187</v>
      </c>
      <c r="AD112" s="1517">
        <f t="shared" si="308"/>
        <v>11.610901158324927</v>
      </c>
      <c r="AF112" s="1537">
        <f>AF82+AF92</f>
        <v>71.893000000000029</v>
      </c>
      <c r="AG112" s="1516">
        <f t="shared" si="309"/>
        <v>20.281657559249936</v>
      </c>
      <c r="AH112" s="1517">
        <f t="shared" si="310"/>
        <v>-1.0447062709904587</v>
      </c>
      <c r="AJ112" s="1537">
        <f>AJ82+AJ92+AJ102</f>
        <v>76.611000000000018</v>
      </c>
      <c r="AK112" s="1516">
        <f t="shared" si="311"/>
        <v>18.26990263015437</v>
      </c>
      <c r="AL112" s="1517">
        <f t="shared" si="312"/>
        <v>6.5625304271625717</v>
      </c>
      <c r="AN112" s="1537">
        <f>AN82+AN92+AN102</f>
        <v>81.334999999999937</v>
      </c>
      <c r="AO112" s="1516">
        <f t="shared" si="313"/>
        <v>18.278390665626905</v>
      </c>
      <c r="AP112" s="1517">
        <f t="shared" si="314"/>
        <v>6.1662163396900116</v>
      </c>
      <c r="AR112" s="1537">
        <f>AR82+AR92+AR102</f>
        <v>96.451000000000079</v>
      </c>
      <c r="AS112" s="1516">
        <f t="shared" si="315"/>
        <v>18.522480239051795</v>
      </c>
      <c r="AT112" s="1517">
        <f t="shared" si="316"/>
        <v>18.584865064240685</v>
      </c>
      <c r="AV112" s="1537">
        <f>AV82+AV92+AV102</f>
        <v>130.88999999999999</v>
      </c>
      <c r="AW112" s="1516">
        <f t="shared" si="317"/>
        <v>18.568117142703123</v>
      </c>
      <c r="AX112" s="1517">
        <f t="shared" si="318"/>
        <v>35.706213517744636</v>
      </c>
      <c r="AZ112" s="1537">
        <f>AZ82+AZ92+AZ102</f>
        <v>166.09299999999993</v>
      </c>
      <c r="BA112" s="1516">
        <f t="shared" si="319"/>
        <v>19.236016529078757</v>
      </c>
      <c r="BB112" s="1517">
        <f t="shared" si="320"/>
        <v>26.895102758041055</v>
      </c>
      <c r="BD112" s="1537">
        <f>BD82+BD92+BD102</f>
        <v>191.20499999999993</v>
      </c>
      <c r="BE112" s="1516">
        <f t="shared" si="321"/>
        <v>19.632314437382554</v>
      </c>
      <c r="BF112" s="1517">
        <f t="shared" si="322"/>
        <v>15.119240425544733</v>
      </c>
      <c r="BH112" s="1537">
        <f>BH82+BH92+BH102</f>
        <v>110.27900000000007</v>
      </c>
      <c r="BI112" s="1516">
        <f t="shared" si="323"/>
        <v>12.491801755981752</v>
      </c>
      <c r="BJ112" s="1517">
        <f t="shared" si="324"/>
        <v>-42.324207002954886</v>
      </c>
      <c r="BL112" s="1537">
        <f>BL82+BL92+BL102</f>
        <v>47.00599999999995</v>
      </c>
      <c r="BM112" s="1516">
        <f t="shared" si="325"/>
        <v>6.2368313510702036</v>
      </c>
      <c r="BN112" s="1517">
        <f t="shared" si="326"/>
        <v>-57.375384252668304</v>
      </c>
      <c r="BP112" s="1537">
        <f>BP82+BP92+BP102</f>
        <v>77.706000000000046</v>
      </c>
      <c r="BQ112" s="1516">
        <f t="shared" si="327"/>
        <v>8.7726270013479724</v>
      </c>
      <c r="BR112" s="1517">
        <f t="shared" si="328"/>
        <v>65.310811385780809</v>
      </c>
      <c r="BT112" s="1537">
        <f>BT82+BT92+BT102</f>
        <v>88.84999999999998</v>
      </c>
      <c r="BU112" s="1516">
        <f t="shared" si="329"/>
        <v>8.25854017638048</v>
      </c>
      <c r="BV112" s="1517">
        <f t="shared" si="330"/>
        <v>14.341234911074995</v>
      </c>
      <c r="BX112" s="1537">
        <f>BX82+BX92+BX102</f>
        <v>131.76099999999991</v>
      </c>
      <c r="BY112" s="1516">
        <f t="shared" si="331"/>
        <v>11.265003432653721</v>
      </c>
      <c r="BZ112" s="1517">
        <f t="shared" si="332"/>
        <v>48.296004501969534</v>
      </c>
      <c r="CA112" s="1517"/>
      <c r="CB112" s="1537">
        <f>CB82+CB92+CB102</f>
        <v>58.844000000000023</v>
      </c>
      <c r="CC112" s="1516">
        <f t="shared" si="333"/>
        <v>5.6948029261787347</v>
      </c>
      <c r="CD112" s="1517">
        <f t="shared" si="334"/>
        <v>-55.340351090231508</v>
      </c>
      <c r="CE112" s="1611"/>
      <c r="CF112" s="1537">
        <f>CF82+CF92+CF102</f>
        <v>48.062000000000019</v>
      </c>
      <c r="CG112" s="1516">
        <f t="shared" si="335"/>
        <v>5.2731188552783328</v>
      </c>
      <c r="CH112" s="1517">
        <f t="shared" si="336"/>
        <v>-18.323023587791443</v>
      </c>
      <c r="CI112" s="1611"/>
      <c r="CJ112" s="1537">
        <f>CJ82+CJ92+CJ102</f>
        <v>46.489999999999981</v>
      </c>
      <c r="CK112" s="1516">
        <f t="shared" si="337"/>
        <v>5.2915412737942908</v>
      </c>
      <c r="CL112" s="1517">
        <f t="shared" si="338"/>
        <v>-3.2707752486372588</v>
      </c>
      <c r="CM112" s="1611"/>
      <c r="CN112" s="1537">
        <f>CN82+CN92+CN102</f>
        <v>9.0360000000000351</v>
      </c>
      <c r="CO112" s="1516">
        <f t="shared" si="339"/>
        <v>1.0996259130083499</v>
      </c>
      <c r="CP112" s="1517">
        <f t="shared" si="340"/>
        <v>-80.563562056356119</v>
      </c>
      <c r="CQ112" s="1611"/>
      <c r="CR112" s="1537">
        <f>CR82+CR92+CR102</f>
        <v>32.718999999999916</v>
      </c>
      <c r="CS112" s="1516">
        <f t="shared" si="341"/>
        <v>3.8084673476799202</v>
      </c>
      <c r="CT112" s="1517">
        <f t="shared" si="342"/>
        <v>262.09606020362759</v>
      </c>
      <c r="CU112" s="1611"/>
      <c r="CV112" s="1537">
        <f>CV82+CV92+CV102</f>
        <v>30.586696305439979</v>
      </c>
      <c r="CW112" s="1516">
        <f t="shared" si="343"/>
        <v>3.5401587938682089</v>
      </c>
      <c r="CX112" s="1517">
        <f t="shared" si="344"/>
        <v>-6.517019757816378</v>
      </c>
      <c r="CZ112" s="381">
        <v>36.807420328324554</v>
      </c>
    </row>
    <row r="113" spans="1:104">
      <c r="A113" s="114" t="str">
        <f>$A$13</f>
        <v>4Q</v>
      </c>
      <c r="B113" s="114" t="str">
        <f>$B$13</f>
        <v>Jan</v>
      </c>
      <c r="C113" s="310"/>
      <c r="D113" s="1553">
        <f>D83+D93</f>
        <v>14.538000000000006</v>
      </c>
      <c r="E113" s="1516">
        <f t="shared" si="296"/>
        <v>19.531134546920139</v>
      </c>
      <c r="H113" s="1553">
        <f>H83+H93</f>
        <v>19.545999999999989</v>
      </c>
      <c r="I113" s="1516">
        <f t="shared" si="297"/>
        <v>18.371682081359491</v>
      </c>
      <c r="J113" s="1517">
        <f t="shared" si="298"/>
        <v>34.447654422891596</v>
      </c>
      <c r="L113" s="1553">
        <f>L83+L93</f>
        <v>34.216999999999999</v>
      </c>
      <c r="M113" s="1516">
        <f t="shared" si="299"/>
        <v>24.575352107618166</v>
      </c>
      <c r="N113" s="1517">
        <f t="shared" si="300"/>
        <v>75.058835567379603</v>
      </c>
      <c r="P113" s="1553">
        <f>P83+P93</f>
        <v>58.841000000000015</v>
      </c>
      <c r="Q113" s="1516">
        <f t="shared" si="301"/>
        <v>27.7362181526786</v>
      </c>
      <c r="R113" s="1517">
        <f t="shared" si="302"/>
        <v>71.964228307566458</v>
      </c>
      <c r="T113" s="1553">
        <f>T83+T93</f>
        <v>100.36299999999999</v>
      </c>
      <c r="U113" s="1516">
        <f t="shared" si="303"/>
        <v>33.444857290434378</v>
      </c>
      <c r="V113" s="1517">
        <f t="shared" si="304"/>
        <v>70.56644176679518</v>
      </c>
      <c r="X113" s="1553">
        <f>X83+X93</f>
        <v>127.86900000000001</v>
      </c>
      <c r="Y113" s="1516">
        <f t="shared" si="305"/>
        <v>35.158402393220676</v>
      </c>
      <c r="Z113" s="1517">
        <f t="shared" si="306"/>
        <v>27.406514352899002</v>
      </c>
      <c r="AB113" s="1553">
        <f>AB83+AB93</f>
        <v>126.59500000000001</v>
      </c>
      <c r="AC113" s="1516">
        <f t="shared" si="307"/>
        <v>28.807928182138838</v>
      </c>
      <c r="AD113" s="1517">
        <f t="shared" si="308"/>
        <v>-0.9963321837192729</v>
      </c>
      <c r="AF113" s="1553">
        <f>AF83+AF93</f>
        <v>129.78799999999998</v>
      </c>
      <c r="AG113" s="1516">
        <f t="shared" si="309"/>
        <v>27.816641805119762</v>
      </c>
      <c r="AH113" s="1517">
        <f t="shared" si="310"/>
        <v>2.5222165172399835</v>
      </c>
      <c r="AJ113" s="1553">
        <f>AJ83+AJ93+AJ103</f>
        <v>152.13799999999995</v>
      </c>
      <c r="AK113" s="1516">
        <f t="shared" si="311"/>
        <v>28.464569433582415</v>
      </c>
      <c r="AL113" s="1517">
        <f t="shared" si="312"/>
        <v>17.22039017474648</v>
      </c>
      <c r="AN113" s="1553">
        <f>AN83+AN93+AN103</f>
        <v>155.88700000000003</v>
      </c>
      <c r="AO113" s="1516">
        <f t="shared" si="313"/>
        <v>27.817640960118776</v>
      </c>
      <c r="AP113" s="1517">
        <f t="shared" si="314"/>
        <v>2.4642101250181403</v>
      </c>
      <c r="AR113" s="1553">
        <f>AR83+AR93+AR103</f>
        <v>171.47400000000007</v>
      </c>
      <c r="AS113" s="1516">
        <f t="shared" si="315"/>
        <v>24.950600505780987</v>
      </c>
      <c r="AT113" s="1517">
        <f t="shared" si="316"/>
        <v>9.9989094664725275</v>
      </c>
      <c r="AV113" s="1553">
        <f>AV83+AV93+AV103</f>
        <v>269.86400000000009</v>
      </c>
      <c r="AW113" s="1516">
        <f t="shared" si="317"/>
        <v>28.070131642451784</v>
      </c>
      <c r="AX113" s="1517">
        <f t="shared" si="318"/>
        <v>57.378961241937532</v>
      </c>
      <c r="AZ113" s="1553">
        <f>AZ83+AZ93+AZ103</f>
        <v>313.548</v>
      </c>
      <c r="BA113" s="1516">
        <f t="shared" si="319"/>
        <v>27.534571013828408</v>
      </c>
      <c r="BB113" s="1517">
        <f t="shared" si="320"/>
        <v>16.187412919099952</v>
      </c>
      <c r="BD113" s="1553">
        <f>BD83+BD93+BD103</f>
        <v>343.42400000000009</v>
      </c>
      <c r="BE113" s="1516">
        <f t="shared" si="321"/>
        <v>27.944073446929913</v>
      </c>
      <c r="BF113" s="1517">
        <f t="shared" si="322"/>
        <v>9.5283656728794686</v>
      </c>
      <c r="BH113" s="1553">
        <f>BH83+BH93+BH103</f>
        <v>158.21799999999996</v>
      </c>
      <c r="BI113" s="1516">
        <f t="shared" si="323"/>
        <v>16.131377261016159</v>
      </c>
      <c r="BJ113" s="1517">
        <f t="shared" si="324"/>
        <v>-53.929253633991827</v>
      </c>
      <c r="BL113" s="1553">
        <f>BL83+BL93+BL103</f>
        <v>127.54399999999991</v>
      </c>
      <c r="BM113" s="1516">
        <f t="shared" si="325"/>
        <v>13.626626751752946</v>
      </c>
      <c r="BN113" s="1517">
        <f t="shared" si="326"/>
        <v>-19.387174657750737</v>
      </c>
      <c r="BP113" s="1553">
        <f>BP83+BP93+BP103</f>
        <v>196.0479999999998</v>
      </c>
      <c r="BQ113" s="1516">
        <f t="shared" si="327"/>
        <v>17.056610602438134</v>
      </c>
      <c r="BR113" s="1517">
        <f t="shared" si="328"/>
        <v>53.710092203474822</v>
      </c>
      <c r="BT113" s="1553">
        <f>BT83+BT93+BT103</f>
        <v>192.35800000000015</v>
      </c>
      <c r="BU113" s="1516">
        <f t="shared" si="329"/>
        <v>14.476449936595269</v>
      </c>
      <c r="BV113" s="1517">
        <f t="shared" si="330"/>
        <v>-1.8821921162162636</v>
      </c>
      <c r="BX113" s="1553">
        <f>BX83+BX93+BX103</f>
        <v>249.15799999999996</v>
      </c>
      <c r="BY113" s="1516">
        <f t="shared" si="331"/>
        <v>16.966478746447979</v>
      </c>
      <c r="BZ113" s="1517">
        <f t="shared" si="332"/>
        <v>29.528275403154414</v>
      </c>
      <c r="CA113" s="1517"/>
      <c r="CB113" s="1553">
        <f>CB83+CB93+CB103</f>
        <v>152.04699999999991</v>
      </c>
      <c r="CC113" s="1516">
        <f t="shared" si="333"/>
        <v>11.703692528193709</v>
      </c>
      <c r="CD113" s="1517">
        <f t="shared" si="334"/>
        <v>-38.975670056751163</v>
      </c>
      <c r="CE113" s="1611"/>
      <c r="CF113" s="1553">
        <f>CF83+CF93+CF103</f>
        <v>127.32000000000016</v>
      </c>
      <c r="CG113" s="1516">
        <f t="shared" si="335"/>
        <v>11.37248736985774</v>
      </c>
      <c r="CH113" s="1517">
        <f t="shared" si="336"/>
        <v>-16.262734549185296</v>
      </c>
      <c r="CI113" s="1611"/>
      <c r="CJ113" s="1553">
        <f>CJ83+CJ93+CJ103</f>
        <v>116.8180000000001</v>
      </c>
      <c r="CK113" s="1516">
        <f t="shared" si="337"/>
        <v>10.496437332087382</v>
      </c>
      <c r="CL113" s="1517">
        <f t="shared" si="338"/>
        <v>-8.2485076971411058</v>
      </c>
      <c r="CM113" s="1611"/>
      <c r="CN113" s="1553">
        <f>CN83+CN93+CN103</f>
        <v>56.448999999999948</v>
      </c>
      <c r="CO113" s="1516">
        <f t="shared" si="339"/>
        <v>5.4468366778821649</v>
      </c>
      <c r="CP113" s="1517">
        <f t="shared" si="340"/>
        <v>-51.677823623071873</v>
      </c>
      <c r="CQ113" s="1611"/>
      <c r="CR113" s="1553">
        <f>CR83+CR93+CR103</f>
        <v>144.27699999999993</v>
      </c>
      <c r="CS113" s="1516">
        <f t="shared" si="341"/>
        <v>12.092028046578907</v>
      </c>
      <c r="CT113" s="1517">
        <f t="shared" si="342"/>
        <v>155.58823008379255</v>
      </c>
      <c r="CU113" s="1611"/>
      <c r="CV113" s="1553">
        <f>CV83+CV93+CV103</f>
        <v>79.232342936999927</v>
      </c>
      <c r="CW113" s="1516">
        <f t="shared" si="343"/>
        <v>7.1205947926110085</v>
      </c>
      <c r="CX113" s="1517">
        <f t="shared" si="344"/>
        <v>-45.083178235616238</v>
      </c>
      <c r="CZ113" s="381">
        <v>103.52582292707973</v>
      </c>
    </row>
    <row r="114" spans="1:104">
      <c r="B114" s="114" t="str">
        <f>$B$14</f>
        <v>Year</v>
      </c>
      <c r="D114" s="1536">
        <f>SUM(D110:D113)</f>
        <v>8.4790000000000116</v>
      </c>
      <c r="E114" s="1516">
        <f t="shared" si="296"/>
        <v>5.124408478028327</v>
      </c>
      <c r="H114" s="1536">
        <f>SUM(H110:H113)</f>
        <v>18.068999999999988</v>
      </c>
      <c r="I114" s="1516">
        <f t="shared" si="297"/>
        <v>7.6674347255992714</v>
      </c>
      <c r="J114" s="1517">
        <f t="shared" si="298"/>
        <v>113.10296025474659</v>
      </c>
      <c r="L114" s="1536">
        <f>SUM(L110:L113)</f>
        <v>40.977000000000004</v>
      </c>
      <c r="M114" s="1516">
        <f t="shared" si="299"/>
        <v>12.218372434192478</v>
      </c>
      <c r="N114" s="1517">
        <f t="shared" si="300"/>
        <v>126.78067408268321</v>
      </c>
      <c r="P114" s="1536">
        <f>SUM(P110:P113)</f>
        <v>80.542000000000002</v>
      </c>
      <c r="Q114" s="1516">
        <f t="shared" si="301"/>
        <v>15.44083110788184</v>
      </c>
      <c r="R114" s="1517">
        <f t="shared" si="302"/>
        <v>96.554164531322442</v>
      </c>
      <c r="T114" s="1536">
        <f>SUM(T110:T113)</f>
        <v>170.10199999999998</v>
      </c>
      <c r="U114" s="1516">
        <f t="shared" si="303"/>
        <v>21.1259594128021</v>
      </c>
      <c r="V114" s="1517">
        <f t="shared" si="304"/>
        <v>111.19664274539987</v>
      </c>
      <c r="X114" s="1536">
        <f>SUM(X110:X113)</f>
        <v>249.33500000000001</v>
      </c>
      <c r="Y114" s="1516">
        <f t="shared" si="305"/>
        <v>24.187133436418982</v>
      </c>
      <c r="Z114" s="1517">
        <f t="shared" si="306"/>
        <v>46.579699239279982</v>
      </c>
      <c r="AB114" s="1536">
        <f>SUM(AB110:AB113)</f>
        <v>261.45300000000003</v>
      </c>
      <c r="AC114" s="1516">
        <f t="shared" si="307"/>
        <v>21.125739735812104</v>
      </c>
      <c r="AD114" s="1517">
        <f t="shared" si="308"/>
        <v>4.8601279403212683</v>
      </c>
      <c r="AF114" s="1536">
        <f>SUM(AF110:AF113)</f>
        <v>276.52200000000005</v>
      </c>
      <c r="AG114" s="1516">
        <f t="shared" si="309"/>
        <v>20.260203846128487</v>
      </c>
      <c r="AH114" s="1517">
        <f t="shared" si="310"/>
        <v>5.7635597985106424</v>
      </c>
      <c r="AJ114" s="1536">
        <f>SUM(AJ110:AJ113)</f>
        <v>316.08399999999989</v>
      </c>
      <c r="AK114" s="1516">
        <f t="shared" si="311"/>
        <v>19.807777750622428</v>
      </c>
      <c r="AL114" s="1517">
        <f t="shared" si="312"/>
        <v>14.306999081447348</v>
      </c>
      <c r="AN114" s="1536">
        <f>SUM(AN110:AN113)</f>
        <v>334.88799999999992</v>
      </c>
      <c r="AO114" s="1516">
        <f t="shared" si="313"/>
        <v>19.609218595287871</v>
      </c>
      <c r="AP114" s="1517">
        <f t="shared" si="314"/>
        <v>5.9490515179509318</v>
      </c>
      <c r="AR114" s="1536">
        <f>SUM(AR110:AR113)</f>
        <v>385.75000000000023</v>
      </c>
      <c r="AS114" s="1516">
        <f t="shared" si="315"/>
        <v>19.084687030922399</v>
      </c>
      <c r="AT114" s="1517">
        <f t="shared" si="316"/>
        <v>15.187764267456672</v>
      </c>
      <c r="AV114" s="1536">
        <f>SUM(AV110:AV113)</f>
        <v>562.91</v>
      </c>
      <c r="AW114" s="1516">
        <f t="shared" si="317"/>
        <v>20.214305901043229</v>
      </c>
      <c r="AX114" s="1517">
        <f t="shared" si="318"/>
        <v>45.92611795204138</v>
      </c>
      <c r="AZ114" s="1536">
        <f>SUM(AZ110:AZ113)</f>
        <v>671.98599999999988</v>
      </c>
      <c r="BA114" s="1516">
        <f t="shared" si="319"/>
        <v>20.251778245641102</v>
      </c>
      <c r="BB114" s="1517">
        <f t="shared" si="320"/>
        <v>19.377165088557668</v>
      </c>
      <c r="BD114" s="1536">
        <f>SUM(BD110:BD113)</f>
        <v>759.32500000000005</v>
      </c>
      <c r="BE114" s="1516">
        <f t="shared" si="321"/>
        <v>20.249492845974785</v>
      </c>
      <c r="BF114" s="1517">
        <f t="shared" si="322"/>
        <v>12.997145773870322</v>
      </c>
      <c r="BH114" s="1536">
        <f>SUM(BH110:BH113)</f>
        <v>509.64500000000004</v>
      </c>
      <c r="BI114" s="1516">
        <f t="shared" si="323"/>
        <v>14.627917970343196</v>
      </c>
      <c r="BJ114" s="1517">
        <f t="shared" si="324"/>
        <v>-32.881835841043028</v>
      </c>
      <c r="BL114" s="1536">
        <f>SUM(BL110:BL113)</f>
        <v>152.70999999999995</v>
      </c>
      <c r="BM114" s="1516">
        <f t="shared" si="325"/>
        <v>5.2143924196508582</v>
      </c>
      <c r="BN114" s="1517">
        <f t="shared" si="326"/>
        <v>-70.036005454777353</v>
      </c>
      <c r="BP114" s="1536">
        <f>SUM(BP110:BP113)</f>
        <v>283.16999999999979</v>
      </c>
      <c r="BQ114" s="1516">
        <f t="shared" si="327"/>
        <v>8.1633982707444872</v>
      </c>
      <c r="BR114" s="1517">
        <f t="shared" si="328"/>
        <v>85.429899810097496</v>
      </c>
      <c r="BT114" s="1536">
        <f>SUM(BT110:BT113)</f>
        <v>342.88800000000026</v>
      </c>
      <c r="BU114" s="1516">
        <f t="shared" si="329"/>
        <v>8.2463496180188027</v>
      </c>
      <c r="BV114" s="1517">
        <f t="shared" si="330"/>
        <v>21.089098421443133</v>
      </c>
      <c r="BX114" s="1536">
        <f>SUM(BX110:BX113)</f>
        <v>374.34499999999997</v>
      </c>
      <c r="BY114" s="1516">
        <f t="shared" si="331"/>
        <v>8.2988513136790427</v>
      </c>
      <c r="BZ114" s="1517">
        <f t="shared" si="332"/>
        <v>9.174132661393708</v>
      </c>
      <c r="CA114" s="1517"/>
      <c r="CB114" s="1536">
        <f>SUM(CB110:CB113)</f>
        <v>216.14999999999984</v>
      </c>
      <c r="CC114" s="1516">
        <f t="shared" si="333"/>
        <v>5.2503135249679511</v>
      </c>
      <c r="CD114" s="1517">
        <f t="shared" si="334"/>
        <v>-42.259145974969655</v>
      </c>
      <c r="CE114" s="1611"/>
      <c r="CF114" s="1536">
        <f>SUM(CF110:CF113)</f>
        <v>177.34800000000013</v>
      </c>
      <c r="CG114" s="1516">
        <f t="shared" si="335"/>
        <v>4.7368210190623508</v>
      </c>
      <c r="CH114" s="1517">
        <f t="shared" si="336"/>
        <v>-17.951422623178225</v>
      </c>
      <c r="CI114" s="1611"/>
      <c r="CJ114" s="1536">
        <f>SUM(CJ110:CJ113)</f>
        <v>118.24140000000011</v>
      </c>
      <c r="CK114" s="1516">
        <f t="shared" si="337"/>
        <v>3.3603908283788266</v>
      </c>
      <c r="CL114" s="1517">
        <f t="shared" si="338"/>
        <v>-33.328033019825412</v>
      </c>
      <c r="CM114" s="1611"/>
      <c r="CN114" s="1536">
        <f>SUM(CN110:CN113)</f>
        <v>-15.40400000000006</v>
      </c>
      <c r="CO114" s="1516">
        <f t="shared" si="339"/>
        <v>-0.46303588498049325</v>
      </c>
      <c r="CP114" s="1517">
        <f t="shared" si="340"/>
        <v>-113.02758593859683</v>
      </c>
      <c r="CQ114" s="1611"/>
      <c r="CR114" s="1536">
        <f>SUM(CR110:CR113)</f>
        <v>83.891999999999911</v>
      </c>
      <c r="CS114" s="1516">
        <f t="shared" si="341"/>
        <v>2.4019308899444241</v>
      </c>
      <c r="CT114" s="1517" t="str">
        <f t="shared" si="342"/>
        <v xml:space="preserve">       NM</v>
      </c>
      <c r="CU114" s="1611"/>
      <c r="CV114" s="1536">
        <f>SUM(CV110:CV113)</f>
        <v>44.115972549058874</v>
      </c>
      <c r="CW114" s="1516">
        <f t="shared" si="343"/>
        <v>1.2576319470811252</v>
      </c>
      <c r="CX114" s="1517">
        <f t="shared" si="344"/>
        <v>-47.413373683952074</v>
      </c>
    </row>
    <row r="115" spans="1:104" ht="12.75" hidden="1" customHeight="1" outlineLevel="1">
      <c r="A115" s="114" t="str">
        <f>$A$15</f>
        <v>6 Mos</v>
      </c>
      <c r="D115" s="1537">
        <f>SUM(D110:D111)</f>
        <v>-5.3779999999999992</v>
      </c>
      <c r="E115" s="1516">
        <f t="shared" si="296"/>
        <v>-10.254747921592553</v>
      </c>
      <c r="H115" s="1537">
        <f>SUM(H110:H111)</f>
        <v>-4.2039999999999997</v>
      </c>
      <c r="I115" s="1516">
        <f t="shared" si="297"/>
        <v>-5.8352418627246854</v>
      </c>
      <c r="J115" s="1517" t="str">
        <f t="shared" si="298"/>
        <v xml:space="preserve">       NM</v>
      </c>
      <c r="L115" s="1537">
        <f>SUM(L110:L111)</f>
        <v>-1.1219999999999946</v>
      </c>
      <c r="M115" s="1516">
        <f t="shared" si="299"/>
        <v>-1.0345686070206772</v>
      </c>
      <c r="N115" s="1517" t="str">
        <f t="shared" si="300"/>
        <v xml:space="preserve">       NM</v>
      </c>
      <c r="P115" s="1537">
        <f>SUM(P110:P111)</f>
        <v>4.3680000000000039</v>
      </c>
      <c r="Q115" s="1516">
        <f t="shared" si="301"/>
        <v>2.7137851338253953</v>
      </c>
      <c r="R115" s="1517" t="str">
        <f t="shared" si="302"/>
        <v xml:space="preserve">       NM</v>
      </c>
      <c r="T115" s="1537">
        <f>SUM(T110:T111)</f>
        <v>28.176000000000005</v>
      </c>
      <c r="U115" s="1516">
        <f t="shared" si="303"/>
        <v>10.165418959141338</v>
      </c>
      <c r="V115" s="1517">
        <f t="shared" si="304"/>
        <v>545.0549450549446</v>
      </c>
      <c r="X115" s="1537">
        <f>SUM(X110:X111)</f>
        <v>56.372</v>
      </c>
      <c r="Y115" s="1516">
        <f t="shared" si="305"/>
        <v>14.731846524536527</v>
      </c>
      <c r="Z115" s="1517">
        <f t="shared" si="306"/>
        <v>100.07098239636565</v>
      </c>
      <c r="AB115" s="1537">
        <f>SUM(AB110:AB111)</f>
        <v>62.206000000000003</v>
      </c>
      <c r="AC115" s="1516">
        <f t="shared" si="307"/>
        <v>14.331957874559082</v>
      </c>
      <c r="AD115" s="1517">
        <f t="shared" si="308"/>
        <v>10.349109486979359</v>
      </c>
      <c r="AF115" s="1537">
        <f>SUM(AF110:AF111)</f>
        <v>74.840999999999994</v>
      </c>
      <c r="AG115" s="1516">
        <f t="shared" si="309"/>
        <v>13.762697776372018</v>
      </c>
      <c r="AH115" s="1517">
        <f t="shared" si="310"/>
        <v>20.311545510079387</v>
      </c>
      <c r="AJ115" s="1537">
        <f>SUM(AJ110:AJ111)</f>
        <v>87.334999999999923</v>
      </c>
      <c r="AK115" s="1516">
        <f t="shared" si="311"/>
        <v>13.604726877338583</v>
      </c>
      <c r="AL115" s="1517">
        <f t="shared" si="312"/>
        <v>16.694058069774485</v>
      </c>
      <c r="AN115" s="1537">
        <f>SUM(AN110:AN111)</f>
        <v>97.665999999999997</v>
      </c>
      <c r="AO115" s="1516">
        <f t="shared" si="313"/>
        <v>13.903801173336976</v>
      </c>
      <c r="AP115" s="1517">
        <f t="shared" si="314"/>
        <v>11.829163565580902</v>
      </c>
      <c r="AR115" s="1537">
        <f>SUM(AR110:AR111)</f>
        <v>117.82500000000005</v>
      </c>
      <c r="AS115" s="1516">
        <f t="shared" si="315"/>
        <v>14.487701592079446</v>
      </c>
      <c r="AT115" s="1517">
        <f t="shared" si="316"/>
        <v>20.640755226998198</v>
      </c>
      <c r="AV115" s="1537">
        <f>SUM(AV110:AV111)</f>
        <v>162.15599999999989</v>
      </c>
      <c r="AW115" s="1516">
        <f t="shared" si="317"/>
        <v>14.498914074647637</v>
      </c>
      <c r="AX115" s="1517">
        <f t="shared" si="318"/>
        <v>37.624443029917096</v>
      </c>
      <c r="AZ115" s="1537">
        <f>SUM(AZ110:AZ111)</f>
        <v>192.34499999999994</v>
      </c>
      <c r="BA115" s="1516">
        <f t="shared" si="319"/>
        <v>14.616247975823097</v>
      </c>
      <c r="BB115" s="1517">
        <f t="shared" si="320"/>
        <v>18.617257455783353</v>
      </c>
      <c r="BD115" s="1537">
        <f>SUM(BD110:BD111)</f>
        <v>224.696</v>
      </c>
      <c r="BE115" s="1516">
        <f t="shared" si="321"/>
        <v>14.525116552075442</v>
      </c>
      <c r="BF115" s="1517">
        <f t="shared" si="322"/>
        <v>16.819257064129587</v>
      </c>
      <c r="BH115" s="1537">
        <f>SUM(BH110:BH111)</f>
        <v>241.14800000000002</v>
      </c>
      <c r="BI115" s="1516">
        <f t="shared" si="323"/>
        <v>14.881664637378686</v>
      </c>
      <c r="BJ115" s="1517">
        <f t="shared" si="324"/>
        <v>7.3218926905685988</v>
      </c>
      <c r="BL115" s="1537">
        <f>SUM(BL110:BL111)</f>
        <v>-21.839999999999918</v>
      </c>
      <c r="BM115" s="1516">
        <f t="shared" si="325"/>
        <v>-1.7627830017353339</v>
      </c>
      <c r="BN115" s="1517">
        <f t="shared" si="326"/>
        <v>-109.05667888599528</v>
      </c>
      <c r="BP115" s="1537">
        <f>SUM(BP110:BP111)</f>
        <v>9.4159999999999258</v>
      </c>
      <c r="BQ115" s="1516">
        <f t="shared" si="327"/>
        <v>0.65680711940970549</v>
      </c>
      <c r="BR115" s="1517" t="str">
        <f t="shared" si="328"/>
        <v xml:space="preserve">       NM</v>
      </c>
      <c r="BT115" s="1537">
        <f>SUM(BT110:BT111)</f>
        <v>61.680000000000121</v>
      </c>
      <c r="BU115" s="1516">
        <f t="shared" si="329"/>
        <v>3.5176627389521333</v>
      </c>
      <c r="BV115" s="1517">
        <f t="shared" si="330"/>
        <v>555.05522514868949</v>
      </c>
      <c r="BX115" s="1537">
        <f>SUM(BX110:BX111)</f>
        <v>-6.5739999999999021</v>
      </c>
      <c r="BY115" s="1516">
        <f t="shared" si="331"/>
        <v>-0.35105800680861904</v>
      </c>
      <c r="BZ115" s="1517">
        <f t="shared" si="332"/>
        <v>-110.65823605706856</v>
      </c>
      <c r="CA115" s="1517"/>
      <c r="CB115" s="1537">
        <f>SUM(CB110:CB111)</f>
        <v>5.2589999999999026</v>
      </c>
      <c r="CC115" s="1516">
        <f t="shared" si="333"/>
        <v>0.29470984893527885</v>
      </c>
      <c r="CD115" s="1517" t="str">
        <f t="shared" si="334"/>
        <v xml:space="preserve">       NM</v>
      </c>
      <c r="CE115" s="1611"/>
      <c r="CF115" s="1537">
        <f>SUM(CF110:CF111)</f>
        <v>1.965999999999962</v>
      </c>
      <c r="CG115" s="1516">
        <f t="shared" si="335"/>
        <v>0.11476719946433968</v>
      </c>
      <c r="CH115" s="1517">
        <f t="shared" si="336"/>
        <v>-62.616467008937093</v>
      </c>
      <c r="CI115" s="1611"/>
      <c r="CJ115" s="1537">
        <f>SUM(CJ110:CJ111)</f>
        <v>-45.066599999999966</v>
      </c>
      <c r="CK115" s="1516">
        <f t="shared" si="337"/>
        <v>-2.9509723162591373</v>
      </c>
      <c r="CL115" s="1517">
        <f t="shared" si="338"/>
        <v>-2392.2990844354445</v>
      </c>
      <c r="CM115" s="1611"/>
      <c r="CN115" s="1537">
        <f>SUM(CN110:CN111)</f>
        <v>-80.889000000000038</v>
      </c>
      <c r="CO115" s="1516">
        <f t="shared" si="339"/>
        <v>-5.5077374147427278</v>
      </c>
      <c r="CP115" s="1517" t="str">
        <f t="shared" si="340"/>
        <v xml:space="preserve">       NM</v>
      </c>
      <c r="CQ115" s="1611"/>
      <c r="CR115" s="1537">
        <f>SUM(CR110:CR111)</f>
        <v>-93.103999999999928</v>
      </c>
      <c r="CS115" s="1516">
        <f t="shared" si="341"/>
        <v>-6.4636703183793571</v>
      </c>
      <c r="CT115" s="1517" t="str">
        <f t="shared" si="342"/>
        <v xml:space="preserve">       NM</v>
      </c>
      <c r="CU115" s="1611"/>
      <c r="CV115" s="1537">
        <f>SUM(CV110:CV111)</f>
        <v>-65.703066693381032</v>
      </c>
      <c r="CW115" s="1516">
        <f t="shared" si="343"/>
        <v>-4.2911003293169276</v>
      </c>
      <c r="CX115" s="1517" t="str">
        <f t="shared" si="344"/>
        <v xml:space="preserve">       NM</v>
      </c>
    </row>
    <row r="116" spans="1:104" ht="12.75" hidden="1" customHeight="1" outlineLevel="1">
      <c r="A116" s="114" t="str">
        <f>$A$16</f>
        <v>9 Mos</v>
      </c>
      <c r="D116" s="1537">
        <f>SUM(D110:D112)</f>
        <v>-6.0589999999999939</v>
      </c>
      <c r="E116" s="1516">
        <f t="shared" si="296"/>
        <v>-6.6561936986421699</v>
      </c>
      <c r="H116" s="1537">
        <f>SUM(H110:H112)</f>
        <v>-1.4770000000000003</v>
      </c>
      <c r="I116" s="1516">
        <f t="shared" si="297"/>
        <v>-1.1425963316236938</v>
      </c>
      <c r="J116" s="1517" t="str">
        <f t="shared" si="298"/>
        <v xml:space="preserve">       NM</v>
      </c>
      <c r="L116" s="1537">
        <f>SUM(L110:L112)</f>
        <v>6.7600000000000069</v>
      </c>
      <c r="M116" s="1516">
        <f t="shared" si="299"/>
        <v>3.4465353652256852</v>
      </c>
      <c r="N116" s="1517" t="str">
        <f t="shared" si="300"/>
        <v xml:space="preserve">       NM</v>
      </c>
      <c r="P116" s="1537">
        <f>SUM(P110:P112)</f>
        <v>21.700999999999993</v>
      </c>
      <c r="Q116" s="1516">
        <f t="shared" si="301"/>
        <v>7.0122660531485872</v>
      </c>
      <c r="R116" s="1517">
        <f t="shared" si="302"/>
        <v>221.02071005917119</v>
      </c>
      <c r="T116" s="1537">
        <f>SUM(T110:T112)</f>
        <v>69.73899999999999</v>
      </c>
      <c r="U116" s="1516">
        <f t="shared" si="303"/>
        <v>13.807105593997166</v>
      </c>
      <c r="V116" s="1517">
        <f t="shared" si="304"/>
        <v>221.36307082622926</v>
      </c>
      <c r="X116" s="1537">
        <f>SUM(X110:X112)</f>
        <v>121.46599999999999</v>
      </c>
      <c r="Y116" s="1516">
        <f t="shared" si="305"/>
        <v>18.206318086707316</v>
      </c>
      <c r="Z116" s="1517">
        <f t="shared" si="306"/>
        <v>74.17227089576852</v>
      </c>
      <c r="AB116" s="1537">
        <f>SUM(AB110:AB112)</f>
        <v>134.858</v>
      </c>
      <c r="AC116" s="1516">
        <f t="shared" si="307"/>
        <v>16.896132224281125</v>
      </c>
      <c r="AD116" s="1517">
        <f t="shared" si="308"/>
        <v>11.02530749345496</v>
      </c>
      <c r="AF116" s="1537">
        <f>SUM(AF110:AF112)</f>
        <v>146.73400000000004</v>
      </c>
      <c r="AG116" s="1516">
        <f t="shared" si="309"/>
        <v>16.335195804374862</v>
      </c>
      <c r="AH116" s="1517">
        <f t="shared" si="310"/>
        <v>8.8062999599578973</v>
      </c>
      <c r="AJ116" s="1537">
        <f>SUM(AJ110:AJ112)</f>
        <v>163.94599999999994</v>
      </c>
      <c r="AK116" s="1516">
        <f t="shared" si="311"/>
        <v>15.44802242585569</v>
      </c>
      <c r="AL116" s="1517">
        <f t="shared" si="312"/>
        <v>11.730069377240371</v>
      </c>
      <c r="AN116" s="1537">
        <f>SUM(AN110:AN112)</f>
        <v>179.00099999999992</v>
      </c>
      <c r="AO116" s="1516">
        <f t="shared" si="313"/>
        <v>15.600303289118186</v>
      </c>
      <c r="AP116" s="1517">
        <f t="shared" si="314"/>
        <v>9.1829016871408875</v>
      </c>
      <c r="AR116" s="1537">
        <f>SUM(AR110:AR112)</f>
        <v>214.27600000000012</v>
      </c>
      <c r="AS116" s="1516">
        <f t="shared" si="315"/>
        <v>16.062668665667175</v>
      </c>
      <c r="AT116" s="1517">
        <f t="shared" si="316"/>
        <v>19.706593817911756</v>
      </c>
      <c r="AV116" s="1537">
        <f>SUM(AV110:AV112)</f>
        <v>293.04599999999988</v>
      </c>
      <c r="AW116" s="1516">
        <f t="shared" si="317"/>
        <v>16.072119031283055</v>
      </c>
      <c r="AX116" s="1517">
        <f t="shared" si="318"/>
        <v>36.760999831992258</v>
      </c>
      <c r="AZ116" s="1537">
        <f>SUM(AZ110:AZ112)</f>
        <v>358.43799999999987</v>
      </c>
      <c r="BA116" s="1516">
        <f t="shared" si="319"/>
        <v>16.446523493689817</v>
      </c>
      <c r="BB116" s="1517">
        <f t="shared" si="320"/>
        <v>22.314585423448886</v>
      </c>
      <c r="BD116" s="1537">
        <f>SUM(BD110:BD112)</f>
        <v>415.90099999999995</v>
      </c>
      <c r="BE116" s="1516">
        <f t="shared" si="321"/>
        <v>16.498259733315138</v>
      </c>
      <c r="BF116" s="1517">
        <f t="shared" si="322"/>
        <v>16.031503356229003</v>
      </c>
      <c r="BH116" s="1537">
        <f>SUM(BH110:BH112)</f>
        <v>351.42700000000008</v>
      </c>
      <c r="BI116" s="1516">
        <f t="shared" si="323"/>
        <v>14.038840738113045</v>
      </c>
      <c r="BJ116" s="1517">
        <f t="shared" si="324"/>
        <v>-15.50224692895662</v>
      </c>
      <c r="BL116" s="1537">
        <f>SUM(BL110:BL112)</f>
        <v>25.166000000000032</v>
      </c>
      <c r="BM116" s="1516">
        <f t="shared" si="325"/>
        <v>1.2629514501910553</v>
      </c>
      <c r="BN116" s="1517">
        <f t="shared" si="326"/>
        <v>-92.838911068301528</v>
      </c>
      <c r="BP116" s="1537">
        <f>SUM(BP110:BP112)</f>
        <v>87.121999999999971</v>
      </c>
      <c r="BQ116" s="1516">
        <f t="shared" si="327"/>
        <v>3.7562624494476955</v>
      </c>
      <c r="BR116" s="1517">
        <f t="shared" si="328"/>
        <v>246.18930302789423</v>
      </c>
      <c r="BT116" s="1537">
        <f>SUM(BT110:BT112)</f>
        <v>150.53000000000009</v>
      </c>
      <c r="BU116" s="1516">
        <f t="shared" si="329"/>
        <v>5.320410434691639</v>
      </c>
      <c r="BV116" s="1517">
        <f t="shared" si="330"/>
        <v>72.780698331076124</v>
      </c>
      <c r="BX116" s="1537">
        <f>SUM(BX110:BX112)</f>
        <v>125.18700000000001</v>
      </c>
      <c r="BY116" s="1516">
        <f t="shared" si="331"/>
        <v>4.114915356079039</v>
      </c>
      <c r="BZ116" s="1517">
        <f t="shared" si="332"/>
        <v>-16.835846675081424</v>
      </c>
      <c r="CA116" s="1517"/>
      <c r="CB116" s="1537">
        <f>SUM(CB110:CB112)</f>
        <v>64.102999999999923</v>
      </c>
      <c r="CC116" s="1516">
        <f t="shared" si="333"/>
        <v>2.2749630912497842</v>
      </c>
      <c r="CD116" s="1517">
        <f t="shared" si="334"/>
        <v>-48.794203871009032</v>
      </c>
      <c r="CE116" s="1611"/>
      <c r="CF116" s="1537">
        <f>SUM(CF110:CF112)</f>
        <v>50.027999999999977</v>
      </c>
      <c r="CG116" s="1516">
        <f t="shared" si="335"/>
        <v>1.9062018238999934</v>
      </c>
      <c r="CH116" s="1517">
        <f t="shared" si="336"/>
        <v>-21.95685069341523</v>
      </c>
      <c r="CI116" s="1611"/>
      <c r="CJ116" s="1537">
        <f>SUM(CJ110:CJ112)</f>
        <v>1.4234000000000151</v>
      </c>
      <c r="CK116" s="1516">
        <f t="shared" si="337"/>
        <v>5.9166580068586314E-2</v>
      </c>
      <c r="CL116" s="1517">
        <f t="shared" si="338"/>
        <v>-97.154793315743149</v>
      </c>
      <c r="CM116" s="1611"/>
      <c r="CN116" s="1537">
        <f>SUM(CN110:CN112)</f>
        <v>-71.853000000000009</v>
      </c>
      <c r="CO116" s="1516">
        <f t="shared" si="339"/>
        <v>-3.1371691210660955</v>
      </c>
      <c r="CP116" s="1517">
        <f t="shared" si="340"/>
        <v>-5147.9837009975581</v>
      </c>
      <c r="CQ116" s="1611"/>
      <c r="CR116" s="1537">
        <f>SUM(CR110:CR112)</f>
        <v>-60.385000000000012</v>
      </c>
      <c r="CS116" s="1516">
        <f t="shared" si="341"/>
        <v>-2.6259691102363441</v>
      </c>
      <c r="CT116" s="1517" t="str">
        <f t="shared" si="342"/>
        <v xml:space="preserve">       NM</v>
      </c>
      <c r="CU116" s="1611"/>
      <c r="CV116" s="1537">
        <f>SUM(CV110:CV112)</f>
        <v>-35.116370387941053</v>
      </c>
      <c r="CW116" s="1516">
        <f t="shared" si="343"/>
        <v>-1.4661513555057837</v>
      </c>
      <c r="CX116" s="1517" t="str">
        <f t="shared" si="344"/>
        <v xml:space="preserve">       NM</v>
      </c>
    </row>
    <row r="117" spans="1:104" collapsed="1">
      <c r="BT117" s="114"/>
      <c r="BU117" s="114"/>
      <c r="BV117" s="114"/>
      <c r="BX117" s="114"/>
      <c r="BY117" s="114"/>
      <c r="BZ117" s="114"/>
      <c r="CA117" s="114"/>
      <c r="CB117" s="1556"/>
      <c r="CC117" s="200"/>
      <c r="CD117" s="200"/>
      <c r="CE117" s="200"/>
      <c r="CF117" s="200"/>
      <c r="CG117" s="200"/>
      <c r="CH117" s="200"/>
      <c r="CI117" s="200"/>
      <c r="CJ117" s="200"/>
      <c r="CK117" s="200"/>
      <c r="CL117" s="200"/>
      <c r="CM117" s="200"/>
      <c r="CN117" s="200"/>
      <c r="CO117" s="200"/>
      <c r="CP117" s="200"/>
      <c r="CQ117" s="200"/>
      <c r="CR117" s="200"/>
      <c r="CS117" s="200"/>
      <c r="CT117" s="200"/>
      <c r="CU117" s="200"/>
      <c r="CV117" s="200"/>
      <c r="CW117" s="200"/>
      <c r="CX117" s="200"/>
    </row>
    <row r="118" spans="1:104">
      <c r="C118" s="313"/>
      <c r="D118" s="1531"/>
      <c r="H118" s="1532"/>
      <c r="I118" s="1533"/>
      <c r="J118" s="1533"/>
      <c r="K118" s="1533"/>
      <c r="L118" s="1532"/>
      <c r="M118" s="1533"/>
      <c r="N118" s="1533"/>
      <c r="O118" s="1533"/>
      <c r="P118" s="1532"/>
      <c r="Q118" s="1533"/>
      <c r="R118" s="1533"/>
      <c r="S118" s="1533"/>
      <c r="T118" s="1532"/>
      <c r="U118" s="1533"/>
      <c r="V118" s="1533"/>
      <c r="W118" s="1533"/>
      <c r="Y118" s="1533"/>
      <c r="Z118" s="1533"/>
      <c r="AA118" s="1533"/>
      <c r="AC118" s="1533"/>
      <c r="AD118" s="1533"/>
      <c r="AE118" s="1533"/>
      <c r="AF118" s="1532"/>
      <c r="AG118" s="1533"/>
      <c r="AH118" s="1533"/>
      <c r="AI118" s="1533"/>
      <c r="AK118" s="1533"/>
      <c r="AL118" s="1533"/>
      <c r="AM118" s="1533"/>
      <c r="AN118" s="1532"/>
      <c r="AO118" s="1533"/>
      <c r="AP118" s="1533"/>
      <c r="AQ118" s="1533"/>
      <c r="AS118" s="1533"/>
      <c r="AT118" s="1533"/>
      <c r="AU118" s="1533"/>
      <c r="AV118" s="1532"/>
      <c r="AW118" s="1533"/>
      <c r="AX118" s="1533"/>
      <c r="AY118" s="1533"/>
      <c r="AZ118" s="1532"/>
      <c r="BA118" s="1533"/>
      <c r="BB118" s="1533"/>
      <c r="BC118" s="1533"/>
      <c r="BD118" s="1532"/>
      <c r="BE118" s="1533"/>
      <c r="BF118" s="1533"/>
      <c r="BG118" s="1533"/>
      <c r="BH118" s="1532"/>
      <c r="BI118" s="22"/>
      <c r="BJ118" s="1533"/>
      <c r="BK118" s="1533"/>
      <c r="BL118" s="1532"/>
      <c r="BM118" s="1533"/>
      <c r="BN118" s="1533"/>
      <c r="BO118" s="1533"/>
      <c r="BP118" s="1532"/>
      <c r="BQ118" s="1533"/>
      <c r="BR118" s="1533"/>
      <c r="BS118" s="1534"/>
      <c r="BT118" s="1532"/>
      <c r="BU118" s="1533"/>
      <c r="BW118" s="1534"/>
      <c r="BX118" s="1532"/>
      <c r="BY118" s="1533"/>
      <c r="BZ118" s="1533"/>
      <c r="CA118" s="1533"/>
      <c r="CB118" s="200"/>
      <c r="CC118" s="200"/>
      <c r="CD118" s="200"/>
      <c r="CE118" s="1532" t="s">
        <v>596</v>
      </c>
      <c r="CF118" s="200"/>
      <c r="CG118" s="200"/>
      <c r="CH118" s="200"/>
      <c r="CI118" s="200"/>
      <c r="CJ118" s="200"/>
      <c r="CK118" s="200"/>
      <c r="CL118" s="200"/>
      <c r="CM118" s="200"/>
      <c r="CN118" s="200"/>
      <c r="CO118" s="200"/>
      <c r="CP118" s="200"/>
      <c r="CQ118" s="200"/>
      <c r="CR118" s="2016"/>
      <c r="CS118" s="200"/>
      <c r="CT118" s="200"/>
      <c r="CU118" s="200"/>
      <c r="CV118" s="2016"/>
      <c r="CW118" s="200"/>
      <c r="CX118" s="200"/>
      <c r="CY118" s="2167"/>
    </row>
    <row r="119" spans="1:104">
      <c r="BI119" s="1560"/>
      <c r="BM119" s="1560"/>
      <c r="BQ119" s="1560"/>
      <c r="BT119" s="114"/>
      <c r="BU119" s="1560"/>
      <c r="BV119" s="114"/>
      <c r="BX119" s="114"/>
      <c r="BY119" s="1560"/>
      <c r="BZ119" s="114"/>
      <c r="CA119" s="114"/>
      <c r="CB119" s="200"/>
      <c r="CC119" s="200"/>
      <c r="CD119" s="200"/>
      <c r="CE119" s="200"/>
      <c r="CF119" s="200"/>
      <c r="CG119" s="200"/>
      <c r="CH119" s="200"/>
      <c r="CI119" s="200"/>
      <c r="CJ119" s="200"/>
      <c r="CK119" s="200"/>
      <c r="CL119" s="200"/>
      <c r="CM119" s="200"/>
      <c r="CN119" s="200"/>
      <c r="CO119" s="200"/>
      <c r="CP119" s="200"/>
      <c r="CQ119" s="200"/>
      <c r="CR119" s="200"/>
      <c r="CS119" s="200"/>
      <c r="CT119" s="200"/>
      <c r="CU119" s="200"/>
      <c r="CV119" s="200"/>
      <c r="CW119" s="200"/>
      <c r="CX119" s="200"/>
    </row>
    <row r="120" spans="1:104">
      <c r="A120" s="114" t="str">
        <f>$A$10</f>
        <v>1Q</v>
      </c>
      <c r="B120" s="114" t="str">
        <f>$B$10</f>
        <v>Apr</v>
      </c>
      <c r="D120" s="1541">
        <v>-1.29</v>
      </c>
      <c r="E120" s="1516">
        <f>D120/D110*100</f>
        <v>39.950449055435129</v>
      </c>
      <c r="F120" s="1057"/>
      <c r="H120" s="1541">
        <v>-1.25</v>
      </c>
      <c r="I120" s="1516">
        <f t="shared" ref="I120:I126" si="345">H120/H110*100</f>
        <v>40.012804097311147</v>
      </c>
      <c r="J120" s="1057"/>
      <c r="L120" s="1541">
        <v>-0.64</v>
      </c>
      <c r="M120" s="1516">
        <f t="shared" ref="M120:M126" si="346">L120/L110*100</f>
        <v>40.12539184952994</v>
      </c>
      <c r="N120" s="1057"/>
      <c r="P120" s="1541">
        <v>0.38</v>
      </c>
      <c r="Q120" s="1516">
        <f t="shared" ref="Q120:Q126" si="347">P120/P110*100</f>
        <v>40.211640211640038</v>
      </c>
      <c r="R120" s="1057"/>
      <c r="T120" s="1541">
        <v>4.2</v>
      </c>
      <c r="U120" s="1516">
        <f t="shared" ref="U120:U126" si="348">T120/T110*100</f>
        <v>39.969547011800536</v>
      </c>
      <c r="V120" s="1057"/>
      <c r="W120" s="1057"/>
      <c r="X120" s="1541">
        <v>9.968</v>
      </c>
      <c r="Y120" s="1516">
        <f t="shared" ref="Y120:Y126" si="349">X120/X110*100</f>
        <v>39.98235128955919</v>
      </c>
      <c r="AB120" s="1541">
        <v>10.78</v>
      </c>
      <c r="AC120" s="1516">
        <f t="shared" ref="AC120:AC126" si="350">AB120/AB110*100</f>
        <v>40.010392309690843</v>
      </c>
      <c r="AF120" s="1541">
        <v>13.18</v>
      </c>
      <c r="AG120" s="1516">
        <f t="shared" ref="AG120:AG126" si="351">AF120/AF110*100</f>
        <v>39.013705117958736</v>
      </c>
      <c r="AJ120" s="1541">
        <v>14.446999999999999</v>
      </c>
      <c r="AK120" s="1516">
        <f t="shared" ref="AK120:AK126" si="352">AJ120/AJ110*100</f>
        <v>38.473010039679409</v>
      </c>
      <c r="AN120" s="1541">
        <v>15.885999999999999</v>
      </c>
      <c r="AO120" s="1516">
        <f t="shared" ref="AO120:AO126" si="353">AN120/AN110*100</f>
        <v>38.122435266732282</v>
      </c>
      <c r="AR120" s="1541">
        <v>18.39</v>
      </c>
      <c r="AS120" s="1516">
        <f>AR120/AR110*100</f>
        <v>38.549418299968558</v>
      </c>
      <c r="AV120" s="1541">
        <v>29.15</v>
      </c>
      <c r="AW120" s="1516">
        <f t="shared" ref="AW120:AW126" si="354">AV120/AV110*100</f>
        <v>41.937015350530189</v>
      </c>
      <c r="AZ120" s="1541">
        <v>30.911000000000001</v>
      </c>
      <c r="BA120" s="1516">
        <f t="shared" ref="BA120:BA126" si="355">AZ120/AZ110*100</f>
        <v>35.468325090934137</v>
      </c>
      <c r="BD120" s="1541">
        <v>36.340000000000003</v>
      </c>
      <c r="BE120" s="1516">
        <f t="shared" ref="BE120:BE126" si="356">BD120/BD110*100</f>
        <v>37.688885201356555</v>
      </c>
      <c r="BH120" s="1541">
        <v>39.380000000000003</v>
      </c>
      <c r="BI120" s="1516">
        <f t="shared" ref="BI120:BI126" si="357">BH120/BH110*100</f>
        <v>36.959174096668221</v>
      </c>
      <c r="BL120" s="1541">
        <v>-9.4</v>
      </c>
      <c r="BM120" s="1516">
        <f t="shared" ref="BM120:BM126" si="358">BL120/BL110*100</f>
        <v>28.918627903399553</v>
      </c>
      <c r="BP120" s="1541">
        <v>-7.7089999999999996</v>
      </c>
      <c r="BQ120" s="1516">
        <f t="shared" ref="BQ120:BQ126" si="359">BP120/BP110*100</f>
        <v>39.458463428366628</v>
      </c>
      <c r="BT120" s="1588">
        <v>7.468</v>
      </c>
      <c r="BU120" s="1516">
        <f t="shared" ref="BU120:BU126" si="360">BT120/BT110*100</f>
        <v>36.848078156609176</v>
      </c>
      <c r="BV120" s="114"/>
      <c r="BX120" s="1588">
        <v>-8.7289999999999992</v>
      </c>
      <c r="BY120" s="1516">
        <f t="shared" ref="BY120:BY126" si="361">BX120/BX110*100</f>
        <v>29.06372777518812</v>
      </c>
      <c r="BZ120" s="114"/>
      <c r="CA120" s="114"/>
      <c r="CB120" s="1544">
        <v>-8.3460000000000001</v>
      </c>
      <c r="CC120" s="1516">
        <f t="shared" ref="CC120:CC126" si="362">CB120/CB110*100</f>
        <v>56.656031498200889</v>
      </c>
      <c r="CD120" s="200"/>
      <c r="CE120" s="200"/>
      <c r="CF120" s="1536">
        <v>-4.9260000000000002</v>
      </c>
      <c r="CG120" s="1516">
        <f t="shared" ref="CG120:CG126" si="363">CF120/CF110*100</f>
        <v>27.534935718278291</v>
      </c>
      <c r="CH120" s="200"/>
      <c r="CI120" s="200"/>
      <c r="CJ120" s="1536">
        <f>-31.59+11.782</f>
        <v>-19.808</v>
      </c>
      <c r="CK120" s="1516">
        <f t="shared" ref="CK120:CK126" si="364">CJ120/CJ110*100</f>
        <v>34.758438677887845</v>
      </c>
      <c r="CL120" s="200"/>
      <c r="CM120" s="200"/>
      <c r="CN120" s="1536">
        <v>-20.786999999999999</v>
      </c>
      <c r="CO120" s="1516">
        <f t="shared" ref="CO120:CO126" si="365">CN120/CN110*100</f>
        <v>34.984936970900556</v>
      </c>
      <c r="CP120" s="200"/>
      <c r="CQ120" s="200"/>
      <c r="CR120" s="1536">
        <v>-13.052</v>
      </c>
      <c r="CS120" s="1516">
        <f t="shared" ref="CS120:CS126" si="366">CR120/CR110*100</f>
        <v>17.623310514305789</v>
      </c>
      <c r="CT120" s="200"/>
      <c r="CU120" s="200"/>
      <c r="CV120" s="2175">
        <f t="shared" ref="CV120:CV121" si="367">(CW120/100)*CV110</f>
        <v>-6.3925439120005043</v>
      </c>
      <c r="CW120" s="2194">
        <v>10</v>
      </c>
      <c r="CX120" s="200"/>
      <c r="CZ120" s="1562"/>
    </row>
    <row r="121" spans="1:104">
      <c r="A121" s="114" t="str">
        <f>$A$11</f>
        <v>2Q</v>
      </c>
      <c r="B121" s="114" t="str">
        <f>$B$11</f>
        <v>Jul</v>
      </c>
      <c r="D121" s="1547">
        <v>-0.86</v>
      </c>
      <c r="E121" s="1516">
        <f>D121/D111*100</f>
        <v>40.01861330851559</v>
      </c>
      <c r="H121" s="1547">
        <v>-0.43</v>
      </c>
      <c r="I121" s="1516">
        <f t="shared" si="345"/>
        <v>39.814814814814802</v>
      </c>
      <c r="L121" s="1547">
        <v>0.19</v>
      </c>
      <c r="M121" s="1516">
        <f t="shared" si="346"/>
        <v>40.169133192389076</v>
      </c>
      <c r="P121" s="1547">
        <v>1.37</v>
      </c>
      <c r="Q121" s="1516">
        <f t="shared" si="347"/>
        <v>40.023371311714875</v>
      </c>
      <c r="T121" s="1547">
        <v>7.07</v>
      </c>
      <c r="U121" s="1516">
        <f t="shared" si="348"/>
        <v>40.01584786053882</v>
      </c>
      <c r="X121" s="1547">
        <v>12.583</v>
      </c>
      <c r="Y121" s="1516">
        <f t="shared" si="349"/>
        <v>40.020991698737312</v>
      </c>
      <c r="AB121" s="1547">
        <v>14.1</v>
      </c>
      <c r="AC121" s="1516">
        <f t="shared" si="350"/>
        <v>39.9852536653149</v>
      </c>
      <c r="AF121" s="1547">
        <v>16.02</v>
      </c>
      <c r="AG121" s="1516">
        <f t="shared" si="351"/>
        <v>39.0179745725559</v>
      </c>
      <c r="AJ121" s="1632">
        <v>18.952999999999999</v>
      </c>
      <c r="AK121" s="1516">
        <f>AJ121/AJ111*100</f>
        <v>38.070464406234962</v>
      </c>
      <c r="AN121" s="1632">
        <v>21.466999999999999</v>
      </c>
      <c r="AO121" s="1516">
        <f t="shared" si="353"/>
        <v>38.337351549245454</v>
      </c>
      <c r="AR121" s="1632">
        <v>27.231999999999999</v>
      </c>
      <c r="AS121" s="1516">
        <f t="shared" ref="AS121:AS126" si="368">AR121/AR111*100</f>
        <v>38.836280661722732</v>
      </c>
      <c r="AV121" s="1632">
        <v>35.246000000000002</v>
      </c>
      <c r="AW121" s="1516">
        <f t="shared" si="354"/>
        <v>38.043325741794135</v>
      </c>
      <c r="AX121" s="1182"/>
      <c r="AZ121" s="1547">
        <v>39.472000000000001</v>
      </c>
      <c r="BA121" s="1516">
        <f t="shared" si="355"/>
        <v>37.523052645588159</v>
      </c>
      <c r="BD121" s="1547">
        <v>47</v>
      </c>
      <c r="BE121" s="1516">
        <f t="shared" si="356"/>
        <v>36.640031183005263</v>
      </c>
      <c r="BF121" s="1560"/>
      <c r="BH121" s="1547">
        <v>51.360999999999997</v>
      </c>
      <c r="BI121" s="1516">
        <f t="shared" si="357"/>
        <v>38.158813652505977</v>
      </c>
      <c r="BJ121" s="1560"/>
      <c r="BL121" s="1547">
        <v>18.856000000000002</v>
      </c>
      <c r="BM121" s="1516">
        <f t="shared" si="358"/>
        <v>176.8026254102204</v>
      </c>
      <c r="BN121" s="1560"/>
      <c r="BP121" s="1547">
        <f>7.274+0.41228</f>
        <v>7.68628</v>
      </c>
      <c r="BQ121" s="1516">
        <f t="shared" si="359"/>
        <v>26.547438952785591</v>
      </c>
      <c r="BR121" s="1560"/>
      <c r="BT121" s="1547">
        <v>13.493</v>
      </c>
      <c r="BU121" s="1516">
        <f t="shared" si="360"/>
        <v>32.581556516069774</v>
      </c>
      <c r="BV121" s="1560"/>
      <c r="BX121" s="1547">
        <v>6.4089999999999998</v>
      </c>
      <c r="BY121" s="1516">
        <f t="shared" si="361"/>
        <v>27.318840579710034</v>
      </c>
      <c r="BZ121" s="1560"/>
      <c r="CA121" s="1560"/>
      <c r="CB121" s="1547">
        <v>6.9749999999999996</v>
      </c>
      <c r="CC121" s="1516">
        <f t="shared" si="362"/>
        <v>34.892446223111641</v>
      </c>
      <c r="CD121" s="200"/>
      <c r="CE121" s="200"/>
      <c r="CF121" s="1633">
        <v>5.7939999999999996</v>
      </c>
      <c r="CG121" s="1516">
        <f t="shared" si="363"/>
        <v>29.180096696212708</v>
      </c>
      <c r="CH121" s="200"/>
      <c r="CI121" s="200"/>
      <c r="CJ121" s="1633">
        <v>1.9019999999999999</v>
      </c>
      <c r="CK121" s="1516">
        <f t="shared" si="364"/>
        <v>15.955037329083144</v>
      </c>
      <c r="CL121" s="200"/>
      <c r="CM121" s="200"/>
      <c r="CN121" s="1536">
        <v>-5.7619999999999996</v>
      </c>
      <c r="CO121" s="1516">
        <f t="shared" si="365"/>
        <v>26.834947839046201</v>
      </c>
      <c r="CP121" s="200"/>
      <c r="CQ121" s="200"/>
      <c r="CR121" s="1536">
        <v>-8.9529999999999994</v>
      </c>
      <c r="CS121" s="1516">
        <f t="shared" si="366"/>
        <v>47.01465105288036</v>
      </c>
      <c r="CT121" s="200"/>
      <c r="CU121" s="200"/>
      <c r="CV121" s="2175">
        <f t="shared" si="367"/>
        <v>-0.51551199627903987</v>
      </c>
      <c r="CW121" s="2194">
        <v>29</v>
      </c>
      <c r="CX121" s="200"/>
      <c r="CZ121" s="1562"/>
    </row>
    <row r="122" spans="1:104">
      <c r="A122" s="114" t="str">
        <f>$A$12</f>
        <v>3Q</v>
      </c>
      <c r="B122" s="114" t="str">
        <f>$B$12</f>
        <v>Oct</v>
      </c>
      <c r="D122" s="1547">
        <v>-0.27</v>
      </c>
      <c r="E122" s="1516">
        <f>D122/D112*100</f>
        <v>39.64757709251132</v>
      </c>
      <c r="H122" s="1547">
        <v>1.0900000000000001</v>
      </c>
      <c r="I122" s="1516">
        <f t="shared" si="345"/>
        <v>39.970663733039977</v>
      </c>
      <c r="L122" s="1547">
        <v>3.15</v>
      </c>
      <c r="M122" s="1516">
        <f t="shared" si="346"/>
        <v>39.964476021314375</v>
      </c>
      <c r="P122" s="1547">
        <v>6.93</v>
      </c>
      <c r="Q122" s="1516">
        <f t="shared" si="347"/>
        <v>39.981538106502072</v>
      </c>
      <c r="T122" s="1547">
        <v>16.62</v>
      </c>
      <c r="U122" s="1516">
        <f t="shared" si="348"/>
        <v>39.987488872314337</v>
      </c>
      <c r="X122" s="1547">
        <v>26.035</v>
      </c>
      <c r="Y122" s="1516">
        <f t="shared" si="349"/>
        <v>39.996005776262024</v>
      </c>
      <c r="AB122" s="1547">
        <v>29.06</v>
      </c>
      <c r="AC122" s="1516">
        <f t="shared" si="350"/>
        <v>39.998898860320423</v>
      </c>
      <c r="AF122" s="1547">
        <v>28.03</v>
      </c>
      <c r="AG122" s="1516">
        <f t="shared" si="351"/>
        <v>38.988496793846394</v>
      </c>
      <c r="AJ122" s="1547">
        <v>29.335999999999999</v>
      </c>
      <c r="AK122" s="1516">
        <f t="shared" si="352"/>
        <v>38.292151257652286</v>
      </c>
      <c r="AN122" s="1547">
        <v>31.401</v>
      </c>
      <c r="AO122" s="1516">
        <f t="shared" si="353"/>
        <v>38.606995758283666</v>
      </c>
      <c r="AR122" s="1547">
        <f>23.64+12.2</f>
        <v>35.840000000000003</v>
      </c>
      <c r="AS122" s="1516">
        <f t="shared" si="368"/>
        <v>37.15876455402222</v>
      </c>
      <c r="AT122" s="1631"/>
      <c r="AV122" s="1547">
        <f>45.79+(13.5*0.39)</f>
        <v>51.055</v>
      </c>
      <c r="AW122" s="1516">
        <f t="shared" si="354"/>
        <v>39.006035602414244</v>
      </c>
      <c r="AX122" s="1560"/>
      <c r="AZ122" s="1547">
        <v>64.061999999999998</v>
      </c>
      <c r="BA122" s="1516">
        <f t="shared" si="355"/>
        <v>38.569957794729469</v>
      </c>
      <c r="BD122" s="1547">
        <v>73.62</v>
      </c>
      <c r="BE122" s="1516">
        <f t="shared" si="356"/>
        <v>38.503177218169</v>
      </c>
      <c r="BH122" s="1547">
        <v>40.536000000000001</v>
      </c>
      <c r="BI122" s="1516">
        <f t="shared" si="357"/>
        <v>36.757678252432449</v>
      </c>
      <c r="BL122" s="1547">
        <v>-2.2170000000000001</v>
      </c>
      <c r="BM122" s="1516">
        <f t="shared" si="358"/>
        <v>-4.7164191805301501</v>
      </c>
      <c r="BP122" s="1547">
        <v>27.666</v>
      </c>
      <c r="BQ122" s="1516">
        <f t="shared" si="359"/>
        <v>35.603428306694447</v>
      </c>
      <c r="BT122" s="1547">
        <v>32.057000000000002</v>
      </c>
      <c r="BU122" s="1516">
        <f t="shared" si="360"/>
        <v>36.079909960607779</v>
      </c>
      <c r="BV122" s="114"/>
      <c r="BX122" s="1547">
        <v>47.725000000000001</v>
      </c>
      <c r="BY122" s="1516">
        <f t="shared" si="361"/>
        <v>36.22088478381314</v>
      </c>
      <c r="BZ122" s="114"/>
      <c r="CA122" s="114"/>
      <c r="CB122" s="1547">
        <f>+-21.381+39.58</f>
        <v>18.198999999999998</v>
      </c>
      <c r="CC122" s="1516">
        <f t="shared" si="362"/>
        <v>30.927537217048449</v>
      </c>
      <c r="CD122" s="200"/>
      <c r="CE122" s="200"/>
      <c r="CF122" s="1634">
        <v>17.655999999999999</v>
      </c>
      <c r="CG122" s="1516">
        <f t="shared" si="363"/>
        <v>36.735882818026703</v>
      </c>
      <c r="CH122" s="200"/>
      <c r="CI122" s="200"/>
      <c r="CJ122" s="1634">
        <f>+-5.881+19.06</f>
        <v>13.178999999999998</v>
      </c>
      <c r="CK122" s="1516">
        <f t="shared" si="364"/>
        <v>28.348031834803194</v>
      </c>
      <c r="CL122" s="200"/>
      <c r="CM122" s="200"/>
      <c r="CN122" s="2041">
        <v>7.2409999999999997</v>
      </c>
      <c r="CO122" s="1516">
        <f t="shared" si="365"/>
        <v>80.135015493580923</v>
      </c>
      <c r="CP122" s="200"/>
      <c r="CQ122" s="200"/>
      <c r="CR122" s="2241">
        <v>11.67</v>
      </c>
      <c r="CS122" s="2242">
        <f t="shared" si="366"/>
        <v>35.66734924661521</v>
      </c>
      <c r="CT122" s="200"/>
      <c r="CU122" s="200"/>
      <c r="CV122" s="2206">
        <f>(CW122/100)*CV112</f>
        <v>8.2584080024687943</v>
      </c>
      <c r="CW122" s="2054">
        <v>27</v>
      </c>
      <c r="CX122" s="200"/>
    </row>
    <row r="123" spans="1:104">
      <c r="A123" s="114" t="str">
        <f>$A$13</f>
        <v>4Q</v>
      </c>
      <c r="B123" s="114" t="str">
        <f>$B$13</f>
        <v>Jan</v>
      </c>
      <c r="C123" s="310"/>
      <c r="D123" s="1551">
        <v>5.82</v>
      </c>
      <c r="E123" s="1516">
        <f>D123/D113*100</f>
        <v>40.033016921172084</v>
      </c>
      <c r="H123" s="1551">
        <v>7.82</v>
      </c>
      <c r="I123" s="1516">
        <f t="shared" si="345"/>
        <v>40.008185818070217</v>
      </c>
      <c r="L123" s="1551">
        <v>13.7</v>
      </c>
      <c r="M123" s="1516">
        <f t="shared" si="346"/>
        <v>40.038577315369551</v>
      </c>
      <c r="P123" s="1551">
        <v>23.54</v>
      </c>
      <c r="Q123" s="1516">
        <f t="shared" si="347"/>
        <v>40.006118182899669</v>
      </c>
      <c r="T123" s="1551">
        <v>40.15</v>
      </c>
      <c r="U123" s="1516">
        <f t="shared" si="348"/>
        <v>40.004782639020355</v>
      </c>
      <c r="X123" s="1551">
        <v>51.147600000000011</v>
      </c>
      <c r="Y123" s="1516">
        <f t="shared" si="349"/>
        <v>40</v>
      </c>
      <c r="AB123" s="1551">
        <v>49.38</v>
      </c>
      <c r="AC123" s="1516">
        <f t="shared" si="350"/>
        <v>39.006279868873179</v>
      </c>
      <c r="AF123" s="1551">
        <v>50.62</v>
      </c>
      <c r="AG123" s="1516">
        <f t="shared" si="351"/>
        <v>39.00206490584646</v>
      </c>
      <c r="AJ123" s="1551">
        <v>58.594000000000001</v>
      </c>
      <c r="AK123" s="1516">
        <f t="shared" si="352"/>
        <v>38.513717808831473</v>
      </c>
      <c r="AN123" s="1551">
        <v>61.304000000000002</v>
      </c>
      <c r="AO123" s="1516">
        <f t="shared" si="353"/>
        <v>39.325921981948461</v>
      </c>
      <c r="AR123" s="1551">
        <v>67.213999999999999</v>
      </c>
      <c r="AS123" s="1516">
        <f t="shared" si="368"/>
        <v>39.197779255164029</v>
      </c>
      <c r="AT123" s="1560"/>
      <c r="AV123" s="1551">
        <v>105.24</v>
      </c>
      <c r="AW123" s="1516">
        <f t="shared" si="354"/>
        <v>38.997420923131635</v>
      </c>
      <c r="AZ123" s="1551">
        <v>115.35599999999999</v>
      </c>
      <c r="BA123" s="1516">
        <f t="shared" si="355"/>
        <v>36.790539247579318</v>
      </c>
      <c r="BD123" s="1551">
        <v>126.66800000000001</v>
      </c>
      <c r="BE123" s="1516">
        <f t="shared" si="356"/>
        <v>36.88385203130823</v>
      </c>
      <c r="BH123" s="1551">
        <v>70.197000000000003</v>
      </c>
      <c r="BI123" s="1516">
        <f t="shared" si="357"/>
        <v>44.367265418599665</v>
      </c>
      <c r="BL123" s="1551">
        <f>33.319+((33.2)*0.4)</f>
        <v>46.599000000000004</v>
      </c>
      <c r="BM123" s="1516">
        <f t="shared" si="358"/>
        <v>36.535626920905756</v>
      </c>
      <c r="BP123" s="1551">
        <f>51.055+((0.33+0.03)*BP196*(1-0.355))</f>
        <v>72.002690799999996</v>
      </c>
      <c r="BQ123" s="1516">
        <f t="shared" si="359"/>
        <v>36.727072349628699</v>
      </c>
      <c r="BT123" s="1551">
        <v>67.793999999999997</v>
      </c>
      <c r="BU123" s="1516">
        <f t="shared" si="360"/>
        <v>35.243660258476353</v>
      </c>
      <c r="BV123" s="114"/>
      <c r="BX123" s="1551">
        <v>87.343999999999994</v>
      </c>
      <c r="BY123" s="1516">
        <f t="shared" si="361"/>
        <v>35.055667488099921</v>
      </c>
      <c r="BZ123" s="114"/>
      <c r="CA123" s="114"/>
      <c r="CB123" s="1551">
        <v>47.783999999999999</v>
      </c>
      <c r="CC123" s="1516">
        <f t="shared" si="362"/>
        <v>31.427124507553607</v>
      </c>
      <c r="CD123" s="200"/>
      <c r="CE123" s="200"/>
      <c r="CF123" s="1551">
        <v>46.494999999999997</v>
      </c>
      <c r="CG123" s="1516">
        <f t="shared" si="363"/>
        <v>36.518221803330142</v>
      </c>
      <c r="CH123" s="200"/>
      <c r="CI123" s="200"/>
      <c r="CJ123" s="2021">
        <f>56.719-14.775</f>
        <v>41.944000000000003</v>
      </c>
      <c r="CK123" s="1516">
        <f t="shared" si="364"/>
        <v>35.905425533736214</v>
      </c>
      <c r="CL123" s="200"/>
      <c r="CM123" s="200"/>
      <c r="CN123" s="2021">
        <f>6.344-2.132</f>
        <v>4.2119999999999997</v>
      </c>
      <c r="CO123" s="1516">
        <f t="shared" si="365"/>
        <v>7.4616025084589701</v>
      </c>
      <c r="CP123" s="200"/>
      <c r="CQ123" s="200"/>
      <c r="CR123" s="2258">
        <f>60.698-14.907</f>
        <v>45.790999999999997</v>
      </c>
      <c r="CS123" s="2242">
        <f t="shared" si="366"/>
        <v>31.738253498478635</v>
      </c>
      <c r="CT123" s="200"/>
      <c r="CU123" s="200"/>
      <c r="CV123" s="2207">
        <f>(CW123/100)*CV113</f>
        <v>21.392732592989983</v>
      </c>
      <c r="CW123" s="2054">
        <v>27</v>
      </c>
      <c r="CX123" s="200"/>
    </row>
    <row r="124" spans="1:104">
      <c r="B124" s="114" t="str">
        <f>$B$14</f>
        <v>Year</v>
      </c>
      <c r="D124" s="1536">
        <f>SUM(D120:D123)</f>
        <v>3.4000000000000004</v>
      </c>
      <c r="E124" s="1516">
        <f>D124/D$10*100</f>
        <v>14.530535492969786</v>
      </c>
      <c r="H124" s="1536">
        <f>SUM(H120:H123)</f>
        <v>7.23</v>
      </c>
      <c r="I124" s="1516">
        <f t="shared" si="345"/>
        <v>40.013282417399992</v>
      </c>
      <c r="L124" s="1536">
        <f>SUM(L120:L123)</f>
        <v>16.399999999999999</v>
      </c>
      <c r="M124" s="1516">
        <f t="shared" si="346"/>
        <v>40.022451619201007</v>
      </c>
      <c r="P124" s="1536">
        <f>SUM(P120:P123)</f>
        <v>32.22</v>
      </c>
      <c r="Q124" s="1516">
        <f t="shared" si="347"/>
        <v>40.003973082366961</v>
      </c>
      <c r="T124" s="1536">
        <f>SUM(T120:T123)</f>
        <v>68.039999999999992</v>
      </c>
      <c r="U124" s="1516">
        <f t="shared" si="348"/>
        <v>39.99952969394834</v>
      </c>
      <c r="X124" s="1536">
        <f>SUM(X120:X123)</f>
        <v>99.73360000000001</v>
      </c>
      <c r="Y124" s="1516">
        <f t="shared" si="349"/>
        <v>39.999839573264886</v>
      </c>
      <c r="AB124" s="1536">
        <f>SUM(AB120:AB123)</f>
        <v>103.32</v>
      </c>
      <c r="AC124" s="1516">
        <f t="shared" si="350"/>
        <v>39.517618845452141</v>
      </c>
      <c r="AF124" s="1536">
        <f>SUM(AF120:AF123)</f>
        <v>107.85</v>
      </c>
      <c r="AG124" s="1516">
        <f t="shared" si="351"/>
        <v>39.002321695922923</v>
      </c>
      <c r="AJ124" s="1536">
        <f>SUM(AJ120:AJ123)</f>
        <v>121.33</v>
      </c>
      <c r="AK124" s="1516">
        <f t="shared" si="352"/>
        <v>38.385365915389592</v>
      </c>
      <c r="AN124" s="1536">
        <f>SUM(AN120:AN123)</f>
        <v>130.05799999999999</v>
      </c>
      <c r="AO124" s="1516">
        <f t="shared" si="353"/>
        <v>38.836267647691173</v>
      </c>
      <c r="AR124" s="1536">
        <f>SUM(AR120:AR123)</f>
        <v>148.67599999999999</v>
      </c>
      <c r="AS124" s="1516">
        <f t="shared" si="368"/>
        <v>38.542060920285131</v>
      </c>
      <c r="AV124" s="1536">
        <f>SUM(AV120:AV123)</f>
        <v>220.69099999999997</v>
      </c>
      <c r="AW124" s="1516">
        <f t="shared" si="354"/>
        <v>39.205379190279082</v>
      </c>
      <c r="AZ124" s="1536">
        <f>SUM(AZ120:AZ123)</f>
        <v>249.80099999999999</v>
      </c>
      <c r="BA124" s="1516">
        <f t="shared" si="355"/>
        <v>37.173542305940906</v>
      </c>
      <c r="BD124" s="1536">
        <f>SUM(BD120:BD123)</f>
        <v>283.62800000000004</v>
      </c>
      <c r="BE124" s="1516">
        <f t="shared" si="356"/>
        <v>37.352648734073028</v>
      </c>
      <c r="BH124" s="1536">
        <f>SUM(BH120:BH123)</f>
        <v>201.47399999999999</v>
      </c>
      <c r="BI124" s="1516">
        <f t="shared" si="357"/>
        <v>39.532223410413124</v>
      </c>
      <c r="BL124" s="1536">
        <f>SUM(BL120:BL123)</f>
        <v>53.838000000000008</v>
      </c>
      <c r="BM124" s="1516">
        <f t="shared" si="358"/>
        <v>35.255058607818754</v>
      </c>
      <c r="BP124" s="1536">
        <f>SUM(BP120:BP123)</f>
        <v>99.645970800000001</v>
      </c>
      <c r="BQ124" s="1516">
        <f t="shared" si="359"/>
        <v>35.189451848712814</v>
      </c>
      <c r="BT124" s="1536">
        <f>SUM(BT120:BT123)</f>
        <v>120.812</v>
      </c>
      <c r="BU124" s="1516">
        <f t="shared" si="360"/>
        <v>35.233662303725971</v>
      </c>
      <c r="BV124" s="114"/>
      <c r="BX124" s="1536">
        <f>SUM(BX120:BX123)</f>
        <v>132.749</v>
      </c>
      <c r="BY124" s="1516">
        <f t="shared" si="361"/>
        <v>35.461673055603789</v>
      </c>
      <c r="BZ124" s="114"/>
      <c r="CA124" s="114"/>
      <c r="CB124" s="1536">
        <f>SUM(CB120:CB123)</f>
        <v>64.611999999999995</v>
      </c>
      <c r="CC124" s="1516">
        <f t="shared" si="362"/>
        <v>29.892204487624358</v>
      </c>
      <c r="CD124" s="200"/>
      <c r="CE124" s="200"/>
      <c r="CF124" s="1536">
        <f>SUM(CF120:CF123)</f>
        <v>65.018999999999991</v>
      </c>
      <c r="CG124" s="1516">
        <f t="shared" si="363"/>
        <v>36.661817443670039</v>
      </c>
      <c r="CH124" s="200"/>
      <c r="CI124" s="200"/>
      <c r="CJ124" s="1536">
        <f>SUM(CJ120:CJ123)</f>
        <v>37.216999999999999</v>
      </c>
      <c r="CK124" s="1516">
        <f t="shared" si="364"/>
        <v>31.475439228561203</v>
      </c>
      <c r="CL124" s="200"/>
      <c r="CM124" s="200"/>
      <c r="CN124" s="1536">
        <f>SUM(CN120:CN123)</f>
        <v>-15.096</v>
      </c>
      <c r="CO124" s="1516">
        <f t="shared" si="365"/>
        <v>98.000519345624127</v>
      </c>
      <c r="CP124" s="200"/>
      <c r="CQ124" s="200"/>
      <c r="CR124" s="1536">
        <f>SUM(CR120:CR123)</f>
        <v>35.455999999999996</v>
      </c>
      <c r="CS124" s="1516">
        <f t="shared" si="366"/>
        <v>42.263863062032172</v>
      </c>
      <c r="CT124" s="200"/>
      <c r="CU124" s="200"/>
      <c r="CV124" s="1536">
        <f>SUM(CV120:CV123)</f>
        <v>22.743084687179234</v>
      </c>
      <c r="CW124" s="1516">
        <f>CV124/CV114*100</f>
        <v>51.552948678367997</v>
      </c>
      <c r="CX124" s="200"/>
    </row>
    <row r="125" spans="1:104" ht="12.75" hidden="1" customHeight="1" outlineLevel="1">
      <c r="A125" s="114" t="str">
        <f>$A$15</f>
        <v>6 Mos</v>
      </c>
      <c r="D125" s="1537">
        <f>SUM(D120:D121)</f>
        <v>-2.15</v>
      </c>
      <c r="E125" s="1516">
        <f>D125/D$10*100</f>
        <v>-9.1884268558485402</v>
      </c>
      <c r="H125" s="1537">
        <f>SUM(H120:H121)</f>
        <v>-1.68</v>
      </c>
      <c r="I125" s="1516">
        <f t="shared" si="345"/>
        <v>39.961941008563272</v>
      </c>
      <c r="L125" s="1537">
        <f>SUM(L120:L121)</f>
        <v>-0.45</v>
      </c>
      <c r="M125" s="1516">
        <f t="shared" si="346"/>
        <v>40.106951871657948</v>
      </c>
      <c r="P125" s="1537">
        <f>SUM(P120:P121)</f>
        <v>1.75</v>
      </c>
      <c r="Q125" s="1516">
        <f t="shared" si="347"/>
        <v>40.064102564102527</v>
      </c>
      <c r="T125" s="1537">
        <f>SUM(T120:T121)</f>
        <v>11.27</v>
      </c>
      <c r="U125" s="1516">
        <f t="shared" si="348"/>
        <v>39.998580352072679</v>
      </c>
      <c r="X125" s="1537">
        <f>SUM(X120:X121)</f>
        <v>22.551000000000002</v>
      </c>
      <c r="Y125" s="1516">
        <f t="shared" si="349"/>
        <v>40.003902646704042</v>
      </c>
      <c r="AB125" s="1537">
        <f>SUM(AB120:AB121)</f>
        <v>24.88</v>
      </c>
      <c r="AC125" s="1516">
        <f t="shared" si="350"/>
        <v>39.996141851268362</v>
      </c>
      <c r="AF125" s="1537">
        <f>SUM(AF120:AF121)</f>
        <v>29.2</v>
      </c>
      <c r="AG125" s="1516">
        <f t="shared" si="351"/>
        <v>39.016047353723224</v>
      </c>
      <c r="AJ125" s="1537">
        <f>SUM(AJ120:AJ121)</f>
        <v>33.4</v>
      </c>
      <c r="AK125" s="1516">
        <f t="shared" si="352"/>
        <v>38.243544970515863</v>
      </c>
      <c r="AN125" s="1537">
        <f>SUM(AN120:AN121)</f>
        <v>37.352999999999994</v>
      </c>
      <c r="AO125" s="1516">
        <f t="shared" si="353"/>
        <v>38.245653553949168</v>
      </c>
      <c r="AR125" s="1537">
        <f>SUM(AR120:AR121)</f>
        <v>45.622</v>
      </c>
      <c r="AS125" s="1516">
        <f t="shared" si="368"/>
        <v>38.720135794610641</v>
      </c>
      <c r="AV125" s="1537">
        <f>SUM(AV120:AV121)</f>
        <v>64.396000000000001</v>
      </c>
      <c r="AW125" s="1516">
        <f t="shared" si="354"/>
        <v>39.712375736944701</v>
      </c>
      <c r="AZ125" s="1537">
        <f>SUM(AZ120:AZ121)</f>
        <v>70.38300000000001</v>
      </c>
      <c r="BA125" s="1516">
        <f t="shared" si="355"/>
        <v>36.592061140138831</v>
      </c>
      <c r="BD125" s="1537">
        <f>SUM(BD120:BD121)</f>
        <v>83.34</v>
      </c>
      <c r="BE125" s="1516">
        <f t="shared" si="356"/>
        <v>37.090112863602378</v>
      </c>
      <c r="BH125" s="1537">
        <f>SUM(BH120:BH121)</f>
        <v>90.741</v>
      </c>
      <c r="BI125" s="1516">
        <f t="shared" si="357"/>
        <v>37.628759102294026</v>
      </c>
      <c r="BL125" s="1537">
        <f>SUM(BL120:BL121)</f>
        <v>9.4560000000000013</v>
      </c>
      <c r="BM125" s="1516">
        <f t="shared" si="358"/>
        <v>-43.296703296703463</v>
      </c>
      <c r="BP125" s="1537">
        <f>SUM(BP120:BP121)</f>
        <v>-2.2719999999999629E-2</v>
      </c>
      <c r="BQ125" s="1516">
        <f t="shared" si="359"/>
        <v>-0.24129141886151026</v>
      </c>
      <c r="BT125" s="1537">
        <f>SUM(BT120:BT121)</f>
        <v>20.960999999999999</v>
      </c>
      <c r="BU125" s="1516">
        <f t="shared" si="360"/>
        <v>33.983463035019383</v>
      </c>
      <c r="BV125" s="114"/>
      <c r="BX125" s="1537">
        <f>SUM(BX120:BX121)</f>
        <v>-2.3199999999999994</v>
      </c>
      <c r="BY125" s="1516">
        <f t="shared" si="361"/>
        <v>35.290538484941194</v>
      </c>
      <c r="BZ125" s="114"/>
      <c r="CA125" s="114"/>
      <c r="CB125" s="1537">
        <f>SUM(CB120:CB121)</f>
        <v>-1.3710000000000004</v>
      </c>
      <c r="CC125" s="1516">
        <f t="shared" si="362"/>
        <v>-26.069594980034715</v>
      </c>
      <c r="CD125" s="200"/>
      <c r="CE125" s="200"/>
      <c r="CF125" s="1537">
        <f>SUM(CF120:CF121)</f>
        <v>0.86799999999999944</v>
      </c>
      <c r="CG125" s="1516">
        <f t="shared" si="363"/>
        <v>44.150559511699704</v>
      </c>
      <c r="CH125" s="200"/>
      <c r="CI125" s="200"/>
      <c r="CJ125" s="1537">
        <f>SUM(CJ120:CJ121)</f>
        <v>-17.905999999999999</v>
      </c>
      <c r="CK125" s="1516">
        <f t="shared" si="364"/>
        <v>39.732307296312598</v>
      </c>
      <c r="CL125" s="200"/>
      <c r="CM125" s="200"/>
      <c r="CN125" s="1537">
        <f>SUM(CN120:CN121)</f>
        <v>-26.548999999999999</v>
      </c>
      <c r="CO125" s="1516">
        <f t="shared" si="365"/>
        <v>32.821520849559256</v>
      </c>
      <c r="CP125" s="200"/>
      <c r="CQ125" s="200"/>
      <c r="CR125" s="1537">
        <f>SUM(CR120:CR121)</f>
        <v>-22.004999999999999</v>
      </c>
      <c r="CS125" s="1516">
        <f t="shared" si="366"/>
        <v>23.634859941570735</v>
      </c>
      <c r="CT125" s="200"/>
      <c r="CU125" s="200"/>
      <c r="CV125" s="1537">
        <f>SUM(CV120:CV121)</f>
        <v>-6.9080559082795441</v>
      </c>
      <c r="CW125" s="1516">
        <f>CV125/CV115*100</f>
        <v>10.514053994644767</v>
      </c>
      <c r="CX125" s="200"/>
    </row>
    <row r="126" spans="1:104" ht="12.75" hidden="1" customHeight="1" outlineLevel="1">
      <c r="A126" s="114" t="str">
        <f>$A$16</f>
        <v>9 Mos</v>
      </c>
      <c r="D126" s="1537">
        <f>SUM(D120:D122)</f>
        <v>-2.42</v>
      </c>
      <c r="E126" s="1516">
        <f>D126/D$10*100</f>
        <v>-10.34232232146673</v>
      </c>
      <c r="H126" s="1537">
        <f>SUM(H120:H122)</f>
        <v>-0.58999999999999986</v>
      </c>
      <c r="I126" s="1516">
        <f t="shared" si="345"/>
        <v>39.945836154366944</v>
      </c>
      <c r="L126" s="1537">
        <f>SUM(L120:L122)</f>
        <v>2.6999999999999997</v>
      </c>
      <c r="M126" s="1516">
        <f t="shared" si="346"/>
        <v>39.940828402366819</v>
      </c>
      <c r="P126" s="1537">
        <f>SUM(P120:P122)</f>
        <v>8.68</v>
      </c>
      <c r="Q126" s="1516">
        <f t="shared" si="347"/>
        <v>39.998156766969274</v>
      </c>
      <c r="T126" s="1537">
        <f>SUM(T120:T122)</f>
        <v>27.89</v>
      </c>
      <c r="U126" s="1516">
        <f t="shared" si="348"/>
        <v>39.991970059794383</v>
      </c>
      <c r="X126" s="1537">
        <f>SUM(X120:X122)</f>
        <v>48.585999999999999</v>
      </c>
      <c r="Y126" s="1516">
        <f t="shared" si="349"/>
        <v>39.999670689740341</v>
      </c>
      <c r="AB126" s="1537">
        <f>SUM(AB120:AB122)</f>
        <v>53.94</v>
      </c>
      <c r="AC126" s="1516">
        <f t="shared" si="350"/>
        <v>39.997627133725842</v>
      </c>
      <c r="AF126" s="1537">
        <f>SUM(AF120:AF122)</f>
        <v>57.230000000000004</v>
      </c>
      <c r="AG126" s="1516">
        <f t="shared" si="351"/>
        <v>39.002548829855378</v>
      </c>
      <c r="AJ126" s="1537">
        <f>SUM(AJ120:AJ122)</f>
        <v>62.735999999999997</v>
      </c>
      <c r="AK126" s="1516">
        <f t="shared" si="352"/>
        <v>38.266258402156822</v>
      </c>
      <c r="AN126" s="1537">
        <f>SUM(AN120:AN122)</f>
        <v>68.753999999999991</v>
      </c>
      <c r="AO126" s="1516">
        <f t="shared" si="353"/>
        <v>38.409841285802884</v>
      </c>
      <c r="AR126" s="1537">
        <f>SUM(AR120:AR122)</f>
        <v>81.462000000000003</v>
      </c>
      <c r="AS126" s="1516">
        <f t="shared" si="368"/>
        <v>38.017323451996468</v>
      </c>
      <c r="AV126" s="1537">
        <f>SUM(AV120:AV122)</f>
        <v>115.45099999999999</v>
      </c>
      <c r="AW126" s="1516">
        <f t="shared" si="354"/>
        <v>39.396886495635513</v>
      </c>
      <c r="AZ126" s="1537">
        <f>SUM(AZ120:AZ122)</f>
        <v>134.44499999999999</v>
      </c>
      <c r="BA126" s="1516">
        <f t="shared" si="355"/>
        <v>37.508578889515078</v>
      </c>
      <c r="BD126" s="1537">
        <f>SUM(BD120:BD122)</f>
        <v>156.96</v>
      </c>
      <c r="BE126" s="1516">
        <f t="shared" si="356"/>
        <v>37.739750565639426</v>
      </c>
      <c r="BH126" s="1537">
        <f>SUM(BH120:BH122)</f>
        <v>131.27699999999999</v>
      </c>
      <c r="BI126" s="1516">
        <f t="shared" si="357"/>
        <v>37.355410938829394</v>
      </c>
      <c r="BL126" s="1537">
        <f>SUM(BL120:BL122)</f>
        <v>7.2390000000000008</v>
      </c>
      <c r="BM126" s="1516">
        <f t="shared" si="358"/>
        <v>28.765000397361483</v>
      </c>
      <c r="BP126" s="1537">
        <f>SUM(BP120:BP122)</f>
        <v>27.643280000000001</v>
      </c>
      <c r="BQ126" s="1516">
        <f t="shared" si="359"/>
        <v>31.729390968986031</v>
      </c>
      <c r="BT126" s="1537">
        <f>SUM(BT120:BT122)</f>
        <v>53.018000000000001</v>
      </c>
      <c r="BU126" s="1516">
        <f t="shared" si="360"/>
        <v>35.220886202085943</v>
      </c>
      <c r="BV126" s="114"/>
      <c r="BX126" s="1537">
        <f>SUM(BX120:BX122)</f>
        <v>45.405000000000001</v>
      </c>
      <c r="BY126" s="1516">
        <f t="shared" si="361"/>
        <v>36.269740468259485</v>
      </c>
      <c r="BZ126" s="114"/>
      <c r="CA126" s="114"/>
      <c r="CB126" s="1537">
        <f>SUM(CB120:CB122)</f>
        <v>16.827999999999996</v>
      </c>
      <c r="CC126" s="1516">
        <f t="shared" si="362"/>
        <v>26.251501489789895</v>
      </c>
      <c r="CD126" s="200"/>
      <c r="CE126" s="200"/>
      <c r="CF126" s="1537">
        <f>SUM(CF120:CF122)</f>
        <v>18.523999999999997</v>
      </c>
      <c r="CG126" s="1516">
        <f t="shared" si="363"/>
        <v>37.027264731750229</v>
      </c>
      <c r="CH126" s="200"/>
      <c r="CI126" s="200"/>
      <c r="CJ126" s="1537">
        <f>SUM(CJ120:CJ122)</f>
        <v>-4.7270000000000003</v>
      </c>
      <c r="CK126" s="1516">
        <f t="shared" si="364"/>
        <v>-332.09217366867716</v>
      </c>
      <c r="CL126" s="200"/>
      <c r="CM126" s="200"/>
      <c r="CN126" s="1537">
        <f>SUM(CN120:CN122)</f>
        <v>-19.308</v>
      </c>
      <c r="CO126" s="1516">
        <f t="shared" si="365"/>
        <v>26.871529372468789</v>
      </c>
      <c r="CP126" s="200"/>
      <c r="CQ126" s="200"/>
      <c r="CR126" s="1537">
        <f>SUM(CR120:CR122)</f>
        <v>-10.334999999999999</v>
      </c>
      <c r="CS126" s="1516">
        <f t="shared" si="366"/>
        <v>17.115177610333689</v>
      </c>
      <c r="CT126" s="200"/>
      <c r="CU126" s="200"/>
      <c r="CV126" s="1537">
        <f>SUM(CV120:CV122)</f>
        <v>1.3503520941892502</v>
      </c>
      <c r="CW126" s="1516">
        <f>CV126/CV116*100</f>
        <v>-3.8453635135736026</v>
      </c>
      <c r="CX126" s="200"/>
    </row>
    <row r="127" spans="1:104" collapsed="1">
      <c r="AR127" s="1630"/>
      <c r="BT127" s="114"/>
      <c r="BU127" s="114"/>
      <c r="BV127" s="114"/>
      <c r="BX127" s="114"/>
      <c r="BY127" s="114"/>
      <c r="BZ127" s="114"/>
      <c r="CA127" s="114"/>
      <c r="CB127" s="200"/>
      <c r="CC127" s="200"/>
      <c r="CD127" s="200"/>
      <c r="CE127" s="200"/>
      <c r="CF127" s="200"/>
      <c r="CG127" s="200"/>
      <c r="CH127" s="200"/>
      <c r="CI127" s="200"/>
      <c r="CJ127" s="200"/>
      <c r="CK127" s="200"/>
      <c r="CL127" s="200"/>
      <c r="CM127" s="200"/>
      <c r="CN127" s="200"/>
      <c r="CO127" s="200"/>
      <c r="CP127" s="200"/>
      <c r="CQ127" s="200"/>
      <c r="CR127" s="200"/>
      <c r="CS127" s="200"/>
      <c r="CT127" s="200"/>
      <c r="CU127" s="200"/>
      <c r="CV127" s="200"/>
      <c r="CW127" s="200"/>
      <c r="CX127" s="200"/>
    </row>
    <row r="128" spans="1:104">
      <c r="C128" s="313"/>
      <c r="D128" s="313"/>
      <c r="H128" s="1629"/>
      <c r="I128" s="1533"/>
      <c r="J128" s="1533"/>
      <c r="K128" s="1533"/>
      <c r="L128" s="1629"/>
      <c r="M128" s="1533"/>
      <c r="N128" s="1533"/>
      <c r="O128" s="1533"/>
      <c r="P128" s="1629"/>
      <c r="Q128" s="1533"/>
      <c r="R128" s="1533"/>
      <c r="S128" s="1533"/>
      <c r="T128" s="1629"/>
      <c r="U128" s="1533"/>
      <c r="V128" s="1533"/>
      <c r="W128" s="1533"/>
      <c r="Y128" s="1533"/>
      <c r="Z128" s="1533"/>
      <c r="AA128" s="1533"/>
      <c r="AC128" s="1533"/>
      <c r="AD128" s="1533"/>
      <c r="AE128" s="1533"/>
      <c r="AF128" s="1629"/>
      <c r="AG128" s="1533"/>
      <c r="AH128" s="1533"/>
      <c r="AI128" s="1533"/>
      <c r="AK128" s="1533"/>
      <c r="AL128" s="1533"/>
      <c r="AM128" s="1533"/>
      <c r="AN128" s="1629"/>
      <c r="AO128" s="1533"/>
      <c r="AP128" s="1533"/>
      <c r="AQ128" s="1533"/>
      <c r="AS128" s="1533"/>
      <c r="AT128" s="1533"/>
      <c r="AU128" s="1533"/>
      <c r="AV128" s="1629"/>
      <c r="AW128" s="1533"/>
      <c r="AX128" s="1533"/>
      <c r="AY128" s="1533"/>
      <c r="AZ128" s="1629"/>
      <c r="BA128" s="1533"/>
      <c r="BB128" s="1533"/>
      <c r="BC128" s="1533"/>
      <c r="BD128" s="1629"/>
      <c r="BE128" s="1533"/>
      <c r="BF128" s="1533"/>
      <c r="BG128" s="1533"/>
      <c r="BH128" s="1629"/>
      <c r="BI128" s="22"/>
      <c r="BJ128" s="1533"/>
      <c r="BK128" s="1533"/>
      <c r="BL128" s="1629"/>
      <c r="BM128" s="1533"/>
      <c r="BN128" s="1533"/>
      <c r="BO128" s="1533"/>
      <c r="BP128" s="1629"/>
      <c r="BQ128" s="1533"/>
      <c r="BR128" s="1533"/>
      <c r="BS128" s="1533"/>
      <c r="BT128" s="1629"/>
      <c r="BU128" s="1533"/>
      <c r="BW128" s="1533"/>
      <c r="BX128" s="1629"/>
      <c r="BY128" s="1533"/>
      <c r="BZ128" s="1533"/>
      <c r="CA128" s="1533"/>
      <c r="CB128" s="245"/>
      <c r="CC128" s="245"/>
      <c r="CD128" s="245"/>
      <c r="CE128" s="1629" t="s">
        <v>597</v>
      </c>
      <c r="CF128" s="245"/>
      <c r="CG128" s="245"/>
      <c r="CH128" s="245"/>
      <c r="CI128" s="245"/>
      <c r="CJ128" s="245"/>
      <c r="CK128" s="245"/>
      <c r="CL128" s="245"/>
      <c r="CM128" s="245"/>
      <c r="CN128" s="245"/>
      <c r="CO128" s="245"/>
      <c r="CP128" s="245"/>
      <c r="CQ128" s="245"/>
      <c r="CR128" s="245"/>
      <c r="CS128" s="245"/>
      <c r="CT128" s="245"/>
      <c r="CU128" s="245"/>
      <c r="CV128" s="245"/>
      <c r="CW128" s="245"/>
      <c r="CX128" s="245"/>
    </row>
    <row r="129" spans="1:135">
      <c r="AR129" s="1536"/>
      <c r="BS129" s="114"/>
      <c r="BT129" s="114"/>
      <c r="BU129" s="114"/>
      <c r="BV129" s="114"/>
      <c r="BW129" s="114"/>
      <c r="BX129" s="114"/>
      <c r="BY129" s="114"/>
      <c r="BZ129" s="114"/>
      <c r="CA129" s="114"/>
      <c r="CB129" s="245"/>
      <c r="CC129" s="245"/>
      <c r="CD129" s="245"/>
      <c r="CE129" s="245"/>
      <c r="CF129" s="245"/>
      <c r="CG129" s="245"/>
      <c r="CH129" s="245"/>
      <c r="CI129" s="245"/>
      <c r="CJ129" s="245"/>
      <c r="CK129" s="245"/>
      <c r="CL129" s="245"/>
      <c r="CM129" s="245"/>
      <c r="CN129" s="245"/>
      <c r="CO129" s="245"/>
      <c r="CP129" s="245"/>
      <c r="CQ129" s="245"/>
      <c r="CR129" s="245"/>
      <c r="CS129" s="245"/>
      <c r="CT129" s="245"/>
      <c r="CU129" s="245"/>
      <c r="CV129" s="245"/>
      <c r="CW129" s="245"/>
      <c r="CX129" s="245"/>
    </row>
    <row r="130" spans="1:135">
      <c r="A130" s="114" t="str">
        <f>$A$10</f>
        <v>1Q</v>
      </c>
      <c r="B130" s="114" t="str">
        <f>$B$10</f>
        <v>Apr</v>
      </c>
      <c r="D130" s="1536">
        <f>D110-D120</f>
        <v>-1.9389999999999992</v>
      </c>
      <c r="E130" s="1517"/>
      <c r="H130" s="1536">
        <f>H110-H120</f>
        <v>-1.8739999999999997</v>
      </c>
      <c r="I130" s="1517" t="str">
        <f t="shared" ref="I130:I136" si="369">IF(D130&lt;0,"       NM",(H130/D130-1)*100)</f>
        <v xml:space="preserve">       NM</v>
      </c>
      <c r="J130" s="1517"/>
      <c r="L130" s="1536">
        <f>L110-L120</f>
        <v>-0.95499999999999374</v>
      </c>
      <c r="M130" s="1517" t="str">
        <f t="shared" ref="M130:M136" si="370">IF(H130&lt;0,"       NM",(L130/H130-1)*100)</f>
        <v xml:space="preserve">       NM</v>
      </c>
      <c r="P130" s="1536">
        <f>P110-P120</f>
        <v>0.56500000000000405</v>
      </c>
      <c r="Q130" s="1517" t="str">
        <f t="shared" ref="Q130:Q136" si="371">IF(L130&lt;0,"       NM",(P130/L130-1)*100)</f>
        <v xml:space="preserve">       NM</v>
      </c>
      <c r="T130" s="1536">
        <f>T110-T120</f>
        <v>6.3079999999999989</v>
      </c>
      <c r="U130" s="1517">
        <f t="shared" ref="U130:U136" si="372">IF(P130&lt;0,"       NM",(T130/P130-1)*100)</f>
        <v>1016.4601769911422</v>
      </c>
      <c r="X130" s="1536">
        <f>X110-X120</f>
        <v>14.962999999999997</v>
      </c>
      <c r="Y130" s="1517">
        <f t="shared" ref="Y130:Y136" si="373">IF(T130&lt;0,"       NM",(X130/T130-1)*100)</f>
        <v>137.20672162333543</v>
      </c>
      <c r="AB130" s="1536">
        <f>AB110-AB120</f>
        <v>16.16299999999999</v>
      </c>
      <c r="AC130" s="1517">
        <f t="shared" ref="AC130:AC136" si="374">IF(X130&lt;0,"       NM",(AB130/X130-1)*100)</f>
        <v>8.0197821292520963</v>
      </c>
      <c r="AF130" s="1536">
        <f>AF110-AF120</f>
        <v>20.603000000000002</v>
      </c>
      <c r="AG130" s="1517">
        <f t="shared" ref="AG130:AG136" si="375">IF(AB130&lt;0,"       NM",(AF130/AB130-1)*100)</f>
        <v>27.470147868588835</v>
      </c>
      <c r="AJ130" s="1536">
        <f>AJ110-AJ120</f>
        <v>23.10399999999996</v>
      </c>
      <c r="AK130" s="1517">
        <f t="shared" ref="AK130:AK136" si="376">IF(AF130&lt;0,"       NM",(AJ130/AF130-1)*100)</f>
        <v>12.139008882201431</v>
      </c>
      <c r="AN130" s="1536">
        <f>AN110-AN120</f>
        <v>25.784999999999972</v>
      </c>
      <c r="AO130" s="1517">
        <f t="shared" ref="AO130:AO136" si="377">IF(AJ130&lt;0,"       NM",(AN130/AJ130-1)*100)</f>
        <v>11.604051246537473</v>
      </c>
      <c r="AR130" s="1536">
        <f>AR110-AR120</f>
        <v>29.314999999999998</v>
      </c>
      <c r="AS130" s="1517">
        <f>IF(AN130&lt;0,"       NM",(AR130/AN130-1)*100)</f>
        <v>13.690129920496519</v>
      </c>
      <c r="AV130" s="1536">
        <f>AV110-AV120</f>
        <v>40.358999999999931</v>
      </c>
      <c r="AW130" s="1517">
        <f>IF(AR130&lt;0,"       NM",(AV130/AR130-1)*100)</f>
        <v>37.673545966228673</v>
      </c>
      <c r="AZ130" s="1536">
        <f>AZ110-AZ120</f>
        <v>56.239999999999966</v>
      </c>
      <c r="BA130" s="1517">
        <f>IF(AV130&lt;0,"       NM",(AZ130/AV130-1)*100)</f>
        <v>39.349339676404441</v>
      </c>
      <c r="BD130" s="1536">
        <f>BD110-BD120</f>
        <v>60.080999999999989</v>
      </c>
      <c r="BE130" s="1517">
        <f>IF(AZ130&lt;0,"       NM",(BD130/AZ130-1)*100)</f>
        <v>6.8296586059744424</v>
      </c>
      <c r="BH130" s="1536">
        <f>BH110-BH120</f>
        <v>67.170000000000016</v>
      </c>
      <c r="BI130" s="1517">
        <f>IF(BD130&lt;0,"       NM",(BH130/BD130-1)*100)</f>
        <v>11.799071253807414</v>
      </c>
      <c r="BL130" s="1536">
        <f>BL110-BL120</f>
        <v>-23.104999999999919</v>
      </c>
      <c r="BM130" s="1517">
        <f>IF(BH130&lt;0,"       NM",(BL130/BH130-1)*100)</f>
        <v>-134.39779663540259</v>
      </c>
      <c r="BP130" s="1536">
        <f>BP110-BP120</f>
        <v>-11.828000000000031</v>
      </c>
      <c r="BQ130" s="1517" t="str">
        <f>IF(BL130&lt;0,"       NM",(BP130/BL130-1)*100)</f>
        <v xml:space="preserve">       NM</v>
      </c>
      <c r="BS130" s="114"/>
      <c r="BT130" s="1536">
        <f>BT110-BT120</f>
        <v>12.799000000000049</v>
      </c>
      <c r="BU130" s="1517" t="str">
        <f>IF(BP130&lt;0,"       NM",(BT130/BP130-1)*100)</f>
        <v xml:space="preserve">       NM</v>
      </c>
      <c r="BV130" s="114"/>
      <c r="BW130" s="114"/>
      <c r="BX130" s="1536">
        <f>BX110-BX120</f>
        <v>-21.304999999999996</v>
      </c>
      <c r="BY130" s="1517">
        <f>IF(BT130&lt;0,"       NM",(BX130/BT130-1)*100)</f>
        <v>-266.45831705601933</v>
      </c>
      <c r="BZ130" s="114"/>
      <c r="CA130" s="114"/>
      <c r="CB130" s="1536">
        <f>CB110-CB120</f>
        <v>-6.3850000000000495</v>
      </c>
      <c r="CC130" s="1517" t="str">
        <f>IF(BX130&lt;0,"       NM",(CB130/BX130-1)*100)</f>
        <v xml:space="preserve">       NM</v>
      </c>
      <c r="CD130" s="245"/>
      <c r="CE130" s="245"/>
      <c r="CF130" s="1536">
        <f>CF110-CF120</f>
        <v>-12.96400000000005</v>
      </c>
      <c r="CG130" s="1517" t="str">
        <f>IF(CB130&lt;0,"       NM",(CF130/CB130-1)*100)</f>
        <v xml:space="preserve">       NM</v>
      </c>
      <c r="CH130" s="245"/>
      <c r="CI130" s="245"/>
      <c r="CJ130" s="1536">
        <f>CJ110-CJ120</f>
        <v>-37.179599999999958</v>
      </c>
      <c r="CK130" s="1517" t="str">
        <f>IF(CF130&lt;0,"       NM",(CJ130/CF130-1)*100)</f>
        <v xml:space="preserve">       NM</v>
      </c>
      <c r="CL130" s="245"/>
      <c r="CM130" s="245"/>
      <c r="CN130" s="1536">
        <f>CN110-CN120-CN160</f>
        <v>-39.587000000000053</v>
      </c>
      <c r="CO130" s="1517" t="str">
        <f>IF(CJ130&lt;0,"       NM",(CN130/CJ130-1)*100)</f>
        <v xml:space="preserve">       NM</v>
      </c>
      <c r="CP130" s="245"/>
      <c r="CQ130" s="245"/>
      <c r="CR130" s="1536">
        <f>CR110-CR120-CR160</f>
        <v>-61.699999999999939</v>
      </c>
      <c r="CS130" s="1517" t="str">
        <f>IF(CN130&lt;0,"       NM",(CR130/CN130-1)*100)</f>
        <v xml:space="preserve">       NM</v>
      </c>
      <c r="CT130" s="245"/>
      <c r="CU130" s="245"/>
      <c r="CV130" s="1536">
        <f>CV110-CV120-CV160</f>
        <v>-58.223895208004535</v>
      </c>
      <c r="CW130" s="1517" t="str">
        <f>IF(CR130&lt;0,"       NM",(CV130/CR130-1)*100)</f>
        <v xml:space="preserve">       NM</v>
      </c>
      <c r="CX130" s="245"/>
    </row>
    <row r="131" spans="1:135">
      <c r="A131" s="114" t="str">
        <f>$A$11</f>
        <v>2Q</v>
      </c>
      <c r="B131" s="114" t="str">
        <f>$B$11</f>
        <v>Jul</v>
      </c>
      <c r="D131" s="1537">
        <f>D111-D121</f>
        <v>-1.2890000000000001</v>
      </c>
      <c r="E131" s="1517"/>
      <c r="H131" s="1537">
        <f>H111-H121</f>
        <v>-0.65000000000000036</v>
      </c>
      <c r="I131" s="1517" t="str">
        <f t="shared" si="369"/>
        <v xml:space="preserve">       NM</v>
      </c>
      <c r="J131" s="1517"/>
      <c r="L131" s="1537">
        <f>L111-L121</f>
        <v>0.2829999999999992</v>
      </c>
      <c r="M131" s="1517" t="str">
        <f t="shared" si="370"/>
        <v xml:space="preserve">       NM</v>
      </c>
      <c r="P131" s="1537">
        <f>P111-P121</f>
        <v>2.0529999999999999</v>
      </c>
      <c r="Q131" s="1517">
        <f t="shared" si="371"/>
        <v>625.4416961130762</v>
      </c>
      <c r="T131" s="1537">
        <f>T111-T121</f>
        <v>10.598000000000006</v>
      </c>
      <c r="U131" s="1517">
        <f t="shared" si="372"/>
        <v>416.2201656113009</v>
      </c>
      <c r="X131" s="1537">
        <f>X111-X121</f>
        <v>18.858000000000004</v>
      </c>
      <c r="Y131" s="1517">
        <f t="shared" si="373"/>
        <v>77.939233817701378</v>
      </c>
      <c r="AB131" s="1537">
        <f>AB111-AB121</f>
        <v>21.163000000000011</v>
      </c>
      <c r="AC131" s="1517">
        <f t="shared" si="374"/>
        <v>12.222929260791204</v>
      </c>
      <c r="AF131" s="1537">
        <f>AF111-AF121</f>
        <v>25.037999999999993</v>
      </c>
      <c r="AG131" s="1517">
        <f t="shared" si="375"/>
        <v>18.310258469971075</v>
      </c>
      <c r="AJ131" s="1537">
        <f>AJ111-AJ121</f>
        <v>30.830999999999964</v>
      </c>
      <c r="AK131" s="1517">
        <f t="shared" si="376"/>
        <v>23.136832015336584</v>
      </c>
      <c r="AN131" s="1537">
        <f>AN111-AN121</f>
        <v>34.52800000000002</v>
      </c>
      <c r="AO131" s="1517">
        <f t="shared" si="377"/>
        <v>11.99117771074587</v>
      </c>
      <c r="AR131" s="1537">
        <f>AR111-AR121</f>
        <v>42.888000000000048</v>
      </c>
      <c r="AS131" s="1517">
        <f t="shared" ref="AS131:AS136" si="378">IF(AN131&lt;0,"       NM",(AR131/AN131-1)*100)</f>
        <v>24.212233549583019</v>
      </c>
      <c r="AV131" s="1537">
        <f>AV111-AV121</f>
        <v>57.400999999999975</v>
      </c>
      <c r="AW131" s="1517">
        <f t="shared" ref="AW131:AW136" si="379">IF(AR131&lt;0,"       NM",(AV131/AR131-1)*100)</f>
        <v>33.839302368960801</v>
      </c>
      <c r="AZ131" s="1537">
        <f>AZ111-AZ121</f>
        <v>65.72199999999998</v>
      </c>
      <c r="BA131" s="1517">
        <f t="shared" ref="BA131:BA136" si="380">IF(AV131&lt;0,"       NM",(AZ131/AV131-1)*100)</f>
        <v>14.496263131304342</v>
      </c>
      <c r="BD131" s="1537">
        <f>BD111-BD121</f>
        <v>81.275000000000006</v>
      </c>
      <c r="BE131" s="1517">
        <f t="shared" ref="BE131:BE136" si="381">IF(AZ131&lt;0,"       NM",(BD131/AZ131-1)*100)</f>
        <v>23.664830650315018</v>
      </c>
      <c r="BH131" s="1537">
        <f>BH111-BH121</f>
        <v>83.237000000000023</v>
      </c>
      <c r="BI131" s="1517">
        <f t="shared" ref="BI131:BI136" si="382">IF(BD131&lt;0,"       NM",(BH131/BD131-1)*100)</f>
        <v>2.4140264533989653</v>
      </c>
      <c r="BL131" s="1537">
        <f>BL111-BL121</f>
        <v>-8.1910000000000043</v>
      </c>
      <c r="BM131" s="1517">
        <f t="shared" ref="BM131:BM136" si="383">IF(BH131&lt;0,"       NM",(BL131/BH131-1)*100)</f>
        <v>-109.84057570551558</v>
      </c>
      <c r="BP131" s="1537">
        <f>BP111-BP121</f>
        <v>21.266719999999957</v>
      </c>
      <c r="BQ131" s="1517" t="str">
        <f t="shared" ref="BQ131:BQ136" si="384">IF(BL131&lt;0,"       NM",(BP131/BL131-1)*100)</f>
        <v xml:space="preserve">       NM</v>
      </c>
      <c r="BS131" s="114"/>
      <c r="BT131" s="1537">
        <f>BT111-BT121</f>
        <v>27.920000000000073</v>
      </c>
      <c r="BU131" s="1517">
        <f t="shared" ref="BU131:BU136" si="385">IF(BP131&lt;0,"       NM",(BT131/BP131-1)*100)</f>
        <v>31.284937216458996</v>
      </c>
      <c r="BV131" s="114"/>
      <c r="BW131" s="114"/>
      <c r="BX131" s="1537">
        <f>BX111-BX121</f>
        <v>17.051000000000094</v>
      </c>
      <c r="BY131" s="1517">
        <f t="shared" ref="BY131:BY136" si="386">IF(BT131&lt;0,"       NM",(BX131/BT131-1)*100)</f>
        <v>-38.929083094555693</v>
      </c>
      <c r="BZ131" s="114"/>
      <c r="CA131" s="114"/>
      <c r="CB131" s="1537">
        <f>CB111-CB121</f>
        <v>13.014999999999953</v>
      </c>
      <c r="CC131" s="1517">
        <f t="shared" ref="CC131:CC136" si="387">IF(BX131&lt;0,"       NM",(CB131/BX131-1)*100)</f>
        <v>-23.670165972670919</v>
      </c>
      <c r="CD131" s="245"/>
      <c r="CE131" s="245"/>
      <c r="CF131" s="1537">
        <f>CF111-CF121</f>
        <v>14.062000000000012</v>
      </c>
      <c r="CG131" s="1517">
        <f t="shared" ref="CG131:CG136" si="388">IF(CB131&lt;0,"       NM",(CF131/CB131-1)*100)</f>
        <v>8.044563964656648</v>
      </c>
      <c r="CH131" s="245"/>
      <c r="CI131" s="245"/>
      <c r="CJ131" s="1537">
        <f>CJ111-CJ121-CJ161</f>
        <v>8.5969999999999889</v>
      </c>
      <c r="CK131" s="1517">
        <f t="shared" ref="CK131:CK136" si="389">IF(CF131&lt;0,"       NM",(CJ131/CF131-1)*100)</f>
        <v>-38.863604039254859</v>
      </c>
      <c r="CL131" s="245"/>
      <c r="CM131" s="245"/>
      <c r="CN131" s="1537">
        <f>CN111-CN121-CN161</f>
        <v>-16.807999999999993</v>
      </c>
      <c r="CO131" s="1517">
        <f t="shared" ref="CO131:CO136" si="390">IF(CJ131&lt;0,"       NM",(CN131/CJ131-1)*100)</f>
        <v>-295.51006164941276</v>
      </c>
      <c r="CP131" s="245"/>
      <c r="CQ131" s="245"/>
      <c r="CR131" s="1537">
        <f>CR111-CR121-CR161</f>
        <v>-10.965999999999985</v>
      </c>
      <c r="CS131" s="1517" t="str">
        <f t="shared" ref="CS131:CS136" si="391">IF(CN131&lt;0,"       NM",(CR131/CN131-1)*100)</f>
        <v xml:space="preserve">       NM</v>
      </c>
      <c r="CT131" s="245"/>
      <c r="CU131" s="245"/>
      <c r="CV131" s="1537">
        <f>CV111-CV121-CV161</f>
        <v>-2.13811557709696</v>
      </c>
      <c r="CW131" s="1517" t="str">
        <f t="shared" ref="CW131:CW136" si="392">IF(CR131&lt;0,"       NM",(CV131/CR131-1)*100)</f>
        <v xml:space="preserve">       NM</v>
      </c>
      <c r="CX131" s="245"/>
    </row>
    <row r="132" spans="1:135">
      <c r="A132" s="114" t="str">
        <f>$A$12</f>
        <v>3Q</v>
      </c>
      <c r="B132" s="114" t="str">
        <f>$B$12</f>
        <v>Oct</v>
      </c>
      <c r="D132" s="1537">
        <f>D112-D122</f>
        <v>-0.4109999999999947</v>
      </c>
      <c r="E132" s="1517"/>
      <c r="H132" s="1537">
        <f>H112-H122</f>
        <v>1.6369999999999993</v>
      </c>
      <c r="I132" s="1517" t="str">
        <f t="shared" si="369"/>
        <v xml:space="preserve">       NM</v>
      </c>
      <c r="J132" s="1517"/>
      <c r="L132" s="1537">
        <f>L112-L122</f>
        <v>4.7320000000000011</v>
      </c>
      <c r="M132" s="1517">
        <f t="shared" si="370"/>
        <v>189.06536346976193</v>
      </c>
      <c r="P132" s="1537">
        <f>P112-P122</f>
        <v>10.402999999999992</v>
      </c>
      <c r="Q132" s="1517">
        <f t="shared" si="371"/>
        <v>119.84361792054079</v>
      </c>
      <c r="T132" s="1537">
        <f>T112-T122</f>
        <v>24.94299999999998</v>
      </c>
      <c r="U132" s="1517">
        <f t="shared" si="372"/>
        <v>139.76737479573202</v>
      </c>
      <c r="X132" s="1537">
        <f>X112-X122</f>
        <v>39.058999999999997</v>
      </c>
      <c r="Y132" s="1517">
        <f t="shared" si="373"/>
        <v>56.593032113218243</v>
      </c>
      <c r="AB132" s="1537">
        <f>AB112-AB122</f>
        <v>43.592000000000013</v>
      </c>
      <c r="AC132" s="1517">
        <f t="shared" si="374"/>
        <v>11.605519854579004</v>
      </c>
      <c r="AF132" s="1537">
        <f>AF112-AF122</f>
        <v>43.863000000000028</v>
      </c>
      <c r="AG132" s="1517">
        <f t="shared" si="375"/>
        <v>0.62167370159664781</v>
      </c>
      <c r="AJ132" s="1537">
        <f>AJ112-AJ122</f>
        <v>47.27500000000002</v>
      </c>
      <c r="AK132" s="1517">
        <f t="shared" si="376"/>
        <v>7.7787657023003165</v>
      </c>
      <c r="AN132" s="1537">
        <f>AN112-AN122</f>
        <v>49.933999999999941</v>
      </c>
      <c r="AO132" s="1517">
        <f t="shared" si="377"/>
        <v>5.6245372818612749</v>
      </c>
      <c r="AR132" s="1537">
        <f>AR112-AR122</f>
        <v>60.611000000000075</v>
      </c>
      <c r="AS132" s="1517">
        <f t="shared" si="378"/>
        <v>21.382224536388318</v>
      </c>
      <c r="AV132" s="1537">
        <f>AV112-AV122</f>
        <v>79.83499999999998</v>
      </c>
      <c r="AW132" s="1517">
        <f t="shared" si="379"/>
        <v>31.717015063272136</v>
      </c>
      <c r="AZ132" s="1537">
        <f>AZ112-AZ122</f>
        <v>102.03099999999993</v>
      </c>
      <c r="BA132" s="1517">
        <f t="shared" si="380"/>
        <v>27.802342331057762</v>
      </c>
      <c r="BD132" s="1537">
        <f>BD112-BD122</f>
        <v>117.58499999999992</v>
      </c>
      <c r="BE132" s="1517">
        <f t="shared" si="381"/>
        <v>15.244386509982256</v>
      </c>
      <c r="BH132" s="1537">
        <f>BH112-BH122</f>
        <v>69.743000000000066</v>
      </c>
      <c r="BI132" s="1517">
        <f t="shared" si="382"/>
        <v>-40.687162478207163</v>
      </c>
      <c r="BL132" s="1537">
        <f>BL112-BL122</f>
        <v>49.222999999999949</v>
      </c>
      <c r="BM132" s="1517">
        <f t="shared" si="383"/>
        <v>-29.422307615101296</v>
      </c>
      <c r="BP132" s="1537">
        <f>BP112-BP122</f>
        <v>50.040000000000049</v>
      </c>
      <c r="BQ132" s="1517">
        <f t="shared" si="384"/>
        <v>1.6597931861123794</v>
      </c>
      <c r="BS132" s="114"/>
      <c r="BT132" s="1537">
        <f>BT112-BT122</f>
        <v>56.792999999999978</v>
      </c>
      <c r="BU132" s="1517">
        <f t="shared" si="385"/>
        <v>13.495203836930303</v>
      </c>
      <c r="BV132" s="114"/>
      <c r="BW132" s="114"/>
      <c r="BX132" s="1537">
        <f>BX112-BX122</f>
        <v>84.035999999999916</v>
      </c>
      <c r="BY132" s="1517">
        <f t="shared" si="386"/>
        <v>47.968939834134396</v>
      </c>
      <c r="BZ132" s="114"/>
      <c r="CA132" s="114"/>
      <c r="CB132" s="1537">
        <f>CB112-CB122</f>
        <v>40.645000000000024</v>
      </c>
      <c r="CC132" s="1517">
        <f t="shared" si="387"/>
        <v>-51.633823599409702</v>
      </c>
      <c r="CD132" s="245"/>
      <c r="CE132" s="245"/>
      <c r="CF132" s="1537">
        <f>CF112-CF122</f>
        <v>30.40600000000002</v>
      </c>
      <c r="CG132" s="1517">
        <f t="shared" si="388"/>
        <v>-25.191290441628734</v>
      </c>
      <c r="CH132" s="245"/>
      <c r="CI132" s="245"/>
      <c r="CJ132" s="1537">
        <f>CJ112-CJ122-CJ162</f>
        <v>32.91699999999998</v>
      </c>
      <c r="CK132" s="1517">
        <f t="shared" si="389"/>
        <v>8.2582385055579799</v>
      </c>
      <c r="CL132" s="245"/>
      <c r="CM132" s="245"/>
      <c r="CN132" s="1537">
        <f>CN112-CN122-CN162</f>
        <v>1.4020000000000354</v>
      </c>
      <c r="CO132" s="1517">
        <f t="shared" si="390"/>
        <v>-95.740802624783441</v>
      </c>
      <c r="CP132" s="245"/>
      <c r="CQ132" s="245"/>
      <c r="CR132" s="1537">
        <f>CR112-CR122-CR162</f>
        <v>20.507999999999914</v>
      </c>
      <c r="CS132" s="1517">
        <f t="shared" si="391"/>
        <v>1362.7674750356202</v>
      </c>
      <c r="CT132" s="245"/>
      <c r="CU132" s="245"/>
      <c r="CV132" s="1537">
        <f>CV112-CV122-CV162</f>
        <v>21.787288302971184</v>
      </c>
      <c r="CW132" s="1517">
        <f t="shared" si="392"/>
        <v>6.2379964061404225</v>
      </c>
      <c r="CX132" s="245"/>
    </row>
    <row r="133" spans="1:135">
      <c r="A133" s="114" t="str">
        <f>$A$13</f>
        <v>4Q</v>
      </c>
      <c r="B133" s="114" t="str">
        <f>$B$13</f>
        <v>Jan</v>
      </c>
      <c r="C133" s="310"/>
      <c r="D133" s="1553">
        <f>D113-D123</f>
        <v>8.7180000000000053</v>
      </c>
      <c r="E133" s="1517"/>
      <c r="H133" s="1553">
        <f>H113-H123</f>
        <v>11.725999999999988</v>
      </c>
      <c r="I133" s="1517">
        <f t="shared" si="369"/>
        <v>34.503326451020655</v>
      </c>
      <c r="J133" s="1517"/>
      <c r="L133" s="1553">
        <f>L113-L123</f>
        <v>20.516999999999999</v>
      </c>
      <c r="M133" s="1517">
        <f t="shared" si="370"/>
        <v>74.970151799420265</v>
      </c>
      <c r="P133" s="1553">
        <f>P113-P123</f>
        <v>35.301000000000016</v>
      </c>
      <c r="Q133" s="1517">
        <f t="shared" si="371"/>
        <v>72.057318321392103</v>
      </c>
      <c r="T133" s="1553">
        <f>T113-T123</f>
        <v>60.212999999999987</v>
      </c>
      <c r="U133" s="1517">
        <f t="shared" si="372"/>
        <v>70.570238803433199</v>
      </c>
      <c r="X133" s="1553">
        <f>X113-X123</f>
        <v>76.721400000000003</v>
      </c>
      <c r="Y133" s="1517">
        <f t="shared" si="373"/>
        <v>27.416670818594024</v>
      </c>
      <c r="AB133" s="1553">
        <f>AB113-AB123</f>
        <v>77.215000000000003</v>
      </c>
      <c r="AC133" s="1517">
        <f t="shared" si="374"/>
        <v>0.64336677902123718</v>
      </c>
      <c r="AF133" s="1553">
        <f>AF113-AF123</f>
        <v>79.167999999999978</v>
      </c>
      <c r="AG133" s="1517">
        <f t="shared" si="375"/>
        <v>2.5293013015605492</v>
      </c>
      <c r="AJ133" s="1553">
        <f>AJ113-AJ123</f>
        <v>93.543999999999954</v>
      </c>
      <c r="AK133" s="1517">
        <f t="shared" si="376"/>
        <v>18.158852061438946</v>
      </c>
      <c r="AN133" s="1553">
        <f>AN113-AN123</f>
        <v>94.583000000000027</v>
      </c>
      <c r="AO133" s="1517">
        <f t="shared" si="377"/>
        <v>1.1107072607543733</v>
      </c>
      <c r="AR133" s="1553">
        <f>AR113-AR123</f>
        <v>104.26000000000008</v>
      </c>
      <c r="AS133" s="1517">
        <f>IF(AN133&lt;0,"       NM",(AR133/AN133-1)*100)</f>
        <v>10.231225484495155</v>
      </c>
      <c r="AV133" s="1553">
        <f>AV113-AV123</f>
        <v>164.62400000000008</v>
      </c>
      <c r="AW133" s="1517">
        <f t="shared" si="379"/>
        <v>57.89756378285054</v>
      </c>
      <c r="AZ133" s="1553">
        <f>AZ113-AZ123</f>
        <v>198.19200000000001</v>
      </c>
      <c r="BA133" s="1517">
        <f t="shared" si="380"/>
        <v>20.390708523666</v>
      </c>
      <c r="BD133" s="1553">
        <f>BD113-BD123</f>
        <v>216.75600000000009</v>
      </c>
      <c r="BE133" s="1517">
        <f t="shared" si="381"/>
        <v>9.3666747396464523</v>
      </c>
      <c r="BH133" s="1553">
        <f>BH113-BH123</f>
        <v>88.020999999999958</v>
      </c>
      <c r="BI133" s="1517">
        <f t="shared" si="382"/>
        <v>-59.391666205318458</v>
      </c>
      <c r="BL133" s="1553">
        <f>BL113-BL123</f>
        <v>80.944999999999908</v>
      </c>
      <c r="BM133" s="1517">
        <f t="shared" si="383"/>
        <v>-8.0389906954022923</v>
      </c>
      <c r="BP133" s="1553">
        <f>BP113-BP123</f>
        <v>124.04530919999981</v>
      </c>
      <c r="BQ133" s="1517">
        <f t="shared" si="384"/>
        <v>53.246413243560383</v>
      </c>
      <c r="BS133" s="114"/>
      <c r="BT133" s="1553">
        <f>BT113-BT123</f>
        <v>124.56400000000015</v>
      </c>
      <c r="BU133" s="1517">
        <f t="shared" si="385"/>
        <v>0.41814624297003</v>
      </c>
      <c r="BV133" s="114"/>
      <c r="BW133" s="114"/>
      <c r="BX133" s="1553">
        <f>BX113-BX123</f>
        <v>161.81399999999996</v>
      </c>
      <c r="BY133" s="1517">
        <f t="shared" si="386"/>
        <v>29.904306220095499</v>
      </c>
      <c r="BZ133" s="114"/>
      <c r="CA133" s="114"/>
      <c r="CB133" s="1553">
        <f>CB113-CB123</f>
        <v>104.26299999999992</v>
      </c>
      <c r="CC133" s="1517">
        <f t="shared" si="387"/>
        <v>-35.566143844166795</v>
      </c>
      <c r="CD133" s="245"/>
      <c r="CE133" s="245"/>
      <c r="CF133" s="1553">
        <f>CF113-CF123</f>
        <v>80.825000000000159</v>
      </c>
      <c r="CG133" s="1517">
        <f t="shared" si="388"/>
        <v>-22.479690781964624</v>
      </c>
      <c r="CH133" s="245"/>
      <c r="CI133" s="245"/>
      <c r="CJ133" s="1553">
        <f>CJ113-CJ123-CJ163</f>
        <v>73.707000000000093</v>
      </c>
      <c r="CK133" s="1517">
        <f t="shared" si="389"/>
        <v>-8.806681101144509</v>
      </c>
      <c r="CL133" s="245"/>
      <c r="CM133" s="245"/>
      <c r="CN133" s="1553">
        <f>CN113-CN123-CN163</f>
        <v>50.922999999999952</v>
      </c>
      <c r="CO133" s="1517">
        <f t="shared" si="390"/>
        <v>-30.911582346317324</v>
      </c>
      <c r="CP133" s="245"/>
      <c r="CQ133" s="245"/>
      <c r="CR133" s="1553">
        <f>CR113-CR123-CR163</f>
        <v>97.16299999999994</v>
      </c>
      <c r="CS133" s="1517">
        <f t="shared" si="391"/>
        <v>90.803762543448016</v>
      </c>
      <c r="CT133" s="245"/>
      <c r="CU133" s="245"/>
      <c r="CV133" s="1553">
        <f>CV113-CV123-CV163</f>
        <v>56.516610344009941</v>
      </c>
      <c r="CW133" s="1517">
        <f t="shared" si="392"/>
        <v>-41.833197468161778</v>
      </c>
      <c r="CX133" s="245"/>
    </row>
    <row r="134" spans="1:135">
      <c r="B134" s="114" t="str">
        <f>$B$14</f>
        <v>Year</v>
      </c>
      <c r="D134" s="1536">
        <f>SUM(D130:D133)</f>
        <v>5.0790000000000113</v>
      </c>
      <c r="E134" s="1517"/>
      <c r="H134" s="1536">
        <f>SUM(H130:H133)</f>
        <v>10.838999999999988</v>
      </c>
      <c r="I134" s="1517">
        <f t="shared" si="369"/>
        <v>113.40815121086756</v>
      </c>
      <c r="J134" s="1517"/>
      <c r="L134" s="1536">
        <f>SUM(L130:L133)</f>
        <v>24.577000000000005</v>
      </c>
      <c r="M134" s="1517">
        <f t="shared" si="370"/>
        <v>126.74600977950026</v>
      </c>
      <c r="P134" s="1536">
        <f>SUM(P130:P133)</f>
        <v>48.32200000000001</v>
      </c>
      <c r="Q134" s="1517">
        <f t="shared" si="371"/>
        <v>96.614721080685186</v>
      </c>
      <c r="T134" s="1536">
        <f>SUM(T130:T133)</f>
        <v>102.06199999999998</v>
      </c>
      <c r="U134" s="1517">
        <f t="shared" si="372"/>
        <v>111.21228425975738</v>
      </c>
      <c r="X134" s="1536">
        <f>SUM(X130:X133)</f>
        <v>149.60140000000001</v>
      </c>
      <c r="Y134" s="1517">
        <f t="shared" si="373"/>
        <v>46.57894221159691</v>
      </c>
      <c r="AB134" s="1536">
        <f>SUM(AB130:AB133)</f>
        <v>158.13300000000001</v>
      </c>
      <c r="AC134" s="1517">
        <f t="shared" si="374"/>
        <v>5.7028878071996525</v>
      </c>
      <c r="AF134" s="1536">
        <f>SUM(AF130:AF133)</f>
        <v>168.672</v>
      </c>
      <c r="AG134" s="1517">
        <f t="shared" si="375"/>
        <v>6.6646430536320578</v>
      </c>
      <c r="AJ134" s="1536">
        <f>SUM(AJ130:AJ133)</f>
        <v>194.75399999999991</v>
      </c>
      <c r="AK134" s="1517">
        <f t="shared" si="376"/>
        <v>15.463147410358502</v>
      </c>
      <c r="AN134" s="1536">
        <f>SUM(AN130:AN133)</f>
        <v>204.82999999999996</v>
      </c>
      <c r="AO134" s="1517">
        <f t="shared" si="377"/>
        <v>5.1737063166867214</v>
      </c>
      <c r="AR134" s="1536">
        <f>SUM(AR130:AR133)</f>
        <v>237.07400000000021</v>
      </c>
      <c r="AS134" s="1517">
        <f t="shared" si="378"/>
        <v>15.741834692183886</v>
      </c>
      <c r="AV134" s="1536">
        <f>SUM(AV130:AV133)</f>
        <v>342.21899999999994</v>
      </c>
      <c r="AW134" s="1517">
        <f t="shared" si="379"/>
        <v>44.35113087052973</v>
      </c>
      <c r="AZ134" s="1536">
        <f>SUM(AZ130:AZ133)</f>
        <v>422.18499999999989</v>
      </c>
      <c r="BA134" s="1517">
        <f t="shared" si="380"/>
        <v>23.366908324786163</v>
      </c>
      <c r="BD134" s="1536">
        <f>SUM(BD130:BD133)</f>
        <v>475.697</v>
      </c>
      <c r="BE134" s="1517">
        <f t="shared" si="381"/>
        <v>12.675012139228103</v>
      </c>
      <c r="BH134" s="1536">
        <f>SUM(BH130:BH133)</f>
        <v>308.17100000000005</v>
      </c>
      <c r="BI134" s="1517">
        <f t="shared" si="382"/>
        <v>-35.216955330809306</v>
      </c>
      <c r="BL134" s="1536">
        <f>SUM(BL130:BL133)</f>
        <v>98.871999999999929</v>
      </c>
      <c r="BM134" s="1517">
        <f t="shared" si="383"/>
        <v>-67.916513883525738</v>
      </c>
      <c r="BP134" s="1536">
        <f>SUM(BP130:BP133)</f>
        <v>183.52402919999977</v>
      </c>
      <c r="BQ134" s="1517">
        <f t="shared" si="384"/>
        <v>85.61779796099998</v>
      </c>
      <c r="BS134" s="114"/>
      <c r="BT134" s="1536">
        <f>SUM(BT130:BT133)</f>
        <v>222.07600000000025</v>
      </c>
      <c r="BU134" s="1517">
        <f t="shared" si="385"/>
        <v>21.006497605818986</v>
      </c>
      <c r="BV134" s="114"/>
      <c r="BW134" s="114"/>
      <c r="BX134" s="1536">
        <f>SUM(BX130:BX133)</f>
        <v>241.59599999999998</v>
      </c>
      <c r="BY134" s="1517">
        <f t="shared" si="386"/>
        <v>8.7897836776597682</v>
      </c>
      <c r="BZ134" s="114"/>
      <c r="CA134" s="114"/>
      <c r="CB134" s="1536">
        <f>SUM(CB130:CB133)</f>
        <v>151.53799999999984</v>
      </c>
      <c r="CC134" s="1517">
        <f t="shared" si="387"/>
        <v>-37.276279408599542</v>
      </c>
      <c r="CD134" s="245"/>
      <c r="CE134" s="245"/>
      <c r="CF134" s="1536">
        <f>SUM(CF130:CF133)</f>
        <v>112.32900000000015</v>
      </c>
      <c r="CG134" s="1517">
        <f t="shared" si="388"/>
        <v>-25.874038195040004</v>
      </c>
      <c r="CH134" s="245"/>
      <c r="CI134" s="245"/>
      <c r="CJ134" s="1536">
        <f>SUM(CJ130:CJ133)</f>
        <v>78.041400000000095</v>
      </c>
      <c r="CK134" s="1517">
        <f t="shared" si="389"/>
        <v>-30.524263547258514</v>
      </c>
      <c r="CL134" s="245"/>
      <c r="CM134" s="245"/>
      <c r="CN134" s="1536">
        <f>CN114-CN124-CN164</f>
        <v>-4.0700000000000607</v>
      </c>
      <c r="CO134" s="1517">
        <f t="shared" si="390"/>
        <v>-105.21518066052128</v>
      </c>
      <c r="CP134" s="245"/>
      <c r="CQ134" s="245"/>
      <c r="CR134" s="1536">
        <f>CR114-CR124-CR164</f>
        <v>45.004999999999917</v>
      </c>
      <c r="CS134" s="1517" t="str">
        <f t="shared" si="391"/>
        <v xml:space="preserve">       NM</v>
      </c>
      <c r="CT134" s="245"/>
      <c r="CU134" s="245"/>
      <c r="CV134" s="1536">
        <f>CV114-CV124-CV164</f>
        <v>17.941887861879639</v>
      </c>
      <c r="CW134" s="1517">
        <f t="shared" si="392"/>
        <v>-60.133567688302023</v>
      </c>
      <c r="CX134" s="245"/>
    </row>
    <row r="135" spans="1:135" ht="12.75" hidden="1" customHeight="1" outlineLevel="1">
      <c r="A135" s="114" t="str">
        <f>$A$15</f>
        <v>6 Mos</v>
      </c>
      <c r="D135" s="1537">
        <f>SUM(D130:D131)</f>
        <v>-3.2279999999999993</v>
      </c>
      <c r="E135" s="1517"/>
      <c r="H135" s="1537">
        <f>SUM(H130:H131)</f>
        <v>-2.524</v>
      </c>
      <c r="I135" s="1517" t="str">
        <f t="shared" si="369"/>
        <v xml:space="preserve">       NM</v>
      </c>
      <c r="J135" s="1517"/>
      <c r="L135" s="1537">
        <f>SUM(L130:L131)</f>
        <v>-0.6719999999999946</v>
      </c>
      <c r="M135" s="1517" t="str">
        <f t="shared" si="370"/>
        <v xml:space="preserve">       NM</v>
      </c>
      <c r="P135" s="1537">
        <f>SUM(P130:P131)</f>
        <v>2.6180000000000039</v>
      </c>
      <c r="Q135" s="1517" t="str">
        <f t="shared" si="371"/>
        <v xml:space="preserve">       NM</v>
      </c>
      <c r="T135" s="1537">
        <f>SUM(T130:T131)</f>
        <v>16.906000000000006</v>
      </c>
      <c r="U135" s="1517">
        <f t="shared" si="372"/>
        <v>545.76012223070973</v>
      </c>
      <c r="X135" s="1537">
        <f>SUM(X130:X131)</f>
        <v>33.820999999999998</v>
      </c>
      <c r="Y135" s="1517">
        <f t="shared" si="373"/>
        <v>100.05323553767886</v>
      </c>
      <c r="AB135" s="1537">
        <f>SUM(AB130:AB131)</f>
        <v>37.326000000000001</v>
      </c>
      <c r="AC135" s="1517">
        <f t="shared" si="374"/>
        <v>10.363383696519923</v>
      </c>
      <c r="AF135" s="1537">
        <f>SUM(AF130:AF131)</f>
        <v>45.640999999999991</v>
      </c>
      <c r="AG135" s="1517">
        <f t="shared" si="375"/>
        <v>22.276697208380192</v>
      </c>
      <c r="AJ135" s="1537">
        <f>SUM(AJ130:AJ131)</f>
        <v>53.934999999999924</v>
      </c>
      <c r="AK135" s="1517">
        <f t="shared" si="376"/>
        <v>18.172257400144453</v>
      </c>
      <c r="AN135" s="1537">
        <f>SUM(AN130:AN131)</f>
        <v>60.312999999999988</v>
      </c>
      <c r="AO135" s="1517">
        <f t="shared" si="377"/>
        <v>11.825345323074199</v>
      </c>
      <c r="AR135" s="1537">
        <f>SUM(AR130:AR131)</f>
        <v>72.203000000000046</v>
      </c>
      <c r="AS135" s="1517">
        <f t="shared" si="378"/>
        <v>19.71382620662223</v>
      </c>
      <c r="AV135" s="1537">
        <f>SUM(AV130:AV131)</f>
        <v>97.759999999999906</v>
      </c>
      <c r="AW135" s="1517">
        <f t="shared" si="379"/>
        <v>35.396036175781951</v>
      </c>
      <c r="AZ135" s="1537">
        <f>SUM(AZ130:AZ131)</f>
        <v>121.96199999999995</v>
      </c>
      <c r="BA135" s="1517">
        <f t="shared" si="380"/>
        <v>24.75654664484459</v>
      </c>
      <c r="BD135" s="1537">
        <f>SUM(BD130:BD131)</f>
        <v>141.35599999999999</v>
      </c>
      <c r="BE135" s="1517">
        <f t="shared" si="381"/>
        <v>15.901674291992629</v>
      </c>
      <c r="BH135" s="1537">
        <f>SUM(BH130:BH131)</f>
        <v>150.40700000000004</v>
      </c>
      <c r="BI135" s="1517">
        <f t="shared" si="382"/>
        <v>6.402982540535973</v>
      </c>
      <c r="BL135" s="1537">
        <f>SUM(BL130:BL131)</f>
        <v>-31.295999999999921</v>
      </c>
      <c r="BM135" s="1517">
        <f t="shared" si="383"/>
        <v>-120.80754220215807</v>
      </c>
      <c r="BP135" s="1537">
        <f>SUM(BP130:BP131)</f>
        <v>9.4387199999999254</v>
      </c>
      <c r="BQ135" s="1517" t="str">
        <f t="shared" si="384"/>
        <v xml:space="preserve">       NM</v>
      </c>
      <c r="BS135" s="114"/>
      <c r="BT135" s="1537">
        <f>SUM(BT130:BT131)</f>
        <v>40.719000000000122</v>
      </c>
      <c r="BU135" s="1517">
        <f t="shared" si="385"/>
        <v>331.40383441823093</v>
      </c>
      <c r="BV135" s="114"/>
      <c r="BW135" s="114"/>
      <c r="BX135" s="1537">
        <f>SUM(BX130:BX131)</f>
        <v>-4.2539999999999019</v>
      </c>
      <c r="BY135" s="1517">
        <f t="shared" si="386"/>
        <v>-110.44721137552467</v>
      </c>
      <c r="BZ135" s="114"/>
      <c r="CA135" s="114"/>
      <c r="CB135" s="1537">
        <f>SUM(CB130:CB131)</f>
        <v>6.6299999999999031</v>
      </c>
      <c r="CC135" s="1517" t="str">
        <f t="shared" si="387"/>
        <v xml:space="preserve">       NM</v>
      </c>
      <c r="CD135" s="245"/>
      <c r="CE135" s="245"/>
      <c r="CF135" s="1537">
        <f>SUM(CF130:CF131)</f>
        <v>1.0979999999999617</v>
      </c>
      <c r="CG135" s="1517">
        <f t="shared" si="388"/>
        <v>-83.438914027149664</v>
      </c>
      <c r="CH135" s="245"/>
      <c r="CI135" s="245"/>
      <c r="CJ135" s="1537">
        <f>SUM(CJ130:CJ131)</f>
        <v>-28.582599999999971</v>
      </c>
      <c r="CK135" s="1517">
        <f t="shared" si="389"/>
        <v>-2703.1511839709442</v>
      </c>
      <c r="CL135" s="245"/>
      <c r="CM135" s="245"/>
      <c r="CN135" s="1537">
        <f>SUM(CN130:CN131)</f>
        <v>-56.395000000000046</v>
      </c>
      <c r="CO135" s="1517" t="str">
        <f t="shared" si="390"/>
        <v xml:space="preserve">       NM</v>
      </c>
      <c r="CP135" s="245"/>
      <c r="CQ135" s="245"/>
      <c r="CR135" s="1537">
        <f>SUM(CR130:CR131)</f>
        <v>-72.665999999999926</v>
      </c>
      <c r="CS135" s="1517" t="str">
        <f t="shared" si="391"/>
        <v xml:space="preserve">       NM</v>
      </c>
      <c r="CT135" s="245"/>
      <c r="CU135" s="245"/>
      <c r="CV135" s="1537">
        <f>SUM(CV130:CV131)</f>
        <v>-60.362010785101496</v>
      </c>
      <c r="CW135" s="1517" t="str">
        <f t="shared" si="392"/>
        <v xml:space="preserve">       NM</v>
      </c>
      <c r="CX135" s="245"/>
    </row>
    <row r="136" spans="1:135" ht="12.75" hidden="1" customHeight="1" outlineLevel="1">
      <c r="A136" s="114" t="str">
        <f>$A$16</f>
        <v>9 Mos</v>
      </c>
      <c r="D136" s="1537">
        <f>SUM(D130:D132)</f>
        <v>-3.638999999999994</v>
      </c>
      <c r="E136" s="1517"/>
      <c r="H136" s="1537">
        <f>SUM(H130:H132)</f>
        <v>-0.88700000000000068</v>
      </c>
      <c r="I136" s="1517" t="str">
        <f t="shared" si="369"/>
        <v xml:space="preserve">       NM</v>
      </c>
      <c r="J136" s="1517"/>
      <c r="L136" s="1537">
        <f>SUM(L130:L132)</f>
        <v>4.0600000000000067</v>
      </c>
      <c r="M136" s="1517" t="str">
        <f t="shared" si="370"/>
        <v xml:space="preserve">       NM</v>
      </c>
      <c r="P136" s="1537">
        <f>SUM(P130:P132)</f>
        <v>13.020999999999995</v>
      </c>
      <c r="Q136" s="1517">
        <f t="shared" si="371"/>
        <v>220.71428571428507</v>
      </c>
      <c r="T136" s="1537">
        <f>SUM(T130:T132)</f>
        <v>41.84899999999999</v>
      </c>
      <c r="U136" s="1517">
        <f t="shared" si="372"/>
        <v>221.39620612856157</v>
      </c>
      <c r="X136" s="1537">
        <f>SUM(X130:X132)</f>
        <v>72.88</v>
      </c>
      <c r="Y136" s="1517">
        <f t="shared" si="373"/>
        <v>74.149919950297544</v>
      </c>
      <c r="AB136" s="1537">
        <f>SUM(AB130:AB132)</f>
        <v>80.918000000000006</v>
      </c>
      <c r="AC136" s="1517">
        <f t="shared" si="374"/>
        <v>11.029088913282115</v>
      </c>
      <c r="AF136" s="1537">
        <f>SUM(AF130:AF132)</f>
        <v>89.504000000000019</v>
      </c>
      <c r="AG136" s="1517">
        <f t="shared" si="375"/>
        <v>10.610741738550145</v>
      </c>
      <c r="AJ136" s="1537">
        <f>SUM(AJ130:AJ132)</f>
        <v>101.20999999999995</v>
      </c>
      <c r="AK136" s="1517">
        <f t="shared" si="376"/>
        <v>13.078745084018518</v>
      </c>
      <c r="AN136" s="1537">
        <f>SUM(AN130:AN132)</f>
        <v>110.24699999999993</v>
      </c>
      <c r="AO136" s="1517">
        <f t="shared" si="377"/>
        <v>8.9289595889733953</v>
      </c>
      <c r="AR136" s="1537">
        <f>SUM(AR130:AR132)</f>
        <v>132.81400000000014</v>
      </c>
      <c r="AS136" s="1517">
        <f t="shared" si="378"/>
        <v>20.469491233321733</v>
      </c>
      <c r="AV136" s="1537">
        <f>SUM(AV130:AV132)</f>
        <v>177.59499999999989</v>
      </c>
      <c r="AW136" s="1517">
        <f t="shared" si="379"/>
        <v>33.717078018883328</v>
      </c>
      <c r="AZ136" s="1537">
        <f>SUM(AZ130:AZ132)</f>
        <v>223.99299999999988</v>
      </c>
      <c r="BA136" s="1517">
        <f t="shared" si="380"/>
        <v>26.125735521833391</v>
      </c>
      <c r="BD136" s="1537">
        <f>SUM(BD130:BD132)</f>
        <v>258.94099999999992</v>
      </c>
      <c r="BE136" s="1517">
        <f t="shared" si="381"/>
        <v>15.602273285325907</v>
      </c>
      <c r="BH136" s="1537">
        <f>SUM(BH130:BH132)</f>
        <v>220.15000000000009</v>
      </c>
      <c r="BI136" s="1517">
        <f t="shared" si="382"/>
        <v>-14.980632653770487</v>
      </c>
      <c r="BL136" s="1537">
        <f>SUM(BL130:BL132)</f>
        <v>17.927000000000028</v>
      </c>
      <c r="BM136" s="1517">
        <f t="shared" si="383"/>
        <v>-91.856915739268672</v>
      </c>
      <c r="BP136" s="1537">
        <f>SUM(BP130:BP132)</f>
        <v>59.478719999999974</v>
      </c>
      <c r="BQ136" s="1517">
        <f t="shared" si="384"/>
        <v>231.78289730573928</v>
      </c>
      <c r="BS136" s="114"/>
      <c r="BT136" s="1537">
        <f>SUM(BT130:BT132)</f>
        <v>97.5120000000001</v>
      </c>
      <c r="BU136" s="1517">
        <f t="shared" si="385"/>
        <v>63.9443484997662</v>
      </c>
      <c r="BV136" s="114"/>
      <c r="BW136" s="114"/>
      <c r="BX136" s="1537">
        <f>SUM(BX130:BX132)</f>
        <v>79.782000000000011</v>
      </c>
      <c r="BY136" s="1517">
        <f t="shared" si="386"/>
        <v>-18.182377553531946</v>
      </c>
      <c r="BZ136" s="114"/>
      <c r="CA136" s="114"/>
      <c r="CB136" s="1537">
        <f>SUM(CB130:CB132)</f>
        <v>47.274999999999928</v>
      </c>
      <c r="CC136" s="1517">
        <f t="shared" si="387"/>
        <v>-40.744779524203558</v>
      </c>
      <c r="CD136" s="245"/>
      <c r="CE136" s="245"/>
      <c r="CF136" s="1537">
        <f>SUM(CF130:CF132)</f>
        <v>31.503999999999984</v>
      </c>
      <c r="CG136" s="1517">
        <f t="shared" si="388"/>
        <v>-33.360126916975076</v>
      </c>
      <c r="CH136" s="245"/>
      <c r="CI136" s="245"/>
      <c r="CJ136" s="1537">
        <f>SUM(CJ130:CJ132)</f>
        <v>4.3344000000000094</v>
      </c>
      <c r="CK136" s="1517">
        <f t="shared" si="389"/>
        <v>-86.241747079735859</v>
      </c>
      <c r="CL136" s="245"/>
      <c r="CM136" s="245"/>
      <c r="CN136" s="1537">
        <f>SUM(CN130:CN132)</f>
        <v>-54.993000000000009</v>
      </c>
      <c r="CO136" s="1517">
        <f t="shared" si="390"/>
        <v>-1368.7569213731979</v>
      </c>
      <c r="CP136" s="245"/>
      <c r="CQ136" s="245"/>
      <c r="CR136" s="1537">
        <f>SUM(CR130:CR132)</f>
        <v>-52.158000000000015</v>
      </c>
      <c r="CS136" s="1517" t="str">
        <f t="shared" si="391"/>
        <v xml:space="preserve">       NM</v>
      </c>
      <c r="CT136" s="245"/>
      <c r="CU136" s="245"/>
      <c r="CV136" s="1537">
        <f>SUM(CV130:CV132)</f>
        <v>-38.574722482130312</v>
      </c>
      <c r="CW136" s="1517" t="str">
        <f t="shared" si="392"/>
        <v xml:space="preserve">       NM</v>
      </c>
      <c r="CX136" s="245"/>
    </row>
    <row r="137" spans="1:135" collapsed="1">
      <c r="A137" s="1042"/>
      <c r="B137" s="1042"/>
      <c r="C137" s="1042"/>
      <c r="D137" s="1042"/>
      <c r="E137" s="1042"/>
      <c r="F137" s="1042"/>
      <c r="G137" s="1042"/>
      <c r="H137" s="1042"/>
      <c r="I137" s="1042"/>
      <c r="J137" s="1042"/>
      <c r="K137" s="1042"/>
      <c r="L137" s="1042"/>
      <c r="M137" s="1042"/>
      <c r="N137" s="1042"/>
      <c r="O137" s="1042"/>
      <c r="P137" s="1042"/>
      <c r="Q137" s="1042"/>
      <c r="R137" s="1042"/>
      <c r="S137" s="1042"/>
      <c r="T137" s="1042"/>
      <c r="U137" s="1042"/>
      <c r="V137" s="1042"/>
      <c r="W137" s="1042"/>
      <c r="X137" s="1042"/>
      <c r="Y137" s="1042"/>
      <c r="Z137" s="1042"/>
      <c r="AA137" s="1042"/>
      <c r="AB137" s="1042"/>
      <c r="AC137" s="1042"/>
      <c r="AD137" s="1042"/>
      <c r="AE137" s="1042"/>
      <c r="AF137" s="1042"/>
      <c r="AG137" s="1042"/>
      <c r="AH137" s="1042"/>
      <c r="AI137" s="1042"/>
      <c r="AJ137" s="310"/>
      <c r="AK137" s="310"/>
      <c r="AL137" s="310"/>
      <c r="AM137" s="310"/>
      <c r="AN137" s="310"/>
      <c r="AO137" s="310"/>
      <c r="AP137" s="310"/>
      <c r="AQ137" s="310"/>
      <c r="AR137" s="1638"/>
      <c r="AS137" s="310"/>
      <c r="AT137" s="310"/>
      <c r="AU137" s="310"/>
      <c r="AV137" s="310"/>
      <c r="AW137" s="310"/>
      <c r="AX137" s="310"/>
      <c r="AY137" s="310"/>
      <c r="AZ137" s="310"/>
      <c r="BA137" s="310"/>
      <c r="BB137" s="310"/>
      <c r="BC137" s="310"/>
      <c r="BD137" s="310"/>
      <c r="BE137" s="310"/>
      <c r="BF137" s="310"/>
      <c r="BG137" s="310"/>
      <c r="BH137" s="310"/>
      <c r="BI137" s="310"/>
      <c r="BJ137" s="310"/>
      <c r="BK137" s="310"/>
      <c r="BL137" s="310"/>
      <c r="BM137" s="310"/>
      <c r="BN137" s="310"/>
      <c r="BO137" s="310"/>
      <c r="BP137" s="310"/>
      <c r="BQ137" s="310"/>
      <c r="BR137" s="310"/>
      <c r="BS137" s="310"/>
      <c r="BT137" s="310"/>
      <c r="BU137" s="310"/>
      <c r="BV137" s="310"/>
      <c r="BW137" s="310"/>
      <c r="BX137" s="310"/>
      <c r="BY137" s="310"/>
      <c r="BZ137" s="310"/>
      <c r="CA137" s="310"/>
      <c r="CB137" s="1639"/>
      <c r="CC137" s="247"/>
      <c r="CD137" s="247"/>
      <c r="CE137" s="247"/>
      <c r="CF137" s="1639"/>
      <c r="CG137" s="247"/>
      <c r="CH137" s="247"/>
      <c r="CI137" s="247"/>
      <c r="CJ137" s="1639"/>
      <c r="CK137" s="247"/>
      <c r="CL137" s="247"/>
      <c r="CM137" s="247"/>
      <c r="CN137" s="1639"/>
      <c r="CO137" s="247"/>
      <c r="CP137" s="247"/>
      <c r="CQ137" s="247"/>
      <c r="CR137" s="1639"/>
      <c r="CS137" s="247"/>
      <c r="CT137" s="247"/>
      <c r="CU137" s="247"/>
      <c r="CV137" s="1639"/>
      <c r="CW137" s="247"/>
      <c r="CX137" s="247"/>
      <c r="CY137" s="97"/>
      <c r="CZ137" s="97"/>
      <c r="DA137" s="97"/>
      <c r="DB137" s="97"/>
      <c r="DC137" s="97"/>
      <c r="DD137" s="97"/>
      <c r="DE137" s="97"/>
      <c r="DF137" s="97"/>
      <c r="DG137" s="97"/>
      <c r="DH137" s="97"/>
      <c r="DI137" s="97"/>
      <c r="DJ137" s="97"/>
      <c r="DK137" s="97"/>
      <c r="DL137" s="97"/>
      <c r="DM137" s="97"/>
      <c r="DN137" s="97"/>
      <c r="DO137" s="97"/>
      <c r="DP137" s="97"/>
      <c r="DQ137" s="97"/>
      <c r="DR137" s="97"/>
      <c r="DS137" s="97"/>
      <c r="DT137" s="97"/>
      <c r="DU137" s="97"/>
      <c r="DV137" s="97"/>
      <c r="DW137" s="97"/>
      <c r="DX137" s="97"/>
      <c r="DY137" s="97"/>
      <c r="DZ137" s="97"/>
      <c r="EA137" s="97"/>
      <c r="EB137" s="97"/>
      <c r="EC137" s="97"/>
      <c r="ED137" s="97"/>
      <c r="EE137" s="97"/>
    </row>
    <row r="138" spans="1:135" collapsed="1">
      <c r="C138" s="313"/>
      <c r="D138" s="313"/>
      <c r="H138" s="1629"/>
      <c r="I138" s="1533"/>
      <c r="J138" s="1533"/>
      <c r="K138" s="1533"/>
      <c r="L138" s="1629"/>
      <c r="M138" s="1533"/>
      <c r="N138" s="1533"/>
      <c r="O138" s="1533"/>
      <c r="P138" s="1629"/>
      <c r="Q138" s="1533"/>
      <c r="R138" s="1533"/>
      <c r="S138" s="1533"/>
      <c r="T138" s="1629"/>
      <c r="U138" s="1533"/>
      <c r="V138" s="1533"/>
      <c r="W138" s="1533"/>
      <c r="Y138" s="1533"/>
      <c r="Z138" s="1533"/>
      <c r="AA138" s="1533"/>
      <c r="AC138" s="1533"/>
      <c r="AD138" s="1533"/>
      <c r="AE138" s="1533"/>
      <c r="AF138" s="1629"/>
      <c r="AG138" s="1533"/>
      <c r="AH138" s="1533"/>
      <c r="AI138" s="1533"/>
      <c r="AK138" s="1533"/>
      <c r="AL138" s="1533"/>
      <c r="AM138" s="1533"/>
      <c r="AN138" s="1629"/>
      <c r="AO138" s="1533"/>
      <c r="AP138" s="1533"/>
      <c r="AQ138" s="1533"/>
      <c r="AS138" s="1533"/>
      <c r="AT138" s="1533"/>
      <c r="AU138" s="1533"/>
      <c r="AV138" s="1629"/>
      <c r="AW138" s="1533"/>
      <c r="AX138" s="1533"/>
      <c r="AY138" s="1533"/>
      <c r="AZ138" s="1629"/>
      <c r="BA138" s="1533"/>
      <c r="BB138" s="1533"/>
      <c r="BC138" s="1533"/>
      <c r="BD138" s="1629"/>
      <c r="BE138" s="1533"/>
      <c r="BF138" s="1533"/>
      <c r="BG138" s="1533"/>
      <c r="BH138" s="1629"/>
      <c r="BI138" s="22"/>
      <c r="BJ138" s="1533"/>
      <c r="BK138" s="1533"/>
      <c r="BL138" s="1629"/>
      <c r="BM138" s="1533"/>
      <c r="BN138" s="1533"/>
      <c r="BO138" s="1533"/>
      <c r="BP138" s="1629"/>
      <c r="BQ138" s="1533"/>
      <c r="BR138" s="1533"/>
      <c r="BS138" s="1533"/>
      <c r="BT138" s="1629"/>
      <c r="BV138" s="1533"/>
      <c r="BW138" s="1533"/>
      <c r="BX138" s="1629"/>
      <c r="BY138" s="1533"/>
      <c r="BZ138" s="1533"/>
      <c r="CA138" s="1533"/>
      <c r="CB138" s="245"/>
      <c r="CC138" s="245"/>
      <c r="CD138" s="245"/>
      <c r="CE138" s="1629" t="s">
        <v>24</v>
      </c>
      <c r="CF138" s="245"/>
      <c r="CG138" s="245"/>
      <c r="CH138" s="245"/>
      <c r="CI138" s="245"/>
      <c r="CJ138" s="245"/>
      <c r="CK138" s="245"/>
      <c r="CL138" s="245"/>
      <c r="CM138" s="245"/>
      <c r="CN138" s="245"/>
      <c r="CO138" s="245"/>
      <c r="CP138" s="245"/>
      <c r="CQ138" s="245"/>
      <c r="CR138" s="245"/>
      <c r="CS138" s="245"/>
      <c r="CT138" s="245"/>
      <c r="CU138" s="245"/>
      <c r="CV138" s="245"/>
      <c r="CW138" s="245"/>
      <c r="CX138" s="245"/>
    </row>
    <row r="139" spans="1:135">
      <c r="AR139" s="1536"/>
      <c r="BS139" s="114"/>
      <c r="BT139" s="114"/>
      <c r="BU139" s="114"/>
      <c r="BV139" s="114"/>
      <c r="BW139" s="114"/>
      <c r="BX139" s="1536"/>
      <c r="BY139" s="114"/>
      <c r="BZ139" s="114"/>
      <c r="CA139" s="114"/>
      <c r="CB139" s="245"/>
      <c r="CC139" s="245"/>
      <c r="CD139" s="245"/>
      <c r="CE139" s="245"/>
      <c r="CF139" s="245"/>
      <c r="CG139" s="245"/>
      <c r="CH139" s="245"/>
      <c r="CI139" s="245"/>
      <c r="CJ139" s="245"/>
      <c r="CK139" s="245"/>
      <c r="CL139" s="245"/>
      <c r="CM139" s="245"/>
      <c r="CN139" s="245"/>
      <c r="CO139" s="245"/>
      <c r="CP139" s="245"/>
      <c r="CQ139" s="245"/>
      <c r="CR139" s="245"/>
      <c r="CS139" s="245"/>
      <c r="CT139" s="245"/>
      <c r="CU139" s="245"/>
      <c r="CV139" s="245"/>
      <c r="CW139" s="245"/>
      <c r="CX139" s="245"/>
    </row>
    <row r="140" spans="1:135">
      <c r="A140" s="114" t="str">
        <f>$A$10</f>
        <v>1Q</v>
      </c>
      <c r="B140" s="114" t="str">
        <f>$B$10</f>
        <v>Apr</v>
      </c>
      <c r="D140" s="1536">
        <f>D120-D160</f>
        <v>-1.29</v>
      </c>
      <c r="E140" s="1517"/>
      <c r="H140" s="1536">
        <f>H120-H160</f>
        <v>-1.25</v>
      </c>
      <c r="I140" s="1517" t="str">
        <f t="shared" ref="I140:I146" si="393">IF(D140&lt;0,"       NM",(H140/D140-1)*100)</f>
        <v xml:space="preserve">       NM</v>
      </c>
      <c r="J140" s="1517"/>
      <c r="L140" s="1536">
        <f>L120-L160</f>
        <v>-0.64</v>
      </c>
      <c r="M140" s="1517" t="str">
        <f t="shared" ref="M140:M146" si="394">IF(H140&lt;0,"       NM",(L140/H140-1)*100)</f>
        <v xml:space="preserve">       NM</v>
      </c>
      <c r="P140" s="1536">
        <f>P120-P160</f>
        <v>0.38</v>
      </c>
      <c r="Q140" s="1517" t="str">
        <f t="shared" ref="Q140:Q146" si="395">IF(L140&lt;0,"       NM",(P140/L140-1)*100)</f>
        <v xml:space="preserve">       NM</v>
      </c>
      <c r="T140" s="1536">
        <f>T120-T160</f>
        <v>4.2</v>
      </c>
      <c r="U140" s="1517">
        <f t="shared" ref="U140:U146" si="396">IF(P140&lt;0,"       NM",(T140/P140-1)*100)</f>
        <v>1005.2631578947368</v>
      </c>
      <c r="X140" s="1536">
        <f>X120-X160</f>
        <v>9.968</v>
      </c>
      <c r="Y140" s="1517">
        <f t="shared" ref="Y140:Y146" si="397">IF(T140&lt;0,"       NM",(X140/T140-1)*100)</f>
        <v>137.33333333333331</v>
      </c>
      <c r="AB140" s="1536">
        <f>AB120-AB160</f>
        <v>10.78</v>
      </c>
      <c r="AC140" s="1517">
        <f t="shared" ref="AC140:AC146" si="398">IF(X140&lt;0,"       NM",(AB140/X140-1)*100)</f>
        <v>8.1460674157303394</v>
      </c>
      <c r="AF140" s="1536">
        <f>AF120-AF160</f>
        <v>13.18</v>
      </c>
      <c r="AG140" s="1517">
        <f t="shared" ref="AG140:AG146" si="399">IF(AB140&lt;0,"       NM",(AF140/AB140-1)*100)</f>
        <v>22.263450834879418</v>
      </c>
      <c r="AJ140" s="1536">
        <f>AJ120-AJ160</f>
        <v>14.446999999999999</v>
      </c>
      <c r="AK140" s="1517">
        <f t="shared" ref="AK140:AK146" si="400">IF(AF140&lt;0,"       NM",(AJ140/AF140-1)*100)</f>
        <v>9.6130500758725201</v>
      </c>
      <c r="AN140" s="1536"/>
      <c r="AO140" s="1517"/>
      <c r="AR140" s="1536"/>
      <c r="AS140" s="1517"/>
      <c r="AV140" s="1536"/>
      <c r="AW140" s="1517"/>
      <c r="AZ140" s="1536"/>
      <c r="BA140" s="1517"/>
      <c r="BD140" s="1536"/>
      <c r="BE140" s="1517"/>
      <c r="BH140" s="1536">
        <f>BH130+-5.051</f>
        <v>62.119000000000014</v>
      </c>
      <c r="BI140" s="1517"/>
      <c r="BL140" s="1536">
        <f>BL130+-36.135</f>
        <v>-59.239999999999917</v>
      </c>
      <c r="BM140" s="1517">
        <f>IF(BH140&lt;0,"       NM",(BL140/BH140-1)*100)</f>
        <v>-195.36534715626445</v>
      </c>
      <c r="BN140" s="1640"/>
      <c r="BP140" s="1600">
        <f>+BP130</f>
        <v>-11.828000000000031</v>
      </c>
      <c r="BQ140" s="1579"/>
      <c r="BS140" s="114"/>
      <c r="BT140" s="1600">
        <f>+BT130</f>
        <v>12.799000000000049</v>
      </c>
      <c r="BU140" s="1579"/>
      <c r="BV140" s="114"/>
      <c r="BW140" s="114"/>
      <c r="BX140" s="1600">
        <f>+BX130</f>
        <v>-21.304999999999996</v>
      </c>
      <c r="BY140" s="1579"/>
      <c r="BZ140" s="114"/>
      <c r="CA140" s="114"/>
      <c r="CB140" s="1600">
        <f>CB130</f>
        <v>-6.3850000000000495</v>
      </c>
      <c r="CC140" s="245"/>
      <c r="CD140" s="245"/>
      <c r="CE140" s="245"/>
      <c r="CF140" s="1600">
        <f>CF130</f>
        <v>-12.96400000000005</v>
      </c>
      <c r="CG140" s="245"/>
      <c r="CH140" s="245"/>
      <c r="CI140" s="245"/>
      <c r="CJ140" s="1600">
        <f>CJ130</f>
        <v>-37.179599999999958</v>
      </c>
      <c r="CK140" s="245"/>
      <c r="CL140" s="245"/>
      <c r="CM140" s="245"/>
      <c r="CN140" s="1600">
        <f>CN130</f>
        <v>-39.587000000000053</v>
      </c>
      <c r="CO140" s="245"/>
      <c r="CP140" s="245"/>
      <c r="CQ140" s="245"/>
      <c r="CR140" s="1600">
        <f>CR130</f>
        <v>-61.699999999999939</v>
      </c>
      <c r="CS140" s="245"/>
      <c r="CT140" s="245"/>
      <c r="CU140" s="245"/>
      <c r="CV140" s="1600">
        <f>CV130</f>
        <v>-58.223895208004535</v>
      </c>
      <c r="CW140" s="245"/>
      <c r="CX140" s="245"/>
    </row>
    <row r="141" spans="1:135">
      <c r="A141" s="114" t="str">
        <f>$A$11</f>
        <v>2Q</v>
      </c>
      <c r="B141" s="114" t="str">
        <f>$B$11</f>
        <v>Jul</v>
      </c>
      <c r="D141" s="1537">
        <f>D121-D161</f>
        <v>-0.86</v>
      </c>
      <c r="E141" s="1517"/>
      <c r="H141" s="1537">
        <f>H121-H161</f>
        <v>-0.43</v>
      </c>
      <c r="I141" s="1517" t="str">
        <f t="shared" si="393"/>
        <v xml:space="preserve">       NM</v>
      </c>
      <c r="J141" s="1517"/>
      <c r="L141" s="1537">
        <f>L121-L161</f>
        <v>0.19</v>
      </c>
      <c r="M141" s="1517" t="str">
        <f t="shared" si="394"/>
        <v xml:space="preserve">       NM</v>
      </c>
      <c r="P141" s="1537">
        <f>P121-P161</f>
        <v>1.37</v>
      </c>
      <c r="Q141" s="1517">
        <f t="shared" si="395"/>
        <v>621.0526315789474</v>
      </c>
      <c r="T141" s="1537">
        <f>T121-T161</f>
        <v>7.07</v>
      </c>
      <c r="U141" s="1517">
        <f t="shared" si="396"/>
        <v>416.05839416058393</v>
      </c>
      <c r="X141" s="1537">
        <f>X121-X161</f>
        <v>12.583</v>
      </c>
      <c r="Y141" s="1517">
        <f t="shared" si="397"/>
        <v>77.977369165487971</v>
      </c>
      <c r="AB141" s="1537">
        <f>AB121-AB161</f>
        <v>14.1</v>
      </c>
      <c r="AC141" s="1517">
        <f t="shared" si="398"/>
        <v>12.055948501947068</v>
      </c>
      <c r="AF141" s="1537">
        <f>AF121-AF161</f>
        <v>16.02</v>
      </c>
      <c r="AG141" s="1517">
        <f t="shared" si="399"/>
        <v>13.617021276595743</v>
      </c>
      <c r="AJ141" s="1537">
        <f>AJ121-AJ161</f>
        <v>18.952999999999999</v>
      </c>
      <c r="AK141" s="1517">
        <f t="shared" si="400"/>
        <v>18.308364544319609</v>
      </c>
      <c r="AN141" s="1537"/>
      <c r="AO141" s="1517"/>
      <c r="AR141" s="1537"/>
      <c r="AS141" s="1517"/>
      <c r="AV141" s="1537"/>
      <c r="AW141" s="1517"/>
      <c r="AZ141" s="1537"/>
      <c r="BA141" s="1517"/>
      <c r="BD141" s="1537"/>
      <c r="BE141" s="1517"/>
      <c r="BH141" s="1537">
        <f>BH131+-5.404</f>
        <v>77.833000000000027</v>
      </c>
      <c r="BI141" s="1517"/>
      <c r="BL141" s="1537">
        <f>BL131+-18.557</f>
        <v>-26.748000000000005</v>
      </c>
      <c r="BM141" s="1517">
        <f t="shared" ref="BM141:BM146" si="401">IF(BH141&lt;0,"       NM",(BL141/BH141-1)*100)</f>
        <v>-134.36588593527165</v>
      </c>
      <c r="BP141" s="560">
        <f>+BP131+-1.78771999999996</f>
        <v>19.478999999999996</v>
      </c>
      <c r="BQ141" s="1579"/>
      <c r="BS141" s="114"/>
      <c r="BT141" s="560">
        <f>+BT131</f>
        <v>27.920000000000073</v>
      </c>
      <c r="BU141" s="1579"/>
      <c r="BV141" s="114"/>
      <c r="BW141" s="114"/>
      <c r="BX141" s="560">
        <f>+BX131</f>
        <v>17.051000000000094</v>
      </c>
      <c r="BY141" s="1579"/>
      <c r="BZ141" s="114"/>
      <c r="CA141" s="114"/>
      <c r="CB141" s="560">
        <f>CB131</f>
        <v>13.014999999999953</v>
      </c>
      <c r="CC141" s="245"/>
      <c r="CD141" s="245"/>
      <c r="CE141" s="245"/>
      <c r="CF141" s="560">
        <f>CF131</f>
        <v>14.062000000000012</v>
      </c>
      <c r="CG141" s="245"/>
      <c r="CH141" s="245"/>
      <c r="CI141" s="245"/>
      <c r="CJ141" s="560">
        <f>CJ131</f>
        <v>8.5969999999999889</v>
      </c>
      <c r="CK141" s="245"/>
      <c r="CL141" s="245"/>
      <c r="CM141" s="245"/>
      <c r="CN141" s="560">
        <f>CN131</f>
        <v>-16.807999999999993</v>
      </c>
      <c r="CO141" s="245"/>
      <c r="CP141" s="245"/>
      <c r="CQ141" s="245"/>
      <c r="CR141" s="560">
        <f>CR131</f>
        <v>-10.965999999999985</v>
      </c>
      <c r="CS141" s="245"/>
      <c r="CT141" s="245"/>
      <c r="CU141" s="245"/>
      <c r="CV141" s="560">
        <f>CV131</f>
        <v>-2.13811557709696</v>
      </c>
      <c r="CW141" s="245"/>
      <c r="CX141" s="245"/>
    </row>
    <row r="142" spans="1:135">
      <c r="A142" s="114" t="str">
        <f>$A$12</f>
        <v>3Q</v>
      </c>
      <c r="B142" s="114" t="str">
        <f>$B$12</f>
        <v>Oct</v>
      </c>
      <c r="D142" s="1537">
        <f>D122-D162</f>
        <v>-0.27</v>
      </c>
      <c r="E142" s="1517"/>
      <c r="H142" s="1537">
        <f>H122-H162</f>
        <v>1.0900000000000001</v>
      </c>
      <c r="I142" s="1517" t="str">
        <f t="shared" si="393"/>
        <v xml:space="preserve">       NM</v>
      </c>
      <c r="J142" s="1517"/>
      <c r="L142" s="1537">
        <f>L122-L162</f>
        <v>3.15</v>
      </c>
      <c r="M142" s="1517">
        <f t="shared" si="394"/>
        <v>188.99082568807336</v>
      </c>
      <c r="P142" s="1537">
        <f>P122-P162</f>
        <v>6.93</v>
      </c>
      <c r="Q142" s="1517">
        <f t="shared" si="395"/>
        <v>120.00000000000001</v>
      </c>
      <c r="T142" s="1537">
        <f>T122-T162</f>
        <v>16.62</v>
      </c>
      <c r="U142" s="1517">
        <f t="shared" si="396"/>
        <v>139.82683982683986</v>
      </c>
      <c r="X142" s="1537">
        <f>X122-X162</f>
        <v>26.035</v>
      </c>
      <c r="Y142" s="1517">
        <f t="shared" si="397"/>
        <v>56.648616125150419</v>
      </c>
      <c r="AB142" s="1537">
        <f>AB122-AB162</f>
        <v>29.06</v>
      </c>
      <c r="AC142" s="1517">
        <f t="shared" si="398"/>
        <v>11.618974457461096</v>
      </c>
      <c r="AF142" s="1537">
        <f>AF122-AF162</f>
        <v>28.03</v>
      </c>
      <c r="AG142" s="1517">
        <f t="shared" si="399"/>
        <v>-3.5443909153475506</v>
      </c>
      <c r="AJ142" s="1537">
        <f>AJ122-AJ162</f>
        <v>29.335999999999999</v>
      </c>
      <c r="AK142" s="1517">
        <f t="shared" si="400"/>
        <v>4.659293613985005</v>
      </c>
      <c r="AN142" s="1537"/>
      <c r="AO142" s="1517"/>
      <c r="AR142" s="1537"/>
      <c r="AS142" s="1517"/>
      <c r="AV142" s="1537"/>
      <c r="AW142" s="1517"/>
      <c r="AZ142" s="1537"/>
      <c r="BA142" s="1517"/>
      <c r="BD142" s="1537"/>
      <c r="BE142" s="1517"/>
      <c r="BH142" s="1537">
        <f>BH132+-5.844</f>
        <v>63.899000000000065</v>
      </c>
      <c r="BI142" s="1517"/>
      <c r="BL142" s="1537">
        <f>BL132+-10.439</f>
        <v>38.783999999999949</v>
      </c>
      <c r="BM142" s="1517">
        <f t="shared" si="401"/>
        <v>-39.304214463450272</v>
      </c>
      <c r="BP142" s="560">
        <f>+BP132</f>
        <v>50.040000000000049</v>
      </c>
      <c r="BQ142" s="1579"/>
      <c r="BS142" s="114"/>
      <c r="BT142" s="560">
        <f>+BT132</f>
        <v>56.792999999999978</v>
      </c>
      <c r="BU142" s="1579"/>
      <c r="BV142" s="114"/>
      <c r="BW142" s="114"/>
      <c r="BX142" s="560">
        <f>+BX132</f>
        <v>84.035999999999916</v>
      </c>
      <c r="BY142" s="1579"/>
      <c r="BZ142" s="114"/>
      <c r="CA142" s="114"/>
      <c r="CB142" s="560">
        <f>CB132</f>
        <v>40.645000000000024</v>
      </c>
      <c r="CC142" s="245"/>
      <c r="CD142" s="245"/>
      <c r="CE142" s="245"/>
      <c r="CF142" s="560">
        <f>CF132</f>
        <v>30.40600000000002</v>
      </c>
      <c r="CG142" s="245"/>
      <c r="CH142" s="245"/>
      <c r="CI142" s="245"/>
      <c r="CJ142" s="560">
        <f>CJ132</f>
        <v>32.91699999999998</v>
      </c>
      <c r="CK142" s="245"/>
      <c r="CL142" s="245"/>
      <c r="CM142" s="245"/>
      <c r="CN142" s="560">
        <f>CN132</f>
        <v>1.4020000000000354</v>
      </c>
      <c r="CO142" s="245"/>
      <c r="CP142" s="245"/>
      <c r="CQ142" s="245"/>
      <c r="CR142" s="560">
        <f>CR132</f>
        <v>20.507999999999914</v>
      </c>
      <c r="CS142" s="245"/>
      <c r="CT142" s="245"/>
      <c r="CU142" s="245"/>
      <c r="CV142" s="560">
        <f>CV132</f>
        <v>21.787288302971184</v>
      </c>
      <c r="CW142" s="245"/>
      <c r="CX142" s="245"/>
    </row>
    <row r="143" spans="1:135">
      <c r="A143" s="114" t="str">
        <f>$A$13</f>
        <v>4Q</v>
      </c>
      <c r="B143" s="114" t="str">
        <f>$B$13</f>
        <v>Jan</v>
      </c>
      <c r="C143" s="310"/>
      <c r="D143" s="1553">
        <f>D123-D163</f>
        <v>5.82</v>
      </c>
      <c r="E143" s="1517"/>
      <c r="H143" s="1553">
        <f>H123-H163</f>
        <v>7.82</v>
      </c>
      <c r="I143" s="1517">
        <f t="shared" si="393"/>
        <v>34.364261168384871</v>
      </c>
      <c r="J143" s="1517"/>
      <c r="L143" s="1553">
        <f>L123-L163</f>
        <v>13.7</v>
      </c>
      <c r="M143" s="1517">
        <f t="shared" si="394"/>
        <v>75.191815856777481</v>
      </c>
      <c r="P143" s="1553">
        <f>P123-P163</f>
        <v>23.54</v>
      </c>
      <c r="Q143" s="1517">
        <f t="shared" si="395"/>
        <v>71.824817518248182</v>
      </c>
      <c r="T143" s="1553">
        <f>T123-T163</f>
        <v>40.15</v>
      </c>
      <c r="U143" s="1517">
        <f t="shared" si="396"/>
        <v>70.56074766355141</v>
      </c>
      <c r="X143" s="1553">
        <f>X123-X163</f>
        <v>51.147600000000011</v>
      </c>
      <c r="Y143" s="1517">
        <f t="shared" si="397"/>
        <v>27.391282689912867</v>
      </c>
      <c r="AB143" s="1553">
        <f>AB123-AB163</f>
        <v>49.38</v>
      </c>
      <c r="AC143" s="1517">
        <f t="shared" si="398"/>
        <v>-3.4558806278300658</v>
      </c>
      <c r="AF143" s="1553">
        <f>AF123-AF163</f>
        <v>50.62</v>
      </c>
      <c r="AG143" s="1517">
        <f t="shared" si="399"/>
        <v>2.5111381125961785</v>
      </c>
      <c r="AJ143" s="1553">
        <f>AJ123-AJ163</f>
        <v>58.594000000000001</v>
      </c>
      <c r="AK143" s="1517">
        <f t="shared" si="400"/>
        <v>15.752666930067182</v>
      </c>
      <c r="AN143" s="560"/>
      <c r="AO143" s="1579"/>
      <c r="AP143" s="310"/>
      <c r="AQ143" s="310"/>
      <c r="AR143" s="560"/>
      <c r="AS143" s="1579"/>
      <c r="AT143" s="310"/>
      <c r="AU143" s="310"/>
      <c r="AV143" s="560"/>
      <c r="AW143" s="1579"/>
      <c r="AX143" s="310"/>
      <c r="AY143" s="310"/>
      <c r="AZ143" s="560"/>
      <c r="BA143" s="1579"/>
      <c r="BB143" s="310"/>
      <c r="BC143" s="310"/>
      <c r="BD143" s="560"/>
      <c r="BE143" s="1579"/>
      <c r="BH143" s="1553">
        <f>BH133+-19.614</f>
        <v>68.406999999999954</v>
      </c>
      <c r="BI143" s="1517"/>
      <c r="BL143" s="1553">
        <f>BL133+-13.566</f>
        <v>67.378999999999905</v>
      </c>
      <c r="BM143" s="1517">
        <f t="shared" si="401"/>
        <v>-1.5027701843379315</v>
      </c>
      <c r="BP143" s="1553">
        <f>+BP133+-31.4523091999998</f>
        <v>92.593000000000004</v>
      </c>
      <c r="BQ143" s="1579"/>
      <c r="BS143" s="114"/>
      <c r="BT143" s="1553">
        <f>+BT133-78.941+0.001</f>
        <v>45.624000000000144</v>
      </c>
      <c r="BU143" s="1579"/>
      <c r="BV143" s="1641"/>
      <c r="BW143" s="114"/>
      <c r="BX143" s="1553">
        <f>+BX133-19.579</f>
        <v>142.23499999999996</v>
      </c>
      <c r="BY143" s="1579"/>
      <c r="BZ143" s="114"/>
      <c r="CA143" s="114"/>
      <c r="CB143" s="1553">
        <f>CB133</f>
        <v>104.26299999999992</v>
      </c>
      <c r="CC143" s="245"/>
      <c r="CD143" s="245"/>
      <c r="CE143" s="245"/>
      <c r="CF143" s="1553">
        <f>CF133</f>
        <v>80.825000000000159</v>
      </c>
      <c r="CG143" s="245"/>
      <c r="CH143" s="245"/>
      <c r="CI143" s="245"/>
      <c r="CJ143" s="1553">
        <f>CJ133</f>
        <v>73.707000000000093</v>
      </c>
      <c r="CK143" s="245"/>
      <c r="CL143" s="245"/>
      <c r="CM143" s="245"/>
      <c r="CN143" s="1553">
        <f>CN133</f>
        <v>50.922999999999952</v>
      </c>
      <c r="CO143" s="245"/>
      <c r="CP143" s="245"/>
      <c r="CQ143" s="245"/>
      <c r="CR143" s="1553">
        <f>CR133</f>
        <v>97.16299999999994</v>
      </c>
      <c r="CS143" s="245"/>
      <c r="CT143" s="245"/>
      <c r="CU143" s="245"/>
      <c r="CV143" s="1553">
        <f>CV133</f>
        <v>56.516610344009941</v>
      </c>
      <c r="CW143" s="245"/>
      <c r="CX143" s="245"/>
    </row>
    <row r="144" spans="1:135">
      <c r="B144" s="114" t="str">
        <f>$B$14</f>
        <v>Year</v>
      </c>
      <c r="D144" s="1536">
        <f>SUM(D140:D143)</f>
        <v>3.4000000000000004</v>
      </c>
      <c r="E144" s="1517"/>
      <c r="H144" s="1536">
        <f>SUM(H140:H143)</f>
        <v>7.23</v>
      </c>
      <c r="I144" s="1517">
        <f t="shared" si="393"/>
        <v>112.64705882352941</v>
      </c>
      <c r="J144" s="1517"/>
      <c r="L144" s="1536">
        <f>SUM(L140:L143)</f>
        <v>16.399999999999999</v>
      </c>
      <c r="M144" s="1517">
        <f t="shared" si="394"/>
        <v>126.83264177040105</v>
      </c>
      <c r="P144" s="1536">
        <f>SUM(P140:P143)</f>
        <v>32.22</v>
      </c>
      <c r="Q144" s="1517">
        <f t="shared" si="395"/>
        <v>96.463414634146361</v>
      </c>
      <c r="T144" s="1536">
        <f>SUM(T140:T143)</f>
        <v>68.039999999999992</v>
      </c>
      <c r="U144" s="1517">
        <f t="shared" si="396"/>
        <v>111.17318435754187</v>
      </c>
      <c r="X144" s="1536">
        <f>SUM(X140:X143)</f>
        <v>99.73360000000001</v>
      </c>
      <c r="Y144" s="1517">
        <f t="shared" si="397"/>
        <v>46.580834803057058</v>
      </c>
      <c r="AB144" s="1536">
        <f>SUM(AB140:AB143)</f>
        <v>103.32</v>
      </c>
      <c r="AC144" s="1517">
        <f t="shared" si="398"/>
        <v>3.595979689893869</v>
      </c>
      <c r="AF144" s="1536">
        <f>SUM(AF140:AF143)</f>
        <v>107.85</v>
      </c>
      <c r="AG144" s="1517">
        <f t="shared" si="399"/>
        <v>4.3844367015098751</v>
      </c>
      <c r="AJ144" s="1536">
        <f>SUM(AJ140:AJ143)</f>
        <v>121.33</v>
      </c>
      <c r="AK144" s="1517">
        <f t="shared" si="400"/>
        <v>12.498840982846549</v>
      </c>
      <c r="AN144" s="1600"/>
      <c r="AO144" s="1579"/>
      <c r="AP144" s="310"/>
      <c r="AQ144" s="310"/>
      <c r="AR144" s="1600"/>
      <c r="AS144" s="1579"/>
      <c r="AT144" s="310"/>
      <c r="AU144" s="310"/>
      <c r="AV144" s="1600"/>
      <c r="AW144" s="1579"/>
      <c r="AX144" s="310"/>
      <c r="AY144" s="310"/>
      <c r="AZ144" s="1600"/>
      <c r="BA144" s="1579"/>
      <c r="BB144" s="310"/>
      <c r="BC144" s="310"/>
      <c r="BD144" s="1600"/>
      <c r="BE144" s="1579"/>
      <c r="BH144" s="1536">
        <f>SUM(BH140:BH143)</f>
        <v>272.25800000000004</v>
      </c>
      <c r="BI144" s="1517"/>
      <c r="BL144" s="1536">
        <f>SUM(BL140:BL143)</f>
        <v>20.17499999999994</v>
      </c>
      <c r="BM144" s="1517">
        <f t="shared" si="401"/>
        <v>-92.589749428850595</v>
      </c>
      <c r="BP144" s="1536">
        <f>SUM(BP140:BP143)-0.001</f>
        <v>150.28300000000002</v>
      </c>
      <c r="BQ144" s="1579"/>
      <c r="BS144" s="114"/>
      <c r="BT144" s="1536">
        <f>SUM(BT140:BT143)</f>
        <v>143.13600000000025</v>
      </c>
      <c r="BU144" s="1579"/>
      <c r="BV144" s="114"/>
      <c r="BW144" s="114"/>
      <c r="BX144" s="1536">
        <f>SUM(BX140:BX143)</f>
        <v>222.01699999999997</v>
      </c>
      <c r="BY144" s="1579"/>
      <c r="BZ144" s="114"/>
      <c r="CA144" s="114"/>
      <c r="CB144" s="1536">
        <f>CB134</f>
        <v>151.53799999999984</v>
      </c>
      <c r="CC144" s="245"/>
      <c r="CD144" s="245"/>
      <c r="CE144" s="245"/>
      <c r="CF144" s="1536">
        <f>CF134</f>
        <v>112.32900000000015</v>
      </c>
      <c r="CG144" s="245"/>
      <c r="CH144" s="245"/>
      <c r="CI144" s="245"/>
      <c r="CJ144" s="1536">
        <f>CJ134</f>
        <v>78.041400000000095</v>
      </c>
      <c r="CK144" s="245"/>
      <c r="CL144" s="245"/>
      <c r="CM144" s="245"/>
      <c r="CN144" s="1536">
        <f>CN134</f>
        <v>-4.0700000000000607</v>
      </c>
      <c r="CO144" s="245"/>
      <c r="CP144" s="245"/>
      <c r="CQ144" s="245"/>
      <c r="CR144" s="1536">
        <f>CR134</f>
        <v>45.004999999999917</v>
      </c>
      <c r="CS144" s="245"/>
      <c r="CT144" s="245"/>
      <c r="CU144" s="245"/>
      <c r="CV144" s="1536">
        <f>CV134</f>
        <v>17.941887861879639</v>
      </c>
      <c r="CW144" s="245"/>
      <c r="CX144" s="245"/>
    </row>
    <row r="145" spans="1:135" ht="12.75" hidden="1" customHeight="1" outlineLevel="1">
      <c r="A145" s="114" t="str">
        <f>$A$15</f>
        <v>6 Mos</v>
      </c>
      <c r="D145" s="1537">
        <f>SUM(D140:D141)</f>
        <v>-2.15</v>
      </c>
      <c r="E145" s="1517"/>
      <c r="H145" s="1537">
        <f>SUM(H140:H141)</f>
        <v>-1.68</v>
      </c>
      <c r="I145" s="1517" t="str">
        <f t="shared" si="393"/>
        <v xml:space="preserve">       NM</v>
      </c>
      <c r="J145" s="1517"/>
      <c r="L145" s="1537">
        <f>SUM(L140:L141)</f>
        <v>-0.45</v>
      </c>
      <c r="M145" s="1517" t="str">
        <f t="shared" si="394"/>
        <v xml:space="preserve">       NM</v>
      </c>
      <c r="P145" s="1537">
        <f>SUM(P140:P141)</f>
        <v>1.75</v>
      </c>
      <c r="Q145" s="1517" t="str">
        <f t="shared" si="395"/>
        <v xml:space="preserve">       NM</v>
      </c>
      <c r="T145" s="1537">
        <f>SUM(T140:T141)</f>
        <v>11.27</v>
      </c>
      <c r="U145" s="1517">
        <f t="shared" si="396"/>
        <v>544</v>
      </c>
      <c r="X145" s="1537">
        <f>SUM(X140:X141)</f>
        <v>22.551000000000002</v>
      </c>
      <c r="Y145" s="1517">
        <f t="shared" si="397"/>
        <v>100.09760425909495</v>
      </c>
      <c r="AB145" s="1537">
        <f>SUM(AB140:AB141)</f>
        <v>24.88</v>
      </c>
      <c r="AC145" s="1517">
        <f t="shared" si="398"/>
        <v>10.327701654028631</v>
      </c>
      <c r="AF145" s="1537">
        <f>SUM(AF140:AF141)</f>
        <v>29.2</v>
      </c>
      <c r="AG145" s="1517">
        <f t="shared" si="399"/>
        <v>17.363344051446951</v>
      </c>
      <c r="AJ145" s="1537">
        <f>SUM(AJ140:AJ141)</f>
        <v>33.4</v>
      </c>
      <c r="AK145" s="1517">
        <f t="shared" si="400"/>
        <v>14.383561643835607</v>
      </c>
      <c r="AN145" s="1537"/>
      <c r="AO145" s="1517"/>
      <c r="AR145" s="1537"/>
      <c r="AS145" s="1517"/>
      <c r="AV145" s="1537"/>
      <c r="AW145" s="1517"/>
      <c r="AZ145" s="1537"/>
      <c r="BA145" s="1517"/>
      <c r="BD145" s="1537"/>
      <c r="BE145" s="1517"/>
      <c r="BH145" s="1537">
        <f>SUM(BH140:BH141)</f>
        <v>139.95200000000006</v>
      </c>
      <c r="BI145" s="1517"/>
      <c r="BL145" s="1537">
        <f>SUM(BL140:BL141)</f>
        <v>-85.987999999999914</v>
      </c>
      <c r="BM145" s="1517">
        <f t="shared" si="401"/>
        <v>-161.44106550817415</v>
      </c>
      <c r="BP145" s="1537">
        <f>SUM(BP140:BP141)</f>
        <v>7.6509999999999643</v>
      </c>
      <c r="BQ145" s="1517" t="str">
        <f>IF(BL145&lt;0,"       NM",(BP145/BL145-1)*100)</f>
        <v xml:space="preserve">       NM</v>
      </c>
      <c r="BS145" s="114"/>
      <c r="BT145" s="1537">
        <f>SUM(BT140:BT141)</f>
        <v>40.719000000000122</v>
      </c>
      <c r="BU145" s="1517">
        <f>IF(BP145&lt;0,"       NM",(BT145/BP145-1)*100)</f>
        <v>432.20494053065363</v>
      </c>
      <c r="BV145" s="114"/>
      <c r="BW145" s="114"/>
      <c r="BX145" s="1537">
        <f>SUM(BX140:BX141)</f>
        <v>-4.2539999999999019</v>
      </c>
      <c r="BY145" s="1517">
        <f>IF(BT145&lt;0,"       NM",(BX145/BT145-1)*100)</f>
        <v>-110.44721137552467</v>
      </c>
      <c r="BZ145" s="114"/>
      <c r="CA145" s="114"/>
      <c r="CB145" s="1537">
        <f>SUM(CB140:CB141)</f>
        <v>6.6299999999999031</v>
      </c>
      <c r="CC145" s="1517" t="str">
        <f>IF(BX145&lt;0,"       NM",(CB145/BX145-1)*100)</f>
        <v xml:space="preserve">       NM</v>
      </c>
      <c r="CD145" s="245"/>
      <c r="CE145" s="245"/>
      <c r="CF145" s="1537">
        <f>SUM(CF140:CF141)</f>
        <v>1.0979999999999617</v>
      </c>
      <c r="CG145" s="1517">
        <f>IF(CB145&lt;0,"       NM",(CF145/CB145-1)*100)</f>
        <v>-83.438914027149664</v>
      </c>
      <c r="CH145" s="245"/>
      <c r="CI145" s="245"/>
      <c r="CJ145" s="1537">
        <f>SUM(CJ140:CJ141)</f>
        <v>-28.582599999999971</v>
      </c>
      <c r="CK145" s="1517">
        <f>IF(CF145&lt;0,"       NM",(CJ145/CF145-1)*100)</f>
        <v>-2703.1511839709442</v>
      </c>
      <c r="CL145" s="245"/>
      <c r="CM145" s="245"/>
      <c r="CN145" s="1537">
        <f>SUM(CN140:CN141)</f>
        <v>-56.395000000000046</v>
      </c>
      <c r="CO145" s="1517" t="str">
        <f>IF(CJ145&lt;0,"       NM",(CN145/CJ145-1)*100)</f>
        <v xml:space="preserve">       NM</v>
      </c>
      <c r="CP145" s="245"/>
      <c r="CQ145" s="245"/>
      <c r="CR145" s="1537">
        <f>SUM(CR140:CR141)</f>
        <v>-72.665999999999926</v>
      </c>
      <c r="CS145" s="1517" t="str">
        <f>IF(CN145&lt;0,"       NM",(CR145/CN145-1)*100)</f>
        <v xml:space="preserve">       NM</v>
      </c>
      <c r="CT145" s="245"/>
      <c r="CU145" s="245"/>
      <c r="CV145" s="1537">
        <f>SUM(CV140:CV141)</f>
        <v>-60.362010785101496</v>
      </c>
      <c r="CW145" s="1517" t="str">
        <f>IF(CR145&lt;0,"       NM",(CV145/CR145-1)*100)</f>
        <v xml:space="preserve">       NM</v>
      </c>
      <c r="CX145" s="245"/>
    </row>
    <row r="146" spans="1:135" ht="12.75" hidden="1" customHeight="1" outlineLevel="1">
      <c r="A146" s="114" t="str">
        <f>$A$16</f>
        <v>9 Mos</v>
      </c>
      <c r="D146" s="1537">
        <f>SUM(D140:D142)</f>
        <v>-2.42</v>
      </c>
      <c r="E146" s="1517"/>
      <c r="H146" s="1537">
        <f>SUM(H140:H142)</f>
        <v>-0.58999999999999986</v>
      </c>
      <c r="I146" s="1517" t="str">
        <f t="shared" si="393"/>
        <v xml:space="preserve">       NM</v>
      </c>
      <c r="J146" s="1517"/>
      <c r="L146" s="1537">
        <f>SUM(L140:L142)</f>
        <v>2.6999999999999997</v>
      </c>
      <c r="M146" s="1517" t="str">
        <f t="shared" si="394"/>
        <v xml:space="preserve">       NM</v>
      </c>
      <c r="P146" s="1537">
        <f>SUM(P140:P142)</f>
        <v>8.68</v>
      </c>
      <c r="Q146" s="1517">
        <f t="shared" si="395"/>
        <v>221.48148148148152</v>
      </c>
      <c r="T146" s="1537">
        <f>SUM(T140:T142)</f>
        <v>27.89</v>
      </c>
      <c r="U146" s="1517">
        <f t="shared" si="396"/>
        <v>221.31336405529956</v>
      </c>
      <c r="X146" s="1537">
        <f>SUM(X140:X142)</f>
        <v>48.585999999999999</v>
      </c>
      <c r="Y146" s="1517">
        <f t="shared" si="397"/>
        <v>74.205808533524547</v>
      </c>
      <c r="AB146" s="1537">
        <f>SUM(AB140:AB142)</f>
        <v>53.94</v>
      </c>
      <c r="AC146" s="1517">
        <f t="shared" si="398"/>
        <v>11.019635285884831</v>
      </c>
      <c r="AF146" s="1537">
        <f>SUM(AF140:AF142)</f>
        <v>57.230000000000004</v>
      </c>
      <c r="AG146" s="1517">
        <f t="shared" si="399"/>
        <v>6.0993696700037292</v>
      </c>
      <c r="AJ146" s="1537">
        <f>SUM(AJ140:AJ142)</f>
        <v>62.735999999999997</v>
      </c>
      <c r="AK146" s="1517">
        <f t="shared" si="400"/>
        <v>9.6208282369386602</v>
      </c>
      <c r="AN146" s="1537"/>
      <c r="AO146" s="1517"/>
      <c r="AR146" s="1537"/>
      <c r="AS146" s="1517"/>
      <c r="AV146" s="1537"/>
      <c r="AW146" s="1517"/>
      <c r="AZ146" s="1537"/>
      <c r="BA146" s="1517"/>
      <c r="BD146" s="1537"/>
      <c r="BE146" s="1517"/>
      <c r="BH146" s="1537">
        <f>SUM(BH140:BH142)</f>
        <v>203.85100000000011</v>
      </c>
      <c r="BI146" s="1517"/>
      <c r="BL146" s="1537">
        <f>SUM(BL140:BL142)</f>
        <v>-47.203999999999965</v>
      </c>
      <c r="BM146" s="1517">
        <f t="shared" si="401"/>
        <v>-123.15612874109027</v>
      </c>
      <c r="BP146" s="1537">
        <f>SUM(BP140:BP142)</f>
        <v>57.691000000000017</v>
      </c>
      <c r="BQ146" s="1517" t="str">
        <f>IF(BL146&lt;0,"       NM",(BP146/BL146-1)*100)</f>
        <v xml:space="preserve">       NM</v>
      </c>
      <c r="BS146" s="114"/>
      <c r="BT146" s="1537">
        <f>SUM(BT140:BT142)</f>
        <v>97.5120000000001</v>
      </c>
      <c r="BU146" s="1517">
        <f>IF(BP146&lt;0,"       NM",(BT146/BP146-1)*100)</f>
        <v>69.024631224974556</v>
      </c>
      <c r="BV146" s="114"/>
      <c r="BW146" s="114"/>
      <c r="BX146" s="1537">
        <f>SUM(BX140:BX142)</f>
        <v>79.782000000000011</v>
      </c>
      <c r="BY146" s="1517">
        <f>IF(BT146&lt;0,"       NM",(BX146/BT146-1)*100)</f>
        <v>-18.182377553531946</v>
      </c>
      <c r="BZ146" s="114"/>
      <c r="CA146" s="114"/>
      <c r="CB146" s="1537">
        <f>SUM(CB140:CB142)</f>
        <v>47.274999999999928</v>
      </c>
      <c r="CC146" s="1517">
        <f>IF(BX146&lt;0,"       NM",(CB146/BX146-1)*100)</f>
        <v>-40.744779524203558</v>
      </c>
      <c r="CD146" s="245"/>
      <c r="CE146" s="245"/>
      <c r="CF146" s="1537">
        <f>SUM(CF140:CF142)</f>
        <v>31.503999999999984</v>
      </c>
      <c r="CG146" s="1517">
        <f>IF(CB146&lt;0,"       NM",(CF146/CB146-1)*100)</f>
        <v>-33.360126916975076</v>
      </c>
      <c r="CH146" s="245"/>
      <c r="CI146" s="245"/>
      <c r="CJ146" s="1537">
        <f>SUM(CJ140:CJ142)</f>
        <v>4.3344000000000094</v>
      </c>
      <c r="CK146" s="1517">
        <f>IF(CF146&lt;0,"       NM",(CJ146/CF146-1)*100)</f>
        <v>-86.241747079735859</v>
      </c>
      <c r="CL146" s="245"/>
      <c r="CM146" s="245"/>
      <c r="CN146" s="1537">
        <f>SUM(CN140:CN142)</f>
        <v>-54.993000000000009</v>
      </c>
      <c r="CO146" s="1517">
        <f>IF(CJ146&lt;0,"       NM",(CN146/CJ146-1)*100)</f>
        <v>-1368.7569213731979</v>
      </c>
      <c r="CP146" s="245"/>
      <c r="CQ146" s="245"/>
      <c r="CR146" s="1537">
        <f>SUM(CR140:CR142)</f>
        <v>-52.158000000000015</v>
      </c>
      <c r="CS146" s="1517" t="str">
        <f>IF(CN146&lt;0,"       NM",(CR146/CN146-1)*100)</f>
        <v xml:space="preserve">       NM</v>
      </c>
      <c r="CT146" s="245"/>
      <c r="CU146" s="245"/>
      <c r="CV146" s="1537">
        <f>SUM(CV140:CV142)</f>
        <v>-38.574722482130312</v>
      </c>
      <c r="CW146" s="1517" t="str">
        <f>IF(CR146&lt;0,"       NM",(CV146/CR146-1)*100)</f>
        <v xml:space="preserve">       NM</v>
      </c>
      <c r="CX146" s="245"/>
    </row>
    <row r="147" spans="1:135" collapsed="1">
      <c r="A147" s="310"/>
      <c r="B147" s="310"/>
      <c r="C147" s="1042"/>
      <c r="D147" s="1042"/>
      <c r="E147" s="1042"/>
      <c r="F147" s="1042"/>
      <c r="G147" s="1042"/>
      <c r="H147" s="1042"/>
      <c r="I147" s="1042"/>
      <c r="J147" s="1042"/>
      <c r="K147" s="1042"/>
      <c r="L147" s="1042"/>
      <c r="M147" s="1042"/>
      <c r="N147" s="1042"/>
      <c r="O147" s="1042"/>
      <c r="P147" s="1042"/>
      <c r="Q147" s="1042"/>
      <c r="R147" s="1042"/>
      <c r="S147" s="1042"/>
      <c r="T147" s="1042"/>
      <c r="U147" s="1042"/>
      <c r="V147" s="1042"/>
      <c r="W147" s="1042"/>
      <c r="X147" s="1042"/>
      <c r="Y147" s="1042"/>
      <c r="Z147" s="1042"/>
      <c r="AA147" s="1042"/>
      <c r="AB147" s="1042"/>
      <c r="AC147" s="1042"/>
      <c r="AD147" s="1042"/>
      <c r="AE147" s="1042"/>
      <c r="AF147" s="1042"/>
      <c r="AG147" s="1042"/>
      <c r="AH147" s="1042"/>
      <c r="AI147" s="1042"/>
      <c r="AJ147" s="310"/>
      <c r="AK147" s="310"/>
      <c r="AL147" s="310"/>
      <c r="AM147" s="310"/>
      <c r="AN147" s="310"/>
      <c r="AO147" s="310"/>
      <c r="AP147" s="310"/>
      <c r="AQ147" s="310"/>
      <c r="AR147" s="1638"/>
      <c r="AS147" s="310"/>
      <c r="AT147" s="310"/>
      <c r="AU147" s="310"/>
      <c r="AV147" s="310"/>
      <c r="AW147" s="310"/>
      <c r="AX147" s="310"/>
      <c r="AY147" s="310"/>
      <c r="AZ147" s="310"/>
      <c r="BA147" s="310"/>
      <c r="BB147" s="310"/>
      <c r="BC147" s="310"/>
      <c r="BD147" s="310"/>
      <c r="BE147" s="310"/>
      <c r="BF147" s="310"/>
      <c r="BG147" s="310"/>
      <c r="BH147" s="310"/>
      <c r="BI147" s="310"/>
      <c r="BJ147" s="310"/>
      <c r="BK147" s="310"/>
      <c r="BL147" s="310"/>
      <c r="BM147" s="310"/>
      <c r="BN147" s="310"/>
      <c r="BO147" s="310"/>
      <c r="BP147" s="310"/>
      <c r="BQ147" s="310"/>
      <c r="BR147" s="310"/>
      <c r="BS147" s="310"/>
      <c r="BT147" s="310"/>
      <c r="BU147" s="310"/>
      <c r="BV147" s="310"/>
      <c r="BW147" s="310"/>
      <c r="BX147" s="310"/>
      <c r="BY147" s="310"/>
      <c r="BZ147" s="310"/>
      <c r="CA147" s="310"/>
      <c r="CB147" s="247"/>
      <c r="CC147" s="247"/>
      <c r="CD147" s="247"/>
      <c r="CE147" s="247"/>
      <c r="CF147" s="247"/>
      <c r="CG147" s="247"/>
      <c r="CH147" s="247"/>
      <c r="CI147" s="247"/>
      <c r="CJ147" s="247"/>
      <c r="CK147" s="247"/>
      <c r="CL147" s="247"/>
      <c r="CM147" s="247"/>
      <c r="CN147" s="247"/>
      <c r="CO147" s="247"/>
      <c r="CP147" s="247"/>
      <c r="CQ147" s="247"/>
      <c r="CR147" s="247"/>
      <c r="CS147" s="247"/>
      <c r="CT147" s="247"/>
      <c r="CU147" s="247"/>
      <c r="CV147" s="247"/>
      <c r="CW147" s="247"/>
      <c r="CX147" s="247"/>
      <c r="CY147" s="97"/>
      <c r="CZ147" s="97"/>
      <c r="DA147" s="97"/>
      <c r="DB147" s="97"/>
      <c r="DC147" s="97"/>
      <c r="DD147" s="97"/>
      <c r="DE147" s="97"/>
      <c r="DF147" s="97"/>
      <c r="DG147" s="97"/>
      <c r="DH147" s="97"/>
      <c r="DI147" s="97"/>
      <c r="DJ147" s="97"/>
      <c r="DK147" s="97"/>
      <c r="DL147" s="97"/>
      <c r="DM147" s="97"/>
      <c r="DN147" s="97"/>
      <c r="DO147" s="97"/>
      <c r="DP147" s="97"/>
      <c r="DQ147" s="97"/>
      <c r="DR147" s="97"/>
      <c r="DS147" s="97"/>
      <c r="DT147" s="97"/>
      <c r="DU147" s="97"/>
      <c r="DV147" s="97"/>
      <c r="DW147" s="97"/>
      <c r="DX147" s="97"/>
      <c r="DY147" s="97"/>
      <c r="DZ147" s="97"/>
      <c r="EA147" s="97"/>
      <c r="EB147" s="97"/>
      <c r="EC147" s="97"/>
      <c r="ED147" s="97"/>
      <c r="EE147" s="97"/>
    </row>
    <row r="148" spans="1:135" ht="12" customHeight="1">
      <c r="A148" s="310"/>
      <c r="B148" s="310"/>
      <c r="C148" s="1642"/>
      <c r="D148" s="1642"/>
      <c r="E148" s="1042"/>
      <c r="F148" s="1042"/>
      <c r="G148" s="1042"/>
      <c r="H148" s="1643"/>
      <c r="I148" s="1527"/>
      <c r="J148" s="1527"/>
      <c r="K148" s="1527"/>
      <c r="L148" s="1643"/>
      <c r="M148" s="1527"/>
      <c r="N148" s="1527"/>
      <c r="O148" s="1527"/>
      <c r="P148" s="1643"/>
      <c r="Q148" s="1527"/>
      <c r="R148" s="1527"/>
      <c r="S148" s="1527"/>
      <c r="T148" s="1643"/>
      <c r="U148" s="1527"/>
      <c r="V148" s="1527"/>
      <c r="W148" s="1527"/>
      <c r="X148" s="1042"/>
      <c r="Y148" s="1527"/>
      <c r="Z148" s="1527"/>
      <c r="AA148" s="1527"/>
      <c r="AB148" s="1042"/>
      <c r="AC148" s="1527"/>
      <c r="AD148" s="1527"/>
      <c r="AE148" s="1527"/>
      <c r="AF148" s="1643"/>
      <c r="AG148" s="1527"/>
      <c r="AH148" s="1527"/>
      <c r="AI148" s="1527"/>
      <c r="AJ148" s="310"/>
      <c r="AK148" s="1644"/>
      <c r="AL148" s="1644"/>
      <c r="AM148" s="1644"/>
      <c r="AN148" s="1645"/>
      <c r="AO148" s="1644"/>
      <c r="AP148" s="1644"/>
      <c r="AQ148" s="1644"/>
      <c r="AR148" s="1638"/>
      <c r="AS148" s="1644"/>
      <c r="AT148" s="1644"/>
      <c r="AU148" s="1644"/>
      <c r="AV148" s="1645"/>
      <c r="AW148" s="1644"/>
      <c r="AX148" s="1644"/>
      <c r="AY148" s="1644"/>
      <c r="AZ148" s="1645"/>
      <c r="BA148" s="1644"/>
      <c r="BB148" s="1644"/>
      <c r="BC148" s="1644"/>
      <c r="BD148" s="1645"/>
      <c r="BE148" s="1644"/>
      <c r="BF148" s="1644"/>
      <c r="BG148" s="1644"/>
      <c r="BH148" s="1645"/>
      <c r="BI148" s="22"/>
      <c r="BJ148" s="1644"/>
      <c r="BK148" s="1644"/>
      <c r="BL148" s="1645"/>
      <c r="BM148" s="1644"/>
      <c r="BN148" s="1644"/>
      <c r="BO148" s="1644"/>
      <c r="BP148" s="1645"/>
      <c r="BQ148" s="1644"/>
      <c r="BR148" s="1644"/>
      <c r="BS148" s="1644"/>
      <c r="BT148" s="1645"/>
      <c r="BU148" s="1644"/>
      <c r="BW148" s="1644"/>
      <c r="BX148" s="1645"/>
      <c r="BY148" s="1644"/>
      <c r="BZ148" s="1644"/>
      <c r="CA148" s="1644"/>
      <c r="CB148" s="247"/>
      <c r="CC148" s="247"/>
      <c r="CD148" s="247"/>
      <c r="CE148" s="1645" t="s">
        <v>59</v>
      </c>
      <c r="CF148" s="247"/>
      <c r="CG148" s="247"/>
      <c r="CH148" s="247"/>
      <c r="CI148" s="247"/>
      <c r="CJ148" s="247"/>
      <c r="CK148" s="247"/>
      <c r="CL148" s="247"/>
      <c r="CM148" s="247"/>
      <c r="CN148" s="247"/>
      <c r="CO148" s="247"/>
      <c r="CP148" s="247"/>
      <c r="CQ148" s="247"/>
      <c r="CR148" s="247"/>
      <c r="CS148" s="247"/>
      <c r="CT148" s="247"/>
      <c r="CU148" s="247"/>
      <c r="CV148" s="247"/>
      <c r="CW148" s="247"/>
      <c r="CX148" s="247"/>
      <c r="CY148" s="310"/>
      <c r="CZ148" s="310"/>
      <c r="DA148" s="310"/>
      <c r="DB148" s="310"/>
      <c r="DC148" s="310"/>
      <c r="DD148" s="1646"/>
      <c r="DE148" s="1646"/>
      <c r="DF148" s="1646"/>
      <c r="DG148" s="1646"/>
      <c r="DH148" s="1646"/>
      <c r="DI148" s="1646"/>
      <c r="DJ148" s="1646"/>
      <c r="DK148" s="1646"/>
      <c r="DL148" s="1646"/>
      <c r="DM148" s="1646"/>
      <c r="DN148" s="1646"/>
      <c r="DO148" s="1646"/>
      <c r="DP148" s="1646"/>
      <c r="DQ148" s="1646"/>
      <c r="DR148" s="1646"/>
      <c r="DS148" s="1646"/>
      <c r="DT148" s="1646"/>
      <c r="DU148" s="1646"/>
      <c r="DV148" s="1646"/>
      <c r="DW148" s="1646"/>
      <c r="DX148" s="1646"/>
      <c r="DY148" s="1646"/>
      <c r="DZ148" s="1646"/>
      <c r="EA148" s="1646"/>
      <c r="EB148" s="1646"/>
      <c r="EC148" s="1646"/>
      <c r="ED148" s="1646"/>
      <c r="EE148" s="1646"/>
    </row>
    <row r="149" spans="1:135" ht="12" customHeight="1">
      <c r="BB149" s="1647"/>
      <c r="BD149" s="1648"/>
      <c r="BE149" s="1649"/>
      <c r="BF149" s="1650"/>
      <c r="BG149" s="1651"/>
      <c r="BH149" s="1648"/>
      <c r="BJ149" s="1652"/>
      <c r="BK149" s="1651"/>
      <c r="BL149" s="1648"/>
      <c r="BN149" s="1652"/>
      <c r="BO149" s="1651"/>
      <c r="BP149" s="1648"/>
      <c r="BR149" s="1652"/>
      <c r="BS149" s="1651"/>
      <c r="BT149" s="1648"/>
      <c r="BU149" s="114"/>
      <c r="BV149" s="1652"/>
      <c r="BW149" s="1651"/>
      <c r="BX149" s="1648"/>
      <c r="BY149" s="114"/>
      <c r="BZ149" s="1652"/>
      <c r="CA149" s="1652"/>
      <c r="CB149" s="1653"/>
      <c r="CC149" s="1653"/>
      <c r="CD149" s="1653"/>
      <c r="CE149" s="1653"/>
      <c r="CF149" s="1653"/>
      <c r="CG149" s="1653"/>
      <c r="CH149" s="1653"/>
      <c r="CI149" s="1653"/>
      <c r="CJ149" s="1653"/>
      <c r="CK149" s="1653"/>
      <c r="CL149" s="1653"/>
      <c r="CM149" s="1653"/>
      <c r="CN149" s="1653"/>
      <c r="CO149" s="1653"/>
      <c r="CP149" s="1653"/>
      <c r="CQ149" s="1653"/>
      <c r="CR149" s="1653"/>
      <c r="CS149" s="1653"/>
      <c r="CT149" s="1653"/>
      <c r="CU149" s="1653"/>
      <c r="CV149" s="1653"/>
      <c r="CW149" s="1653"/>
      <c r="CX149" s="1653"/>
      <c r="CY149" s="1654"/>
      <c r="CZ149" s="1654"/>
      <c r="DA149" s="1655"/>
      <c r="DB149" s="1654"/>
      <c r="DC149" s="97"/>
      <c r="DD149" s="97"/>
      <c r="DE149" s="97"/>
      <c r="DF149" s="97"/>
      <c r="DG149" s="97"/>
      <c r="DH149" s="97"/>
      <c r="DI149" s="97"/>
      <c r="DJ149" s="97"/>
      <c r="DK149" s="97"/>
      <c r="DL149" s="97"/>
      <c r="DM149" s="97"/>
      <c r="DN149" s="97"/>
      <c r="DO149" s="97"/>
      <c r="DP149" s="97"/>
      <c r="DQ149" s="97"/>
      <c r="DR149" s="97"/>
      <c r="DS149" s="97"/>
      <c r="DT149" s="97"/>
      <c r="DU149" s="97"/>
      <c r="DV149" s="97"/>
      <c r="DW149" s="97"/>
      <c r="DX149" s="97"/>
      <c r="DY149" s="97"/>
      <c r="DZ149" s="97"/>
      <c r="EA149" s="97"/>
      <c r="EB149" s="97"/>
      <c r="EC149" s="97"/>
      <c r="ED149" s="97"/>
      <c r="EE149" s="97"/>
    </row>
    <row r="150" spans="1:135" ht="12" customHeight="1">
      <c r="A150" s="114" t="str">
        <f>$A$10</f>
        <v>1Q</v>
      </c>
      <c r="B150" s="114" t="str">
        <f>$B$10</f>
        <v>Apr</v>
      </c>
      <c r="D150" s="1171">
        <f>D130/D193</f>
        <v>-1.8991185112634666E-2</v>
      </c>
      <c r="E150" s="1517"/>
      <c r="H150" s="1171">
        <f>H130/H193</f>
        <v>-1.8354554358472084E-2</v>
      </c>
      <c r="I150" s="1517" t="str">
        <f t="shared" ref="I150:I156" si="402">IF(D150&lt;0,"       NM",(H150/D150-1)*100)</f>
        <v xml:space="preserve">       NM</v>
      </c>
      <c r="L150" s="1171">
        <f>L130/L193</f>
        <v>-9.353574926542544E-3</v>
      </c>
      <c r="M150" s="1517" t="str">
        <f t="shared" ref="M150:M156" si="403">IF(H150&lt;0,"       NM",(L150/H150-1)*100)</f>
        <v xml:space="preserve">       NM</v>
      </c>
      <c r="P150" s="1171">
        <f>P130/P193</f>
        <v>5.531839899741561E-3</v>
      </c>
      <c r="Q150" s="1517" t="str">
        <f t="shared" ref="Q150:Q156" si="404">IF(L150&lt;0,"       NM",(P150/L150-1)*100)</f>
        <v xml:space="preserve">       NM</v>
      </c>
      <c r="T150" s="1171">
        <f>T130/T193</f>
        <v>6.0103666437990692E-2</v>
      </c>
      <c r="U150" s="1517">
        <f t="shared" ref="U150:U156" si="405">IF(P150&lt;0,"       NM",(T150/P150-1)*100)</f>
        <v>986.50408412576508</v>
      </c>
      <c r="X150" s="1171">
        <f>X130/X193</f>
        <v>0.13769082827985385</v>
      </c>
      <c r="Y150" s="1517">
        <f t="shared" ref="Y150:Y156" si="406">IF(T150&lt;0,"       NM",(X150/T150-1)*100)</f>
        <v>129.08889996238466</v>
      </c>
      <c r="AB150" s="1171">
        <f>AB130/AB193</f>
        <v>0.15560497535428208</v>
      </c>
      <c r="AC150" s="1517">
        <f t="shared" ref="AC150:AC156" si="407">IF(X150&lt;0,"       NM",(AB150/X150-1)*100)</f>
        <v>13.010414199860932</v>
      </c>
      <c r="AF150" s="1171">
        <f>AF130/AF193</f>
        <v>0.20025270933566605</v>
      </c>
      <c r="AG150" s="1517">
        <f t="shared" ref="AG150:AG156" si="408">IF(AB150&lt;0,"       NM",(AF150/AB150-1)*100)</f>
        <v>28.692998973670235</v>
      </c>
      <c r="AJ150" s="1171">
        <f>AJ130/AJ193</f>
        <v>0.22622148242436071</v>
      </c>
      <c r="AK150" s="1517">
        <f t="shared" ref="AK150:AK156" si="409">IF(AF150&lt;0,"       NM",(AJ150/AF150-1)*100)</f>
        <v>12.968000869923557</v>
      </c>
      <c r="AN150" s="1171">
        <f>AN130/AN193</f>
        <v>0.25827615565683348</v>
      </c>
      <c r="AO150" s="1517">
        <f t="shared" ref="AO150:AO156" si="410">IF(AJ150&lt;0,"       NM",(AN150/AJ150-1)*100)</f>
        <v>14.169597373755405</v>
      </c>
      <c r="AR150" s="1171">
        <f>AR130/AR193</f>
        <v>0.30261582294161365</v>
      </c>
      <c r="AS150" s="1517">
        <f t="shared" ref="AS150:AS156" si="411">IF(AN150&lt;0,"       NM",(AR150/AN150-1)*100)</f>
        <v>17.167541917300877</v>
      </c>
      <c r="AV150" s="1171">
        <f>AV130/AV193</f>
        <v>0.44943207126948698</v>
      </c>
      <c r="AW150" s="1517">
        <f t="shared" ref="AW150:AW156" si="412">IF(AR150&lt;0,"       NM",(AV150/AR150-1)*100)</f>
        <v>48.515720989315184</v>
      </c>
      <c r="AX150" s="1656"/>
      <c r="AZ150" s="1171">
        <f>AZ130/AZ193</f>
        <v>0.61580912545030464</v>
      </c>
      <c r="BA150" s="1517">
        <f t="shared" ref="BA150:BA156" si="413">IF(AV150&lt;0,"       NM",(AZ150/AV150-1)*100)</f>
        <v>37.019399552608959</v>
      </c>
      <c r="BB150" s="1657"/>
      <c r="BD150" s="1171">
        <f>BD130/BD193</f>
        <v>0.65098816798855796</v>
      </c>
      <c r="BE150" s="1517">
        <f t="shared" ref="BE150:BE156" si="414">IF(AZ150&lt;0,"       NM",(BD150/AZ150-1)*100)</f>
        <v>5.7126536591235011</v>
      </c>
      <c r="BF150" s="1658"/>
      <c r="BG150" s="1163"/>
      <c r="BH150" s="1171">
        <f>BH130/BH193</f>
        <v>0.74519070758170813</v>
      </c>
      <c r="BI150" s="1517">
        <f t="shared" ref="BI150:BI156" si="415">IF(BD150&lt;0,"       NM",(BH150/BD150-1)*100)</f>
        <v>14.47069919630335</v>
      </c>
      <c r="BJ150" s="1658"/>
      <c r="BK150" s="1163"/>
      <c r="BL150" s="1158">
        <f>BL130/BL220</f>
        <v>-0.26346397254181919</v>
      </c>
      <c r="BM150" s="1517">
        <f t="shared" ref="BM150:BM156" si="416">IF(BH150&lt;0,"       NM",(BL150/BH150-1)*100)</f>
        <v>-135.35524126391917</v>
      </c>
      <c r="BN150" s="1659"/>
      <c r="BO150" s="1163"/>
      <c r="BP150" s="1158">
        <f>BP130/BP220</f>
        <v>-0.1342641466598562</v>
      </c>
      <c r="BQ150" s="1517" t="str">
        <f t="shared" ref="BQ150:BQ156" si="417">IF(BL150&lt;0,"       NM",(BP150/BL150-1)*100)</f>
        <v xml:space="preserve">       NM</v>
      </c>
      <c r="BR150" s="1660"/>
      <c r="BS150" s="1163"/>
      <c r="BT150" s="1158">
        <f>BT130/BT193</f>
        <v>0.14151767450603209</v>
      </c>
      <c r="BU150" s="1517" t="str">
        <f t="shared" ref="BU150:BU156" si="418">IF(BP150&lt;0,"       NM",(BT150/BP150-1)*100)</f>
        <v xml:space="preserve">       NM</v>
      </c>
      <c r="BV150" s="1661">
        <v>27</v>
      </c>
      <c r="BW150" s="1163"/>
      <c r="BX150" s="1158">
        <f>BX130/BX193</f>
        <v>-0.24720365729137656</v>
      </c>
      <c r="BY150" s="1517">
        <f t="shared" ref="BY150:BY156" si="419">IF(BT150&lt;0,"       NM",(BX150/BT150-1)*100)</f>
        <v>-274.68041229072043</v>
      </c>
      <c r="BZ150" s="1661">
        <v>27</v>
      </c>
      <c r="CA150" s="1660"/>
      <c r="CB150" s="1158">
        <f>CB130/CB193</f>
        <v>-8.1520351361013862E-2</v>
      </c>
      <c r="CC150" s="1517" t="str">
        <f t="shared" ref="CC150:CC156" si="420">IF(BX150&lt;0,"       NM",(CB150/BX150-1)*100)</f>
        <v xml:space="preserve">       NM</v>
      </c>
      <c r="CD150" s="1662"/>
      <c r="CE150" s="1662"/>
      <c r="CF150" s="1158">
        <f>CF130/CF193</f>
        <v>-0.17405313964260366</v>
      </c>
      <c r="CG150" s="1517" t="str">
        <f t="shared" ref="CG150:CG156" si="421">IF(CB150&lt;0,"       NM",(CF150/CB150-1)*100)</f>
        <v xml:space="preserve">       NM</v>
      </c>
      <c r="CH150" s="1662"/>
      <c r="CI150" s="1662"/>
      <c r="CJ150" s="1158">
        <f>CJ130/CJ193</f>
        <v>-0.53488131204143219</v>
      </c>
      <c r="CK150" s="1517" t="str">
        <f t="shared" ref="CK150:CK156" si="422">IF(CF150&lt;0,"       NM",(CJ150/CF150-1)*100)</f>
        <v xml:space="preserve">       NM</v>
      </c>
      <c r="CL150" s="1662"/>
      <c r="CM150" s="1662"/>
      <c r="CN150" s="1158">
        <f>CN130/CN193</f>
        <v>-0.58539001848428918</v>
      </c>
      <c r="CO150" s="1517" t="str">
        <f t="shared" ref="CO150:CO156" si="423">IF(CJ150&lt;0,"       NM",(CN150/CJ150-1)*100)</f>
        <v xml:space="preserve">       NM</v>
      </c>
      <c r="CP150" s="1662"/>
      <c r="CQ150" s="1662"/>
      <c r="CR150" s="1158">
        <f>CR130/CR193</f>
        <v>-0.90637991567875587</v>
      </c>
      <c r="CS150" s="1517" t="str">
        <f t="shared" ref="CS150:CS156" si="424">IF(CN150&lt;0,"       NM",(CR150/CN150-1)*100)</f>
        <v xml:space="preserve">       NM</v>
      </c>
      <c r="CT150" s="1662"/>
      <c r="CU150" s="1662"/>
      <c r="CV150" s="1158">
        <f>CV130/CV193</f>
        <v>-0.82461930414837814</v>
      </c>
      <c r="CW150" s="1517" t="str">
        <f t="shared" ref="CW150:CW156" si="425">IF(CR150&lt;0,"       NM",(CV150/CR150-1)*100)</f>
        <v xml:space="preserve">       NM</v>
      </c>
      <c r="CX150" s="1662"/>
      <c r="CY150" s="1663"/>
      <c r="CZ150" s="1663"/>
      <c r="DA150" s="97"/>
      <c r="DB150" s="378"/>
      <c r="DC150" s="97"/>
      <c r="DD150" s="97"/>
      <c r="DE150" s="97"/>
      <c r="DF150" s="97"/>
      <c r="DG150" s="97"/>
      <c r="DH150" s="97"/>
      <c r="DI150" s="97"/>
      <c r="DJ150" s="97"/>
      <c r="DK150" s="97"/>
      <c r="DL150" s="97"/>
      <c r="DM150" s="97"/>
      <c r="DN150" s="97"/>
      <c r="DO150" s="97"/>
      <c r="DP150" s="97"/>
      <c r="DQ150" s="97"/>
      <c r="DR150" s="97"/>
      <c r="DS150" s="97"/>
      <c r="DT150" s="97"/>
      <c r="DU150" s="97"/>
      <c r="DV150" s="97"/>
      <c r="DW150" s="97"/>
      <c r="DX150" s="97"/>
      <c r="DY150" s="97"/>
      <c r="DZ150" s="97"/>
      <c r="EA150" s="97"/>
      <c r="EB150" s="97"/>
      <c r="EC150" s="97"/>
      <c r="ED150" s="97"/>
      <c r="EE150" s="97"/>
    </row>
    <row r="151" spans="1:135" ht="12" customHeight="1">
      <c r="A151" s="114" t="str">
        <f>$A$11</f>
        <v>2Q</v>
      </c>
      <c r="B151" s="114" t="str">
        <f>$B$11</f>
        <v>Jul</v>
      </c>
      <c r="D151" s="1656">
        <f>D131/D194</f>
        <v>-1.2624877571008816E-2</v>
      </c>
      <c r="E151" s="1517"/>
      <c r="H151" s="1656">
        <f>H131/H194</f>
        <v>-6.3663075416258612E-3</v>
      </c>
      <c r="I151" s="1517" t="str">
        <f t="shared" si="402"/>
        <v xml:space="preserve">       NM</v>
      </c>
      <c r="L151" s="1656">
        <f>L131/L194</f>
        <v>2.7717923604309424E-3</v>
      </c>
      <c r="M151" s="1517" t="str">
        <f t="shared" si="403"/>
        <v xml:space="preserve">       NM</v>
      </c>
      <c r="P151" s="1656">
        <f>P131/P194</f>
        <v>2.0001169089279451E-2</v>
      </c>
      <c r="Q151" s="1517">
        <f t="shared" si="404"/>
        <v>621.59694841534906</v>
      </c>
      <c r="T151" s="1656">
        <f>T131/T194</f>
        <v>9.9762783342119188E-2</v>
      </c>
      <c r="U151" s="1517">
        <f t="shared" si="405"/>
        <v>398.78476051478236</v>
      </c>
      <c r="X151" s="1656">
        <f>X131/X194</f>
        <v>0.17362882212667227</v>
      </c>
      <c r="Y151" s="1517">
        <f t="shared" si="406"/>
        <v>74.041677978492544</v>
      </c>
      <c r="AB151" s="1656">
        <f>AB131/AB194</f>
        <v>0.20808424447416043</v>
      </c>
      <c r="AC151" s="1517">
        <f t="shared" si="407"/>
        <v>19.844298847083653</v>
      </c>
      <c r="AF151" s="1656">
        <f>AF131/AF194</f>
        <v>0.24070371082484132</v>
      </c>
      <c r="AG151" s="1517">
        <f t="shared" si="408"/>
        <v>15.676086593250705</v>
      </c>
      <c r="AJ151" s="1656">
        <f>AJ131/AJ194</f>
        <v>0.30385847336519944</v>
      </c>
      <c r="AK151" s="1517">
        <f t="shared" si="409"/>
        <v>26.237552517964915</v>
      </c>
      <c r="AN151" s="1656">
        <f>AN131/AN194</f>
        <v>0.34483860658357324</v>
      </c>
      <c r="AO151" s="1517">
        <f t="shared" si="410"/>
        <v>13.486585634596038</v>
      </c>
      <c r="AR151" s="1656">
        <f>AR131/AR194</f>
        <v>0.43947125730095343</v>
      </c>
      <c r="AS151" s="1517">
        <f t="shared" si="411"/>
        <v>27.442591667718474</v>
      </c>
      <c r="AV151" s="1656">
        <f>AV131/AV194</f>
        <v>0.62732647730625868</v>
      </c>
      <c r="AW151" s="1517">
        <f t="shared" si="412"/>
        <v>42.74573521805101</v>
      </c>
      <c r="AZ151" s="1664">
        <f>AZ131/AZ194</f>
        <v>0.72080984448002783</v>
      </c>
      <c r="BA151" s="1517">
        <f t="shared" si="413"/>
        <v>14.901868573312417</v>
      </c>
      <c r="BB151" s="1657"/>
      <c r="BD151" s="1664">
        <f>BD131/BD194</f>
        <v>0.88060979045225052</v>
      </c>
      <c r="BE151" s="1517">
        <f t="shared" si="414"/>
        <v>22.169501040527262</v>
      </c>
      <c r="BF151" s="1658"/>
      <c r="BG151" s="1665"/>
      <c r="BH151" s="1664">
        <f>BH131/BH194</f>
        <v>0.92523593032691254</v>
      </c>
      <c r="BI151" s="1517">
        <f t="shared" si="415"/>
        <v>5.0676406688305864</v>
      </c>
      <c r="BJ151" s="1666"/>
      <c r="BK151" s="1665"/>
      <c r="BL151" s="1664">
        <f>BL131/BL194</f>
        <v>-9.3208766699287696E-2</v>
      </c>
      <c r="BM151" s="1517">
        <f t="shared" si="416"/>
        <v>-110.07405394063699</v>
      </c>
      <c r="BN151" s="1659"/>
      <c r="BO151" s="1665"/>
      <c r="BP151" s="1664">
        <f>BP131/BP194</f>
        <v>0.23792003221981023</v>
      </c>
      <c r="BQ151" s="1517" t="str">
        <f t="shared" si="417"/>
        <v xml:space="preserve">       NM</v>
      </c>
      <c r="BR151" s="1660"/>
      <c r="BS151" s="1665"/>
      <c r="BT151" s="1664">
        <f>BT131/BT194</f>
        <v>0.30901021548814178</v>
      </c>
      <c r="BU151" s="1517">
        <f t="shared" si="418"/>
        <v>29.879864509539299</v>
      </c>
      <c r="BV151" s="1661">
        <v>35</v>
      </c>
      <c r="BW151" s="1665"/>
      <c r="BX151" s="1664">
        <f>BX131/BX194</f>
        <v>0.20434798240673163</v>
      </c>
      <c r="BY151" s="1517">
        <f t="shared" si="419"/>
        <v>-33.870153100303099</v>
      </c>
      <c r="BZ151" s="1661">
        <v>35</v>
      </c>
      <c r="CA151" s="1660"/>
      <c r="CB151" s="1664">
        <f>CB131/CB194</f>
        <v>0.16419190836035114</v>
      </c>
      <c r="CC151" s="1517">
        <f t="shared" si="420"/>
        <v>-19.650829713823338</v>
      </c>
      <c r="CD151" s="1667"/>
      <c r="CE151" s="1667"/>
      <c r="CF151" s="1664">
        <f>CF131/CF194</f>
        <v>0.19065567547047035</v>
      </c>
      <c r="CG151" s="1517">
        <f t="shared" si="421"/>
        <v>16.117583000521151</v>
      </c>
      <c r="CH151" s="1667"/>
      <c r="CI151" s="1667"/>
      <c r="CJ151" s="1664">
        <f>CJ131/CJ194</f>
        <v>0.1226495848432104</v>
      </c>
      <c r="CK151" s="1517">
        <f t="shared" si="422"/>
        <v>-35.669586263007979</v>
      </c>
      <c r="CL151" s="1667"/>
      <c r="CM151" s="1667"/>
      <c r="CN151" s="1656">
        <f>CN131/CN194</f>
        <v>-0.24738019545508053</v>
      </c>
      <c r="CO151" s="1517">
        <f t="shared" si="423"/>
        <v>-301.69672467405417</v>
      </c>
      <c r="CP151" s="1667"/>
      <c r="CQ151" s="1667"/>
      <c r="CR151" s="1656">
        <f>CR131/CR194</f>
        <v>-0.16019048732032232</v>
      </c>
      <c r="CS151" s="1517" t="str">
        <f t="shared" si="424"/>
        <v xml:space="preserve">       NM</v>
      </c>
      <c r="CT151" s="1667"/>
      <c r="CU151" s="1667"/>
      <c r="CV151" s="1656">
        <f>CV131/CV194</f>
        <v>-3.0175079062011657E-2</v>
      </c>
      <c r="CW151" s="1517" t="str">
        <f t="shared" si="425"/>
        <v xml:space="preserve">       NM</v>
      </c>
      <c r="CX151" s="1667"/>
      <c r="CY151" s="1663"/>
      <c r="CZ151" s="1663"/>
      <c r="DA151" s="97"/>
      <c r="DB151" s="1668"/>
      <c r="DC151" s="97"/>
      <c r="DD151" s="97"/>
      <c r="DE151" s="97"/>
      <c r="DF151" s="97"/>
      <c r="DG151" s="97"/>
      <c r="DH151" s="97"/>
      <c r="DI151" s="97"/>
      <c r="DJ151" s="97"/>
      <c r="DK151" s="97"/>
      <c r="DL151" s="97"/>
      <c r="DM151" s="97"/>
      <c r="DN151" s="97"/>
      <c r="DO151" s="97"/>
      <c r="DP151" s="97"/>
      <c r="DQ151" s="97"/>
      <c r="DR151" s="97"/>
      <c r="DS151" s="97"/>
      <c r="DT151" s="97"/>
      <c r="DU151" s="97"/>
      <c r="DV151" s="97"/>
      <c r="DW151" s="97"/>
      <c r="DX151" s="97"/>
      <c r="DY151" s="97"/>
      <c r="DZ151" s="97"/>
      <c r="EA151" s="97"/>
      <c r="EB151" s="97"/>
      <c r="EC151" s="97"/>
      <c r="ED151" s="97"/>
      <c r="EE151" s="97"/>
    </row>
    <row r="152" spans="1:135" ht="12" customHeight="1">
      <c r="A152" s="114" t="str">
        <f>$A$12</f>
        <v>3Q</v>
      </c>
      <c r="B152" s="114" t="str">
        <f>$B$12</f>
        <v>Oct</v>
      </c>
      <c r="D152" s="1656">
        <f>D132/D195</f>
        <v>-4.0254652301664516E-3</v>
      </c>
      <c r="E152" s="1517"/>
      <c r="H152" s="1656">
        <f>H132/H195</f>
        <v>1.6033300685602346E-2</v>
      </c>
      <c r="I152" s="1517" t="str">
        <f t="shared" si="402"/>
        <v xml:space="preserve">       NM</v>
      </c>
      <c r="L152" s="1656">
        <f>L132/L195</f>
        <v>4.6346718903036252E-2</v>
      </c>
      <c r="M152" s="1517">
        <f t="shared" si="403"/>
        <v>189.06536346976193</v>
      </c>
      <c r="P152" s="1656">
        <f>P132/P195</f>
        <v>0.10081598635500244</v>
      </c>
      <c r="Q152" s="1517">
        <f t="shared" si="404"/>
        <v>117.52561721990165</v>
      </c>
      <c r="T152" s="1656">
        <f>T132/T195</f>
        <v>0.23510726539230084</v>
      </c>
      <c r="U152" s="1517">
        <f t="shared" si="405"/>
        <v>133.20434971931903</v>
      </c>
      <c r="X152" s="1656">
        <f>X132/X195</f>
        <v>0.36307609362509058</v>
      </c>
      <c r="Y152" s="1517">
        <f t="shared" si="406"/>
        <v>54.42997604487487</v>
      </c>
      <c r="AB152" s="1656">
        <f>AB132/AB195</f>
        <v>0.42927482569819209</v>
      </c>
      <c r="AC152" s="1517">
        <f t="shared" si="407"/>
        <v>18.232743283136067</v>
      </c>
      <c r="AF152" s="1656">
        <f>AF132/AF195</f>
        <v>0.43133186484679259</v>
      </c>
      <c r="AG152" s="1517">
        <f t="shared" si="408"/>
        <v>0.47918932708315154</v>
      </c>
      <c r="AJ152" s="1656">
        <f>AJ132/AJ195</f>
        <v>0.4748011409288127</v>
      </c>
      <c r="AK152" s="1517">
        <f t="shared" si="409"/>
        <v>10.077919028185001</v>
      </c>
      <c r="AN152" s="1656">
        <f>AN132/AN195</f>
        <v>0.50386470505136061</v>
      </c>
      <c r="AO152" s="1517">
        <f t="shared" si="410"/>
        <v>6.1212077261847631</v>
      </c>
      <c r="AR152" s="1656">
        <f>AR132/AR195</f>
        <v>0.63566192279053257</v>
      </c>
      <c r="AS152" s="1517">
        <f t="shared" si="411"/>
        <v>26.157263332373603</v>
      </c>
      <c r="AV152" s="1656">
        <f>AV132/AV195</f>
        <v>0.88256428397709408</v>
      </c>
      <c r="AW152" s="1517">
        <f t="shared" si="412"/>
        <v>38.84177301397402</v>
      </c>
      <c r="AZ152" s="1540">
        <f>AZ132/AZ195</f>
        <v>1.1072754107611826</v>
      </c>
      <c r="BA152" s="1517">
        <f t="shared" si="413"/>
        <v>25.461162531014068</v>
      </c>
      <c r="BB152" s="1657"/>
      <c r="BC152" s="1669"/>
      <c r="BD152" s="1540">
        <f>BD132/BD195</f>
        <v>1.290257096770653</v>
      </c>
      <c r="BE152" s="1517">
        <f t="shared" si="414"/>
        <v>16.525399573687082</v>
      </c>
      <c r="BF152" s="1658"/>
      <c r="BG152" s="1670"/>
      <c r="BH152" s="1540">
        <f>BH132/BH195</f>
        <v>0.78534108055762075</v>
      </c>
      <c r="BI152" s="1517">
        <f t="shared" si="415"/>
        <v>-39.132977255213085</v>
      </c>
      <c r="BJ152" s="1658"/>
      <c r="BK152" s="1670"/>
      <c r="BL152" s="1540">
        <f>BL132/BL195</f>
        <v>0.55475036627972441</v>
      </c>
      <c r="BM152" s="1517">
        <f t="shared" si="416"/>
        <v>-29.361855630189183</v>
      </c>
      <c r="BN152" s="1659"/>
      <c r="BO152" s="1670"/>
      <c r="BP152" s="1540">
        <f>BP132/BP195</f>
        <v>0.55557405988742015</v>
      </c>
      <c r="BQ152" s="1517">
        <f t="shared" si="417"/>
        <v>0.14848004756078392</v>
      </c>
      <c r="BR152" s="1660"/>
      <c r="BS152" s="1670"/>
      <c r="BT152" s="1540">
        <f>BT132/BT195</f>
        <v>0.63309440734836731</v>
      </c>
      <c r="BU152" s="1517">
        <f t="shared" si="418"/>
        <v>13.953197792685934</v>
      </c>
      <c r="BV152" s="1661">
        <v>70</v>
      </c>
      <c r="BW152" s="1670"/>
      <c r="BX152" s="1540">
        <f>BX132/BX195</f>
        <v>1.018346622718789</v>
      </c>
      <c r="BY152" s="1517">
        <f t="shared" si="419"/>
        <v>60.852253771123955</v>
      </c>
      <c r="BZ152" s="1661">
        <v>70</v>
      </c>
      <c r="CA152" s="1660"/>
      <c r="CB152" s="1540">
        <f>CB132/CB195</f>
        <v>0.52325656243160812</v>
      </c>
      <c r="CC152" s="1517">
        <f t="shared" si="420"/>
        <v>-48.617047402326129</v>
      </c>
      <c r="CD152" s="1667"/>
      <c r="CE152" s="1667"/>
      <c r="CF152" s="1540">
        <f>CF132/CF195</f>
        <v>0.42155612244897989</v>
      </c>
      <c r="CG152" s="1517">
        <f t="shared" si="421"/>
        <v>-19.436056283751036</v>
      </c>
      <c r="CH152" s="1667"/>
      <c r="CI152" s="1667"/>
      <c r="CJ152" s="1540">
        <f>CJ132/CJ195</f>
        <v>0.47523280155922876</v>
      </c>
      <c r="CK152" s="1517">
        <f t="shared" si="422"/>
        <v>12.732985301795786</v>
      </c>
      <c r="CL152" s="1667"/>
      <c r="CM152" s="1667"/>
      <c r="CN152" s="1540">
        <f>CN132/CN195</f>
        <v>2.0534001200990602E-2</v>
      </c>
      <c r="CO152" s="1517">
        <f t="shared" si="423"/>
        <v>-95.679170054419856</v>
      </c>
      <c r="CP152" s="1667"/>
      <c r="CQ152" s="1667"/>
      <c r="CR152" s="1540">
        <f>CR132/CR195</f>
        <v>0.29933442316674325</v>
      </c>
      <c r="CS152" s="1517">
        <f t="shared" si="424"/>
        <v>1357.750100610215</v>
      </c>
      <c r="CT152" s="1667"/>
      <c r="CU152" s="1667"/>
      <c r="CV152" s="1540">
        <f>CV132/CV195</f>
        <v>0.30618615600673421</v>
      </c>
      <c r="CW152" s="1517">
        <f t="shared" si="425"/>
        <v>2.2889892741050577</v>
      </c>
      <c r="CX152" s="1667"/>
      <c r="CY152" s="1663"/>
      <c r="CZ152" s="1663"/>
      <c r="DA152" s="97"/>
      <c r="DB152" s="1668"/>
      <c r="DC152" s="97"/>
      <c r="DD152" s="97"/>
      <c r="DE152" s="97"/>
      <c r="DF152" s="97"/>
      <c r="DG152" s="97"/>
      <c r="DH152" s="97"/>
      <c r="DI152" s="97"/>
      <c r="DJ152" s="97"/>
      <c r="DK152" s="97"/>
      <c r="DL152" s="97"/>
      <c r="DM152" s="97"/>
      <c r="DN152" s="97"/>
      <c r="DO152" s="97"/>
      <c r="DP152" s="97"/>
      <c r="DQ152" s="97"/>
      <c r="DR152" s="97"/>
      <c r="DS152" s="97"/>
      <c r="DT152" s="97"/>
      <c r="DU152" s="97"/>
      <c r="DV152" s="97"/>
      <c r="DW152" s="97"/>
      <c r="DX152" s="97"/>
      <c r="DY152" s="97"/>
      <c r="DZ152" s="97"/>
      <c r="EA152" s="97"/>
      <c r="EB152" s="97"/>
      <c r="EC152" s="97"/>
      <c r="ED152" s="97"/>
      <c r="EE152" s="97"/>
    </row>
    <row r="153" spans="1:135" ht="12" customHeight="1">
      <c r="A153" s="114" t="str">
        <f>$A$13</f>
        <v>4Q</v>
      </c>
      <c r="B153" s="114" t="str">
        <f>$B$13</f>
        <v>Jan</v>
      </c>
      <c r="C153" s="310"/>
      <c r="D153" s="1671">
        <f>D133/D196</f>
        <v>8.5386875612145016E-2</v>
      </c>
      <c r="E153" s="1517"/>
      <c r="H153" s="1671">
        <f>H133/H196</f>
        <v>0.11484818805093035</v>
      </c>
      <c r="I153" s="1517">
        <f t="shared" si="402"/>
        <v>34.503326451020655</v>
      </c>
      <c r="L153" s="1671">
        <f>L133/L196</f>
        <v>0.20095004897159649</v>
      </c>
      <c r="M153" s="1517">
        <f t="shared" si="403"/>
        <v>74.970151799420279</v>
      </c>
      <c r="P153" s="1671">
        <f>P133/P196</f>
        <v>0.33989678214485175</v>
      </c>
      <c r="Q153" s="1517">
        <f t="shared" si="404"/>
        <v>69.144911327140221</v>
      </c>
      <c r="T153" s="1671">
        <f>T133/T196</f>
        <v>0.55974603056557459</v>
      </c>
      <c r="U153" s="1517">
        <f t="shared" si="405"/>
        <v>64.681179690318743</v>
      </c>
      <c r="X153" s="1671">
        <f>X133/X196</f>
        <v>0.7258204592111861</v>
      </c>
      <c r="Y153" s="1517">
        <f t="shared" si="406"/>
        <v>29.66960363752964</v>
      </c>
      <c r="AB153" s="1671">
        <f>AB133/AB196</f>
        <v>0.76074641129469267</v>
      </c>
      <c r="AC153" s="1517">
        <f t="shared" si="407"/>
        <v>4.8119271977347777</v>
      </c>
      <c r="AF153" s="1671">
        <f>AF133/AF196</f>
        <v>0.77998029556650228</v>
      </c>
      <c r="AG153" s="1517">
        <f t="shared" si="408"/>
        <v>2.5282911606610226</v>
      </c>
      <c r="AJ153" s="1671">
        <f>AJ133/AJ196</f>
        <v>0.94110545483812513</v>
      </c>
      <c r="AK153" s="1517">
        <f t="shared" si="409"/>
        <v>20.657593555565022</v>
      </c>
      <c r="AN153" s="1671">
        <f>AN133/AN196</f>
        <v>0.96672083729392189</v>
      </c>
      <c r="AO153" s="1517">
        <f t="shared" si="410"/>
        <v>2.7218397602639222</v>
      </c>
      <c r="AR153" s="1671">
        <f>AR133/AR196</f>
        <v>1.1488705234159788</v>
      </c>
      <c r="AS153" s="1517">
        <f>IF(AN153&lt;0,"       NM",(AR153/AN153-1)*100)</f>
        <v>18.842015098374887</v>
      </c>
      <c r="AV153" s="1671">
        <f>AV133/AV196</f>
        <v>1.8036044919200227</v>
      </c>
      <c r="AW153" s="1517">
        <f t="shared" si="412"/>
        <v>56.989360868733876</v>
      </c>
      <c r="AX153" s="1672"/>
      <c r="AZ153" s="1673">
        <f>AZ133/AZ196</f>
        <v>2.1409497472237824</v>
      </c>
      <c r="BA153" s="1517">
        <f t="shared" si="413"/>
        <v>18.703948499520507</v>
      </c>
      <c r="BB153" s="1674"/>
      <c r="BC153" s="1675"/>
      <c r="BD153" s="1673">
        <f>BD133/BD196</f>
        <v>2.4021277774699406</v>
      </c>
      <c r="BE153" s="1517">
        <f t="shared" si="414"/>
        <v>12.199166775625336</v>
      </c>
      <c r="BF153" s="1658"/>
      <c r="BG153" s="1670"/>
      <c r="BH153" s="1673">
        <f>BH133/BH196</f>
        <v>0.99731469101951054</v>
      </c>
      <c r="BI153" s="1517">
        <f t="shared" si="415"/>
        <v>-58.48202995804246</v>
      </c>
      <c r="BJ153" s="1676"/>
      <c r="BK153" s="1670"/>
      <c r="BL153" s="1673">
        <f>BL133/BL196</f>
        <v>0.90833090199070743</v>
      </c>
      <c r="BM153" s="1517">
        <f t="shared" si="416"/>
        <v>-8.9223381376081985</v>
      </c>
      <c r="BN153" s="1659"/>
      <c r="BO153" s="1670"/>
      <c r="BP153" s="1673">
        <f>BP133/BP196</f>
        <v>1.3750117409714657</v>
      </c>
      <c r="BQ153" s="1517">
        <f t="shared" si="417"/>
        <v>51.37784456721397</v>
      </c>
      <c r="BR153" s="1660"/>
      <c r="BS153" s="1670"/>
      <c r="BT153" s="1673">
        <f>BT133/BT196</f>
        <v>1.421184738955825</v>
      </c>
      <c r="BU153" s="1517">
        <f t="shared" si="418"/>
        <v>3.3580075433928602</v>
      </c>
      <c r="BV153" s="1661">
        <v>178</v>
      </c>
      <c r="BW153" s="1670"/>
      <c r="BX153" s="1673">
        <f>BX133/BX196</f>
        <v>2.0087643071728278</v>
      </c>
      <c r="BY153" s="1517">
        <f t="shared" si="419"/>
        <v>41.344348282877718</v>
      </c>
      <c r="BZ153" s="1661">
        <v>178</v>
      </c>
      <c r="CA153" s="1660"/>
      <c r="CB153" s="1673">
        <f>CB133/CB196</f>
        <v>1.344149649339933</v>
      </c>
      <c r="CC153" s="1517">
        <f t="shared" si="420"/>
        <v>-33.085746070841225</v>
      </c>
      <c r="CD153" s="1667"/>
      <c r="CE153" s="1667"/>
      <c r="CF153" s="1673">
        <f>CF133/CF196</f>
        <v>1.1524039009923601</v>
      </c>
      <c r="CG153" s="1517">
        <f t="shared" si="421"/>
        <v>-14.265208374806537</v>
      </c>
      <c r="CH153" s="1667"/>
      <c r="CI153" s="1667"/>
      <c r="CJ153" s="1673">
        <f>CJ133/CJ196</f>
        <v>1.080066820040152</v>
      </c>
      <c r="CK153" s="1517">
        <f t="shared" si="422"/>
        <v>-6.2770597088327325</v>
      </c>
      <c r="CL153" s="1667"/>
      <c r="CM153" s="1667"/>
      <c r="CN153" s="1673">
        <f>CN133/CN196</f>
        <v>0.74558924728034004</v>
      </c>
      <c r="CO153" s="1517">
        <f t="shared" si="423"/>
        <v>-30.968229608921561</v>
      </c>
      <c r="CP153" s="1667"/>
      <c r="CQ153" s="1667"/>
      <c r="CR153" s="1673">
        <f>CR133/CR196</f>
        <v>1.380999758375143</v>
      </c>
      <c r="CS153" s="1517">
        <f t="shared" si="424"/>
        <v>85.222595874681375</v>
      </c>
      <c r="CT153" s="1667"/>
      <c r="CU153" s="1667"/>
      <c r="CV153" s="1673">
        <f>CV133/CV196</f>
        <v>0.79091775954783916</v>
      </c>
      <c r="CW153" s="1517">
        <f t="shared" si="425"/>
        <v>-42.728609853022903</v>
      </c>
      <c r="CX153" s="1667"/>
      <c r="CY153" s="1677"/>
      <c r="CZ153" s="1677"/>
      <c r="DA153" s="97"/>
      <c r="DB153" s="1668"/>
      <c r="DC153" s="97"/>
      <c r="DD153" s="97"/>
      <c r="DE153" s="97"/>
      <c r="DF153" s="97"/>
      <c r="DG153" s="97"/>
      <c r="DH153" s="97"/>
      <c r="DI153" s="97"/>
      <c r="DJ153" s="97"/>
      <c r="DK153" s="97"/>
      <c r="DL153" s="97"/>
      <c r="DM153" s="97"/>
      <c r="DN153" s="97"/>
      <c r="DO153" s="97"/>
      <c r="DP153" s="97"/>
      <c r="DQ153" s="97"/>
      <c r="DR153" s="97"/>
      <c r="DS153" s="97"/>
      <c r="DT153" s="97"/>
      <c r="DU153" s="97"/>
      <c r="DV153" s="97"/>
      <c r="DW153" s="97"/>
      <c r="DX153" s="97"/>
      <c r="DY153" s="97"/>
      <c r="DZ153" s="97"/>
      <c r="EA153" s="97"/>
      <c r="EB153" s="97"/>
      <c r="EC153" s="97"/>
      <c r="ED153" s="97"/>
      <c r="EE153" s="97"/>
    </row>
    <row r="154" spans="1:135">
      <c r="B154" s="114" t="str">
        <f>$B$14</f>
        <v>Year</v>
      </c>
      <c r="D154" s="1171">
        <f>D134/D197</f>
        <v>4.974534769833508E-2</v>
      </c>
      <c r="E154" s="1517"/>
      <c r="H154" s="1171">
        <f>H134/H197</f>
        <v>0.10616062683643476</v>
      </c>
      <c r="I154" s="1517">
        <f t="shared" si="402"/>
        <v>113.4081512108676</v>
      </c>
      <c r="L154" s="1171">
        <f>L134/L197</f>
        <v>0.24071498530852112</v>
      </c>
      <c r="M154" s="1517">
        <f t="shared" si="403"/>
        <v>126.74600977950021</v>
      </c>
      <c r="P154" s="1171">
        <f>P134/P197</f>
        <v>0.46934612844321855</v>
      </c>
      <c r="Q154" s="1517">
        <f t="shared" si="404"/>
        <v>94.980020808286625</v>
      </c>
      <c r="T154" s="1171">
        <f>T134/T197</f>
        <v>0.96101768328280057</v>
      </c>
      <c r="U154" s="1517">
        <f t="shared" si="405"/>
        <v>104.75670833174124</v>
      </c>
      <c r="X154" s="1171">
        <f>X134/X197</f>
        <v>1.3898180061500729</v>
      </c>
      <c r="Y154" s="1517">
        <f t="shared" si="406"/>
        <v>44.619399863955309</v>
      </c>
      <c r="AB154" s="1171">
        <f>AB134/AB197</f>
        <v>1.5479560671913544</v>
      </c>
      <c r="AC154" s="1517">
        <f t="shared" si="407"/>
        <v>11.378328697822738</v>
      </c>
      <c r="AF154" s="1171">
        <f>AF134/AF197</f>
        <v>1.6451952713510982</v>
      </c>
      <c r="AG154" s="1517">
        <f t="shared" si="408"/>
        <v>6.2817806151421962</v>
      </c>
      <c r="AJ154" s="1171">
        <f>AJ134/AJ197</f>
        <v>1.9353280798163579</v>
      </c>
      <c r="AK154" s="1517">
        <f t="shared" si="409"/>
        <v>17.635159395212185</v>
      </c>
      <c r="AN154" s="1171">
        <f>AN134/AN197</f>
        <v>2.056939144406507</v>
      </c>
      <c r="AO154" s="1517">
        <f t="shared" si="410"/>
        <v>6.2837441288863483</v>
      </c>
      <c r="AP154" s="1672"/>
      <c r="AR154" s="1171">
        <f>AR134/AR197</f>
        <v>2.4926295867942403</v>
      </c>
      <c r="AS154" s="1517">
        <f t="shared" si="411"/>
        <v>21.181494045291458</v>
      </c>
      <c r="AV154" s="1171">
        <f>AV134/AV197</f>
        <v>3.7515374749235364</v>
      </c>
      <c r="AW154" s="1517">
        <f t="shared" si="412"/>
        <v>50.505213241425565</v>
      </c>
      <c r="AX154" s="1672"/>
      <c r="AZ154" s="1171">
        <f>AZ134/AZ197</f>
        <v>4.5884686447125294</v>
      </c>
      <c r="BA154" s="1517">
        <f t="shared" si="413"/>
        <v>22.309017979516543</v>
      </c>
      <c r="BB154" s="1678"/>
      <c r="BD154" s="1171">
        <f>BD134/BD197</f>
        <v>5.1975678244812782</v>
      </c>
      <c r="BE154" s="1517">
        <f t="shared" si="414"/>
        <v>13.274563409529616</v>
      </c>
      <c r="BF154" s="1658"/>
      <c r="BG154" s="1163"/>
      <c r="BH154" s="1171">
        <f>BH134/BH197</f>
        <v>3.451310882395763</v>
      </c>
      <c r="BI154" s="1517">
        <f t="shared" si="415"/>
        <v>-33.597578734045541</v>
      </c>
      <c r="BJ154" s="1658"/>
      <c r="BK154" s="1163"/>
      <c r="BL154" s="1171">
        <f>BL134/BL197</f>
        <v>1.1158234490853067</v>
      </c>
      <c r="BM154" s="1517">
        <f t="shared" si="416"/>
        <v>-67.669575789975013</v>
      </c>
      <c r="BN154" s="1659"/>
      <c r="BO154" s="1163"/>
      <c r="BP154" s="1171">
        <f>BP134/BP197</f>
        <v>2.042537414163446</v>
      </c>
      <c r="BQ154" s="1517">
        <f t="shared" si="417"/>
        <v>83.052024568744315</v>
      </c>
      <c r="BR154" s="1660"/>
      <c r="BS154" s="1163"/>
      <c r="BT154" s="1171">
        <f>BT134/BT197</f>
        <v>2.4802707260685555</v>
      </c>
      <c r="BU154" s="1517">
        <f t="shared" si="418"/>
        <v>21.430858934076859</v>
      </c>
      <c r="BV154" s="1661">
        <f>SUM(BV150:BV153)</f>
        <v>310</v>
      </c>
      <c r="BW154" s="1163"/>
      <c r="BX154" s="1171">
        <f>BX134/BX197</f>
        <v>2.9046621440873333</v>
      </c>
      <c r="BY154" s="1517">
        <f t="shared" si="419"/>
        <v>17.110689311383155</v>
      </c>
      <c r="BZ154" s="1661">
        <f>SUM(BZ150:BZ153)</f>
        <v>310</v>
      </c>
      <c r="CA154" s="1660"/>
      <c r="CB154" s="1171">
        <f>CB134/CB197</f>
        <v>1.9141803299396185</v>
      </c>
      <c r="CC154" s="1517">
        <f t="shared" si="420"/>
        <v>-34.099725373015168</v>
      </c>
      <c r="CD154" s="1667"/>
      <c r="CE154" s="1667"/>
      <c r="CF154" s="1171">
        <f>CF134/CF197</f>
        <v>1.5400825369839746</v>
      </c>
      <c r="CG154" s="1517">
        <f t="shared" si="421"/>
        <v>-19.543497919417263</v>
      </c>
      <c r="CH154" s="1667"/>
      <c r="CI154" s="1667"/>
      <c r="CJ154" s="1171">
        <f>CJ134/CJ197</f>
        <v>1.124240459829726</v>
      </c>
      <c r="CK154" s="1517">
        <f t="shared" si="422"/>
        <v>-27.001285136874177</v>
      </c>
      <c r="CL154" s="1667"/>
      <c r="CM154" s="1667"/>
      <c r="CN154" s="1171">
        <f>CN134/CN197</f>
        <v>-5.9604006795150551E-2</v>
      </c>
      <c r="CO154" s="1517">
        <f t="shared" si="423"/>
        <v>-105.30171337226007</v>
      </c>
      <c r="CP154" s="1667"/>
      <c r="CQ154" s="1667"/>
      <c r="CR154" s="1171">
        <f>CR134/CR197</f>
        <v>0.64845900033139658</v>
      </c>
      <c r="CS154" s="1517" t="str">
        <f t="shared" si="424"/>
        <v xml:space="preserve">       NM</v>
      </c>
      <c r="CT154" s="1667"/>
      <c r="CU154" s="1667"/>
      <c r="CV154" s="1171">
        <f>CV134/CV197</f>
        <v>0.25263326075063386</v>
      </c>
      <c r="CW154" s="1517">
        <f t="shared" si="425"/>
        <v>-61.040981677866291</v>
      </c>
      <c r="CX154" s="1667"/>
      <c r="CY154" s="1663"/>
      <c r="CZ154" s="1150"/>
      <c r="DA154" s="197"/>
      <c r="DB154" s="1668"/>
      <c r="DC154" s="97"/>
      <c r="DD154" s="97"/>
      <c r="DE154" s="97"/>
      <c r="DF154" s="97"/>
      <c r="DG154" s="97"/>
      <c r="DH154" s="97"/>
      <c r="DI154" s="97"/>
      <c r="DJ154" s="97"/>
      <c r="DK154" s="97"/>
      <c r="DL154" s="97"/>
      <c r="DM154" s="97"/>
      <c r="DN154" s="97"/>
      <c r="DO154" s="97"/>
      <c r="DP154" s="97"/>
      <c r="DQ154" s="97"/>
      <c r="DR154" s="97"/>
      <c r="DS154" s="97"/>
      <c r="DT154" s="97"/>
      <c r="DU154" s="97"/>
      <c r="DV154" s="97"/>
      <c r="DW154" s="97"/>
      <c r="DX154" s="97"/>
      <c r="DY154" s="97"/>
      <c r="DZ154" s="97"/>
      <c r="EA154" s="97"/>
      <c r="EB154" s="97"/>
      <c r="EC154" s="97"/>
      <c r="ED154" s="97"/>
      <c r="EE154" s="97"/>
    </row>
    <row r="155" spans="1:135" ht="12" hidden="1" customHeight="1" outlineLevel="1">
      <c r="A155" s="114" t="str">
        <f>$A$15</f>
        <v>6 Mos</v>
      </c>
      <c r="D155" s="1656">
        <f>SUM(D150:D151)</f>
        <v>-3.1616062683643482E-2</v>
      </c>
      <c r="E155" s="1517"/>
      <c r="H155" s="1656">
        <f>SUM(H150:H151)</f>
        <v>-2.4720861900097944E-2</v>
      </c>
      <c r="I155" s="1517" t="str">
        <f t="shared" si="402"/>
        <v xml:space="preserve">       NM</v>
      </c>
      <c r="L155" s="1656">
        <f>SUM(L150:L151)</f>
        <v>-6.5817825661116016E-3</v>
      </c>
      <c r="M155" s="1517" t="str">
        <f t="shared" si="403"/>
        <v xml:space="preserve">       NM</v>
      </c>
      <c r="P155" s="1656">
        <f>SUM(P150:P151)</f>
        <v>2.5533008989021014E-2</v>
      </c>
      <c r="Q155" s="1517" t="str">
        <f t="shared" si="404"/>
        <v xml:space="preserve">       NM</v>
      </c>
      <c r="T155" s="1656">
        <f>SUM(T150:T151)</f>
        <v>0.15986644978010989</v>
      </c>
      <c r="U155" s="1517">
        <f t="shared" si="405"/>
        <v>526.11676457267981</v>
      </c>
      <c r="X155" s="1656">
        <f>SUM(X150:X151)</f>
        <v>0.31131965040652609</v>
      </c>
      <c r="Y155" s="1517">
        <f t="shared" si="406"/>
        <v>94.737326583991972</v>
      </c>
      <c r="AB155" s="1656">
        <f>SUM(AB150:AB151)</f>
        <v>0.36368921982844249</v>
      </c>
      <c r="AC155" s="1517">
        <f t="shared" si="407"/>
        <v>16.821800150916076</v>
      </c>
      <c r="AF155" s="1656">
        <f>SUM(AF150:AF151)</f>
        <v>0.4409564201605074</v>
      </c>
      <c r="AG155" s="1517">
        <f t="shared" si="408"/>
        <v>21.245391977390192</v>
      </c>
      <c r="AJ155" s="1656">
        <f>SUM(AJ150:AJ151)</f>
        <v>0.53007995578956013</v>
      </c>
      <c r="AK155" s="1517">
        <f t="shared" si="409"/>
        <v>20.211415812159373</v>
      </c>
      <c r="AN155" s="1656">
        <f>SUM(AN150:AN151)</f>
        <v>0.60311476224040672</v>
      </c>
      <c r="AO155" s="1517">
        <f t="shared" si="410"/>
        <v>13.778073600625106</v>
      </c>
      <c r="AR155" s="1656">
        <f>SUM(AR150:AR151)</f>
        <v>0.74208708024256709</v>
      </c>
      <c r="AS155" s="1517">
        <f t="shared" si="411"/>
        <v>23.042433497385506</v>
      </c>
      <c r="AV155" s="1656">
        <f>SUM(AV150:AV151)</f>
        <v>1.0767585485757456</v>
      </c>
      <c r="AW155" s="1517">
        <f t="shared" si="412"/>
        <v>45.098678745866863</v>
      </c>
      <c r="AZ155" s="1656">
        <f>SUM(AZ150:AZ151)</f>
        <v>1.3366189699303326</v>
      </c>
      <c r="BA155" s="1517">
        <f t="shared" si="413"/>
        <v>24.133583308747397</v>
      </c>
      <c r="BD155" s="1656">
        <f>SUM(BD150:BD151)</f>
        <v>1.5315979584408086</v>
      </c>
      <c r="BE155" s="1517">
        <f t="shared" si="414"/>
        <v>14.587477276387805</v>
      </c>
      <c r="BG155" s="310"/>
      <c r="BH155" s="1656">
        <f>SUM(BH150:BH151)</f>
        <v>1.6704266379086206</v>
      </c>
      <c r="BI155" s="1517">
        <f t="shared" si="415"/>
        <v>9.0643029851738444</v>
      </c>
      <c r="BK155" s="310"/>
      <c r="BL155" s="1656">
        <f>SUM(BL150:BL151)</f>
        <v>-0.35667273924110687</v>
      </c>
      <c r="BM155" s="1517">
        <f t="shared" si="416"/>
        <v>-121.35219417284091</v>
      </c>
      <c r="BO155" s="310"/>
      <c r="BP155" s="1656">
        <f>SUM(BP150:BP151)</f>
        <v>0.10365588555995403</v>
      </c>
      <c r="BQ155" s="1517" t="str">
        <f t="shared" si="417"/>
        <v xml:space="preserve">       NM</v>
      </c>
      <c r="BS155" s="310"/>
      <c r="BT155" s="1656">
        <f>SUM(BT150:BT151)</f>
        <v>0.45052788999417387</v>
      </c>
      <c r="BU155" s="1517">
        <f t="shared" si="418"/>
        <v>334.63802133414885</v>
      </c>
      <c r="BV155" s="114"/>
      <c r="BW155" s="310"/>
      <c r="BX155" s="1656">
        <f>SUM(BX150:BX151)</f>
        <v>-4.2855674884644923E-2</v>
      </c>
      <c r="BY155" s="1517">
        <f t="shared" si="419"/>
        <v>-109.51232450563695</v>
      </c>
      <c r="BZ155" s="114"/>
      <c r="CA155" s="114"/>
      <c r="CB155" s="1656">
        <f>SUM(CB150:CB151)</f>
        <v>8.2671556999337273E-2</v>
      </c>
      <c r="CC155" s="1517" t="str">
        <f t="shared" si="420"/>
        <v xml:space="preserve">       NM</v>
      </c>
      <c r="CD155" s="247"/>
      <c r="CE155" s="247"/>
      <c r="CF155" s="1656">
        <f>SUM(CF150:CF151)</f>
        <v>1.6602535827866693E-2</v>
      </c>
      <c r="CG155" s="1517">
        <f t="shared" si="421"/>
        <v>-79.917475331933346</v>
      </c>
      <c r="CH155" s="247"/>
      <c r="CI155" s="247"/>
      <c r="CJ155" s="1656">
        <f>SUM(CJ150:CJ151)</f>
        <v>-0.41223172719822176</v>
      </c>
      <c r="CK155" s="1517">
        <f t="shared" si="422"/>
        <v>-2582.9443614649954</v>
      </c>
      <c r="CL155" s="247"/>
      <c r="CM155" s="247"/>
      <c r="CN155" s="1656">
        <f>SUM(CN150:CN151)</f>
        <v>-0.83277021393936967</v>
      </c>
      <c r="CO155" s="1517" t="str">
        <f t="shared" si="423"/>
        <v xml:space="preserve">       NM</v>
      </c>
      <c r="CP155" s="247"/>
      <c r="CQ155" s="247"/>
      <c r="CR155" s="1656">
        <f>SUM(CR150:CR151)</f>
        <v>-1.0665704029990781</v>
      </c>
      <c r="CS155" s="1517" t="str">
        <f t="shared" si="424"/>
        <v xml:space="preserve">       NM</v>
      </c>
      <c r="CT155" s="247"/>
      <c r="CU155" s="247"/>
      <c r="CV155" s="1656">
        <f>SUM(CV150:CV151)</f>
        <v>-0.85479438321038981</v>
      </c>
      <c r="CW155" s="1517" t="str">
        <f t="shared" si="425"/>
        <v xml:space="preserve">       NM</v>
      </c>
      <c r="CX155" s="247"/>
      <c r="CY155" s="97"/>
      <c r="CZ155" s="97"/>
      <c r="DA155" s="97" t="s">
        <v>275</v>
      </c>
      <c r="DB155" s="1680"/>
      <c r="DC155" s="97"/>
      <c r="DD155" s="97"/>
      <c r="DE155" s="97"/>
      <c r="DF155" s="97"/>
      <c r="DG155" s="97"/>
      <c r="DH155" s="97"/>
      <c r="DI155" s="97"/>
      <c r="DJ155" s="97"/>
      <c r="DK155" s="97"/>
      <c r="DL155" s="97"/>
      <c r="DM155" s="97"/>
      <c r="DN155" s="97"/>
      <c r="DO155" s="97"/>
      <c r="DP155" s="97"/>
      <c r="DQ155" s="97"/>
      <c r="DR155" s="97"/>
      <c r="DS155" s="97"/>
      <c r="DT155" s="97"/>
      <c r="DU155" s="97"/>
      <c r="DV155" s="97"/>
      <c r="DW155" s="97"/>
      <c r="DX155" s="97"/>
      <c r="DY155" s="97"/>
      <c r="DZ155" s="97"/>
      <c r="EA155" s="97"/>
      <c r="EB155" s="97"/>
      <c r="EC155" s="97"/>
      <c r="ED155" s="97"/>
      <c r="EE155" s="97"/>
    </row>
    <row r="156" spans="1:135" ht="12" hidden="1" customHeight="1" outlineLevel="1">
      <c r="A156" s="114" t="str">
        <f>$A$16</f>
        <v>9 Mos</v>
      </c>
      <c r="D156" s="1656">
        <f>SUM(D150:D152)</f>
        <v>-3.5641527913809937E-2</v>
      </c>
      <c r="E156" s="1517"/>
      <c r="H156" s="1656">
        <f>SUM(H150:H152)</f>
        <v>-8.6875612144955983E-3</v>
      </c>
      <c r="I156" s="1517" t="str">
        <f t="shared" si="402"/>
        <v xml:space="preserve">       NM</v>
      </c>
      <c r="L156" s="1656">
        <f>SUM(L150:L152)</f>
        <v>3.9764936336924649E-2</v>
      </c>
      <c r="M156" s="1517" t="str">
        <f t="shared" si="403"/>
        <v xml:space="preserve">       NM</v>
      </c>
      <c r="P156" s="1656">
        <f>SUM(P150:P152)</f>
        <v>0.12634899534402344</v>
      </c>
      <c r="Q156" s="1517">
        <f t="shared" si="404"/>
        <v>217.73971489223575</v>
      </c>
      <c r="T156" s="1656">
        <f>SUM(T150:T152)</f>
        <v>0.39497371517241076</v>
      </c>
      <c r="U156" s="1517">
        <f t="shared" si="405"/>
        <v>212.60534687828348</v>
      </c>
      <c r="X156" s="1656">
        <f>SUM(X150:X152)</f>
        <v>0.67439574403161662</v>
      </c>
      <c r="Y156" s="1517">
        <f t="shared" si="406"/>
        <v>70.744461751647151</v>
      </c>
      <c r="AB156" s="1656">
        <f>SUM(AB150:AB152)</f>
        <v>0.79296404552663458</v>
      </c>
      <c r="AC156" s="1517">
        <f t="shared" si="407"/>
        <v>17.581413071530207</v>
      </c>
      <c r="AF156" s="1656">
        <f>SUM(AF150:AF152)</f>
        <v>0.87228828500729994</v>
      </c>
      <c r="AG156" s="1517">
        <f t="shared" si="408"/>
        <v>10.003510238346735</v>
      </c>
      <c r="AJ156" s="1656">
        <f>SUM(AJ150:AJ152)</f>
        <v>1.0048810967183728</v>
      </c>
      <c r="AK156" s="1517">
        <f t="shared" si="409"/>
        <v>15.200572332570438</v>
      </c>
      <c r="AN156" s="1656">
        <f>SUM(AN150:AN152)</f>
        <v>1.1069794672917674</v>
      </c>
      <c r="AO156" s="1517">
        <f t="shared" si="410"/>
        <v>10.160243924063849</v>
      </c>
      <c r="AR156" s="1656">
        <f>SUM(AR150:AR152)</f>
        <v>1.3777490030330997</v>
      </c>
      <c r="AS156" s="1517">
        <f t="shared" si="411"/>
        <v>24.460213015854016</v>
      </c>
      <c r="AV156" s="1656">
        <f>SUM(AV150:AV152)</f>
        <v>1.9593228325528398</v>
      </c>
      <c r="AW156" s="1517">
        <f t="shared" si="412"/>
        <v>42.211885346272183</v>
      </c>
      <c r="AZ156" s="1656">
        <f>SUM(AZ150:AZ152)</f>
        <v>2.443894380691515</v>
      </c>
      <c r="BA156" s="1517">
        <f t="shared" si="413"/>
        <v>24.731582773795235</v>
      </c>
      <c r="BD156" s="1656">
        <f>SUM(BD150:BD152)</f>
        <v>2.8218550552114614</v>
      </c>
      <c r="BE156" s="1517">
        <f t="shared" si="414"/>
        <v>15.465507736590478</v>
      </c>
      <c r="BG156" s="310"/>
      <c r="BH156" s="1656">
        <f>SUM(BH150:BH152)</f>
        <v>2.4557677184662414</v>
      </c>
      <c r="BI156" s="1517">
        <f t="shared" si="415"/>
        <v>-12.97328635179621</v>
      </c>
      <c r="BK156" s="310"/>
      <c r="BL156" s="1656">
        <f>SUM(BL150:BL152)</f>
        <v>0.19807762703861753</v>
      </c>
      <c r="BM156" s="1517">
        <f t="shared" si="416"/>
        <v>-91.934187197381704</v>
      </c>
      <c r="BO156" s="310"/>
      <c r="BP156" s="1656">
        <f>SUM(BP150:BP152)</f>
        <v>0.65922994544737423</v>
      </c>
      <c r="BQ156" s="1517">
        <f t="shared" si="417"/>
        <v>232.81393527541084</v>
      </c>
      <c r="BS156" s="310"/>
      <c r="BT156" s="1656">
        <f>SUM(BT150:BT152)</f>
        <v>1.0836222973425411</v>
      </c>
      <c r="BU156" s="1517">
        <f t="shared" si="418"/>
        <v>64.376983300896768</v>
      </c>
      <c r="BV156" s="114"/>
      <c r="BW156" s="310"/>
      <c r="BX156" s="1656">
        <f>SUM(BX150:BX152)</f>
        <v>0.97549094783414403</v>
      </c>
      <c r="BY156" s="1517">
        <f t="shared" si="419"/>
        <v>-9.9786936623191274</v>
      </c>
      <c r="BZ156" s="114"/>
      <c r="CA156" s="114"/>
      <c r="CB156" s="1656">
        <f>SUM(CB150:CB152)</f>
        <v>0.60592811943094538</v>
      </c>
      <c r="CC156" s="1517">
        <f t="shared" si="420"/>
        <v>-37.884803464730133</v>
      </c>
      <c r="CD156" s="247"/>
      <c r="CE156" s="247"/>
      <c r="CF156" s="1656">
        <f>SUM(CF150:CF152)</f>
        <v>0.43815865827684658</v>
      </c>
      <c r="CG156" s="1517">
        <f t="shared" si="421"/>
        <v>-27.688013771610187</v>
      </c>
      <c r="CH156" s="247"/>
      <c r="CI156" s="247"/>
      <c r="CJ156" s="1656">
        <f>SUM(CJ150:CJ152)</f>
        <v>6.3001074361006992E-2</v>
      </c>
      <c r="CK156" s="1517">
        <f t="shared" si="422"/>
        <v>-85.621401478457074</v>
      </c>
      <c r="CL156" s="247"/>
      <c r="CM156" s="247"/>
      <c r="CN156" s="1656">
        <f>SUM(CN150:CN152)</f>
        <v>-0.81223621273837909</v>
      </c>
      <c r="CO156" s="1517">
        <f t="shared" si="423"/>
        <v>-1389.2418438519412</v>
      </c>
      <c r="CP156" s="247"/>
      <c r="CQ156" s="247"/>
      <c r="CR156" s="1656">
        <f>SUM(CR150:CR152)</f>
        <v>-0.76723597983233494</v>
      </c>
      <c r="CS156" s="1517" t="str">
        <f t="shared" si="424"/>
        <v xml:space="preserve">       NM</v>
      </c>
      <c r="CT156" s="247"/>
      <c r="CU156" s="247"/>
      <c r="CV156" s="1656">
        <f>SUM(CV150:CV152)</f>
        <v>-0.54860822720365565</v>
      </c>
      <c r="CW156" s="1517" t="str">
        <f t="shared" si="425"/>
        <v xml:space="preserve">       NM</v>
      </c>
      <c r="CX156" s="247"/>
      <c r="CY156" s="97"/>
      <c r="CZ156" s="97"/>
      <c r="DA156" s="378"/>
      <c r="DB156" s="1680"/>
      <c r="DC156" s="97"/>
      <c r="DD156" s="97"/>
      <c r="DE156" s="97"/>
      <c r="DF156" s="97"/>
      <c r="DG156" s="97"/>
      <c r="DH156" s="97"/>
      <c r="DI156" s="97"/>
      <c r="DJ156" s="97"/>
      <c r="DK156" s="97"/>
      <c r="DL156" s="97"/>
      <c r="DM156" s="97"/>
      <c r="DN156" s="97"/>
      <c r="DO156" s="97"/>
      <c r="DP156" s="97"/>
      <c r="DQ156" s="97"/>
      <c r="DR156" s="97"/>
      <c r="DS156" s="97"/>
      <c r="DT156" s="97"/>
      <c r="DU156" s="97"/>
      <c r="DV156" s="97"/>
      <c r="DW156" s="97"/>
      <c r="DX156" s="97"/>
      <c r="DY156" s="97"/>
      <c r="DZ156" s="97"/>
      <c r="EA156" s="97"/>
      <c r="EB156" s="97"/>
      <c r="EC156" s="97"/>
      <c r="ED156" s="97"/>
      <c r="EE156" s="97"/>
    </row>
    <row r="157" spans="1:135" ht="12" hidden="1" customHeight="1" outlineLevel="1">
      <c r="D157" s="1656"/>
      <c r="E157" s="1517"/>
      <c r="H157" s="1656"/>
      <c r="I157" s="1517"/>
      <c r="L157" s="1656"/>
      <c r="M157" s="1517"/>
      <c r="P157" s="1656"/>
      <c r="Q157" s="1517"/>
      <c r="T157" s="1656"/>
      <c r="U157" s="1517"/>
      <c r="X157" s="1656"/>
      <c r="Y157" s="1517"/>
      <c r="AB157" s="1656"/>
      <c r="AC157" s="1517"/>
      <c r="AF157" s="1656"/>
      <c r="AG157" s="1517"/>
      <c r="AJ157" s="1656"/>
      <c r="AK157" s="1517"/>
      <c r="AN157" s="1656"/>
      <c r="AO157" s="1517"/>
      <c r="AR157" s="1656"/>
      <c r="AS157" s="1517"/>
      <c r="AV157" s="1656"/>
      <c r="AW157" s="1517"/>
      <c r="AZ157" s="1656"/>
      <c r="BA157" s="1517"/>
      <c r="BD157" s="1656"/>
      <c r="BE157" s="1517"/>
      <c r="BG157" s="310"/>
      <c r="BH157" s="1656"/>
      <c r="BI157" s="1517"/>
      <c r="BK157" s="310"/>
      <c r="BL157" s="1656"/>
      <c r="BM157" s="1517"/>
      <c r="BO157" s="310"/>
      <c r="BP157" s="1656"/>
      <c r="BQ157" s="1517"/>
      <c r="BS157" s="310"/>
      <c r="BT157" s="1656"/>
      <c r="BU157" s="1517"/>
      <c r="BV157" s="114"/>
      <c r="BW157" s="310"/>
      <c r="BX157" s="1656"/>
      <c r="BY157" s="1517"/>
      <c r="BZ157" s="114"/>
      <c r="CA157" s="114"/>
      <c r="CB157" s="1656"/>
      <c r="CC157" s="1517"/>
      <c r="CD157" s="247"/>
      <c r="CE157" s="247"/>
      <c r="CF157" s="1656"/>
      <c r="CG157" s="1517"/>
      <c r="CH157" s="247"/>
      <c r="CI157" s="247"/>
      <c r="CJ157" s="1656"/>
      <c r="CK157" s="1517"/>
      <c r="CL157" s="247"/>
      <c r="CM157" s="247"/>
      <c r="CN157" s="1656"/>
      <c r="CO157" s="1517"/>
      <c r="CP157" s="247"/>
      <c r="CQ157" s="247"/>
      <c r="CR157" s="1656"/>
      <c r="CS157" s="1517"/>
      <c r="CT157" s="247"/>
      <c r="CU157" s="247"/>
      <c r="CV157" s="1656"/>
      <c r="CW157" s="1517"/>
      <c r="CX157" s="247"/>
      <c r="CY157" s="97"/>
      <c r="CZ157" s="97"/>
      <c r="DA157" s="378"/>
      <c r="DB157" s="1680"/>
      <c r="DC157" s="97"/>
      <c r="DD157" s="97"/>
      <c r="DE157" s="97"/>
      <c r="DF157" s="97"/>
      <c r="DG157" s="97"/>
      <c r="DH157" s="97"/>
      <c r="DI157" s="97"/>
      <c r="DJ157" s="97"/>
      <c r="DK157" s="97"/>
      <c r="DL157" s="97"/>
      <c r="DM157" s="97"/>
      <c r="DN157" s="97"/>
      <c r="DO157" s="97"/>
      <c r="DP157" s="97"/>
      <c r="DQ157" s="97"/>
      <c r="DR157" s="97"/>
      <c r="DS157" s="97"/>
      <c r="DT157" s="97"/>
      <c r="DU157" s="97"/>
      <c r="DV157" s="97"/>
      <c r="DW157" s="97"/>
      <c r="DX157" s="97"/>
      <c r="DY157" s="97"/>
      <c r="DZ157" s="97"/>
      <c r="EA157" s="97"/>
      <c r="EB157" s="97"/>
      <c r="EC157" s="97"/>
      <c r="ED157" s="97"/>
      <c r="EE157" s="97"/>
    </row>
    <row r="158" spans="1:135" ht="12.75" hidden="1" customHeight="1" outlineLevel="1">
      <c r="C158" s="313"/>
      <c r="D158" s="313"/>
      <c r="H158" s="1629"/>
      <c r="I158" s="1533"/>
      <c r="J158" s="1533"/>
      <c r="K158" s="1533"/>
      <c r="L158" s="1629"/>
      <c r="M158" s="1533"/>
      <c r="N158" s="1533"/>
      <c r="O158" s="1533"/>
      <c r="P158" s="1629"/>
      <c r="Q158" s="1533"/>
      <c r="R158" s="1533"/>
      <c r="S158" s="1533"/>
      <c r="T158" s="1629"/>
      <c r="U158" s="1533"/>
      <c r="V158" s="1533"/>
      <c r="W158" s="1533"/>
      <c r="Y158" s="1533"/>
      <c r="Z158" s="1533"/>
      <c r="AA158" s="1533"/>
      <c r="AC158" s="1533"/>
      <c r="AD158" s="1533"/>
      <c r="AE158" s="1533"/>
      <c r="AG158" s="1533"/>
      <c r="AH158" s="1533"/>
      <c r="AI158" s="1533"/>
      <c r="AJ158" s="1629" t="s">
        <v>1</v>
      </c>
      <c r="AK158" s="1533"/>
      <c r="AL158" s="1533"/>
      <c r="AM158" s="1533"/>
      <c r="AN158" s="1629"/>
      <c r="AO158" s="1533"/>
      <c r="AP158" s="1533"/>
      <c r="AQ158" s="1533"/>
      <c r="AR158" s="1629"/>
      <c r="AS158" s="1533"/>
      <c r="AT158" s="1533"/>
      <c r="AU158" s="1533"/>
      <c r="AV158" s="1629"/>
      <c r="AW158" s="1533"/>
      <c r="AX158" s="1533"/>
      <c r="AY158" s="1533"/>
      <c r="AZ158" s="1629"/>
      <c r="BA158" s="1533"/>
      <c r="BB158" s="1533"/>
      <c r="BC158" s="1533"/>
      <c r="BD158" s="1629"/>
      <c r="BE158" s="1533"/>
      <c r="BF158" s="1533"/>
      <c r="BG158" s="1533"/>
      <c r="BH158" s="1629"/>
      <c r="BI158" s="1533"/>
      <c r="BJ158" s="1533"/>
      <c r="BK158" s="1533"/>
      <c r="BL158" s="1629"/>
      <c r="BM158" s="1533"/>
      <c r="BN158" s="1533"/>
      <c r="BO158" s="1533"/>
      <c r="BP158" s="1629"/>
      <c r="BQ158" s="1533"/>
      <c r="BR158" s="1533"/>
      <c r="BS158" s="1533"/>
      <c r="BT158" s="1629"/>
      <c r="BU158" s="1533"/>
      <c r="BV158" s="1532" t="s">
        <v>796</v>
      </c>
      <c r="BW158" s="1533"/>
      <c r="BX158" s="1629"/>
      <c r="BY158" s="1533"/>
      <c r="BZ158" s="1533"/>
      <c r="CA158" s="1533"/>
      <c r="CB158" s="245"/>
      <c r="CC158" s="245"/>
      <c r="CD158" s="245"/>
      <c r="CE158" s="1645" t="s">
        <v>1493</v>
      </c>
      <c r="CF158" s="245"/>
      <c r="CG158" s="245"/>
      <c r="CH158" s="245"/>
      <c r="CI158" s="245"/>
      <c r="CJ158" s="245"/>
      <c r="CK158" s="245"/>
      <c r="CL158" s="245"/>
      <c r="CM158" s="245"/>
      <c r="CN158" s="245"/>
      <c r="CO158" s="245"/>
      <c r="CP158" s="245"/>
      <c r="CQ158" s="245"/>
      <c r="CR158" s="245"/>
      <c r="CS158" s="245"/>
      <c r="CT158" s="245"/>
      <c r="CU158" s="245"/>
      <c r="CV158" s="245"/>
      <c r="CW158" s="245"/>
      <c r="CX158" s="245"/>
    </row>
    <row r="159" spans="1:135" ht="12.75" hidden="1" customHeight="1" outlineLevel="1">
      <c r="AR159" s="1537"/>
      <c r="BS159" s="114"/>
      <c r="BT159" s="114"/>
      <c r="BU159" s="114"/>
      <c r="BV159" s="114"/>
      <c r="BW159" s="114"/>
      <c r="BX159" s="114"/>
      <c r="BY159" s="114"/>
      <c r="BZ159" s="114"/>
      <c r="CA159" s="114"/>
      <c r="CB159" s="245"/>
      <c r="CC159" s="245"/>
      <c r="CD159" s="245"/>
      <c r="CE159" s="245"/>
      <c r="CF159" s="245"/>
      <c r="CG159" s="245"/>
      <c r="CH159" s="245"/>
      <c r="CI159" s="245"/>
      <c r="CJ159" s="245"/>
      <c r="CK159" s="245"/>
      <c r="CL159" s="245"/>
      <c r="CM159" s="245"/>
      <c r="CN159" s="245"/>
      <c r="CO159" s="245"/>
      <c r="CP159" s="245"/>
      <c r="CQ159" s="245"/>
      <c r="CR159" s="245"/>
      <c r="CS159" s="245"/>
      <c r="CT159" s="245"/>
      <c r="CU159" s="245"/>
      <c r="CV159" s="245"/>
      <c r="CW159" s="245"/>
      <c r="CX159" s="245"/>
    </row>
    <row r="160" spans="1:135" ht="12.75" hidden="1" customHeight="1" outlineLevel="1">
      <c r="A160" s="114" t="str">
        <f>$A$10</f>
        <v>1Q</v>
      </c>
      <c r="B160" s="114" t="str">
        <f>$B$10</f>
        <v>Apr</v>
      </c>
      <c r="D160" s="1536"/>
      <c r="E160" s="1517"/>
      <c r="H160" s="1536"/>
      <c r="I160" s="1517"/>
      <c r="J160" s="1517"/>
      <c r="L160" s="1536"/>
      <c r="M160" s="1517"/>
      <c r="P160" s="1536"/>
      <c r="Q160" s="1517"/>
      <c r="T160" s="1536"/>
      <c r="U160" s="1517"/>
      <c r="X160" s="1536"/>
      <c r="Y160" s="1517"/>
      <c r="AB160" s="1536"/>
      <c r="AC160" s="1517"/>
      <c r="AF160" s="1536"/>
      <c r="AG160" s="1517"/>
      <c r="AJ160" s="1536"/>
      <c r="AK160" s="1517"/>
      <c r="AN160" s="1536"/>
      <c r="AO160" s="1517"/>
      <c r="AR160" s="1635"/>
      <c r="AS160" s="1636"/>
      <c r="AV160" s="1536"/>
      <c r="AW160" s="1517"/>
      <c r="AZ160" s="1536"/>
      <c r="BA160" s="1539"/>
      <c r="BD160" s="1536"/>
      <c r="BE160" s="1539"/>
      <c r="BH160" s="1536"/>
      <c r="BI160" s="1539"/>
      <c r="BL160" s="1536"/>
      <c r="BM160" s="1539"/>
      <c r="BP160" s="1536"/>
      <c r="BQ160" s="1539"/>
      <c r="BS160" s="114"/>
      <c r="BT160" s="1536"/>
      <c r="BU160" s="1539"/>
      <c r="BV160" s="114"/>
      <c r="BW160" s="114"/>
      <c r="BX160" s="1536"/>
      <c r="BY160" s="1539"/>
      <c r="BZ160" s="114"/>
      <c r="CA160" s="114"/>
      <c r="CB160" s="245"/>
      <c r="CC160" s="245"/>
      <c r="CD160" s="245"/>
      <c r="CE160" s="245"/>
      <c r="CF160" s="245"/>
      <c r="CG160" s="245"/>
      <c r="CH160" s="245"/>
      <c r="CI160" s="245"/>
      <c r="CJ160" s="1536">
        <v>0</v>
      </c>
      <c r="CK160" s="245"/>
      <c r="CL160" s="245"/>
      <c r="CM160" s="245"/>
      <c r="CN160" s="1536">
        <v>0.95699999999999996</v>
      </c>
      <c r="CO160" s="245"/>
      <c r="CP160" s="245"/>
      <c r="CQ160" s="245"/>
      <c r="CR160" s="1536">
        <v>0.69099999999999995</v>
      </c>
      <c r="CS160" s="245"/>
      <c r="CT160" s="245"/>
      <c r="CU160" s="245"/>
      <c r="CV160" s="1536">
        <f t="shared" ref="CV160:CV161" si="426">CR160</f>
        <v>0.69099999999999995</v>
      </c>
      <c r="CW160" s="245"/>
      <c r="CX160" s="245"/>
    </row>
    <row r="161" spans="1:135" ht="12.75" hidden="1" customHeight="1" outlineLevel="1">
      <c r="A161" s="114" t="str">
        <f>$A$11</f>
        <v>2Q</v>
      </c>
      <c r="B161" s="114" t="str">
        <f>$B$11</f>
        <v>Jul</v>
      </c>
      <c r="D161" s="1537"/>
      <c r="E161" s="1517"/>
      <c r="H161" s="1537"/>
      <c r="I161" s="1517"/>
      <c r="J161" s="1517"/>
      <c r="L161" s="1537"/>
      <c r="M161" s="1517"/>
      <c r="P161" s="1537"/>
      <c r="Q161" s="1517"/>
      <c r="T161" s="1537"/>
      <c r="U161" s="1517"/>
      <c r="X161" s="1537"/>
      <c r="Y161" s="1517"/>
      <c r="AB161" s="1537"/>
      <c r="AC161" s="1517"/>
      <c r="AF161" s="1537"/>
      <c r="AG161" s="1517"/>
      <c r="AJ161" s="1537"/>
      <c r="AK161" s="1517"/>
      <c r="AN161" s="1537"/>
      <c r="AO161" s="1517"/>
      <c r="AR161" s="1537"/>
      <c r="AS161" s="1517"/>
      <c r="AV161" s="1537"/>
      <c r="AW161" s="1517"/>
      <c r="AZ161" s="1536"/>
      <c r="BA161" s="1539"/>
      <c r="BD161" s="1536"/>
      <c r="BE161" s="1539"/>
      <c r="BH161" s="1536"/>
      <c r="BI161" s="1539"/>
      <c r="BL161" s="1536"/>
      <c r="BM161" s="1539"/>
      <c r="BP161" s="1536"/>
      <c r="BQ161" s="1539"/>
      <c r="BS161" s="114"/>
      <c r="BT161" s="1536"/>
      <c r="BU161" s="1539"/>
      <c r="BV161" s="114"/>
      <c r="BW161" s="114"/>
      <c r="BX161" s="1536"/>
      <c r="BY161" s="1539"/>
      <c r="BZ161" s="114"/>
      <c r="CA161" s="114"/>
      <c r="CB161" s="245"/>
      <c r="CC161" s="245"/>
      <c r="CD161" s="245"/>
      <c r="CE161" s="245"/>
      <c r="CF161" s="245"/>
      <c r="CG161" s="245"/>
      <c r="CH161" s="245"/>
      <c r="CI161" s="245"/>
      <c r="CJ161" s="1537">
        <v>1.4219999999999999</v>
      </c>
      <c r="CK161" s="245"/>
      <c r="CL161" s="245"/>
      <c r="CM161" s="245"/>
      <c r="CN161" s="1537">
        <v>1.0980000000000001</v>
      </c>
      <c r="CO161" s="245"/>
      <c r="CP161" s="245"/>
      <c r="CQ161" s="245"/>
      <c r="CR161" s="1537">
        <v>0.876</v>
      </c>
      <c r="CS161" s="245"/>
      <c r="CT161" s="245"/>
      <c r="CU161" s="245"/>
      <c r="CV161" s="1537">
        <f t="shared" si="426"/>
        <v>0.876</v>
      </c>
      <c r="CW161" s="245"/>
      <c r="CX161" s="245"/>
    </row>
    <row r="162" spans="1:135" ht="12.75" hidden="1" customHeight="1" outlineLevel="1">
      <c r="A162" s="114" t="str">
        <f>$A$12</f>
        <v>3Q</v>
      </c>
      <c r="B162" s="114" t="str">
        <f>$B$12</f>
        <v>Oct</v>
      </c>
      <c r="D162" s="1537"/>
      <c r="E162" s="1517"/>
      <c r="H162" s="1537"/>
      <c r="I162" s="1517"/>
      <c r="J162" s="1517"/>
      <c r="L162" s="1537"/>
      <c r="M162" s="1517"/>
      <c r="P162" s="1537"/>
      <c r="Q162" s="1517"/>
      <c r="T162" s="1537"/>
      <c r="U162" s="1517"/>
      <c r="X162" s="1537"/>
      <c r="Y162" s="1517"/>
      <c r="AB162" s="1537"/>
      <c r="AC162" s="1517"/>
      <c r="AF162" s="1537"/>
      <c r="AG162" s="1517"/>
      <c r="AJ162" s="1537"/>
      <c r="AK162" s="1517"/>
      <c r="AN162" s="1537"/>
      <c r="AO162" s="1517"/>
      <c r="AR162" s="1537">
        <v>-20.7</v>
      </c>
      <c r="AS162" s="1637"/>
      <c r="AV162" s="1537"/>
      <c r="AW162" s="1517"/>
      <c r="AZ162" s="1537"/>
      <c r="BA162" s="1517"/>
      <c r="BD162" s="1537"/>
      <c r="BE162" s="1517"/>
      <c r="BH162" s="1537"/>
      <c r="BI162" s="1517"/>
      <c r="BL162" s="1537"/>
      <c r="BM162" s="1517"/>
      <c r="BP162" s="1537"/>
      <c r="BQ162" s="1517"/>
      <c r="BS162" s="114"/>
      <c r="BT162" s="1537"/>
      <c r="BU162" s="1517"/>
      <c r="BV162" s="114"/>
      <c r="BW162" s="114"/>
      <c r="BX162" s="1537"/>
      <c r="BY162" s="1517"/>
      <c r="BZ162" s="114"/>
      <c r="CA162" s="114"/>
      <c r="CB162" s="245"/>
      <c r="CC162" s="245"/>
      <c r="CD162" s="245"/>
      <c r="CE162" s="245"/>
      <c r="CF162" s="245"/>
      <c r="CG162" s="245"/>
      <c r="CH162" s="245"/>
      <c r="CI162" s="245"/>
      <c r="CJ162" s="1537">
        <v>0.39400000000000002</v>
      </c>
      <c r="CK162" s="245"/>
      <c r="CL162" s="245"/>
      <c r="CM162" s="245"/>
      <c r="CN162" s="1537">
        <v>0.39300000000000002</v>
      </c>
      <c r="CO162" s="245"/>
      <c r="CP162" s="245"/>
      <c r="CQ162" s="245"/>
      <c r="CR162" s="1537">
        <v>0.54100000000000004</v>
      </c>
      <c r="CS162" s="245"/>
      <c r="CT162" s="245"/>
      <c r="CU162" s="245"/>
      <c r="CV162" s="1537">
        <f>CR162</f>
        <v>0.54100000000000004</v>
      </c>
      <c r="CW162" s="245"/>
      <c r="CX162" s="245"/>
    </row>
    <row r="163" spans="1:135" ht="12.75" hidden="1" customHeight="1" outlineLevel="1">
      <c r="A163" s="114" t="str">
        <f>$A$13</f>
        <v>4Q</v>
      </c>
      <c r="B163" s="114" t="str">
        <f>$B$13</f>
        <v>Jan</v>
      </c>
      <c r="C163" s="310"/>
      <c r="D163" s="1553"/>
      <c r="E163" s="1517"/>
      <c r="H163" s="1553"/>
      <c r="I163" s="1517"/>
      <c r="J163" s="1517"/>
      <c r="L163" s="1553"/>
      <c r="M163" s="1517"/>
      <c r="P163" s="1553"/>
      <c r="Q163" s="1517"/>
      <c r="T163" s="1553"/>
      <c r="U163" s="1517"/>
      <c r="X163" s="1553"/>
      <c r="Y163" s="1517"/>
      <c r="AB163" s="1553"/>
      <c r="AC163" s="1517"/>
      <c r="AF163" s="1553"/>
      <c r="AG163" s="1517"/>
      <c r="AJ163" s="1553"/>
      <c r="AK163" s="1517"/>
      <c r="AN163" s="1553"/>
      <c r="AO163" s="1517"/>
      <c r="AR163" s="1553"/>
      <c r="AS163" s="1517"/>
      <c r="AV163" s="1553"/>
      <c r="AW163" s="1517"/>
      <c r="AZ163" s="1553"/>
      <c r="BA163" s="1517"/>
      <c r="BD163" s="1553"/>
      <c r="BE163" s="1517"/>
      <c r="BH163" s="1553"/>
      <c r="BI163" s="1517"/>
      <c r="BL163" s="1553"/>
      <c r="BM163" s="1517"/>
      <c r="BP163" s="1553"/>
      <c r="BQ163" s="1517"/>
      <c r="BS163" s="114"/>
      <c r="BT163" s="1553"/>
      <c r="BU163" s="1517"/>
      <c r="BV163" s="114"/>
      <c r="BW163" s="114"/>
      <c r="BX163" s="1553"/>
      <c r="BY163" s="1517"/>
      <c r="BZ163" s="114"/>
      <c r="CA163" s="114"/>
      <c r="CB163" s="245"/>
      <c r="CC163" s="245"/>
      <c r="CD163" s="245"/>
      <c r="CE163" s="245"/>
      <c r="CF163" s="245"/>
      <c r="CG163" s="245"/>
      <c r="CH163" s="245"/>
      <c r="CI163" s="245"/>
      <c r="CJ163" s="1553">
        <v>1.167</v>
      </c>
      <c r="CK163" s="245"/>
      <c r="CL163" s="245"/>
      <c r="CM163" s="245"/>
      <c r="CN163" s="1553">
        <v>1.3140000000000001</v>
      </c>
      <c r="CO163" s="245"/>
      <c r="CP163" s="245"/>
      <c r="CQ163" s="245"/>
      <c r="CR163" s="1553">
        <v>1.323</v>
      </c>
      <c r="CS163" s="245"/>
      <c r="CT163" s="245"/>
      <c r="CU163" s="245"/>
      <c r="CV163" s="1553">
        <f>CR163</f>
        <v>1.323</v>
      </c>
      <c r="CW163" s="245"/>
      <c r="CX163" s="245"/>
    </row>
    <row r="164" spans="1:135" ht="12.75" hidden="1" customHeight="1" outlineLevel="1">
      <c r="B164" s="114" t="str">
        <f>$B$14</f>
        <v>Year</v>
      </c>
      <c r="D164" s="1536"/>
      <c r="E164" s="1517"/>
      <c r="H164" s="1536"/>
      <c r="I164" s="1517"/>
      <c r="J164" s="1517"/>
      <c r="L164" s="1536"/>
      <c r="M164" s="1517"/>
      <c r="P164" s="1536"/>
      <c r="Q164" s="1517"/>
      <c r="T164" s="1536"/>
      <c r="U164" s="1517"/>
      <c r="X164" s="1536"/>
      <c r="Y164" s="1517"/>
      <c r="AB164" s="1536"/>
      <c r="AC164" s="1517"/>
      <c r="AF164" s="1536"/>
      <c r="AG164" s="1517"/>
      <c r="AJ164" s="1536"/>
      <c r="AK164" s="1517"/>
      <c r="AN164" s="1536"/>
      <c r="AO164" s="1517"/>
      <c r="AR164" s="1536">
        <f>SUM(AR160:AR163)</f>
        <v>-20.7</v>
      </c>
      <c r="AS164" s="1517"/>
      <c r="AV164" s="1536"/>
      <c r="AW164" s="1517"/>
      <c r="AZ164" s="1536"/>
      <c r="BA164" s="1517"/>
      <c r="BD164" s="1536"/>
      <c r="BE164" s="1517"/>
      <c r="BH164" s="1536"/>
      <c r="BI164" s="1517"/>
      <c r="BL164" s="1536"/>
      <c r="BM164" s="1517"/>
      <c r="BP164" s="1536"/>
      <c r="BQ164" s="1517"/>
      <c r="BS164" s="114"/>
      <c r="BT164" s="1536"/>
      <c r="BU164" s="1517"/>
      <c r="BV164" s="114"/>
      <c r="BW164" s="114"/>
      <c r="BX164" s="1536"/>
      <c r="BY164" s="1517"/>
      <c r="BZ164" s="114"/>
      <c r="CA164" s="114"/>
      <c r="CB164" s="245"/>
      <c r="CC164" s="245"/>
      <c r="CD164" s="245"/>
      <c r="CE164" s="245"/>
      <c r="CF164" s="245"/>
      <c r="CG164" s="245"/>
      <c r="CH164" s="245"/>
      <c r="CI164" s="245"/>
      <c r="CJ164" s="1536">
        <f>SUM(CJ160:CJ163)</f>
        <v>2.9829999999999997</v>
      </c>
      <c r="CK164" s="245"/>
      <c r="CL164" s="245"/>
      <c r="CM164" s="245"/>
      <c r="CN164" s="1536">
        <f>SUM(CN160:CN163)</f>
        <v>3.7620000000000005</v>
      </c>
      <c r="CO164" s="245"/>
      <c r="CP164" s="245"/>
      <c r="CQ164" s="245"/>
      <c r="CR164" s="1536">
        <f>SUM(CR160:CR163)</f>
        <v>3.431</v>
      </c>
      <c r="CS164" s="245"/>
      <c r="CT164" s="245"/>
      <c r="CU164" s="245"/>
      <c r="CV164" s="1536">
        <f>SUM(CV160:CV163)</f>
        <v>3.431</v>
      </c>
      <c r="CW164" s="245"/>
      <c r="CX164" s="245"/>
    </row>
    <row r="165" spans="1:135" ht="12.75" hidden="1" customHeight="1" outlineLevel="1">
      <c r="A165" s="114" t="str">
        <f>$A$15</f>
        <v>6 Mos</v>
      </c>
      <c r="D165" s="1537"/>
      <c r="E165" s="1517"/>
      <c r="H165" s="1537"/>
      <c r="I165" s="1517"/>
      <c r="J165" s="1517"/>
      <c r="L165" s="1537"/>
      <c r="M165" s="1517"/>
      <c r="P165" s="1537"/>
      <c r="Q165" s="1517"/>
      <c r="T165" s="1537"/>
      <c r="U165" s="1517"/>
      <c r="X165" s="1537"/>
      <c r="Y165" s="1517"/>
      <c r="AB165" s="1537"/>
      <c r="AC165" s="1517"/>
      <c r="AF165" s="1537"/>
      <c r="AG165" s="1517"/>
      <c r="AJ165" s="1537"/>
      <c r="AK165" s="1517"/>
      <c r="AN165" s="1537"/>
      <c r="AO165" s="1517"/>
      <c r="AR165" s="1537"/>
      <c r="AS165" s="1517"/>
      <c r="AV165" s="1537"/>
      <c r="AW165" s="1517"/>
      <c r="AZ165" s="1537"/>
      <c r="BA165" s="1517"/>
      <c r="BD165" s="1537"/>
      <c r="BE165" s="1517"/>
      <c r="BH165" s="1537"/>
      <c r="BI165" s="1517"/>
      <c r="BL165" s="1537"/>
      <c r="BM165" s="1517"/>
      <c r="BP165" s="1537"/>
      <c r="BQ165" s="1517"/>
      <c r="BS165" s="114"/>
      <c r="BT165" s="1537"/>
      <c r="BU165" s="1517"/>
      <c r="BV165" s="114"/>
      <c r="BW165" s="114"/>
      <c r="BX165" s="1537"/>
      <c r="BY165" s="1517"/>
      <c r="BZ165" s="114"/>
      <c r="CA165" s="114"/>
      <c r="CB165" s="245"/>
      <c r="CC165" s="245"/>
      <c r="CD165" s="245"/>
      <c r="CE165" s="245"/>
      <c r="CF165" s="245"/>
      <c r="CG165" s="245"/>
      <c r="CH165" s="245"/>
      <c r="CI165" s="245"/>
      <c r="CJ165" s="245"/>
      <c r="CK165" s="245"/>
      <c r="CL165" s="245"/>
      <c r="CM165" s="245"/>
      <c r="CN165" s="245"/>
      <c r="CO165" s="245"/>
      <c r="CP165" s="245"/>
      <c r="CQ165" s="245"/>
      <c r="CR165" s="245"/>
      <c r="CS165" s="245"/>
      <c r="CT165" s="245"/>
      <c r="CU165" s="245"/>
      <c r="CV165" s="245"/>
      <c r="CW165" s="245"/>
      <c r="CX165" s="245"/>
    </row>
    <row r="166" spans="1:135" ht="12.75" hidden="1" customHeight="1" outlineLevel="1">
      <c r="A166" s="114" t="str">
        <f>$A$16</f>
        <v>9 Mos</v>
      </c>
      <c r="D166" s="1537"/>
      <c r="E166" s="1517"/>
      <c r="H166" s="1537"/>
      <c r="I166" s="1517"/>
      <c r="J166" s="1517"/>
      <c r="L166" s="1537"/>
      <c r="M166" s="1517"/>
      <c r="P166" s="1537"/>
      <c r="Q166" s="1517"/>
      <c r="T166" s="1537"/>
      <c r="U166" s="1517"/>
      <c r="X166" s="1537"/>
      <c r="Y166" s="1517"/>
      <c r="AB166" s="1537"/>
      <c r="AC166" s="1517"/>
      <c r="AF166" s="1537"/>
      <c r="AG166" s="1517"/>
      <c r="AJ166" s="1537"/>
      <c r="AK166" s="1517"/>
      <c r="AN166" s="1537"/>
      <c r="AO166" s="1517"/>
      <c r="AR166" s="1537"/>
      <c r="AS166" s="1517"/>
      <c r="AV166" s="1537"/>
      <c r="AW166" s="1517"/>
      <c r="AZ166" s="1537"/>
      <c r="BA166" s="1517"/>
      <c r="BD166" s="1537"/>
      <c r="BE166" s="1517"/>
      <c r="BH166" s="1537"/>
      <c r="BI166" s="1517"/>
      <c r="BL166" s="1537"/>
      <c r="BM166" s="1517"/>
      <c r="BP166" s="1537"/>
      <c r="BQ166" s="1517"/>
      <c r="BS166" s="114"/>
      <c r="BT166" s="1537"/>
      <c r="BU166" s="1517"/>
      <c r="BV166" s="114"/>
      <c r="BW166" s="114"/>
      <c r="BX166" s="1537"/>
      <c r="BY166" s="1517"/>
      <c r="BZ166" s="114"/>
      <c r="CA166" s="114"/>
      <c r="CB166" s="245"/>
      <c r="CC166" s="245"/>
      <c r="CD166" s="245"/>
      <c r="CE166" s="245"/>
      <c r="CF166" s="245"/>
      <c r="CG166" s="245"/>
      <c r="CH166" s="245"/>
      <c r="CI166" s="245"/>
      <c r="CJ166" s="245"/>
      <c r="CK166" s="245"/>
      <c r="CL166" s="245"/>
      <c r="CM166" s="245"/>
      <c r="CN166" s="245"/>
      <c r="CO166" s="245"/>
      <c r="CP166" s="245"/>
      <c r="CQ166" s="245"/>
      <c r="CR166" s="245"/>
      <c r="CS166" s="245"/>
      <c r="CT166" s="245"/>
      <c r="CU166" s="245"/>
      <c r="CV166" s="245"/>
      <c r="CW166" s="245"/>
      <c r="CX166" s="245"/>
    </row>
    <row r="167" spans="1:135" ht="12.75" hidden="1" customHeight="1" outlineLevel="1">
      <c r="AR167" s="1630"/>
      <c r="AX167" s="114" t="s">
        <v>696</v>
      </c>
      <c r="BB167" s="114" t="s">
        <v>696</v>
      </c>
      <c r="BF167" s="114" t="s">
        <v>696</v>
      </c>
      <c r="BJ167" s="114" t="s">
        <v>696</v>
      </c>
      <c r="BN167" s="114" t="s">
        <v>696</v>
      </c>
      <c r="BR167" s="114" t="s">
        <v>696</v>
      </c>
      <c r="BS167" s="114"/>
      <c r="BT167" s="114"/>
      <c r="BU167" s="114"/>
      <c r="BV167" s="114" t="s">
        <v>696</v>
      </c>
      <c r="BW167" s="114"/>
      <c r="BX167" s="114"/>
      <c r="BY167" s="114"/>
      <c r="BZ167" s="114" t="s">
        <v>696</v>
      </c>
      <c r="CA167" s="114"/>
      <c r="CB167" s="245"/>
      <c r="CC167" s="245"/>
      <c r="CD167" s="245"/>
      <c r="CE167" s="245"/>
      <c r="CF167" s="245"/>
      <c r="CG167" s="245"/>
      <c r="CH167" s="245"/>
      <c r="CI167" s="245"/>
      <c r="CJ167" s="245"/>
      <c r="CK167" s="245"/>
      <c r="CL167" s="245"/>
      <c r="CM167" s="245"/>
      <c r="CN167" s="245"/>
      <c r="CO167" s="245"/>
      <c r="CP167" s="245"/>
      <c r="CQ167" s="245"/>
      <c r="CR167" s="245"/>
      <c r="CS167" s="245"/>
      <c r="CT167" s="245"/>
      <c r="CU167" s="245"/>
      <c r="CV167" s="245"/>
      <c r="CW167" s="245"/>
      <c r="CX167" s="245"/>
    </row>
    <row r="168" spans="1:135" ht="12" hidden="1" customHeight="1" outlineLevel="1">
      <c r="AR168" s="1656"/>
      <c r="AV168" s="1171"/>
      <c r="AZ168" s="1171"/>
      <c r="BD168" s="1540"/>
      <c r="BE168" s="1641"/>
      <c r="BF168" s="1641"/>
      <c r="BH168" s="1673"/>
      <c r="BI168" s="1641"/>
      <c r="BL168" s="1641"/>
      <c r="BM168" s="1641"/>
      <c r="BP168" s="1641"/>
      <c r="BQ168" s="1641"/>
      <c r="BR168" s="1672"/>
      <c r="BS168" s="114"/>
      <c r="BT168" s="1641"/>
      <c r="BU168" s="1641"/>
      <c r="BV168" s="1672"/>
      <c r="BW168" s="114"/>
      <c r="BX168" s="1641"/>
      <c r="BY168" s="1641"/>
      <c r="BZ168" s="1672"/>
      <c r="CA168" s="1672"/>
      <c r="CB168" s="1681"/>
      <c r="CC168" s="247"/>
      <c r="CD168" s="247"/>
      <c r="CE168" s="247"/>
      <c r="CF168" s="1681"/>
      <c r="CG168" s="247"/>
      <c r="CH168" s="247"/>
      <c r="CI168" s="247"/>
      <c r="CJ168" s="1681"/>
      <c r="CK168" s="247"/>
      <c r="CL168" s="247"/>
      <c r="CM168" s="247"/>
      <c r="CN168" s="1681"/>
      <c r="CO168" s="247"/>
      <c r="CP168" s="247"/>
      <c r="CQ168" s="247"/>
      <c r="CR168" s="1681"/>
      <c r="CS168" s="247"/>
      <c r="CT168" s="247"/>
      <c r="CU168" s="247"/>
      <c r="CV168" s="1681"/>
      <c r="CW168" s="247"/>
      <c r="CX168" s="247"/>
      <c r="CY168" s="97"/>
      <c r="CZ168" s="1150"/>
      <c r="DA168" s="1668"/>
      <c r="DB168" s="1668"/>
      <c r="DC168" s="97"/>
      <c r="DD168" s="97"/>
      <c r="DE168" s="97"/>
      <c r="DF168" s="97"/>
      <c r="DG168" s="97"/>
      <c r="DH168" s="97"/>
      <c r="DI168" s="97"/>
      <c r="DJ168" s="97"/>
      <c r="DK168" s="97"/>
      <c r="DL168" s="97"/>
      <c r="DM168" s="97"/>
      <c r="DN168" s="97"/>
      <c r="DO168" s="97"/>
      <c r="DP168" s="97"/>
      <c r="DQ168" s="97"/>
      <c r="DR168" s="97"/>
      <c r="DS168" s="97"/>
      <c r="DT168" s="97"/>
      <c r="DU168" s="97"/>
      <c r="DV168" s="97"/>
      <c r="DW168" s="97"/>
      <c r="DX168" s="97"/>
      <c r="DY168" s="97"/>
      <c r="DZ168" s="97"/>
      <c r="EA168" s="97"/>
      <c r="EB168" s="97"/>
      <c r="EC168" s="97"/>
      <c r="ED168" s="97"/>
      <c r="EE168" s="97"/>
    </row>
    <row r="169" spans="1:135" ht="12" hidden="1" customHeight="1" outlineLevel="1">
      <c r="C169" s="313"/>
      <c r="D169" s="313"/>
      <c r="H169" s="1629"/>
      <c r="I169" s="1533"/>
      <c r="J169" s="1533"/>
      <c r="K169" s="1533"/>
      <c r="L169" s="1629"/>
      <c r="M169" s="1533"/>
      <c r="N169" s="1533"/>
      <c r="O169" s="1533"/>
      <c r="P169" s="1629"/>
      <c r="Q169" s="1533"/>
      <c r="R169" s="1533"/>
      <c r="S169" s="1533"/>
      <c r="T169" s="1629"/>
      <c r="U169" s="1533"/>
      <c r="V169" s="1533"/>
      <c r="W169" s="1533"/>
      <c r="Y169" s="1533"/>
      <c r="Z169" s="1533"/>
      <c r="AA169" s="1533"/>
      <c r="AC169" s="1533"/>
      <c r="AD169" s="1533"/>
      <c r="AE169" s="1533"/>
      <c r="AF169" s="1629"/>
      <c r="AG169" s="1533"/>
      <c r="AH169" s="1533"/>
      <c r="AI169" s="1533"/>
      <c r="AJ169" s="1629" t="s">
        <v>721</v>
      </c>
      <c r="AK169" s="1533"/>
      <c r="AL169" s="1533"/>
      <c r="AM169" s="1533"/>
      <c r="AN169" s="1629"/>
      <c r="AO169" s="1533"/>
      <c r="AP169" s="1533"/>
      <c r="AQ169" s="1533"/>
      <c r="AR169" s="1629"/>
      <c r="AS169" s="1533"/>
      <c r="AT169" s="1533"/>
      <c r="AU169" s="1533"/>
      <c r="AV169" s="1629"/>
      <c r="AW169" s="1533"/>
      <c r="AX169" s="1533"/>
      <c r="AY169" s="1533"/>
      <c r="AZ169" s="1629"/>
      <c r="BA169" s="1533"/>
      <c r="BB169" s="1533"/>
      <c r="BC169" s="1533"/>
      <c r="BD169" s="1629"/>
      <c r="BE169" s="1533"/>
      <c r="BF169" s="1533"/>
      <c r="BG169" s="1533"/>
      <c r="BH169" s="1629"/>
      <c r="BI169" s="1533"/>
      <c r="BJ169" s="1533"/>
      <c r="BK169" s="1533"/>
      <c r="BL169" s="1629"/>
      <c r="BM169" s="1533"/>
      <c r="BN169" s="1533"/>
      <c r="BO169" s="1533"/>
      <c r="BP169" s="1629"/>
      <c r="BQ169" s="1533"/>
      <c r="BR169" s="1533"/>
      <c r="BS169" s="1533"/>
      <c r="BT169" s="1629"/>
      <c r="BU169" s="1533"/>
      <c r="BV169" s="1533"/>
      <c r="BW169" s="1533"/>
      <c r="BX169" s="1629"/>
      <c r="BY169" s="1533"/>
      <c r="BZ169" s="1533"/>
      <c r="CA169" s="1533"/>
      <c r="CB169" s="1682"/>
      <c r="CC169" s="1682"/>
      <c r="CD169" s="1682"/>
      <c r="CE169" s="1682"/>
      <c r="CF169" s="1682"/>
      <c r="CG169" s="1682"/>
      <c r="CH169" s="1682"/>
      <c r="CI169" s="1682"/>
      <c r="CJ169" s="1682"/>
      <c r="CK169" s="1682"/>
      <c r="CL169" s="1682"/>
      <c r="CM169" s="1682"/>
      <c r="CN169" s="1682"/>
      <c r="CO169" s="1682"/>
      <c r="CP169" s="1682"/>
      <c r="CQ169" s="1682"/>
      <c r="CR169" s="1682"/>
      <c r="CS169" s="1682"/>
      <c r="CT169" s="1682"/>
      <c r="CU169" s="1682"/>
      <c r="CV169" s="1682"/>
      <c r="CW169" s="1682"/>
      <c r="CX169" s="1682"/>
      <c r="CY169" s="97"/>
      <c r="CZ169" s="97"/>
      <c r="DA169" s="1668"/>
      <c r="DB169" s="1668"/>
      <c r="DC169" s="97"/>
      <c r="DD169" s="97"/>
      <c r="DE169" s="97"/>
      <c r="DF169" s="97"/>
      <c r="DG169" s="97"/>
      <c r="DH169" s="97"/>
      <c r="DI169" s="97"/>
      <c r="DJ169" s="97"/>
      <c r="DK169" s="97"/>
      <c r="DL169" s="97"/>
      <c r="DM169" s="97"/>
      <c r="DN169" s="97"/>
      <c r="DO169" s="97"/>
      <c r="DP169" s="97"/>
      <c r="DQ169" s="97"/>
      <c r="DR169" s="97"/>
      <c r="DS169" s="97"/>
      <c r="DT169" s="97"/>
      <c r="DU169" s="97"/>
      <c r="DV169" s="97"/>
      <c r="DW169" s="97"/>
      <c r="DX169" s="97"/>
      <c r="DY169" s="97"/>
      <c r="DZ169" s="97"/>
      <c r="EA169" s="97"/>
      <c r="EB169" s="97"/>
      <c r="EC169" s="97"/>
      <c r="ED169" s="97"/>
      <c r="EE169" s="97"/>
    </row>
    <row r="170" spans="1:135" ht="12" hidden="1" customHeight="1" outlineLevel="1">
      <c r="BB170" s="1647"/>
      <c r="BF170" s="1647"/>
      <c r="BJ170" s="1652"/>
      <c r="BN170" s="1652"/>
      <c r="BR170" s="1652"/>
      <c r="BS170" s="114"/>
      <c r="BT170" s="114"/>
      <c r="BU170" s="114"/>
      <c r="BV170" s="1652"/>
      <c r="BW170" s="114"/>
      <c r="BX170" s="114"/>
      <c r="BY170" s="114"/>
      <c r="BZ170" s="1652"/>
      <c r="CA170" s="1652"/>
      <c r="CB170" s="1683"/>
      <c r="CC170" s="1683"/>
      <c r="CD170" s="1683"/>
      <c r="CE170" s="1683"/>
      <c r="CF170" s="1683"/>
      <c r="CG170" s="1683"/>
      <c r="CH170" s="1683"/>
      <c r="CI170" s="1683"/>
      <c r="CJ170" s="1683"/>
      <c r="CK170" s="1683"/>
      <c r="CL170" s="1683"/>
      <c r="CM170" s="1683"/>
      <c r="CN170" s="1683"/>
      <c r="CO170" s="1683"/>
      <c r="CP170" s="1683"/>
      <c r="CQ170" s="1683"/>
      <c r="CR170" s="1683"/>
      <c r="CS170" s="1683"/>
      <c r="CT170" s="1683"/>
      <c r="CU170" s="1683"/>
      <c r="CV170" s="1683"/>
      <c r="CW170" s="1683"/>
      <c r="CX170" s="1683"/>
      <c r="CY170" s="97"/>
      <c r="CZ170" s="97"/>
      <c r="DA170" s="97"/>
      <c r="DB170" s="1684"/>
      <c r="DC170" s="97"/>
      <c r="DD170" s="97"/>
      <c r="DE170" s="97"/>
      <c r="DF170" s="97"/>
      <c r="DG170" s="97"/>
      <c r="DH170" s="97"/>
      <c r="DI170" s="97"/>
      <c r="DJ170" s="97"/>
      <c r="DK170" s="97"/>
      <c r="DL170" s="97"/>
      <c r="DM170" s="97"/>
      <c r="DN170" s="97"/>
      <c r="DO170" s="97"/>
      <c r="DP170" s="97"/>
      <c r="DQ170" s="97"/>
      <c r="DR170" s="97"/>
      <c r="DS170" s="97"/>
      <c r="DT170" s="97"/>
      <c r="DU170" s="97"/>
      <c r="DV170" s="97"/>
      <c r="DW170" s="97"/>
      <c r="DX170" s="97"/>
      <c r="DY170" s="97"/>
      <c r="DZ170" s="97"/>
      <c r="EA170" s="97"/>
      <c r="EB170" s="97"/>
      <c r="EC170" s="97"/>
      <c r="ED170" s="97"/>
      <c r="EE170" s="97"/>
    </row>
    <row r="171" spans="1:135" ht="12" hidden="1" customHeight="1" outlineLevel="1">
      <c r="A171" s="114" t="str">
        <f>$A$10</f>
        <v>1Q</v>
      </c>
      <c r="B171" s="114" t="str">
        <f>$B$10</f>
        <v>Apr</v>
      </c>
      <c r="D171" s="1158"/>
      <c r="E171" s="1579"/>
      <c r="F171" s="310"/>
      <c r="G171" s="310"/>
      <c r="H171" s="1158"/>
      <c r="I171" s="1579"/>
      <c r="J171" s="310"/>
      <c r="K171" s="310"/>
      <c r="L171" s="1158"/>
      <c r="M171" s="1579"/>
      <c r="N171" s="310"/>
      <c r="O171" s="310"/>
      <c r="P171" s="1158"/>
      <c r="Q171" s="1579"/>
      <c r="R171" s="310"/>
      <c r="S171" s="310"/>
      <c r="T171" s="1158"/>
      <c r="U171" s="1579"/>
      <c r="V171" s="310"/>
      <c r="W171" s="310"/>
      <c r="X171" s="1158"/>
      <c r="Y171" s="1579"/>
      <c r="Z171" s="310"/>
      <c r="AB171" s="1158"/>
      <c r="AC171" s="1579"/>
      <c r="AD171" s="310"/>
      <c r="AE171" s="310"/>
      <c r="AF171" s="1158"/>
      <c r="AG171" s="1579"/>
      <c r="AH171" s="310"/>
      <c r="AI171" s="310"/>
      <c r="AJ171" s="1158"/>
      <c r="AK171" s="1579"/>
      <c r="AL171" s="310"/>
      <c r="AN171" s="1171">
        <f>AN130/AN193</f>
        <v>0.25827615565683348</v>
      </c>
      <c r="AO171" s="1517" t="e">
        <f t="shared" ref="AO171:AO177" si="427">IF(AJ171&lt;0,"       NM",(AN171/AJ171-1)*100)</f>
        <v>#DIV/0!</v>
      </c>
      <c r="AR171" s="1171">
        <f>AR130/AR193</f>
        <v>0.30261582294161365</v>
      </c>
      <c r="AS171" s="1517">
        <f t="shared" ref="AS171:AS177" si="428">IF(AN171&lt;0,"       NM",(AR171/AN171-1)*100)</f>
        <v>17.167541917300877</v>
      </c>
      <c r="AV171" s="1171">
        <f>AV130/AV193</f>
        <v>0.44943207126948698</v>
      </c>
      <c r="AW171" s="1517">
        <f t="shared" ref="AW171:AW177" si="429">IF(AR171&lt;0,"       NM",(AV171/AR171-1)*100)</f>
        <v>48.515720989315184</v>
      </c>
      <c r="AZ171" s="1171">
        <f>(AZ130+(AZ60*(1-BA120/100)))/AZ193</f>
        <v>0.64355024863326171</v>
      </c>
      <c r="BA171" s="1517">
        <f t="shared" ref="BA171:BA177" si="430">IF(AV171&lt;0,"       NM",(AZ171/AV171-1)*100)</f>
        <v>43.19188366229838</v>
      </c>
      <c r="BB171" s="1685"/>
      <c r="BD171" s="1171">
        <f>(BD130+(BD60*(1-BE120/100)))/BD193</f>
        <v>0.68609606433417247</v>
      </c>
      <c r="BE171" s="1517">
        <f t="shared" ref="BE171:BE177" si="431">IF(AZ171&lt;0,"       NM",(BD171/AZ171-1)*100)</f>
        <v>6.6111101333994338</v>
      </c>
      <c r="BF171" s="1685"/>
      <c r="BH171" s="1171">
        <f>(BH130+(BH60*(1-BI120/100)))/BH193</f>
        <v>0.8091211464179765</v>
      </c>
      <c r="BI171" s="1517">
        <f t="shared" ref="BI171:BI177" si="432">IF(BD171&lt;0,"       NM",(BH171/BD171-1)*100)</f>
        <v>17.931174434471476</v>
      </c>
      <c r="BJ171" s="1686"/>
      <c r="BL171" s="1171">
        <f>(BL130+(BL60*(1-BM120/100)))/BL193</f>
        <v>-0.18937308889300281</v>
      </c>
      <c r="BM171" s="1517">
        <f t="shared" ref="BM171:BM177" si="433">IF(BH171&lt;0,"       NM",(BL171/BH171-1)*100)</f>
        <v>-123.40478798896406</v>
      </c>
      <c r="BN171" s="1686"/>
      <c r="BP171" s="1171">
        <f>(BP130+(BP60*(1-BQ120/100)))/BP193</f>
        <v>-7.1444442272399392E-2</v>
      </c>
      <c r="BQ171" s="1517" t="str">
        <f t="shared" ref="BQ171:BQ177" si="434">IF(BL171&lt;0,"       NM",(BP171/BL171-1)*100)</f>
        <v xml:space="preserve">       NM</v>
      </c>
      <c r="BR171" s="1686"/>
      <c r="BS171" s="114"/>
      <c r="BT171" s="1171">
        <f>(BT130+(BT60*(1-BU120/100)))/BT193</f>
        <v>0.20534621660203234</v>
      </c>
      <c r="BU171" s="1517" t="str">
        <f t="shared" ref="BU171:BU177" si="435">IF(BP171&lt;0,"       NM",(BT171/BP171-1)*100)</f>
        <v xml:space="preserve">       NM</v>
      </c>
      <c r="BV171" s="1686"/>
      <c r="BW171" s="114"/>
      <c r="BX171" s="1171"/>
      <c r="BY171" s="1517"/>
      <c r="BZ171" s="1686"/>
      <c r="CA171" s="1686"/>
      <c r="CB171" s="1171">
        <f>(CB130+(CB60*(1-CC120/100)))/CB193</f>
        <v>-3.0934679526717121E-2</v>
      </c>
      <c r="CC171" s="1517" t="e">
        <f t="shared" ref="CC171:CC177" si="436">IF(BX171&lt;0,"       NM",(CB171/BX171-1)*100)</f>
        <v>#DIV/0!</v>
      </c>
      <c r="CD171" s="1687"/>
      <c r="CE171" s="1687"/>
      <c r="CF171" s="1171">
        <f>(CF130+(CF60*(1-CG120/100)))/CF193</f>
        <v>-8.51196712539488E-2</v>
      </c>
      <c r="CG171" s="1517" t="str">
        <f t="shared" ref="CG171:CG177" si="437">IF(CB171&lt;0,"       NM",(CF171/CB171-1)*100)</f>
        <v xml:space="preserve">       NM</v>
      </c>
      <c r="CH171" s="1687"/>
      <c r="CI171" s="1687"/>
      <c r="CJ171" s="1171">
        <f>(CJ130+(CJ60*(1-CK120/100)))/CJ193</f>
        <v>-0.44908457602568957</v>
      </c>
      <c r="CK171" s="1517" t="str">
        <f t="shared" ref="CK171:CK177" si="438">IF(CF171&lt;0,"       NM",(CJ171/CF171-1)*100)</f>
        <v xml:space="preserve">       NM</v>
      </c>
      <c r="CL171" s="1687"/>
      <c r="CM171" s="1687"/>
      <c r="CN171" s="1171">
        <f>(CN130+(CN60*(1-CO120/100)))/CN193</f>
        <v>-0.49750791997796778</v>
      </c>
      <c r="CO171" s="1517" t="str">
        <f t="shared" ref="CO171:CO177" si="439">IF(CJ171&lt;0,"       NM",(CN171/CJ171-1)*100)</f>
        <v xml:space="preserve">       NM</v>
      </c>
      <c r="CP171" s="1687"/>
      <c r="CQ171" s="1687"/>
      <c r="CR171" s="1171">
        <f>(CR130+(CR60*(1-CS120/100)))/CR193</f>
        <v>-0.79576259036787911</v>
      </c>
      <c r="CS171" s="1517" t="str">
        <f t="shared" ref="CS171:CS177" si="440">IF(CN171&lt;0,"       NM",(CR171/CN171-1)*100)</f>
        <v xml:space="preserve">       NM</v>
      </c>
      <c r="CT171" s="1687"/>
      <c r="CU171" s="1687"/>
      <c r="CV171" s="1171">
        <f>(CV130+(CV60*(1-CW120/100)))/CV193</f>
        <v>-0.70810252819132002</v>
      </c>
      <c r="CW171" s="1517" t="str">
        <f t="shared" ref="CW171:CW177" si="441">IF(CR171&lt;0,"       NM",(CV171/CR171-1)*100)</f>
        <v xml:space="preserve">       NM</v>
      </c>
      <c r="CX171" s="1687"/>
      <c r="CY171" s="97"/>
      <c r="CZ171" s="97"/>
      <c r="DA171" s="97"/>
      <c r="DB171" s="97"/>
      <c r="DC171" s="97"/>
      <c r="DD171" s="97"/>
      <c r="DE171" s="97"/>
      <c r="DF171" s="97"/>
      <c r="DG171" s="97"/>
      <c r="DH171" s="97"/>
      <c r="DI171" s="97"/>
      <c r="DJ171" s="97"/>
      <c r="DK171" s="97"/>
      <c r="DL171" s="97"/>
      <c r="DM171" s="97"/>
      <c r="DN171" s="97"/>
      <c r="DO171" s="97"/>
      <c r="DP171" s="97"/>
      <c r="DQ171" s="97"/>
      <c r="DR171" s="97"/>
      <c r="DS171" s="97"/>
      <c r="DT171" s="97"/>
      <c r="DU171" s="97"/>
      <c r="DV171" s="97"/>
      <c r="DW171" s="97"/>
      <c r="DX171" s="97"/>
      <c r="DY171" s="97"/>
      <c r="DZ171" s="97"/>
      <c r="EA171" s="97"/>
      <c r="EB171" s="97"/>
      <c r="EC171" s="97"/>
      <c r="ED171" s="97"/>
      <c r="EE171" s="97"/>
    </row>
    <row r="172" spans="1:135" ht="12" hidden="1" customHeight="1" outlineLevel="1">
      <c r="A172" s="114" t="str">
        <f>$A$11</f>
        <v>2Q</v>
      </c>
      <c r="B172" s="114" t="str">
        <f>$B$11</f>
        <v>Jul</v>
      </c>
      <c r="D172" s="1688"/>
      <c r="E172" s="1579"/>
      <c r="F172" s="310"/>
      <c r="G172" s="310"/>
      <c r="H172" s="1688"/>
      <c r="I172" s="1579"/>
      <c r="J172" s="310"/>
      <c r="K172" s="310"/>
      <c r="L172" s="1688"/>
      <c r="M172" s="1579"/>
      <c r="N172" s="310"/>
      <c r="O172" s="310"/>
      <c r="P172" s="1688"/>
      <c r="Q172" s="1579"/>
      <c r="R172" s="310"/>
      <c r="S172" s="310"/>
      <c r="T172" s="1688"/>
      <c r="U172" s="1579"/>
      <c r="V172" s="310"/>
      <c r="W172" s="310"/>
      <c r="X172" s="1688"/>
      <c r="Y172" s="1579"/>
      <c r="Z172" s="310"/>
      <c r="AB172" s="1688"/>
      <c r="AC172" s="1579"/>
      <c r="AD172" s="310"/>
      <c r="AE172" s="310"/>
      <c r="AF172" s="1688"/>
      <c r="AG172" s="1579"/>
      <c r="AH172" s="310"/>
      <c r="AI172" s="310"/>
      <c r="AJ172" s="1688"/>
      <c r="AK172" s="1579"/>
      <c r="AL172" s="310"/>
      <c r="AN172" s="1656">
        <f>AN131/AN194</f>
        <v>0.34483860658357324</v>
      </c>
      <c r="AO172" s="1517" t="e">
        <f t="shared" si="427"/>
        <v>#DIV/0!</v>
      </c>
      <c r="AR172" s="1656">
        <f>AR131/AR194</f>
        <v>0.43947125730095343</v>
      </c>
      <c r="AS172" s="1517">
        <f t="shared" si="428"/>
        <v>27.442591667718474</v>
      </c>
      <c r="AV172" s="1656">
        <f>AV131/AV194</f>
        <v>0.62732647730625868</v>
      </c>
      <c r="AW172" s="1517">
        <f t="shared" si="429"/>
        <v>42.74573521805101</v>
      </c>
      <c r="AZ172" s="1656">
        <f>(AZ131+(AZ61*(1-BA121/100)))/AZ194</f>
        <v>0.7448199372140053</v>
      </c>
      <c r="BA172" s="1517">
        <f t="shared" si="430"/>
        <v>18.729236555144912</v>
      </c>
      <c r="BB172" s="1685"/>
      <c r="BD172" s="1656">
        <f>(BD131+(BD61*(1-BE121/100)))/BD194</f>
        <v>0.93649101200190032</v>
      </c>
      <c r="BE172" s="1517">
        <f t="shared" si="431"/>
        <v>25.733880796053811</v>
      </c>
      <c r="BF172" s="1685"/>
      <c r="BH172" s="1656">
        <f>(BH131+(BH61*(1-BI121/100)))/BH194</f>
        <v>1.0023079912106205</v>
      </c>
      <c r="BI172" s="1517">
        <f t="shared" si="432"/>
        <v>7.0280417393463024</v>
      </c>
      <c r="BJ172" s="1689"/>
      <c r="BL172" s="1656">
        <f>(BL131+(BL61*(1-BM121/100)))/BL194</f>
        <v>-0.19119814243603536</v>
      </c>
      <c r="BM172" s="1517">
        <f t="shared" si="433"/>
        <v>-119.07578749373234</v>
      </c>
      <c r="BN172" s="1689"/>
      <c r="BP172" s="1656">
        <f>(BP131+(BP61*(1-BQ121/100)))/BP194</f>
        <v>0.33005415998717513</v>
      </c>
      <c r="BQ172" s="1517" t="str">
        <f t="shared" si="434"/>
        <v xml:space="preserve">       NM</v>
      </c>
      <c r="BR172" s="1689"/>
      <c r="BS172" s="114"/>
      <c r="BT172" s="1656">
        <f>(BT131+(BT61*(1-BU121/100)))/BT194</f>
        <v>0.39267048004403099</v>
      </c>
      <c r="BU172" s="1517">
        <f t="shared" si="435"/>
        <v>18.97152881190436</v>
      </c>
      <c r="BV172" s="1689"/>
      <c r="BW172" s="114"/>
      <c r="BX172" s="1656"/>
      <c r="BY172" s="1517"/>
      <c r="BZ172" s="1689"/>
      <c r="CA172" s="1689"/>
      <c r="CB172" s="1656">
        <f>(CB131+(CB61*(1-CC121/100)))/CB194</f>
        <v>0.25628393820208506</v>
      </c>
      <c r="CC172" s="1517" t="e">
        <f t="shared" si="436"/>
        <v>#DIV/0!</v>
      </c>
      <c r="CD172" s="1687"/>
      <c r="CE172" s="1687"/>
      <c r="CF172" s="1656">
        <f>(CF131+(CF61*(1-CG121/100)))/CF194</f>
        <v>0.29831237537855421</v>
      </c>
      <c r="CG172" s="1517">
        <f t="shared" si="437"/>
        <v>16.399169402231074</v>
      </c>
      <c r="CH172" s="1687"/>
      <c r="CI172" s="1687"/>
      <c r="CJ172" s="1656">
        <f>(CJ131+(CJ61*(1-CK121/100)))/CJ194</f>
        <v>0.25708507453795171</v>
      </c>
      <c r="CK172" s="1517">
        <f t="shared" si="438"/>
        <v>-13.820177854936667</v>
      </c>
      <c r="CL172" s="1687"/>
      <c r="CM172" s="1687"/>
      <c r="CN172" s="1656">
        <f>(CN131+(CN61*(1-CO121/100)))/CN194</f>
        <v>-0.12664450653058185</v>
      </c>
      <c r="CO172" s="1517">
        <f t="shared" si="439"/>
        <v>-149.26171103405935</v>
      </c>
      <c r="CP172" s="1687"/>
      <c r="CQ172" s="1687"/>
      <c r="CR172" s="1656">
        <f>(CR131+(CR61*(1-CS121/100)))/CR194</f>
        <v>-7.3408944081584243E-2</v>
      </c>
      <c r="CS172" s="1517" t="str">
        <f t="shared" si="440"/>
        <v xml:space="preserve">       NM</v>
      </c>
      <c r="CT172" s="1687"/>
      <c r="CU172" s="1687"/>
      <c r="CV172" s="1656">
        <f>(CV131+(CV61*(1-CW121/100)))/CV194</f>
        <v>8.2171195829671584E-2</v>
      </c>
      <c r="CW172" s="1517" t="str">
        <f t="shared" si="441"/>
        <v xml:space="preserve">       NM</v>
      </c>
      <c r="CX172" s="1687"/>
      <c r="CY172" s="97"/>
      <c r="CZ172" s="97"/>
      <c r="DA172" s="97"/>
      <c r="DB172" s="97"/>
      <c r="DC172" s="97"/>
      <c r="DD172" s="97"/>
      <c r="DE172" s="97"/>
      <c r="DF172" s="97"/>
      <c r="DG172" s="97"/>
      <c r="DH172" s="97"/>
      <c r="DI172" s="97"/>
      <c r="DJ172" s="97"/>
      <c r="DK172" s="97"/>
      <c r="DL172" s="97"/>
      <c r="DM172" s="97"/>
      <c r="DN172" s="97"/>
      <c r="DO172" s="97"/>
      <c r="DP172" s="97"/>
      <c r="DQ172" s="97"/>
      <c r="DR172" s="97"/>
      <c r="DS172" s="97"/>
      <c r="DT172" s="97"/>
      <c r="DU172" s="97"/>
      <c r="DV172" s="97"/>
      <c r="DW172" s="97"/>
      <c r="DX172" s="97"/>
      <c r="DY172" s="97"/>
      <c r="DZ172" s="97"/>
      <c r="EA172" s="97"/>
      <c r="EB172" s="97"/>
      <c r="EC172" s="97"/>
      <c r="ED172" s="97"/>
      <c r="EE172" s="97"/>
    </row>
    <row r="173" spans="1:135" ht="12" hidden="1" customHeight="1" outlineLevel="1">
      <c r="A173" s="114" t="str">
        <f>$A$12</f>
        <v>3Q</v>
      </c>
      <c r="B173" s="114" t="str">
        <f>$B$12</f>
        <v>Oct</v>
      </c>
      <c r="D173" s="1688"/>
      <c r="E173" s="1579"/>
      <c r="F173" s="310"/>
      <c r="G173" s="310"/>
      <c r="H173" s="1688"/>
      <c r="I173" s="1579"/>
      <c r="J173" s="310"/>
      <c r="K173" s="310"/>
      <c r="L173" s="1688"/>
      <c r="M173" s="1579"/>
      <c r="N173" s="310"/>
      <c r="O173" s="310"/>
      <c r="P173" s="1688"/>
      <c r="Q173" s="1579"/>
      <c r="R173" s="310"/>
      <c r="S173" s="310"/>
      <c r="T173" s="1688"/>
      <c r="U173" s="1579"/>
      <c r="V173" s="310"/>
      <c r="W173" s="310"/>
      <c r="X173" s="1688"/>
      <c r="Y173" s="1579"/>
      <c r="Z173" s="310"/>
      <c r="AB173" s="1688"/>
      <c r="AC173" s="1579"/>
      <c r="AD173" s="310"/>
      <c r="AE173" s="310"/>
      <c r="AF173" s="1688"/>
      <c r="AG173" s="1579"/>
      <c r="AH173" s="310"/>
      <c r="AI173" s="310"/>
      <c r="AJ173" s="1688"/>
      <c r="AK173" s="1579"/>
      <c r="AL173" s="310"/>
      <c r="AN173" s="1656">
        <f>AN132/AN195</f>
        <v>0.50386470505136061</v>
      </c>
      <c r="AO173" s="1517" t="e">
        <f t="shared" si="427"/>
        <v>#DIV/0!</v>
      </c>
      <c r="AR173" s="1656">
        <f>AR132/AR195</f>
        <v>0.63566192279053257</v>
      </c>
      <c r="AS173" s="1517">
        <f t="shared" si="428"/>
        <v>26.157263332373603</v>
      </c>
      <c r="AV173" s="1656">
        <f>AV132/AV195</f>
        <v>0.88256428397709408</v>
      </c>
      <c r="AW173" s="1517">
        <f t="shared" si="429"/>
        <v>38.84177301397402</v>
      </c>
      <c r="AZ173" s="1656">
        <f>(AZ132+(AZ62*(1-BA122/100)))/AZ195</f>
        <v>1.11616865369108</v>
      </c>
      <c r="BA173" s="1517">
        <f t="shared" si="430"/>
        <v>26.468822039942054</v>
      </c>
      <c r="BB173" s="1685"/>
      <c r="BD173" s="1656">
        <f>(BD132+(BD62*(1-BE122/100)))/BD195</f>
        <v>1.3490189429497743</v>
      </c>
      <c r="BE173" s="1517">
        <f t="shared" si="431"/>
        <v>20.861568589001056</v>
      </c>
      <c r="BF173" s="1685"/>
      <c r="BH173" s="1656">
        <f>(BH132+(BH62*(1-BI122/100)))/BH195</f>
        <v>0.86518623870388656</v>
      </c>
      <c r="BI173" s="1517">
        <f t="shared" si="432"/>
        <v>-35.865523369741261</v>
      </c>
      <c r="BJ173" s="1686"/>
      <c r="BL173" s="1656">
        <f>(BL132+(BL62*(1-BM122/100)))/BL195</f>
        <v>0.68707094464691754</v>
      </c>
      <c r="BM173" s="1517">
        <f t="shared" si="433"/>
        <v>-20.586931008495814</v>
      </c>
      <c r="BN173" s="1686"/>
      <c r="BP173" s="1656">
        <f>(BP132+(BP62*(1-BQ122/100)))/BP195</f>
        <v>0.63573642005854913</v>
      </c>
      <c r="BQ173" s="1517">
        <f t="shared" si="434"/>
        <v>-7.4715027594055794</v>
      </c>
      <c r="BR173" s="1686"/>
      <c r="BS173" s="114"/>
      <c r="BT173" s="1656">
        <f>(BT132+(BT62*(1-BU122/100)))/BT195</f>
        <v>0.71298472243210265</v>
      </c>
      <c r="BU173" s="1517">
        <f t="shared" si="435"/>
        <v>12.150995276696474</v>
      </c>
      <c r="BV173" s="1686"/>
      <c r="BW173" s="114"/>
      <c r="BX173" s="1656"/>
      <c r="BY173" s="1517"/>
      <c r="BZ173" s="1686"/>
      <c r="CA173" s="1686"/>
      <c r="CB173" s="1656">
        <f>(CB132+(CB62*(1-CC122/100)))/CB195</f>
        <v>0.62295666062315158</v>
      </c>
      <c r="CC173" s="1517" t="e">
        <f t="shared" si="436"/>
        <v>#DIV/0!</v>
      </c>
      <c r="CD173" s="1687"/>
      <c r="CE173" s="1687"/>
      <c r="CF173" s="1656">
        <f>(CF132+(CF62*(1-CG122/100)))/CF195</f>
        <v>0.51989758233200511</v>
      </c>
      <c r="CG173" s="1517">
        <f t="shared" si="437"/>
        <v>-16.543539030155831</v>
      </c>
      <c r="CH173" s="1687"/>
      <c r="CI173" s="1687"/>
      <c r="CJ173" s="1656">
        <f>(CJ132+(CJ62*(1-CK122/100)))/CJ195</f>
        <v>0.59121661258473757</v>
      </c>
      <c r="CK173" s="1517">
        <f t="shared" si="438"/>
        <v>13.717899962686953</v>
      </c>
      <c r="CL173" s="1687"/>
      <c r="CM173" s="1687"/>
      <c r="CN173" s="1656">
        <f>(CN132+(CN62*(1-CO122/100)))/CN195</f>
        <v>5.3154972580220908E-2</v>
      </c>
      <c r="CO173" s="1517">
        <f t="shared" si="439"/>
        <v>-91.009222094109816</v>
      </c>
      <c r="CP173" s="1687"/>
      <c r="CQ173" s="1687"/>
      <c r="CR173" s="1656">
        <f>(CR132+(CR62*(1-CS122/100)))/CR195</f>
        <v>0.4046149112924658</v>
      </c>
      <c r="CS173" s="1517">
        <f t="shared" si="440"/>
        <v>661.19860786650838</v>
      </c>
      <c r="CT173" s="1687"/>
      <c r="CU173" s="1687"/>
      <c r="CV173" s="1656">
        <f>(CV132+(CV62*(1-CW122/100)))/CV195</f>
        <v>0.42121011710683676</v>
      </c>
      <c r="CW173" s="1517">
        <f t="shared" si="441"/>
        <v>4.1014815201349641</v>
      </c>
      <c r="CX173" s="1687"/>
      <c r="CY173" s="97"/>
      <c r="CZ173" s="97"/>
      <c r="DA173" s="97"/>
      <c r="DB173" s="97"/>
      <c r="DC173" s="97"/>
      <c r="DD173" s="97"/>
      <c r="DE173" s="97"/>
      <c r="DF173" s="97"/>
      <c r="DG173" s="97"/>
      <c r="DH173" s="97"/>
      <c r="DI173" s="97"/>
      <c r="DJ173" s="97"/>
      <c r="DK173" s="97"/>
      <c r="DL173" s="97"/>
      <c r="DM173" s="97"/>
      <c r="DN173" s="97"/>
      <c r="DO173" s="97"/>
      <c r="DP173" s="97"/>
      <c r="DQ173" s="97"/>
      <c r="DR173" s="97"/>
      <c r="DS173" s="97"/>
      <c r="DT173" s="97"/>
      <c r="DU173" s="97"/>
      <c r="DV173" s="97"/>
      <c r="DW173" s="97"/>
      <c r="DX173" s="97"/>
      <c r="DY173" s="97"/>
      <c r="DZ173" s="97"/>
      <c r="EA173" s="97"/>
      <c r="EB173" s="97"/>
      <c r="EC173" s="97"/>
      <c r="ED173" s="97"/>
      <c r="EE173" s="97"/>
    </row>
    <row r="174" spans="1:135" ht="12" hidden="1" customHeight="1" outlineLevel="1">
      <c r="A174" s="114" t="str">
        <f>$A$13</f>
        <v>4Q</v>
      </c>
      <c r="B174" s="114" t="str">
        <f>$B$13</f>
        <v>Jan</v>
      </c>
      <c r="C174" s="310"/>
      <c r="D174" s="1688"/>
      <c r="E174" s="1579"/>
      <c r="F174" s="310"/>
      <c r="G174" s="310"/>
      <c r="H174" s="1688"/>
      <c r="I174" s="1579"/>
      <c r="J174" s="310"/>
      <c r="K174" s="310"/>
      <c r="L174" s="1688"/>
      <c r="M174" s="1579"/>
      <c r="N174" s="310"/>
      <c r="O174" s="310"/>
      <c r="P174" s="1688"/>
      <c r="Q174" s="1579"/>
      <c r="R174" s="310"/>
      <c r="S174" s="310"/>
      <c r="T174" s="1688"/>
      <c r="U174" s="1579"/>
      <c r="V174" s="310"/>
      <c r="W174" s="310"/>
      <c r="X174" s="1688"/>
      <c r="Y174" s="1579"/>
      <c r="Z174" s="310"/>
      <c r="AB174" s="1688"/>
      <c r="AC174" s="1579"/>
      <c r="AD174" s="310"/>
      <c r="AE174" s="310"/>
      <c r="AF174" s="1688"/>
      <c r="AG174" s="1579"/>
      <c r="AH174" s="310"/>
      <c r="AI174" s="310"/>
      <c r="AJ174" s="1688"/>
      <c r="AK174" s="1579"/>
      <c r="AL174" s="310"/>
      <c r="AN174" s="1671">
        <f>AN133/AN196</f>
        <v>0.96672083729392189</v>
      </c>
      <c r="AO174" s="1517" t="e">
        <f t="shared" si="427"/>
        <v>#DIV/0!</v>
      </c>
      <c r="AR174" s="1671">
        <f>AR133/AR196</f>
        <v>1.1488705234159788</v>
      </c>
      <c r="AS174" s="1517">
        <f t="shared" si="428"/>
        <v>18.842015098374887</v>
      </c>
      <c r="AV174" s="1671">
        <f>AV133/AV196</f>
        <v>1.8036044919200227</v>
      </c>
      <c r="AW174" s="1517">
        <f t="shared" si="429"/>
        <v>56.989360868733876</v>
      </c>
      <c r="AZ174" s="1671">
        <f>(AZ133+(AZ63*(1-BA123/100)))/AZ196</f>
        <v>2.1485699518428576</v>
      </c>
      <c r="BA174" s="1517">
        <f t="shared" si="430"/>
        <v>19.126447148931348</v>
      </c>
      <c r="BB174" s="1690"/>
      <c r="BD174" s="1671">
        <f>(BD133+(BD63*(1-BE123/100)))/BD196</f>
        <v>2.463037116031626</v>
      </c>
      <c r="BE174" s="1517">
        <f t="shared" si="431"/>
        <v>14.636114775739362</v>
      </c>
      <c r="BF174" s="1690"/>
      <c r="BH174" s="1671">
        <f>(BH133+(BH63*(1-BI123/100)))/BH196</f>
        <v>1.0679886492019599</v>
      </c>
      <c r="BI174" s="1517">
        <f t="shared" si="432"/>
        <v>-56.639360314526144</v>
      </c>
      <c r="BJ174" s="1691"/>
      <c r="BL174" s="1671">
        <f>(BL133+(BL63*(1-BM123/100)))/BL196</f>
        <v>0.98817947246928595</v>
      </c>
      <c r="BM174" s="1517">
        <f t="shared" si="433"/>
        <v>-7.472848779086771</v>
      </c>
      <c r="BN174" s="1691"/>
      <c r="BP174" s="1671">
        <f>(BP133+(BP63*(1-BQ123/100)))/BP196</f>
        <v>1.4536487668007123</v>
      </c>
      <c r="BQ174" s="1517">
        <f t="shared" si="434"/>
        <v>47.103720255218498</v>
      </c>
      <c r="BR174" s="1691"/>
      <c r="BS174" s="114"/>
      <c r="BT174" s="1671">
        <f>(BT133+(BT63*(1-BU123/100)))/BT196</f>
        <v>1.5040215499705616</v>
      </c>
      <c r="BU174" s="1517">
        <f t="shared" si="435"/>
        <v>3.465265084681568</v>
      </c>
      <c r="BV174" s="1691"/>
      <c r="BW174" s="114"/>
      <c r="BX174" s="1671"/>
      <c r="BY174" s="1517"/>
      <c r="BZ174" s="1691"/>
      <c r="CA174" s="1691"/>
      <c r="CB174" s="1671">
        <f>(CB133+(CB63*(1-CC123/100)))/CB196</f>
        <v>1.4432677238063765</v>
      </c>
      <c r="CC174" s="1517" t="e">
        <f t="shared" si="436"/>
        <v>#DIV/0!</v>
      </c>
      <c r="CD174" s="1687"/>
      <c r="CE174" s="1687"/>
      <c r="CF174" s="1671">
        <f>(CF133+(CF63*(1-CG123/100)))/CF196</f>
        <v>1.2538864060027775</v>
      </c>
      <c r="CG174" s="1517">
        <f t="shared" si="437"/>
        <v>-13.121703941673246</v>
      </c>
      <c r="CH174" s="1687"/>
      <c r="CI174" s="1687"/>
      <c r="CJ174" s="1671">
        <f>(CJ133+(CJ63*(1-CK123/100)))/CJ196</f>
        <v>1.1853711543917704</v>
      </c>
      <c r="CK174" s="1517">
        <f t="shared" si="438"/>
        <v>-5.4642311522799307</v>
      </c>
      <c r="CL174" s="1687"/>
      <c r="CM174" s="1687"/>
      <c r="CN174" s="1671">
        <f>(CN133+(CN63*(1-CO123/100)))/CN196</f>
        <v>0.89750077053472999</v>
      </c>
      <c r="CO174" s="1517">
        <f t="shared" si="439"/>
        <v>-24.285253002022856</v>
      </c>
      <c r="CP174" s="1687"/>
      <c r="CQ174" s="1687"/>
      <c r="CR174" s="1671">
        <f>(CR133+(CR63*(1-CS123/100)))/CR196</f>
        <v>1.48978078965491</v>
      </c>
      <c r="CS174" s="1517">
        <f t="shared" si="440"/>
        <v>65.992146030949939</v>
      </c>
      <c r="CT174" s="1687"/>
      <c r="CU174" s="1687"/>
      <c r="CV174" s="1671">
        <f>(CV133+(CV63*(1-CW123/100)))/CV196</f>
        <v>0.90545881220888014</v>
      </c>
      <c r="CW174" s="1517">
        <f t="shared" si="441"/>
        <v>-39.222010479902956</v>
      </c>
      <c r="CX174" s="1687"/>
      <c r="CY174" s="97"/>
      <c r="CZ174" s="97"/>
      <c r="DA174" s="97"/>
      <c r="DB174" s="97"/>
      <c r="DC174" s="97"/>
      <c r="DD174" s="97"/>
      <c r="DE174" s="97"/>
      <c r="DF174" s="97"/>
      <c r="DG174" s="97"/>
      <c r="DH174" s="97"/>
      <c r="DI174" s="97"/>
      <c r="DJ174" s="97"/>
      <c r="DK174" s="97"/>
      <c r="DL174" s="97"/>
      <c r="DM174" s="97"/>
      <c r="DN174" s="97"/>
      <c r="DO174" s="97"/>
      <c r="DP174" s="97"/>
      <c r="DQ174" s="97"/>
      <c r="DR174" s="97"/>
      <c r="DS174" s="97"/>
      <c r="DT174" s="97"/>
      <c r="DU174" s="97"/>
      <c r="DV174" s="97"/>
      <c r="DW174" s="97"/>
      <c r="DX174" s="97"/>
      <c r="DY174" s="97"/>
      <c r="DZ174" s="97"/>
      <c r="EA174" s="97"/>
      <c r="EB174" s="97"/>
      <c r="EC174" s="97"/>
      <c r="ED174" s="97"/>
      <c r="EE174" s="97"/>
    </row>
    <row r="175" spans="1:135" ht="12" hidden="1" customHeight="1" outlineLevel="1">
      <c r="B175" s="114" t="str">
        <f>$B$14</f>
        <v>Year</v>
      </c>
      <c r="D175" s="1158"/>
      <c r="E175" s="1579"/>
      <c r="F175" s="310"/>
      <c r="G175" s="310"/>
      <c r="H175" s="1158"/>
      <c r="I175" s="1579"/>
      <c r="J175" s="310"/>
      <c r="K175" s="310"/>
      <c r="L175" s="1158"/>
      <c r="M175" s="1579"/>
      <c r="N175" s="310"/>
      <c r="O175" s="310"/>
      <c r="P175" s="1158"/>
      <c r="Q175" s="1579"/>
      <c r="R175" s="310"/>
      <c r="S175" s="310"/>
      <c r="T175" s="1158"/>
      <c r="U175" s="1579"/>
      <c r="V175" s="310"/>
      <c r="W175" s="310"/>
      <c r="X175" s="1158"/>
      <c r="Y175" s="1579"/>
      <c r="Z175" s="310"/>
      <c r="AB175" s="1158"/>
      <c r="AC175" s="1579"/>
      <c r="AD175" s="310"/>
      <c r="AE175" s="310"/>
      <c r="AF175" s="1158"/>
      <c r="AG175" s="1579"/>
      <c r="AH175" s="310"/>
      <c r="AI175" s="310"/>
      <c r="AJ175" s="1158"/>
      <c r="AK175" s="1579"/>
      <c r="AL175" s="310"/>
      <c r="AN175" s="1171">
        <f>AN134/AN197</f>
        <v>2.056939144406507</v>
      </c>
      <c r="AO175" s="1517" t="e">
        <f t="shared" si="427"/>
        <v>#DIV/0!</v>
      </c>
      <c r="AP175" s="1672"/>
      <c r="AR175" s="1171">
        <f>AR134/AR197</f>
        <v>2.4926295867942403</v>
      </c>
      <c r="AS175" s="1517">
        <f t="shared" si="428"/>
        <v>21.181494045291458</v>
      </c>
      <c r="AV175" s="1171">
        <f>AV134/AV197</f>
        <v>3.7515374749235364</v>
      </c>
      <c r="AW175" s="1517">
        <f t="shared" si="429"/>
        <v>50.505213241425565</v>
      </c>
      <c r="AZ175" s="1171">
        <f>(AZ134+(AZ64*(1-BA124/100)))/AZ197</f>
        <v>4.8282689237862888</v>
      </c>
      <c r="BA175" s="1517">
        <f t="shared" si="430"/>
        <v>28.701071388996269</v>
      </c>
      <c r="BB175" s="1657"/>
      <c r="BD175" s="1171">
        <f>(BD134+(BD64*(1-BE124/100)))/BD197</f>
        <v>5.4080921665084025</v>
      </c>
      <c r="BE175" s="1517">
        <f t="shared" si="431"/>
        <v>12.008926012087606</v>
      </c>
      <c r="BF175" s="1657"/>
      <c r="BH175" s="1171">
        <f>(BH134+(BH64*(1-BI124/100)))/BH197</f>
        <v>3.7409963018862777</v>
      </c>
      <c r="BI175" s="1517">
        <f t="shared" si="432"/>
        <v>-30.825951431564501</v>
      </c>
      <c r="BJ175" s="1658"/>
      <c r="BL175" s="1171">
        <f>(BL134+(BL64*(1-BM124/100)))/BL197</f>
        <v>1.4283869988300659</v>
      </c>
      <c r="BM175" s="1517">
        <f t="shared" si="433"/>
        <v>-61.818005590921118</v>
      </c>
      <c r="BN175" s="1658"/>
      <c r="BP175" s="1171">
        <f>(BP134+(BP64*(1-BQ124/100)))/BP197</f>
        <v>2.351092780076748</v>
      </c>
      <c r="BQ175" s="1517">
        <f t="shared" si="434"/>
        <v>64.597744308960614</v>
      </c>
      <c r="BR175" s="1658"/>
      <c r="BS175" s="114"/>
      <c r="BT175" s="1171">
        <f>(BT134+(BT64*(1-BU124/100)))/BT197</f>
        <v>2.7896969551842856</v>
      </c>
      <c r="BU175" s="1517">
        <f t="shared" si="435"/>
        <v>18.655332483017538</v>
      </c>
      <c r="BV175" s="1658"/>
      <c r="BW175" s="114"/>
      <c r="BX175" s="1171"/>
      <c r="BY175" s="1517"/>
      <c r="BZ175" s="1658"/>
      <c r="CA175" s="1658"/>
      <c r="CB175" s="1171">
        <f>(CB134+(CB64*(1-CC124/100)))/CB197</f>
        <v>2.2930047202881134</v>
      </c>
      <c r="CC175" s="1517" t="e">
        <f t="shared" si="436"/>
        <v>#DIV/0!</v>
      </c>
      <c r="CD175" s="1692"/>
      <c r="CE175" s="1692"/>
      <c r="CF175" s="1171">
        <f>(CF134+(CF64*(1-CG124/100)))/CF197</f>
        <v>1.9115561971581148</v>
      </c>
      <c r="CG175" s="1517">
        <f t="shared" si="437"/>
        <v>-16.635313471228706</v>
      </c>
      <c r="CH175" s="1692"/>
      <c r="CI175" s="1692"/>
      <c r="CJ175" s="1171">
        <f>(CJ134+(CJ64*(1-CK124/100)))/CJ197</f>
        <v>1.5465109607329397</v>
      </c>
      <c r="CK175" s="1517">
        <f t="shared" si="438"/>
        <v>-19.09675671413077</v>
      </c>
      <c r="CL175" s="1692"/>
      <c r="CM175" s="1692"/>
      <c r="CN175" s="1171">
        <f>(CN134+(CN64*(1-CO124/100)))/CN197</f>
        <v>-4.7078117281906348E-2</v>
      </c>
      <c r="CO175" s="1517">
        <f t="shared" si="439"/>
        <v>-103.0441502502895</v>
      </c>
      <c r="CP175" s="1692"/>
      <c r="CQ175" s="1692"/>
      <c r="CR175" s="1171">
        <f>(CR134+(CR64*(1-CS124/100)))/CR197</f>
        <v>1.0043195149770818</v>
      </c>
      <c r="CS175" s="1517" t="str">
        <f t="shared" si="440"/>
        <v xml:space="preserve">       NM</v>
      </c>
      <c r="CT175" s="1692"/>
      <c r="CU175" s="1692"/>
      <c r="CV175" s="1171">
        <f>(CV134+(CV64*(1-CW124/100)))/CV197</f>
        <v>0.54444318821920978</v>
      </c>
      <c r="CW175" s="1517">
        <f t="shared" si="441"/>
        <v>-45.789842764169151</v>
      </c>
      <c r="CX175" s="1692"/>
      <c r="CY175" s="97"/>
      <c r="CZ175" s="97"/>
      <c r="DA175" s="97"/>
      <c r="DB175" s="97"/>
      <c r="DC175" s="97"/>
      <c r="DD175" s="97"/>
      <c r="DE175" s="97"/>
      <c r="DF175" s="97"/>
      <c r="DG175" s="97"/>
      <c r="DH175" s="97"/>
      <c r="DI175" s="97"/>
      <c r="DJ175" s="97"/>
      <c r="DK175" s="97"/>
      <c r="DL175" s="97"/>
      <c r="DM175" s="97"/>
      <c r="DN175" s="97"/>
      <c r="DO175" s="97"/>
      <c r="DP175" s="97"/>
      <c r="DQ175" s="97"/>
      <c r="DR175" s="97"/>
      <c r="DS175" s="97"/>
      <c r="DT175" s="97"/>
      <c r="DU175" s="97"/>
      <c r="DV175" s="97"/>
      <c r="DW175" s="97"/>
      <c r="DX175" s="97"/>
      <c r="DY175" s="97"/>
      <c r="DZ175" s="97"/>
      <c r="EA175" s="97"/>
      <c r="EB175" s="97"/>
      <c r="EC175" s="97"/>
      <c r="ED175" s="97"/>
      <c r="EE175" s="97"/>
    </row>
    <row r="176" spans="1:135" ht="12" hidden="1" customHeight="1" outlineLevel="1">
      <c r="A176" s="114" t="str">
        <f>$A$15</f>
        <v>6 Mos</v>
      </c>
      <c r="D176" s="1688"/>
      <c r="E176" s="1579"/>
      <c r="F176" s="310"/>
      <c r="G176" s="310"/>
      <c r="H176" s="1688"/>
      <c r="I176" s="1579"/>
      <c r="J176" s="310"/>
      <c r="K176" s="310"/>
      <c r="L176" s="1688"/>
      <c r="M176" s="1579"/>
      <c r="N176" s="310"/>
      <c r="O176" s="310"/>
      <c r="P176" s="1688"/>
      <c r="Q176" s="1579"/>
      <c r="R176" s="310"/>
      <c r="S176" s="310"/>
      <c r="T176" s="1688"/>
      <c r="U176" s="1579"/>
      <c r="V176" s="310"/>
      <c r="W176" s="310"/>
      <c r="X176" s="1688"/>
      <c r="Y176" s="1579"/>
      <c r="Z176" s="310"/>
      <c r="AB176" s="1688"/>
      <c r="AC176" s="1579"/>
      <c r="AD176" s="310"/>
      <c r="AE176" s="310"/>
      <c r="AF176" s="1688"/>
      <c r="AG176" s="1579"/>
      <c r="AH176" s="310"/>
      <c r="AI176" s="310"/>
      <c r="AJ176" s="1688"/>
      <c r="AK176" s="1579"/>
      <c r="AL176" s="310"/>
      <c r="AN176" s="1656">
        <f>SUM(AN171:AN172)</f>
        <v>0.60311476224040672</v>
      </c>
      <c r="AO176" s="1517" t="e">
        <f t="shared" si="427"/>
        <v>#DIV/0!</v>
      </c>
      <c r="AR176" s="1656">
        <f>SUM(AR171:AR172)</f>
        <v>0.74208708024256709</v>
      </c>
      <c r="AS176" s="1517">
        <f t="shared" si="428"/>
        <v>23.042433497385506</v>
      </c>
      <c r="AV176" s="1656">
        <f>SUM(AV171:AV172)</f>
        <v>1.0767585485757456</v>
      </c>
      <c r="AW176" s="1517">
        <f t="shared" si="429"/>
        <v>45.098678745866863</v>
      </c>
      <c r="AZ176" s="1688">
        <f>SUM(AZ171:AZ172)</f>
        <v>1.388370185847267</v>
      </c>
      <c r="BA176" s="1517">
        <f t="shared" si="430"/>
        <v>28.939787632398883</v>
      </c>
      <c r="BD176" s="1688">
        <f>SUM(BD171:BD172)</f>
        <v>1.6225870763360728</v>
      </c>
      <c r="BE176" s="1517">
        <f t="shared" si="431"/>
        <v>16.869916458618881</v>
      </c>
      <c r="BH176" s="1688">
        <f>SUM(BH171:BH172)</f>
        <v>1.8114291376285969</v>
      </c>
      <c r="BI176" s="1517">
        <f t="shared" si="432"/>
        <v>11.638331405852442</v>
      </c>
      <c r="BL176" s="1688">
        <f>SUM(BL171:BL172)</f>
        <v>-0.38057123132903814</v>
      </c>
      <c r="BM176" s="1517">
        <f t="shared" si="433"/>
        <v>-121.00944626667851</v>
      </c>
      <c r="BP176" s="1688">
        <f>SUM(BP171:BP172)</f>
        <v>0.25860971771477576</v>
      </c>
      <c r="BQ176" s="1517" t="str">
        <f t="shared" si="434"/>
        <v xml:space="preserve">       NM</v>
      </c>
      <c r="BS176" s="114"/>
      <c r="BT176" s="1688">
        <f>SUM(BT171:BT172)</f>
        <v>0.59801669664606338</v>
      </c>
      <c r="BU176" s="1517">
        <f t="shared" si="435"/>
        <v>131.24293314670575</v>
      </c>
      <c r="BV176" s="114"/>
      <c r="BW176" s="114"/>
      <c r="BX176" s="1688"/>
      <c r="BY176" s="1517"/>
      <c r="BZ176" s="114"/>
      <c r="CA176" s="114"/>
      <c r="CB176" s="1688">
        <f>SUM(CB171:CB172)</f>
        <v>0.22534925867536792</v>
      </c>
      <c r="CC176" s="1517" t="e">
        <f t="shared" si="436"/>
        <v>#DIV/0!</v>
      </c>
      <c r="CD176" s="247"/>
      <c r="CE176" s="247"/>
      <c r="CF176" s="1688">
        <f>SUM(CF171:CF172)</f>
        <v>0.21319270412460539</v>
      </c>
      <c r="CG176" s="1517">
        <f t="shared" si="437"/>
        <v>-5.3945394017359209</v>
      </c>
      <c r="CH176" s="247"/>
      <c r="CI176" s="247"/>
      <c r="CJ176" s="1688">
        <f>SUM(CJ171:CJ172)</f>
        <v>-0.19199950148773787</v>
      </c>
      <c r="CK176" s="1517">
        <f t="shared" si="438"/>
        <v>-190.05913325041334</v>
      </c>
      <c r="CL176" s="247"/>
      <c r="CM176" s="247"/>
      <c r="CN176" s="1688">
        <f>SUM(CN171:CN172)</f>
        <v>-0.62415242650854963</v>
      </c>
      <c r="CO176" s="1517" t="str">
        <f t="shared" si="439"/>
        <v xml:space="preserve">       NM</v>
      </c>
      <c r="CP176" s="247"/>
      <c r="CQ176" s="247"/>
      <c r="CR176" s="1688">
        <f>SUM(CR171:CR172)</f>
        <v>-0.86917153444946338</v>
      </c>
      <c r="CS176" s="1517" t="str">
        <f t="shared" si="440"/>
        <v xml:space="preserve">       NM</v>
      </c>
      <c r="CT176" s="247"/>
      <c r="CU176" s="247"/>
      <c r="CV176" s="1688">
        <f>SUM(CV171:CV172)</f>
        <v>-0.62593133236164844</v>
      </c>
      <c r="CW176" s="1517" t="str">
        <f t="shared" si="441"/>
        <v xml:space="preserve">       NM</v>
      </c>
      <c r="CX176" s="247"/>
      <c r="CY176" s="97"/>
      <c r="CZ176" s="97"/>
      <c r="DA176" s="97"/>
      <c r="DB176" s="97"/>
      <c r="DC176" s="97"/>
      <c r="DD176" s="97"/>
      <c r="DE176" s="97"/>
      <c r="DF176" s="97"/>
      <c r="DG176" s="97"/>
      <c r="DH176" s="97"/>
      <c r="DI176" s="97"/>
      <c r="DJ176" s="97"/>
      <c r="DK176" s="97"/>
      <c r="DL176" s="97"/>
      <c r="DM176" s="97"/>
      <c r="DN176" s="97"/>
      <c r="DO176" s="97"/>
      <c r="DP176" s="97"/>
      <c r="DQ176" s="97"/>
      <c r="DR176" s="97"/>
      <c r="DS176" s="97"/>
      <c r="DT176" s="97"/>
      <c r="DU176" s="97"/>
      <c r="DV176" s="97"/>
      <c r="DW176" s="97"/>
      <c r="DX176" s="97"/>
      <c r="DY176" s="97"/>
      <c r="DZ176" s="97"/>
      <c r="EA176" s="97"/>
      <c r="EB176" s="97"/>
      <c r="EC176" s="97"/>
      <c r="ED176" s="97"/>
      <c r="EE176" s="97"/>
    </row>
    <row r="177" spans="1:135" ht="12" hidden="1" customHeight="1" outlineLevel="1">
      <c r="A177" s="114" t="str">
        <f>$A$16</f>
        <v>9 Mos</v>
      </c>
      <c r="D177" s="1688"/>
      <c r="E177" s="1579"/>
      <c r="F177" s="310"/>
      <c r="G177" s="310"/>
      <c r="H177" s="1688"/>
      <c r="I177" s="1579"/>
      <c r="J177" s="310"/>
      <c r="K177" s="310"/>
      <c r="L177" s="1688"/>
      <c r="M177" s="1579"/>
      <c r="N177" s="310"/>
      <c r="O177" s="310"/>
      <c r="P177" s="1688"/>
      <c r="Q177" s="1579"/>
      <c r="R177" s="310"/>
      <c r="S177" s="310"/>
      <c r="T177" s="1688"/>
      <c r="U177" s="1579"/>
      <c r="V177" s="310"/>
      <c r="W177" s="310"/>
      <c r="X177" s="1688"/>
      <c r="Y177" s="1579"/>
      <c r="Z177" s="310"/>
      <c r="AB177" s="1688"/>
      <c r="AC177" s="1579"/>
      <c r="AD177" s="310"/>
      <c r="AE177" s="310"/>
      <c r="AF177" s="1688"/>
      <c r="AG177" s="1579"/>
      <c r="AH177" s="310"/>
      <c r="AI177" s="310"/>
      <c r="AJ177" s="1688"/>
      <c r="AK177" s="1579"/>
      <c r="AL177" s="310"/>
      <c r="AN177" s="1656">
        <f>SUM(AN171:AN173)</f>
        <v>1.1069794672917674</v>
      </c>
      <c r="AO177" s="1517" t="e">
        <f t="shared" si="427"/>
        <v>#DIV/0!</v>
      </c>
      <c r="AR177" s="1656">
        <f>SUM(AR171:AR173)</f>
        <v>1.3777490030330997</v>
      </c>
      <c r="AS177" s="1517">
        <f t="shared" si="428"/>
        <v>24.460213015854016</v>
      </c>
      <c r="AV177" s="1656">
        <f>SUM(AV171:AV173)</f>
        <v>1.9593228325528398</v>
      </c>
      <c r="AW177" s="1517">
        <f t="shared" si="429"/>
        <v>42.211885346272183</v>
      </c>
      <c r="AZ177" s="1656">
        <f>SUM(AZ171:AZ173)</f>
        <v>2.504538839538347</v>
      </c>
      <c r="BA177" s="1517">
        <f t="shared" si="430"/>
        <v>27.826757179935214</v>
      </c>
      <c r="BD177" s="1656">
        <f>SUM(BD171:BD173)</f>
        <v>2.9716060192858471</v>
      </c>
      <c r="BE177" s="1517">
        <f t="shared" si="431"/>
        <v>18.648829571898084</v>
      </c>
      <c r="BH177" s="1656">
        <f>SUM(BH171:BH173)</f>
        <v>2.6766153763324834</v>
      </c>
      <c r="BI177" s="1517">
        <f t="shared" si="432"/>
        <v>-9.9269768952836337</v>
      </c>
      <c r="BL177" s="1656">
        <f>SUM(BL171:BL173)</f>
        <v>0.3064997133178794</v>
      </c>
      <c r="BM177" s="1517">
        <f t="shared" si="433"/>
        <v>-88.548981821293751</v>
      </c>
      <c r="BP177" s="1656">
        <f>SUM(BP171:BP173)</f>
        <v>0.89434613777332483</v>
      </c>
      <c r="BQ177" s="1517">
        <f t="shared" si="434"/>
        <v>191.7934663272502</v>
      </c>
      <c r="BS177" s="114"/>
      <c r="BT177" s="1656">
        <f>SUM(BT171:BT173)</f>
        <v>1.311001419078166</v>
      </c>
      <c r="BU177" s="1517">
        <f t="shared" si="435"/>
        <v>46.587698398541512</v>
      </c>
      <c r="BV177" s="114"/>
      <c r="BW177" s="114"/>
      <c r="BX177" s="1656"/>
      <c r="BY177" s="1517"/>
      <c r="BZ177" s="114"/>
      <c r="CA177" s="114"/>
      <c r="CB177" s="1656">
        <f>SUM(CB171:CB173)</f>
        <v>0.84830591929851951</v>
      </c>
      <c r="CC177" s="1517" t="e">
        <f t="shared" si="436"/>
        <v>#DIV/0!</v>
      </c>
      <c r="CD177" s="247"/>
      <c r="CE177" s="247"/>
      <c r="CF177" s="1656">
        <f>SUM(CF171:CF173)</f>
        <v>0.73309028645661045</v>
      </c>
      <c r="CG177" s="1517">
        <f t="shared" si="437"/>
        <v>-13.581849450865924</v>
      </c>
      <c r="CH177" s="247"/>
      <c r="CI177" s="247"/>
      <c r="CJ177" s="1656">
        <f>SUM(CJ171:CJ173)</f>
        <v>0.3992171110969997</v>
      </c>
      <c r="CK177" s="1517">
        <f t="shared" si="438"/>
        <v>-45.543254566007917</v>
      </c>
      <c r="CL177" s="247"/>
      <c r="CM177" s="247"/>
      <c r="CN177" s="1656">
        <f>SUM(CN171:CN173)</f>
        <v>-0.57099745392832868</v>
      </c>
      <c r="CO177" s="1517">
        <f t="shared" si="439"/>
        <v>-243.02930361859936</v>
      </c>
      <c r="CP177" s="247"/>
      <c r="CQ177" s="247"/>
      <c r="CR177" s="1656">
        <f>SUM(CR171:CR173)</f>
        <v>-0.46455662315699758</v>
      </c>
      <c r="CS177" s="1517" t="str">
        <f t="shared" si="440"/>
        <v xml:space="preserve">       NM</v>
      </c>
      <c r="CT177" s="247"/>
      <c r="CU177" s="247"/>
      <c r="CV177" s="1656">
        <f>SUM(CV171:CV173)</f>
        <v>-0.20472121525481168</v>
      </c>
      <c r="CW177" s="1517" t="str">
        <f t="shared" si="441"/>
        <v xml:space="preserve">       NM</v>
      </c>
      <c r="CX177" s="247"/>
      <c r="CY177" s="97"/>
      <c r="CZ177" s="97"/>
      <c r="DA177" s="97"/>
      <c r="DB177" s="97"/>
      <c r="DC177" s="97"/>
      <c r="DD177" s="97"/>
      <c r="DE177" s="97"/>
      <c r="DF177" s="97"/>
      <c r="DG177" s="97"/>
      <c r="DH177" s="97"/>
      <c r="DI177" s="97"/>
      <c r="DJ177" s="97"/>
      <c r="DK177" s="97"/>
      <c r="DL177" s="97"/>
      <c r="DM177" s="97"/>
      <c r="DN177" s="97"/>
      <c r="DO177" s="97"/>
      <c r="DP177" s="97"/>
      <c r="DQ177" s="97"/>
      <c r="DR177" s="97"/>
      <c r="DS177" s="97"/>
      <c r="DT177" s="97"/>
      <c r="DU177" s="97"/>
      <c r="DV177" s="97"/>
      <c r="DW177" s="97"/>
      <c r="DX177" s="97"/>
      <c r="DY177" s="97"/>
      <c r="DZ177" s="97"/>
      <c r="EA177" s="97"/>
      <c r="EB177" s="97"/>
      <c r="EC177" s="97"/>
      <c r="ED177" s="97"/>
      <c r="EE177" s="97"/>
    </row>
    <row r="178" spans="1:135" ht="12" hidden="1" customHeight="1" outlineLevel="1">
      <c r="AB178" s="310"/>
      <c r="AC178" s="310"/>
      <c r="AD178" s="310"/>
      <c r="AE178" s="310"/>
      <c r="AF178" s="310"/>
      <c r="AG178" s="310"/>
      <c r="AH178" s="310"/>
      <c r="AI178" s="310"/>
      <c r="AJ178" s="310"/>
      <c r="AK178" s="310"/>
      <c r="AL178" s="310"/>
      <c r="AR178" s="1656"/>
      <c r="AV178" s="1171"/>
      <c r="AZ178" s="1171"/>
      <c r="BD178" s="1171"/>
      <c r="BH178" s="1171"/>
      <c r="BL178" s="1171"/>
      <c r="BP178" s="1171"/>
      <c r="BS178" s="114"/>
      <c r="BT178" s="1171"/>
      <c r="BU178" s="114"/>
      <c r="BV178" s="114"/>
      <c r="BW178" s="114"/>
      <c r="BX178" s="1171"/>
      <c r="BY178" s="114"/>
      <c r="BZ178" s="114"/>
      <c r="CA178" s="114"/>
      <c r="CB178" s="247"/>
      <c r="CC178" s="247"/>
      <c r="CD178" s="247"/>
      <c r="CE178" s="247"/>
      <c r="CF178" s="247"/>
      <c r="CG178" s="247"/>
      <c r="CH178" s="247"/>
      <c r="CI178" s="247"/>
      <c r="CJ178" s="247"/>
      <c r="CK178" s="247"/>
      <c r="CL178" s="247"/>
      <c r="CM178" s="247"/>
      <c r="CN178" s="247"/>
      <c r="CO178" s="247"/>
      <c r="CP178" s="247"/>
      <c r="CQ178" s="247"/>
      <c r="CR178" s="247"/>
      <c r="CS178" s="247"/>
      <c r="CT178" s="247"/>
      <c r="CU178" s="247"/>
      <c r="CV178" s="247"/>
      <c r="CW178" s="247"/>
      <c r="CX178" s="247"/>
      <c r="CY178" s="97"/>
      <c r="CZ178" s="97"/>
      <c r="DA178" s="97"/>
      <c r="DB178" s="97"/>
      <c r="DC178" s="97"/>
      <c r="DD178" s="97"/>
      <c r="DE178" s="97"/>
      <c r="DF178" s="97"/>
      <c r="DG178" s="97"/>
      <c r="DH178" s="97"/>
      <c r="DI178" s="97"/>
      <c r="DJ178" s="97"/>
      <c r="DK178" s="97"/>
      <c r="DL178" s="97"/>
      <c r="DM178" s="97"/>
      <c r="DN178" s="97"/>
      <c r="DO178" s="97"/>
      <c r="DP178" s="97"/>
      <c r="DQ178" s="97"/>
      <c r="DR178" s="97"/>
      <c r="DS178" s="97"/>
      <c r="DT178" s="97"/>
      <c r="DU178" s="97"/>
      <c r="DV178" s="97"/>
      <c r="DW178" s="97"/>
      <c r="DX178" s="97"/>
      <c r="DY178" s="97"/>
      <c r="DZ178" s="97"/>
      <c r="EA178" s="97"/>
      <c r="EB178" s="97"/>
      <c r="EC178" s="97"/>
      <c r="ED178" s="97"/>
      <c r="EE178" s="97"/>
    </row>
    <row r="179" spans="1:135" ht="12" customHeight="1" collapsed="1">
      <c r="AB179" s="310"/>
      <c r="AC179" s="310"/>
      <c r="AD179" s="310"/>
      <c r="AE179" s="310"/>
      <c r="AF179" s="310"/>
      <c r="AG179" s="310"/>
      <c r="AH179" s="310"/>
      <c r="AI179" s="310"/>
      <c r="AJ179" s="310"/>
      <c r="AK179" s="310"/>
      <c r="AL179" s="310"/>
      <c r="AR179" s="1656"/>
      <c r="AV179" s="1171"/>
      <c r="AZ179" s="1171"/>
      <c r="BD179" s="1171"/>
      <c r="BH179" s="1171"/>
      <c r="BL179" s="1171"/>
      <c r="BP179" s="1171"/>
      <c r="BS179" s="114"/>
      <c r="BT179" s="1171"/>
      <c r="BU179" s="114"/>
      <c r="BV179" s="114"/>
      <c r="BW179" s="114"/>
      <c r="BX179" s="1171"/>
      <c r="BY179" s="114"/>
      <c r="BZ179" s="114"/>
      <c r="CA179" s="114"/>
      <c r="CB179" s="247"/>
      <c r="CC179" s="247"/>
      <c r="CD179" s="247"/>
      <c r="CE179" s="247"/>
      <c r="CF179" s="247"/>
      <c r="CG179" s="247"/>
      <c r="CH179" s="247"/>
      <c r="CI179" s="247"/>
      <c r="CJ179" s="247"/>
      <c r="CK179" s="247"/>
      <c r="CL179" s="247"/>
      <c r="CM179" s="247"/>
      <c r="CN179"/>
      <c r="CO179" s="247"/>
      <c r="CP179" s="247"/>
      <c r="CQ179" s="247"/>
      <c r="CR179"/>
      <c r="CS179" s="247"/>
      <c r="CT179" s="247"/>
      <c r="CU179" s="247"/>
      <c r="CV179" s="2169"/>
      <c r="CW179" s="247"/>
      <c r="CX179" s="247"/>
      <c r="CY179" s="97"/>
      <c r="CZ179" s="97"/>
      <c r="DA179" s="97"/>
      <c r="DB179" s="97"/>
      <c r="DC179" s="97"/>
      <c r="DD179" s="97"/>
      <c r="DE179" s="97"/>
      <c r="DF179" s="97"/>
      <c r="DG179" s="97"/>
      <c r="DH179" s="97"/>
      <c r="DI179" s="97"/>
      <c r="DJ179" s="97"/>
      <c r="DK179" s="97"/>
      <c r="DL179" s="97"/>
      <c r="DM179" s="97"/>
      <c r="DN179" s="97"/>
      <c r="DO179" s="97"/>
      <c r="DP179" s="97"/>
      <c r="DQ179" s="97"/>
      <c r="DR179" s="97"/>
      <c r="DS179" s="97"/>
      <c r="DT179" s="97"/>
      <c r="DU179" s="97"/>
      <c r="DV179" s="97"/>
      <c r="DW179" s="97"/>
      <c r="DX179" s="97"/>
      <c r="DY179" s="97"/>
      <c r="DZ179" s="97"/>
      <c r="EA179" s="97"/>
      <c r="EB179" s="97"/>
      <c r="EC179" s="97"/>
      <c r="ED179" s="97"/>
      <c r="EE179" s="97"/>
    </row>
    <row r="180" spans="1:135" ht="12" customHeight="1">
      <c r="AB180" s="310"/>
      <c r="AC180" s="310"/>
      <c r="AD180" s="310"/>
      <c r="AE180" s="310"/>
      <c r="AF180" s="310"/>
      <c r="AG180" s="310"/>
      <c r="AH180" s="310"/>
      <c r="AI180" s="310"/>
      <c r="AJ180" s="310"/>
      <c r="AK180" s="310"/>
      <c r="AL180" s="310"/>
      <c r="AR180" s="1656"/>
      <c r="AV180" s="1171"/>
      <c r="AZ180" s="1171"/>
      <c r="BD180" s="1171"/>
      <c r="BH180" s="1171"/>
      <c r="BL180" s="1171"/>
      <c r="BP180" s="1171"/>
      <c r="BS180" s="114"/>
      <c r="BT180" s="1171"/>
      <c r="BU180" s="114"/>
      <c r="BV180" s="114"/>
      <c r="BW180" s="114"/>
      <c r="BX180" s="1171"/>
      <c r="BY180" s="114"/>
      <c r="BZ180" s="114"/>
      <c r="CA180" s="114"/>
      <c r="CB180" s="247"/>
      <c r="CC180" s="247"/>
      <c r="CD180" s="247"/>
      <c r="CE180" s="247"/>
      <c r="CF180" s="247"/>
      <c r="CG180" s="247"/>
      <c r="CH180" s="247"/>
      <c r="CI180" s="247"/>
      <c r="CJ180" s="247"/>
      <c r="CK180" s="247"/>
      <c r="CL180" s="247"/>
      <c r="CM180" s="247"/>
      <c r="CN180"/>
      <c r="CO180" s="247"/>
      <c r="CP180" s="247"/>
      <c r="CQ180" s="247"/>
      <c r="CR180"/>
      <c r="CS180" s="247"/>
      <c r="CT180" s="247"/>
      <c r="CU180" s="247"/>
      <c r="CV180" s="2169"/>
      <c r="CW180" s="247"/>
      <c r="CX180" s="247"/>
      <c r="CY180" s="97"/>
      <c r="CZ180" s="97"/>
      <c r="DA180" s="97"/>
      <c r="DB180" s="97"/>
      <c r="DC180" s="97"/>
      <c r="DD180" s="97"/>
      <c r="DE180" s="97"/>
      <c r="DF180" s="97"/>
      <c r="DG180" s="97"/>
      <c r="DH180" s="97"/>
      <c r="DI180" s="97"/>
      <c r="DJ180" s="97"/>
      <c r="DK180" s="97"/>
      <c r="DL180" s="97"/>
      <c r="DM180" s="97"/>
      <c r="DN180" s="97"/>
      <c r="DO180" s="97"/>
      <c r="DP180" s="97"/>
      <c r="DQ180" s="97"/>
      <c r="DR180" s="97"/>
      <c r="DS180" s="97"/>
      <c r="DT180" s="97"/>
      <c r="DU180" s="97"/>
      <c r="DV180" s="97"/>
      <c r="DW180" s="97"/>
      <c r="DX180" s="97"/>
      <c r="DY180" s="97"/>
      <c r="DZ180" s="97"/>
      <c r="EA180" s="97"/>
      <c r="EB180" s="97"/>
      <c r="EC180" s="97"/>
      <c r="ED180" s="97"/>
      <c r="EE180" s="97"/>
    </row>
    <row r="181" spans="1:135">
      <c r="C181" s="313"/>
      <c r="D181" s="313"/>
      <c r="H181" s="1629"/>
      <c r="I181" s="1533"/>
      <c r="J181" s="1533"/>
      <c r="K181" s="1533"/>
      <c r="L181" s="1629"/>
      <c r="M181" s="1533"/>
      <c r="N181" s="1533"/>
      <c r="O181" s="1533"/>
      <c r="P181" s="1629"/>
      <c r="Q181" s="1533"/>
      <c r="R181" s="1533"/>
      <c r="S181" s="1533"/>
      <c r="T181" s="1629"/>
      <c r="U181" s="1533"/>
      <c r="V181" s="1533"/>
      <c r="W181" s="1533"/>
      <c r="Y181" s="1533"/>
      <c r="Z181" s="1533"/>
      <c r="AA181" s="1533"/>
      <c r="AB181" s="1629"/>
      <c r="AC181" s="1533"/>
      <c r="AD181" s="1533"/>
      <c r="AE181" s="1533"/>
      <c r="AF181" s="1629"/>
      <c r="AG181" s="1533"/>
      <c r="AH181" s="1533"/>
      <c r="AI181" s="1533"/>
      <c r="AJ181" s="1629"/>
      <c r="AK181" s="1533"/>
      <c r="AL181" s="1533"/>
      <c r="AM181" s="1533"/>
      <c r="AN181" s="1629"/>
      <c r="AO181" s="1533"/>
      <c r="AP181" s="1533"/>
      <c r="AQ181" s="1533"/>
      <c r="AS181" s="1533"/>
      <c r="AT181" s="1533"/>
      <c r="AU181" s="1533"/>
      <c r="AV181" s="1629"/>
      <c r="AW181" s="1533"/>
      <c r="AX181" s="1533"/>
      <c r="AY181" s="1533"/>
      <c r="AZ181" s="1629"/>
      <c r="BA181" s="1533"/>
      <c r="BB181" s="1533"/>
      <c r="BC181" s="1533"/>
      <c r="BD181" s="1629"/>
      <c r="BE181" s="1533"/>
      <c r="BF181" s="1533"/>
      <c r="BG181" s="1533"/>
      <c r="BH181" s="1629"/>
      <c r="BI181" s="22"/>
      <c r="BJ181" s="1533"/>
      <c r="BK181" s="1533"/>
      <c r="BL181" s="1629"/>
      <c r="BM181" s="1533"/>
      <c r="BN181" s="1533"/>
      <c r="BO181" s="1533"/>
      <c r="BP181" s="1629"/>
      <c r="BQ181" s="1533"/>
      <c r="BR181" s="1533"/>
      <c r="BS181" s="1533"/>
      <c r="BT181" s="1629"/>
      <c r="BU181" s="1533"/>
      <c r="BV181" s="1533"/>
      <c r="BX181" s="1629"/>
      <c r="BY181" s="1533"/>
      <c r="BZ181" s="1533"/>
      <c r="CA181" s="1533"/>
      <c r="CB181" s="247"/>
      <c r="CC181" s="247"/>
      <c r="CD181" s="247"/>
      <c r="CE181" s="1629" t="s">
        <v>60</v>
      </c>
      <c r="CF181" s="247"/>
      <c r="CG181" s="247"/>
      <c r="CH181" s="247"/>
      <c r="CI181" s="247"/>
      <c r="CJ181" s="247"/>
      <c r="CK181" s="247"/>
      <c r="CL181" s="247"/>
      <c r="CM181" s="247"/>
      <c r="CN181" s="247"/>
      <c r="CO181" s="247"/>
      <c r="CP181" s="247"/>
      <c r="CQ181" s="247"/>
      <c r="CR181" s="247"/>
      <c r="CS181" s="247"/>
      <c r="CT181" s="247"/>
      <c r="CU181" s="247"/>
      <c r="CV181" s="247"/>
      <c r="CW181" s="247"/>
      <c r="CX181" s="247"/>
      <c r="CY181" s="97"/>
      <c r="CZ181" s="97"/>
      <c r="DA181" s="97"/>
      <c r="DB181" s="97"/>
      <c r="DC181" s="97"/>
      <c r="DD181" s="97"/>
      <c r="DE181" s="97"/>
      <c r="DF181" s="97"/>
      <c r="DG181" s="97"/>
      <c r="DH181" s="97"/>
      <c r="DI181" s="97"/>
      <c r="DJ181" s="97"/>
      <c r="DK181" s="97"/>
      <c r="DL181" s="97"/>
      <c r="DM181" s="97"/>
      <c r="DN181" s="97"/>
      <c r="DO181" s="97"/>
      <c r="DP181" s="97"/>
      <c r="DQ181" s="97"/>
      <c r="DR181" s="97"/>
      <c r="DS181" s="97"/>
      <c r="DT181" s="97"/>
      <c r="DU181" s="97"/>
      <c r="DV181" s="97"/>
      <c r="DW181" s="97"/>
      <c r="DX181" s="97"/>
      <c r="DY181" s="97"/>
      <c r="DZ181" s="97"/>
      <c r="EA181" s="97"/>
      <c r="EB181" s="97"/>
      <c r="EC181" s="97"/>
      <c r="ED181" s="97"/>
      <c r="EE181" s="97"/>
    </row>
    <row r="182" spans="1:135">
      <c r="BB182" s="1647"/>
      <c r="BF182" s="1647"/>
      <c r="BJ182" s="1647"/>
      <c r="BN182" s="1647"/>
      <c r="BR182" s="1647"/>
      <c r="BS182" s="114"/>
      <c r="BT182" s="114"/>
      <c r="BU182" s="114"/>
      <c r="BV182" s="1647"/>
      <c r="BW182" s="114"/>
      <c r="BX182" s="114"/>
      <c r="BY182" s="114"/>
      <c r="BZ182" s="1647"/>
      <c r="CA182" s="1647"/>
      <c r="CB182" s="1683"/>
      <c r="CC182" s="1683"/>
      <c r="CD182" s="1683"/>
      <c r="CE182" s="1683"/>
      <c r="CF182" s="1683"/>
      <c r="CG182" s="1683"/>
      <c r="CH182" s="1683"/>
      <c r="CI182" s="1683"/>
      <c r="CJ182" s="1683"/>
      <c r="CK182" s="1683"/>
      <c r="CL182" s="1683"/>
      <c r="CM182" s="1683"/>
      <c r="CN182" s="1683"/>
      <c r="CO182" s="1683"/>
      <c r="CP182" s="1683"/>
      <c r="CQ182" s="1683"/>
      <c r="CR182" s="1683"/>
      <c r="CS182" s="1683"/>
      <c r="CT182" s="1683"/>
      <c r="CU182" s="1683"/>
      <c r="CV182" s="1683"/>
      <c r="CW182" s="1683"/>
      <c r="CX182" s="1683"/>
      <c r="CY182" s="97"/>
      <c r="CZ182" s="97"/>
      <c r="DA182" s="97"/>
      <c r="DB182" s="97"/>
      <c r="DC182" s="97"/>
      <c r="DD182" s="97"/>
      <c r="DE182" s="97"/>
      <c r="DF182" s="97"/>
      <c r="DG182" s="97"/>
      <c r="DH182" s="97"/>
      <c r="DI182" s="97"/>
      <c r="DJ182" s="97"/>
      <c r="DK182" s="97"/>
      <c r="DL182" s="97"/>
      <c r="DM182" s="97"/>
      <c r="DN182" s="97"/>
      <c r="DO182" s="97"/>
      <c r="DP182" s="97"/>
      <c r="DQ182" s="97"/>
      <c r="DR182" s="97"/>
      <c r="DS182" s="97"/>
      <c r="DT182" s="97"/>
      <c r="DU182" s="97"/>
      <c r="DV182" s="97"/>
      <c r="DW182" s="97"/>
      <c r="DX182" s="97"/>
      <c r="DY182" s="97"/>
      <c r="DZ182" s="97"/>
      <c r="EA182" s="97"/>
      <c r="EB182" s="97"/>
      <c r="EC182" s="97"/>
      <c r="ED182" s="97"/>
      <c r="EE182" s="97"/>
    </row>
    <row r="183" spans="1:135">
      <c r="A183" s="114" t="str">
        <f>$A$10</f>
        <v>1Q</v>
      </c>
      <c r="B183" s="114" t="str">
        <f>$B$10</f>
        <v>Apr</v>
      </c>
      <c r="D183" s="1171" t="e">
        <f>D150/D203</f>
        <v>#DIV/0!</v>
      </c>
      <c r="E183" s="1517"/>
      <c r="H183" s="1158"/>
      <c r="I183" s="1579"/>
      <c r="J183" s="310"/>
      <c r="K183" s="310"/>
      <c r="L183" s="1158"/>
      <c r="M183" s="1579"/>
      <c r="N183" s="310"/>
      <c r="O183" s="310"/>
      <c r="P183" s="1158"/>
      <c r="Q183" s="1579"/>
      <c r="R183" s="310"/>
      <c r="S183" s="310"/>
      <c r="T183" s="1158"/>
      <c r="U183" s="1579"/>
      <c r="V183" s="310"/>
      <c r="W183" s="310"/>
      <c r="X183" s="1158"/>
      <c r="Y183" s="1579"/>
      <c r="Z183" s="310"/>
      <c r="AB183" s="1171">
        <f>(AB130+AB160)/AB193</f>
        <v>0.15560497535428208</v>
      </c>
      <c r="AC183" s="1517" t="e">
        <f t="shared" ref="AC183:AC189" si="442">IF(X183&lt;0,"       NM",(AB183/X183-1)*100)</f>
        <v>#DIV/0!</v>
      </c>
      <c r="AF183" s="1171">
        <f>(AF130+AF160)/AF193</f>
        <v>0.20025270933566605</v>
      </c>
      <c r="AG183" s="1517">
        <f t="shared" ref="AG183:AG189" si="443">IF(AB183&lt;0,"       NM",(AF183/AB183-1)*100)</f>
        <v>28.692998973670235</v>
      </c>
      <c r="AJ183" s="1171">
        <f>(AJ130+AJ160)/AJ193</f>
        <v>0.22622148242436071</v>
      </c>
      <c r="AK183" s="1517">
        <f t="shared" ref="AK183:AK189" si="444">IF(AF183&lt;0,"       NM",(AJ183/AF183-1)*100)</f>
        <v>12.968000869923557</v>
      </c>
      <c r="AN183" s="1171">
        <f>(AN130+AN160)/AN193</f>
        <v>0.25827615565683348</v>
      </c>
      <c r="AO183" s="1517">
        <f t="shared" ref="AO183:AO189" si="445">IF(AJ183&lt;0,"       NM",(AN183/AJ183-1)*100)</f>
        <v>14.169597373755405</v>
      </c>
      <c r="AR183" s="1171">
        <f>(AR130+AR160)/AR193</f>
        <v>0.30261582294161365</v>
      </c>
      <c r="AS183" s="1517">
        <f t="shared" ref="AS183:AS189" si="446">IF(AN183&lt;0,"       NM",(AR183/AN183-1)*100)</f>
        <v>17.167541917300877</v>
      </c>
      <c r="AV183" s="1171">
        <f>(AV130+AV160)/AV193</f>
        <v>0.44943207126948698</v>
      </c>
      <c r="AW183" s="1517">
        <f t="shared" ref="AW183:AW189" si="447">IF(AR183&lt;0,"       NM",(AV183/AR183-1)*100)</f>
        <v>48.515720989315184</v>
      </c>
      <c r="AX183" s="1647" t="s">
        <v>45</v>
      </c>
      <c r="AZ183" s="1171">
        <f>(AZ130+AZ160)/AZ193</f>
        <v>0.61580912545030464</v>
      </c>
      <c r="BA183" s="1517">
        <f t="shared" ref="BA183:BA189" si="448">IF(AV183&lt;0,"       NM",(AZ183/AV183-1)*100)</f>
        <v>37.019399552608959</v>
      </c>
      <c r="BB183" s="1685"/>
      <c r="BD183" s="1171">
        <f>(BD130+BD160)/BD193</f>
        <v>0.65098816798855796</v>
      </c>
      <c r="BE183" s="1517">
        <f t="shared" ref="BE183:BE189" si="449">IF(AZ183&lt;0,"       NM",(BD183/AZ183-1)*100)</f>
        <v>5.7126536591235011</v>
      </c>
      <c r="BF183" s="1685"/>
      <c r="BH183" s="1171">
        <f>(BH140)/BH193</f>
        <v>0.68915440768599268</v>
      </c>
      <c r="BI183" s="1517">
        <f t="shared" ref="BI183:BI189" si="450">IF(BD183&lt;0,"       NM",(BH183/BD183-1)*100)</f>
        <v>5.8628161884050511</v>
      </c>
      <c r="BJ183" s="1685"/>
      <c r="BL183" s="1171">
        <f>(BL140)/BL193</f>
        <v>-0.67550771406091337</v>
      </c>
      <c r="BM183" s="1517">
        <f t="shared" ref="BM183:BM189" si="451">IF(BH183&lt;0,"       NM",(BL183/BH183-1)*100)</f>
        <v>-198.01979157749255</v>
      </c>
      <c r="BN183" s="1685"/>
      <c r="BP183" s="1171">
        <f>(BP130+BP160)/BP193</f>
        <v>-0.1342641466598562</v>
      </c>
      <c r="BQ183" s="1517" t="str">
        <f t="shared" ref="BQ183:BQ189" si="452">IF(BL183&lt;0,"       NM",(BP183/BL183-1)*100)</f>
        <v xml:space="preserve">       NM</v>
      </c>
      <c r="BR183" s="1685"/>
      <c r="BS183" s="114"/>
      <c r="BT183" s="1171">
        <f>(BT130+BT160)/BT193</f>
        <v>0.14151767450603209</v>
      </c>
      <c r="BU183" s="1517" t="str">
        <f t="shared" ref="BU183:BU189" si="453">IF(BP183&lt;0,"       NM",(BT183/BP183-1)*100)</f>
        <v xml:space="preserve">       NM</v>
      </c>
      <c r="BV183" s="1685"/>
      <c r="BW183" s="114"/>
      <c r="BX183" s="1171">
        <f>(BX130+BX160)/BX193</f>
        <v>-0.24720365729137656</v>
      </c>
      <c r="BY183" s="1517">
        <f t="shared" ref="BY183:BY189" si="454">IF(BT183&lt;0,"       NM",(BX183/BT183-1)*100)</f>
        <v>-274.68041229072043</v>
      </c>
      <c r="BZ183" s="1685"/>
      <c r="CA183" s="1685"/>
      <c r="CB183" s="1171">
        <f>(CB130+CB160)/CB193</f>
        <v>-8.1520351361013862E-2</v>
      </c>
      <c r="CC183" s="1517" t="str">
        <f t="shared" ref="CC183:CC189" si="455">IF(BX183&lt;0,"       NM",(CB183/BX183-1)*100)</f>
        <v xml:space="preserve">       NM</v>
      </c>
      <c r="CD183" s="1683"/>
      <c r="CE183" s="1683"/>
      <c r="CF183" s="1171">
        <f>(CF130+CF160)/CF193</f>
        <v>-0.17405313964260366</v>
      </c>
      <c r="CG183" s="1517" t="str">
        <f t="shared" ref="CG183:CG189" si="456">IF(CB183&lt;0,"       NM",(CF183/CB183-1)*100)</f>
        <v xml:space="preserve">       NM</v>
      </c>
      <c r="CH183" s="1683"/>
      <c r="CI183" s="1683"/>
      <c r="CJ183" s="1171">
        <f>(CJ130)/CJ193</f>
        <v>-0.53488131204143219</v>
      </c>
      <c r="CK183" s="1517" t="str">
        <f t="shared" ref="CK183:CK189" si="457">IF(CF183&lt;0,"       NM",(CJ183/CF183-1)*100)</f>
        <v xml:space="preserve">       NM</v>
      </c>
      <c r="CL183" s="1683"/>
      <c r="CM183" s="1683"/>
      <c r="CN183" s="1171">
        <f>(CN130)/CN193</f>
        <v>-0.58539001848428918</v>
      </c>
      <c r="CO183" s="1517" t="str">
        <f t="shared" ref="CO183:CO189" si="458">IF(CJ183&lt;0,"       NM",(CN183/CJ183-1)*100)</f>
        <v xml:space="preserve">       NM</v>
      </c>
      <c r="CP183" s="1683"/>
      <c r="CQ183" s="1683"/>
      <c r="CR183" s="1171">
        <f>(CR130)/CR193</f>
        <v>-0.90637991567875587</v>
      </c>
      <c r="CS183" s="1517" t="str">
        <f t="shared" ref="CS183:CS189" si="459">IF(CN183&lt;0,"       NM",(CR183/CN183-1)*100)</f>
        <v xml:space="preserve">       NM</v>
      </c>
      <c r="CT183" s="1683"/>
      <c r="CU183" s="1683"/>
      <c r="CV183" s="1171">
        <f>(CV130)/CV193</f>
        <v>-0.82461930414837814</v>
      </c>
      <c r="CW183" s="1517" t="str">
        <f t="shared" ref="CW183:CW189" si="460">IF(CR183&lt;0,"       NM",(CV183/CR183-1)*100)</f>
        <v xml:space="preserve">       NM</v>
      </c>
      <c r="CX183" s="1683"/>
      <c r="CY183" s="1693"/>
      <c r="CZ183" s="97"/>
      <c r="DA183" s="97"/>
      <c r="DB183" s="97"/>
      <c r="DC183" s="97"/>
      <c r="DD183" s="97"/>
      <c r="DE183" s="97"/>
      <c r="DF183" s="97"/>
      <c r="DG183" s="97"/>
      <c r="DH183" s="97"/>
      <c r="DI183" s="97"/>
      <c r="DJ183" s="97"/>
      <c r="DK183" s="97"/>
      <c r="DL183" s="97"/>
      <c r="DM183" s="97"/>
      <c r="DN183" s="97"/>
      <c r="DO183" s="97"/>
      <c r="DP183" s="97"/>
      <c r="DQ183" s="97"/>
      <c r="DR183" s="97"/>
      <c r="DS183" s="97"/>
      <c r="DT183" s="97"/>
      <c r="DU183" s="97"/>
      <c r="DV183" s="97"/>
      <c r="DW183" s="97"/>
      <c r="DX183" s="97"/>
      <c r="DY183" s="97"/>
      <c r="DZ183" s="97"/>
      <c r="EA183" s="97"/>
      <c r="EB183" s="97"/>
      <c r="EC183" s="97"/>
      <c r="ED183" s="97"/>
      <c r="EE183" s="97"/>
    </row>
    <row r="184" spans="1:135">
      <c r="A184" s="114" t="str">
        <f>$A$11</f>
        <v>2Q</v>
      </c>
      <c r="B184" s="114" t="str">
        <f>$B$11</f>
        <v>Jul</v>
      </c>
      <c r="D184" s="1656" t="e">
        <f>D151/D204</f>
        <v>#DIV/0!</v>
      </c>
      <c r="E184" s="1517"/>
      <c r="H184" s="1688"/>
      <c r="I184" s="1579"/>
      <c r="J184" s="310"/>
      <c r="K184" s="310"/>
      <c r="L184" s="1688"/>
      <c r="M184" s="1579"/>
      <c r="N184" s="310"/>
      <c r="O184" s="310"/>
      <c r="P184" s="1688"/>
      <c r="Q184" s="1579"/>
      <c r="R184" s="310"/>
      <c r="S184" s="310"/>
      <c r="T184" s="1688"/>
      <c r="U184" s="1579"/>
      <c r="V184" s="310"/>
      <c r="W184" s="310"/>
      <c r="X184" s="1688"/>
      <c r="Y184" s="1579"/>
      <c r="Z184" s="310"/>
      <c r="AB184" s="1656">
        <f>(AB131+AB161)/AB194</f>
        <v>0.20808424447416043</v>
      </c>
      <c r="AC184" s="1517" t="e">
        <f t="shared" si="442"/>
        <v>#DIV/0!</v>
      </c>
      <c r="AF184" s="1656">
        <f>(AF131+AF161)/AF194</f>
        <v>0.24070371082484132</v>
      </c>
      <c r="AG184" s="1517">
        <f t="shared" si="443"/>
        <v>15.676086593250705</v>
      </c>
      <c r="AJ184" s="1656">
        <f>(AJ131+AJ161)/AJ194</f>
        <v>0.30385847336519944</v>
      </c>
      <c r="AK184" s="1517">
        <f t="shared" si="444"/>
        <v>26.237552517964915</v>
      </c>
      <c r="AN184" s="1656">
        <f>(AN131+AN161)/AN194</f>
        <v>0.34483860658357324</v>
      </c>
      <c r="AO184" s="1517">
        <f t="shared" si="445"/>
        <v>13.486585634596038</v>
      </c>
      <c r="AR184" s="1656">
        <f>(AR131+AR161)/AR194</f>
        <v>0.43947125730095343</v>
      </c>
      <c r="AS184" s="1517">
        <f t="shared" si="446"/>
        <v>27.442591667718474</v>
      </c>
      <c r="AV184" s="1656">
        <f>(AV131+AV161)/AV194</f>
        <v>0.62732647730625868</v>
      </c>
      <c r="AW184" s="1517">
        <f t="shared" si="447"/>
        <v>42.74573521805101</v>
      </c>
      <c r="AX184" s="1685">
        <v>0.61</v>
      </c>
      <c r="AZ184" s="1656">
        <f>(AZ131+AZ161)/AZ194</f>
        <v>0.72080984448002783</v>
      </c>
      <c r="BA184" s="1517">
        <f t="shared" si="448"/>
        <v>14.901868573312417</v>
      </c>
      <c r="BB184" s="1685"/>
      <c r="BD184" s="1656">
        <f>(BD131+BD161)/BD194</f>
        <v>0.88060979045225052</v>
      </c>
      <c r="BE184" s="1517">
        <f t="shared" si="449"/>
        <v>22.169501040527262</v>
      </c>
      <c r="BF184" s="1685"/>
      <c r="BH184" s="1656">
        <f>(BH141)/BH194</f>
        <v>0.86516679079177028</v>
      </c>
      <c r="BI184" s="1517">
        <f t="shared" si="450"/>
        <v>-1.7536711297008512</v>
      </c>
      <c r="BJ184" s="1685"/>
      <c r="BL184" s="1656">
        <f>(BL141)/BL194</f>
        <v>-0.30437652199640414</v>
      </c>
      <c r="BM184" s="1517">
        <f t="shared" si="451"/>
        <v>-135.18125351504182</v>
      </c>
      <c r="BN184" s="1685"/>
      <c r="BP184" s="1656">
        <f>(BP131+BP161)/BP194</f>
        <v>0.23792003221981023</v>
      </c>
      <c r="BQ184" s="1517" t="str">
        <f t="shared" si="452"/>
        <v xml:space="preserve">       NM</v>
      </c>
      <c r="BR184" s="1685"/>
      <c r="BS184" s="114"/>
      <c r="BT184" s="1656">
        <f>(BT131+BT161)/BT194</f>
        <v>0.30901021548814178</v>
      </c>
      <c r="BU184" s="1517">
        <f t="shared" si="453"/>
        <v>29.879864509539299</v>
      </c>
      <c r="BV184" s="1685"/>
      <c r="BW184" s="114"/>
      <c r="BX184" s="1656">
        <f>(BX131+BX161)/BX194</f>
        <v>0.20434798240673163</v>
      </c>
      <c r="BY184" s="1517">
        <f t="shared" si="454"/>
        <v>-33.870153100303099</v>
      </c>
      <c r="BZ184" s="1685"/>
      <c r="CA184" s="1685"/>
      <c r="CB184" s="1656">
        <f>(CB131+CB161)/CB194</f>
        <v>0.16419190836035114</v>
      </c>
      <c r="CC184" s="1517">
        <f t="shared" si="455"/>
        <v>-19.650829713823338</v>
      </c>
      <c r="CD184" s="1653"/>
      <c r="CE184" s="1653"/>
      <c r="CF184" s="1656">
        <f>(CF131+CF161)/CF194</f>
        <v>0.19065567547047035</v>
      </c>
      <c r="CG184" s="1517">
        <f t="shared" si="456"/>
        <v>16.117583000521151</v>
      </c>
      <c r="CH184" s="1653"/>
      <c r="CI184" s="1653"/>
      <c r="CJ184" s="1656">
        <f>(CJ131)/CJ194</f>
        <v>0.1226495848432104</v>
      </c>
      <c r="CK184" s="1517">
        <f t="shared" si="457"/>
        <v>-35.669586263007979</v>
      </c>
      <c r="CL184" s="1653"/>
      <c r="CM184" s="1653"/>
      <c r="CN184" s="1656">
        <f>(CN131)/CN194</f>
        <v>-0.24738019545508053</v>
      </c>
      <c r="CO184" s="1517">
        <f t="shared" si="458"/>
        <v>-301.69672467405417</v>
      </c>
      <c r="CP184" s="1653"/>
      <c r="CQ184" s="1653"/>
      <c r="CR184" s="1656">
        <f>(CR131)/CR194</f>
        <v>-0.16019048732032232</v>
      </c>
      <c r="CS184" s="1517" t="str">
        <f t="shared" si="459"/>
        <v xml:space="preserve">       NM</v>
      </c>
      <c r="CT184" s="1653"/>
      <c r="CU184" s="1653"/>
      <c r="CV184" s="1656">
        <f>(CV131)/CV194</f>
        <v>-3.0175079062011657E-2</v>
      </c>
      <c r="CW184" s="1517" t="str">
        <f t="shared" si="460"/>
        <v xml:space="preserve">       NM</v>
      </c>
      <c r="CX184" s="1653"/>
      <c r="CY184" s="1693"/>
      <c r="CZ184" s="97"/>
      <c r="DA184" s="97"/>
      <c r="DB184" s="97"/>
      <c r="DC184" s="97"/>
      <c r="DD184" s="97"/>
      <c r="DE184" s="97"/>
      <c r="DF184" s="97"/>
      <c r="DG184" s="97"/>
      <c r="DH184" s="97"/>
      <c r="DI184" s="97"/>
      <c r="DJ184" s="97"/>
      <c r="DK184" s="97"/>
      <c r="DL184" s="97"/>
      <c r="DM184" s="97"/>
      <c r="DN184" s="97"/>
      <c r="DO184" s="97"/>
      <c r="DP184" s="97"/>
      <c r="DQ184" s="97"/>
      <c r="DR184" s="97"/>
      <c r="DS184" s="97"/>
      <c r="DT184" s="97"/>
      <c r="DU184" s="97"/>
      <c r="DV184" s="97"/>
      <c r="DW184" s="97"/>
      <c r="DX184" s="97"/>
      <c r="DY184" s="97"/>
      <c r="DZ184" s="97"/>
      <c r="EA184" s="97"/>
      <c r="EB184" s="97"/>
      <c r="EC184" s="97"/>
      <c r="ED184" s="97"/>
      <c r="EE184" s="97"/>
    </row>
    <row r="185" spans="1:135">
      <c r="A185" s="114" t="str">
        <f>$A$12</f>
        <v>3Q</v>
      </c>
      <c r="B185" s="114" t="str">
        <f>$B$12</f>
        <v>Oct</v>
      </c>
      <c r="D185" s="1656" t="e">
        <f>D152/D205</f>
        <v>#DIV/0!</v>
      </c>
      <c r="E185" s="1517"/>
      <c r="H185" s="1688"/>
      <c r="I185" s="1579"/>
      <c r="J185" s="310"/>
      <c r="K185" s="310"/>
      <c r="L185" s="1688"/>
      <c r="M185" s="1579"/>
      <c r="N185" s="310"/>
      <c r="O185" s="310"/>
      <c r="P185" s="1688"/>
      <c r="Q185" s="1579"/>
      <c r="R185" s="310"/>
      <c r="S185" s="310"/>
      <c r="T185" s="1688"/>
      <c r="U185" s="1579"/>
      <c r="V185" s="310"/>
      <c r="W185" s="310"/>
      <c r="X185" s="1688"/>
      <c r="Y185" s="1579"/>
      <c r="Z185" s="310"/>
      <c r="AB185" s="1656">
        <f>(AB132+AB162)/AB195</f>
        <v>0.42927482569819209</v>
      </c>
      <c r="AC185" s="1517" t="e">
        <f t="shared" si="442"/>
        <v>#DIV/0!</v>
      </c>
      <c r="AF185" s="1656">
        <f>(AF132+AF162)/AF195</f>
        <v>0.43133186484679259</v>
      </c>
      <c r="AG185" s="1517">
        <f t="shared" si="443"/>
        <v>0.47918932708315154</v>
      </c>
      <c r="AJ185" s="1656">
        <f>(AJ132+AJ162)/AJ195</f>
        <v>0.4748011409288127</v>
      </c>
      <c r="AK185" s="1517">
        <f t="shared" si="444"/>
        <v>10.077919028185001</v>
      </c>
      <c r="AN185" s="1656">
        <f>(AN132+AN162)/AN195</f>
        <v>0.50386470505136061</v>
      </c>
      <c r="AO185" s="1517">
        <f t="shared" si="445"/>
        <v>6.1212077261847631</v>
      </c>
      <c r="AR185" s="1656">
        <f>(AR132+AR162)/AR195</f>
        <v>0.41856928611131577</v>
      </c>
      <c r="AS185" s="1517">
        <f t="shared" si="446"/>
        <v>-16.928238490399995</v>
      </c>
      <c r="AV185" s="1656">
        <f>(AV132+AV162)/AV195</f>
        <v>0.88256428397709408</v>
      </c>
      <c r="AW185" s="1517">
        <f>IF(AR185&lt;0,"       NM",(AV185/AR185-1)*100)</f>
        <v>110.8526146713932</v>
      </c>
      <c r="AX185" s="1685">
        <v>0.78</v>
      </c>
      <c r="AZ185" s="1656">
        <f>(AZ132+AZ162)/AZ195</f>
        <v>1.1072754107611826</v>
      </c>
      <c r="BA185" s="1517">
        <f t="shared" si="448"/>
        <v>25.461162531014068</v>
      </c>
      <c r="BB185" s="1685"/>
      <c r="BD185" s="1656">
        <f>(BD132+BD162)/BD195</f>
        <v>1.290257096770653</v>
      </c>
      <c r="BE185" s="1517">
        <f t="shared" si="449"/>
        <v>16.525399573687082</v>
      </c>
      <c r="BF185" s="1685"/>
      <c r="BH185" s="1656">
        <f>(BH142)/BH195</f>
        <v>0.7195347161227853</v>
      </c>
      <c r="BI185" s="1517">
        <f t="shared" si="450"/>
        <v>-44.233229336719958</v>
      </c>
      <c r="BJ185" s="1685"/>
      <c r="BL185" s="1656">
        <f>(BL142)/BL195</f>
        <v>0.43710131860700946</v>
      </c>
      <c r="BM185" s="1517">
        <f t="shared" si="451"/>
        <v>-39.252226638579572</v>
      </c>
      <c r="BN185" s="1685"/>
      <c r="BP185" s="1656">
        <f>(BP132+BP162)/BP195</f>
        <v>0.55557405988742015</v>
      </c>
      <c r="BQ185" s="1517">
        <f t="shared" si="452"/>
        <v>27.104182997655869</v>
      </c>
      <c r="BR185" s="1685"/>
      <c r="BS185" s="114"/>
      <c r="BT185" s="1656">
        <f>(BT132+BT162)/BT195</f>
        <v>0.63309440734836731</v>
      </c>
      <c r="BU185" s="1517">
        <f t="shared" si="453"/>
        <v>13.953197792685934</v>
      </c>
      <c r="BV185" s="1685"/>
      <c r="BW185" s="114"/>
      <c r="BX185" s="1656">
        <f>(BX132+BX162)/BX195</f>
        <v>1.018346622718789</v>
      </c>
      <c r="BY185" s="1517">
        <f t="shared" si="454"/>
        <v>60.852253771123955</v>
      </c>
      <c r="BZ185" s="1685"/>
      <c r="CA185" s="1685"/>
      <c r="CB185" s="1656">
        <f>(CB132+CB162)/CB195</f>
        <v>0.52325656243160812</v>
      </c>
      <c r="CC185" s="1517">
        <f t="shared" si="455"/>
        <v>-48.617047402326129</v>
      </c>
      <c r="CD185" s="1683"/>
      <c r="CE185" s="1683"/>
      <c r="CF185" s="1656">
        <f>(CF132+CF162)/CF195</f>
        <v>0.42155612244897989</v>
      </c>
      <c r="CG185" s="1517">
        <f t="shared" si="456"/>
        <v>-19.436056283751036</v>
      </c>
      <c r="CH185" s="1683"/>
      <c r="CI185" s="1683"/>
      <c r="CJ185" s="1656">
        <f>(CJ132)/CJ195</f>
        <v>0.47523280155922876</v>
      </c>
      <c r="CK185" s="1517">
        <f t="shared" si="457"/>
        <v>12.732985301795786</v>
      </c>
      <c r="CL185" s="1683"/>
      <c r="CM185" s="1683"/>
      <c r="CN185" s="1656">
        <f>(CN132)/CN195</f>
        <v>2.0534001200990602E-2</v>
      </c>
      <c r="CO185" s="1517">
        <f t="shared" si="458"/>
        <v>-95.679170054419856</v>
      </c>
      <c r="CP185" s="1683"/>
      <c r="CQ185" s="1683"/>
      <c r="CR185" s="1656">
        <f>(CR132)/CR195</f>
        <v>0.29933442316674325</v>
      </c>
      <c r="CS185" s="1517">
        <f t="shared" si="459"/>
        <v>1357.750100610215</v>
      </c>
      <c r="CT185" s="1683"/>
      <c r="CU185" s="1683"/>
      <c r="CV185" s="1656">
        <f>(CV132)/CV195</f>
        <v>0.30618615600673421</v>
      </c>
      <c r="CW185" s="1517">
        <f t="shared" si="460"/>
        <v>2.2889892741050577</v>
      </c>
      <c r="CX185" s="1683"/>
      <c r="CY185" s="1693"/>
      <c r="CZ185" s="97"/>
      <c r="DA185" s="97"/>
      <c r="DB185" s="97"/>
      <c r="DC185" s="97"/>
      <c r="DD185" s="97"/>
      <c r="DE185" s="97"/>
      <c r="DF185" s="97"/>
      <c r="DG185" s="97"/>
      <c r="DH185" s="97"/>
      <c r="DI185" s="97"/>
      <c r="DJ185" s="97"/>
      <c r="DK185" s="97"/>
      <c r="DL185" s="97"/>
      <c r="DM185" s="97"/>
      <c r="DN185" s="97"/>
      <c r="DO185" s="97"/>
      <c r="DP185" s="97"/>
      <c r="DQ185" s="97"/>
      <c r="DR185" s="97"/>
      <c r="DS185" s="97"/>
      <c r="DT185" s="97"/>
      <c r="DU185" s="97"/>
      <c r="DV185" s="97"/>
      <c r="DW185" s="97"/>
      <c r="DX185" s="97"/>
      <c r="DY185" s="97"/>
      <c r="DZ185" s="97"/>
      <c r="EA185" s="97"/>
      <c r="EB185" s="97"/>
      <c r="EC185" s="97"/>
      <c r="ED185" s="97"/>
      <c r="EE185" s="97"/>
    </row>
    <row r="186" spans="1:135">
      <c r="A186" s="114" t="str">
        <f>$A$13</f>
        <v>4Q</v>
      </c>
      <c r="B186" s="114" t="str">
        <f>$B$13</f>
        <v>Jan</v>
      </c>
      <c r="C186" s="310"/>
      <c r="D186" s="1671" t="e">
        <f>D153/D206</f>
        <v>#DIV/0!</v>
      </c>
      <c r="E186" s="1517"/>
      <c r="H186" s="1688"/>
      <c r="I186" s="1579"/>
      <c r="J186" s="310"/>
      <c r="K186" s="310"/>
      <c r="L186" s="1688"/>
      <c r="M186" s="1579"/>
      <c r="N186" s="310"/>
      <c r="O186" s="310"/>
      <c r="P186" s="1688"/>
      <c r="Q186" s="1579"/>
      <c r="R186" s="310"/>
      <c r="S186" s="310"/>
      <c r="T186" s="1688"/>
      <c r="U186" s="1579"/>
      <c r="V186" s="310"/>
      <c r="W186" s="310"/>
      <c r="X186" s="1688"/>
      <c r="Y186" s="1579"/>
      <c r="Z186" s="310"/>
      <c r="AB186" s="1671">
        <f>(AB133+AB163)/AB196</f>
        <v>0.76074641129469267</v>
      </c>
      <c r="AC186" s="1517" t="e">
        <f t="shared" si="442"/>
        <v>#DIV/0!</v>
      </c>
      <c r="AF186" s="1671">
        <f>(AF133+AF163)/AF196</f>
        <v>0.77998029556650228</v>
      </c>
      <c r="AG186" s="1517">
        <f t="shared" si="443"/>
        <v>2.5282911606610226</v>
      </c>
      <c r="AJ186" s="1671">
        <f>(AJ133+AJ163)/AJ196</f>
        <v>0.94110545483812513</v>
      </c>
      <c r="AK186" s="1517">
        <f t="shared" si="444"/>
        <v>20.657593555565022</v>
      </c>
      <c r="AN186" s="1671">
        <f>(AN133+AN163)/AN196</f>
        <v>0.96672083729392189</v>
      </c>
      <c r="AO186" s="1517">
        <f t="shared" si="445"/>
        <v>2.7218397602639222</v>
      </c>
      <c r="AR186" s="1671">
        <f>(AR133+AR163)/AR196</f>
        <v>1.1488705234159788</v>
      </c>
      <c r="AS186" s="1517">
        <f t="shared" si="446"/>
        <v>18.842015098374887</v>
      </c>
      <c r="AV186" s="1671">
        <f>(AV133+AV163)/AV196</f>
        <v>1.8036044919200227</v>
      </c>
      <c r="AW186" s="1517">
        <f t="shared" si="447"/>
        <v>56.989360868733876</v>
      </c>
      <c r="AX186" s="1685">
        <v>1.42</v>
      </c>
      <c r="AZ186" s="1671">
        <f>(AZ133+AZ163)/AZ196</f>
        <v>2.1409497472237824</v>
      </c>
      <c r="BA186" s="1517">
        <f t="shared" si="448"/>
        <v>18.703948499520507</v>
      </c>
      <c r="BB186" s="1690"/>
      <c r="BD186" s="1671">
        <f>(BD133+BD163)/BD196</f>
        <v>2.4021277774699406</v>
      </c>
      <c r="BE186" s="1517">
        <f t="shared" si="449"/>
        <v>12.199166775625336</v>
      </c>
      <c r="BF186" s="1690"/>
      <c r="BH186" s="1671">
        <f>(BH143)/BH196</f>
        <v>0.77507987944435586</v>
      </c>
      <c r="BI186" s="1517">
        <f t="shared" si="450"/>
        <v>-67.733611562465896</v>
      </c>
      <c r="BJ186" s="1690"/>
      <c r="BL186" s="1671">
        <f>(BL143)/BL196</f>
        <v>0.75609892946113855</v>
      </c>
      <c r="BM186" s="1517">
        <f t="shared" si="451"/>
        <v>-2.4489024275568205</v>
      </c>
      <c r="BN186" s="1690"/>
      <c r="BP186" s="1671">
        <f>(BP133+BP163)/BP196</f>
        <v>1.3750117409714657</v>
      </c>
      <c r="BQ186" s="1517">
        <f t="shared" si="452"/>
        <v>81.856062400646152</v>
      </c>
      <c r="BR186" s="1694"/>
      <c r="BS186" s="114"/>
      <c r="BT186" s="1671">
        <f>(BT133+BT163)/BT196</f>
        <v>1.421184738955825</v>
      </c>
      <c r="BU186" s="1517">
        <f t="shared" si="453"/>
        <v>3.3580075433928602</v>
      </c>
      <c r="BV186" s="1694"/>
      <c r="BW186" s="114"/>
      <c r="BX186" s="1671">
        <f>(BX133+BX163)/BX196</f>
        <v>2.0087643071728278</v>
      </c>
      <c r="BY186" s="1517">
        <f t="shared" si="454"/>
        <v>41.344348282877718</v>
      </c>
      <c r="BZ186" s="1694"/>
      <c r="CA186" s="1690"/>
      <c r="CB186" s="1671">
        <f>(CB133+CB163)/CB196</f>
        <v>1.344149649339933</v>
      </c>
      <c r="CC186" s="1517">
        <f t="shared" si="455"/>
        <v>-33.085746070841225</v>
      </c>
      <c r="CD186" s="1695"/>
      <c r="CE186" s="1695"/>
      <c r="CF186" s="1671">
        <f>(CF133+CF163)/CF196</f>
        <v>1.1524039009923601</v>
      </c>
      <c r="CG186" s="1517">
        <f t="shared" si="456"/>
        <v>-14.265208374806537</v>
      </c>
      <c r="CH186" s="1695"/>
      <c r="CI186" s="1695"/>
      <c r="CJ186" s="1671">
        <f>(CJ133)/CJ196</f>
        <v>1.080066820040152</v>
      </c>
      <c r="CK186" s="1517">
        <f t="shared" si="457"/>
        <v>-6.2770597088327325</v>
      </c>
      <c r="CL186" s="1695"/>
      <c r="CM186" s="1695"/>
      <c r="CN186" s="1671">
        <f>(CN133)/CN196</f>
        <v>0.74558924728034004</v>
      </c>
      <c r="CO186" s="1517">
        <f t="shared" si="458"/>
        <v>-30.968229608921561</v>
      </c>
      <c r="CP186" s="1695"/>
      <c r="CQ186" s="1695"/>
      <c r="CR186" s="1671">
        <f>(CR133)/CR196</f>
        <v>1.380999758375143</v>
      </c>
      <c r="CS186" s="1517">
        <f t="shared" si="459"/>
        <v>85.222595874681375</v>
      </c>
      <c r="CT186" s="1695"/>
      <c r="CU186" s="1695"/>
      <c r="CV186" s="1671">
        <f>(CV133)/CV196</f>
        <v>0.79091775954783916</v>
      </c>
      <c r="CW186" s="1517">
        <f t="shared" si="460"/>
        <v>-42.728609853022903</v>
      </c>
      <c r="CX186" s="1695"/>
      <c r="CY186" s="1693"/>
      <c r="CZ186" s="97"/>
      <c r="DA186" s="97"/>
      <c r="DB186" s="97"/>
      <c r="DC186" s="97"/>
      <c r="DD186" s="97"/>
      <c r="DE186" s="97"/>
      <c r="DF186" s="97"/>
      <c r="DG186" s="97"/>
      <c r="DH186" s="97"/>
      <c r="DI186" s="97"/>
      <c r="DJ186" s="97"/>
      <c r="DK186" s="97"/>
      <c r="DL186" s="97"/>
      <c r="DM186" s="97"/>
      <c r="DN186" s="97"/>
      <c r="DO186" s="97"/>
      <c r="DP186" s="97"/>
      <c r="DQ186" s="97"/>
      <c r="DR186" s="97"/>
      <c r="DS186" s="97"/>
      <c r="DT186" s="97"/>
      <c r="DU186" s="97"/>
      <c r="DV186" s="97"/>
      <c r="DW186" s="97"/>
      <c r="DX186" s="97"/>
      <c r="DY186" s="97"/>
      <c r="DZ186" s="97"/>
      <c r="EA186" s="97"/>
      <c r="EB186" s="97"/>
      <c r="EC186" s="97"/>
      <c r="ED186" s="97"/>
      <c r="EE186" s="97"/>
    </row>
    <row r="187" spans="1:135">
      <c r="B187" s="114" t="str">
        <f>$B$14</f>
        <v>Year</v>
      </c>
      <c r="D187" s="1171" t="e">
        <f>D154/D207</f>
        <v>#DIV/0!</v>
      </c>
      <c r="E187" s="1517"/>
      <c r="H187" s="1158"/>
      <c r="I187" s="1579"/>
      <c r="J187" s="310"/>
      <c r="K187" s="310"/>
      <c r="L187" s="1158"/>
      <c r="M187" s="1579"/>
      <c r="N187" s="310"/>
      <c r="O187" s="310"/>
      <c r="P187" s="1158"/>
      <c r="Q187" s="1579"/>
      <c r="R187" s="310"/>
      <c r="S187" s="310"/>
      <c r="T187" s="1158"/>
      <c r="U187" s="1579"/>
      <c r="V187" s="310"/>
      <c r="W187" s="310"/>
      <c r="X187" s="1158"/>
      <c r="Y187" s="1579"/>
      <c r="Z187" s="310"/>
      <c r="AB187" s="1656">
        <f>(AB134+AB164)/AB197</f>
        <v>1.5479560671913544</v>
      </c>
      <c r="AC187" s="1517" t="e">
        <f t="shared" si="442"/>
        <v>#DIV/0!</v>
      </c>
      <c r="AF187" s="1656">
        <f>(AF134+AF164)/AF197</f>
        <v>1.6451952713510982</v>
      </c>
      <c r="AG187" s="1517">
        <f t="shared" si="443"/>
        <v>6.2817806151421962</v>
      </c>
      <c r="AJ187" s="1656">
        <f>(AJ134+AJ164)/AJ197</f>
        <v>1.9353280798163579</v>
      </c>
      <c r="AK187" s="1517">
        <f t="shared" si="444"/>
        <v>17.635159395212185</v>
      </c>
      <c r="AN187" s="1656">
        <f>(AN134+AN164)/AN197</f>
        <v>2.056939144406507</v>
      </c>
      <c r="AO187" s="1517">
        <f t="shared" si="445"/>
        <v>6.2837441288863483</v>
      </c>
      <c r="AP187" s="1672"/>
      <c r="AR187" s="1656">
        <f>(AR134+AR164)/AR197</f>
        <v>2.274986857323102</v>
      </c>
      <c r="AS187" s="1517">
        <f t="shared" si="446"/>
        <v>10.600591345132315</v>
      </c>
      <c r="AV187" s="1656">
        <f>(AV134+AV164)/AV197</f>
        <v>3.7515374749235364</v>
      </c>
      <c r="AW187" s="1517">
        <f t="shared" si="447"/>
        <v>64.903698799290652</v>
      </c>
      <c r="AX187" s="1685">
        <v>3.25</v>
      </c>
      <c r="AZ187" s="1656">
        <f>(AZ134+AZ164)/AZ197</f>
        <v>4.5884686447125294</v>
      </c>
      <c r="BA187" s="1517">
        <f t="shared" si="448"/>
        <v>22.309017979516543</v>
      </c>
      <c r="BB187" s="1657"/>
      <c r="BD187" s="1656">
        <f>(BD134+BD164)/BD197</f>
        <v>5.1975678244812782</v>
      </c>
      <c r="BE187" s="1517">
        <f t="shared" si="449"/>
        <v>13.274563409529616</v>
      </c>
      <c r="BF187" s="1657"/>
      <c r="BH187" s="1656">
        <f>(BH144)/BH197</f>
        <v>3.0491090927417104</v>
      </c>
      <c r="BI187" s="1517">
        <f t="shared" si="450"/>
        <v>-41.335847925255045</v>
      </c>
      <c r="BJ187" s="1657"/>
      <c r="BL187" s="1656">
        <f>(BL144)/BL197</f>
        <v>0.22768567527000577</v>
      </c>
      <c r="BM187" s="1517">
        <f t="shared" si="451"/>
        <v>-92.532714693219646</v>
      </c>
      <c r="BN187" s="1657"/>
      <c r="BP187" s="1656">
        <f>(BP134+BP164)/BP197</f>
        <v>2.042537414163446</v>
      </c>
      <c r="BQ187" s="1517">
        <f t="shared" si="452"/>
        <v>797.0864819410624</v>
      </c>
      <c r="BR187" s="1685"/>
      <c r="BS187" s="114"/>
      <c r="BT187" s="1656">
        <f>(BT134+BT164)/BT197</f>
        <v>2.4802707260685555</v>
      </c>
      <c r="BU187" s="1517">
        <f t="shared" si="453"/>
        <v>21.430858934076859</v>
      </c>
      <c r="BV187" s="1685"/>
      <c r="BW187" s="114"/>
      <c r="BX187" s="1656">
        <f>(BX134+BX164)/BX197</f>
        <v>2.9046621440873333</v>
      </c>
      <c r="BY187" s="1517">
        <f t="shared" si="454"/>
        <v>17.110689311383155</v>
      </c>
      <c r="BZ187" s="1685"/>
      <c r="CA187" s="1672"/>
      <c r="CB187" s="1656">
        <f>(CB134+CB164)/CB197</f>
        <v>1.9141803299396185</v>
      </c>
      <c r="CC187" s="1517">
        <f t="shared" si="455"/>
        <v>-34.099725373015168</v>
      </c>
      <c r="CD187" s="1692"/>
      <c r="CE187" s="1692"/>
      <c r="CF187" s="1656">
        <f>(CF134+CF164)/CF197</f>
        <v>1.5400825369839746</v>
      </c>
      <c r="CG187" s="1517">
        <f t="shared" si="456"/>
        <v>-19.543497919417263</v>
      </c>
      <c r="CH187" s="1692"/>
      <c r="CI187" s="1692"/>
      <c r="CJ187" s="1656">
        <f>(CJ134)/CJ197</f>
        <v>1.124240459829726</v>
      </c>
      <c r="CK187" s="1517">
        <f t="shared" si="457"/>
        <v>-27.001285136874177</v>
      </c>
      <c r="CL187" s="1692"/>
      <c r="CM187" s="1692"/>
      <c r="CN187" s="1656">
        <f>(CN134)/CN197</f>
        <v>-5.9604006795150551E-2</v>
      </c>
      <c r="CO187" s="1517">
        <f t="shared" si="458"/>
        <v>-105.30171337226007</v>
      </c>
      <c r="CP187" s="1692"/>
      <c r="CQ187" s="1692"/>
      <c r="CR187" s="1656">
        <f>(CR134)/CR197</f>
        <v>0.64845900033139658</v>
      </c>
      <c r="CS187" s="1517" t="str">
        <f t="shared" si="459"/>
        <v xml:space="preserve">       NM</v>
      </c>
      <c r="CT187" s="1692"/>
      <c r="CU187" s="1692"/>
      <c r="CV187" s="1656">
        <f>(CV134)/CV197</f>
        <v>0.25263326075063386</v>
      </c>
      <c r="CW187" s="1517">
        <f t="shared" si="460"/>
        <v>-61.040981677866291</v>
      </c>
      <c r="CX187" s="1692"/>
      <c r="CY187" s="1693"/>
      <c r="CZ187" s="97"/>
      <c r="DA187" s="97"/>
      <c r="DB187" s="97"/>
      <c r="DC187" s="97"/>
      <c r="DD187" s="97"/>
      <c r="DE187" s="97"/>
      <c r="DF187" s="97"/>
      <c r="DG187" s="97"/>
      <c r="DH187" s="97"/>
      <c r="DI187" s="97"/>
      <c r="DJ187" s="97"/>
      <c r="DK187" s="97"/>
      <c r="DL187" s="97"/>
      <c r="DM187" s="97"/>
      <c r="DN187" s="97"/>
      <c r="DO187" s="97"/>
      <c r="DP187" s="97"/>
      <c r="DQ187" s="97"/>
      <c r="DR187" s="97"/>
      <c r="DS187" s="97"/>
      <c r="DT187" s="97"/>
      <c r="DU187" s="97"/>
      <c r="DV187" s="97"/>
      <c r="DW187" s="97"/>
      <c r="DX187" s="97"/>
      <c r="DY187" s="97"/>
      <c r="DZ187" s="97"/>
      <c r="EA187" s="97"/>
      <c r="EB187" s="97"/>
      <c r="EC187" s="97"/>
      <c r="ED187" s="97"/>
      <c r="EE187" s="97"/>
    </row>
    <row r="188" spans="1:135" ht="12.75" hidden="1" customHeight="1" outlineLevel="1">
      <c r="A188" s="114" t="str">
        <f>$A$15</f>
        <v>6 Mos</v>
      </c>
      <c r="D188" s="1656" t="e">
        <f>SUM(D183:D184)</f>
        <v>#DIV/0!</v>
      </c>
      <c r="E188" s="1517"/>
      <c r="H188" s="1688"/>
      <c r="I188" s="1579"/>
      <c r="J188" s="310"/>
      <c r="K188" s="310"/>
      <c r="L188" s="1688"/>
      <c r="M188" s="1579"/>
      <c r="N188" s="310"/>
      <c r="O188" s="310"/>
      <c r="P188" s="1688"/>
      <c r="Q188" s="1579"/>
      <c r="R188" s="310"/>
      <c r="S188" s="310"/>
      <c r="T188" s="1688"/>
      <c r="U188" s="1579"/>
      <c r="V188" s="310"/>
      <c r="W188" s="310"/>
      <c r="X188" s="1688"/>
      <c r="Y188" s="1579"/>
      <c r="Z188" s="310"/>
      <c r="AB188" s="1656">
        <f>SUM(AB183:AB184)</f>
        <v>0.36368921982844249</v>
      </c>
      <c r="AC188" s="1517" t="e">
        <f t="shared" si="442"/>
        <v>#DIV/0!</v>
      </c>
      <c r="AF188" s="1656">
        <f>SUM(AF183:AF184)</f>
        <v>0.4409564201605074</v>
      </c>
      <c r="AG188" s="1517">
        <f t="shared" si="443"/>
        <v>21.245391977390192</v>
      </c>
      <c r="AJ188" s="1656">
        <f>SUM(AJ183:AJ184)</f>
        <v>0.53007995578956013</v>
      </c>
      <c r="AK188" s="1517">
        <f t="shared" si="444"/>
        <v>20.211415812159373</v>
      </c>
      <c r="AN188" s="1656">
        <f>SUM(AN183:AN184)</f>
        <v>0.60311476224040672</v>
      </c>
      <c r="AO188" s="1517">
        <f t="shared" si="445"/>
        <v>13.778073600625106</v>
      </c>
      <c r="AR188" s="1656">
        <f>SUM(AR183:AR184)</f>
        <v>0.74208708024256709</v>
      </c>
      <c r="AS188" s="1517">
        <f t="shared" si="446"/>
        <v>23.042433497385506</v>
      </c>
      <c r="AV188" s="1656">
        <f>SUM(AV183:AV184)</f>
        <v>1.0767585485757456</v>
      </c>
      <c r="AW188" s="1517">
        <f t="shared" si="447"/>
        <v>45.098678745866863</v>
      </c>
      <c r="AZ188" s="1656">
        <f>SUM(AZ183:AZ184)</f>
        <v>1.3366189699303326</v>
      </c>
      <c r="BA188" s="1517">
        <f t="shared" si="448"/>
        <v>24.133583308747397</v>
      </c>
      <c r="BD188" s="1656">
        <f>SUM(BD183:BD184)</f>
        <v>1.5315979584408086</v>
      </c>
      <c r="BE188" s="1517">
        <f t="shared" si="449"/>
        <v>14.587477276387805</v>
      </c>
      <c r="BH188" s="1656">
        <f>SUM(BH183:BH184)</f>
        <v>1.554321198477763</v>
      </c>
      <c r="BI188" s="1517">
        <f t="shared" si="450"/>
        <v>1.4836295590317405</v>
      </c>
      <c r="BL188" s="1656">
        <f>SUM(BL183:BL184)</f>
        <v>-0.97988423605731745</v>
      </c>
      <c r="BM188" s="1517">
        <f t="shared" si="451"/>
        <v>-163.04258328439289</v>
      </c>
      <c r="BP188" s="1656">
        <f>SUM(BP183:BP184)</f>
        <v>0.10365588555995403</v>
      </c>
      <c r="BQ188" s="1517" t="str">
        <f t="shared" si="452"/>
        <v xml:space="preserve">       NM</v>
      </c>
      <c r="BS188" s="114"/>
      <c r="BT188" s="1656">
        <f>SUM(BT183:BT184)</f>
        <v>0.45052788999417387</v>
      </c>
      <c r="BU188" s="1517">
        <f t="shared" si="453"/>
        <v>334.63802133414885</v>
      </c>
      <c r="BV188" s="114"/>
      <c r="BW188" s="114"/>
      <c r="BX188" s="1656">
        <f>SUM(BX183:BX184)</f>
        <v>-4.2855674884644923E-2</v>
      </c>
      <c r="BY188" s="1517">
        <f t="shared" si="454"/>
        <v>-109.51232450563695</v>
      </c>
      <c r="BZ188" s="114"/>
      <c r="CA188" s="114"/>
      <c r="CB188" s="1656">
        <f>SUM(CB183:CB184)</f>
        <v>8.2671556999337273E-2</v>
      </c>
      <c r="CC188" s="1517" t="str">
        <f t="shared" si="455"/>
        <v xml:space="preserve">       NM</v>
      </c>
      <c r="CD188" s="247"/>
      <c r="CE188" s="247"/>
      <c r="CF188" s="1656">
        <f>SUM(CF183:CF184)</f>
        <v>1.6602535827866693E-2</v>
      </c>
      <c r="CG188" s="1517">
        <f t="shared" si="456"/>
        <v>-79.917475331933346</v>
      </c>
      <c r="CH188" s="247"/>
      <c r="CI188" s="247"/>
      <c r="CJ188" s="1656">
        <f>SUM(CJ183:CJ184)</f>
        <v>-0.41223172719822176</v>
      </c>
      <c r="CK188" s="1517">
        <f t="shared" si="457"/>
        <v>-2582.9443614649954</v>
      </c>
      <c r="CL188" s="247"/>
      <c r="CM188" s="247"/>
      <c r="CN188" s="1671">
        <f>(CN135+CN165)/CN198</f>
        <v>-0.83197486150963773</v>
      </c>
      <c r="CO188" s="1517" t="str">
        <f t="shared" si="458"/>
        <v xml:space="preserve">       NM</v>
      </c>
      <c r="CP188" s="247"/>
      <c r="CQ188" s="247"/>
      <c r="CR188" s="1671">
        <f>(CR135+CR165)/CR198</f>
        <v>-1.064477144049981</v>
      </c>
      <c r="CS188" s="1517" t="str">
        <f t="shared" si="459"/>
        <v xml:space="preserve">       NM</v>
      </c>
      <c r="CT188" s="247"/>
      <c r="CU188" s="247"/>
      <c r="CV188" s="1671">
        <f>(CV135+CV165)/CV198</f>
        <v>-0.85339041431178952</v>
      </c>
      <c r="CW188" s="1517" t="str">
        <f t="shared" si="460"/>
        <v xml:space="preserve">       NM</v>
      </c>
      <c r="CX188" s="247"/>
      <c r="CY188" s="97"/>
      <c r="CZ188" s="97"/>
      <c r="DA188" s="97"/>
      <c r="DB188" s="97"/>
      <c r="DC188" s="97"/>
      <c r="DD188" s="97"/>
      <c r="DE188" s="97"/>
      <c r="DF188" s="97"/>
      <c r="DG188" s="97"/>
      <c r="DH188" s="97"/>
      <c r="DI188" s="97"/>
      <c r="DJ188" s="97"/>
      <c r="DK188" s="97"/>
      <c r="DL188" s="97"/>
      <c r="DM188" s="97"/>
      <c r="DN188" s="97"/>
      <c r="DO188" s="97"/>
      <c r="DP188" s="97"/>
      <c r="DQ188" s="97"/>
      <c r="DR188" s="97"/>
      <c r="DS188" s="97"/>
      <c r="DT188" s="97"/>
      <c r="DU188" s="97"/>
      <c r="DV188" s="97"/>
      <c r="DW188" s="97"/>
      <c r="DX188" s="97"/>
      <c r="DY188" s="97"/>
      <c r="DZ188" s="97"/>
      <c r="EA188" s="97"/>
      <c r="EB188" s="97"/>
      <c r="EC188" s="97"/>
      <c r="ED188" s="97"/>
      <c r="EE188" s="97"/>
    </row>
    <row r="189" spans="1:135" ht="12" hidden="1" customHeight="1" outlineLevel="1">
      <c r="A189" s="114" t="str">
        <f>$A$16</f>
        <v>9 Mos</v>
      </c>
      <c r="D189" s="1656" t="e">
        <f>SUM(D183:D185)</f>
        <v>#DIV/0!</v>
      </c>
      <c r="E189" s="1517"/>
      <c r="H189" s="1688"/>
      <c r="I189" s="1579"/>
      <c r="J189" s="310"/>
      <c r="K189" s="310"/>
      <c r="L189" s="1688"/>
      <c r="M189" s="1579"/>
      <c r="N189" s="310"/>
      <c r="O189" s="310"/>
      <c r="P189" s="1688"/>
      <c r="Q189" s="1579"/>
      <c r="R189" s="310"/>
      <c r="S189" s="310"/>
      <c r="T189" s="1688"/>
      <c r="U189" s="1579"/>
      <c r="V189" s="310"/>
      <c r="W189" s="310"/>
      <c r="X189" s="1688"/>
      <c r="Y189" s="1579"/>
      <c r="Z189" s="310"/>
      <c r="AB189" s="1656">
        <f>SUM(AB183:AB185)</f>
        <v>0.79296404552663458</v>
      </c>
      <c r="AC189" s="1517" t="e">
        <f t="shared" si="442"/>
        <v>#DIV/0!</v>
      </c>
      <c r="AF189" s="1656">
        <f>SUM(AF183:AF185)</f>
        <v>0.87228828500729994</v>
      </c>
      <c r="AG189" s="1517">
        <f t="shared" si="443"/>
        <v>10.003510238346735</v>
      </c>
      <c r="AJ189" s="1656">
        <f>SUM(AJ183:AJ185)</f>
        <v>1.0048810967183728</v>
      </c>
      <c r="AK189" s="1517">
        <f t="shared" si="444"/>
        <v>15.200572332570438</v>
      </c>
      <c r="AN189" s="1656">
        <f>SUM(AN183:AN185)</f>
        <v>1.1069794672917674</v>
      </c>
      <c r="AO189" s="1517">
        <f t="shared" si="445"/>
        <v>10.160243924063849</v>
      </c>
      <c r="AR189" s="1656">
        <f>SUM(AR183:AR185)</f>
        <v>1.1606563663538829</v>
      </c>
      <c r="AS189" s="1517">
        <f t="shared" si="446"/>
        <v>4.8489516425662682</v>
      </c>
      <c r="AV189" s="1656">
        <f>SUM(AV183:AV185)</f>
        <v>1.9593228325528398</v>
      </c>
      <c r="AW189" s="1517">
        <f t="shared" si="447"/>
        <v>68.811621540310767</v>
      </c>
      <c r="AZ189" s="1656">
        <f>SUM(AZ183:AZ185)</f>
        <v>2.443894380691515</v>
      </c>
      <c r="BA189" s="1517">
        <f t="shared" si="448"/>
        <v>24.731582773795235</v>
      </c>
      <c r="BD189" s="1656">
        <f>SUM(BD183:BD185)</f>
        <v>2.8218550552114614</v>
      </c>
      <c r="BE189" s="1517">
        <f t="shared" si="449"/>
        <v>15.465507736590478</v>
      </c>
      <c r="BH189" s="1656">
        <f>SUM(BH183:BH185)</f>
        <v>2.2738559146005484</v>
      </c>
      <c r="BI189" s="1517">
        <f t="shared" si="450"/>
        <v>-19.419818874072103</v>
      </c>
      <c r="BL189" s="1656">
        <f>SUM(BL183:BL185)</f>
        <v>-0.54278291745030804</v>
      </c>
      <c r="BM189" s="1517">
        <f t="shared" si="451"/>
        <v>-123.87059417287922</v>
      </c>
      <c r="BP189" s="1656">
        <f>SUM(BP183:BP185)</f>
        <v>0.65922994544737423</v>
      </c>
      <c r="BQ189" s="1517" t="str">
        <f t="shared" si="452"/>
        <v xml:space="preserve">       NM</v>
      </c>
      <c r="BS189" s="114"/>
      <c r="BT189" s="1656">
        <f>SUM(BT183:BT185)</f>
        <v>1.0836222973425411</v>
      </c>
      <c r="BU189" s="1517">
        <f t="shared" si="453"/>
        <v>64.376983300896768</v>
      </c>
      <c r="BV189" s="114"/>
      <c r="BW189" s="114"/>
      <c r="BX189" s="1656">
        <f>SUM(BX183:BX185)</f>
        <v>0.97549094783414403</v>
      </c>
      <c r="BY189" s="1517">
        <f t="shared" si="454"/>
        <v>-9.9786936623191274</v>
      </c>
      <c r="BZ189" s="114"/>
      <c r="CA189" s="114"/>
      <c r="CB189" s="1656">
        <f>SUM(CB183:CB185)</f>
        <v>0.60592811943094538</v>
      </c>
      <c r="CC189" s="1517">
        <f t="shared" si="455"/>
        <v>-37.884803464730133</v>
      </c>
      <c r="CD189" s="247"/>
      <c r="CE189" s="247"/>
      <c r="CF189" s="1656">
        <f>SUM(CF183:CF185)</f>
        <v>0.43815865827684658</v>
      </c>
      <c r="CG189" s="1517">
        <f t="shared" si="456"/>
        <v>-27.688013771610187</v>
      </c>
      <c r="CH189" s="247"/>
      <c r="CI189" s="247"/>
      <c r="CJ189" s="1656">
        <f>SUM(CJ183:CJ185)</f>
        <v>6.3001074361006992E-2</v>
      </c>
      <c r="CK189" s="1517">
        <f t="shared" si="457"/>
        <v>-85.621401478457074</v>
      </c>
      <c r="CL189" s="247"/>
      <c r="CM189" s="247"/>
      <c r="CN189" s="1671">
        <f>(CN136+CN166)/CN199</f>
        <v>-0.80933155421249392</v>
      </c>
      <c r="CO189" s="1517">
        <f t="shared" si="458"/>
        <v>-1384.6313533875389</v>
      </c>
      <c r="CP189" s="247"/>
      <c r="CQ189" s="247"/>
      <c r="CR189" s="1671">
        <f>(CR136+CR166)/CR199</f>
        <v>-0.76313517784248053</v>
      </c>
      <c r="CS189" s="1517" t="str">
        <f t="shared" si="459"/>
        <v xml:space="preserve">       NM</v>
      </c>
      <c r="CT189" s="247"/>
      <c r="CU189" s="247"/>
      <c r="CV189" s="1671">
        <f>(CV136+CV166)/CV199</f>
        <v>-0.54427440114753922</v>
      </c>
      <c r="CW189" s="1517" t="str">
        <f t="shared" si="460"/>
        <v xml:space="preserve">       NM</v>
      </c>
      <c r="CX189" s="247"/>
      <c r="CY189" s="97"/>
      <c r="CZ189" s="97"/>
      <c r="DA189" s="97"/>
      <c r="DB189" s="97"/>
      <c r="DC189" s="97"/>
      <c r="DD189" s="97"/>
      <c r="DE189" s="97"/>
      <c r="DF189" s="97"/>
      <c r="DG189" s="97"/>
      <c r="DH189" s="97"/>
      <c r="DI189" s="97"/>
      <c r="DJ189" s="97"/>
      <c r="DK189" s="97"/>
      <c r="DL189" s="97"/>
      <c r="DM189" s="97"/>
      <c r="DN189" s="97"/>
      <c r="DO189" s="97"/>
      <c r="DP189" s="97"/>
      <c r="DQ189" s="97"/>
      <c r="DR189" s="97"/>
      <c r="DS189" s="97"/>
      <c r="DT189" s="97"/>
      <c r="DU189" s="97"/>
      <c r="DV189" s="97"/>
      <c r="DW189" s="97"/>
      <c r="DX189" s="97"/>
      <c r="DY189" s="97"/>
      <c r="DZ189" s="97"/>
      <c r="EA189" s="97"/>
      <c r="EB189" s="97"/>
      <c r="EC189" s="97"/>
      <c r="ED189" s="97"/>
      <c r="EE189" s="97"/>
    </row>
    <row r="190" spans="1:135" collapsed="1">
      <c r="AV190" s="1171"/>
      <c r="AZ190" s="1171"/>
      <c r="BD190" s="1171"/>
      <c r="BH190" s="1171"/>
      <c r="BL190" s="1540"/>
      <c r="BP190" s="1171"/>
      <c r="BS190" s="114"/>
      <c r="BT190" s="1171"/>
      <c r="BU190" s="114"/>
      <c r="BV190" s="114"/>
      <c r="BW190" s="114"/>
      <c r="BX190" s="1171"/>
      <c r="BY190" s="114"/>
      <c r="BZ190" s="114"/>
      <c r="CA190" s="114"/>
      <c r="CB190" s="1696"/>
      <c r="CC190" s="247"/>
      <c r="CD190" s="247"/>
      <c r="CE190" s="247"/>
      <c r="CF190" s="1696"/>
      <c r="CG190" s="247"/>
      <c r="CH190" s="247"/>
      <c r="CI190" s="247"/>
      <c r="CJ190" s="49"/>
      <c r="CK190" s="247"/>
      <c r="CL190" s="247"/>
      <c r="CM190" s="247"/>
      <c r="CN190" s="1696"/>
      <c r="CO190" s="247"/>
      <c r="CP190" s="247"/>
      <c r="CQ190" s="247"/>
      <c r="CR190" s="1696"/>
      <c r="CS190" s="247"/>
      <c r="CT190" s="247"/>
      <c r="CU190" s="247"/>
      <c r="CV190" s="1696"/>
      <c r="CW190" s="247"/>
      <c r="CX190" s="247"/>
      <c r="CY190" s="97"/>
      <c r="CZ190" s="97"/>
      <c r="DA190" s="97"/>
      <c r="DB190" s="97"/>
      <c r="DC190" s="97"/>
      <c r="DD190" s="97"/>
      <c r="DE190" s="97"/>
      <c r="DF190" s="97"/>
      <c r="DG190" s="97"/>
      <c r="DH190" s="97"/>
      <c r="DI190" s="97"/>
      <c r="DJ190" s="97"/>
      <c r="DK190" s="97"/>
      <c r="DL190" s="97"/>
      <c r="DM190" s="97"/>
      <c r="DN190" s="97"/>
      <c r="DO190" s="97"/>
      <c r="DP190" s="97"/>
      <c r="DQ190" s="97"/>
      <c r="DR190" s="97"/>
      <c r="DS190" s="97"/>
      <c r="DT190" s="97"/>
      <c r="DU190" s="97"/>
      <c r="DV190" s="97"/>
      <c r="DW190" s="97"/>
      <c r="DX190" s="97"/>
      <c r="DY190" s="97"/>
      <c r="DZ190" s="97"/>
      <c r="EA190" s="97"/>
      <c r="EB190" s="97"/>
      <c r="EC190" s="97"/>
      <c r="ED190" s="97"/>
      <c r="EE190" s="97"/>
    </row>
    <row r="191" spans="1:135">
      <c r="C191" s="313"/>
      <c r="D191" s="1531"/>
      <c r="H191" s="1532"/>
      <c r="I191" s="1533"/>
      <c r="J191" s="1533"/>
      <c r="K191" s="1533"/>
      <c r="L191" s="1532"/>
      <c r="M191" s="1533"/>
      <c r="N191" s="1533"/>
      <c r="O191" s="1533"/>
      <c r="P191" s="1532"/>
      <c r="Q191" s="1533"/>
      <c r="R191" s="1533"/>
      <c r="S191" s="1533"/>
      <c r="T191" s="1532"/>
      <c r="U191" s="1533"/>
      <c r="V191" s="1533"/>
      <c r="W191" s="1533"/>
      <c r="Y191" s="1533"/>
      <c r="Z191" s="1533"/>
      <c r="AA191" s="1533"/>
      <c r="AC191" s="1533"/>
      <c r="AD191" s="1533"/>
      <c r="AE191" s="1533"/>
      <c r="AF191" s="1532"/>
      <c r="AG191" s="1533"/>
      <c r="AH191" s="1533"/>
      <c r="AI191" s="1533"/>
      <c r="AK191" s="1533"/>
      <c r="AL191" s="1533"/>
      <c r="AM191" s="1533"/>
      <c r="AN191" s="1532"/>
      <c r="AO191" s="1533"/>
      <c r="AP191" s="1533"/>
      <c r="AQ191" s="1533"/>
      <c r="AS191" s="1533"/>
      <c r="AT191" s="1533"/>
      <c r="AU191" s="1533"/>
      <c r="AV191" s="1697"/>
      <c r="AW191" s="1533"/>
      <c r="AX191" s="1533"/>
      <c r="AY191" s="1533"/>
      <c r="AZ191" s="1697"/>
      <c r="BA191" s="1533"/>
      <c r="BB191" s="1533"/>
      <c r="BC191" s="1533"/>
      <c r="BD191" s="1697"/>
      <c r="BE191" s="1533"/>
      <c r="BF191" s="1533"/>
      <c r="BG191" s="1533"/>
      <c r="BH191" s="1697"/>
      <c r="BI191" s="22"/>
      <c r="BJ191" s="1533"/>
      <c r="BK191" s="1533"/>
      <c r="BL191" s="1697"/>
      <c r="BM191" s="1533"/>
      <c r="BN191" s="1533"/>
      <c r="BO191" s="1533"/>
      <c r="BP191" s="1697"/>
      <c r="BQ191" s="1533"/>
      <c r="BR191" s="1533"/>
      <c r="BS191" s="1533"/>
      <c r="BT191" s="1697"/>
      <c r="BU191" s="1533"/>
      <c r="BW191" s="1533"/>
      <c r="BX191" s="1697"/>
      <c r="BY191" s="1533"/>
      <c r="BZ191" s="1533"/>
      <c r="CA191" s="1533"/>
      <c r="CB191" s="245"/>
      <c r="CC191" s="245"/>
      <c r="CD191" s="245"/>
      <c r="CE191" s="1532" t="s">
        <v>770</v>
      </c>
      <c r="CF191" s="1698"/>
      <c r="CG191" s="245"/>
      <c r="CH191" s="245"/>
      <c r="CI191" s="245"/>
      <c r="CJ191" s="1698"/>
      <c r="CK191" s="245"/>
      <c r="CL191" s="245"/>
      <c r="CM191" s="245"/>
      <c r="CN191" s="1698"/>
      <c r="CO191" s="245"/>
      <c r="CP191" s="245"/>
      <c r="CQ191" s="245"/>
      <c r="CR191" s="1698"/>
      <c r="CS191" s="245"/>
      <c r="CT191" s="245"/>
      <c r="CU191" s="245"/>
      <c r="CV191" s="1698"/>
      <c r="CW191" s="245"/>
      <c r="CX191" s="245"/>
    </row>
    <row r="192" spans="1:135">
      <c r="AS192" s="1161"/>
      <c r="AW192" s="1161"/>
      <c r="BA192" s="1161"/>
      <c r="BE192" s="1161"/>
      <c r="BI192" s="1161"/>
      <c r="BM192" s="1161"/>
      <c r="BQ192" s="1161"/>
      <c r="BS192" s="114"/>
      <c r="BT192" s="114"/>
      <c r="BU192" s="1161"/>
      <c r="BV192" s="114"/>
      <c r="BW192" s="114"/>
      <c r="BX192" s="114"/>
      <c r="BY192" s="1161"/>
      <c r="BZ192" s="114"/>
      <c r="CA192" s="114"/>
      <c r="CB192" s="245"/>
      <c r="CC192" s="245"/>
      <c r="CD192" s="245"/>
      <c r="CE192" s="245"/>
      <c r="CF192" s="245"/>
      <c r="CG192" s="245"/>
      <c r="CH192" s="245"/>
      <c r="CI192" s="245"/>
      <c r="CJ192" s="245"/>
      <c r="CK192" s="245"/>
      <c r="CL192" s="245"/>
      <c r="CM192" s="245"/>
      <c r="CN192" s="245"/>
      <c r="CO192" s="245"/>
      <c r="CP192" s="245"/>
      <c r="CQ192" s="245"/>
      <c r="CR192" s="245"/>
      <c r="CS192" s="245"/>
      <c r="CT192" s="245"/>
      <c r="CU192" s="245"/>
      <c r="CV192" s="245"/>
      <c r="CW192" s="245"/>
      <c r="CX192" s="245"/>
    </row>
    <row r="193" spans="1:135">
      <c r="A193" s="114" t="str">
        <f>$A$10</f>
        <v>1Q</v>
      </c>
      <c r="B193" s="114" t="str">
        <f>$B$10</f>
        <v>Apr</v>
      </c>
      <c r="D193" s="1699">
        <v>102.1</v>
      </c>
      <c r="E193" s="1151"/>
      <c r="F193" s="1151"/>
      <c r="H193" s="1700">
        <f>51.05*2</f>
        <v>102.1</v>
      </c>
      <c r="I193" s="1151"/>
      <c r="J193" s="1151"/>
      <c r="L193" s="1700">
        <f>51.05*2</f>
        <v>102.1</v>
      </c>
      <c r="M193" s="1151"/>
      <c r="N193" s="1151"/>
      <c r="P193" s="1700">
        <f>51.068*2</f>
        <v>102.136</v>
      </c>
      <c r="Q193" s="1151"/>
      <c r="R193" s="1151"/>
      <c r="T193" s="1700">
        <f>52.476*2</f>
        <v>104.952</v>
      </c>
      <c r="U193" s="1151"/>
      <c r="V193" s="1151"/>
      <c r="W193" s="1151"/>
      <c r="X193" s="1699">
        <v>108.67100000000001</v>
      </c>
      <c r="AB193" s="1699">
        <v>103.872</v>
      </c>
      <c r="AC193" s="1701"/>
      <c r="AF193" s="1699">
        <v>102.88500000000001</v>
      </c>
      <c r="AG193" s="1701"/>
      <c r="AJ193" s="1699">
        <v>102.13</v>
      </c>
      <c r="AK193" s="1701"/>
      <c r="AN193" s="1699">
        <v>99.834999999999994</v>
      </c>
      <c r="AO193" s="1701"/>
      <c r="AR193" s="1699">
        <v>96.872</v>
      </c>
      <c r="AS193" s="1702"/>
      <c r="AV193" s="1699">
        <v>89.8</v>
      </c>
      <c r="AW193" s="1702"/>
      <c r="AZ193" s="1699">
        <v>91.326999999999998</v>
      </c>
      <c r="BA193" s="1702"/>
      <c r="BC193" s="1703"/>
      <c r="BD193" s="1699">
        <v>92.292000000000002</v>
      </c>
      <c r="BE193" s="1704"/>
      <c r="BH193" s="1699">
        <v>90.138000000000005</v>
      </c>
      <c r="BI193" s="1703"/>
      <c r="BL193" s="1699">
        <v>87.697000000000003</v>
      </c>
      <c r="BM193" s="1703"/>
      <c r="BP193" s="1699">
        <v>88.094999999999999</v>
      </c>
      <c r="BQ193" s="1703"/>
      <c r="BS193" s="114"/>
      <c r="BT193" s="1699">
        <v>90.441000000000003</v>
      </c>
      <c r="BU193" s="1703"/>
      <c r="BV193" s="1705"/>
      <c r="BW193" s="114"/>
      <c r="BX193" s="1699">
        <v>86.183999999999997</v>
      </c>
      <c r="BY193" s="1703"/>
      <c r="BZ193" s="1705"/>
      <c r="CA193" s="114"/>
      <c r="CB193" s="1699">
        <v>78.323999999999998</v>
      </c>
      <c r="CC193" s="245"/>
      <c r="CD193" s="245"/>
      <c r="CE193" s="245"/>
      <c r="CF193" s="1706">
        <v>74.483000000000004</v>
      </c>
      <c r="CG193" s="245"/>
      <c r="CH193" s="245"/>
      <c r="CI193" s="245"/>
      <c r="CJ193" s="1706">
        <v>69.510000000000005</v>
      </c>
      <c r="CK193" s="245"/>
      <c r="CL193" s="245"/>
      <c r="CM193" s="245"/>
      <c r="CN193" s="1706">
        <v>67.625</v>
      </c>
      <c r="CO193" s="245"/>
      <c r="CP193" s="245"/>
      <c r="CQ193" s="245"/>
      <c r="CR193" s="1706">
        <v>68.072999999999993</v>
      </c>
      <c r="CS193" s="245"/>
      <c r="CT193" s="245"/>
      <c r="CU193" s="245"/>
      <c r="CV193" s="2208">
        <f>CR196+0.25</f>
        <v>70.606999999999999</v>
      </c>
      <c r="CW193" s="245"/>
      <c r="CX193" s="245"/>
    </row>
    <row r="194" spans="1:135">
      <c r="A194" s="114" t="str">
        <f>$A$11</f>
        <v>2Q</v>
      </c>
      <c r="B194" s="114" t="str">
        <f>$B$11</f>
        <v>Jul</v>
      </c>
      <c r="D194" s="1699">
        <v>102.1</v>
      </c>
      <c r="E194" s="1151"/>
      <c r="F194" s="1151"/>
      <c r="H194" s="1700">
        <f>51.05*2</f>
        <v>102.1</v>
      </c>
      <c r="I194" s="1151"/>
      <c r="J194" s="1151"/>
      <c r="L194" s="1700">
        <f>51.05*2</f>
        <v>102.1</v>
      </c>
      <c r="M194" s="1151"/>
      <c r="N194" s="1151"/>
      <c r="P194" s="1700">
        <f>51.322*2</f>
        <v>102.64400000000001</v>
      </c>
      <c r="Q194" s="1151"/>
      <c r="R194" s="1151"/>
      <c r="T194" s="1700">
        <f>53.116*2</f>
        <v>106.232</v>
      </c>
      <c r="U194" s="1151"/>
      <c r="V194" s="1151"/>
      <c r="W194" s="1151"/>
      <c r="X194" s="1699">
        <v>108.611</v>
      </c>
      <c r="AB194" s="1699">
        <v>101.70399999999999</v>
      </c>
      <c r="AC194" s="1701"/>
      <c r="AF194" s="1699">
        <v>104.02</v>
      </c>
      <c r="AG194" s="1701"/>
      <c r="AJ194" s="1699">
        <v>101.465</v>
      </c>
      <c r="AK194" s="1701"/>
      <c r="AN194" s="1699">
        <v>100.128</v>
      </c>
      <c r="AO194" s="1701"/>
      <c r="AR194" s="1699">
        <v>97.59</v>
      </c>
      <c r="AS194" s="1707"/>
      <c r="AV194" s="1699">
        <v>91.501000000000005</v>
      </c>
      <c r="AW194" s="1707"/>
      <c r="AZ194" s="1699">
        <v>91.177999999999997</v>
      </c>
      <c r="BA194" s="1707"/>
      <c r="BD194" s="1699">
        <v>92.293999999999997</v>
      </c>
      <c r="BE194" s="1704"/>
      <c r="BH194" s="1699">
        <v>89.962999999999994</v>
      </c>
      <c r="BL194" s="1699">
        <v>87.878</v>
      </c>
      <c r="BP194" s="1699">
        <v>89.385999999999996</v>
      </c>
      <c r="BS194" s="114"/>
      <c r="BT194" s="1699">
        <v>90.352999999999994</v>
      </c>
      <c r="BU194" s="114"/>
      <c r="BV194" s="1705"/>
      <c r="BW194" s="114"/>
      <c r="BX194" s="1699">
        <v>83.441000000000003</v>
      </c>
      <c r="BY194" s="114"/>
      <c r="BZ194" s="1705"/>
      <c r="CA194" s="114"/>
      <c r="CB194" s="1699">
        <v>79.266999999999996</v>
      </c>
      <c r="CC194" s="245"/>
      <c r="CD194" s="245"/>
      <c r="CE194" s="245"/>
      <c r="CF194" s="1708">
        <v>73.756</v>
      </c>
      <c r="CG194" s="245"/>
      <c r="CH194" s="245"/>
      <c r="CI194" s="245"/>
      <c r="CJ194" s="1708">
        <v>70.093999999999994</v>
      </c>
      <c r="CK194" s="245"/>
      <c r="CL194" s="245"/>
      <c r="CM194" s="245"/>
      <c r="CN194" s="2036">
        <v>67.944000000000003</v>
      </c>
      <c r="CO194" s="245"/>
      <c r="CP194" s="245"/>
      <c r="CQ194" s="245"/>
      <c r="CR194" s="2036">
        <v>68.456000000000003</v>
      </c>
      <c r="CS194" s="245"/>
      <c r="CT194" s="245"/>
      <c r="CU194" s="245"/>
      <c r="CV194" s="2208">
        <f>CV193+0.25</f>
        <v>70.856999999999999</v>
      </c>
      <c r="CW194" s="245"/>
      <c r="CX194" s="245"/>
    </row>
    <row r="195" spans="1:135">
      <c r="A195" s="114" t="str">
        <f>$A$12</f>
        <v>3Q</v>
      </c>
      <c r="B195" s="114" t="str">
        <f>$B$12</f>
        <v>Oct</v>
      </c>
      <c r="D195" s="1699">
        <v>102.1</v>
      </c>
      <c r="E195" s="1151"/>
      <c r="F195" s="1151"/>
      <c r="H195" s="1700">
        <f>51.05*2</f>
        <v>102.1</v>
      </c>
      <c r="I195" s="1151"/>
      <c r="J195" s="1151"/>
      <c r="L195" s="1700">
        <f>51.05*2</f>
        <v>102.1</v>
      </c>
      <c r="M195" s="1151"/>
      <c r="N195" s="1151"/>
      <c r="P195" s="1700">
        <f>51.594*2</f>
        <v>103.188</v>
      </c>
      <c r="Q195" s="1151"/>
      <c r="R195" s="1151"/>
      <c r="T195" s="1700">
        <f>53.046*2</f>
        <v>106.092</v>
      </c>
      <c r="U195" s="1151"/>
      <c r="V195" s="1151"/>
      <c r="W195" s="1151"/>
      <c r="X195" s="1699">
        <v>107.578</v>
      </c>
      <c r="Z195" s="114" t="s">
        <v>355</v>
      </c>
      <c r="AB195" s="1699">
        <v>101.548</v>
      </c>
      <c r="AC195" s="1701"/>
      <c r="AF195" s="1699">
        <v>101.69199999999999</v>
      </c>
      <c r="AG195" s="1701"/>
      <c r="AJ195" s="1699">
        <v>99.567999999999998</v>
      </c>
      <c r="AK195" s="1701"/>
      <c r="AN195" s="1699">
        <v>99.102000000000004</v>
      </c>
      <c r="AO195" s="1701"/>
      <c r="AR195" s="1699">
        <v>95.350999999999999</v>
      </c>
      <c r="AS195" s="1707"/>
      <c r="AV195" s="1699">
        <v>90.457999999999998</v>
      </c>
      <c r="AW195" s="1707"/>
      <c r="AZ195" s="1699">
        <v>92.146000000000001</v>
      </c>
      <c r="BA195" s="1707"/>
      <c r="BC195" s="1705"/>
      <c r="BD195" s="1699">
        <v>91.132999999999996</v>
      </c>
      <c r="BE195" s="1709"/>
      <c r="BF195" s="1710"/>
      <c r="BH195" s="1699">
        <v>88.805999999999997</v>
      </c>
      <c r="BL195" s="1699">
        <v>88.73</v>
      </c>
      <c r="BP195" s="1699">
        <v>90.069000000000003</v>
      </c>
      <c r="BQ195" s="1705"/>
      <c r="BR195" s="1705"/>
      <c r="BS195" s="114"/>
      <c r="BT195" s="1699">
        <v>89.706999999999994</v>
      </c>
      <c r="BU195" s="114"/>
      <c r="BV195" s="114"/>
      <c r="BW195" s="114"/>
      <c r="BX195" s="1699">
        <v>82.522000000000006</v>
      </c>
      <c r="BY195" s="114"/>
      <c r="BZ195" s="114"/>
      <c r="CA195" s="114"/>
      <c r="CB195" s="1699">
        <v>77.677000000000007</v>
      </c>
      <c r="CC195" s="245"/>
      <c r="CD195" s="245"/>
      <c r="CE195" s="245"/>
      <c r="CF195" s="1708">
        <v>72.128</v>
      </c>
      <c r="CG195" s="245"/>
      <c r="CH195" s="245"/>
      <c r="CI195" s="245"/>
      <c r="CJ195" s="2018">
        <v>69.265000000000001</v>
      </c>
      <c r="CK195" s="245"/>
      <c r="CL195" s="245"/>
      <c r="CM195" s="245"/>
      <c r="CN195" s="2036">
        <v>68.277000000000001</v>
      </c>
      <c r="CO195" s="245"/>
      <c r="CP195" s="245"/>
      <c r="CQ195" s="245"/>
      <c r="CR195" s="2243">
        <v>68.512</v>
      </c>
      <c r="CS195" s="245"/>
      <c r="CT195" s="245"/>
      <c r="CU195" s="245"/>
      <c r="CV195" s="2208">
        <f>CV194+0.3</f>
        <v>71.156999999999996</v>
      </c>
      <c r="CW195" s="245"/>
      <c r="CX195" s="245"/>
    </row>
    <row r="196" spans="1:135">
      <c r="A196" s="114" t="str">
        <f>$A$13</f>
        <v>4Q</v>
      </c>
      <c r="B196" s="114" t="str">
        <f>$B$13</f>
        <v>Jan</v>
      </c>
      <c r="C196" s="310"/>
      <c r="D196" s="1711">
        <v>102.1</v>
      </c>
      <c r="E196" s="1151"/>
      <c r="F196" s="1151"/>
      <c r="H196" s="1711">
        <f>51.05*2</f>
        <v>102.1</v>
      </c>
      <c r="I196" s="1151"/>
      <c r="J196" s="1151"/>
      <c r="L196" s="1712">
        <f>51.05*2</f>
        <v>102.1</v>
      </c>
      <c r="M196" s="1151"/>
      <c r="N196" s="1151"/>
      <c r="P196" s="1712">
        <f>51.929*2</f>
        <v>103.858</v>
      </c>
      <c r="Q196" s="1151"/>
      <c r="R196" s="1151"/>
      <c r="T196" s="1712">
        <f>53.786*2</f>
        <v>107.572</v>
      </c>
      <c r="U196" s="1151"/>
      <c r="V196" s="1151"/>
      <c r="W196" s="1151"/>
      <c r="X196" s="1711">
        <v>105.703</v>
      </c>
      <c r="AB196" s="1711">
        <v>101.499</v>
      </c>
      <c r="AC196" s="1701"/>
      <c r="AF196" s="1711">
        <v>101.5</v>
      </c>
      <c r="AG196" s="1701"/>
      <c r="AJ196" s="1711">
        <v>99.397999999999996</v>
      </c>
      <c r="AK196" s="1701"/>
      <c r="AN196" s="1711">
        <v>97.838999999999999</v>
      </c>
      <c r="AO196" s="1701"/>
      <c r="AR196" s="1711">
        <v>90.75</v>
      </c>
      <c r="AS196" s="1701"/>
      <c r="AV196" s="1711">
        <v>91.275000000000006</v>
      </c>
      <c r="AW196" s="1701"/>
      <c r="AZ196" s="1711">
        <v>92.572000000000003</v>
      </c>
      <c r="BA196" s="1702"/>
      <c r="BD196" s="1711">
        <v>90.234999999999999</v>
      </c>
      <c r="BE196" s="1709"/>
      <c r="BF196" s="1710"/>
      <c r="BH196" s="1711">
        <v>88.257999999999996</v>
      </c>
      <c r="BL196" s="1711">
        <v>89.114000000000004</v>
      </c>
      <c r="BP196" s="1711">
        <v>90.213999999999999</v>
      </c>
      <c r="BR196" s="1705"/>
      <c r="BS196" s="114"/>
      <c r="BT196" s="1711">
        <v>87.647999999999996</v>
      </c>
      <c r="BU196" s="114"/>
      <c r="BV196" s="114"/>
      <c r="BW196" s="114"/>
      <c r="BX196" s="1711">
        <v>80.554000000000002</v>
      </c>
      <c r="BY196" s="114"/>
      <c r="BZ196" s="114"/>
      <c r="CA196" s="114"/>
      <c r="CB196" s="1711">
        <v>77.567999999999998</v>
      </c>
      <c r="CC196" s="245"/>
      <c r="CD196" s="245"/>
      <c r="CE196" s="245"/>
      <c r="CF196" s="1711">
        <v>70.135999999999996</v>
      </c>
      <c r="CG196" s="245"/>
      <c r="CH196" s="245"/>
      <c r="CI196" s="245"/>
      <c r="CJ196" s="2022">
        <v>68.242999999999995</v>
      </c>
      <c r="CK196" s="245"/>
      <c r="CL196" s="245"/>
      <c r="CM196" s="245"/>
      <c r="CN196" s="2022">
        <v>68.299000000000007</v>
      </c>
      <c r="CO196" s="245"/>
      <c r="CP196" s="245"/>
      <c r="CQ196" s="245"/>
      <c r="CR196" s="2022">
        <v>70.356999999999999</v>
      </c>
      <c r="CS196" s="245"/>
      <c r="CT196" s="245"/>
      <c r="CU196" s="245"/>
      <c r="CV196" s="2209">
        <f>CV195+0.3</f>
        <v>71.456999999999994</v>
      </c>
      <c r="CW196" s="245"/>
      <c r="CX196" s="245"/>
    </row>
    <row r="197" spans="1:135">
      <c r="B197" s="114" t="str">
        <f>$B$14</f>
        <v>Year</v>
      </c>
      <c r="D197" s="1713">
        <f>AVERAGE(D193:D196)</f>
        <v>102.1</v>
      </c>
      <c r="E197" s="1714"/>
      <c r="F197" s="1714"/>
      <c r="G197" s="1714"/>
      <c r="H197" s="1699">
        <f>AVERAGE(H193:H196)</f>
        <v>102.1</v>
      </c>
      <c r="I197" s="1705"/>
      <c r="J197" s="1705"/>
      <c r="K197" s="1705"/>
      <c r="L197" s="1699">
        <f>AVERAGE(L193:L196)</f>
        <v>102.1</v>
      </c>
      <c r="M197" s="1705"/>
      <c r="N197" s="1705"/>
      <c r="O197" s="1705"/>
      <c r="P197" s="1699">
        <v>102.956</v>
      </c>
      <c r="Q197" s="1705"/>
      <c r="R197" s="1705"/>
      <c r="S197" s="1705"/>
      <c r="T197" s="1699">
        <v>106.202</v>
      </c>
      <c r="U197" s="1705"/>
      <c r="V197" s="1705"/>
      <c r="W197" s="1705"/>
      <c r="X197" s="1699">
        <v>107.64100000000001</v>
      </c>
      <c r="Y197" s="1705"/>
      <c r="Z197" s="1705"/>
      <c r="AA197" s="1705"/>
      <c r="AB197" s="1699">
        <v>102.15600000000001</v>
      </c>
      <c r="AC197" s="1517"/>
      <c r="AD197" s="1705"/>
      <c r="AE197" s="1705"/>
      <c r="AF197" s="1699">
        <v>102.524</v>
      </c>
      <c r="AG197" s="1705"/>
      <c r="AH197" s="1705"/>
      <c r="AI197" s="1705"/>
      <c r="AJ197" s="1699">
        <v>100.631</v>
      </c>
      <c r="AK197" s="1705"/>
      <c r="AL197" s="1705"/>
      <c r="AM197" s="1705"/>
      <c r="AN197" s="1699">
        <v>99.58</v>
      </c>
      <c r="AO197" s="1705"/>
      <c r="AP197" s="1705"/>
      <c r="AQ197" s="1705"/>
      <c r="AR197" s="1699">
        <v>95.11</v>
      </c>
      <c r="AS197" s="1705"/>
      <c r="AT197" s="1705"/>
      <c r="AU197" s="1705"/>
      <c r="AV197" s="1699">
        <v>91.221000000000004</v>
      </c>
      <c r="AW197" s="1705"/>
      <c r="AX197" s="1705"/>
      <c r="AY197" s="1705"/>
      <c r="AZ197" s="1699">
        <v>92.01</v>
      </c>
      <c r="BA197" s="1705"/>
      <c r="BB197" s="1705"/>
      <c r="BC197" s="1705"/>
      <c r="BD197" s="1699">
        <v>91.522999999999996</v>
      </c>
      <c r="BE197" s="1705"/>
      <c r="BF197" s="1705"/>
      <c r="BG197" s="1705"/>
      <c r="BH197" s="1699">
        <v>89.290999999999997</v>
      </c>
      <c r="BK197" s="1705"/>
      <c r="BL197" s="1699">
        <v>88.608999999999995</v>
      </c>
      <c r="BO197" s="1705"/>
      <c r="BP197" s="1699">
        <v>89.850999999999999</v>
      </c>
      <c r="BS197" s="1705"/>
      <c r="BT197" s="1699">
        <v>89.537000000000006</v>
      </c>
      <c r="BU197" s="114"/>
      <c r="BV197" s="114"/>
      <c r="BW197" s="1705"/>
      <c r="BX197" s="1699">
        <f>AVERAGE(BX193:BX196)</f>
        <v>83.175250000000005</v>
      </c>
      <c r="BY197" s="114"/>
      <c r="BZ197" s="114"/>
      <c r="CA197" s="114"/>
      <c r="CB197" s="1699">
        <f>79.166</f>
        <v>79.165999999999997</v>
      </c>
      <c r="CC197" s="1715"/>
      <c r="CD197" s="1715"/>
      <c r="CE197" s="1715"/>
      <c r="CF197" s="1699">
        <v>72.936999999999998</v>
      </c>
      <c r="CG197" s="1715"/>
      <c r="CH197" s="1715"/>
      <c r="CI197" s="1715"/>
      <c r="CJ197" s="2024">
        <v>69.417000000000002</v>
      </c>
      <c r="CK197" s="1715"/>
      <c r="CL197" s="1715"/>
      <c r="CM197" s="1715"/>
      <c r="CN197" s="2024">
        <v>68.284000000000006</v>
      </c>
      <c r="CO197" s="1715"/>
      <c r="CP197" s="1715"/>
      <c r="CQ197" s="1715"/>
      <c r="CR197" s="2279">
        <v>69.403000000000006</v>
      </c>
      <c r="CS197" s="1715"/>
      <c r="CT197" s="1715"/>
      <c r="CU197" s="1715"/>
      <c r="CV197" s="1705">
        <f>AVERAGE(CV193:CV196)</f>
        <v>71.019499999999994</v>
      </c>
      <c r="CW197" s="1715"/>
      <c r="CX197" s="1715"/>
    </row>
    <row r="198" spans="1:135" ht="12.75" hidden="1" customHeight="1" outlineLevel="1">
      <c r="A198" s="114" t="str">
        <f>$A$15</f>
        <v>6 Mos</v>
      </c>
      <c r="D198" s="1714">
        <f>(D193+D194)/2</f>
        <v>102.1</v>
      </c>
      <c r="E198" s="1714"/>
      <c r="F198" s="1714"/>
      <c r="G198" s="1714"/>
      <c r="H198" s="1705">
        <f>(H193+H194)/2</f>
        <v>102.1</v>
      </c>
      <c r="I198" s="1705"/>
      <c r="J198" s="1705"/>
      <c r="K198" s="1705"/>
      <c r="L198" s="1705">
        <f>(L193+L194)/2</f>
        <v>102.1</v>
      </c>
      <c r="M198" s="1705"/>
      <c r="N198" s="1705"/>
      <c r="O198" s="1705"/>
      <c r="P198" s="1705">
        <f>(P193+P194)/2</f>
        <v>102.39</v>
      </c>
      <c r="Q198" s="1705"/>
      <c r="R198" s="1705"/>
      <c r="S198" s="1705"/>
      <c r="T198" s="1705">
        <f>(T193+T194)/2</f>
        <v>105.592</v>
      </c>
      <c r="U198" s="1705"/>
      <c r="V198" s="1705"/>
      <c r="W198" s="1705"/>
      <c r="X198" s="1705">
        <f>(X193+X194)/2</f>
        <v>108.64100000000001</v>
      </c>
      <c r="Y198" s="1705"/>
      <c r="Z198" s="1705"/>
      <c r="AA198" s="1705"/>
      <c r="AB198" s="1705">
        <f>(AB193+AB194)/2</f>
        <v>102.788</v>
      </c>
      <c r="AC198" s="1705"/>
      <c r="AD198" s="1705"/>
      <c r="AE198" s="1705"/>
      <c r="AF198" s="1705">
        <f>(AF193+AF194)/2</f>
        <v>103.4525</v>
      </c>
      <c r="AG198" s="1705"/>
      <c r="AH198" s="1705"/>
      <c r="AI198" s="1705"/>
      <c r="AJ198" s="1705">
        <f>(AJ193+AJ194)/2</f>
        <v>101.7975</v>
      </c>
      <c r="AK198" s="1705"/>
      <c r="AL198" s="1705"/>
      <c r="AM198" s="1705"/>
      <c r="AN198" s="1705">
        <f>(AN193+AN194)/2</f>
        <v>99.981499999999997</v>
      </c>
      <c r="AO198" s="1705"/>
      <c r="AP198" s="1705"/>
      <c r="AQ198" s="1705"/>
      <c r="AR198" s="1705">
        <f>(AR193+AR194)/2</f>
        <v>97.230999999999995</v>
      </c>
      <c r="AS198" s="1705"/>
      <c r="AT198" s="1705"/>
      <c r="AU198" s="1705"/>
      <c r="AV198" s="1705">
        <f>(AV193+AV194)/2</f>
        <v>90.650499999999994</v>
      </c>
      <c r="AW198" s="1705"/>
      <c r="AX198" s="1705"/>
      <c r="AY198" s="1705"/>
      <c r="AZ198" s="1705">
        <f>(AZ193+AZ194)/2</f>
        <v>91.252499999999998</v>
      </c>
      <c r="BA198" s="1705"/>
      <c r="BB198" s="1705"/>
      <c r="BC198" s="1705"/>
      <c r="BD198" s="1705">
        <f>(BD193+BD194)/2</f>
        <v>92.293000000000006</v>
      </c>
      <c r="BE198" s="1705"/>
      <c r="BF198" s="1705"/>
      <c r="BG198" s="1705"/>
      <c r="BH198" s="1703">
        <f>(BH193+BH194)/2</f>
        <v>90.0505</v>
      </c>
      <c r="BK198" s="1705"/>
      <c r="BL198" s="1703">
        <f>(BL193+BL194)/2</f>
        <v>87.787499999999994</v>
      </c>
      <c r="BO198" s="1705"/>
      <c r="BP198" s="1703">
        <f>(BP193+BP194)/2</f>
        <v>88.740499999999997</v>
      </c>
      <c r="BS198" s="1705"/>
      <c r="BT198" s="1703">
        <f>(BT193+BT194)/2</f>
        <v>90.396999999999991</v>
      </c>
      <c r="BU198" s="114"/>
      <c r="BV198" s="114"/>
      <c r="BW198" s="1705"/>
      <c r="BX198" s="1703">
        <f>(BX193+BX194)/2</f>
        <v>84.8125</v>
      </c>
      <c r="BY198" s="114"/>
      <c r="BZ198" s="114"/>
      <c r="CA198" s="114"/>
      <c r="CB198" s="1703">
        <f>(CB193+CB194)/2</f>
        <v>78.795500000000004</v>
      </c>
      <c r="CC198" s="1715"/>
      <c r="CD198" s="1715"/>
      <c r="CE198" s="1715"/>
      <c r="CF198" s="1703">
        <f>(CF193+CF194)/2</f>
        <v>74.119500000000002</v>
      </c>
      <c r="CG198" s="1715"/>
      <c r="CH198" s="1715"/>
      <c r="CI198" s="1715"/>
      <c r="CJ198" s="1703">
        <f>(CJ193+CJ194)/2</f>
        <v>69.801999999999992</v>
      </c>
      <c r="CK198" s="1715"/>
      <c r="CL198" s="1715"/>
      <c r="CM198" s="1715"/>
      <c r="CN198" s="1703">
        <f>(CN193+CN194)/2</f>
        <v>67.784500000000008</v>
      </c>
      <c r="CO198" s="1715"/>
      <c r="CP198" s="1715"/>
      <c r="CQ198" s="1715"/>
      <c r="CR198" s="1703">
        <f>(CR193+CR194)/2</f>
        <v>68.264499999999998</v>
      </c>
      <c r="CS198" s="1715"/>
      <c r="CT198" s="1715"/>
      <c r="CU198" s="1715"/>
      <c r="CV198" s="1703">
        <f>(CV193+CV194)/2</f>
        <v>70.731999999999999</v>
      </c>
      <c r="CW198" s="1715"/>
      <c r="CX198" s="1715"/>
    </row>
    <row r="199" spans="1:135" ht="12.75" hidden="1" customHeight="1" outlineLevel="1">
      <c r="A199" s="114" t="str">
        <f>$A$16</f>
        <v>9 Mos</v>
      </c>
      <c r="D199" s="1714">
        <f>(D193+D194+D195)/3</f>
        <v>102.09999999999998</v>
      </c>
      <c r="E199" s="1714"/>
      <c r="F199" s="1714"/>
      <c r="G199" s="1714"/>
      <c r="H199" s="1705">
        <f>(H193+H194+H195)/3</f>
        <v>102.09999999999998</v>
      </c>
      <c r="I199" s="1705"/>
      <c r="J199" s="1705"/>
      <c r="K199" s="1705"/>
      <c r="L199" s="1705">
        <f>(L193+L194+L195)/3</f>
        <v>102.09999999999998</v>
      </c>
      <c r="M199" s="1705"/>
      <c r="N199" s="1705"/>
      <c r="O199" s="1705"/>
      <c r="P199" s="1705">
        <f>(P193+P194+P195)/3</f>
        <v>102.65600000000001</v>
      </c>
      <c r="Q199" s="1705"/>
      <c r="R199" s="1705"/>
      <c r="S199" s="1705"/>
      <c r="T199" s="1705">
        <f>(T193+T194+T195)/3</f>
        <v>105.75866666666667</v>
      </c>
      <c r="U199" s="1705"/>
      <c r="V199" s="1705"/>
      <c r="W199" s="1705"/>
      <c r="X199" s="1705">
        <f>(X193+X194+X195)/3</f>
        <v>108.28666666666668</v>
      </c>
      <c r="Y199" s="1705"/>
      <c r="Z199" s="1705"/>
      <c r="AA199" s="1705"/>
      <c r="AB199" s="1705">
        <f>(AB193+AB194+AB195)/3</f>
        <v>102.37466666666667</v>
      </c>
      <c r="AC199" s="1705"/>
      <c r="AD199" s="1705"/>
      <c r="AE199" s="1705"/>
      <c r="AF199" s="1705">
        <f>(AF193+AF194+AF195)/3</f>
        <v>102.86566666666666</v>
      </c>
      <c r="AG199" s="1705"/>
      <c r="AH199" s="1705"/>
      <c r="AI199" s="1705"/>
      <c r="AJ199" s="1705">
        <f>(AJ193+AJ194+AJ195)/3</f>
        <v>101.05433333333333</v>
      </c>
      <c r="AK199" s="1705"/>
      <c r="AL199" s="1705"/>
      <c r="AM199" s="1705"/>
      <c r="AN199" s="1705">
        <f>(AN193+AN194+AN195)/3</f>
        <v>99.688333333333333</v>
      </c>
      <c r="AO199" s="1705"/>
      <c r="AP199" s="1705"/>
      <c r="AQ199" s="1705"/>
      <c r="AR199" s="1705">
        <f>(AR193+AR194+AR195)/3</f>
        <v>96.604333333333329</v>
      </c>
      <c r="AS199" s="1705"/>
      <c r="AT199" s="1705"/>
      <c r="AU199" s="1705"/>
      <c r="AV199" s="1705">
        <f>(AV193+AV194+AV195)/3</f>
        <v>90.586333333333343</v>
      </c>
      <c r="AW199" s="1705"/>
      <c r="AX199" s="1705"/>
      <c r="AY199" s="1705"/>
      <c r="AZ199" s="1705">
        <f>(AZ193+AZ194+AZ195)/3</f>
        <v>91.550333333333342</v>
      </c>
      <c r="BA199" s="1705"/>
      <c r="BB199" s="1705"/>
      <c r="BC199" s="1705"/>
      <c r="BD199" s="1705">
        <f>(BD193+BD194+BD195)/3</f>
        <v>91.906333333333336</v>
      </c>
      <c r="BE199" s="1705"/>
      <c r="BF199" s="1705"/>
      <c r="BG199" s="1705"/>
      <c r="BH199" s="1703">
        <f>(BH193+BH194+BH195)/3</f>
        <v>89.635666666666665</v>
      </c>
      <c r="BK199" s="1705"/>
      <c r="BL199" s="1703">
        <f>(BL193+BL194+BL195)/3</f>
        <v>88.101666666666674</v>
      </c>
      <c r="BO199" s="1705"/>
      <c r="BP199" s="1703">
        <f>(BP193+BP194+BP195)/3</f>
        <v>89.183333333333337</v>
      </c>
      <c r="BS199" s="1705"/>
      <c r="BT199" s="1703">
        <f>(BT193+BT194+BT195)/3</f>
        <v>90.166999999999987</v>
      </c>
      <c r="BU199" s="114"/>
      <c r="BV199" s="114"/>
      <c r="BW199" s="1705"/>
      <c r="BX199" s="1703">
        <f>(BX193+BX194+BX195)/3</f>
        <v>84.048999999999992</v>
      </c>
      <c r="BY199" s="114"/>
      <c r="BZ199" s="114"/>
      <c r="CA199" s="114"/>
      <c r="CB199" s="1703">
        <f>(CB193+CB194+CB195)/3</f>
        <v>78.422666666666672</v>
      </c>
      <c r="CC199" s="1715"/>
      <c r="CD199" s="1715"/>
      <c r="CE199" s="1715"/>
      <c r="CF199" s="1703">
        <f>(CF193+CF194+CF195)/3</f>
        <v>73.455666666666673</v>
      </c>
      <c r="CG199" s="1715"/>
      <c r="CH199" s="1715"/>
      <c r="CI199" s="1715"/>
      <c r="CJ199" s="1703">
        <f>(CJ193+CJ194+CJ195)/3</f>
        <v>69.62299999999999</v>
      </c>
      <c r="CK199" s="1715"/>
      <c r="CL199" s="1715"/>
      <c r="CM199" s="1715"/>
      <c r="CN199" s="1703">
        <f>(CN193+CN194+CN195)/3</f>
        <v>67.948666666666668</v>
      </c>
      <c r="CO199" s="1715"/>
      <c r="CP199" s="1715"/>
      <c r="CQ199" s="1715"/>
      <c r="CR199" s="1703">
        <f>(CR193+CR194+CR195)/3</f>
        <v>68.346999999999994</v>
      </c>
      <c r="CS199" s="1715"/>
      <c r="CT199" s="1715"/>
      <c r="CU199" s="1715"/>
      <c r="CV199" s="1703">
        <f>(CV193+CV194+CV195)/3</f>
        <v>70.873666666666665</v>
      </c>
      <c r="CW199" s="1715"/>
      <c r="CX199" s="1715"/>
    </row>
    <row r="200" spans="1:135" collapsed="1">
      <c r="AV200" s="1705"/>
      <c r="AZ200" s="1705"/>
      <c r="BD200" s="1539"/>
      <c r="BE200" s="1705"/>
      <c r="BL200" s="1705"/>
      <c r="BS200" s="114"/>
      <c r="BT200" s="114"/>
      <c r="BU200" s="114"/>
      <c r="BV200" s="114"/>
      <c r="BW200" s="114"/>
      <c r="BX200" s="114"/>
      <c r="BY200" s="114"/>
      <c r="BZ200" s="114"/>
      <c r="CA200" s="114"/>
      <c r="CB200" s="245"/>
      <c r="CC200" s="245"/>
      <c r="CD200" s="245"/>
      <c r="CE200" s="245"/>
      <c r="CF200" s="1715"/>
      <c r="CG200" s="245"/>
      <c r="CH200" s="245"/>
      <c r="CI200" s="245"/>
      <c r="CJ200" s="245"/>
      <c r="CK200" s="245"/>
      <c r="CL200" s="245"/>
      <c r="CM200" s="245"/>
      <c r="CN200" s="245"/>
      <c r="CO200" s="245"/>
      <c r="CP200" s="245"/>
      <c r="CQ200" s="245"/>
      <c r="CR200" s="245"/>
      <c r="CS200" s="245"/>
      <c r="CT200" s="245"/>
      <c r="CU200" s="245"/>
      <c r="CV200" s="245"/>
      <c r="CW200" s="245"/>
      <c r="CX200" s="245"/>
    </row>
    <row r="201" spans="1:135">
      <c r="A201" s="312"/>
      <c r="B201" s="312"/>
      <c r="C201" s="312"/>
      <c r="D201" s="312"/>
      <c r="E201" s="312"/>
      <c r="F201" s="312"/>
      <c r="G201" s="312"/>
      <c r="H201" s="312"/>
      <c r="I201" s="312"/>
      <c r="J201" s="312"/>
      <c r="K201" s="312"/>
      <c r="L201" s="312"/>
      <c r="M201" s="312"/>
      <c r="N201" s="312"/>
      <c r="O201" s="312"/>
      <c r="P201" s="312"/>
      <c r="Q201" s="312"/>
      <c r="R201" s="312"/>
      <c r="S201" s="312"/>
      <c r="T201" s="312"/>
      <c r="U201" s="312"/>
      <c r="V201" s="312"/>
      <c r="W201" s="312"/>
      <c r="X201" s="312"/>
      <c r="Y201" s="312"/>
      <c r="Z201" s="312"/>
      <c r="AA201" s="312"/>
      <c r="AB201" s="312"/>
      <c r="AC201" s="312"/>
      <c r="AD201" s="312"/>
      <c r="AE201" s="312"/>
      <c r="AF201" s="312"/>
      <c r="AG201" s="312"/>
      <c r="AH201" s="312"/>
      <c r="AI201" s="312"/>
      <c r="AJ201" s="312"/>
      <c r="AK201" s="312"/>
      <c r="AL201" s="312"/>
      <c r="AM201" s="312"/>
      <c r="AN201" s="312"/>
      <c r="AO201" s="312"/>
      <c r="AP201" s="312"/>
      <c r="AQ201" s="312"/>
      <c r="AR201" s="312"/>
      <c r="AS201" s="312"/>
      <c r="AT201" s="312"/>
      <c r="AU201" s="312"/>
      <c r="AV201" s="312"/>
      <c r="AW201" s="312"/>
      <c r="AX201" s="312"/>
      <c r="AY201" s="312"/>
      <c r="AZ201" s="312"/>
      <c r="BA201" s="312"/>
      <c r="BB201" s="312"/>
      <c r="BC201" s="312"/>
      <c r="BD201" s="1716"/>
      <c r="BE201" s="1717"/>
      <c r="BF201" s="312"/>
      <c r="BG201" s="312"/>
      <c r="BH201" s="312"/>
      <c r="BI201" s="312"/>
      <c r="BJ201" s="312"/>
      <c r="BK201" s="312"/>
      <c r="BL201" s="312"/>
      <c r="BM201" s="312"/>
      <c r="BN201" s="312"/>
      <c r="BO201" s="312"/>
      <c r="BP201" s="312"/>
      <c r="BQ201" s="312"/>
      <c r="BR201" s="312"/>
      <c r="BS201" s="111"/>
      <c r="BT201" s="312"/>
      <c r="BU201" s="312"/>
      <c r="BV201" s="312"/>
      <c r="BW201" s="111"/>
      <c r="BX201" s="312"/>
      <c r="BY201" s="312"/>
      <c r="BZ201" s="312"/>
      <c r="CA201" s="312"/>
      <c r="CB201" s="306"/>
      <c r="CC201" s="306"/>
      <c r="CD201" s="306"/>
      <c r="CE201" s="306"/>
      <c r="CF201" s="306"/>
      <c r="CG201" s="306"/>
      <c r="CH201" s="306"/>
      <c r="CI201" s="306"/>
      <c r="CJ201" s="306"/>
      <c r="CK201" s="306"/>
      <c r="CL201" s="306"/>
      <c r="CM201" s="306"/>
      <c r="CN201" s="306"/>
      <c r="CO201" s="306"/>
      <c r="CP201" s="306"/>
      <c r="CQ201" s="306"/>
      <c r="CR201" s="306"/>
      <c r="CS201" s="306"/>
      <c r="CT201" s="306"/>
      <c r="CU201" s="306"/>
      <c r="CV201" s="306"/>
      <c r="CW201" s="306"/>
      <c r="CX201" s="306"/>
      <c r="CY201" s="111"/>
      <c r="CZ201" s="111"/>
      <c r="DA201" s="111"/>
      <c r="DB201" s="111"/>
      <c r="DC201" s="111"/>
      <c r="DD201" s="111"/>
      <c r="DE201" s="111"/>
      <c r="DF201" s="111"/>
      <c r="DG201" s="111"/>
      <c r="DH201" s="111"/>
      <c r="DI201" s="111"/>
      <c r="DJ201" s="111"/>
      <c r="DK201" s="111"/>
      <c r="DL201" s="111"/>
      <c r="DM201" s="111"/>
      <c r="DN201" s="111"/>
      <c r="DO201" s="111"/>
      <c r="DP201" s="111"/>
      <c r="DQ201" s="111"/>
      <c r="DR201" s="111"/>
      <c r="DS201" s="111"/>
      <c r="DT201" s="111"/>
      <c r="DU201" s="111"/>
      <c r="DV201" s="111"/>
      <c r="DW201" s="111"/>
      <c r="DX201" s="111"/>
      <c r="DY201" s="111"/>
      <c r="DZ201" s="111"/>
      <c r="EA201" s="111"/>
      <c r="EB201" s="111"/>
      <c r="EC201" s="111"/>
      <c r="ED201" s="111"/>
      <c r="EE201" s="111"/>
    </row>
    <row r="202" spans="1:135">
      <c r="A202" s="312"/>
      <c r="B202" s="312"/>
      <c r="C202" s="312"/>
      <c r="D202" s="312"/>
      <c r="E202" s="312"/>
      <c r="F202" s="312"/>
      <c r="G202" s="312"/>
      <c r="H202" s="312"/>
      <c r="I202" s="312"/>
      <c r="J202" s="312"/>
      <c r="K202" s="312"/>
      <c r="L202" s="312"/>
      <c r="M202" s="312"/>
      <c r="N202" s="312"/>
      <c r="O202" s="312"/>
      <c r="P202" s="312"/>
      <c r="Q202" s="312"/>
      <c r="R202" s="312"/>
      <c r="S202" s="312"/>
      <c r="T202" s="312"/>
      <c r="U202" s="312"/>
      <c r="V202" s="312"/>
      <c r="W202" s="312"/>
      <c r="X202" s="312"/>
      <c r="Y202" s="1566"/>
      <c r="Z202" s="1566"/>
      <c r="AA202" s="1566"/>
      <c r="AB202" s="312"/>
      <c r="AC202" s="1566"/>
      <c r="AD202" s="1566"/>
      <c r="AE202" s="1566"/>
      <c r="AF202" s="1566"/>
      <c r="AG202" s="1566"/>
      <c r="AH202" s="1566"/>
      <c r="AI202" s="1566"/>
      <c r="AJ202" s="312"/>
      <c r="AK202" s="1566"/>
      <c r="AL202" s="1566"/>
      <c r="AM202" s="1566"/>
      <c r="AN202" s="1532"/>
      <c r="AO202" s="1566"/>
      <c r="AP202" s="1566"/>
      <c r="AQ202" s="1566"/>
      <c r="AR202" s="312"/>
      <c r="AS202" s="1566"/>
      <c r="AT202" s="1566"/>
      <c r="AU202" s="1566"/>
      <c r="AV202" s="1566"/>
      <c r="AW202" s="1566"/>
      <c r="AX202" s="1566"/>
      <c r="AY202" s="1566"/>
      <c r="AZ202" s="1566"/>
      <c r="BA202" s="1566"/>
      <c r="BB202" s="1566"/>
      <c r="BC202" s="1566"/>
      <c r="BD202" s="1566"/>
      <c r="BE202" s="1566"/>
      <c r="BF202" s="1566"/>
      <c r="BG202" s="1566"/>
      <c r="BH202" s="1566"/>
      <c r="BI202" s="22"/>
      <c r="BJ202" s="1566"/>
      <c r="BK202" s="1566"/>
      <c r="BL202" s="1566"/>
      <c r="BM202" s="1566"/>
      <c r="BN202" s="1566"/>
      <c r="BO202" s="1566"/>
      <c r="BP202" s="1566"/>
      <c r="BQ202" s="1566"/>
      <c r="BR202" s="1566"/>
      <c r="BS202" s="1568"/>
      <c r="BT202" s="1566"/>
      <c r="BU202" s="1566"/>
      <c r="BV202" s="1566"/>
      <c r="BW202" s="1568"/>
      <c r="BY202" s="1566"/>
      <c r="BZ202" s="1566"/>
      <c r="CA202" s="1566"/>
      <c r="CB202" s="306"/>
      <c r="CC202" s="306"/>
      <c r="CD202" s="306"/>
      <c r="CE202" s="1532" t="s">
        <v>722</v>
      </c>
      <c r="CF202" s="306"/>
      <c r="CG202" s="306"/>
      <c r="CH202" s="306"/>
      <c r="CI202" s="306"/>
      <c r="CJ202" s="306"/>
      <c r="CK202" s="306"/>
      <c r="CL202" s="306"/>
      <c r="CM202" s="306"/>
      <c r="CN202" s="306"/>
      <c r="CO202" s="306"/>
      <c r="CP202" s="306"/>
      <c r="CQ202" s="306"/>
      <c r="CR202" s="306"/>
      <c r="CS202" s="306"/>
      <c r="CT202" s="306"/>
      <c r="CU202" s="306"/>
      <c r="CV202" s="306"/>
      <c r="CW202" s="306"/>
      <c r="CX202" s="306"/>
      <c r="CY202" s="111"/>
      <c r="CZ202" s="111"/>
      <c r="DA202" s="111"/>
      <c r="DB202" s="111"/>
      <c r="DC202" s="111"/>
      <c r="DD202" s="111"/>
      <c r="DE202" s="111"/>
      <c r="DF202" s="111"/>
      <c r="DG202" s="111"/>
      <c r="DH202" s="111"/>
      <c r="DI202" s="111"/>
      <c r="DJ202" s="111"/>
      <c r="DK202" s="111"/>
      <c r="DL202" s="111"/>
      <c r="DM202" s="111"/>
      <c r="DN202" s="111"/>
      <c r="DO202" s="111"/>
      <c r="DP202" s="111"/>
      <c r="DQ202" s="111"/>
      <c r="DR202" s="111"/>
      <c r="DS202" s="111"/>
      <c r="DT202" s="111"/>
      <c r="DU202" s="111"/>
      <c r="DV202" s="111"/>
      <c r="DW202" s="111"/>
      <c r="DX202" s="111"/>
      <c r="DY202" s="111"/>
      <c r="DZ202" s="111"/>
      <c r="EA202" s="111"/>
      <c r="EB202" s="111"/>
      <c r="EC202" s="111"/>
      <c r="ED202" s="111"/>
      <c r="EE202" s="111"/>
    </row>
    <row r="203" spans="1:135">
      <c r="A203" s="312"/>
      <c r="B203" s="312"/>
      <c r="C203" s="312"/>
      <c r="D203" s="312"/>
      <c r="E203" s="312"/>
      <c r="F203" s="312"/>
      <c r="G203" s="312"/>
      <c r="H203" s="312"/>
      <c r="I203" s="312"/>
      <c r="J203" s="312"/>
      <c r="K203" s="312"/>
      <c r="L203" s="312"/>
      <c r="M203" s="312"/>
      <c r="N203" s="312"/>
      <c r="O203" s="312"/>
      <c r="P203" s="312"/>
      <c r="Q203" s="312"/>
      <c r="R203" s="312"/>
      <c r="S203" s="312"/>
      <c r="T203" s="312"/>
      <c r="U203" s="312"/>
      <c r="V203" s="312"/>
      <c r="W203" s="312"/>
      <c r="X203" s="312"/>
      <c r="Y203" s="312"/>
      <c r="Z203" s="312"/>
      <c r="AA203" s="312"/>
      <c r="AB203" s="312"/>
      <c r="AC203" s="312"/>
      <c r="AD203" s="312"/>
      <c r="AE203" s="312"/>
      <c r="AF203" s="312"/>
      <c r="AG203" s="312"/>
      <c r="AH203" s="312"/>
      <c r="AI203" s="312"/>
      <c r="AJ203" s="312"/>
      <c r="AK203" s="312"/>
      <c r="AL203" s="312"/>
      <c r="AM203" s="312"/>
      <c r="AN203" s="312"/>
      <c r="AO203" s="312"/>
      <c r="AP203" s="312"/>
      <c r="AQ203" s="312"/>
      <c r="AR203" s="312"/>
      <c r="AS203" s="312"/>
      <c r="AT203" s="312"/>
      <c r="AU203" s="312"/>
      <c r="AV203" s="312"/>
      <c r="AW203" s="312"/>
      <c r="AX203" s="312"/>
      <c r="AY203" s="312"/>
      <c r="AZ203" s="312"/>
      <c r="BA203" s="312"/>
      <c r="BB203" s="312"/>
      <c r="BC203" s="312"/>
      <c r="BD203" s="312"/>
      <c r="BE203" s="312"/>
      <c r="BF203" s="312"/>
      <c r="BG203" s="312"/>
      <c r="BH203" s="312"/>
      <c r="BI203" s="312"/>
      <c r="BJ203" s="312"/>
      <c r="BK203" s="312"/>
      <c r="BL203" s="312"/>
      <c r="BM203" s="312"/>
      <c r="BN203" s="312"/>
      <c r="BO203" s="312"/>
      <c r="BP203" s="312"/>
      <c r="BQ203" s="312"/>
      <c r="BR203" s="312"/>
      <c r="BS203" s="111"/>
      <c r="BT203" s="312"/>
      <c r="BU203" s="312"/>
      <c r="BV203" s="312"/>
      <c r="BW203" s="111"/>
      <c r="BX203" s="312"/>
      <c r="BY203" s="312"/>
      <c r="BZ203" s="312"/>
      <c r="CA203" s="312"/>
      <c r="CB203" s="306"/>
      <c r="CC203" s="306"/>
      <c r="CD203" s="306"/>
      <c r="CE203" s="306"/>
      <c r="CF203" s="306"/>
      <c r="CG203" s="306"/>
      <c r="CH203" s="306"/>
      <c r="CI203" s="306"/>
      <c r="CJ203" s="306"/>
      <c r="CK203" s="306"/>
      <c r="CL203" s="306"/>
      <c r="CM203" s="306"/>
      <c r="CN203" s="306"/>
      <c r="CO203" s="306"/>
      <c r="CP203" s="306"/>
      <c r="CQ203" s="306"/>
      <c r="CR203" s="306"/>
      <c r="CS203" s="306"/>
      <c r="CT203" s="306"/>
      <c r="CU203" s="306"/>
      <c r="CV203" s="306"/>
      <c r="CW203" s="306"/>
      <c r="CX203" s="306"/>
      <c r="CY203" s="111"/>
      <c r="CZ203" s="111"/>
      <c r="DA203" s="111"/>
      <c r="DB203" s="111"/>
      <c r="DC203" s="111"/>
      <c r="DD203" s="111"/>
      <c r="DE203" s="111"/>
      <c r="DF203" s="111"/>
      <c r="DG203" s="111"/>
      <c r="DH203" s="111"/>
      <c r="DI203" s="111"/>
      <c r="DJ203" s="111"/>
      <c r="DK203" s="111"/>
      <c r="DL203" s="111"/>
      <c r="DM203" s="111"/>
      <c r="DN203" s="111"/>
      <c r="DO203" s="111"/>
      <c r="DP203" s="111"/>
      <c r="DQ203" s="111"/>
      <c r="DR203" s="111"/>
      <c r="DS203" s="111"/>
      <c r="DT203" s="111"/>
      <c r="DU203" s="111"/>
      <c r="DV203" s="111"/>
      <c r="DW203" s="111"/>
      <c r="DX203" s="111"/>
      <c r="DY203" s="111"/>
      <c r="DZ203" s="111"/>
      <c r="EA203" s="111"/>
      <c r="EB203" s="111"/>
      <c r="EC203" s="111"/>
      <c r="ED203" s="111"/>
      <c r="EE203" s="111"/>
    </row>
    <row r="204" spans="1:135">
      <c r="A204" s="114" t="str">
        <f>$A$10</f>
        <v>1Q</v>
      </c>
      <c r="B204" s="114" t="str">
        <f>$B$10</f>
        <v>Apr</v>
      </c>
      <c r="AR204" s="1572">
        <v>0.125</v>
      </c>
      <c r="AS204" s="1360"/>
      <c r="AV204" s="1572">
        <v>0.125</v>
      </c>
      <c r="AW204" s="1360"/>
      <c r="AZ204" s="1572">
        <v>0.17499999999999999</v>
      </c>
      <c r="BA204" s="1360"/>
      <c r="BD204" s="1572">
        <v>0.17499999999999999</v>
      </c>
      <c r="BE204" s="1360"/>
      <c r="BH204" s="1572">
        <v>0.17499999999999999</v>
      </c>
      <c r="BI204" s="1360"/>
      <c r="BL204" s="1572">
        <v>0.17499999999999999</v>
      </c>
      <c r="BM204" s="1360"/>
      <c r="BP204" s="1572">
        <v>0.17499999999999999</v>
      </c>
      <c r="BQ204" s="1360"/>
      <c r="BT204" s="1572">
        <v>0.17499999999999999</v>
      </c>
      <c r="BU204" s="1360"/>
      <c r="BV204" s="114"/>
      <c r="BX204" s="1572">
        <v>0.17499999999999999</v>
      </c>
      <c r="BY204" s="1360"/>
      <c r="BZ204" s="114"/>
      <c r="CA204" s="114"/>
      <c r="CB204" s="1572">
        <f>BX204*1.15</f>
        <v>0.20124999999999998</v>
      </c>
      <c r="CC204" s="200"/>
      <c r="CD204" s="200"/>
      <c r="CE204" s="200"/>
      <c r="CF204" s="1572">
        <f>CB207</f>
        <v>0.20124999999999998</v>
      </c>
      <c r="CG204" s="200"/>
      <c r="CH204" s="200"/>
      <c r="CI204" s="200"/>
      <c r="CJ204" s="1970">
        <f>CF207</f>
        <v>0.20124999999999998</v>
      </c>
      <c r="CK204" s="200"/>
      <c r="CL204" s="200"/>
      <c r="CM204" s="200"/>
      <c r="CN204" s="1970">
        <f>CJ207</f>
        <v>0.20124999999999998</v>
      </c>
      <c r="CO204" s="200"/>
      <c r="CP204" s="200"/>
      <c r="CQ204" s="200"/>
      <c r="CR204" s="1970">
        <f>CN207</f>
        <v>0.20124999999999998</v>
      </c>
      <c r="CS204" s="200"/>
      <c r="CT204" s="200"/>
      <c r="CU204" s="200"/>
      <c r="CV204" s="2210">
        <f>CR207</f>
        <v>0.20124999999999998</v>
      </c>
      <c r="CW204" s="200"/>
      <c r="CX204" s="200"/>
    </row>
    <row r="205" spans="1:135">
      <c r="A205" s="114" t="str">
        <f>$A$11</f>
        <v>2Q</v>
      </c>
      <c r="B205" s="114" t="str">
        <f>$B$11</f>
        <v>Jul</v>
      </c>
      <c r="AR205" s="1572">
        <f>AR204</f>
        <v>0.125</v>
      </c>
      <c r="AS205" s="1360"/>
      <c r="AV205" s="1572">
        <v>0.125</v>
      </c>
      <c r="AW205" s="1360"/>
      <c r="AZ205" s="1572">
        <v>0.17499999999999999</v>
      </c>
      <c r="BA205" s="1360"/>
      <c r="BD205" s="1572">
        <v>0.17499999999999999</v>
      </c>
      <c r="BE205" s="1360"/>
      <c r="BH205" s="1572">
        <v>0.17499999999999999</v>
      </c>
      <c r="BI205" s="1360"/>
      <c r="BL205" s="1572">
        <v>0.17499999999999999</v>
      </c>
      <c r="BM205" s="1360"/>
      <c r="BP205" s="1572">
        <v>0.17499999999999999</v>
      </c>
      <c r="BQ205" s="1360"/>
      <c r="BT205" s="1572">
        <v>0.17499999999999999</v>
      </c>
      <c r="BU205" s="1360"/>
      <c r="BV205" s="114"/>
      <c r="BX205" s="1572">
        <v>0.17499999999999999</v>
      </c>
      <c r="BY205" s="1360"/>
      <c r="BZ205" s="114"/>
      <c r="CA205" s="114"/>
      <c r="CB205" s="1572">
        <f>BX205*1.15</f>
        <v>0.20124999999999998</v>
      </c>
      <c r="CC205" s="200"/>
      <c r="CD205" s="200"/>
      <c r="CE205" s="200"/>
      <c r="CF205" s="1572">
        <f>CF204</f>
        <v>0.20124999999999998</v>
      </c>
      <c r="CG205" s="200"/>
      <c r="CH205" s="200"/>
      <c r="CI205" s="200"/>
      <c r="CJ205" s="1572">
        <f>CJ204</f>
        <v>0.20124999999999998</v>
      </c>
      <c r="CK205" s="200"/>
      <c r="CL205" s="200"/>
      <c r="CM205" s="200"/>
      <c r="CN205" s="2034">
        <f>CN204</f>
        <v>0.20124999999999998</v>
      </c>
      <c r="CO205" s="200"/>
      <c r="CP205" s="200"/>
      <c r="CQ205" s="200"/>
      <c r="CR205" s="2283">
        <f>CR204</f>
        <v>0.20124999999999998</v>
      </c>
      <c r="CS205" s="200"/>
      <c r="CT205" s="200"/>
      <c r="CU205" s="200"/>
      <c r="CV205" s="2210">
        <f>CV204</f>
        <v>0.20124999999999998</v>
      </c>
      <c r="CW205" s="200"/>
      <c r="CX205" s="200"/>
    </row>
    <row r="206" spans="1:135">
      <c r="A206" s="114" t="str">
        <f>$A$12</f>
        <v>3Q</v>
      </c>
      <c r="B206" s="114" t="str">
        <f>$B$12</f>
        <v>Oct</v>
      </c>
      <c r="AR206" s="1572">
        <f>AR205</f>
        <v>0.125</v>
      </c>
      <c r="AS206" s="1360"/>
      <c r="AV206" s="1656">
        <v>0.17499999999999999</v>
      </c>
      <c r="AW206" s="1360"/>
      <c r="AZ206" s="1572">
        <v>0.17499999999999999</v>
      </c>
      <c r="BA206" s="1360"/>
      <c r="BD206" s="1572">
        <v>0.17499999999999999</v>
      </c>
      <c r="BE206" s="1360"/>
      <c r="BH206" s="1572">
        <v>0.17499999999999999</v>
      </c>
      <c r="BI206" s="1360"/>
      <c r="BL206" s="1572">
        <v>0.17499999999999999</v>
      </c>
      <c r="BM206" s="1360"/>
      <c r="BP206" s="1572">
        <v>0.17499999999999999</v>
      </c>
      <c r="BQ206" s="1360"/>
      <c r="BT206" s="1572">
        <v>0.17499999999999999</v>
      </c>
      <c r="BU206" s="1360"/>
      <c r="BV206" s="114"/>
      <c r="BX206" s="1572">
        <v>0.17499999999999999</v>
      </c>
      <c r="BY206" s="1360"/>
      <c r="BZ206" s="114"/>
      <c r="CA206" s="114"/>
      <c r="CB206" s="1572">
        <f>BX206*1.15</f>
        <v>0.20124999999999998</v>
      </c>
      <c r="CC206" s="200"/>
      <c r="CD206" s="200"/>
      <c r="CE206" s="200"/>
      <c r="CF206" s="1572">
        <f>CF205</f>
        <v>0.20124999999999998</v>
      </c>
      <c r="CG206" s="200"/>
      <c r="CH206" s="200"/>
      <c r="CI206" s="200"/>
      <c r="CJ206" s="1572">
        <f>CJ205</f>
        <v>0.20124999999999998</v>
      </c>
      <c r="CK206" s="200"/>
      <c r="CL206" s="200"/>
      <c r="CM206" s="200"/>
      <c r="CN206" s="2034">
        <f>CN205</f>
        <v>0.20124999999999998</v>
      </c>
      <c r="CO206" s="200"/>
      <c r="CP206" s="200"/>
      <c r="CQ206" s="200"/>
      <c r="CR206" s="2283">
        <f>CR205</f>
        <v>0.20124999999999998</v>
      </c>
      <c r="CS206" s="200"/>
      <c r="CT206" s="200"/>
      <c r="CU206" s="200"/>
      <c r="CV206" s="1656">
        <f>CV205</f>
        <v>0.20124999999999998</v>
      </c>
      <c r="CW206" s="200"/>
      <c r="CX206" s="200"/>
    </row>
    <row r="207" spans="1:135">
      <c r="A207" s="114" t="str">
        <f>$A$13</f>
        <v>4Q</v>
      </c>
      <c r="B207" s="114" t="str">
        <f>$B$13</f>
        <v>Jan</v>
      </c>
      <c r="AR207" s="1718">
        <v>0.125</v>
      </c>
      <c r="AS207" s="1360"/>
      <c r="AV207" s="1671">
        <f>AV206</f>
        <v>0.17499999999999999</v>
      </c>
      <c r="AW207" s="1360"/>
      <c r="AZ207" s="1718">
        <v>0.17499999999999999</v>
      </c>
      <c r="BA207" s="1360"/>
      <c r="BD207" s="1718">
        <v>0.17499999999999999</v>
      </c>
      <c r="BE207" s="1360"/>
      <c r="BH207" s="1718">
        <v>0.17499999999999999</v>
      </c>
      <c r="BI207" s="1360"/>
      <c r="BL207" s="1718">
        <v>0.17499999999999999</v>
      </c>
      <c r="BM207" s="1360"/>
      <c r="BP207" s="1718">
        <v>0.17499999999999999</v>
      </c>
      <c r="BQ207" s="1360"/>
      <c r="BT207" s="1718">
        <v>0.17499999999999999</v>
      </c>
      <c r="BU207" s="1360"/>
      <c r="BV207" s="114"/>
      <c r="BX207" s="1718">
        <v>0.17499999999999999</v>
      </c>
      <c r="BY207" s="1360"/>
      <c r="BZ207" s="114"/>
      <c r="CA207" s="114"/>
      <c r="CB207" s="1718">
        <f>BX207*1.15</f>
        <v>0.20124999999999998</v>
      </c>
      <c r="CC207" s="200"/>
      <c r="CD207" s="200"/>
      <c r="CE207" s="200"/>
      <c r="CF207" s="1718">
        <f>CF206</f>
        <v>0.20124999999999998</v>
      </c>
      <c r="CG207" s="200"/>
      <c r="CH207" s="200"/>
      <c r="CI207" s="200"/>
      <c r="CJ207" s="2023">
        <f>CJ206</f>
        <v>0.20124999999999998</v>
      </c>
      <c r="CK207" s="200"/>
      <c r="CL207" s="200"/>
      <c r="CM207" s="200"/>
      <c r="CN207" s="2063">
        <f>CN206</f>
        <v>0.20124999999999998</v>
      </c>
      <c r="CO207" s="200"/>
      <c r="CP207" s="200"/>
      <c r="CQ207" s="200"/>
      <c r="CR207" s="2284">
        <f>CR206</f>
        <v>0.20124999999999998</v>
      </c>
      <c r="CS207" s="200"/>
      <c r="CT207" s="200"/>
      <c r="CU207" s="200"/>
      <c r="CV207" s="1671">
        <f>CV206</f>
        <v>0.20124999999999998</v>
      </c>
      <c r="CW207" s="200"/>
      <c r="CX207" s="200"/>
    </row>
    <row r="208" spans="1:135">
      <c r="B208" s="114" t="str">
        <f>$B$14</f>
        <v>Year</v>
      </c>
      <c r="AR208" s="1171">
        <f>+(AR204+AR205+AR206+AR207)</f>
        <v>0.5</v>
      </c>
      <c r="AS208" s="1360"/>
      <c r="AV208" s="1171">
        <f>+(AV204+AV205+AV206+AV207)</f>
        <v>0.6</v>
      </c>
      <c r="AW208" s="1360"/>
      <c r="AZ208" s="1171">
        <f>+(AZ204+AZ205+AZ206+AZ207)</f>
        <v>0.7</v>
      </c>
      <c r="BA208" s="1360"/>
      <c r="BD208" s="1171">
        <f>+(BD204+BD205+BD206+BD207)</f>
        <v>0.7</v>
      </c>
      <c r="BE208" s="1360"/>
      <c r="BH208" s="1171">
        <f>+(BH204+BH205+BH206+BH207)</f>
        <v>0.7</v>
      </c>
      <c r="BI208" s="1360"/>
      <c r="BL208" s="1171">
        <f>+(BL204+BL205+BL206+BL207)</f>
        <v>0.7</v>
      </c>
      <c r="BM208" s="1360"/>
      <c r="BP208" s="1171">
        <f>+(BP204+BP205+BP206+BP207)</f>
        <v>0.7</v>
      </c>
      <c r="BQ208" s="1360"/>
      <c r="BT208" s="1171">
        <f>+(BT204+BT205+BT206+BT207)</f>
        <v>0.7</v>
      </c>
      <c r="BU208" s="1360"/>
      <c r="BV208" s="114"/>
      <c r="BX208" s="1171">
        <f>+(BX204+BX205+BX206+BX207)</f>
        <v>0.7</v>
      </c>
      <c r="BY208" s="1360"/>
      <c r="BZ208" s="114"/>
      <c r="CA208" s="114"/>
      <c r="CB208" s="1171">
        <f>+(CB204+CB205+CB206+CB207)</f>
        <v>0.80499999999999994</v>
      </c>
      <c r="CC208" s="200"/>
      <c r="CD208" s="200"/>
      <c r="CE208" s="200"/>
      <c r="CF208" s="1171">
        <f>+(CF204+CF205+CF206+CF207)</f>
        <v>0.80499999999999994</v>
      </c>
      <c r="CG208" s="200"/>
      <c r="CH208" s="200"/>
      <c r="CI208" s="200"/>
      <c r="CJ208" s="1171">
        <f>+(CJ204+CJ205+CJ206+CJ207)</f>
        <v>0.80499999999999994</v>
      </c>
      <c r="CK208" s="200"/>
      <c r="CL208" s="200"/>
      <c r="CM208" s="200"/>
      <c r="CN208" s="1171">
        <f>+(CN204+CN205+CN206+CN207)</f>
        <v>0.80499999999999994</v>
      </c>
      <c r="CO208" s="200"/>
      <c r="CP208" s="200"/>
      <c r="CQ208" s="200"/>
      <c r="CR208" s="1171">
        <f>+(CR204+CR205+CR206+CR207)</f>
        <v>0.80499999999999994</v>
      </c>
      <c r="CS208" s="200"/>
      <c r="CT208" s="200"/>
      <c r="CU208" s="200"/>
      <c r="CV208" s="1171">
        <f>+(CV204+CV205+CV206+CV207)</f>
        <v>0.80499999999999994</v>
      </c>
      <c r="CW208" s="200"/>
      <c r="CX208" s="200"/>
    </row>
    <row r="209" spans="1:102">
      <c r="AR209" s="1719"/>
      <c r="AS209" s="1360"/>
      <c r="AV209" s="1719"/>
      <c r="AW209" s="1360"/>
      <c r="AZ209" s="1719"/>
      <c r="BA209" s="1360"/>
      <c r="BD209" s="1719"/>
      <c r="BE209" s="1360"/>
      <c r="BH209" s="1719"/>
      <c r="BI209" s="1360"/>
      <c r="BL209" s="1719"/>
      <c r="BM209" s="1360"/>
      <c r="BP209" s="1719"/>
      <c r="BQ209" s="1360"/>
      <c r="BT209" s="1719"/>
      <c r="BU209" s="1360"/>
      <c r="BV209" s="114"/>
      <c r="BX209" s="1719"/>
      <c r="BY209" s="1360"/>
      <c r="BZ209" s="114"/>
      <c r="CA209" s="114"/>
      <c r="CB209" s="200"/>
      <c r="CC209" s="200"/>
      <c r="CD209" s="200"/>
      <c r="CE209" s="200"/>
      <c r="CF209" s="200"/>
      <c r="CG209" s="200"/>
      <c r="CH209" s="200"/>
      <c r="CI209" s="200"/>
      <c r="CJ209" s="200"/>
      <c r="CK209" s="200"/>
      <c r="CL209" s="200"/>
      <c r="CM209" s="200"/>
      <c r="CN209" s="200"/>
      <c r="CO209" s="200"/>
      <c r="CP209" s="200"/>
      <c r="CQ209" s="200"/>
      <c r="CR209" s="200"/>
      <c r="CS209" s="200"/>
      <c r="CT209" s="200"/>
      <c r="CU209" s="200"/>
      <c r="CV209" s="200"/>
      <c r="CW209" s="200"/>
      <c r="CX209" s="200"/>
    </row>
    <row r="210" spans="1:102" ht="9.75" hidden="1" customHeight="1" outlineLevel="1">
      <c r="AR210" s="1719"/>
      <c r="AS210" s="1360"/>
      <c r="AV210" s="1719"/>
      <c r="AW210" s="1360"/>
      <c r="AZ210" s="1719"/>
      <c r="BA210" s="1360"/>
      <c r="BD210" s="1719"/>
      <c r="BE210" s="1360"/>
      <c r="BH210" s="1719"/>
      <c r="BI210" s="1360"/>
      <c r="BL210" s="1719"/>
      <c r="BM210" s="1360"/>
      <c r="BP210" s="1719"/>
      <c r="BQ210" s="1360"/>
      <c r="BT210" s="1719"/>
      <c r="BU210" s="1360"/>
      <c r="BV210" s="114"/>
      <c r="BX210" s="1719"/>
      <c r="BY210" s="1360"/>
      <c r="BZ210" s="114"/>
      <c r="CA210" s="114"/>
      <c r="CB210" s="200"/>
      <c r="CC210" s="200"/>
      <c r="CD210" s="200"/>
      <c r="CE210" s="200"/>
      <c r="CF210" s="200"/>
      <c r="CG210" s="200"/>
      <c r="CH210" s="200"/>
      <c r="CI210" s="200"/>
      <c r="CJ210" s="200"/>
      <c r="CK210" s="200"/>
      <c r="CL210" s="200"/>
      <c r="CM210" s="200"/>
      <c r="CN210" s="200"/>
      <c r="CO210" s="200"/>
      <c r="CP210" s="200"/>
      <c r="CQ210" s="200"/>
      <c r="CR210" s="200"/>
      <c r="CS210" s="200"/>
      <c r="CT210" s="200"/>
      <c r="CU210" s="200"/>
      <c r="CV210" s="200"/>
      <c r="CW210" s="200"/>
      <c r="CX210" s="200"/>
    </row>
    <row r="211" spans="1:102" hidden="1" outlineLevel="2">
      <c r="Y211" s="1533"/>
      <c r="Z211" s="1533"/>
      <c r="AA211" s="1533"/>
      <c r="AC211" s="1533"/>
      <c r="AD211" s="1533"/>
      <c r="AE211" s="1533"/>
      <c r="AF211" s="1533"/>
      <c r="AG211" s="1533"/>
      <c r="AH211" s="1533"/>
      <c r="AI211" s="1533"/>
      <c r="AK211" s="1533"/>
      <c r="AL211" s="1533"/>
      <c r="AM211" s="1533"/>
      <c r="AN211" s="1532"/>
      <c r="AO211" s="1533"/>
      <c r="AP211" s="1533"/>
      <c r="AQ211" s="1533"/>
      <c r="AR211" s="1719"/>
      <c r="AS211" s="1533"/>
      <c r="AT211" s="1533"/>
      <c r="AU211" s="1533"/>
      <c r="AV211" s="1533"/>
      <c r="AW211" s="1533"/>
      <c r="AX211" s="1533"/>
      <c r="AY211" s="1533"/>
      <c r="AZ211" s="1533"/>
      <c r="BA211" s="1533"/>
      <c r="BB211" s="1533"/>
      <c r="BC211" s="1533"/>
      <c r="BD211" s="1533"/>
      <c r="BE211" s="1533"/>
      <c r="BF211" s="1533"/>
      <c r="BG211" s="1533"/>
      <c r="BH211" s="1533"/>
      <c r="BI211" s="1533"/>
      <c r="BJ211" s="1533"/>
      <c r="BK211" s="1533"/>
      <c r="BL211" s="1533"/>
      <c r="BM211" s="1533"/>
      <c r="BN211" s="1533"/>
      <c r="BO211" s="1533"/>
      <c r="BP211" s="1533"/>
      <c r="BQ211" s="1533"/>
      <c r="BR211" s="1533"/>
      <c r="BS211" s="1534"/>
      <c r="BT211" s="1533"/>
      <c r="BU211" s="1533"/>
      <c r="BV211" s="1533"/>
      <c r="BW211" s="1534"/>
      <c r="BX211" s="1533"/>
      <c r="BY211" s="1533"/>
      <c r="BZ211" s="1533"/>
      <c r="CA211" s="1533"/>
      <c r="CB211" s="200"/>
      <c r="CC211" s="200"/>
      <c r="CD211" s="200"/>
      <c r="CE211" s="200"/>
      <c r="CF211" s="200"/>
      <c r="CG211" s="200"/>
      <c r="CH211" s="200"/>
      <c r="CI211" s="200"/>
      <c r="CJ211" s="200"/>
      <c r="CK211" s="200"/>
      <c r="CL211" s="200"/>
      <c r="CM211" s="200"/>
      <c r="CN211" s="200"/>
      <c r="CO211" s="200"/>
      <c r="CP211" s="200"/>
      <c r="CQ211" s="200"/>
      <c r="CR211" s="200"/>
      <c r="CS211" s="200"/>
      <c r="CT211" s="200"/>
      <c r="CU211" s="200"/>
      <c r="CV211" s="200"/>
      <c r="CW211" s="200"/>
      <c r="CX211" s="200"/>
    </row>
    <row r="212" spans="1:102" hidden="1" outlineLevel="2">
      <c r="X212" s="1720"/>
      <c r="Y212" s="246"/>
      <c r="Z212" s="246"/>
      <c r="AA212" s="246"/>
      <c r="AB212" s="246"/>
      <c r="AC212" s="246"/>
      <c r="AD212" s="246"/>
      <c r="AE212" s="246"/>
      <c r="AF212" s="246"/>
      <c r="AG212" s="246"/>
      <c r="AH212" s="246"/>
      <c r="AI212" s="246"/>
      <c r="AJ212" s="246"/>
      <c r="AK212" s="246"/>
      <c r="AL212" s="246"/>
      <c r="AM212" s="246"/>
      <c r="AN212" s="246"/>
      <c r="AO212" s="246"/>
      <c r="AP212" s="246"/>
      <c r="AQ212" s="246"/>
      <c r="AR212" s="1719"/>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86"/>
      <c r="BT212" s="246"/>
      <c r="BU212" s="246"/>
      <c r="BV212" s="246"/>
      <c r="BW212" s="86"/>
      <c r="BX212" s="246"/>
      <c r="BY212" s="246"/>
      <c r="BZ212" s="246"/>
      <c r="CA212" s="246"/>
      <c r="CB212" s="200"/>
      <c r="CC212" s="200"/>
      <c r="CD212" s="200"/>
      <c r="CE212" s="200"/>
      <c r="CF212" s="200"/>
      <c r="CG212" s="200"/>
      <c r="CH212" s="200"/>
      <c r="CI212" s="200"/>
      <c r="CJ212" s="200"/>
      <c r="CK212" s="200"/>
      <c r="CL212" s="200"/>
      <c r="CM212" s="200"/>
      <c r="CN212" s="200"/>
      <c r="CO212" s="200"/>
      <c r="CP212" s="200"/>
      <c r="CQ212" s="200"/>
      <c r="CR212" s="200"/>
      <c r="CS212" s="200"/>
      <c r="CT212" s="200"/>
      <c r="CU212" s="200"/>
      <c r="CV212" s="200"/>
      <c r="CW212" s="200"/>
      <c r="CX212" s="200"/>
    </row>
    <row r="213" spans="1:102" hidden="1" outlineLevel="2">
      <c r="A213" s="114" t="str">
        <f>$A$10</f>
        <v>1Q</v>
      </c>
      <c r="B213" s="114" t="str">
        <f>$B$10</f>
        <v>Apr</v>
      </c>
      <c r="X213" s="1699">
        <v>102.917</v>
      </c>
      <c r="AB213" s="1699">
        <v>100.76300000000001</v>
      </c>
      <c r="AC213" s="1701"/>
      <c r="AF213" s="1699">
        <v>99.260999999999996</v>
      </c>
      <c r="AJ213" s="1699">
        <v>97.037000000000006</v>
      </c>
      <c r="AK213" s="1701"/>
      <c r="AN213" s="1699">
        <v>98.004000000000005</v>
      </c>
      <c r="AR213" s="1572">
        <v>94.709000000000003</v>
      </c>
      <c r="AS213" s="1699"/>
      <c r="AV213" s="1699">
        <f>103.3-16.97587</f>
        <v>86.324129999999997</v>
      </c>
      <c r="AZ213" s="1699">
        <f>103.3-15.342075</f>
        <v>87.957925000000003</v>
      </c>
      <c r="BD213" s="1699">
        <f>103.3-15.434</f>
        <v>87.866</v>
      </c>
      <c r="BH213" s="1699">
        <f>103.3-16.854</f>
        <v>86.445999999999998</v>
      </c>
      <c r="BL213" s="1699">
        <f>103.3-15.456</f>
        <v>87.843999999999994</v>
      </c>
      <c r="BP213" s="1699">
        <f>103.3-15.103</f>
        <v>88.197000000000003</v>
      </c>
      <c r="BT213" s="1705">
        <f>BP216+(BP196-BT193)</f>
        <v>88.846999999999994</v>
      </c>
      <c r="BU213" s="114"/>
      <c r="BV213" s="114"/>
      <c r="BX213" s="1699">
        <v>82.553044</v>
      </c>
      <c r="BY213" s="114"/>
      <c r="BZ213" s="114"/>
      <c r="CA213" s="114"/>
      <c r="CB213" s="1705">
        <f>BX216+(CB193-BX196)</f>
        <v>77.438000000000002</v>
      </c>
      <c r="CC213" s="200"/>
      <c r="CD213" s="200"/>
      <c r="CE213" s="200"/>
      <c r="CF213" s="1705">
        <f>CB216+(CF193-CB196)</f>
        <v>73.597000000000008</v>
      </c>
      <c r="CG213" s="200"/>
      <c r="CH213" s="200"/>
      <c r="CI213" s="200"/>
      <c r="CJ213" s="1705">
        <f>CF216+(CJ193-CF196)</f>
        <v>68.624000000000009</v>
      </c>
      <c r="CK213" s="200"/>
      <c r="CL213" s="200"/>
      <c r="CM213" s="200"/>
      <c r="CN213" s="1705">
        <f>CJ216+(CN193-CJ196)</f>
        <v>66.739000000000004</v>
      </c>
      <c r="CO213" s="200"/>
      <c r="CP213" s="200"/>
      <c r="CQ213" s="200"/>
      <c r="CR213" s="1705">
        <f>CN216+(CR193-CN196)</f>
        <v>67.186999999999998</v>
      </c>
      <c r="CS213" s="200"/>
      <c r="CT213" s="200"/>
      <c r="CU213" s="200"/>
      <c r="CV213" s="1705">
        <f>CR216+(CV193-CR196)</f>
        <v>69.721000000000004</v>
      </c>
      <c r="CW213" s="200"/>
      <c r="CX213" s="200"/>
    </row>
    <row r="214" spans="1:102" hidden="1" outlineLevel="2">
      <c r="A214" s="114" t="str">
        <f>$A$11</f>
        <v>2Q</v>
      </c>
      <c r="B214" s="114" t="str">
        <f>$B$11</f>
        <v>Jul</v>
      </c>
      <c r="X214" s="1699">
        <v>103.182</v>
      </c>
      <c r="AB214" s="1699">
        <v>99.07</v>
      </c>
      <c r="AC214" s="1701"/>
      <c r="AF214" s="1699">
        <v>99.47</v>
      </c>
      <c r="AJ214" s="1699">
        <v>97.626999999999995</v>
      </c>
      <c r="AK214" s="1701"/>
      <c r="AN214" s="1699">
        <v>96.438000000000002</v>
      </c>
      <c r="AR214" s="1572">
        <v>95.305999999999997</v>
      </c>
      <c r="AS214" s="1699"/>
      <c r="AV214" s="1699">
        <f>103.3-14.592447</f>
        <v>88.70755299999999</v>
      </c>
      <c r="AZ214" s="1699">
        <f>103.3-15.262</f>
        <v>88.037999999999997</v>
      </c>
      <c r="BD214" s="1699">
        <f>103.3-15.008</f>
        <v>88.292000000000002</v>
      </c>
      <c r="BH214" s="1699">
        <f>103.3-16.301</f>
        <v>86.998999999999995</v>
      </c>
      <c r="BL214" s="1699">
        <f>103.3-15.392</f>
        <v>87.908000000000001</v>
      </c>
      <c r="BP214" s="1699">
        <f>103.3-15.054</f>
        <v>88.245999999999995</v>
      </c>
      <c r="BT214" s="1705">
        <f>BT213+(BT194-BT193)</f>
        <v>88.758999999999986</v>
      </c>
      <c r="BU214" s="114"/>
      <c r="BV214" s="114"/>
      <c r="BX214" s="1699">
        <v>82.555000000000007</v>
      </c>
      <c r="BY214" s="114"/>
      <c r="BZ214" s="114"/>
      <c r="CA214" s="114"/>
      <c r="CB214" s="1705">
        <f>CB213+(CB194-CB193)</f>
        <v>78.381</v>
      </c>
      <c r="CC214" s="200"/>
      <c r="CD214" s="200"/>
      <c r="CE214" s="200"/>
      <c r="CF214" s="1705">
        <f>CF213+(CF194-CF193)</f>
        <v>72.87</v>
      </c>
      <c r="CG214" s="200"/>
      <c r="CH214" s="200"/>
      <c r="CI214" s="200"/>
      <c r="CJ214" s="1705">
        <f>CJ213+(CJ194-CJ193)</f>
        <v>69.207999999999998</v>
      </c>
      <c r="CK214" s="200"/>
      <c r="CL214" s="200"/>
      <c r="CM214" s="200"/>
      <c r="CN214" s="1705">
        <f>CN213+(CN194-CN193)</f>
        <v>67.058000000000007</v>
      </c>
      <c r="CO214" s="200"/>
      <c r="CP214" s="200"/>
      <c r="CQ214" s="200"/>
      <c r="CR214" s="1705">
        <f>CR213+(CR194-CR193)</f>
        <v>67.570000000000007</v>
      </c>
      <c r="CS214" s="200"/>
      <c r="CT214" s="200"/>
      <c r="CU214" s="200"/>
      <c r="CV214" s="1705">
        <f>CV213+(CV194-CV193)</f>
        <v>69.971000000000004</v>
      </c>
      <c r="CW214" s="200"/>
      <c r="CX214" s="200"/>
    </row>
    <row r="215" spans="1:102" hidden="1" outlineLevel="2">
      <c r="A215" s="114" t="str">
        <f>$A$12</f>
        <v>3Q</v>
      </c>
      <c r="B215" s="114" t="str">
        <f>$B$12</f>
        <v>Oct</v>
      </c>
      <c r="X215" s="1699">
        <v>103.194</v>
      </c>
      <c r="AB215" s="1699">
        <v>98.78</v>
      </c>
      <c r="AC215" s="1701"/>
      <c r="AF215" s="1699">
        <v>99.688000000000002</v>
      </c>
      <c r="AJ215" s="1699">
        <v>97.248500000000007</v>
      </c>
      <c r="AK215" s="1701"/>
      <c r="AN215" s="1699">
        <v>96.325999999999993</v>
      </c>
      <c r="AR215" s="1572">
        <v>93.448999999999998</v>
      </c>
      <c r="AS215" s="1699"/>
      <c r="AV215" s="1699">
        <f>103.3-15.693501</f>
        <v>87.606498999999999</v>
      </c>
      <c r="AZ215" s="1699">
        <f>103.3-15.108</f>
        <v>88.191999999999993</v>
      </c>
      <c r="BD215" s="1699">
        <f>103.3-17.252</f>
        <v>86.048000000000002</v>
      </c>
      <c r="BH215" s="1699">
        <f>103.3-16.252</f>
        <v>87.048000000000002</v>
      </c>
      <c r="BL215" s="1699">
        <f>103.3-15.341</f>
        <v>87.959000000000003</v>
      </c>
      <c r="BP215" s="1705">
        <f>BP214+(BP195-BP194)</f>
        <v>88.929000000000002</v>
      </c>
      <c r="BT215" s="1705">
        <f>BT214+(BT195-BT194)</f>
        <v>88.112999999999985</v>
      </c>
      <c r="BU215" s="114"/>
      <c r="BV215" s="114"/>
      <c r="BX215" s="1705">
        <f>BX214+(BX195-BX194)</f>
        <v>81.63600000000001</v>
      </c>
      <c r="BY215" s="114"/>
      <c r="BZ215" s="114"/>
      <c r="CA215" s="114"/>
      <c r="CB215" s="1705">
        <f>CB214+(CB195-CB194)</f>
        <v>76.791000000000011</v>
      </c>
      <c r="CC215" s="200"/>
      <c r="CD215" s="200"/>
      <c r="CE215" s="200"/>
      <c r="CF215" s="1705">
        <f>CF214+(CF195-CF194)</f>
        <v>71.242000000000004</v>
      </c>
      <c r="CG215" s="200"/>
      <c r="CH215" s="200"/>
      <c r="CI215" s="200"/>
      <c r="CJ215" s="1705">
        <f>CJ214+(CJ195-CJ194)</f>
        <v>68.379000000000005</v>
      </c>
      <c r="CK215" s="200"/>
      <c r="CL215" s="200"/>
      <c r="CM215" s="200"/>
      <c r="CN215" s="1705">
        <f>CN214+(CN195-CN194)</f>
        <v>67.391000000000005</v>
      </c>
      <c r="CO215" s="200"/>
      <c r="CP215" s="200"/>
      <c r="CQ215" s="200"/>
      <c r="CR215" s="1705">
        <f>CR214+(CR195-CR194)</f>
        <v>67.626000000000005</v>
      </c>
      <c r="CS215" s="200"/>
      <c r="CT215" s="200"/>
      <c r="CU215" s="200"/>
      <c r="CV215" s="1705">
        <f>CV214+(CV195-CV194)</f>
        <v>70.271000000000001</v>
      </c>
      <c r="CW215" s="200"/>
      <c r="CX215" s="200"/>
    </row>
    <row r="216" spans="1:102" hidden="1" outlineLevel="2">
      <c r="A216" s="114" t="str">
        <f>$A$13</f>
        <v>4Q</v>
      </c>
      <c r="B216" s="114" t="str">
        <f>$B$13</f>
        <v>Jan</v>
      </c>
      <c r="D216" s="1706">
        <f>51.65*2</f>
        <v>103.3</v>
      </c>
      <c r="H216" s="1706">
        <f>51.65*2</f>
        <v>103.3</v>
      </c>
      <c r="L216" s="1706">
        <f>51.65*2</f>
        <v>103.3</v>
      </c>
      <c r="P216" s="1706">
        <f>51.65*2</f>
        <v>103.3</v>
      </c>
      <c r="T216" s="1706">
        <f>51.65*2</f>
        <v>103.3</v>
      </c>
      <c r="X216" s="1706">
        <v>102.004</v>
      </c>
      <c r="AB216" s="1706">
        <v>98.796000000000006</v>
      </c>
      <c r="AC216" s="1701"/>
      <c r="AF216" s="1706">
        <v>98.871499999999997</v>
      </c>
      <c r="AJ216" s="1706">
        <v>97.269000000000005</v>
      </c>
      <c r="AK216" s="1701"/>
      <c r="AN216" s="1699">
        <v>94.608000000000004</v>
      </c>
      <c r="AR216" s="1572">
        <v>92.777000000000001</v>
      </c>
      <c r="AS216" s="1706"/>
      <c r="AV216" s="1699">
        <f>103.3-15.573789</f>
        <v>87.726210999999992</v>
      </c>
      <c r="AZ216" s="1699">
        <f>103.3-14.999945</f>
        <v>88.300055</v>
      </c>
      <c r="BD216" s="1699">
        <f>103.3-17.141116</f>
        <v>86.158884</v>
      </c>
      <c r="BH216" s="1699">
        <f>103.3-15.664385</f>
        <v>87.635615000000001</v>
      </c>
      <c r="BL216" s="1699">
        <f>103.3-15.314481</f>
        <v>87.985518999999996</v>
      </c>
      <c r="BP216" s="1705">
        <f>BP215+(BP196-BP195)</f>
        <v>89.073999999999998</v>
      </c>
      <c r="BT216" s="1705">
        <f>BT215+(BT196-BT195)</f>
        <v>86.053999999999988</v>
      </c>
      <c r="BU216" s="114"/>
      <c r="BV216" s="114"/>
      <c r="BX216" s="1705">
        <f>BX215+(BX196-BX195)</f>
        <v>79.668000000000006</v>
      </c>
      <c r="BY216" s="114"/>
      <c r="BZ216" s="114"/>
      <c r="CA216" s="114"/>
      <c r="CB216" s="1705">
        <f>CB215+(CB196-CB195)</f>
        <v>76.682000000000002</v>
      </c>
      <c r="CC216" s="200"/>
      <c r="CD216" s="200"/>
      <c r="CE216" s="200"/>
      <c r="CF216" s="1705">
        <f>CF215+(CF196-CF195)</f>
        <v>69.25</v>
      </c>
      <c r="CG216" s="200"/>
      <c r="CH216" s="200"/>
      <c r="CI216" s="200"/>
      <c r="CJ216" s="1705">
        <f>CJ215+(CJ196-CJ195)</f>
        <v>67.356999999999999</v>
      </c>
      <c r="CK216" s="200"/>
      <c r="CL216" s="200"/>
      <c r="CM216" s="200"/>
      <c r="CN216" s="1705">
        <f>CN215+(CN196-CN195)</f>
        <v>67.413000000000011</v>
      </c>
      <c r="CO216" s="200"/>
      <c r="CP216" s="200"/>
      <c r="CQ216" s="200"/>
      <c r="CR216" s="1705">
        <f>CR215+(CR196-CR195)</f>
        <v>69.471000000000004</v>
      </c>
      <c r="CS216" s="200"/>
      <c r="CT216" s="200"/>
      <c r="CU216" s="200"/>
      <c r="CV216" s="1705">
        <f>CV215+(CV196-CV195)</f>
        <v>70.570999999999998</v>
      </c>
      <c r="CW216" s="200"/>
      <c r="CX216" s="200"/>
    </row>
    <row r="217" spans="1:102" hidden="1" outlineLevel="2">
      <c r="AR217" s="1719"/>
      <c r="BT217" s="114"/>
      <c r="BU217" s="114"/>
      <c r="BV217" s="114"/>
      <c r="BX217" s="114"/>
      <c r="BY217" s="114"/>
      <c r="BZ217" s="114"/>
      <c r="CA217" s="114"/>
      <c r="CB217" s="200"/>
      <c r="CC217" s="200"/>
      <c r="CD217" s="200"/>
      <c r="CE217" s="200"/>
      <c r="CF217" s="200"/>
      <c r="CG217" s="200"/>
      <c r="CH217" s="200"/>
      <c r="CI217" s="200"/>
      <c r="CJ217" s="200"/>
      <c r="CK217" s="200"/>
      <c r="CL217" s="200"/>
      <c r="CM217" s="200"/>
      <c r="CN217" s="200"/>
      <c r="CO217" s="200"/>
      <c r="CP217" s="200"/>
      <c r="CQ217" s="200"/>
      <c r="CR217" s="200"/>
      <c r="CS217" s="200"/>
      <c r="CT217" s="200"/>
      <c r="CU217" s="200"/>
      <c r="CV217" s="200"/>
      <c r="CW217" s="200"/>
      <c r="CX217" s="200"/>
    </row>
    <row r="218" spans="1:102" collapsed="1">
      <c r="Y218" s="1533"/>
      <c r="Z218" s="1533"/>
      <c r="AA218" s="1533"/>
      <c r="AC218" s="1533"/>
      <c r="AD218" s="1533"/>
      <c r="AE218" s="1533"/>
      <c r="AF218" s="1533"/>
      <c r="AG218" s="1533"/>
      <c r="AH218" s="1533"/>
      <c r="AI218" s="1533"/>
      <c r="AK218" s="1533"/>
      <c r="AL218" s="1533"/>
      <c r="AM218" s="1533"/>
      <c r="AN218" s="1532"/>
      <c r="AO218" s="1533"/>
      <c r="AP218" s="1533"/>
      <c r="AQ218" s="1533"/>
      <c r="AR218" s="1719"/>
      <c r="AS218" s="1533"/>
      <c r="AT218" s="1533"/>
      <c r="AU218" s="1533"/>
      <c r="AV218" s="1533"/>
      <c r="AW218" s="1533"/>
      <c r="AX218" s="1533"/>
      <c r="AY218" s="1533"/>
      <c r="AZ218" s="1533"/>
      <c r="BA218" s="1533"/>
      <c r="BB218" s="1533"/>
      <c r="BC218" s="1533"/>
      <c r="BD218" s="1533"/>
      <c r="BE218" s="1533"/>
      <c r="BF218" s="1533"/>
      <c r="BG218" s="1533"/>
      <c r="BH218" s="1533"/>
      <c r="BI218" s="22"/>
      <c r="BJ218" s="1533"/>
      <c r="BK218" s="1533"/>
      <c r="BL218" s="1533"/>
      <c r="BM218" s="1533"/>
      <c r="BN218" s="1533"/>
      <c r="BO218" s="1533"/>
      <c r="BP218" s="1533"/>
      <c r="BQ218" s="1533"/>
      <c r="BR218" s="1533"/>
      <c r="BS218" s="1534"/>
      <c r="BT218" s="1533"/>
      <c r="BU218" s="1533"/>
      <c r="BW218" s="1534"/>
      <c r="BX218" s="1533"/>
      <c r="BY218" s="1533"/>
      <c r="BZ218" s="1533"/>
      <c r="CA218" s="1533"/>
      <c r="CB218" s="200"/>
      <c r="CC218" s="200"/>
      <c r="CD218" s="200"/>
      <c r="CE218" s="1532" t="s">
        <v>39</v>
      </c>
      <c r="CF218" s="200"/>
      <c r="CG218" s="200"/>
      <c r="CH218" s="200"/>
      <c r="CI218" s="200"/>
      <c r="CJ218" s="200"/>
      <c r="CK218" s="200"/>
      <c r="CL218" s="200"/>
      <c r="CM218" s="200"/>
      <c r="CN218" s="200"/>
      <c r="CO218" s="200"/>
      <c r="CP218" s="200"/>
      <c r="CQ218" s="200"/>
      <c r="CR218" s="200"/>
      <c r="CS218" s="200"/>
      <c r="CT218" s="200"/>
      <c r="CU218" s="200"/>
      <c r="CV218" s="200"/>
      <c r="CW218" s="200"/>
      <c r="CX218" s="200"/>
    </row>
    <row r="219" spans="1:102">
      <c r="X219" s="1720"/>
      <c r="Y219" s="24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86"/>
      <c r="BT219" s="246"/>
      <c r="BU219" s="246"/>
      <c r="BV219" s="246"/>
      <c r="BW219" s="86"/>
      <c r="BX219" s="246"/>
      <c r="BY219" s="246"/>
      <c r="BZ219" s="246"/>
      <c r="CA219" s="246"/>
      <c r="CB219" s="200"/>
      <c r="CC219" s="200"/>
      <c r="CD219" s="200"/>
      <c r="CE219" s="200"/>
      <c r="CF219" s="200"/>
      <c r="CG219" s="200"/>
      <c r="CH219" s="200"/>
      <c r="CI219" s="200"/>
      <c r="CJ219" s="200"/>
      <c r="CK219" s="200"/>
      <c r="CL219" s="200"/>
      <c r="CM219" s="200"/>
      <c r="CN219" s="200"/>
      <c r="CO219" s="200"/>
      <c r="CP219" s="200"/>
      <c r="CQ219" s="200"/>
      <c r="CR219" s="200"/>
      <c r="CS219" s="200"/>
      <c r="CT219" s="200"/>
      <c r="CU219" s="200"/>
      <c r="CV219" s="200"/>
      <c r="CW219" s="200"/>
      <c r="CX219" s="200"/>
    </row>
    <row r="220" spans="1:102">
      <c r="A220" s="114" t="str">
        <f>$A$10</f>
        <v>1Q</v>
      </c>
      <c r="B220" s="114" t="str">
        <f>$B$10</f>
        <v>Apr</v>
      </c>
      <c r="X220" s="1699">
        <f>(51.65-0.053)*2</f>
        <v>103.194</v>
      </c>
      <c r="AB220" s="1699">
        <v>102.05500000000001</v>
      </c>
      <c r="AC220" s="1701"/>
      <c r="AF220" s="1699">
        <v>99.010999999999996</v>
      </c>
      <c r="AG220" s="1701"/>
      <c r="AJ220" s="1699">
        <v>99.052999999999997</v>
      </c>
      <c r="AK220" s="1721"/>
      <c r="AL220" s="310"/>
      <c r="AM220" s="310"/>
      <c r="AN220" s="1699">
        <v>97.634</v>
      </c>
      <c r="AO220" s="1721"/>
      <c r="AP220" s="310"/>
      <c r="AQ220" s="310"/>
      <c r="AR220" s="1699">
        <v>94.709000000000003</v>
      </c>
      <c r="AV220" s="1699">
        <v>86.221000000000004</v>
      </c>
      <c r="AZ220" s="1699">
        <v>87.858000000000004</v>
      </c>
      <c r="BD220" s="1699">
        <v>87.745999999999995</v>
      </c>
      <c r="BH220" s="1699">
        <v>86.334999999999994</v>
      </c>
      <c r="BI220" s="1705"/>
      <c r="BL220" s="1699">
        <v>87.697000000000003</v>
      </c>
      <c r="BM220" s="1705"/>
      <c r="BP220" s="1699">
        <v>88.094999999999999</v>
      </c>
      <c r="BQ220" s="1705"/>
      <c r="BT220" s="1699">
        <v>87.281999999999996</v>
      </c>
      <c r="BU220" s="1705"/>
      <c r="BV220" s="114"/>
      <c r="BX220" s="1699">
        <v>84.593000000000004</v>
      </c>
      <c r="BY220" s="1705"/>
      <c r="BZ220" s="114"/>
      <c r="CA220" s="114"/>
      <c r="CB220" s="1699">
        <v>78.313999999999993</v>
      </c>
      <c r="CC220" s="200"/>
      <c r="CD220" s="200"/>
      <c r="CE220" s="200"/>
      <c r="CF220" s="1699">
        <v>74.483000000000004</v>
      </c>
      <c r="CG220" s="200"/>
      <c r="CH220" s="200"/>
      <c r="CI220" s="200"/>
      <c r="CJ220" s="1699">
        <v>69.510000000000005</v>
      </c>
      <c r="CK220" s="200"/>
      <c r="CL220" s="200"/>
      <c r="CM220" s="200"/>
      <c r="CN220" s="1699">
        <v>67.625</v>
      </c>
      <c r="CO220" s="200"/>
      <c r="CP220" s="200"/>
      <c r="CQ220" s="200"/>
      <c r="CR220" s="1699">
        <v>68.072999999999993</v>
      </c>
      <c r="CS220" s="200"/>
      <c r="CT220" s="200"/>
      <c r="CU220" s="200"/>
      <c r="CV220" s="1860">
        <f>+CR223+(CV193-CR196)</f>
        <v>68.772999999999996</v>
      </c>
      <c r="CW220" s="200"/>
      <c r="CX220" s="200"/>
    </row>
    <row r="221" spans="1:102">
      <c r="A221" s="114" t="str">
        <f>$A$11</f>
        <v>2Q</v>
      </c>
      <c r="B221" s="114" t="str">
        <f>$B$11</f>
        <v>Jul</v>
      </c>
      <c r="X221" s="1699">
        <f>103.3-0.118</f>
        <v>103.182</v>
      </c>
      <c r="AB221" s="1699">
        <v>100.44799999999999</v>
      </c>
      <c r="AC221" s="1701"/>
      <c r="AF221" s="1699">
        <v>99.322999999999993</v>
      </c>
      <c r="AG221" s="1701"/>
      <c r="AJ221" s="1699">
        <v>98.763999999999996</v>
      </c>
      <c r="AK221" s="1721"/>
      <c r="AL221" s="310"/>
      <c r="AM221" s="310"/>
      <c r="AN221" s="1699">
        <v>97.186000000000007</v>
      </c>
      <c r="AO221" s="1721"/>
      <c r="AP221" s="310"/>
      <c r="AQ221" s="310"/>
      <c r="AR221" s="1699">
        <v>95.305999999999997</v>
      </c>
      <c r="AV221" s="1699">
        <v>86.950999999999993</v>
      </c>
      <c r="AZ221" s="1699">
        <v>87.980999999999995</v>
      </c>
      <c r="BD221" s="1699">
        <v>88.09</v>
      </c>
      <c r="BH221" s="1699">
        <v>86.841999999999999</v>
      </c>
      <c r="BI221" s="1705"/>
      <c r="BL221" s="1699">
        <v>87.878</v>
      </c>
      <c r="BM221" s="1705"/>
      <c r="BP221" s="1699">
        <v>88.22</v>
      </c>
      <c r="BQ221" s="1705"/>
      <c r="BT221" s="1699">
        <v>87.266999999999996</v>
      </c>
      <c r="BU221" s="1705"/>
      <c r="BV221" s="114"/>
      <c r="BX221" s="1699">
        <v>82.555000000000007</v>
      </c>
      <c r="BY221" s="1705"/>
      <c r="BZ221" s="114"/>
      <c r="CA221" s="114"/>
      <c r="CB221" s="1699">
        <v>77.382000000000005</v>
      </c>
      <c r="CC221" s="200"/>
      <c r="CD221" s="200"/>
      <c r="CE221" s="200"/>
      <c r="CF221" s="1722">
        <v>72.436000000000007</v>
      </c>
      <c r="CG221" s="200"/>
      <c r="CH221" s="200"/>
      <c r="CI221" s="200"/>
      <c r="CJ221" s="1722">
        <v>69.712999999999994</v>
      </c>
      <c r="CK221" s="200"/>
      <c r="CL221" s="200"/>
      <c r="CM221" s="200"/>
      <c r="CN221" s="2037">
        <v>67.944000000000003</v>
      </c>
      <c r="CO221" s="200"/>
      <c r="CP221" s="200"/>
      <c r="CQ221" s="200"/>
      <c r="CR221" s="2037">
        <v>68.456000000000003</v>
      </c>
      <c r="CS221" s="200"/>
      <c r="CT221" s="200"/>
      <c r="CU221" s="200"/>
      <c r="CV221" s="1860">
        <f t="shared" ref="CV221" si="461">+CV220+(CV194-CV193)</f>
        <v>69.022999999999996</v>
      </c>
      <c r="CW221" s="200"/>
      <c r="CX221" s="200"/>
    </row>
    <row r="222" spans="1:102">
      <c r="A222" s="114" t="str">
        <f>$A$12</f>
        <v>3Q</v>
      </c>
      <c r="B222" s="114" t="str">
        <f>$B$12</f>
        <v>Oct</v>
      </c>
      <c r="X222" s="1699">
        <f>103.3-0.383</f>
        <v>102.917</v>
      </c>
      <c r="AB222" s="1699">
        <v>98.968999999999994</v>
      </c>
      <c r="AC222" s="1701"/>
      <c r="AF222" s="1699">
        <v>99.200999999999993</v>
      </c>
      <c r="AG222" s="1701"/>
      <c r="AJ222" s="1699">
        <v>97.647999999999996</v>
      </c>
      <c r="AK222" s="1721"/>
      <c r="AL222" s="310"/>
      <c r="AM222" s="310"/>
      <c r="AN222" s="1699">
        <v>96.406999999999996</v>
      </c>
      <c r="AO222" s="1721"/>
      <c r="AP222" s="310"/>
      <c r="AQ222" s="310"/>
      <c r="AR222" s="1699">
        <v>93.448999999999998</v>
      </c>
      <c r="AV222" s="1699">
        <v>87.861999999999995</v>
      </c>
      <c r="AZ222" s="1699">
        <v>88.105999999999995</v>
      </c>
      <c r="BD222" s="1699">
        <v>91.132999999999996</v>
      </c>
      <c r="BH222" s="1699">
        <v>87.034000000000006</v>
      </c>
      <c r="BL222" s="1699">
        <v>87.942999999999998</v>
      </c>
      <c r="BP222" s="1699">
        <v>88.236000000000004</v>
      </c>
      <c r="BT222" s="1699">
        <v>86.962000000000003</v>
      </c>
      <c r="BU222" s="114"/>
      <c r="BV222" s="114"/>
      <c r="BX222" s="1699">
        <v>81.668999999999997</v>
      </c>
      <c r="BY222" s="114"/>
      <c r="BZ222" s="114"/>
      <c r="CA222" s="114"/>
      <c r="CB222" s="1699">
        <v>76.456000000000003</v>
      </c>
      <c r="CC222" s="200"/>
      <c r="CD222" s="200"/>
      <c r="CE222" s="200"/>
      <c r="CF222" s="1722">
        <v>70.813999999999993</v>
      </c>
      <c r="CG222" s="200"/>
      <c r="CH222" s="200"/>
      <c r="CI222" s="200"/>
      <c r="CJ222" s="1722">
        <v>68.866</v>
      </c>
      <c r="CK222" s="200"/>
      <c r="CL222" s="200"/>
      <c r="CM222" s="200"/>
      <c r="CN222" s="2037">
        <v>67.974999999999994</v>
      </c>
      <c r="CO222" s="200"/>
      <c r="CP222" s="200"/>
      <c r="CQ222" s="200"/>
      <c r="CR222" s="1860">
        <f>+CR221+(CR195-CR194)</f>
        <v>68.512</v>
      </c>
      <c r="CS222" s="200"/>
      <c r="CT222" s="200"/>
      <c r="CU222" s="200"/>
      <c r="CV222" s="1860">
        <f>+CV221+(CV195-CV194)</f>
        <v>69.322999999999993</v>
      </c>
      <c r="CW222" s="200"/>
      <c r="CX222" s="200"/>
    </row>
    <row r="223" spans="1:102">
      <c r="A223" s="114" t="str">
        <f>$A$13</f>
        <v>4Q</v>
      </c>
      <c r="B223" s="114" t="str">
        <f>$B$13</f>
        <v>Jan</v>
      </c>
      <c r="X223" s="1706">
        <v>102.191</v>
      </c>
      <c r="AB223" s="1699">
        <v>98.772000000000006</v>
      </c>
      <c r="AC223" s="1701"/>
      <c r="AF223" s="1711">
        <v>98.96</v>
      </c>
      <c r="AG223" s="1701"/>
      <c r="AJ223" s="1711">
        <v>97.703000000000003</v>
      </c>
      <c r="AK223" s="1721"/>
      <c r="AL223" s="310"/>
      <c r="AM223" s="310"/>
      <c r="AN223" s="1711">
        <v>96.200999999999993</v>
      </c>
      <c r="AO223" s="1721"/>
      <c r="AP223" s="310"/>
      <c r="AQ223" s="310"/>
      <c r="AR223" s="1711">
        <v>87.64</v>
      </c>
      <c r="AV223" s="1711">
        <v>87.647000000000006</v>
      </c>
      <c r="AZ223" s="1711">
        <v>88.159000000000006</v>
      </c>
      <c r="BD223" s="1711">
        <v>86.122</v>
      </c>
      <c r="BH223" s="1711">
        <v>87.052000000000007</v>
      </c>
      <c r="BL223" s="1711">
        <v>87.977000000000004</v>
      </c>
      <c r="BP223" s="1711">
        <v>87.691000000000003</v>
      </c>
      <c r="BT223" s="1711">
        <v>85.638000000000005</v>
      </c>
      <c r="BU223" s="114"/>
      <c r="BV223" s="114"/>
      <c r="BX223" s="1711">
        <v>78.944000000000003</v>
      </c>
      <c r="BY223" s="114"/>
      <c r="BZ223" s="114"/>
      <c r="CA223" s="114"/>
      <c r="CB223" s="1711">
        <v>76.466999999999999</v>
      </c>
      <c r="CC223" s="200"/>
      <c r="CD223" s="200"/>
      <c r="CE223" s="200"/>
      <c r="CF223" s="1711">
        <v>69.409000000000006</v>
      </c>
      <c r="CG223" s="200"/>
      <c r="CH223" s="200"/>
      <c r="CI223" s="200"/>
      <c r="CJ223" s="2022">
        <v>67.432000000000002</v>
      </c>
      <c r="CK223" s="200"/>
      <c r="CL223" s="200"/>
      <c r="CM223" s="200"/>
      <c r="CN223" s="2022">
        <v>67.97</v>
      </c>
      <c r="CO223" s="200"/>
      <c r="CP223" s="200"/>
      <c r="CQ223" s="200"/>
      <c r="CR223" s="2282">
        <v>68.522999999999996</v>
      </c>
      <c r="CS223" s="200"/>
      <c r="CT223" s="200"/>
      <c r="CU223" s="200"/>
      <c r="CV223" s="1723">
        <f>+CV222+(CV196-CV195)</f>
        <v>69.62299999999999</v>
      </c>
      <c r="CW223" s="200"/>
      <c r="CX223" s="200"/>
    </row>
    <row r="224" spans="1:102">
      <c r="B224" s="114" t="str">
        <f>$B$14</f>
        <v>Year</v>
      </c>
      <c r="D224" s="1699">
        <f>51.542*2</f>
        <v>103.084</v>
      </c>
      <c r="H224" s="1699">
        <f>51.542*2</f>
        <v>103.084</v>
      </c>
      <c r="L224" s="1699">
        <f>51.542*2</f>
        <v>103.084</v>
      </c>
      <c r="P224" s="1699">
        <f>51.542*2</f>
        <v>103.084</v>
      </c>
      <c r="T224" s="1699">
        <f>51.542*2</f>
        <v>103.084</v>
      </c>
      <c r="X224" s="1699">
        <f>X223</f>
        <v>102.191</v>
      </c>
      <c r="Y224" s="1705"/>
      <c r="Z224" s="1705"/>
      <c r="AA224" s="1705"/>
      <c r="AB224" s="1699">
        <f>AB223</f>
        <v>98.772000000000006</v>
      </c>
      <c r="AC224" s="1517"/>
      <c r="AD224" s="1705"/>
      <c r="AE224" s="1705"/>
      <c r="AF224" s="1699">
        <f>AVERAGE(AF220:AF223)</f>
        <v>99.123749999999987</v>
      </c>
      <c r="AG224" s="1705"/>
      <c r="AH224" s="1705"/>
      <c r="AI224" s="1705"/>
      <c r="AJ224" s="1699">
        <f>AVERAGE(AJ220:AJ223)</f>
        <v>98.292000000000002</v>
      </c>
      <c r="AK224" s="1705"/>
      <c r="AL224" s="1705"/>
      <c r="AM224" s="1705"/>
      <c r="AN224" s="1699">
        <f>AVERAGE(AN220:AN223)</f>
        <v>96.856999999999999</v>
      </c>
      <c r="AO224" s="1705"/>
      <c r="AP224" s="1705"/>
      <c r="AQ224" s="1705"/>
      <c r="AR224" s="1699">
        <v>92.777000000000001</v>
      </c>
      <c r="AS224" s="1705"/>
      <c r="AT224" s="1705"/>
      <c r="AU224" s="1705"/>
      <c r="AV224" s="1699">
        <v>87.161000000000001</v>
      </c>
      <c r="AW224" s="1705"/>
      <c r="AX224" s="1705"/>
      <c r="AY224" s="1705"/>
      <c r="AZ224" s="1699">
        <v>88.052000000000007</v>
      </c>
      <c r="BD224" s="1699">
        <v>87.248000000000005</v>
      </c>
      <c r="BH224" s="1699">
        <v>86.816000000000003</v>
      </c>
      <c r="BL224" s="1699">
        <v>87.873999999999995</v>
      </c>
      <c r="BP224" s="1705">
        <f>AVERAGE(BP220:BP223)</f>
        <v>88.06049999999999</v>
      </c>
      <c r="BT224" s="1705">
        <f>AVERAGE(BT220:BT223)</f>
        <v>86.78725</v>
      </c>
      <c r="BU224" s="114"/>
      <c r="BV224" s="114"/>
      <c r="BX224" s="1705">
        <f>AVERAGE(BX220:BX223)</f>
        <v>81.940250000000006</v>
      </c>
      <c r="BY224" s="114"/>
      <c r="BZ224" s="114"/>
      <c r="CA224" s="114"/>
      <c r="CB224" s="1705">
        <v>77.156999999999996</v>
      </c>
      <c r="CC224" s="200"/>
      <c r="CD224" s="200"/>
      <c r="CE224" s="200"/>
      <c r="CF224" s="2024">
        <v>71.784999999999997</v>
      </c>
      <c r="CG224" s="200"/>
      <c r="CH224" s="200"/>
      <c r="CI224" s="200"/>
      <c r="CJ224" s="2024">
        <v>68.88</v>
      </c>
      <c r="CK224" s="200"/>
      <c r="CL224" s="200"/>
      <c r="CM224" s="200"/>
      <c r="CN224" s="2024">
        <v>67.878</v>
      </c>
      <c r="CO224" s="200"/>
      <c r="CP224" s="200"/>
      <c r="CQ224" s="200"/>
      <c r="CR224" s="2279">
        <v>68.391000000000005</v>
      </c>
      <c r="CS224" s="200"/>
      <c r="CT224" s="200"/>
      <c r="CU224" s="200"/>
      <c r="CV224" s="1705">
        <f>AVERAGE(CV220:CV223)</f>
        <v>69.18549999999999</v>
      </c>
      <c r="CW224" s="200"/>
      <c r="CX224" s="200"/>
    </row>
    <row r="225" spans="1:104">
      <c r="X225" s="1699"/>
      <c r="Y225" s="1705"/>
      <c r="Z225" s="1705"/>
      <c r="AA225" s="1705"/>
      <c r="AB225" s="1699"/>
      <c r="AC225" s="1517"/>
      <c r="AD225" s="1705"/>
      <c r="AE225" s="1705"/>
      <c r="AF225" s="1699"/>
      <c r="AG225" s="1705"/>
      <c r="AH225" s="1705"/>
      <c r="AI225" s="1705"/>
      <c r="AJ225" s="1699"/>
      <c r="AK225" s="1705"/>
      <c r="AL225" s="1705"/>
      <c r="AM225" s="1705"/>
      <c r="AN225" s="1699"/>
      <c r="AO225" s="1705"/>
      <c r="AP225" s="1705"/>
      <c r="AQ225" s="1705"/>
      <c r="AR225" s="1705"/>
      <c r="AV225" s="1705"/>
      <c r="AZ225" s="1705"/>
      <c r="BD225" s="1705"/>
      <c r="BH225" s="1705"/>
      <c r="BL225" s="1705"/>
      <c r="BP225" s="1705"/>
      <c r="BT225" s="1705"/>
      <c r="BU225" s="114"/>
      <c r="BV225" s="114"/>
      <c r="BX225" s="1705"/>
      <c r="BY225" s="114"/>
      <c r="BZ225" s="114"/>
      <c r="CA225" s="114"/>
      <c r="CB225" s="200"/>
      <c r="CC225" s="200"/>
      <c r="CD225" s="200"/>
      <c r="CE225" s="200"/>
      <c r="CF225" s="200"/>
      <c r="CG225" s="200"/>
      <c r="CH225" s="200"/>
      <c r="CI225" s="200"/>
      <c r="CJ225" s="200"/>
      <c r="CK225" s="200"/>
      <c r="CL225" s="200"/>
      <c r="CM225" s="200"/>
      <c r="CN225" s="200"/>
      <c r="CO225" s="200"/>
      <c r="CP225" s="200"/>
      <c r="CQ225" s="200"/>
      <c r="CR225" s="200"/>
      <c r="CS225" s="200"/>
      <c r="CT225" s="200"/>
      <c r="CU225" s="200"/>
      <c r="CV225" s="200"/>
      <c r="CW225" s="200"/>
      <c r="CX225" s="200"/>
    </row>
    <row r="226" spans="1:104">
      <c r="Y226" s="1533"/>
      <c r="Z226" s="1533"/>
      <c r="AA226" s="1533"/>
      <c r="AC226" s="1533"/>
      <c r="AD226" s="1533"/>
      <c r="AE226" s="1533"/>
      <c r="AF226" s="1533"/>
      <c r="AG226" s="1533"/>
      <c r="AH226" s="1533"/>
      <c r="AI226" s="1533"/>
      <c r="AK226" s="1533"/>
      <c r="AL226" s="1533"/>
      <c r="AM226" s="1533"/>
      <c r="AN226" s="1532"/>
      <c r="AO226" s="1533"/>
      <c r="AP226" s="1533"/>
      <c r="AQ226" s="1533"/>
      <c r="AS226" s="1533"/>
      <c r="AT226" s="1533"/>
      <c r="AU226" s="1533"/>
      <c r="AV226" s="1533"/>
      <c r="AW226" s="1533"/>
      <c r="AX226" s="1533"/>
      <c r="AY226" s="1533"/>
      <c r="AZ226" s="1533"/>
      <c r="BA226" s="1533"/>
      <c r="BB226" s="1533"/>
      <c r="BC226" s="1533"/>
      <c r="BD226" s="1533"/>
      <c r="BE226" s="1533"/>
      <c r="BF226" s="1533"/>
      <c r="BG226" s="1533"/>
      <c r="BH226" s="1533"/>
      <c r="BI226" s="22"/>
      <c r="BJ226" s="1533"/>
      <c r="BK226" s="1533"/>
      <c r="BL226" s="1533"/>
      <c r="BM226" s="1533"/>
      <c r="BN226" s="1533"/>
      <c r="BO226" s="1533"/>
      <c r="BP226" s="1533"/>
      <c r="BQ226" s="1533"/>
      <c r="BR226" s="1533"/>
      <c r="BS226" s="1534"/>
      <c r="BT226" s="1533"/>
      <c r="BU226" s="1533"/>
      <c r="BW226" s="1534"/>
      <c r="BX226" s="1533"/>
      <c r="BY226" s="1533"/>
      <c r="BZ226" s="1533"/>
      <c r="CA226" s="1533"/>
      <c r="CB226" s="200"/>
      <c r="CC226" s="200"/>
      <c r="CD226" s="200"/>
      <c r="CE226" s="1532" t="s">
        <v>44</v>
      </c>
      <c r="CF226" s="200"/>
      <c r="CG226" s="200"/>
      <c r="CH226" s="200"/>
      <c r="CI226" s="200"/>
      <c r="CJ226" s="200"/>
      <c r="CK226" s="200"/>
      <c r="CL226" s="200"/>
      <c r="CM226" s="200"/>
      <c r="CN226" s="200"/>
      <c r="CO226" s="200"/>
      <c r="CP226" s="200"/>
      <c r="CQ226" s="200"/>
      <c r="CR226" s="200"/>
      <c r="CS226" s="200"/>
      <c r="CT226" s="200"/>
      <c r="CU226" s="200"/>
      <c r="CV226" s="200"/>
      <c r="CW226" s="200"/>
      <c r="CX226" s="200"/>
    </row>
    <row r="227" spans="1:104">
      <c r="A227" s="114" t="s">
        <v>115</v>
      </c>
      <c r="B227" s="114" t="s">
        <v>96</v>
      </c>
      <c r="AN227" s="1541">
        <v>21.178000000000001</v>
      </c>
      <c r="AO227" s="1542"/>
      <c r="AP227" s="1724"/>
      <c r="AR227" s="1541">
        <v>26.606000000000002</v>
      </c>
      <c r="AV227" s="1541">
        <v>30.044</v>
      </c>
      <c r="AZ227" s="1541">
        <v>33.226999999999997</v>
      </c>
      <c r="BD227" s="1541">
        <v>42.41</v>
      </c>
      <c r="BH227" s="1541">
        <v>52.749000000000002</v>
      </c>
      <c r="BL227" s="1541">
        <v>59.676000000000002</v>
      </c>
      <c r="BP227" s="1541">
        <v>56.737000000000002</v>
      </c>
      <c r="BT227" s="1541">
        <v>57.218000000000004</v>
      </c>
      <c r="BU227" s="114"/>
      <c r="BV227" s="114"/>
      <c r="BX227" s="1541">
        <v>54.546999999999997</v>
      </c>
      <c r="BY227" s="114"/>
      <c r="BZ227" s="114"/>
      <c r="CA227" s="114"/>
      <c r="CB227" s="1541">
        <v>59.459000000000003</v>
      </c>
      <c r="CC227" s="200"/>
      <c r="CD227" s="200"/>
      <c r="CE227" s="200"/>
      <c r="CF227" s="1725">
        <v>58.896999999999998</v>
      </c>
      <c r="CG227" s="200"/>
      <c r="CH227" s="200"/>
      <c r="CI227" s="200"/>
      <c r="CJ227" s="1725">
        <v>53.290999999999997</v>
      </c>
      <c r="CK227" s="200"/>
      <c r="CL227" s="200"/>
      <c r="CM227" s="200"/>
      <c r="CN227" s="1725">
        <v>50.866</v>
      </c>
      <c r="CO227" s="200"/>
      <c r="CP227" s="200"/>
      <c r="CQ227" s="200"/>
      <c r="CR227" s="1725">
        <v>48.789000000000001</v>
      </c>
      <c r="CS227" s="200"/>
      <c r="CT227" s="200"/>
      <c r="CU227" s="200"/>
      <c r="CV227" s="2204">
        <v>45</v>
      </c>
      <c r="CW227" s="200"/>
      <c r="CX227" s="200"/>
      <c r="CZ227" s="1008"/>
    </row>
    <row r="228" spans="1:104">
      <c r="A228" s="114" t="s">
        <v>116</v>
      </c>
      <c r="B228" s="114" t="s">
        <v>97</v>
      </c>
      <c r="AN228" s="1547">
        <f>42.246-AN227</f>
        <v>21.068000000000001</v>
      </c>
      <c r="AO228" s="1542"/>
      <c r="AP228" s="1724"/>
      <c r="AR228" s="1547">
        <f>51.534-AR227</f>
        <v>24.927999999999997</v>
      </c>
      <c r="AV228" s="1547">
        <f>60.528-AV227</f>
        <v>30.483999999999998</v>
      </c>
      <c r="AZ228" s="1547">
        <f>66.823-AZ227</f>
        <v>33.595999999999997</v>
      </c>
      <c r="BD228" s="1547">
        <f>87.732-BD227</f>
        <v>45.322000000000003</v>
      </c>
      <c r="BH228" s="1547">
        <f>108.417-BH227</f>
        <v>55.667999999999999</v>
      </c>
      <c r="BL228" s="1547">
        <f>118.391-BL227</f>
        <v>58.715000000000003</v>
      </c>
      <c r="BP228" s="1547">
        <f>112.403-BP227</f>
        <v>55.666000000000004</v>
      </c>
      <c r="BT228" s="1547">
        <f>116.397-BT227</f>
        <v>59.179000000000002</v>
      </c>
      <c r="BU228" s="114"/>
      <c r="BV228" s="114"/>
      <c r="BX228" s="1699">
        <f>109.347-BX227</f>
        <v>54.8</v>
      </c>
      <c r="BY228" s="114"/>
      <c r="BZ228" s="114"/>
      <c r="CA228" s="114"/>
      <c r="CB228" s="1699">
        <f>120.313-CB227</f>
        <v>60.853999999999999</v>
      </c>
      <c r="CC228" s="200"/>
      <c r="CD228" s="200"/>
      <c r="CE228" s="200"/>
      <c r="CF228" s="1722">
        <f>118.762-CF227</f>
        <v>59.865000000000002</v>
      </c>
      <c r="CG228" s="200"/>
      <c r="CH228" s="200"/>
      <c r="CI228" s="200"/>
      <c r="CJ228" s="2018">
        <f>108.359-CJ227</f>
        <v>55.067999999999998</v>
      </c>
      <c r="CK228" s="200"/>
      <c r="CL228" s="200"/>
      <c r="CM228" s="200"/>
      <c r="CN228" s="2036">
        <f>99.933-CN227</f>
        <v>49.067000000000007</v>
      </c>
      <c r="CO228" s="200"/>
      <c r="CP228" s="200"/>
      <c r="CQ228" s="200"/>
      <c r="CR228" s="2243">
        <f>95.502-CR227</f>
        <v>46.712999999999994</v>
      </c>
      <c r="CS228" s="200"/>
      <c r="CT228" s="200"/>
      <c r="CU228" s="200"/>
      <c r="CV228" s="2014">
        <v>45</v>
      </c>
      <c r="CW228" s="200"/>
      <c r="CX228" s="200"/>
      <c r="CY228" s="97"/>
      <c r="CZ228" s="1726"/>
    </row>
    <row r="229" spans="1:104">
      <c r="A229" s="114" t="s">
        <v>117</v>
      </c>
      <c r="B229" s="114" t="s">
        <v>99</v>
      </c>
      <c r="AN229" s="1547">
        <f>64.48-SUM(AN227:AN228)</f>
        <v>22.234000000000002</v>
      </c>
      <c r="AO229" s="1542"/>
      <c r="AP229" s="1724"/>
      <c r="AR229" s="1547">
        <f>76.989-SUM(AR227:AR228)</f>
        <v>25.455000000000005</v>
      </c>
      <c r="AV229" s="1547">
        <f>90.866-AV228-AV227</f>
        <v>30.338000000000005</v>
      </c>
      <c r="AZ229" s="1547">
        <f>104.979-AZ228-AZ227</f>
        <v>38.156000000000013</v>
      </c>
      <c r="BD229" s="1547">
        <f>134.155-BD228-BD227</f>
        <v>46.423000000000002</v>
      </c>
      <c r="BH229" s="1547">
        <f>165.592-BH228-BH227</f>
        <v>57.175000000000004</v>
      </c>
      <c r="BL229" s="1547">
        <f>178.693-BL228-BL227</f>
        <v>60.302000000000007</v>
      </c>
      <c r="BP229" s="1547">
        <f>167.756-BP228-BP227</f>
        <v>55.353000000000002</v>
      </c>
      <c r="BT229" s="1547">
        <f>173.569-BT228-BT227</f>
        <v>57.171999999999983</v>
      </c>
      <c r="BU229" s="114"/>
      <c r="BV229" s="114"/>
      <c r="BX229" s="1699">
        <f>165.516-BX228-BX227</f>
        <v>56.168999999999997</v>
      </c>
      <c r="BY229" s="114"/>
      <c r="BZ229" s="114"/>
      <c r="CA229" s="114"/>
      <c r="CB229" s="1706">
        <f>180.609-CB228-CB227</f>
        <v>60.296000000000006</v>
      </c>
      <c r="CC229" s="200"/>
      <c r="CD229" s="200"/>
      <c r="CE229" s="200"/>
      <c r="CF229" s="1706">
        <f>174.966-CF228-CF227</f>
        <v>56.204000000000001</v>
      </c>
      <c r="CG229" s="200"/>
      <c r="CH229" s="200"/>
      <c r="CI229" s="200"/>
      <c r="CJ229" s="1706">
        <f>160.364-CJ228-CJ227</f>
        <v>52.00500000000001</v>
      </c>
      <c r="CK229" s="200"/>
      <c r="CL229" s="200"/>
      <c r="CM229" s="200"/>
      <c r="CN229" s="2057">
        <f>146.666-CN227-CN228</f>
        <v>46.73299999999999</v>
      </c>
      <c r="CO229" s="200"/>
      <c r="CP229" s="200"/>
      <c r="CQ229" s="200"/>
      <c r="CR229" s="2243">
        <f>146.147-CR228-CR227</f>
        <v>50.644999999999996</v>
      </c>
      <c r="CS229" s="200"/>
      <c r="CT229" s="200"/>
      <c r="CU229" s="200"/>
      <c r="CV229" s="2014">
        <v>45</v>
      </c>
      <c r="CW229" s="200"/>
      <c r="CX229" s="200"/>
      <c r="CY229" s="97"/>
      <c r="CZ229" s="1726"/>
    </row>
    <row r="230" spans="1:104">
      <c r="A230" s="114" t="s">
        <v>118</v>
      </c>
      <c r="B230" s="114" t="s">
        <v>100</v>
      </c>
      <c r="AN230" s="1564">
        <f>AN231-SUM(AN227:AN229)</f>
        <v>25.058999999999997</v>
      </c>
      <c r="AO230" s="1542"/>
      <c r="AP230" s="1724"/>
      <c r="AR230" s="1564">
        <f>AR231-SUM(AR227:AR229)</f>
        <v>28.824999999999989</v>
      </c>
      <c r="AV230" s="1564">
        <f>AV231-SUM(AV227:AV229)</f>
        <v>33.340000000000003</v>
      </c>
      <c r="AZ230" s="1564">
        <f>AZ231-SUM(AZ227:AZ229)</f>
        <v>41.176999999999992</v>
      </c>
      <c r="BD230" s="1564">
        <f>BD231-BD229-BD228-BD227</f>
        <v>49.561000000000007</v>
      </c>
      <c r="BH230" s="1564">
        <f>BH231-SUM(BH227:BH229)</f>
        <v>59.74199999999999</v>
      </c>
      <c r="BL230" s="1564">
        <f>BL231-BL227-BL228-BL229</f>
        <v>60.059000000000012</v>
      </c>
      <c r="BP230" s="1564">
        <f>BP231-BP227-BP228-BP229</f>
        <v>61.396999999999998</v>
      </c>
      <c r="BT230" s="1564">
        <f>BT231-BT227-BT228-BT229</f>
        <v>59.387000000000015</v>
      </c>
      <c r="BU230" s="114"/>
      <c r="BV230" s="114"/>
      <c r="BX230" s="1723">
        <f>BX231-BX229-BX228-BX227</f>
        <v>58.729000000000028</v>
      </c>
      <c r="BY230" s="114"/>
      <c r="BZ230" s="114"/>
      <c r="CA230" s="114"/>
      <c r="CB230" s="1723">
        <f>CB231-CB229-CB228-CB227</f>
        <v>54.631000000000014</v>
      </c>
      <c r="CC230" s="200"/>
      <c r="CD230" s="200"/>
      <c r="CE230" s="200"/>
      <c r="CF230" s="1723">
        <f>CF231-CF229-CF228-CF227</f>
        <v>51.454999999999977</v>
      </c>
      <c r="CG230" s="200"/>
      <c r="CH230" s="200"/>
      <c r="CI230" s="200"/>
      <c r="CJ230" s="1723">
        <f>CJ231-CJ229-CJ228-CJ227</f>
        <v>53.316000000000017</v>
      </c>
      <c r="CK230" s="200"/>
      <c r="CL230" s="200"/>
      <c r="CM230" s="200"/>
      <c r="CN230" s="1723">
        <f>CN231-CN229-CN228-CN227</f>
        <v>48.747999999999976</v>
      </c>
      <c r="CO230" s="200"/>
      <c r="CP230" s="200"/>
      <c r="CQ230" s="200"/>
      <c r="CR230" s="1952">
        <v>46</v>
      </c>
      <c r="CS230" s="200"/>
      <c r="CT230" s="200"/>
      <c r="CU230" s="200"/>
      <c r="CV230" s="1952">
        <v>45</v>
      </c>
      <c r="CW230" s="200"/>
      <c r="CX230" s="200"/>
      <c r="CY230" s="97"/>
      <c r="CZ230" s="1726"/>
    </row>
    <row r="231" spans="1:104">
      <c r="B231" s="114" t="s">
        <v>119</v>
      </c>
      <c r="AN231" s="1536">
        <f>flow!T11</f>
        <v>89.539000000000001</v>
      </c>
      <c r="AO231" s="1542"/>
      <c r="AP231" s="1724"/>
      <c r="AR231" s="1536">
        <f>flow!V11</f>
        <v>105.81399999999999</v>
      </c>
      <c r="AV231" s="1536">
        <f>flow!X11</f>
        <v>124.206</v>
      </c>
      <c r="AZ231" s="1536">
        <f>flow!Z11</f>
        <v>146.15600000000001</v>
      </c>
      <c r="BA231" s="1161">
        <f>AZ231/AV231-1</f>
        <v>0.17672254158414247</v>
      </c>
      <c r="BD231" s="1536">
        <f>flow!AB11</f>
        <v>183.71600000000001</v>
      </c>
      <c r="BE231" s="1161">
        <f>BD231/AZ231-1</f>
        <v>0.25698568652672482</v>
      </c>
      <c r="BH231" s="1536">
        <f>flow!AD11</f>
        <v>225.334</v>
      </c>
      <c r="BI231" s="1161">
        <f>BH231/BD231-1</f>
        <v>0.22653443358226832</v>
      </c>
      <c r="BL231" s="1536">
        <f>flow!AF11</f>
        <v>238.75200000000001</v>
      </c>
      <c r="BM231" s="1161">
        <f>BL231/BH231-1</f>
        <v>5.9547161103073787E-2</v>
      </c>
      <c r="BP231" s="1536">
        <f>+flow!AH11</f>
        <v>229.15299999999999</v>
      </c>
      <c r="BQ231" s="1161">
        <f>BP231/BL231-1</f>
        <v>-4.0204898807130518E-2</v>
      </c>
      <c r="BT231" s="1536">
        <f>+flow!AJ11</f>
        <v>232.95599999999999</v>
      </c>
      <c r="BU231" s="1161">
        <f>BT231/BP231-1</f>
        <v>1.6595898809965481E-2</v>
      </c>
      <c r="BV231" s="114"/>
      <c r="BX231" s="1536">
        <f>flow!AL11</f>
        <v>224.245</v>
      </c>
      <c r="BY231" s="1161">
        <f>BX231/BT231-1</f>
        <v>-3.7393327495320983E-2</v>
      </c>
      <c r="BZ231" s="114"/>
      <c r="CA231" s="114"/>
      <c r="CB231" s="1536">
        <f>flow!AN11</f>
        <v>235.24</v>
      </c>
      <c r="CC231" s="200"/>
      <c r="CD231" s="200"/>
      <c r="CE231" s="200"/>
      <c r="CF231" s="1536">
        <f>flow!AP11</f>
        <v>226.42099999999999</v>
      </c>
      <c r="CG231" s="200"/>
      <c r="CH231" s="200"/>
      <c r="CI231" s="200"/>
      <c r="CJ231" s="1536">
        <f>flow!AR11</f>
        <v>213.68</v>
      </c>
      <c r="CK231" s="200"/>
      <c r="CL231" s="200"/>
      <c r="CM231" s="200"/>
      <c r="CN231" s="1536">
        <f>flow!AT11</f>
        <v>195.41399999999999</v>
      </c>
      <c r="CO231" s="200"/>
      <c r="CP231" s="200"/>
      <c r="CQ231" s="200"/>
      <c r="CR231" s="1536">
        <f>SUM(CR227:CR230)</f>
        <v>192.14699999999999</v>
      </c>
      <c r="CS231" s="200"/>
      <c r="CT231" s="200"/>
      <c r="CU231" s="200"/>
      <c r="CV231" s="1536">
        <f>SUM(CV227:CV230)</f>
        <v>180</v>
      </c>
      <c r="CW231" s="200"/>
      <c r="CX231" s="200"/>
      <c r="CY231" s="97"/>
      <c r="CZ231" s="376"/>
    </row>
    <row r="232" spans="1:104" hidden="1" outlineLevel="1">
      <c r="A232" s="114" t="s">
        <v>120</v>
      </c>
      <c r="AN232" s="1182">
        <f>SUM(AN227:AN228)</f>
        <v>42.246000000000002</v>
      </c>
      <c r="AO232" s="1542"/>
      <c r="AP232" s="1724"/>
      <c r="AR232" s="1182">
        <f>SUM(AR227:AR228)</f>
        <v>51.533999999999999</v>
      </c>
      <c r="AV232" s="1182">
        <f>SUM(AV227:AV228)</f>
        <v>60.527999999999999</v>
      </c>
      <c r="AZ232" s="1182">
        <f>SUM(AZ227:AZ228)</f>
        <v>66.822999999999993</v>
      </c>
      <c r="BD232" s="1182">
        <f>SUM(BD227:BD228)</f>
        <v>87.731999999999999</v>
      </c>
      <c r="BH232" s="1182">
        <f>SUM(BH227:BH228)</f>
        <v>108.417</v>
      </c>
      <c r="BL232" s="1182">
        <f>SUM(BL227:BL228)</f>
        <v>118.39100000000001</v>
      </c>
      <c r="BP232" s="1182">
        <f>SUM(BP227:BP228)</f>
        <v>112.40300000000001</v>
      </c>
      <c r="BT232" s="1182">
        <f>SUM(BT227:BT228)</f>
        <v>116.39700000000001</v>
      </c>
      <c r="BU232" s="114"/>
      <c r="BV232" s="114"/>
      <c r="BX232" s="1182">
        <f>SUM(BX227:BX228)</f>
        <v>109.34699999999999</v>
      </c>
      <c r="BY232" s="114"/>
      <c r="BZ232" s="114"/>
      <c r="CA232" s="114"/>
      <c r="CB232" s="1182">
        <f>SUM(CB227:CB228)</f>
        <v>120.313</v>
      </c>
      <c r="CC232" s="200"/>
      <c r="CD232" s="200"/>
      <c r="CE232" s="200"/>
      <c r="CF232" s="1182">
        <f>SUM(CF227:CF228)</f>
        <v>118.762</v>
      </c>
      <c r="CG232" s="200"/>
      <c r="CH232" s="200"/>
      <c r="CI232" s="200"/>
      <c r="CJ232" s="1182">
        <f>SUM(CJ227:CJ228)</f>
        <v>108.35899999999999</v>
      </c>
      <c r="CK232" s="200"/>
      <c r="CL232" s="200"/>
      <c r="CM232" s="200"/>
      <c r="CN232" s="1182">
        <f>SUM(CN227:CN228)</f>
        <v>99.933000000000007</v>
      </c>
      <c r="CO232" s="200"/>
      <c r="CP232" s="200"/>
      <c r="CQ232" s="200"/>
      <c r="CR232" s="1182">
        <f>SUM(CR227:CR228)</f>
        <v>95.501999999999995</v>
      </c>
      <c r="CS232" s="200"/>
      <c r="CT232" s="200"/>
      <c r="CU232" s="200"/>
      <c r="CV232" s="1182">
        <f>SUM(CV227:CV228)</f>
        <v>90</v>
      </c>
      <c r="CW232" s="200"/>
      <c r="CX232" s="200"/>
      <c r="CY232" s="97"/>
      <c r="CZ232" s="1726"/>
    </row>
    <row r="233" spans="1:104" hidden="1" outlineLevel="1">
      <c r="A233" s="114" t="s">
        <v>121</v>
      </c>
      <c r="AN233" s="1182">
        <f>SUM(AN227:AN229)</f>
        <v>64.48</v>
      </c>
      <c r="AO233" s="1542"/>
      <c r="AP233" s="1724"/>
      <c r="AR233" s="1182">
        <f>SUM(AR227:AR229)</f>
        <v>76.989000000000004</v>
      </c>
      <c r="AV233" s="1182">
        <f>SUM(AV227:AV229)</f>
        <v>90.866</v>
      </c>
      <c r="AZ233" s="1182">
        <f>SUM(AZ227:AZ229)</f>
        <v>104.97900000000001</v>
      </c>
      <c r="BD233" s="1182">
        <f>SUM(BD227:BD229)</f>
        <v>134.155</v>
      </c>
      <c r="BH233" s="1182">
        <f>SUM(BH227:BH229)</f>
        <v>165.59200000000001</v>
      </c>
      <c r="BL233" s="1182">
        <f>SUM(BL227:BL229)</f>
        <v>178.69300000000001</v>
      </c>
      <c r="BP233" s="1182">
        <f>SUM(BP227:BP229)</f>
        <v>167.756</v>
      </c>
      <c r="BT233" s="1182">
        <f>SUM(BT227:BT229)</f>
        <v>173.56899999999999</v>
      </c>
      <c r="BU233" s="114"/>
      <c r="BV233" s="114"/>
      <c r="BX233" s="1182">
        <f>SUM(BX227:BX229)</f>
        <v>165.51599999999999</v>
      </c>
      <c r="BY233" s="114"/>
      <c r="BZ233" s="114"/>
      <c r="CA233" s="114"/>
      <c r="CB233" s="1182">
        <f>SUM(CB227:CB229)</f>
        <v>180.60900000000001</v>
      </c>
      <c r="CC233" s="200"/>
      <c r="CD233" s="200"/>
      <c r="CE233" s="200"/>
      <c r="CF233" s="1182">
        <f>SUM(CF227:CF229)</f>
        <v>174.96600000000001</v>
      </c>
      <c r="CG233" s="200"/>
      <c r="CH233" s="200"/>
      <c r="CI233" s="200"/>
      <c r="CJ233" s="1182">
        <f>SUM(CJ227:CJ229)</f>
        <v>160.364</v>
      </c>
      <c r="CK233" s="200"/>
      <c r="CL233" s="200"/>
      <c r="CM233" s="200"/>
      <c r="CN233" s="1182">
        <f>SUM(CN227:CN229)</f>
        <v>146.666</v>
      </c>
      <c r="CO233" s="200"/>
      <c r="CP233" s="200"/>
      <c r="CQ233" s="200"/>
      <c r="CR233" s="1182">
        <f>SUM(CR227:CR229)</f>
        <v>146.14699999999999</v>
      </c>
      <c r="CS233" s="200"/>
      <c r="CT233" s="200"/>
      <c r="CU233" s="200"/>
      <c r="CV233" s="1182">
        <f>SUM(CV227:CV229)</f>
        <v>135</v>
      </c>
      <c r="CW233" s="200"/>
      <c r="CX233" s="200"/>
      <c r="CY233" s="97"/>
      <c r="CZ233" s="1726"/>
    </row>
    <row r="234" spans="1:104" collapsed="1">
      <c r="BT234" s="114"/>
      <c r="BU234" s="114"/>
      <c r="BV234" s="114"/>
      <c r="BX234" s="114"/>
      <c r="BY234" s="114"/>
      <c r="BZ234" s="114"/>
      <c r="CA234" s="114"/>
      <c r="CB234" s="200"/>
      <c r="CC234" s="200"/>
      <c r="CD234" s="200"/>
      <c r="CE234" s="200"/>
      <c r="CF234" s="200"/>
      <c r="CG234" s="200"/>
      <c r="CH234" s="200"/>
      <c r="CI234" s="200"/>
      <c r="CJ234" s="200"/>
      <c r="CK234" s="200"/>
      <c r="CL234" s="200"/>
      <c r="CM234" s="200"/>
      <c r="CN234" s="1556"/>
      <c r="CO234" s="200"/>
      <c r="CP234" s="200"/>
      <c r="CQ234" s="200"/>
      <c r="CR234" s="200"/>
      <c r="CS234" s="200"/>
      <c r="CT234" s="200"/>
      <c r="CU234" s="200"/>
      <c r="CV234" s="200"/>
      <c r="CW234" s="200"/>
      <c r="CX234" s="200"/>
      <c r="CY234" s="97"/>
      <c r="CZ234" s="97"/>
    </row>
    <row r="235" spans="1:104">
      <c r="B235" s="114" t="s">
        <v>64</v>
      </c>
      <c r="BT235" s="114"/>
      <c r="BU235" s="114"/>
      <c r="BV235" s="114"/>
      <c r="BX235" s="114"/>
      <c r="BY235" s="114"/>
      <c r="BZ235" s="114"/>
      <c r="CA235" s="114"/>
      <c r="CB235" s="200"/>
      <c r="CC235" s="200"/>
      <c r="CD235" s="200"/>
      <c r="CE235" s="200"/>
      <c r="CF235" s="200"/>
      <c r="CG235" s="200"/>
      <c r="CH235" s="200"/>
      <c r="CI235" s="200"/>
      <c r="CJ235" s="200"/>
      <c r="CK235" s="200"/>
      <c r="CL235" s="200"/>
      <c r="CM235" s="200"/>
      <c r="CN235" s="1556"/>
      <c r="CO235" s="200"/>
      <c r="CP235" s="200"/>
      <c r="CQ235" s="200"/>
      <c r="CR235" s="1556"/>
      <c r="CS235" s="200"/>
      <c r="CT235" s="200"/>
      <c r="CU235" s="200"/>
      <c r="CV235" s="200"/>
      <c r="CW235" s="200"/>
      <c r="CX235" s="200"/>
    </row>
    <row r="236" spans="1:104">
      <c r="B236" s="114" t="s">
        <v>65</v>
      </c>
      <c r="BT236" s="114"/>
      <c r="BU236" s="114"/>
      <c r="BV236" s="114"/>
      <c r="BX236" s="114"/>
      <c r="BY236" s="114"/>
      <c r="BZ236" s="114"/>
      <c r="CA236" s="114"/>
      <c r="CB236" s="200"/>
      <c r="CC236" s="200"/>
      <c r="CD236" s="200"/>
      <c r="CE236" s="200"/>
      <c r="CF236" s="200"/>
      <c r="CG236" s="200"/>
      <c r="CH236" s="200"/>
      <c r="CI236" s="200"/>
      <c r="CJ236" s="200"/>
      <c r="CK236" s="200"/>
      <c r="CL236" s="200"/>
      <c r="CM236" s="200"/>
      <c r="CN236" s="200"/>
      <c r="CO236" s="200"/>
      <c r="CP236" s="200"/>
      <c r="CQ236" s="200"/>
      <c r="CR236" s="200"/>
      <c r="CS236" s="200"/>
      <c r="CT236" s="200"/>
      <c r="CU236" s="200"/>
      <c r="CV236" s="200"/>
      <c r="CW236" s="200"/>
      <c r="CX236" s="200"/>
    </row>
    <row r="237" spans="1:104">
      <c r="B237" s="114" t="s">
        <v>437</v>
      </c>
      <c r="BT237" s="114"/>
      <c r="BU237" s="114"/>
      <c r="BV237" s="114"/>
      <c r="BX237" s="114"/>
      <c r="BY237" s="114"/>
      <c r="BZ237" s="114"/>
      <c r="CA237" s="114"/>
      <c r="CB237" s="200"/>
      <c r="CC237" s="200"/>
      <c r="CD237" s="200"/>
      <c r="CE237" s="200"/>
      <c r="CF237" s="200"/>
      <c r="CG237" s="200"/>
      <c r="CH237" s="200"/>
      <c r="CI237" s="200"/>
      <c r="CJ237" s="200"/>
      <c r="CK237" s="200"/>
      <c r="CL237" s="200"/>
      <c r="CM237" s="200"/>
      <c r="CN237" s="200"/>
      <c r="CO237" s="200"/>
      <c r="CP237" s="200"/>
      <c r="CQ237" s="200"/>
      <c r="CR237" s="200"/>
      <c r="CS237" s="200"/>
      <c r="CT237" s="200"/>
      <c r="CU237" s="200"/>
      <c r="CV237" s="200"/>
      <c r="CW237" s="200"/>
      <c r="CX237" s="200"/>
    </row>
    <row r="238" spans="1:104">
      <c r="B238" s="114" t="s">
        <v>623</v>
      </c>
      <c r="BT238" s="114"/>
      <c r="BU238" s="114"/>
      <c r="BV238" s="114"/>
      <c r="BX238" s="114"/>
      <c r="BY238" s="114"/>
      <c r="BZ238" s="114"/>
      <c r="CA238" s="114"/>
      <c r="CB238" s="200"/>
      <c r="CC238" s="200"/>
      <c r="CD238" s="200"/>
      <c r="CE238" s="200"/>
      <c r="CF238" s="200"/>
      <c r="CG238" s="200"/>
      <c r="CH238" s="200"/>
      <c r="CI238" s="200"/>
      <c r="CJ238" s="200"/>
      <c r="CK238" s="200"/>
      <c r="CL238" s="200"/>
      <c r="CM238" s="200"/>
      <c r="CN238" s="200"/>
      <c r="CO238" s="200"/>
      <c r="CP238" s="200"/>
      <c r="CQ238" s="200"/>
      <c r="CR238" s="200"/>
      <c r="CS238" s="200"/>
      <c r="CT238" s="200"/>
      <c r="CU238" s="200"/>
      <c r="CV238" s="200"/>
      <c r="CW238" s="200"/>
      <c r="CX238" s="200"/>
    </row>
    <row r="239" spans="1:104">
      <c r="BT239" s="114"/>
      <c r="BU239" s="114"/>
      <c r="BV239" s="114"/>
      <c r="BX239" s="114"/>
      <c r="BY239" s="114"/>
      <c r="BZ239" s="114"/>
      <c r="CA239" s="114"/>
      <c r="CB239" s="200"/>
      <c r="CC239" s="200"/>
      <c r="CD239" s="200"/>
      <c r="CE239" s="200"/>
      <c r="CF239" s="200"/>
      <c r="CG239" s="200"/>
      <c r="CH239" s="200"/>
      <c r="CI239" s="200"/>
      <c r="CJ239" s="200"/>
      <c r="CK239" s="200"/>
      <c r="CL239" s="200"/>
      <c r="CM239" s="200"/>
      <c r="CN239" s="200"/>
      <c r="CO239" s="200"/>
      <c r="CP239" s="200"/>
      <c r="CQ239" s="200"/>
      <c r="CR239" s="200"/>
      <c r="CS239" s="200"/>
      <c r="CT239" s="200"/>
      <c r="CU239" s="200"/>
      <c r="CV239" s="200"/>
      <c r="CW239" s="200"/>
      <c r="CX239" s="200"/>
    </row>
    <row r="240" spans="1:104">
      <c r="B240" s="114" t="s">
        <v>8</v>
      </c>
      <c r="AR240" s="1635">
        <f>+AR133+AR230+(-turn!H84+turn!H83)</f>
        <v>130.88900000000007</v>
      </c>
      <c r="BT240" s="114"/>
      <c r="BU240" s="114"/>
      <c r="BV240" s="114"/>
      <c r="BX240" s="114"/>
      <c r="BY240" s="114"/>
      <c r="BZ240" s="114"/>
      <c r="CA240" s="114"/>
      <c r="CB240" s="200"/>
      <c r="CC240" s="200"/>
      <c r="CD240" s="200"/>
      <c r="CE240" s="200"/>
      <c r="CF240" s="200"/>
      <c r="CG240" s="200"/>
      <c r="CH240" s="200"/>
      <c r="CI240" s="200"/>
      <c r="CJ240" s="200"/>
      <c r="CK240" s="200"/>
      <c r="CL240" s="200"/>
      <c r="CM240" s="200"/>
      <c r="CN240" s="200"/>
      <c r="CO240" s="200"/>
      <c r="CP240" s="200"/>
      <c r="CQ240" s="200"/>
      <c r="CR240" s="200"/>
      <c r="CS240" s="200"/>
      <c r="CT240" s="200"/>
      <c r="CU240" s="200"/>
      <c r="CV240" s="200"/>
      <c r="CW240" s="200"/>
      <c r="CX240" s="200"/>
    </row>
  </sheetData>
  <mergeCells count="6">
    <mergeCell ref="CV6:CX6"/>
    <mergeCell ref="CB6:CD6"/>
    <mergeCell ref="CF6:CH6"/>
    <mergeCell ref="CJ6:CL6"/>
    <mergeCell ref="CN6:CP6"/>
    <mergeCell ref="CR6:CT6"/>
  </mergeCells>
  <phoneticPr fontId="0" type="noConversion"/>
  <dataValidations disablePrompts="1" count="1">
    <dataValidation type="custom" allowBlank="1" showInputMessage="1" showErrorMessage="1" sqref="AJ51 BX71:BX73 BX61:BX63 BX50:BX53 BT9:BT13 BP40:BP43 BL50:BL53 BL71:BL73 BD40:BD43 BL61:BL63 BL30:BL33 BH40:BH43 BH50:BH53 BH71:BH73 BH10:BH13 BH61:BH63 BH30:BH33 BD10:BD13 BD50:BD53 BD71:BD73 AZ10:AZ13 BD30:BD33 BD61:BD63 AJ71:AJ73 AJ11:AJ13 AL11:AL13 AN51 AV10:AV13 AN11:AN13 AR51 AN71:AN73 AR11:AR13 AV50:AV53 AR71:AR73 AV71:AV73 AJ31 AN31 AR31 AV30:AV33 AJ41 AN41 AR41 AV41:AV43 AZ61:AZ63 AZ50:AZ53 AZ71:AZ73 AZ30:AZ33 AZ40:AZ43 AJ61 AN61:AN63 AV61:AV63 AR61:AR63 BL9:BL13 BP30:BP33 BP50:BP53 BP71:BP73 BP61:BP63 BP9:BP13 BL40:BL43 BT30:BT33 BX9:BX14 BT50:BT53 BT71:BT73 BT61:BT63 BT40:BT43 CB61:CB63 CF61:CF63 CB71:CB73 CF71:CF73 CJ61:CJ63 CJ71:CJ73 CN61:CN63 CN71:CN73 CR61:CR63 CR71:CR73 CV61:CV63 CV71:CV73">
      <formula1>-1</formula1>
    </dataValidation>
  </dataValidations>
  <printOptions horizontalCentered="1"/>
  <pageMargins left="0.25" right="0.25" top="0.18" bottom="0.18" header="0.5" footer="0"/>
  <pageSetup scale="80" fitToHeight="3" orientation="landscape" r:id="rId1"/>
  <headerFooter alignWithMargins="0">
    <oddFooter>&amp;R&amp;8&amp;D/&amp;T
&amp;F/&amp;A</oddFooter>
  </headerFooter>
  <rowBreaks count="2" manualBreakCount="2">
    <brk id="87" max="85" man="1"/>
    <brk id="168" max="85"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M80"/>
  <sheetViews>
    <sheetView showGridLines="0" topLeftCell="A4" zoomScale="85" zoomScaleNormal="100" workbookViewId="0">
      <selection activeCell="AC55" sqref="AC55"/>
    </sheetView>
  </sheetViews>
  <sheetFormatPr defaultRowHeight="12.75" outlineLevelRow="1" outlineLevelCol="2"/>
  <cols>
    <col min="1" max="1" width="25.85546875" style="22" customWidth="1"/>
    <col min="2" max="2" width="8.85546875" style="22" hidden="1" customWidth="1" outlineLevel="1"/>
    <col min="3" max="3" width="9.140625" style="22" hidden="1" customWidth="1" outlineLevel="1"/>
    <col min="4" max="4" width="8.85546875" style="22" hidden="1" customWidth="1" outlineLevel="1" collapsed="1"/>
    <col min="5" max="5" width="7.42578125" style="22" hidden="1" customWidth="1" outlineLevel="1" collapsed="1"/>
    <col min="6" max="6" width="7.85546875" style="22" hidden="1" customWidth="1" outlineLevel="1"/>
    <col min="7" max="7" width="9.7109375" style="22" hidden="1" customWidth="1" outlineLevel="1" collapsed="1"/>
    <col min="8" max="8" width="9.42578125" style="22" hidden="1" customWidth="1" outlineLevel="1"/>
    <col min="9" max="9" width="9.7109375" style="22" hidden="1" customWidth="1" outlineLevel="1"/>
    <col min="10" max="11" width="9.42578125" style="22" hidden="1" customWidth="1" outlineLevel="1"/>
    <col min="12" max="12" width="9.7109375" style="252" hidden="1" customWidth="1" outlineLevel="1"/>
    <col min="13" max="14" width="8.7109375" style="252" hidden="1" customWidth="1" outlineLevel="1"/>
    <col min="15" max="16" width="10.140625" style="252" hidden="1" customWidth="1" outlineLevel="1"/>
    <col min="17" max="17" width="10.42578125" style="252" hidden="1" customWidth="1" outlineLevel="2"/>
    <col min="18" max="18" width="10.42578125" style="252" hidden="1" customWidth="1" outlineLevel="1"/>
    <col min="19" max="19" width="13.28515625" style="114" hidden="1" customWidth="1" outlineLevel="1"/>
    <col min="20" max="20" width="9.7109375" style="114" hidden="1" customWidth="1" outlineLevel="1"/>
    <col min="21" max="21" width="9.85546875" style="22" hidden="1" customWidth="1" outlineLevel="1"/>
    <col min="22" max="22" width="9.85546875" style="22" customWidth="1" collapsed="1"/>
    <col min="23" max="33" width="9.85546875" style="22" customWidth="1"/>
    <col min="34" max="34" width="1.85546875" style="22" customWidth="1"/>
    <col min="35" max="35" width="7.140625" style="22" customWidth="1"/>
    <col min="36" max="36" width="2.5703125" style="22" customWidth="1"/>
    <col min="37" max="37" width="7.140625" style="22" customWidth="1"/>
    <col min="38" max="38" width="2.140625" style="22" customWidth="1"/>
    <col min="39" max="39" width="9.28515625" style="22" bestFit="1" customWidth="1"/>
    <col min="40" max="16384" width="9.140625" style="22"/>
  </cols>
  <sheetData>
    <row r="1" spans="1:39">
      <c r="A1" s="24" t="str">
        <f>sumry!A1</f>
        <v>Abercrombie &amp; Fitch</v>
      </c>
      <c r="B1" s="1728"/>
      <c r="C1" s="1728"/>
      <c r="D1" s="1728"/>
      <c r="E1" s="1729"/>
      <c r="F1" s="1729"/>
      <c r="G1" s="1729"/>
      <c r="H1" s="1729"/>
      <c r="I1" s="1729"/>
      <c r="J1" s="1729"/>
      <c r="K1" s="1729"/>
      <c r="L1" s="1730"/>
      <c r="M1" s="1730"/>
      <c r="N1" s="1730"/>
      <c r="O1" s="1730"/>
      <c r="P1" s="1730"/>
      <c r="Q1" s="1730"/>
      <c r="R1" s="1730"/>
      <c r="S1" s="1729"/>
      <c r="T1" s="1729"/>
      <c r="U1" s="1731"/>
      <c r="V1" s="1731"/>
      <c r="W1" s="1732"/>
      <c r="X1" s="1729"/>
      <c r="Y1" s="1729"/>
      <c r="Z1" s="1729"/>
      <c r="AA1" s="1729"/>
      <c r="AB1" s="1729"/>
      <c r="AC1" s="1729"/>
      <c r="AD1" s="1729"/>
      <c r="AE1" s="1729"/>
      <c r="AF1" s="1729"/>
      <c r="AG1" s="1729"/>
      <c r="AH1" s="1728"/>
      <c r="AI1" s="1729"/>
      <c r="AJ1" s="1729"/>
      <c r="AK1" s="1729"/>
      <c r="AL1" s="1729"/>
    </row>
    <row r="2" spans="1:39">
      <c r="A2" s="1733" t="s">
        <v>771</v>
      </c>
      <c r="B2" s="1734"/>
      <c r="C2" s="1734"/>
      <c r="D2" s="1734"/>
      <c r="E2" s="1735"/>
      <c r="F2" s="1735"/>
      <c r="G2" s="1735"/>
      <c r="H2" s="1735"/>
      <c r="I2" s="1735"/>
      <c r="J2" s="1735"/>
      <c r="K2" s="1735"/>
      <c r="L2" s="1736"/>
      <c r="M2" s="1736"/>
      <c r="N2" s="1736"/>
      <c r="O2" s="1736"/>
      <c r="P2" s="1736"/>
      <c r="Q2" s="1736"/>
      <c r="R2" s="1736"/>
      <c r="S2" s="1735"/>
      <c r="T2" s="1735"/>
      <c r="U2" s="1737"/>
      <c r="V2" s="1737"/>
      <c r="W2" s="1737"/>
      <c r="X2" s="1735"/>
      <c r="Y2" s="1735"/>
      <c r="Z2" s="1735"/>
      <c r="AA2" s="1735"/>
      <c r="AB2" s="1735"/>
      <c r="AC2" s="1735"/>
      <c r="AD2" s="1735"/>
      <c r="AE2" s="1735"/>
      <c r="AF2" s="1735"/>
      <c r="AG2" s="1735"/>
      <c r="AH2" s="1734"/>
      <c r="AI2" s="1735"/>
      <c r="AJ2" s="1735"/>
      <c r="AK2" s="1735"/>
      <c r="AL2" s="1735"/>
    </row>
    <row r="3" spans="1:39">
      <c r="A3" s="1738" t="s">
        <v>101</v>
      </c>
      <c r="Y3" s="97"/>
      <c r="Z3" s="97"/>
      <c r="AA3" s="97"/>
      <c r="AB3" s="97"/>
      <c r="AC3" s="97"/>
      <c r="AD3" s="97"/>
      <c r="AE3" s="97"/>
      <c r="AF3" s="97"/>
      <c r="AG3" s="97"/>
    </row>
    <row r="4" spans="1:39">
      <c r="A4" s="1729"/>
      <c r="B4" s="1739"/>
      <c r="C4" s="1739"/>
      <c r="D4" s="1739"/>
      <c r="E4" s="1739"/>
      <c r="F4" s="1739"/>
      <c r="G4" s="1739"/>
      <c r="H4" s="1739"/>
      <c r="I4" s="1739"/>
      <c r="J4" s="1739"/>
      <c r="K4" s="1739"/>
      <c r="L4" s="2304" t="s">
        <v>70</v>
      </c>
      <c r="M4" s="2304"/>
      <c r="N4" s="2304"/>
      <c r="O4" s="2304"/>
      <c r="P4" s="2304"/>
      <c r="Q4" s="2304"/>
      <c r="R4" s="2304"/>
      <c r="T4" s="1740"/>
      <c r="U4" s="1740" t="s">
        <v>761</v>
      </c>
      <c r="Y4" s="1739"/>
      <c r="Z4" s="1739"/>
      <c r="AA4" s="1739"/>
      <c r="AB4" s="1739"/>
      <c r="AC4" s="1739"/>
      <c r="AD4" s="1739"/>
      <c r="AE4" s="1739"/>
      <c r="AF4" s="1739"/>
      <c r="AG4" s="1739"/>
      <c r="AH4" s="1741"/>
      <c r="AI4" s="1742"/>
      <c r="AJ4" s="1743" t="s">
        <v>75</v>
      </c>
      <c r="AK4" s="255"/>
      <c r="AL4" s="1744"/>
    </row>
    <row r="5" spans="1:39">
      <c r="A5" s="1745"/>
      <c r="B5" s="1746">
        <v>1994</v>
      </c>
      <c r="C5" s="1746">
        <v>1995</v>
      </c>
      <c r="D5" s="48">
        <f t="shared" ref="D5:M5" si="0">C5+1</f>
        <v>1996</v>
      </c>
      <c r="E5" s="48">
        <f t="shared" si="0"/>
        <v>1997</v>
      </c>
      <c r="F5" s="48">
        <f t="shared" si="0"/>
        <v>1998</v>
      </c>
      <c r="G5" s="48">
        <f t="shared" si="0"/>
        <v>1999</v>
      </c>
      <c r="H5" s="48">
        <f t="shared" si="0"/>
        <v>2000</v>
      </c>
      <c r="I5" s="48">
        <f t="shared" si="0"/>
        <v>2001</v>
      </c>
      <c r="J5" s="48">
        <f t="shared" si="0"/>
        <v>2002</v>
      </c>
      <c r="K5" s="48">
        <f t="shared" si="0"/>
        <v>2003</v>
      </c>
      <c r="L5" s="1747">
        <f t="shared" si="0"/>
        <v>2004</v>
      </c>
      <c r="M5" s="1747">
        <f t="shared" si="0"/>
        <v>2005</v>
      </c>
      <c r="N5" s="1748" t="s">
        <v>23</v>
      </c>
      <c r="O5" s="1747">
        <f>M5+1</f>
        <v>2006</v>
      </c>
      <c r="P5" s="1748" t="s">
        <v>22</v>
      </c>
      <c r="Q5" s="1747">
        <f>O5+1</f>
        <v>2007</v>
      </c>
      <c r="R5" s="1748" t="s">
        <v>21</v>
      </c>
      <c r="S5" s="48">
        <f>Q5+1</f>
        <v>2008</v>
      </c>
      <c r="T5" s="48">
        <f t="shared" ref="T5:Y5" si="1">S5+1</f>
        <v>2009</v>
      </c>
      <c r="U5" s="48">
        <f t="shared" si="1"/>
        <v>2010</v>
      </c>
      <c r="V5" s="48">
        <f t="shared" si="1"/>
        <v>2011</v>
      </c>
      <c r="W5" s="48">
        <f t="shared" si="1"/>
        <v>2012</v>
      </c>
      <c r="X5" s="48">
        <f t="shared" si="1"/>
        <v>2013</v>
      </c>
      <c r="Y5" s="48">
        <f t="shared" si="1"/>
        <v>2014</v>
      </c>
      <c r="Z5" s="48">
        <f t="shared" ref="Z5:AG5" si="2">Y5+1</f>
        <v>2015</v>
      </c>
      <c r="AA5" s="48">
        <f t="shared" si="2"/>
        <v>2016</v>
      </c>
      <c r="AB5" s="48">
        <f t="shared" si="2"/>
        <v>2017</v>
      </c>
      <c r="AC5" s="256">
        <f t="shared" si="2"/>
        <v>2018</v>
      </c>
      <c r="AD5" s="256">
        <f t="shared" si="2"/>
        <v>2019</v>
      </c>
      <c r="AE5" s="256">
        <f t="shared" si="2"/>
        <v>2020</v>
      </c>
      <c r="AF5" s="256">
        <f t="shared" si="2"/>
        <v>2021</v>
      </c>
      <c r="AG5" s="256">
        <f t="shared" si="2"/>
        <v>2022</v>
      </c>
      <c r="AH5" s="1749"/>
      <c r="AI5" s="2213" t="s">
        <v>1494</v>
      </c>
      <c r="AJ5" s="1751"/>
      <c r="AK5" s="1750" t="s">
        <v>1495</v>
      </c>
      <c r="AL5" s="1752"/>
    </row>
    <row r="6" spans="1:39">
      <c r="A6" s="1729"/>
      <c r="B6" s="1739"/>
      <c r="C6" s="1739"/>
      <c r="D6" s="1739"/>
      <c r="E6" s="1729"/>
      <c r="F6" s="1729"/>
      <c r="G6" s="1729"/>
      <c r="H6" s="1729"/>
      <c r="I6" s="1729"/>
      <c r="J6" s="1729"/>
      <c r="K6" s="1729"/>
      <c r="L6" s="1730"/>
      <c r="M6" s="1730"/>
      <c r="N6" s="1730"/>
      <c r="O6" s="1730"/>
      <c r="P6" s="1730"/>
      <c r="Q6" s="1730"/>
      <c r="R6" s="1730"/>
      <c r="S6" s="1729"/>
      <c r="T6" s="1729"/>
      <c r="U6" s="1729"/>
      <c r="V6" s="1729"/>
      <c r="W6" s="1753"/>
      <c r="X6" s="1729"/>
      <c r="Y6" s="1729"/>
      <c r="Z6" s="1729"/>
      <c r="AA6" s="1729"/>
      <c r="AB6" s="1729"/>
      <c r="AC6" s="1729"/>
      <c r="AD6" s="1729"/>
      <c r="AE6" s="1729"/>
      <c r="AF6" s="1729"/>
      <c r="AG6" s="1729"/>
      <c r="AH6" s="1754"/>
      <c r="AI6" s="1729"/>
      <c r="AJ6" s="1729"/>
      <c r="AK6" s="1729"/>
      <c r="AL6" s="1755"/>
    </row>
    <row r="7" spans="1:39">
      <c r="A7" s="1729" t="s">
        <v>102</v>
      </c>
      <c r="B7" s="1753">
        <f>'qtrP&amp;L'!D14</f>
        <v>165.46300000000002</v>
      </c>
      <c r="C7" s="1753">
        <f>'qtrP&amp;L'!H14</f>
        <v>235.65899999999999</v>
      </c>
      <c r="D7" s="1753">
        <f>'qtrP&amp;L'!L14</f>
        <v>335.37200000000001</v>
      </c>
      <c r="E7" s="1753">
        <f>'qtrP&amp;L'!P14</f>
        <v>521.61699999999996</v>
      </c>
      <c r="F7" s="1753">
        <f>'qtrP&amp;L'!T14</f>
        <v>805.18000000000006</v>
      </c>
      <c r="G7" s="1753">
        <f>'qtrP&amp;L'!X14</f>
        <v>1030.8579999999999</v>
      </c>
      <c r="H7" s="1753">
        <f>+'qtrP&amp;L'!AB14</f>
        <v>1237.604</v>
      </c>
      <c r="I7" s="1753">
        <f>+'qtrP&amp;L'!AF14</f>
        <v>1364.8530000000001</v>
      </c>
      <c r="J7" s="1753">
        <f>+'qtrP&amp;L'!AJ14</f>
        <v>1595.7569999999998</v>
      </c>
      <c r="K7" s="1753">
        <f>+'qtrP&amp;L'!AN14</f>
        <v>1707.8090000000002</v>
      </c>
      <c r="L7" s="1756">
        <f>+'qtrP&amp;L'!AR14</f>
        <v>2021.2539999999999</v>
      </c>
      <c r="M7" s="1756">
        <f>'qtrP&amp;L'!AV14</f>
        <v>2784.7110000000002</v>
      </c>
      <c r="N7" s="1756">
        <v>2768.1640000000002</v>
      </c>
      <c r="O7" s="1756">
        <f>'qtrP&amp;L'!AZ14</f>
        <v>3318.1579999999999</v>
      </c>
      <c r="P7" s="1756">
        <v>3284.1759999999999</v>
      </c>
      <c r="Q7" s="1756">
        <f>+'qtrP&amp;L'!BD14</f>
        <v>3749.8469999999998</v>
      </c>
      <c r="R7" s="1756">
        <v>3699.6559999999999</v>
      </c>
      <c r="S7" s="1753">
        <f>+'qtrP&amp;L'!BH14</f>
        <v>3484.0569999999998</v>
      </c>
      <c r="T7" s="1753">
        <f>'qtrP&amp;L'!BL14</f>
        <v>2928.625</v>
      </c>
      <c r="U7" s="1753">
        <f>'qtrP&amp;L'!BP14</f>
        <v>3468.7759999999998</v>
      </c>
      <c r="V7" s="1753">
        <f>+'qtrP&amp;L'!BT14</f>
        <v>4158.058</v>
      </c>
      <c r="W7" s="1753">
        <f>+'qtrP&amp;L'!BX14</f>
        <v>4510.8050000000003</v>
      </c>
      <c r="X7" s="1753">
        <f>+'qtrP&amp;L'!CB14</f>
        <v>4116.8969999999999</v>
      </c>
      <c r="Y7" s="1753">
        <f>'qtrP&amp;L'!CF14</f>
        <v>3744.0299999999997</v>
      </c>
      <c r="Z7" s="1753">
        <f>'qtrP&amp;L'!CJ14</f>
        <v>3518.6800000000003</v>
      </c>
      <c r="AA7" s="1753">
        <f>'qtrP&amp;L'!CN14</f>
        <v>3326.74</v>
      </c>
      <c r="AB7" s="1753">
        <f>'qtrP&amp;L'!CR14</f>
        <v>3492.69</v>
      </c>
      <c r="AC7" s="1753">
        <f>'qtrP&amp;L'!CV14</f>
        <v>3507.8603602149997</v>
      </c>
      <c r="AD7" s="1753">
        <f>yrSales!AA206</f>
        <v>3501.053784940505</v>
      </c>
      <c r="AE7" s="1753">
        <f>yrSales!AB206</f>
        <v>3482.3514356037103</v>
      </c>
      <c r="AF7" s="1753">
        <f>yrSales!AC206</f>
        <v>3457.2244743780684</v>
      </c>
      <c r="AG7" s="1753">
        <f>yrSales!AD206</f>
        <v>3447.5824525143589</v>
      </c>
      <c r="AH7" s="1757"/>
      <c r="AI7" s="49">
        <f>((AB7/W7)^(1/5)-1)*100</f>
        <v>-4.9874011182867388</v>
      </c>
      <c r="AJ7" s="79" t="s">
        <v>76</v>
      </c>
      <c r="AK7" s="49">
        <f>((AG7/AB7)^(1/5)-1)*100</f>
        <v>-0.25964166544419909</v>
      </c>
      <c r="AL7" s="1758" t="s">
        <v>76</v>
      </c>
      <c r="AM7" s="114"/>
    </row>
    <row r="8" spans="1:39">
      <c r="A8" s="1729" t="s">
        <v>103</v>
      </c>
      <c r="B8" s="1728"/>
      <c r="C8" s="1173">
        <f t="shared" ref="C8:M8" si="3">(C7-B7)/B7</f>
        <v>0.42423986027087601</v>
      </c>
      <c r="D8" s="1173">
        <f t="shared" si="3"/>
        <v>0.42312409031694109</v>
      </c>
      <c r="E8" s="1173">
        <f t="shared" si="3"/>
        <v>0.55533854943167571</v>
      </c>
      <c r="F8" s="1173">
        <f t="shared" si="3"/>
        <v>0.54362300308463896</v>
      </c>
      <c r="G8" s="1173">
        <f t="shared" si="3"/>
        <v>0.28028266971360427</v>
      </c>
      <c r="H8" s="1173">
        <f t="shared" si="3"/>
        <v>0.20055720574511729</v>
      </c>
      <c r="I8" s="1173">
        <f t="shared" si="3"/>
        <v>0.10281883381113831</v>
      </c>
      <c r="J8" s="1173">
        <f t="shared" si="3"/>
        <v>0.16917865880061791</v>
      </c>
      <c r="K8" s="1173">
        <f t="shared" si="3"/>
        <v>7.0218711244882756E-2</v>
      </c>
      <c r="L8" s="1759">
        <f t="shared" si="3"/>
        <v>0.18353633222450499</v>
      </c>
      <c r="M8" s="1759">
        <f t="shared" si="3"/>
        <v>0.37771452771398367</v>
      </c>
      <c r="N8" s="1759">
        <f>N7/L7-1</f>
        <v>0.36952802567119236</v>
      </c>
      <c r="O8" s="1759">
        <f>(O7-M7)/M7</f>
        <v>0.19156278694629339</v>
      </c>
      <c r="P8" s="1759">
        <f>P7/N7-1</f>
        <v>0.18640947573915412</v>
      </c>
      <c r="Q8" s="1759">
        <f>(Q7-O7)/O7</f>
        <v>0.13009898865575414</v>
      </c>
      <c r="R8" s="1759">
        <f>R7/P7-1</f>
        <v>0.12650966330671687</v>
      </c>
      <c r="S8" s="1173">
        <f>(S7-Q7)/Q7</f>
        <v>-7.088022524652339E-2</v>
      </c>
      <c r="T8" s="1173">
        <f t="shared" ref="T8:Y8" si="4">(T7-S7)/S7</f>
        <v>-0.1594210427670959</v>
      </c>
      <c r="U8" s="1173">
        <f t="shared" si="4"/>
        <v>0.18443843100431084</v>
      </c>
      <c r="V8" s="1173">
        <f t="shared" si="4"/>
        <v>0.19871043849473133</v>
      </c>
      <c r="W8" s="1173">
        <f t="shared" si="4"/>
        <v>8.4834554977347668E-2</v>
      </c>
      <c r="X8" s="1173">
        <f t="shared" si="4"/>
        <v>-8.7325433043547729E-2</v>
      </c>
      <c r="Y8" s="1173">
        <f t="shared" si="4"/>
        <v>-9.0569912242157186E-2</v>
      </c>
      <c r="Z8" s="1173">
        <f t="shared" ref="Z8:AG8" si="5">(Z7-Y7)/Y7</f>
        <v>-6.0189154467245043E-2</v>
      </c>
      <c r="AA8" s="1173">
        <f t="shared" si="5"/>
        <v>-5.4548864915252453E-2</v>
      </c>
      <c r="AB8" s="1173">
        <f t="shared" si="5"/>
        <v>4.9883669899060429E-2</v>
      </c>
      <c r="AC8" s="1173">
        <f t="shared" si="5"/>
        <v>4.3434602598569063E-3</v>
      </c>
      <c r="AD8" s="1173">
        <f t="shared" si="5"/>
        <v>-1.9403780582866422E-3</v>
      </c>
      <c r="AE8" s="1173">
        <f t="shared" si="5"/>
        <v>-5.3419200291184576E-3</v>
      </c>
      <c r="AF8" s="1173">
        <f t="shared" si="5"/>
        <v>-7.2155156337016437E-3</v>
      </c>
      <c r="AG8" s="1173">
        <f t="shared" si="5"/>
        <v>-2.7889487463622167E-3</v>
      </c>
      <c r="AH8" s="1760"/>
      <c r="AI8" s="49"/>
      <c r="AJ8" s="50"/>
      <c r="AK8" s="49"/>
      <c r="AL8" s="1761"/>
      <c r="AM8" s="114"/>
    </row>
    <row r="9" spans="1:39">
      <c r="A9" s="1729" t="s">
        <v>423</v>
      </c>
      <c r="B9" s="1173">
        <f>yrSales!B240</f>
        <v>0.15</v>
      </c>
      <c r="C9" s="1173">
        <f>yrSales!C240</f>
        <v>0.05</v>
      </c>
      <c r="D9" s="1173">
        <f>yrSales!D240</f>
        <v>0.13</v>
      </c>
      <c r="E9" s="1173">
        <f>yrSales!E240</f>
        <v>0.21</v>
      </c>
      <c r="F9" s="1173">
        <f>yrSales!F240</f>
        <v>0.35</v>
      </c>
      <c r="G9" s="1173">
        <f>yrSales!G240</f>
        <v>0.1</v>
      </c>
      <c r="H9" s="1173">
        <f>yrSales!H240</f>
        <v>-7.0000000000000007E-2</v>
      </c>
      <c r="I9" s="1173">
        <f>yrSales!I240</f>
        <v>-0.09</v>
      </c>
      <c r="J9" s="1173">
        <f>yrSales!J240</f>
        <v>-0.05</v>
      </c>
      <c r="K9" s="1173">
        <f>yrSales!K240</f>
        <v>-0.09</v>
      </c>
      <c r="L9" s="1759">
        <f>yrSales!L240</f>
        <v>0.02</v>
      </c>
      <c r="M9" s="1759">
        <f>yrSales!M240</f>
        <v>0.26</v>
      </c>
      <c r="N9" s="1759">
        <f>yrSales!M240</f>
        <v>0.26</v>
      </c>
      <c r="O9" s="1759">
        <f>yrSales!N240</f>
        <v>0.02</v>
      </c>
      <c r="P9" s="1759">
        <f>yrSales!N240</f>
        <v>0.02</v>
      </c>
      <c r="Q9" s="1759">
        <f>yrSales!O240</f>
        <v>-0.01</v>
      </c>
      <c r="R9" s="1759">
        <f>yrSales!O240</f>
        <v>-0.01</v>
      </c>
      <c r="S9" s="1173">
        <f>yrSales!P240</f>
        <v>-0.13</v>
      </c>
      <c r="T9" s="1173">
        <f>yrSales!Q240</f>
        <v>-0.23</v>
      </c>
      <c r="U9" s="1762">
        <f>yrSales!R241</f>
        <v>3.076657134320715E-2</v>
      </c>
      <c r="V9" s="224">
        <f>yrSales!S241</f>
        <v>7.4777962024644984E-3</v>
      </c>
      <c r="W9" s="224">
        <f>yrSales!T241</f>
        <v>-4.9657853905901835E-2</v>
      </c>
      <c r="X9" s="224">
        <f>yrSales!U240</f>
        <v>-0.11</v>
      </c>
      <c r="Y9" s="224">
        <f>yrSales!V240</f>
        <v>-7.9683968878454511E-2</v>
      </c>
      <c r="Z9" s="224">
        <f>yrSales!W240</f>
        <v>-0.03</v>
      </c>
      <c r="AA9" s="224">
        <f>yrSales!X240</f>
        <v>-0.05</v>
      </c>
      <c r="AB9" s="224">
        <f>yrSales!Y240</f>
        <v>0.03</v>
      </c>
      <c r="AC9" s="224">
        <f>yrSales!Z240</f>
        <v>-1.1912052448902445E-3</v>
      </c>
      <c r="AD9" s="224">
        <f>yrSales!AA240</f>
        <v>-1.1958268990164398E-2</v>
      </c>
      <c r="AE9" s="224">
        <f>yrSales!AB240</f>
        <v>-1.1688112704915718E-2</v>
      </c>
      <c r="AF9" s="224">
        <f>yrSales!AC240</f>
        <v>-1.1378564297995202E-2</v>
      </c>
      <c r="AG9" s="224">
        <f>yrSales!AD240</f>
        <v>-1.1040386791503784E-2</v>
      </c>
      <c r="AH9" s="1760"/>
      <c r="AI9" s="49"/>
      <c r="AJ9" s="50"/>
      <c r="AK9" s="49"/>
      <c r="AL9" s="1761"/>
      <c r="AM9" s="114"/>
    </row>
    <row r="10" spans="1:39">
      <c r="A10" s="1729"/>
      <c r="B10" s="1728"/>
      <c r="C10" s="1728"/>
      <c r="D10" s="1728"/>
      <c r="E10" s="1728"/>
      <c r="F10" s="1728"/>
      <c r="G10" s="1728"/>
      <c r="H10" s="1728"/>
      <c r="I10" s="1728"/>
      <c r="J10" s="1728"/>
      <c r="K10" s="1728"/>
      <c r="L10" s="1763"/>
      <c r="M10" s="1763"/>
      <c r="N10" s="1763"/>
      <c r="O10" s="1763"/>
      <c r="P10" s="1763"/>
      <c r="Q10" s="1763"/>
      <c r="R10" s="1763"/>
      <c r="S10" s="1728"/>
      <c r="T10" s="1728"/>
      <c r="U10" s="1764"/>
      <c r="V10" s="1765"/>
      <c r="W10" s="1765"/>
      <c r="X10" s="1765"/>
      <c r="Y10" s="1765"/>
      <c r="Z10" s="1765"/>
      <c r="AA10" s="1765"/>
      <c r="AB10"/>
      <c r="AC10"/>
      <c r="AD10" s="1765"/>
      <c r="AE10" s="1765"/>
      <c r="AF10" s="1765"/>
      <c r="AG10" s="1765"/>
      <c r="AH10" s="1760"/>
      <c r="AI10" s="49"/>
      <c r="AJ10" s="79"/>
      <c r="AK10" s="49"/>
      <c r="AL10" s="1758"/>
      <c r="AM10" s="114"/>
    </row>
    <row r="11" spans="1:39">
      <c r="A11" s="1729" t="s">
        <v>104</v>
      </c>
      <c r="B11" s="1728">
        <f>'qtrP&amp;L'!D24</f>
        <v>108.643</v>
      </c>
      <c r="C11" s="1728">
        <f>'qtrP&amp;L'!H24</f>
        <v>155.86500000000001</v>
      </c>
      <c r="D11" s="1728">
        <f>'qtrP&amp;L'!L24</f>
        <v>211.60599999999999</v>
      </c>
      <c r="E11" s="1728">
        <f>'qtrP&amp;L'!P24</f>
        <v>320.53699999999998</v>
      </c>
      <c r="F11" s="1728">
        <f>'qtrP&amp;L'!T24</f>
        <v>473.82600000000002</v>
      </c>
      <c r="G11" s="1766">
        <f>'qtrP&amp;L'!X24</f>
        <v>580.47500000000002</v>
      </c>
      <c r="H11" s="1766">
        <f>'qtrP&amp;L'!AB24</f>
        <v>728.22900000000004</v>
      </c>
      <c r="I11" s="1766">
        <f>'qtrP&amp;L'!AF24</f>
        <v>806.81900000000007</v>
      </c>
      <c r="J11" s="1728">
        <f>'qtrP&amp;L'!AJ24</f>
        <v>615.20100000000002</v>
      </c>
      <c r="K11" s="1728">
        <f>+'qtrP&amp;L'!AN24</f>
        <v>624.64</v>
      </c>
      <c r="L11" s="1763">
        <f>+'qtrP&amp;L'!AR24</f>
        <v>680.029</v>
      </c>
      <c r="M11" s="1763">
        <f>'qtrP&amp;L'!AV24</f>
        <v>933.29500000000007</v>
      </c>
      <c r="N11" s="1763">
        <v>913.97900000000004</v>
      </c>
      <c r="O11" s="1763">
        <f>'qtrP&amp;L'!AZ24</f>
        <v>1109.152</v>
      </c>
      <c r="P11" s="1763">
        <v>1083.509</v>
      </c>
      <c r="Q11" s="1763">
        <f>+'qtrP&amp;L'!BD24</f>
        <v>1238.48</v>
      </c>
      <c r="R11" s="1763">
        <v>1211.49</v>
      </c>
      <c r="S11" s="1728">
        <v>1152.963</v>
      </c>
      <c r="T11" s="1728">
        <f>'qtrP&amp;L'!BL24</f>
        <v>1045.029</v>
      </c>
      <c r="U11" s="1728">
        <v>1251.348</v>
      </c>
      <c r="V11" s="1728">
        <f>+'qtrP&amp;L'!BT24</f>
        <v>1607.8340000000001</v>
      </c>
      <c r="W11" s="1728">
        <f>+'qtrP&amp;L'!BX24</f>
        <v>1694.096</v>
      </c>
      <c r="X11" s="1728">
        <f>+'qtrP&amp;L'!CB24</f>
        <v>1541.462</v>
      </c>
      <c r="Y11" s="1728">
        <f>'qtrP&amp;L'!CF24</f>
        <v>1430.46</v>
      </c>
      <c r="Z11" s="1767">
        <f>'qtrP&amp;L'!CJ24</f>
        <v>1340.49</v>
      </c>
      <c r="AA11" s="1767">
        <f>'qtrP&amp;L'!CN24</f>
        <v>1298.172</v>
      </c>
      <c r="AB11" s="1767">
        <f>'qtrP&amp;L'!CR24</f>
        <v>1408.848</v>
      </c>
      <c r="AC11" s="1767">
        <f>'qtrP&amp;L'!CV24</f>
        <v>1420.4319961016351</v>
      </c>
      <c r="AD11" s="1767">
        <f>+AD7*(1-AD12)</f>
        <v>1414.425729115964</v>
      </c>
      <c r="AE11" s="1767">
        <f>+AE7*(1-AE12)</f>
        <v>1410.3523314195029</v>
      </c>
      <c r="AF11" s="1767">
        <f>+AF7*(1-AF12)</f>
        <v>1402.9416917026203</v>
      </c>
      <c r="AG11" s="1767">
        <f>+AG7*(1-AG12)</f>
        <v>1403.1660581733443</v>
      </c>
      <c r="AH11" s="1760"/>
      <c r="AI11" s="49">
        <f>((AB11/W11)^(1/5)-1)*100</f>
        <v>-3.6203766942687454</v>
      </c>
      <c r="AJ11" s="79" t="s">
        <v>76</v>
      </c>
      <c r="AK11" s="49">
        <f>((AG11/AB11)^(1/5)-1)*100</f>
        <v>-8.0791260262791376E-2</v>
      </c>
      <c r="AL11" s="1758" t="s">
        <v>76</v>
      </c>
      <c r="AM11" s="114"/>
    </row>
    <row r="12" spans="1:39">
      <c r="A12" s="1729" t="s">
        <v>154</v>
      </c>
      <c r="B12" s="1173">
        <f t="shared" ref="B12:AC12" si="6">(B7-B11)/B7</f>
        <v>0.34340003505315397</v>
      </c>
      <c r="C12" s="1173">
        <f t="shared" si="6"/>
        <v>0.33859941695415829</v>
      </c>
      <c r="D12" s="1173">
        <f t="shared" si="6"/>
        <v>0.36904094557685202</v>
      </c>
      <c r="E12" s="1173">
        <f t="shared" si="6"/>
        <v>0.3854935709534007</v>
      </c>
      <c r="F12" s="1173">
        <f t="shared" si="6"/>
        <v>0.41152785712511492</v>
      </c>
      <c r="G12" s="1768">
        <f t="shared" si="6"/>
        <v>0.43690110568089879</v>
      </c>
      <c r="H12" s="1768">
        <f t="shared" si="6"/>
        <v>0.41158157213454383</v>
      </c>
      <c r="I12" s="1768">
        <f t="shared" si="6"/>
        <v>0.40886014830901202</v>
      </c>
      <c r="J12" s="1173">
        <f>(J7-J11)/J7</f>
        <v>0.61447701623743456</v>
      </c>
      <c r="K12" s="1173">
        <f t="shared" si="6"/>
        <v>0.6342448130909254</v>
      </c>
      <c r="L12" s="1759">
        <f t="shared" si="6"/>
        <v>0.66356083896432605</v>
      </c>
      <c r="M12" s="1759">
        <f t="shared" si="6"/>
        <v>0.66485032019480661</v>
      </c>
      <c r="N12" s="1759">
        <f t="shared" si="6"/>
        <v>0.66982483696775197</v>
      </c>
      <c r="O12" s="1759">
        <f t="shared" si="6"/>
        <v>0.66573261429986152</v>
      </c>
      <c r="P12" s="1759">
        <f t="shared" si="6"/>
        <v>0.67008193227159563</v>
      </c>
      <c r="Q12" s="1759">
        <f t="shared" si="6"/>
        <v>0.66972519145447795</v>
      </c>
      <c r="R12" s="1759">
        <f t="shared" si="6"/>
        <v>0.67253982532430046</v>
      </c>
      <c r="S12" s="1173">
        <f t="shared" si="6"/>
        <v>0.6690745874708709</v>
      </c>
      <c r="T12" s="1173">
        <f t="shared" si="6"/>
        <v>0.6431673566946946</v>
      </c>
      <c r="U12" s="1173">
        <f t="shared" si="6"/>
        <v>0.63925373099906135</v>
      </c>
      <c r="V12" s="1173">
        <f t="shared" si="6"/>
        <v>0.61332093010727606</v>
      </c>
      <c r="W12" s="1173">
        <f t="shared" si="6"/>
        <v>0.62443599313204634</v>
      </c>
      <c r="X12" s="1173">
        <f t="shared" si="6"/>
        <v>0.62557673898569721</v>
      </c>
      <c r="Y12" s="1173">
        <f t="shared" si="6"/>
        <v>0.61793575371992204</v>
      </c>
      <c r="Z12" s="1173">
        <f t="shared" si="6"/>
        <v>0.61903611581615847</v>
      </c>
      <c r="AA12" s="1173">
        <f t="shared" si="6"/>
        <v>0.60977653799214848</v>
      </c>
      <c r="AB12" s="1173">
        <f t="shared" si="6"/>
        <v>0.5966295319653333</v>
      </c>
      <c r="AC12" s="1173">
        <f t="shared" si="6"/>
        <v>0.59507168181159409</v>
      </c>
      <c r="AD12" s="1769">
        <v>0.59599999999999997</v>
      </c>
      <c r="AE12" s="1769">
        <v>0.59499999999999997</v>
      </c>
      <c r="AF12" s="1769">
        <v>0.59419999999999995</v>
      </c>
      <c r="AG12" s="1769">
        <v>0.59299999999999997</v>
      </c>
      <c r="AH12" s="1760"/>
      <c r="AI12" s="49"/>
      <c r="AJ12" s="50"/>
      <c r="AK12" s="49"/>
      <c r="AL12" s="1761"/>
      <c r="AM12" s="114"/>
    </row>
    <row r="13" spans="1:39">
      <c r="S13" s="1770"/>
      <c r="T13" s="1770"/>
      <c r="U13" s="1115"/>
      <c r="V13" s="1115"/>
      <c r="W13" s="1115"/>
      <c r="X13" s="1115"/>
      <c r="Y13" s="1771"/>
      <c r="AH13" s="206"/>
      <c r="AI13" s="49"/>
      <c r="AJ13" s="97"/>
      <c r="AK13" s="49"/>
      <c r="AL13" s="1443"/>
      <c r="AM13" s="114"/>
    </row>
    <row r="14" spans="1:39">
      <c r="A14" s="1729" t="s">
        <v>105</v>
      </c>
      <c r="B14" s="1728">
        <f>'qtrP&amp;L'!D54</f>
        <v>43.069000000000003</v>
      </c>
      <c r="C14" s="1728">
        <f>'qtrP&amp;L'!H54</f>
        <v>55.995999999999995</v>
      </c>
      <c r="D14" s="1728">
        <f>'qtrP&amp;L'!L54</f>
        <v>77.772999999999996</v>
      </c>
      <c r="E14" s="1728">
        <f>'qtrP&amp;L'!P54</f>
        <v>116.955</v>
      </c>
      <c r="F14" s="1728">
        <f>'qtrP&amp;L'!T54</f>
        <v>164.39600000000002</v>
      </c>
      <c r="G14" s="1766">
        <f>'qtrP&amp;L'!X54</f>
        <v>208.31900000000002</v>
      </c>
      <c r="H14" s="1766">
        <f>'qtrP&amp;L'!AB54</f>
        <v>255.72300000000001</v>
      </c>
      <c r="I14" s="1766">
        <f>'qtrP&amp;L'!AF54</f>
        <v>286.57600000000002</v>
      </c>
      <c r="J14" s="1728">
        <f>'qtrP&amp;L'!AJ54</f>
        <v>668.80000000000007</v>
      </c>
      <c r="K14" s="1728">
        <f>+'qtrP&amp;L'!AN54</f>
        <v>752.96799999999996</v>
      </c>
      <c r="L14" s="1763">
        <f>+'qtrP&amp;L'!AR54</f>
        <v>965.18</v>
      </c>
      <c r="M14" s="1763">
        <f>'qtrP&amp;L'!AV54</f>
        <v>1300.712</v>
      </c>
      <c r="N14" s="1763">
        <f>SUM(N17,N19)</f>
        <v>1281.893</v>
      </c>
      <c r="O14" s="1763">
        <f>'qtrP&amp;L'!AZ54</f>
        <v>1560.9010000000001</v>
      </c>
      <c r="P14" s="1763">
        <f>P17+P19</f>
        <v>1512.6610000000001</v>
      </c>
      <c r="Q14" s="1763">
        <f>+'qtrP&amp;L'!BD54</f>
        <v>1782.604</v>
      </c>
      <c r="R14" s="1763">
        <f>R17+R19</f>
        <v>1720.9580000000001</v>
      </c>
      <c r="S14" s="1728">
        <f>+'qtrP&amp;L'!BH54-4</f>
        <v>1837.6110000000001</v>
      </c>
      <c r="T14" s="1728">
        <f>'qtrP&amp;L'!$BL$54</f>
        <v>1746.019</v>
      </c>
      <c r="U14" s="1728">
        <f>'qtrP&amp;L'!$BP$54+40</f>
        <v>1975.7060000000001</v>
      </c>
      <c r="V14" s="1728">
        <f>+'qtrP&amp;L'!BT54</f>
        <v>2213.7280000000001</v>
      </c>
      <c r="W14" s="1728">
        <f>+'qtrP&amp;L'!BX54</f>
        <v>2454.4089999999997</v>
      </c>
      <c r="X14" s="1728">
        <f>+'qtrP&amp;L'!CB54</f>
        <v>2374.8130000000001</v>
      </c>
      <c r="Y14" s="1728">
        <f>'qtrP&amp;L'!CF54</f>
        <v>2137.0809999999997</v>
      </c>
      <c r="Z14" s="1728">
        <f>'qtrP&amp;L'!CJ54</f>
        <v>2050.3526000000002</v>
      </c>
      <c r="AA14" s="1728">
        <f>'qtrP&amp;L'!CN54</f>
        <v>2039.2359999999999</v>
      </c>
      <c r="AB14" s="1728">
        <f>'qtrP&amp;L'!CR54</f>
        <v>1999.269</v>
      </c>
      <c r="AC14" s="1728">
        <f>'qtrP&amp;L'!CV54</f>
        <v>2030.8763915643058</v>
      </c>
      <c r="AD14" s="1728">
        <f>+AD7*AD16</f>
        <v>2034.8124598074212</v>
      </c>
      <c r="AE14" s="1728">
        <f>+AE7*AE16</f>
        <v>2024.9873598035576</v>
      </c>
      <c r="AF14" s="1728">
        <f>+AF7*AF16</f>
        <v>2011.7589216405979</v>
      </c>
      <c r="AG14" s="1728">
        <f>+AG7*AG16</f>
        <v>2002.0111301750883</v>
      </c>
      <c r="AH14" s="1760"/>
      <c r="AI14" s="49">
        <f>((AB14/W14)^(1/5)-1)*100</f>
        <v>-4.0190908257110021</v>
      </c>
      <c r="AJ14" s="79" t="s">
        <v>76</v>
      </c>
      <c r="AK14" s="49">
        <f>((AG14/AB14)^(1/5)-1)*100</f>
        <v>2.7416290719228797E-2</v>
      </c>
      <c r="AL14" s="1758" t="s">
        <v>76</v>
      </c>
      <c r="AM14" s="114"/>
    </row>
    <row r="15" spans="1:39">
      <c r="A15" s="1727" t="s">
        <v>527</v>
      </c>
      <c r="B15" s="1728"/>
      <c r="C15" s="1728"/>
      <c r="D15" s="1728"/>
      <c r="E15" s="1728"/>
      <c r="F15" s="1728"/>
      <c r="G15" s="1766"/>
      <c r="H15" s="1766"/>
      <c r="I15" s="1766"/>
      <c r="J15" s="1728"/>
      <c r="K15" s="1728"/>
      <c r="L15" s="1763"/>
      <c r="M15" s="1763"/>
      <c r="N15" s="1763"/>
      <c r="O15" s="1763"/>
      <c r="P15" s="1763"/>
      <c r="Q15" s="1763"/>
      <c r="R15" s="1763"/>
      <c r="S15" s="1728"/>
      <c r="T15" s="1728"/>
      <c r="U15" s="1173">
        <f>(U14/T14)-1</f>
        <v>0.13154896939838578</v>
      </c>
      <c r="V15" s="1173">
        <f t="shared" ref="V15:AG15" si="7">(V14/U14)-1</f>
        <v>0.12047440256799336</v>
      </c>
      <c r="W15" s="1173">
        <f>(W14/V14)-1</f>
        <v>0.10872202908397033</v>
      </c>
      <c r="X15" s="1173">
        <f>(X14/W14)-1</f>
        <v>-3.2429802856817846E-2</v>
      </c>
      <c r="Y15" s="1173">
        <f t="shared" si="7"/>
        <v>-0.10010556620668676</v>
      </c>
      <c r="Z15" s="1173">
        <f t="shared" si="7"/>
        <v>-4.058264520624133E-2</v>
      </c>
      <c r="AA15" s="1173">
        <f t="shared" si="7"/>
        <v>-5.4217991578621172E-3</v>
      </c>
      <c r="AB15" s="1173">
        <f t="shared" si="7"/>
        <v>-1.959900668681791E-2</v>
      </c>
      <c r="AC15" s="1173">
        <f t="shared" si="7"/>
        <v>1.5809474144952818E-2</v>
      </c>
      <c r="AD15" s="1173">
        <f t="shared" si="7"/>
        <v>1.9381131512803407E-3</v>
      </c>
      <c r="AE15" s="1173">
        <f t="shared" si="7"/>
        <v>-4.8285039520513662E-3</v>
      </c>
      <c r="AF15" s="1173">
        <f t="shared" si="7"/>
        <v>-6.5326028327619134E-3</v>
      </c>
      <c r="AG15" s="1173">
        <f t="shared" si="7"/>
        <v>-4.8454073500816541E-3</v>
      </c>
      <c r="AH15" s="1760"/>
      <c r="AI15" s="49"/>
      <c r="AJ15" s="79"/>
      <c r="AK15" s="49"/>
      <c r="AL15" s="1758"/>
      <c r="AM15" s="114"/>
    </row>
    <row r="16" spans="1:39" collapsed="1">
      <c r="A16" s="1729" t="s">
        <v>56</v>
      </c>
      <c r="B16" s="1173">
        <f t="shared" ref="B16:N16" si="8">B14/B$7</f>
        <v>0.26029384212784729</v>
      </c>
      <c r="C16" s="1173">
        <f t="shared" si="8"/>
        <v>0.23761451928421998</v>
      </c>
      <c r="D16" s="1173">
        <f t="shared" si="8"/>
        <v>0.23190069534725616</v>
      </c>
      <c r="E16" s="1173">
        <f t="shared" si="8"/>
        <v>0.22421623528374268</v>
      </c>
      <c r="F16" s="1173">
        <f t="shared" si="8"/>
        <v>0.20417297995479272</v>
      </c>
      <c r="G16" s="1768">
        <f t="shared" si="8"/>
        <v>0.20208311911048857</v>
      </c>
      <c r="H16" s="1768">
        <f t="shared" si="8"/>
        <v>0.20662748342765538</v>
      </c>
      <c r="I16" s="1768">
        <f t="shared" si="8"/>
        <v>0.20996839952727511</v>
      </c>
      <c r="J16" s="1173">
        <f t="shared" si="8"/>
        <v>0.41911143112641847</v>
      </c>
      <c r="K16" s="1173">
        <f t="shared" si="8"/>
        <v>0.44089707924012572</v>
      </c>
      <c r="L16" s="1759">
        <f t="shared" si="8"/>
        <v>0.47751544338316709</v>
      </c>
      <c r="M16" s="1759">
        <f t="shared" si="8"/>
        <v>0.46709048084343396</v>
      </c>
      <c r="N16" s="1759">
        <f t="shared" si="8"/>
        <v>0.46308419587856786</v>
      </c>
      <c r="O16" s="1759">
        <f t="shared" ref="O16:W16" si="9">O18+O20</f>
        <v>0.47041189720320736</v>
      </c>
      <c r="P16" s="1759">
        <f>P14/P7</f>
        <v>0.46059072351786268</v>
      </c>
      <c r="Q16" s="1759">
        <f t="shared" si="9"/>
        <v>0.47538046218952401</v>
      </c>
      <c r="R16" s="1759">
        <f>R14/R7</f>
        <v>0.46516703174565421</v>
      </c>
      <c r="S16" s="1173">
        <f t="shared" si="9"/>
        <v>0.52858233949674194</v>
      </c>
      <c r="T16" s="1173">
        <f t="shared" si="9"/>
        <v>0.60752674036450549</v>
      </c>
      <c r="U16" s="1173">
        <f t="shared" si="9"/>
        <v>0.55803718660415091</v>
      </c>
      <c r="V16" s="1173">
        <f t="shared" si="9"/>
        <v>0.53239469002115891</v>
      </c>
      <c r="W16" s="1173">
        <f t="shared" si="9"/>
        <v>0.5441177350827624</v>
      </c>
      <c r="X16" s="1173">
        <f t="shared" ref="X16:AC16" si="10">X18+X20</f>
        <v>0.57684537650565459</v>
      </c>
      <c r="Y16" s="1173">
        <f t="shared" si="10"/>
        <v>0.57079697545158559</v>
      </c>
      <c r="Z16" s="1173">
        <f>Z18+Z20</f>
        <v>0.58270504848409055</v>
      </c>
      <c r="AA16" s="1173">
        <f>AA18+AA20</f>
        <v>0.61298328092967902</v>
      </c>
      <c r="AB16" s="1173">
        <f t="shared" si="10"/>
        <v>0.57241524441046865</v>
      </c>
      <c r="AC16" s="1173">
        <f t="shared" si="10"/>
        <v>0.57895018131218656</v>
      </c>
      <c r="AD16" s="1173">
        <f>AD18+AD20</f>
        <v>0.58119999999999994</v>
      </c>
      <c r="AE16" s="1173">
        <f>AE18+AE20</f>
        <v>0.58150000000000002</v>
      </c>
      <c r="AF16" s="1173">
        <f>AF18+AF20</f>
        <v>0.58189999999999997</v>
      </c>
      <c r="AG16" s="1173">
        <f>AG18+AG20</f>
        <v>0.58069999999999999</v>
      </c>
      <c r="AH16" s="1760"/>
      <c r="AI16" s="49"/>
      <c r="AJ16" s="50"/>
      <c r="AK16" s="49"/>
      <c r="AL16" s="1761"/>
      <c r="AM16" s="114"/>
    </row>
    <row r="17" spans="1:39">
      <c r="A17" s="1729" t="s">
        <v>53</v>
      </c>
      <c r="B17" s="1728"/>
      <c r="C17" s="1728"/>
      <c r="D17" s="1728"/>
      <c r="E17" s="1728"/>
      <c r="F17" s="1728"/>
      <c r="G17" s="1772"/>
      <c r="H17" s="1772"/>
      <c r="I17" s="1772"/>
      <c r="J17" s="1728">
        <f>'qtrP&amp;L'!AJ34</f>
        <v>533.08900000000006</v>
      </c>
      <c r="K17" s="1728">
        <f>'qtrP&amp;L'!AN34</f>
        <v>597.41500000000008</v>
      </c>
      <c r="L17" s="1763">
        <f>'qtrP&amp;L'!AR34</f>
        <v>738.24399999999991</v>
      </c>
      <c r="M17" s="1763">
        <f>'qtrP&amp;L'!AV34</f>
        <v>1000.7550000000001</v>
      </c>
      <c r="N17" s="1763">
        <v>998.87800000000004</v>
      </c>
      <c r="O17" s="1763">
        <f>'qtrP&amp;L'!AZ34</f>
        <v>1187.0720000000001</v>
      </c>
      <c r="P17" s="1763">
        <v>1155.922</v>
      </c>
      <c r="Q17" s="1763">
        <f>+'qtrP&amp;L'!BD34</f>
        <v>1386.846</v>
      </c>
      <c r="R17" s="1763">
        <v>1344.1780000000001</v>
      </c>
      <c r="S17" s="1728">
        <f>+'qtrP&amp;L'!BH34</f>
        <v>1436.3630000000001</v>
      </c>
      <c r="T17" s="1728">
        <f>'qtrP&amp;L'!BL34</f>
        <v>1425.95</v>
      </c>
      <c r="U17" s="1728">
        <f>'qtrP&amp;L'!BP34</f>
        <v>1534.902</v>
      </c>
      <c r="V17" s="1728">
        <f>+'qtrP&amp;L'!BT34</f>
        <v>1786.607</v>
      </c>
      <c r="W17" s="1728">
        <f>+'qtrP&amp;L'!BX34</f>
        <v>1980.5260000000001</v>
      </c>
      <c r="X17" s="1728">
        <f>+'qtrP&amp;L'!CB34</f>
        <v>1903.3729999999998</v>
      </c>
      <c r="Y17" s="1728">
        <f>'qtrP&amp;L'!CF34</f>
        <v>1694.6799999999998</v>
      </c>
      <c r="Z17" s="1728">
        <f>'qtrP&amp;L'!CJ34</f>
        <v>1597.549</v>
      </c>
      <c r="AA17" s="1728">
        <f>'qtrP&amp;L'!CN34</f>
        <v>1580.0340000000001</v>
      </c>
      <c r="AB17" s="1728">
        <f>'qtrP&amp;L'!CR34</f>
        <v>1542.425</v>
      </c>
      <c r="AC17" s="1728">
        <f>'qtrP&amp;L'!CV34</f>
        <v>1559.8286626782501</v>
      </c>
      <c r="AD17" s="1728">
        <f>AD7*AD18</f>
        <v>1557.2687235415365</v>
      </c>
      <c r="AE17" s="1728">
        <f>AE7*AE18</f>
        <v>1551.387564561453</v>
      </c>
      <c r="AF17" s="1728">
        <f>AF7*AF18</f>
        <v>1540.1935033354296</v>
      </c>
      <c r="AG17" s="1728">
        <f>AG7*AG18</f>
        <v>1534.1741913688898</v>
      </c>
      <c r="AH17" s="1760"/>
      <c r="AI17" s="49">
        <f>((AB17/W17)^(1/5)-1)*100</f>
        <v>-4.877183354552761</v>
      </c>
      <c r="AJ17" s="79" t="s">
        <v>76</v>
      </c>
      <c r="AK17" s="49">
        <f>((AG17/AB17)^(1/5)-1)*100</f>
        <v>-0.10721454519623252</v>
      </c>
      <c r="AL17" s="1758" t="s">
        <v>76</v>
      </c>
      <c r="AM17" s="114"/>
    </row>
    <row r="18" spans="1:39">
      <c r="A18" s="1729" t="s">
        <v>54</v>
      </c>
      <c r="B18" s="1728"/>
      <c r="C18" s="1728"/>
      <c r="D18" s="1728"/>
      <c r="E18" s="1728"/>
      <c r="F18" s="1728"/>
      <c r="G18" s="1772" t="s">
        <v>696</v>
      </c>
      <c r="H18" s="1772"/>
      <c r="I18" s="1772"/>
      <c r="J18" s="1173">
        <f t="shared" ref="J18:AC18" si="11">J17/J7</f>
        <v>0.3340665276730731</v>
      </c>
      <c r="K18" s="1173">
        <f t="shared" si="11"/>
        <v>0.3498137086758531</v>
      </c>
      <c r="L18" s="1759">
        <f t="shared" si="11"/>
        <v>0.36524058826847094</v>
      </c>
      <c r="M18" s="1759">
        <f t="shared" si="11"/>
        <v>0.35937481483715905</v>
      </c>
      <c r="N18" s="1759">
        <f t="shared" si="11"/>
        <v>0.3608449499379372</v>
      </c>
      <c r="O18" s="1759">
        <f t="shared" si="11"/>
        <v>0.35775029398841168</v>
      </c>
      <c r="P18" s="1759">
        <f t="shared" si="11"/>
        <v>0.35196712965443999</v>
      </c>
      <c r="Q18" s="1759">
        <f t="shared" si="11"/>
        <v>0.3698406895001316</v>
      </c>
      <c r="R18" s="1759">
        <f t="shared" si="11"/>
        <v>0.36332513076891476</v>
      </c>
      <c r="S18" s="1173">
        <f t="shared" si="11"/>
        <v>0.4122673653157799</v>
      </c>
      <c r="T18" s="1173">
        <f t="shared" si="11"/>
        <v>0.48690084937470657</v>
      </c>
      <c r="U18" s="1173">
        <f t="shared" si="11"/>
        <v>0.44249095358132096</v>
      </c>
      <c r="V18" s="1173">
        <f t="shared" si="11"/>
        <v>0.42967341965888883</v>
      </c>
      <c r="W18" s="1173">
        <f t="shared" si="11"/>
        <v>0.43906265067986755</v>
      </c>
      <c r="X18" s="1173">
        <f t="shared" si="11"/>
        <v>0.46233194563769747</v>
      </c>
      <c r="Y18" s="1173">
        <f t="shared" si="11"/>
        <v>0.45263526200377668</v>
      </c>
      <c r="Z18" s="1173">
        <f t="shared" si="11"/>
        <v>0.45401940500414922</v>
      </c>
      <c r="AA18" s="1173">
        <f t="shared" si="11"/>
        <v>0.47494965040850812</v>
      </c>
      <c r="AB18" s="1173">
        <f t="shared" si="11"/>
        <v>0.44161520203625282</v>
      </c>
      <c r="AC18" s="1173">
        <f t="shared" si="11"/>
        <v>0.44466669208652504</v>
      </c>
      <c r="AD18" s="1773">
        <v>0.44479999999999997</v>
      </c>
      <c r="AE18" s="1773">
        <v>0.44550000000000001</v>
      </c>
      <c r="AF18" s="1773">
        <v>0.44550000000000001</v>
      </c>
      <c r="AG18" s="1773">
        <v>0.44500000000000001</v>
      </c>
      <c r="AH18" s="1760"/>
      <c r="AI18" s="49"/>
      <c r="AJ18" s="79"/>
      <c r="AK18" s="49"/>
      <c r="AL18" s="1774"/>
      <c r="AM18" s="114"/>
    </row>
    <row r="19" spans="1:39">
      <c r="A19" s="1729" t="s">
        <v>55</v>
      </c>
      <c r="B19" s="1728"/>
      <c r="C19" s="1728"/>
      <c r="D19" s="1728"/>
      <c r="E19" s="1728"/>
      <c r="F19" s="1728"/>
      <c r="G19" s="1772"/>
      <c r="H19" s="1772"/>
      <c r="I19" s="1772"/>
      <c r="J19" s="1728">
        <f>'qtrP&amp;L'!AJ44</f>
        <v>135.71100000000001</v>
      </c>
      <c r="K19" s="1728">
        <f>'qtrP&amp;L'!AN44</f>
        <v>155.553</v>
      </c>
      <c r="L19" s="1763">
        <f>'qtrP&amp;L'!AR44</f>
        <v>226.93599999999998</v>
      </c>
      <c r="M19" s="1763">
        <f>'qtrP&amp;L'!AV44</f>
        <v>299.95699999999999</v>
      </c>
      <c r="N19" s="1763">
        <v>283.01499999999999</v>
      </c>
      <c r="O19" s="1763">
        <f>'qtrP&amp;L'!AZ44</f>
        <v>373.82900000000001</v>
      </c>
      <c r="P19" s="1763">
        <v>356.73899999999998</v>
      </c>
      <c r="Q19" s="1763">
        <f>+'qtrP&amp;L'!BD44</f>
        <v>395.75799999999998</v>
      </c>
      <c r="R19" s="1763">
        <v>376.78</v>
      </c>
      <c r="S19" s="1728">
        <f>+'qtrP&amp;L'!BH44</f>
        <v>405.24799999999999</v>
      </c>
      <c r="T19" s="1728">
        <f>'qtrP&amp;L'!$BL$44</f>
        <v>353.26799999999997</v>
      </c>
      <c r="U19" s="1728">
        <f>'qtrP&amp;L'!$BP$44</f>
        <v>400.80400000000003</v>
      </c>
      <c r="V19" s="1728">
        <f>+'qtrP&amp;L'!BT44</f>
        <v>427.12099999999998</v>
      </c>
      <c r="W19" s="1728">
        <f>+'qtrP&amp;L'!BX44</f>
        <v>473.88299999999998</v>
      </c>
      <c r="X19" s="1728">
        <f>+'qtrP&amp;L'!CB44</f>
        <v>471.44</v>
      </c>
      <c r="Y19" s="1728">
        <f>'qtrP&amp;L'!CF44</f>
        <v>442.40100000000001</v>
      </c>
      <c r="Z19" s="1728">
        <f>'qtrP&amp;L'!CJ44</f>
        <v>452.80359999999996</v>
      </c>
      <c r="AA19" s="1728">
        <f>'qtrP&amp;L'!CN44</f>
        <v>459.202</v>
      </c>
      <c r="AB19" s="1728">
        <f>'qtrP&amp;L'!CR44</f>
        <v>456.84399999999994</v>
      </c>
      <c r="AC19" s="1728">
        <f>'qtrP&amp;L'!CV44</f>
        <v>471.04772888605601</v>
      </c>
      <c r="AD19" s="1728">
        <f>AD7*AD20</f>
        <v>477.54373626588489</v>
      </c>
      <c r="AE19" s="1728">
        <f>AE7*AE20</f>
        <v>473.59979524210462</v>
      </c>
      <c r="AF19" s="1728">
        <f>AF7*AF20</f>
        <v>471.56541830516852</v>
      </c>
      <c r="AG19" s="1728">
        <f>AG7*AG20</f>
        <v>467.83693880619848</v>
      </c>
      <c r="AH19" s="1760"/>
      <c r="AI19" s="49">
        <f>((AB19/W19)^(1/5)-1)*100</f>
        <v>-0.72969430562622728</v>
      </c>
      <c r="AJ19" s="79" t="s">
        <v>76</v>
      </c>
      <c r="AK19" s="49">
        <f>((AG19/AB19)^(1/5)-1)*100</f>
        <v>0.47668932388533758</v>
      </c>
      <c r="AL19" s="1758" t="s">
        <v>76</v>
      </c>
      <c r="AM19" s="114"/>
    </row>
    <row r="20" spans="1:39">
      <c r="A20" s="1729" t="s">
        <v>54</v>
      </c>
      <c r="B20" s="1728"/>
      <c r="C20" s="1728"/>
      <c r="D20" s="1728"/>
      <c r="E20" s="1728"/>
      <c r="F20" s="1728"/>
      <c r="G20" s="1772"/>
      <c r="H20" s="1772"/>
      <c r="I20" s="1772"/>
      <c r="J20" s="1173">
        <f t="shared" ref="J20:AC20" si="12">J19/J7</f>
        <v>8.5044903453345352E-2</v>
      </c>
      <c r="K20" s="1173">
        <f t="shared" si="12"/>
        <v>9.1083370564272695E-2</v>
      </c>
      <c r="L20" s="1759">
        <f t="shared" si="12"/>
        <v>0.11227485511469612</v>
      </c>
      <c r="M20" s="1759">
        <f t="shared" si="12"/>
        <v>0.10771566600627497</v>
      </c>
      <c r="N20" s="1759">
        <f t="shared" si="12"/>
        <v>0.10223924594063068</v>
      </c>
      <c r="O20" s="1759">
        <f t="shared" si="12"/>
        <v>0.11266160321479568</v>
      </c>
      <c r="P20" s="1759">
        <f t="shared" si="12"/>
        <v>0.10862359386342266</v>
      </c>
      <c r="Q20" s="1759">
        <f t="shared" si="12"/>
        <v>0.10553977268939239</v>
      </c>
      <c r="R20" s="1759">
        <f t="shared" si="12"/>
        <v>0.10184190097673945</v>
      </c>
      <c r="S20" s="1173">
        <f t="shared" si="12"/>
        <v>0.11631497418096202</v>
      </c>
      <c r="T20" s="1173">
        <f t="shared" si="12"/>
        <v>0.12062589098979896</v>
      </c>
      <c r="U20" s="1173">
        <f t="shared" si="12"/>
        <v>0.11554623302282997</v>
      </c>
      <c r="V20" s="1173">
        <f t="shared" si="12"/>
        <v>0.10272127036227008</v>
      </c>
      <c r="W20" s="1173">
        <f t="shared" si="12"/>
        <v>0.10505508440289482</v>
      </c>
      <c r="X20" s="1173">
        <f t="shared" si="12"/>
        <v>0.11451343086795711</v>
      </c>
      <c r="Y20" s="1173">
        <f t="shared" si="12"/>
        <v>0.11816171344780892</v>
      </c>
      <c r="Z20" s="1173">
        <f t="shared" si="12"/>
        <v>0.12868564347994133</v>
      </c>
      <c r="AA20" s="1173">
        <f t="shared" si="12"/>
        <v>0.13803363052117087</v>
      </c>
      <c r="AB20" s="1173">
        <f t="shared" si="12"/>
        <v>0.13080004237421583</v>
      </c>
      <c r="AC20" s="1173">
        <f t="shared" si="12"/>
        <v>0.1342834892256615</v>
      </c>
      <c r="AD20" s="1773">
        <v>0.13639999999999999</v>
      </c>
      <c r="AE20" s="1773">
        <v>0.13600000000000001</v>
      </c>
      <c r="AF20" s="1773">
        <v>0.13639999999999999</v>
      </c>
      <c r="AG20" s="1773">
        <v>0.13569999999999999</v>
      </c>
      <c r="AH20" s="1760"/>
      <c r="AI20" s="49"/>
      <c r="AJ20" s="79"/>
      <c r="AK20" s="49"/>
      <c r="AL20" s="1774"/>
      <c r="AM20" s="114"/>
    </row>
    <row r="21" spans="1:39" outlineLevel="1">
      <c r="A21" s="1727" t="s">
        <v>624</v>
      </c>
      <c r="B21" s="1173"/>
      <c r="C21" s="1775">
        <v>19.844999999999999</v>
      </c>
      <c r="D21" s="1775">
        <v>27.448</v>
      </c>
      <c r="E21" s="1775">
        <v>37.94</v>
      </c>
      <c r="F21" s="1775">
        <v>50.97</v>
      </c>
      <c r="G21" s="1766">
        <v>61.905999999999999</v>
      </c>
      <c r="H21" s="1766">
        <v>75.572000000000003</v>
      </c>
      <c r="I21" s="1766">
        <v>90.070999999999998</v>
      </c>
      <c r="J21" s="1775">
        <v>112.072</v>
      </c>
      <c r="K21" s="1775">
        <v>128.41399999999999</v>
      </c>
      <c r="L21" s="1776">
        <v>150.04499999999999</v>
      </c>
      <c r="M21" s="1776">
        <v>189.428</v>
      </c>
      <c r="N21" s="1776">
        <v>222.5</v>
      </c>
      <c r="O21" s="1776">
        <v>222.52799999999999</v>
      </c>
      <c r="P21" s="1776">
        <f>196.69+20.192</f>
        <v>216.88200000000001</v>
      </c>
      <c r="Q21" s="1776">
        <f>249.17-6.066</f>
        <v>243.10399999999998</v>
      </c>
      <c r="R21" s="1776">
        <f>221.651+21.453</f>
        <v>243.10400000000001</v>
      </c>
      <c r="S21" s="1775">
        <f>267.108+14.289</f>
        <v>281.39699999999999</v>
      </c>
      <c r="T21" s="1775">
        <f>301.138+6.136</f>
        <v>307.274</v>
      </c>
      <c r="U21" s="1775">
        <f>333.419+9.306</f>
        <v>342.72499999999997</v>
      </c>
      <c r="V21" s="1775">
        <f>388.004+16.942</f>
        <v>404.94600000000003</v>
      </c>
      <c r="W21" s="1775">
        <f>414.061+16.828</f>
        <v>430.88899999999995</v>
      </c>
      <c r="X21" s="1775">
        <f>464.937+8.624</f>
        <v>473.56100000000004</v>
      </c>
      <c r="Y21" s="1775">
        <f>432.794+8.886</f>
        <v>441.68</v>
      </c>
      <c r="Z21" s="1775">
        <f>404.836+10.161</f>
        <v>414.99700000000001</v>
      </c>
      <c r="AA21" s="1775">
        <f>408.575+11.69</f>
        <v>420.26499999999999</v>
      </c>
      <c r="AB21" s="1728">
        <f>(AA21-15.5)*1.02-10</f>
        <v>402.8603</v>
      </c>
      <c r="AC21" s="1728">
        <f>AB21*(1.02+sumry!DQ72)</f>
        <v>393.97667633914375</v>
      </c>
      <c r="AD21" s="1728">
        <f>AC21*(1.02+sumry!DR72)</f>
        <v>393.17729928755716</v>
      </c>
      <c r="AE21" s="1728">
        <f>AD21*(1.02+sumry!DS72)</f>
        <v>385.09896201973072</v>
      </c>
      <c r="AF21" s="1728">
        <f>AE21*(1.02+(yrSales!AC228/yrSales!AB228-1))</f>
        <v>382.22520296712389</v>
      </c>
      <c r="AG21" s="1728">
        <f>AF21*(1.02+(yrSales!AD228/yrSales!AC228-1))</f>
        <v>379.0764812410365</v>
      </c>
      <c r="AH21" s="1760"/>
      <c r="AI21" s="49"/>
      <c r="AJ21" s="50"/>
      <c r="AK21" s="49"/>
      <c r="AL21" s="1761"/>
      <c r="AM21" s="114"/>
    </row>
    <row r="22" spans="1:39" outlineLevel="1">
      <c r="A22" s="1727" t="s">
        <v>338</v>
      </c>
      <c r="B22" s="1173"/>
      <c r="C22" s="1173">
        <f>+C21/yrSales!C202</f>
        <v>8.4210660318511071E-2</v>
      </c>
      <c r="D22" s="1173">
        <f>+D21/yrSales!D202</f>
        <v>8.1843445487399066E-2</v>
      </c>
      <c r="E22" s="1173">
        <f>+E21/yrSales!E202</f>
        <v>7.3241753664334261E-2</v>
      </c>
      <c r="F22" s="1173">
        <f>+F21/yrSales!F202</f>
        <v>6.4594505677777206E-2</v>
      </c>
      <c r="G22" s="1173">
        <f>+G21/yrSales!G202</f>
        <v>6.1846434585614778E-2</v>
      </c>
      <c r="H22" s="1173">
        <f>+H21/yrSales!H202</f>
        <v>6.3475208998332699E-2</v>
      </c>
      <c r="I22" s="1173">
        <f>+I21/yrSales!I202</f>
        <v>6.8878488757856182E-2</v>
      </c>
      <c r="J22" s="1173">
        <f>+J21/yrSales!J202</f>
        <v>7.3666258688072569E-2</v>
      </c>
      <c r="K22" s="1173">
        <f>+K21/yrSales!K202</f>
        <v>7.5192249250355267E-2</v>
      </c>
      <c r="L22" s="1759">
        <f>+L21/yrSales!L202</f>
        <v>7.9181341605126035E-2</v>
      </c>
      <c r="M22" s="1759">
        <f>+M21/yrSales!M202</f>
        <v>7.1627925619306573E-2</v>
      </c>
      <c r="N22" s="1759"/>
      <c r="O22" s="1759">
        <f>+O21/yrSales!N202</f>
        <v>7.1340043048699397E-2</v>
      </c>
      <c r="P22" s="1759">
        <f>+P21/yrSales!M202</f>
        <v>8.2009036489676543E-2</v>
      </c>
      <c r="Q22" s="1759">
        <f>+Q21/yrSales!N202</f>
        <v>7.7936483612448856E-2</v>
      </c>
      <c r="R22" s="1759">
        <f>+R21/yrSales!O202</f>
        <v>7.0429263790190891E-2</v>
      </c>
      <c r="S22" s="1173">
        <f>+S21/yrSales!P202</f>
        <v>8.7734088673483215E-2</v>
      </c>
      <c r="T22" s="1173">
        <f>+T21/yrSales!Q202</f>
        <v>0.11562827316713949</v>
      </c>
      <c r="U22" s="1173">
        <f>+U21/yrSales!R202</f>
        <v>0.11334998015610528</v>
      </c>
      <c r="V22" s="1173">
        <f>+V21/yrSales!S202</f>
        <v>0.11463306441453901</v>
      </c>
      <c r="W22" s="1173">
        <f>+W21/yrSales!T202</f>
        <v>0.11308900166291529</v>
      </c>
      <c r="X22" s="1173">
        <f>+X21/yrSales!U202</f>
        <v>0.14178553710335479</v>
      </c>
      <c r="Y22" s="1173">
        <f>+Y21/yrSales!V202</f>
        <v>0.1517024971423547</v>
      </c>
      <c r="Z22" s="1173">
        <f>+Z21/yrSales!W202</f>
        <v>0.1544080854224148</v>
      </c>
      <c r="AA22" s="1173">
        <f>+AA21/yrSales!X202</f>
        <v>0.17002208565714011</v>
      </c>
      <c r="AB22" s="1173">
        <f>+AB21/yrSales!Y202</f>
        <v>0.16016419509304358</v>
      </c>
      <c r="AC22" s="1173">
        <f>+AC21/yrSales!Z202</f>
        <v>0.1562915806987403</v>
      </c>
      <c r="AD22" s="1173">
        <f>+AD21/yrSales!AA202</f>
        <v>0.1582609420130893</v>
      </c>
      <c r="AE22" s="1173">
        <f>+AE21/yrSales!AB202</f>
        <v>0.15814127719167478</v>
      </c>
      <c r="AF22" s="1173">
        <f>+AF21/yrSales!AC202</f>
        <v>0.16069233606613625</v>
      </c>
      <c r="AG22" s="1173">
        <f>+AG21/yrSales!AD202</f>
        <v>0.16223320007972514</v>
      </c>
      <c r="AH22" s="1760"/>
      <c r="AI22" s="49"/>
      <c r="AJ22" s="50"/>
      <c r="AK22" s="49"/>
      <c r="AL22" s="1761"/>
      <c r="AM22" s="114"/>
    </row>
    <row r="23" spans="1:39">
      <c r="A23"/>
      <c r="B23"/>
      <c r="C23"/>
      <c r="D23"/>
      <c r="E23"/>
      <c r="F23"/>
      <c r="G23"/>
      <c r="H23"/>
      <c r="I23"/>
      <c r="J23"/>
      <c r="K23"/>
      <c r="L23"/>
      <c r="M23"/>
      <c r="N23"/>
      <c r="O23"/>
      <c r="P23"/>
      <c r="Q23"/>
      <c r="R23"/>
      <c r="S23"/>
      <c r="T23"/>
      <c r="U23"/>
      <c r="V23"/>
      <c r="W23"/>
      <c r="X23" s="226">
        <f>X14-W14</f>
        <v>-79.595999999999549</v>
      </c>
      <c r="Y23" s="226">
        <f t="shared" ref="Y23:AG23" si="13">Y14-X14</f>
        <v>-237.73200000000043</v>
      </c>
      <c r="Z23" s="226">
        <f t="shared" si="13"/>
        <v>-86.72839999999951</v>
      </c>
      <c r="AA23" s="226">
        <f t="shared" si="13"/>
        <v>-11.11660000000029</v>
      </c>
      <c r="AB23" s="226">
        <f>AB14-AA14</f>
        <v>-39.966999999999871</v>
      </c>
      <c r="AC23" s="226">
        <f t="shared" si="13"/>
        <v>31.607391564305772</v>
      </c>
      <c r="AD23" s="226">
        <f t="shared" si="13"/>
        <v>3.9360682431154146</v>
      </c>
      <c r="AE23" s="226">
        <f t="shared" si="13"/>
        <v>-9.8251000038635539</v>
      </c>
      <c r="AF23" s="226">
        <f t="shared" si="13"/>
        <v>-13.228438162959719</v>
      </c>
      <c r="AG23" s="226">
        <f t="shared" si="13"/>
        <v>-9.7477914655096356</v>
      </c>
      <c r="AH23" s="1760"/>
      <c r="AI23" s="49"/>
      <c r="AJ23" s="50"/>
      <c r="AK23" s="49"/>
      <c r="AL23" s="1761"/>
      <c r="AM23" s="114"/>
    </row>
    <row r="24" spans="1:39" ht="12.75" customHeight="1">
      <c r="A24" s="1729" t="s">
        <v>772</v>
      </c>
      <c r="B24" s="1775"/>
      <c r="C24" s="1728"/>
      <c r="D24" s="1728"/>
      <c r="E24" s="1728"/>
      <c r="F24" s="1728"/>
      <c r="G24" s="1772"/>
      <c r="H24" s="1772"/>
      <c r="I24" s="1772">
        <f>20.052/(1-I43)</f>
        <v>32.873382327831528</v>
      </c>
      <c r="J24" s="1772">
        <f>25.849/(1-J43)</f>
        <v>41.952695790587121</v>
      </c>
      <c r="K24" s="1772">
        <f>24.024/(1-K43)</f>
        <v>39.278178548064226</v>
      </c>
      <c r="L24" s="1777">
        <f>(27.72-6.358)/(1-0.38)</f>
        <v>34.454838709677418</v>
      </c>
      <c r="M24" s="1778">
        <f>(36.689-14.716)/(1-0.38)</f>
        <v>35.440322580645159</v>
      </c>
      <c r="N24" s="1778"/>
      <c r="O24" s="1778">
        <v>35.119</v>
      </c>
      <c r="P24" s="1778"/>
      <c r="Q24" s="1777">
        <v>31.17</v>
      </c>
      <c r="R24" s="1778"/>
      <c r="S24" s="1772">
        <f>+Q24</f>
        <v>31.17</v>
      </c>
      <c r="T24" s="1772">
        <f t="shared" ref="T24:Y24" si="14">+S24</f>
        <v>31.17</v>
      </c>
      <c r="U24" s="1772">
        <f t="shared" si="14"/>
        <v>31.17</v>
      </c>
      <c r="V24" s="1772">
        <f t="shared" si="14"/>
        <v>31.17</v>
      </c>
      <c r="W24" s="1772">
        <f t="shared" si="14"/>
        <v>31.17</v>
      </c>
      <c r="X24" s="1772">
        <f t="shared" si="14"/>
        <v>31.17</v>
      </c>
      <c r="Y24" s="1772">
        <f t="shared" si="14"/>
        <v>31.17</v>
      </c>
      <c r="Z24" s="1728">
        <f t="shared" ref="Z24:AG24" si="15">+Y24</f>
        <v>31.17</v>
      </c>
      <c r="AA24" s="1772">
        <f t="shared" si="15"/>
        <v>31.17</v>
      </c>
      <c r="AB24" s="1772">
        <f t="shared" si="15"/>
        <v>31.17</v>
      </c>
      <c r="AC24" s="1772">
        <f t="shared" si="15"/>
        <v>31.17</v>
      </c>
      <c r="AD24" s="1772">
        <f t="shared" si="15"/>
        <v>31.17</v>
      </c>
      <c r="AE24" s="1772">
        <f t="shared" si="15"/>
        <v>31.17</v>
      </c>
      <c r="AF24" s="1772">
        <f t="shared" si="15"/>
        <v>31.17</v>
      </c>
      <c r="AG24" s="1772">
        <f t="shared" si="15"/>
        <v>31.17</v>
      </c>
      <c r="AH24" s="1760"/>
      <c r="AI24" s="49"/>
      <c r="AJ24" s="50"/>
      <c r="AK24" s="49"/>
      <c r="AL24" s="1761"/>
      <c r="AM24" s="114"/>
    </row>
    <row r="25" spans="1:39" ht="12.75" customHeight="1">
      <c r="A25" s="1729" t="s">
        <v>94</v>
      </c>
      <c r="B25" s="1728">
        <f>B24/B7*100</f>
        <v>0</v>
      </c>
      <c r="C25" s="1728">
        <f>C24/C7*100</f>
        <v>0</v>
      </c>
      <c r="D25" s="1728">
        <f>D24/D7*100</f>
        <v>0</v>
      </c>
      <c r="E25" s="1728"/>
      <c r="F25" s="1728"/>
      <c r="G25" s="1772"/>
      <c r="H25" s="1772"/>
      <c r="I25" s="1779">
        <f t="shared" ref="I25:Q25" si="16">I24/I11</f>
        <v>4.0744432552817331E-2</v>
      </c>
      <c r="J25" s="1779">
        <f t="shared" si="16"/>
        <v>6.8193477888669099E-2</v>
      </c>
      <c r="K25" s="1779">
        <f t="shared" si="16"/>
        <v>6.2881305308760613E-2</v>
      </c>
      <c r="L25" s="1780">
        <f t="shared" si="16"/>
        <v>5.0666719668833855E-2</v>
      </c>
      <c r="M25" s="1780">
        <f t="shared" si="16"/>
        <v>3.7973333812615688E-2</v>
      </c>
      <c r="N25" s="1780"/>
      <c r="O25" s="1759">
        <f t="shared" si="16"/>
        <v>3.1662928074781452E-2</v>
      </c>
      <c r="P25" s="1759"/>
      <c r="Q25" s="1759">
        <f t="shared" si="16"/>
        <v>2.5167947806989215E-2</v>
      </c>
      <c r="R25" s="1759"/>
      <c r="S25" s="1173">
        <f t="shared" ref="S25:Z25" si="17">S24/S11</f>
        <v>2.703469235352739E-2</v>
      </c>
      <c r="T25" s="1173">
        <f t="shared" si="17"/>
        <v>2.9826923463368005E-2</v>
      </c>
      <c r="U25" s="1173">
        <f t="shared" si="17"/>
        <v>2.4909137985596335E-2</v>
      </c>
      <c r="V25" s="1173">
        <f t="shared" si="17"/>
        <v>1.9386329683288201E-2</v>
      </c>
      <c r="W25" s="1173">
        <f t="shared" si="17"/>
        <v>1.8399193434138327E-2</v>
      </c>
      <c r="X25" s="1173">
        <f t="shared" si="17"/>
        <v>2.0221062861101993E-2</v>
      </c>
      <c r="Y25" s="1173">
        <f t="shared" si="17"/>
        <v>2.1790193364372299E-2</v>
      </c>
      <c r="Z25" s="1173">
        <f t="shared" si="17"/>
        <v>2.3252691180090865E-2</v>
      </c>
      <c r="AA25" s="1173">
        <f t="shared" ref="AA25:AF25" si="18">AA24/AA11</f>
        <v>2.4010685795102654E-2</v>
      </c>
      <c r="AB25" s="1173">
        <f t="shared" si="18"/>
        <v>2.2124459132567886E-2</v>
      </c>
      <c r="AC25" s="1173">
        <f t="shared" si="18"/>
        <v>2.1944028355842329E-2</v>
      </c>
      <c r="AD25" s="1173">
        <f t="shared" si="18"/>
        <v>2.2037212246896618E-2</v>
      </c>
      <c r="AE25" s="1173">
        <f t="shared" si="18"/>
        <v>2.2100860406014833E-2</v>
      </c>
      <c r="AF25" s="1173">
        <f t="shared" si="18"/>
        <v>2.221760190344893E-2</v>
      </c>
      <c r="AG25" s="1173">
        <f t="shared" ref="AG25" si="19">AG24/AG11</f>
        <v>2.221404930545243E-2</v>
      </c>
      <c r="AH25" s="1760"/>
      <c r="AI25" s="49"/>
      <c r="AJ25" s="50"/>
      <c r="AK25" s="49"/>
      <c r="AL25" s="1761"/>
      <c r="AM25" s="114"/>
    </row>
    <row r="26" spans="1:39" ht="12.75" customHeight="1">
      <c r="A26" s="1729"/>
      <c r="B26" s="1728"/>
      <c r="C26" s="1728"/>
      <c r="D26" s="1728"/>
      <c r="E26" s="1728"/>
      <c r="F26" s="1728"/>
      <c r="G26" s="1728"/>
      <c r="H26" s="1728"/>
      <c r="I26" s="1728"/>
      <c r="J26" s="1728"/>
      <c r="K26" s="1781"/>
      <c r="L26" s="1763"/>
      <c r="M26" s="1763"/>
      <c r="N26" s="1763"/>
      <c r="O26" s="1763"/>
      <c r="P26" s="1763"/>
      <c r="Q26" s="1763"/>
      <c r="R26" s="1763"/>
      <c r="S26" s="1728"/>
      <c r="T26" s="1728"/>
      <c r="U26" s="1728"/>
      <c r="V26" s="1728"/>
      <c r="W26" s="1728"/>
      <c r="X26" s="1728"/>
      <c r="Y26" s="1728"/>
      <c r="Z26" s="1728"/>
      <c r="AA26" s="1728"/>
      <c r="AB26" s="1728"/>
      <c r="AC26" s="1728"/>
      <c r="AD26" s="1728"/>
      <c r="AE26" s="1728"/>
      <c r="AF26" s="1728"/>
      <c r="AG26" s="1728"/>
      <c r="AH26" s="1760"/>
      <c r="AI26" s="49"/>
      <c r="AJ26" s="50"/>
      <c r="AK26" s="49"/>
      <c r="AL26" s="1761"/>
      <c r="AM26" s="114"/>
    </row>
    <row r="27" spans="1:39" ht="12.75" customHeight="1">
      <c r="A27" s="1729" t="s">
        <v>580</v>
      </c>
      <c r="B27" s="1728"/>
      <c r="C27" s="1728">
        <f>'qtrP&amp;L'!H74</f>
        <v>0</v>
      </c>
      <c r="D27" s="1728">
        <f>'qtrP&amp;L'!L74</f>
        <v>11.759</v>
      </c>
      <c r="E27" s="1728">
        <f>'qtrP&amp;L'!P74</f>
        <v>16.341999999999999</v>
      </c>
      <c r="F27" s="1728">
        <f>'qtrP&amp;L'!T74</f>
        <v>20.946000000000002</v>
      </c>
      <c r="G27" s="1728">
        <f>'qtrP&amp;L'!X74</f>
        <v>27.721</v>
      </c>
      <c r="H27" s="1728">
        <f>'qtrP&amp;L'!AB74</f>
        <v>30.731000000000002</v>
      </c>
      <c r="I27" s="1728">
        <f>'qtrP&amp;L'!AF74</f>
        <v>41.155000000000001</v>
      </c>
      <c r="J27" s="1728">
        <f>'qtrP&amp;L'!AJ74</f>
        <v>55.989000000000004</v>
      </c>
      <c r="K27" s="1728">
        <f>flow!T11</f>
        <v>89.539000000000001</v>
      </c>
      <c r="L27" s="1763">
        <f>flow!V11</f>
        <v>105.81399999999999</v>
      </c>
      <c r="M27" s="1763">
        <f>flow!X11</f>
        <v>124.206</v>
      </c>
      <c r="N27" s="1782">
        <f>M27</f>
        <v>124.206</v>
      </c>
      <c r="O27" s="1763">
        <f>flow!Z11</f>
        <v>146.15600000000001</v>
      </c>
      <c r="P27" s="1763">
        <f>O27</f>
        <v>146.15600000000001</v>
      </c>
      <c r="Q27" s="1763">
        <f>+'qtrP&amp;L'!BD231</f>
        <v>183.71600000000001</v>
      </c>
      <c r="R27" s="1763">
        <f>Q27</f>
        <v>183.71600000000001</v>
      </c>
      <c r="S27" s="1728">
        <f>+'qtrP&amp;L'!BH231</f>
        <v>225.334</v>
      </c>
      <c r="T27" s="1728">
        <f>'qtrP&amp;L'!BL231</f>
        <v>238.75200000000001</v>
      </c>
      <c r="U27" s="1728">
        <f>'qtrP&amp;L'!BP231</f>
        <v>229.15299999999999</v>
      </c>
      <c r="V27" s="1728">
        <f>+'qtrP&amp;L'!BT231</f>
        <v>232.95599999999999</v>
      </c>
      <c r="W27" s="1728">
        <f>+'qtrP&amp;L'!BX231</f>
        <v>224.245</v>
      </c>
      <c r="X27" s="1728">
        <f>+'qtrP&amp;L'!CB231</f>
        <v>235.24</v>
      </c>
      <c r="Y27" s="1728">
        <f>'qtrP&amp;L'!CF231</f>
        <v>226.42099999999999</v>
      </c>
      <c r="Z27" s="1728">
        <f>'qtrP&amp;L'!CJ231</f>
        <v>213.68</v>
      </c>
      <c r="AA27" s="1728">
        <f>'qtrP&amp;L'!CN231</f>
        <v>195.41399999999999</v>
      </c>
      <c r="AB27" s="1728">
        <f>'qtrP&amp;L'!CR231</f>
        <v>192.14699999999999</v>
      </c>
      <c r="AC27" s="1728">
        <f>'qtrP&amp;L'!CV231</f>
        <v>180</v>
      </c>
      <c r="AD27" s="1728">
        <f>AD7*AD28</f>
        <v>175.05268924702526</v>
      </c>
      <c r="AE27" s="1728">
        <f>AE7*AE28</f>
        <v>167.15286890897809</v>
      </c>
      <c r="AF27" s="1728">
        <f>AF7*AF28</f>
        <v>159.03232582139114</v>
      </c>
      <c r="AG27" s="1728">
        <f>AG7*AG28</f>
        <v>158.5887928156605</v>
      </c>
      <c r="AH27" s="1760"/>
      <c r="AI27" s="49"/>
      <c r="AJ27" s="50"/>
      <c r="AK27" s="49"/>
      <c r="AL27" s="1761"/>
      <c r="AM27" s="114"/>
    </row>
    <row r="28" spans="1:39" ht="12.75" customHeight="1">
      <c r="A28" s="1729" t="s">
        <v>94</v>
      </c>
      <c r="B28" s="1728"/>
      <c r="C28" s="1728"/>
      <c r="D28" s="1173">
        <f t="shared" ref="D28:J28" si="20">+D27/D7</f>
        <v>3.5062557398948035E-2</v>
      </c>
      <c r="E28" s="1173">
        <f t="shared" si="20"/>
        <v>3.1329500380547416E-2</v>
      </c>
      <c r="F28" s="1173">
        <f t="shared" si="20"/>
        <v>2.6014058968181028E-2</v>
      </c>
      <c r="G28" s="1173">
        <f t="shared" si="20"/>
        <v>2.6891191609319617E-2</v>
      </c>
      <c r="H28" s="1173">
        <f t="shared" si="20"/>
        <v>2.4831044502118611E-2</v>
      </c>
      <c r="I28" s="1173">
        <f t="shared" si="20"/>
        <v>3.0153430442692364E-2</v>
      </c>
      <c r="J28" s="1173">
        <f t="shared" si="20"/>
        <v>3.5086169134774289E-2</v>
      </c>
      <c r="K28" s="1173">
        <f t="shared" ref="K28:AC28" si="21">+K27/K7</f>
        <v>5.2429165088133389E-2</v>
      </c>
      <c r="L28" s="1759">
        <f t="shared" si="21"/>
        <v>5.2350669435904641E-2</v>
      </c>
      <c r="M28" s="1759">
        <f t="shared" si="21"/>
        <v>4.4602833112664109E-2</v>
      </c>
      <c r="N28" s="1759">
        <f t="shared" si="21"/>
        <v>4.486945137643579E-2</v>
      </c>
      <c r="O28" s="1759">
        <f t="shared" si="21"/>
        <v>4.4047329873984305E-2</v>
      </c>
      <c r="P28" s="1759">
        <f t="shared" si="21"/>
        <v>4.4503096058189334E-2</v>
      </c>
      <c r="Q28" s="1759">
        <f t="shared" si="21"/>
        <v>4.8992932244968937E-2</v>
      </c>
      <c r="R28" s="1759">
        <f t="shared" si="21"/>
        <v>4.9657589786726117E-2</v>
      </c>
      <c r="S28" s="1173">
        <f t="shared" si="21"/>
        <v>6.4675750138416227E-2</v>
      </c>
      <c r="T28" s="1173">
        <f t="shared" si="21"/>
        <v>8.1523581885697222E-2</v>
      </c>
      <c r="U28" s="1173">
        <f t="shared" si="21"/>
        <v>6.6061630961468831E-2</v>
      </c>
      <c r="V28" s="1173">
        <f t="shared" si="21"/>
        <v>5.6025192529781928E-2</v>
      </c>
      <c r="W28" s="1173">
        <f t="shared" si="21"/>
        <v>4.9712856131001008E-2</v>
      </c>
      <c r="X28" s="1173">
        <f t="shared" si="21"/>
        <v>5.7140122767220074E-2</v>
      </c>
      <c r="Y28" s="1173">
        <f t="shared" si="21"/>
        <v>6.0475209867442301E-2</v>
      </c>
      <c r="Z28" s="1173">
        <f t="shared" si="21"/>
        <v>6.0727318198870027E-2</v>
      </c>
      <c r="AA28" s="1173">
        <f t="shared" si="21"/>
        <v>5.8740388488430113E-2</v>
      </c>
      <c r="AB28" s="1173">
        <f t="shared" si="21"/>
        <v>5.5014043616811108E-2</v>
      </c>
      <c r="AC28" s="1173">
        <f t="shared" si="21"/>
        <v>5.1313331066852291E-2</v>
      </c>
      <c r="AD28" s="1773">
        <v>0.05</v>
      </c>
      <c r="AE28" s="1773">
        <v>4.8000000000000001E-2</v>
      </c>
      <c r="AF28" s="1773">
        <v>4.5999999999999999E-2</v>
      </c>
      <c r="AG28" s="1773">
        <v>4.5999999999999999E-2</v>
      </c>
      <c r="AH28" s="1760"/>
      <c r="AI28" s="49"/>
      <c r="AJ28" s="50"/>
      <c r="AK28" s="49"/>
      <c r="AL28" s="1761"/>
      <c r="AM28" s="114"/>
    </row>
    <row r="29" spans="1:39" ht="12.75" customHeight="1">
      <c r="A29" s="1729"/>
      <c r="B29" s="1728"/>
      <c r="C29" s="1728"/>
      <c r="D29" s="1728"/>
      <c r="E29" s="1728"/>
      <c r="F29" s="1728"/>
      <c r="G29" s="1728"/>
      <c r="H29" s="1728"/>
      <c r="I29" s="1728"/>
      <c r="J29" s="1728"/>
      <c r="K29" s="1728"/>
      <c r="L29" s="1763"/>
      <c r="M29" s="1783"/>
      <c r="N29" s="1783"/>
      <c r="O29" s="1783"/>
      <c r="P29" s="1783"/>
      <c r="Q29" s="1783"/>
      <c r="R29" s="1783"/>
      <c r="S29" s="1243"/>
      <c r="T29" s="1243"/>
      <c r="U29" s="1728"/>
      <c r="V29" s="1728"/>
      <c r="W29" s="1728"/>
      <c r="X29" s="1728"/>
      <c r="Y29" s="1728"/>
      <c r="Z29" s="1728"/>
      <c r="AA29" s="1728"/>
      <c r="AB29" s="1728"/>
      <c r="AC29" s="1728"/>
      <c r="AD29" s="1728"/>
      <c r="AE29" s="1728"/>
      <c r="AF29" s="1728"/>
      <c r="AG29" s="1728"/>
      <c r="AH29" s="1760"/>
      <c r="AI29" s="49"/>
      <c r="AJ29" s="50"/>
      <c r="AK29" s="49"/>
      <c r="AL29" s="1761"/>
      <c r="AM29" s="114"/>
    </row>
    <row r="30" spans="1:39">
      <c r="A30" s="1729" t="s">
        <v>600</v>
      </c>
      <c r="B30" s="1728">
        <f t="shared" ref="B30:N30" si="22">B7-B11-B14</f>
        <v>13.751000000000019</v>
      </c>
      <c r="C30" s="1728">
        <f t="shared" si="22"/>
        <v>23.797999999999988</v>
      </c>
      <c r="D30" s="1728">
        <f t="shared" si="22"/>
        <v>45.993000000000023</v>
      </c>
      <c r="E30" s="1728">
        <f t="shared" si="22"/>
        <v>84.124999999999986</v>
      </c>
      <c r="F30" s="1728">
        <f t="shared" si="22"/>
        <v>166.95800000000003</v>
      </c>
      <c r="G30" s="1728">
        <f t="shared" si="22"/>
        <v>242.06399999999991</v>
      </c>
      <c r="H30" s="1728">
        <f t="shared" si="22"/>
        <v>253.65199999999999</v>
      </c>
      <c r="I30" s="1728">
        <f t="shared" si="22"/>
        <v>271.45799999999997</v>
      </c>
      <c r="J30" s="1728">
        <f t="shared" si="22"/>
        <v>311.75599999999974</v>
      </c>
      <c r="K30" s="1728">
        <f t="shared" si="22"/>
        <v>330.20100000000036</v>
      </c>
      <c r="L30" s="1763">
        <f t="shared" si="22"/>
        <v>376.04499999999996</v>
      </c>
      <c r="M30" s="1763">
        <f t="shared" si="22"/>
        <v>550.70400000000018</v>
      </c>
      <c r="N30" s="1763">
        <f t="shared" si="22"/>
        <v>572.29200000000014</v>
      </c>
      <c r="O30" s="1763">
        <f t="shared" ref="O30:V30" si="23">O7-O11-O14</f>
        <v>648.10499999999979</v>
      </c>
      <c r="P30" s="1763">
        <f t="shared" si="23"/>
        <v>688.00599999999986</v>
      </c>
      <c r="Q30" s="1763">
        <f t="shared" si="23"/>
        <v>728.76299999999969</v>
      </c>
      <c r="R30" s="1763">
        <f>R7-R11-R14</f>
        <v>767.20800000000008</v>
      </c>
      <c r="S30" s="1728">
        <f t="shared" si="23"/>
        <v>493.48299999999995</v>
      </c>
      <c r="T30" s="1728">
        <f>T7-T11-T14</f>
        <v>137.577</v>
      </c>
      <c r="U30" s="1728">
        <f t="shared" si="23"/>
        <v>241.72199999999975</v>
      </c>
      <c r="V30" s="1728">
        <f t="shared" si="23"/>
        <v>336.49600000000009</v>
      </c>
      <c r="W30" s="1728">
        <f t="shared" ref="W30:AB30" si="24">W7-W11-W14</f>
        <v>362.30000000000064</v>
      </c>
      <c r="X30" s="1728">
        <f>X7-X11-X14</f>
        <v>200.62199999999984</v>
      </c>
      <c r="Y30" s="1728">
        <f t="shared" si="24"/>
        <v>176.48900000000003</v>
      </c>
      <c r="Z30" s="1728">
        <f t="shared" si="24"/>
        <v>127.83740000000034</v>
      </c>
      <c r="AA30" s="1728">
        <f>AA7-AA11-AA14</f>
        <v>-10.66800000000012</v>
      </c>
      <c r="AB30" s="1728">
        <f t="shared" si="24"/>
        <v>84.573000000000093</v>
      </c>
      <c r="AC30" s="1728">
        <f>AC7-AC11-AC14</f>
        <v>56.551972549058519</v>
      </c>
      <c r="AD30" s="1728">
        <f>AD7-AD11-AD14</f>
        <v>51.81559601711956</v>
      </c>
      <c r="AE30" s="1728">
        <f>AE7-AE11-AE14</f>
        <v>47.011744380650043</v>
      </c>
      <c r="AF30" s="1728">
        <f>AF7-AF11-AF14</f>
        <v>42.52386103485037</v>
      </c>
      <c r="AG30" s="1784">
        <f>AG7-AG11-AG14</f>
        <v>42.405264165926383</v>
      </c>
      <c r="AH30" s="1728"/>
      <c r="AI30" s="49">
        <f>((AB30/W30)^(1/5)-1)*100</f>
        <v>-25.246302214072912</v>
      </c>
      <c r="AJ30" s="79" t="s">
        <v>76</v>
      </c>
      <c r="AK30" s="49">
        <f>((AG30/AB30)^(1/5)-1)*100</f>
        <v>-12.896098646157995</v>
      </c>
      <c r="AL30" s="1758" t="s">
        <v>76</v>
      </c>
      <c r="AM30" s="114"/>
    </row>
    <row r="31" spans="1:39">
      <c r="A31" s="1729" t="s">
        <v>25</v>
      </c>
      <c r="B31" s="1173">
        <f t="shared" ref="B31:S31" si="25">B30/B$7</f>
        <v>8.3106192925306674E-2</v>
      </c>
      <c r="C31" s="1173">
        <f t="shared" si="25"/>
        <v>0.10098489766993829</v>
      </c>
      <c r="D31" s="1173">
        <f t="shared" si="25"/>
        <v>0.13714025022959586</v>
      </c>
      <c r="E31" s="1173">
        <f t="shared" si="25"/>
        <v>0.16127733566965799</v>
      </c>
      <c r="F31" s="1173">
        <f t="shared" si="25"/>
        <v>0.20735487717032219</v>
      </c>
      <c r="G31" s="1173">
        <f t="shared" si="25"/>
        <v>0.2348179865704102</v>
      </c>
      <c r="H31" s="1173">
        <f t="shared" si="25"/>
        <v>0.20495408870688844</v>
      </c>
      <c r="I31" s="1173">
        <f t="shared" si="25"/>
        <v>0.1988917487817369</v>
      </c>
      <c r="J31" s="1173">
        <f t="shared" si="25"/>
        <v>0.19536558511101615</v>
      </c>
      <c r="K31" s="1173">
        <f t="shared" si="25"/>
        <v>0.19334773385079967</v>
      </c>
      <c r="L31" s="1759">
        <f t="shared" si="25"/>
        <v>0.18604539558115901</v>
      </c>
      <c r="M31" s="1759">
        <f>M30/M$7</f>
        <v>0.19775983935137259</v>
      </c>
      <c r="N31" s="1759">
        <f>N30/N$7</f>
        <v>0.20674064108918405</v>
      </c>
      <c r="O31" s="1759">
        <f t="shared" si="25"/>
        <v>0.19532071709665416</v>
      </c>
      <c r="P31" s="1759">
        <f t="shared" si="25"/>
        <v>0.209491208753733</v>
      </c>
      <c r="Q31" s="1785">
        <f t="shared" si="25"/>
        <v>0.19434472926495394</v>
      </c>
      <c r="R31" s="1759">
        <f t="shared" si="25"/>
        <v>0.20737279357864627</v>
      </c>
      <c r="S31" s="1173">
        <f t="shared" si="25"/>
        <v>0.14164033481656585</v>
      </c>
      <c r="T31" s="1173">
        <f t="shared" ref="T31:Z31" si="26">T30/T$7</f>
        <v>4.6976652866106104E-2</v>
      </c>
      <c r="U31" s="1173">
        <f t="shared" si="26"/>
        <v>6.9685099297273664E-2</v>
      </c>
      <c r="V31" s="1173">
        <f t="shared" si="26"/>
        <v>8.0926240086117152E-2</v>
      </c>
      <c r="W31" s="1173">
        <f t="shared" si="26"/>
        <v>8.0318258049284025E-2</v>
      </c>
      <c r="X31" s="1173">
        <f t="shared" si="26"/>
        <v>4.8731362480042575E-2</v>
      </c>
      <c r="Y31" s="1173">
        <f t="shared" si="26"/>
        <v>4.713877826833654E-2</v>
      </c>
      <c r="Z31" s="1173">
        <f t="shared" si="26"/>
        <v>3.6331067332067798E-2</v>
      </c>
      <c r="AA31" s="1173">
        <f t="shared" ref="AA31:AF31" si="27">AA30/AA$7</f>
        <v>-3.2067429375304715E-3</v>
      </c>
      <c r="AB31" s="1173">
        <f t="shared" si="27"/>
        <v>2.4214287554864614E-2</v>
      </c>
      <c r="AC31" s="1173">
        <f t="shared" si="27"/>
        <v>1.6121500499407679E-2</v>
      </c>
      <c r="AD31" s="1173">
        <f t="shared" si="27"/>
        <v>1.4800000000000025E-2</v>
      </c>
      <c r="AE31" s="1173">
        <f t="shared" si="27"/>
        <v>1.3499999999999986E-2</v>
      </c>
      <c r="AF31" s="1173">
        <f t="shared" si="27"/>
        <v>1.2300000000000037E-2</v>
      </c>
      <c r="AG31" s="1173">
        <f t="shared" ref="AG31" si="28">AG30/AG$7</f>
        <v>1.2299999999999933E-2</v>
      </c>
      <c r="AH31" s="1760"/>
      <c r="AI31" s="49"/>
      <c r="AJ31" s="50"/>
      <c r="AK31" s="49"/>
      <c r="AL31" s="1761"/>
      <c r="AM31" s="114"/>
    </row>
    <row r="32" spans="1:39">
      <c r="A32" s="1729"/>
      <c r="B32" s="1728"/>
      <c r="C32" s="1728"/>
      <c r="D32" s="1728"/>
      <c r="E32" s="1728"/>
      <c r="F32" s="1728"/>
      <c r="G32" s="1728"/>
      <c r="H32" s="1728"/>
      <c r="I32" s="1728"/>
      <c r="J32" s="1728"/>
      <c r="K32" s="1728"/>
      <c r="L32" s="1763"/>
      <c r="M32" s="1763"/>
      <c r="N32" s="1763"/>
      <c r="O32" s="1763"/>
      <c r="P32" s="1763"/>
      <c r="Q32" s="1763"/>
      <c r="R32" s="1763"/>
      <c r="S32" s="1728"/>
      <c r="T32" s="1728"/>
      <c r="U32" s="1728"/>
      <c r="V32" s="1728"/>
      <c r="W32" s="1728"/>
      <c r="X32" s="1728"/>
      <c r="Y32" s="1728"/>
      <c r="Z32" s="1728"/>
      <c r="AA32" s="1728"/>
      <c r="AB32" s="1728"/>
      <c r="AC32" s="1728"/>
      <c r="AD32" s="1728"/>
      <c r="AE32" s="1728"/>
      <c r="AF32" s="1728"/>
      <c r="AG32" s="1728"/>
      <c r="AH32" s="1760"/>
      <c r="AI32" s="49"/>
      <c r="AJ32" s="50"/>
      <c r="AK32" s="49"/>
      <c r="AL32" s="1761"/>
      <c r="AM32" s="114"/>
    </row>
    <row r="33" spans="1:39">
      <c r="A33" s="1729" t="s">
        <v>743</v>
      </c>
      <c r="B33" s="1728">
        <f>'qtrP&amp;L'!D94</f>
        <v>-5.2720000000000002</v>
      </c>
      <c r="C33" s="1728">
        <f>'qtrP&amp;L'!H94</f>
        <v>-5.7289999999999992</v>
      </c>
      <c r="D33" s="1728">
        <f>'qtrP&amp;L'!L94</f>
        <v>-5.016</v>
      </c>
      <c r="E33" s="1728">
        <f>'qtrP&amp;L'!P94</f>
        <v>-3.5830000000000002</v>
      </c>
      <c r="F33" s="1728">
        <f>'qtrP&amp;L'!T94</f>
        <v>3.1440000000000001</v>
      </c>
      <c r="G33" s="1728">
        <f>'qtrP&amp;L'!X94</f>
        <v>7.2709999999999999</v>
      </c>
      <c r="H33" s="1728">
        <f>'qtrP&amp;L'!AB94</f>
        <v>7.8010000000000002</v>
      </c>
      <c r="I33" s="1728">
        <f>'qtrP&amp;L'!AF94</f>
        <v>5.0640000000000001</v>
      </c>
      <c r="J33" s="1728">
        <f>'qtrP&amp;L'!AJ94</f>
        <v>3.7690000000000001</v>
      </c>
      <c r="K33" s="1728">
        <f>+'qtrP&amp;L'!AN94</f>
        <v>3.7080000000000002</v>
      </c>
      <c r="L33" s="1763">
        <f>+'qtrP&amp;L'!AR94</f>
        <v>5.2149999999999999</v>
      </c>
      <c r="M33" s="1763">
        <f>'qtrP&amp;L'!AV94</f>
        <v>6.6720000000000006</v>
      </c>
      <c r="N33" s="1763">
        <v>6.6719999999999997</v>
      </c>
      <c r="O33" s="1763">
        <f>'qtrP&amp;L'!AZ94</f>
        <v>13.897</v>
      </c>
      <c r="P33" s="1763">
        <v>13.896000000000001</v>
      </c>
      <c r="Q33" s="1763">
        <f>+'qtrP&amp;L'!BD94</f>
        <v>18.827999999999999</v>
      </c>
      <c r="R33" s="1763">
        <v>18.827000000000002</v>
      </c>
      <c r="S33" s="1728">
        <f>+'qtrP&amp;L'!BH94</f>
        <v>11.382000000000001</v>
      </c>
      <c r="T33" s="1728">
        <f>'qtrP&amp;L'!BL94</f>
        <v>1.5990000000000002</v>
      </c>
      <c r="U33" s="1728">
        <f>'qtrP&amp;L'!BP94</f>
        <v>-3.3609999999999998</v>
      </c>
      <c r="V33" s="1728">
        <f>+'qtrP&amp;L'!BT94</f>
        <v>-3.577</v>
      </c>
      <c r="W33" s="1728">
        <f>+'qtrP&amp;L'!BX94</f>
        <v>-7.2879999999999994</v>
      </c>
      <c r="X33" s="1728">
        <f>+'qtrP&amp;L'!CB94</f>
        <v>-7.5460000000000003</v>
      </c>
      <c r="Y33" s="1728">
        <f>'qtrP&amp;L'!CF94</f>
        <v>-14.365</v>
      </c>
      <c r="Z33" s="1728">
        <f>'qtrP&amp;L'!CJ94</f>
        <v>-18.248000000000001</v>
      </c>
      <c r="AA33" s="1728">
        <f>'qtrP&amp;L'!CN94</f>
        <v>-18.666</v>
      </c>
      <c r="AB33" s="1728">
        <f>'qtrP&amp;L'!CR94</f>
        <v>-16.888999999999999</v>
      </c>
      <c r="AC33" s="2211">
        <f>'qtrP&amp;L'!CV94</f>
        <v>-16.436</v>
      </c>
      <c r="AD33" s="1775">
        <f>AC33</f>
        <v>-16.436</v>
      </c>
      <c r="AE33" s="1775">
        <f>AD33</f>
        <v>-16.436</v>
      </c>
      <c r="AF33" s="1775">
        <f>AE33</f>
        <v>-16.436</v>
      </c>
      <c r="AG33" s="1775">
        <f>AF33</f>
        <v>-16.436</v>
      </c>
      <c r="AH33" s="1760"/>
      <c r="AI33" s="49">
        <f>((AB33/W33)^(1/5)-1)*100</f>
        <v>18.303914315933255</v>
      </c>
      <c r="AJ33" s="79" t="s">
        <v>76</v>
      </c>
      <c r="AK33" s="49">
        <f>((AG33/AB33)^(1/5)-1)*100</f>
        <v>-0.54229367844053078</v>
      </c>
      <c r="AL33" s="1758" t="s">
        <v>76</v>
      </c>
      <c r="AM33" s="114"/>
    </row>
    <row r="34" spans="1:39">
      <c r="A34" s="1729" t="s">
        <v>94</v>
      </c>
      <c r="B34" s="1173">
        <f t="shared" ref="B34:T34" si="29">B33/B$7</f>
        <v>-3.1862108145023355E-2</v>
      </c>
      <c r="C34" s="1173">
        <f t="shared" si="29"/>
        <v>-2.4310550413945572E-2</v>
      </c>
      <c r="D34" s="1173">
        <f t="shared" si="29"/>
        <v>-1.4956525887671003E-2</v>
      </c>
      <c r="E34" s="1173">
        <f t="shared" si="29"/>
        <v>-6.8690245908396399E-3</v>
      </c>
      <c r="F34" s="1173">
        <f t="shared" si="29"/>
        <v>3.9047169576988993E-3</v>
      </c>
      <c r="G34" s="1173">
        <f t="shared" si="29"/>
        <v>7.0533477937795505E-3</v>
      </c>
      <c r="H34" s="1173">
        <f t="shared" si="29"/>
        <v>6.3033086512325424E-3</v>
      </c>
      <c r="I34" s="1173">
        <f t="shared" si="29"/>
        <v>3.7102896795479074E-3</v>
      </c>
      <c r="J34" s="1173">
        <f t="shared" si="29"/>
        <v>2.361888432887965E-3</v>
      </c>
      <c r="K34" s="1173">
        <f t="shared" si="29"/>
        <v>2.1712029858139874E-3</v>
      </c>
      <c r="L34" s="1759">
        <f t="shared" si="29"/>
        <v>2.5800814741739533E-3</v>
      </c>
      <c r="M34" s="1759">
        <f t="shared" si="29"/>
        <v>2.3959398300218587E-3</v>
      </c>
      <c r="N34" s="1759">
        <f t="shared" si="29"/>
        <v>2.4102618197476737E-3</v>
      </c>
      <c r="O34" s="1759">
        <f t="shared" si="29"/>
        <v>4.1881670493086826E-3</v>
      </c>
      <c r="P34" s="1759">
        <f t="shared" si="29"/>
        <v>4.2311983279824227E-3</v>
      </c>
      <c r="Q34" s="1759">
        <f t="shared" si="29"/>
        <v>5.0210048569981659E-3</v>
      </c>
      <c r="R34" s="1759">
        <f t="shared" si="29"/>
        <v>5.0888515040317271E-3</v>
      </c>
      <c r="S34" s="1173">
        <f t="shared" si="29"/>
        <v>3.266881110154054E-3</v>
      </c>
      <c r="T34" s="1173">
        <f t="shared" si="29"/>
        <v>5.459900123778224E-4</v>
      </c>
      <c r="U34" s="1173">
        <f t="shared" ref="U34:Z34" si="30">U33/U$7</f>
        <v>-9.6892967432892754E-4</v>
      </c>
      <c r="V34" s="1173">
        <f t="shared" si="30"/>
        <v>-8.6025736052743854E-4</v>
      </c>
      <c r="W34" s="1173">
        <f t="shared" si="30"/>
        <v>-1.6156761376295359E-3</v>
      </c>
      <c r="X34" s="1173">
        <f t="shared" si="30"/>
        <v>-1.8329338819989911E-3</v>
      </c>
      <c r="Y34" s="1173">
        <f t="shared" si="30"/>
        <v>-3.8367748121676377E-3</v>
      </c>
      <c r="Z34" s="1173">
        <f t="shared" si="30"/>
        <v>-5.1860356724680841E-3</v>
      </c>
      <c r="AA34" s="1173">
        <f t="shared" ref="AA34:AF34" si="31">AA33/AA$7</f>
        <v>-5.6108983569500481E-3</v>
      </c>
      <c r="AB34" s="1173">
        <f t="shared" si="31"/>
        <v>-4.835527916877822E-3</v>
      </c>
      <c r="AC34" s="1173">
        <f t="shared" si="31"/>
        <v>-4.6854772745265789E-3</v>
      </c>
      <c r="AD34" s="1173">
        <f t="shared" si="31"/>
        <v>-4.6945865472556017E-3</v>
      </c>
      <c r="AE34" s="1173">
        <f t="shared" si="31"/>
        <v>-4.7197993378719997E-3</v>
      </c>
      <c r="AF34" s="1173">
        <f t="shared" si="31"/>
        <v>-4.7541026397936535E-3</v>
      </c>
      <c r="AG34" s="1173">
        <f t="shared" ref="AG34" si="32">AG33/AG$7</f>
        <v>-4.7673986703387029E-3</v>
      </c>
      <c r="AH34" s="1760"/>
      <c r="AI34" s="49"/>
      <c r="AJ34" s="50"/>
      <c r="AK34" s="49"/>
      <c r="AL34" s="1761"/>
      <c r="AM34" s="114"/>
    </row>
    <row r="35" spans="1:39">
      <c r="A35" s="1729"/>
      <c r="B35" s="1728"/>
      <c r="C35" s="1728"/>
      <c r="D35" s="1728"/>
      <c r="E35" s="1728"/>
      <c r="F35" s="1728"/>
      <c r="G35" s="1728"/>
      <c r="H35" s="1728"/>
      <c r="I35" s="1728"/>
      <c r="J35" s="1728"/>
      <c r="K35" s="1728"/>
      <c r="L35" s="1763"/>
      <c r="M35" s="1763"/>
      <c r="N35" s="1763"/>
      <c r="O35" s="1763"/>
      <c r="P35" s="1763"/>
      <c r="Q35" s="1763"/>
      <c r="R35" s="1763"/>
      <c r="S35" s="1728"/>
      <c r="T35" s="1728"/>
      <c r="U35" s="1728"/>
      <c r="V35" s="1728"/>
      <c r="W35" s="1728"/>
      <c r="X35" s="1728"/>
      <c r="Y35" s="1728"/>
      <c r="Z35" s="1728"/>
      <c r="AA35" s="1728"/>
      <c r="AB35" s="1728"/>
      <c r="AC35" s="1728"/>
      <c r="AD35" s="1728"/>
      <c r="AE35" s="1728"/>
      <c r="AF35" s="1728"/>
      <c r="AG35" s="1728"/>
      <c r="AH35" s="1760"/>
      <c r="AI35" s="49"/>
      <c r="AJ35" s="50"/>
      <c r="AK35" s="49"/>
      <c r="AL35" s="1761"/>
      <c r="AM35" s="114"/>
    </row>
    <row r="36" spans="1:39">
      <c r="A36" s="1729" t="s">
        <v>745</v>
      </c>
      <c r="B36" s="1728"/>
      <c r="C36" s="1728"/>
      <c r="D36" s="1728"/>
      <c r="E36" s="1728"/>
      <c r="F36" s="1728"/>
      <c r="G36" s="1728"/>
      <c r="H36" s="1728"/>
      <c r="I36" s="1728"/>
      <c r="J36" s="1728">
        <f>'qtrP&amp;L'!AJ104</f>
        <v>0.55900000000000005</v>
      </c>
      <c r="K36" s="1728">
        <f>'qtrP&amp;L'!AN104</f>
        <v>0.97900000000000009</v>
      </c>
      <c r="L36" s="1763">
        <f>'qtrP&amp;L'!AR104</f>
        <v>4.49</v>
      </c>
      <c r="M36" s="1763">
        <f>'qtrP&amp;L'!AV104</f>
        <v>5.5340000000000007</v>
      </c>
      <c r="N36" s="1763">
        <v>5.5250000000000004</v>
      </c>
      <c r="O36" s="1763">
        <f>'qtrP&amp;L'!AZ104</f>
        <v>9.9839999999999982</v>
      </c>
      <c r="P36" s="1763">
        <v>9.9830000000000005</v>
      </c>
      <c r="Q36" s="1763">
        <f>'qtrP&amp;L'!$BD$104</f>
        <v>11.734</v>
      </c>
      <c r="R36" s="1763">
        <v>11.702</v>
      </c>
      <c r="S36" s="1728">
        <f>'qtrP&amp;L'!BH104</f>
        <v>8.7789999999999999</v>
      </c>
      <c r="T36" s="1728">
        <f>'qtrP&amp;L'!$BL$104</f>
        <v>13.533999999999999</v>
      </c>
      <c r="U36" s="1728">
        <f>'qtrP&amp;L'!$BP$104</f>
        <v>10.055</v>
      </c>
      <c r="V36" s="1728">
        <f>+'qtrP&amp;L'!BT104</f>
        <v>9.9690000000000012</v>
      </c>
      <c r="W36" s="1728">
        <f>+'qtrP&amp;L'!BX104</f>
        <v>19.332999999999998</v>
      </c>
      <c r="X36" s="1728">
        <f>+'qtrP&amp;L'!CB104</f>
        <v>23.073999999999998</v>
      </c>
      <c r="Y36" s="1728">
        <f>'qtrP&amp;L'!CF104</f>
        <v>15.224</v>
      </c>
      <c r="Z36" s="1728">
        <f>'qtrP&amp;L'!CJ104</f>
        <v>8.652000000000001</v>
      </c>
      <c r="AA36" s="1728">
        <f>'qtrP&amp;L'!CN104</f>
        <v>13.93</v>
      </c>
      <c r="AB36" s="1728">
        <f>'qtrP&amp;L'!CR104</f>
        <v>16.207999999999998</v>
      </c>
      <c r="AC36" s="2211">
        <f>'qtrP&amp;L'!CV104</f>
        <v>4</v>
      </c>
      <c r="AD36" s="1775">
        <f>AC36</f>
        <v>4</v>
      </c>
      <c r="AE36" s="1775">
        <f>AD36</f>
        <v>4</v>
      </c>
      <c r="AF36" s="1775">
        <f>AE36</f>
        <v>4</v>
      </c>
      <c r="AG36" s="1775">
        <f>AF36</f>
        <v>4</v>
      </c>
      <c r="AH36" s="1760"/>
      <c r="AI36" s="49"/>
      <c r="AJ36" s="50"/>
      <c r="AK36" s="49"/>
      <c r="AL36" s="1761"/>
      <c r="AM36" s="114"/>
    </row>
    <row r="37" spans="1:39">
      <c r="A37" s="1729" t="s">
        <v>94</v>
      </c>
      <c r="B37" s="1728"/>
      <c r="C37" s="1728"/>
      <c r="D37" s="1728"/>
      <c r="E37" s="1728"/>
      <c r="F37" s="1728"/>
      <c r="G37" s="1728"/>
      <c r="H37" s="1728"/>
      <c r="I37" s="1728"/>
      <c r="J37" s="1173">
        <f t="shared" ref="J37:Z37" si="33">J36/J$7</f>
        <v>3.5030396232007762E-4</v>
      </c>
      <c r="K37" s="1173">
        <f t="shared" si="33"/>
        <v>5.7324911626534345E-4</v>
      </c>
      <c r="L37" s="1759">
        <f t="shared" si="33"/>
        <v>2.2213932538909017E-3</v>
      </c>
      <c r="M37" s="1759">
        <f t="shared" si="33"/>
        <v>1.9872798290379145E-3</v>
      </c>
      <c r="N37" s="1759">
        <f t="shared" si="33"/>
        <v>1.9959077569103563E-3</v>
      </c>
      <c r="O37" s="1759">
        <f t="shared" si="33"/>
        <v>3.0088983104481458E-3</v>
      </c>
      <c r="P37" s="1759">
        <f t="shared" si="33"/>
        <v>3.039727468929802E-3</v>
      </c>
      <c r="Q37" s="1759">
        <f t="shared" si="33"/>
        <v>3.1291943377956487E-3</v>
      </c>
      <c r="R37" s="1759">
        <f t="shared" si="33"/>
        <v>3.1629967759164634E-3</v>
      </c>
      <c r="S37" s="1173">
        <f t="shared" si="33"/>
        <v>2.5197635974382742E-3</v>
      </c>
      <c r="T37" s="1173">
        <f t="shared" si="33"/>
        <v>4.6212813180246696E-3</v>
      </c>
      <c r="U37" s="1173">
        <f t="shared" si="33"/>
        <v>2.8987170114184368E-3</v>
      </c>
      <c r="V37" s="1173">
        <f t="shared" si="33"/>
        <v>2.3975134545982765E-3</v>
      </c>
      <c r="W37" s="1173">
        <f t="shared" si="33"/>
        <v>4.2859312251360892E-3</v>
      </c>
      <c r="X37" s="1173">
        <f t="shared" si="33"/>
        <v>5.6047066516359285E-3</v>
      </c>
      <c r="Y37" s="1173">
        <f t="shared" si="33"/>
        <v>4.066206734454585E-3</v>
      </c>
      <c r="Z37" s="1173">
        <f t="shared" si="33"/>
        <v>2.4588766241886162E-3</v>
      </c>
      <c r="AA37" s="1173">
        <f t="shared" ref="AA37:AF37" si="34">AA36/AA$7</f>
        <v>4.1872824446755686E-3</v>
      </c>
      <c r="AB37" s="1173">
        <f t="shared" si="34"/>
        <v>4.6405492614575005E-3</v>
      </c>
      <c r="AC37" s="1173">
        <f t="shared" si="34"/>
        <v>1.1402962459300509E-3</v>
      </c>
      <c r="AD37" s="1173">
        <f t="shared" si="34"/>
        <v>1.1425131533841814E-3</v>
      </c>
      <c r="AE37" s="1173">
        <f t="shared" si="34"/>
        <v>1.1486491452596739E-3</v>
      </c>
      <c r="AF37" s="1173">
        <f t="shared" si="34"/>
        <v>1.1569974786550627E-3</v>
      </c>
      <c r="AG37" s="1173">
        <f t="shared" ref="AG37" si="35">AG36/AG$7</f>
        <v>1.1602333098901687E-3</v>
      </c>
      <c r="AH37" s="1760"/>
      <c r="AI37" s="49"/>
      <c r="AJ37" s="50"/>
      <c r="AK37" s="49"/>
      <c r="AL37" s="1761"/>
      <c r="AM37" s="114"/>
    </row>
    <row r="38" spans="1:39">
      <c r="A38" s="1729"/>
      <c r="B38" s="1728"/>
      <c r="C38" s="1728"/>
      <c r="D38" s="1728"/>
      <c r="E38" s="1728"/>
      <c r="F38" s="1728"/>
      <c r="G38" s="1728"/>
      <c r="H38" s="1728"/>
      <c r="I38" s="1728"/>
      <c r="J38" s="1728"/>
      <c r="K38" s="1728"/>
      <c r="L38" s="1763"/>
      <c r="M38" s="1763"/>
      <c r="N38" s="1763"/>
      <c r="O38" s="1763"/>
      <c r="P38" s="1763"/>
      <c r="Q38" s="1763"/>
      <c r="R38" s="1763"/>
      <c r="S38" s="1728"/>
      <c r="T38" s="1728"/>
      <c r="U38" s="1728"/>
      <c r="V38" s="1728"/>
      <c r="W38" s="1728"/>
      <c r="X38" s="1728"/>
      <c r="Y38" s="1728"/>
      <c r="Z38" s="1728"/>
      <c r="AA38" s="1728"/>
      <c r="AB38" s="1728"/>
      <c r="AC38" s="1728"/>
      <c r="AD38" s="1728"/>
      <c r="AE38" s="1728"/>
      <c r="AF38" s="1728"/>
      <c r="AG38" s="1728"/>
      <c r="AH38" s="1760"/>
      <c r="AI38" s="49"/>
      <c r="AJ38" s="50"/>
      <c r="AK38" s="49"/>
      <c r="AL38" s="1761"/>
      <c r="AM38" s="114"/>
    </row>
    <row r="39" spans="1:39">
      <c r="A39" s="1729" t="s">
        <v>601</v>
      </c>
      <c r="B39" s="1728">
        <f t="shared" ref="B39:I39" si="36">B30+B33</f>
        <v>8.4790000000000187</v>
      </c>
      <c r="C39" s="1728">
        <f t="shared" si="36"/>
        <v>18.068999999999988</v>
      </c>
      <c r="D39" s="1728">
        <f t="shared" si="36"/>
        <v>40.977000000000025</v>
      </c>
      <c r="E39" s="1728">
        <f t="shared" si="36"/>
        <v>80.541999999999987</v>
      </c>
      <c r="F39" s="1728">
        <f t="shared" si="36"/>
        <v>170.10200000000003</v>
      </c>
      <c r="G39" s="1728">
        <f t="shared" si="36"/>
        <v>249.33499999999989</v>
      </c>
      <c r="H39" s="1728">
        <f t="shared" si="36"/>
        <v>261.45299999999997</v>
      </c>
      <c r="I39" s="1728">
        <f t="shared" si="36"/>
        <v>276.52199999999999</v>
      </c>
      <c r="J39" s="1728">
        <f t="shared" ref="J39:W39" si="37">J30+J33+J36</f>
        <v>316.08399999999978</v>
      </c>
      <c r="K39" s="1728">
        <f t="shared" si="37"/>
        <v>334.88800000000037</v>
      </c>
      <c r="L39" s="1763">
        <f t="shared" si="37"/>
        <v>385.74999999999994</v>
      </c>
      <c r="M39" s="1763">
        <f t="shared" si="37"/>
        <v>562.9100000000002</v>
      </c>
      <c r="N39" s="1763">
        <f t="shared" si="37"/>
        <v>584.48900000000015</v>
      </c>
      <c r="O39" s="1763">
        <f t="shared" si="37"/>
        <v>671.98599999999988</v>
      </c>
      <c r="P39" s="1763">
        <f t="shared" si="37"/>
        <v>711.88499999999976</v>
      </c>
      <c r="Q39" s="1763">
        <f t="shared" si="37"/>
        <v>759.3249999999997</v>
      </c>
      <c r="R39" s="1763">
        <f>R30+R33+R36</f>
        <v>797.73700000000008</v>
      </c>
      <c r="S39" s="1728">
        <f t="shared" si="37"/>
        <v>513.64400000000001</v>
      </c>
      <c r="T39" s="1728">
        <f t="shared" si="37"/>
        <v>152.70999999999998</v>
      </c>
      <c r="U39" s="1728">
        <f t="shared" si="37"/>
        <v>248.41599999999977</v>
      </c>
      <c r="V39" s="1728">
        <f t="shared" si="37"/>
        <v>342.88800000000009</v>
      </c>
      <c r="W39" s="1728">
        <f t="shared" si="37"/>
        <v>374.3450000000006</v>
      </c>
      <c r="X39" s="1728">
        <f t="shared" ref="X39:AC39" si="38">X30+X33+X36</f>
        <v>216.14999999999986</v>
      </c>
      <c r="Y39" s="1728">
        <f t="shared" si="38"/>
        <v>177.34800000000001</v>
      </c>
      <c r="Z39" s="1728">
        <f t="shared" si="38"/>
        <v>118.24140000000034</v>
      </c>
      <c r="AA39" s="1728">
        <f t="shared" si="38"/>
        <v>-15.404000000000121</v>
      </c>
      <c r="AB39" s="1728">
        <f t="shared" si="38"/>
        <v>83.892000000000095</v>
      </c>
      <c r="AC39" s="1728">
        <f t="shared" si="38"/>
        <v>44.115972549058519</v>
      </c>
      <c r="AD39" s="1728">
        <f>AD30+AD33+AD36</f>
        <v>39.37959601711956</v>
      </c>
      <c r="AE39" s="1728">
        <f>AE30+AE33+AE36</f>
        <v>34.575744380650043</v>
      </c>
      <c r="AF39" s="1728">
        <f>AF30+AF33+AF36</f>
        <v>30.08786103485037</v>
      </c>
      <c r="AG39" s="1728">
        <f>AG30+AG33+AG36</f>
        <v>29.969264165926383</v>
      </c>
      <c r="AH39" s="1760"/>
      <c r="AI39" s="49">
        <f>((AB39/W39)^(1/5)-1)*100</f>
        <v>-25.85366273807902</v>
      </c>
      <c r="AJ39" s="79" t="s">
        <v>76</v>
      </c>
      <c r="AK39" s="49">
        <f>((AG39/AB39)^(1/5)-1)*100</f>
        <v>-18.606240922552175</v>
      </c>
      <c r="AL39" s="1758" t="s">
        <v>76</v>
      </c>
      <c r="AM39" s="114"/>
    </row>
    <row r="40" spans="1:39">
      <c r="A40" s="1729" t="s">
        <v>107</v>
      </c>
      <c r="B40" s="1173">
        <f t="shared" ref="B40:S40" si="39">B39/B$7</f>
        <v>5.1244084780283312E-2</v>
      </c>
      <c r="C40" s="1173">
        <f t="shared" si="39"/>
        <v>7.6674347255992717E-2</v>
      </c>
      <c r="D40" s="1173">
        <f t="shared" si="39"/>
        <v>0.12218372434192486</v>
      </c>
      <c r="E40" s="1173">
        <f t="shared" si="39"/>
        <v>0.15440831107881836</v>
      </c>
      <c r="F40" s="1173">
        <f t="shared" si="39"/>
        <v>0.21125959412802109</v>
      </c>
      <c r="G40" s="1173">
        <f t="shared" si="39"/>
        <v>0.24187133436418973</v>
      </c>
      <c r="H40" s="1173">
        <f t="shared" si="39"/>
        <v>0.21125739735812099</v>
      </c>
      <c r="I40" s="1173">
        <f t="shared" si="39"/>
        <v>0.20260203846128483</v>
      </c>
      <c r="J40" s="1173">
        <f t="shared" si="39"/>
        <v>0.19807777750622421</v>
      </c>
      <c r="K40" s="1173">
        <f t="shared" si="39"/>
        <v>0.196092185952879</v>
      </c>
      <c r="L40" s="1759">
        <f t="shared" si="39"/>
        <v>0.19084687030922387</v>
      </c>
      <c r="M40" s="1759">
        <f t="shared" si="39"/>
        <v>0.20214305901043236</v>
      </c>
      <c r="N40" s="1759">
        <f t="shared" si="39"/>
        <v>0.21114681066584209</v>
      </c>
      <c r="O40" s="1759">
        <f t="shared" si="39"/>
        <v>0.20251778245641103</v>
      </c>
      <c r="P40" s="1759">
        <f t="shared" si="39"/>
        <v>0.21676213455064522</v>
      </c>
      <c r="Q40" s="1759">
        <f t="shared" si="39"/>
        <v>0.20249492845974776</v>
      </c>
      <c r="R40" s="1759">
        <f t="shared" si="39"/>
        <v>0.21562464185859445</v>
      </c>
      <c r="S40" s="1173">
        <f t="shared" si="39"/>
        <v>0.1474269795241582</v>
      </c>
      <c r="T40" s="1173">
        <f t="shared" ref="T40:Z40" si="40">T39/T$7</f>
        <v>5.2143924196508595E-2</v>
      </c>
      <c r="U40" s="1173">
        <f t="shared" si="40"/>
        <v>7.1614886634363176E-2</v>
      </c>
      <c r="V40" s="1173">
        <f t="shared" si="40"/>
        <v>8.2463496180187987E-2</v>
      </c>
      <c r="W40" s="1173">
        <f t="shared" si="40"/>
        <v>8.2988513136790565E-2</v>
      </c>
      <c r="X40" s="1173">
        <f t="shared" si="40"/>
        <v>5.250313524967952E-2</v>
      </c>
      <c r="Y40" s="1173">
        <f t="shared" si="40"/>
        <v>4.7368210190623476E-2</v>
      </c>
      <c r="Z40" s="1173">
        <f t="shared" si="40"/>
        <v>3.3603908283788335E-2</v>
      </c>
      <c r="AA40" s="1173">
        <f t="shared" ref="AA40:AF40" si="41">AA39/AA$7</f>
        <v>-4.6303588498049506E-3</v>
      </c>
      <c r="AB40" s="1173">
        <f t="shared" si="41"/>
        <v>2.4019308899444296E-2</v>
      </c>
      <c r="AC40" s="1173">
        <f t="shared" si="41"/>
        <v>1.2576319470811151E-2</v>
      </c>
      <c r="AD40" s="1173">
        <f t="shared" si="41"/>
        <v>1.1247926606128604E-2</v>
      </c>
      <c r="AE40" s="1173">
        <f t="shared" si="41"/>
        <v>9.9288498073876602E-3</v>
      </c>
      <c r="AF40" s="1173">
        <f t="shared" si="41"/>
        <v>8.7028948388614465E-3</v>
      </c>
      <c r="AG40" s="1173">
        <f t="shared" ref="AG40" si="42">AG39/AG$7</f>
        <v>8.6928346395513979E-3</v>
      </c>
      <c r="AH40" s="1760"/>
      <c r="AI40" s="49"/>
      <c r="AJ40" s="50"/>
      <c r="AK40" s="49"/>
      <c r="AL40" s="1761"/>
      <c r="AM40" s="114"/>
    </row>
    <row r="41" spans="1:39">
      <c r="A41" s="1729"/>
      <c r="B41" s="1728"/>
      <c r="C41" s="1728"/>
      <c r="D41" s="1728"/>
      <c r="E41" s="1728"/>
      <c r="F41" s="1728"/>
      <c r="G41" s="1728"/>
      <c r="H41" s="1728"/>
      <c r="I41" s="1728"/>
      <c r="J41" s="1728"/>
      <c r="K41" s="1728"/>
      <c r="L41" s="1763"/>
      <c r="M41" s="1763"/>
      <c r="N41" s="1763"/>
      <c r="O41" s="1763"/>
      <c r="P41" s="1763"/>
      <c r="Q41" s="1763"/>
      <c r="R41" s="1763"/>
      <c r="S41" s="1728"/>
      <c r="T41" s="1728"/>
      <c r="U41" s="1728"/>
      <c r="V41" s="1728"/>
      <c r="W41" s="1728"/>
      <c r="X41" s="1728"/>
      <c r="Y41" s="1728"/>
      <c r="Z41" s="1728"/>
      <c r="AA41" s="1728"/>
      <c r="AB41" s="1728"/>
      <c r="AC41" s="1728"/>
      <c r="AD41" s="1728"/>
      <c r="AE41" s="1728"/>
      <c r="AF41" s="1728"/>
      <c r="AG41" s="1728"/>
      <c r="AH41" s="1760"/>
      <c r="AI41" s="49"/>
      <c r="AJ41" s="50"/>
      <c r="AK41" s="49"/>
      <c r="AL41" s="1761"/>
      <c r="AM41" s="114"/>
    </row>
    <row r="42" spans="1:39">
      <c r="A42" s="1729" t="s">
        <v>602</v>
      </c>
      <c r="B42" s="1728">
        <f>'qtrP&amp;L'!D124</f>
        <v>3.4000000000000004</v>
      </c>
      <c r="C42" s="1728">
        <f>'qtrP&amp;L'!H124</f>
        <v>7.23</v>
      </c>
      <c r="D42" s="1728">
        <f>'qtrP&amp;L'!L124</f>
        <v>16.399999999999999</v>
      </c>
      <c r="E42" s="1728">
        <f>'qtrP&amp;L'!P124</f>
        <v>32.22</v>
      </c>
      <c r="F42" s="1728">
        <f>'qtrP&amp;L'!T124</f>
        <v>68.039999999999992</v>
      </c>
      <c r="G42" s="1728">
        <f>'qtrP&amp;L'!X124</f>
        <v>99.73360000000001</v>
      </c>
      <c r="H42" s="1728">
        <f>'qtrP&amp;L'!AB124</f>
        <v>103.32</v>
      </c>
      <c r="I42" s="1728">
        <f>'qtrP&amp;L'!AF124</f>
        <v>107.85</v>
      </c>
      <c r="J42" s="1728">
        <f>'qtrP&amp;L'!AJ124</f>
        <v>121.33</v>
      </c>
      <c r="K42" s="1728">
        <f>+'qtrP&amp;L'!AN124</f>
        <v>130.05799999999999</v>
      </c>
      <c r="L42" s="1763">
        <f>+'qtrP&amp;L'!AR124</f>
        <v>148.67599999999999</v>
      </c>
      <c r="M42" s="1763">
        <f>'qtrP&amp;L'!AV124</f>
        <v>220.69099999999997</v>
      </c>
      <c r="N42" s="1763">
        <v>229.107</v>
      </c>
      <c r="O42" s="1763">
        <f>'qtrP&amp;L'!AZ124</f>
        <v>249.80099999999999</v>
      </c>
      <c r="P42" s="1763">
        <v>265.36099999999999</v>
      </c>
      <c r="Q42" s="1763">
        <f>+'qtrP&amp;L'!BD124</f>
        <v>283.62800000000004</v>
      </c>
      <c r="R42" s="1763">
        <v>298.61</v>
      </c>
      <c r="S42" s="1728">
        <f>+'qtrP&amp;L'!BH124-1</f>
        <v>200.47399999999999</v>
      </c>
      <c r="T42" s="1728">
        <f>'qtrP&amp;L'!BL124</f>
        <v>53.838000000000008</v>
      </c>
      <c r="U42" s="1728">
        <f>78.109-18</f>
        <v>60.108999999999995</v>
      </c>
      <c r="V42" s="1728">
        <f>+'qtrP&amp;L'!BT124</f>
        <v>120.812</v>
      </c>
      <c r="W42" s="1728">
        <f>+'qtrP&amp;L'!BX124</f>
        <v>132.749</v>
      </c>
      <c r="X42" s="1728">
        <f>+'qtrP&amp;L'!CB124</f>
        <v>64.611999999999995</v>
      </c>
      <c r="Y42" s="1728">
        <f>'qtrP&amp;L'!CF124</f>
        <v>65.018999999999991</v>
      </c>
      <c r="Z42" s="1728">
        <f>'qtrP&amp;L'!CJ124</f>
        <v>37.216999999999999</v>
      </c>
      <c r="AA42" s="1728">
        <f>'qtrP&amp;L'!CN124</f>
        <v>-15.096</v>
      </c>
      <c r="AB42" s="1728">
        <f>'qtrP&amp;L'!CR124</f>
        <v>35.455999999999996</v>
      </c>
      <c r="AC42" s="1728">
        <f>'qtrP&amp;L'!CV124</f>
        <v>22.743084687179234</v>
      </c>
      <c r="AD42" s="1728">
        <f>+AD39*AD43</f>
        <v>10.632490924622282</v>
      </c>
      <c r="AE42" s="1728">
        <f>+AE39*AE43</f>
        <v>9.3354509827755123</v>
      </c>
      <c r="AF42" s="1728">
        <f>+AF39*AF43</f>
        <v>8.1237224794096008</v>
      </c>
      <c r="AG42" s="1728">
        <f>+AG39*AG43</f>
        <v>8.0917013248001233</v>
      </c>
      <c r="AH42" s="1760"/>
      <c r="AI42" s="49">
        <f>((AB42/W42)^(1/5)-1)*100</f>
        <v>-23.205220791599757</v>
      </c>
      <c r="AJ42" s="79" t="s">
        <v>76</v>
      </c>
      <c r="AK42" s="49">
        <f>((AG42/AB42)^(1/5)-1)*100</f>
        <v>-25.583366194807311</v>
      </c>
      <c r="AL42" s="1758" t="s">
        <v>76</v>
      </c>
      <c r="AM42" s="114"/>
    </row>
    <row r="43" spans="1:39">
      <c r="A43" s="1729" t="s">
        <v>108</v>
      </c>
      <c r="B43" s="1786">
        <f t="shared" ref="B43:K43" si="43">B42/B39</f>
        <v>0.40099068286354439</v>
      </c>
      <c r="C43" s="1786">
        <f t="shared" si="43"/>
        <v>0.40013282417399992</v>
      </c>
      <c r="D43" s="1786">
        <f t="shared" si="43"/>
        <v>0.40022451619200988</v>
      </c>
      <c r="E43" s="1786">
        <f t="shared" si="43"/>
        <v>0.40003973082366967</v>
      </c>
      <c r="F43" s="1786">
        <f t="shared" si="43"/>
        <v>0.39999529693948327</v>
      </c>
      <c r="G43" s="1786">
        <f t="shared" si="43"/>
        <v>0.39999839573264906</v>
      </c>
      <c r="H43" s="1786">
        <f t="shared" si="43"/>
        <v>0.39517618845452146</v>
      </c>
      <c r="I43" s="1786">
        <f t="shared" si="43"/>
        <v>0.39002321695922926</v>
      </c>
      <c r="J43" s="1786">
        <f t="shared" si="43"/>
        <v>0.38385365915389608</v>
      </c>
      <c r="K43" s="1786">
        <f t="shared" si="43"/>
        <v>0.38836267647691125</v>
      </c>
      <c r="L43" s="1787">
        <f t="shared" ref="L43:AC43" si="44">L42/L39</f>
        <v>0.38542060920285159</v>
      </c>
      <c r="M43" s="1787">
        <f t="shared" si="44"/>
        <v>0.39205379190279066</v>
      </c>
      <c r="N43" s="1787">
        <f t="shared" si="44"/>
        <v>0.39197829214921059</v>
      </c>
      <c r="O43" s="1787">
        <f t="shared" si="44"/>
        <v>0.37173542305940904</v>
      </c>
      <c r="P43" s="1787">
        <f t="shared" si="44"/>
        <v>0.37275824044613959</v>
      </c>
      <c r="Q43" s="1787">
        <f t="shared" si="44"/>
        <v>0.37352648734073046</v>
      </c>
      <c r="R43" s="1787">
        <f t="shared" si="44"/>
        <v>0.37432136155148876</v>
      </c>
      <c r="S43" s="1786">
        <f t="shared" si="44"/>
        <v>0.39029756017786638</v>
      </c>
      <c r="T43" s="1786">
        <f t="shared" si="44"/>
        <v>0.35255058607818751</v>
      </c>
      <c r="U43" s="1786">
        <f t="shared" si="44"/>
        <v>0.24196911632101012</v>
      </c>
      <c r="V43" s="1786">
        <f t="shared" si="44"/>
        <v>0.35233662303725988</v>
      </c>
      <c r="W43" s="1786">
        <f t="shared" si="44"/>
        <v>0.35461673055603732</v>
      </c>
      <c r="X43" s="1786">
        <f t="shared" si="44"/>
        <v>0.29892204487624352</v>
      </c>
      <c r="Y43" s="1786">
        <f t="shared" si="44"/>
        <v>0.36661817443670064</v>
      </c>
      <c r="Z43" s="1786">
        <f t="shared" si="44"/>
        <v>0.31475439228561142</v>
      </c>
      <c r="AA43" s="1786">
        <f t="shared" si="44"/>
        <v>0.98000519345623749</v>
      </c>
      <c r="AB43" s="1786">
        <f t="shared" si="44"/>
        <v>0.42263863062032081</v>
      </c>
      <c r="AC43" s="2212">
        <f t="shared" si="44"/>
        <v>0.51552948678368404</v>
      </c>
      <c r="AD43" s="1788">
        <v>0.27</v>
      </c>
      <c r="AE43" s="1788">
        <f>AD43</f>
        <v>0.27</v>
      </c>
      <c r="AF43" s="1788">
        <f t="shared" ref="AF43:AG43" si="45">AE43</f>
        <v>0.27</v>
      </c>
      <c r="AG43" s="1788">
        <f t="shared" si="45"/>
        <v>0.27</v>
      </c>
      <c r="AH43" s="1760"/>
      <c r="AI43" s="49"/>
      <c r="AJ43" s="50"/>
      <c r="AK43" s="49"/>
      <c r="AL43" s="1761"/>
      <c r="AM43" s="114"/>
    </row>
    <row r="44" spans="1:39">
      <c r="A44" s="1729"/>
      <c r="B44" s="1728"/>
      <c r="C44" s="1728"/>
      <c r="D44" s="1728"/>
      <c r="E44" s="1728"/>
      <c r="F44" s="1728"/>
      <c r="G44" s="1728"/>
      <c r="H44" s="1728"/>
      <c r="I44" s="1728"/>
      <c r="J44" s="1728"/>
      <c r="K44" s="1728"/>
      <c r="L44" s="1763"/>
      <c r="M44" s="1763"/>
      <c r="N44" s="1763"/>
      <c r="O44" s="1763"/>
      <c r="P44" s="1763"/>
      <c r="Q44" s="1763"/>
      <c r="R44" s="1763"/>
      <c r="S44" s="1728"/>
      <c r="T44" s="1728"/>
      <c r="U44" s="1728"/>
      <c r="V44" s="1728"/>
      <c r="W44" s="1728"/>
      <c r="X44" s="1728"/>
      <c r="Y44" s="1728"/>
      <c r="Z44" s="1728"/>
      <c r="AA44" s="1728"/>
      <c r="AB44" s="1728"/>
      <c r="AC44" s="1728"/>
      <c r="AD44" s="1728"/>
      <c r="AE44" s="1728"/>
      <c r="AF44" s="1728"/>
      <c r="AG44" s="1728"/>
      <c r="AH44" s="1760"/>
      <c r="AI44" s="49"/>
      <c r="AJ44" s="80"/>
      <c r="AK44" s="49"/>
      <c r="AL44" s="1774"/>
      <c r="AM44" s="114"/>
    </row>
    <row r="45" spans="1:39">
      <c r="A45" s="1729" t="s">
        <v>603</v>
      </c>
      <c r="B45" s="1728">
        <f t="shared" ref="B45:M45" si="46">B39-B42</f>
        <v>5.0790000000000184</v>
      </c>
      <c r="C45" s="1728">
        <f t="shared" si="46"/>
        <v>10.838999999999988</v>
      </c>
      <c r="D45" s="1728">
        <f t="shared" si="46"/>
        <v>24.577000000000027</v>
      </c>
      <c r="E45" s="1728">
        <f t="shared" si="46"/>
        <v>48.321999999999989</v>
      </c>
      <c r="F45" s="1728">
        <f t="shared" si="46"/>
        <v>102.06200000000004</v>
      </c>
      <c r="G45" s="1728">
        <f t="shared" si="46"/>
        <v>149.6013999999999</v>
      </c>
      <c r="H45" s="1728">
        <f t="shared" si="46"/>
        <v>158.13299999999998</v>
      </c>
      <c r="I45" s="1728">
        <f t="shared" si="46"/>
        <v>168.672</v>
      </c>
      <c r="J45" s="1728">
        <f t="shared" si="46"/>
        <v>194.75399999999979</v>
      </c>
      <c r="K45" s="1728">
        <f t="shared" si="46"/>
        <v>204.83000000000038</v>
      </c>
      <c r="L45" s="1763">
        <f>L39-L42</f>
        <v>237.07399999999996</v>
      </c>
      <c r="M45" s="1763">
        <f t="shared" si="46"/>
        <v>342.21900000000022</v>
      </c>
      <c r="N45" s="1763">
        <f>N39-N42</f>
        <v>355.38200000000018</v>
      </c>
      <c r="O45" s="1763">
        <f t="shared" ref="O45:V45" si="47">O39-O42</f>
        <v>422.18499999999989</v>
      </c>
      <c r="P45" s="1763">
        <f t="shared" si="47"/>
        <v>446.52399999999977</v>
      </c>
      <c r="Q45" s="1763">
        <f t="shared" si="47"/>
        <v>475.69699999999966</v>
      </c>
      <c r="R45" s="1763">
        <f>R39-R42</f>
        <v>499.12700000000007</v>
      </c>
      <c r="S45" s="1728">
        <f t="shared" si="47"/>
        <v>313.17</v>
      </c>
      <c r="T45" s="1728">
        <f t="shared" si="47"/>
        <v>98.871999999999971</v>
      </c>
      <c r="U45" s="1728">
        <f>U39-U42</f>
        <v>188.30699999999979</v>
      </c>
      <c r="V45" s="1728">
        <f t="shared" si="47"/>
        <v>222.07600000000008</v>
      </c>
      <c r="W45" s="1728">
        <f t="shared" ref="W45:AB45" si="48">W39-W42</f>
        <v>241.5960000000006</v>
      </c>
      <c r="X45" s="1728">
        <f t="shared" si="48"/>
        <v>151.53799999999987</v>
      </c>
      <c r="Y45" s="1728">
        <f t="shared" si="48"/>
        <v>112.32900000000002</v>
      </c>
      <c r="Z45" s="1728">
        <f t="shared" si="48"/>
        <v>81.024400000000341</v>
      </c>
      <c r="AA45" s="1728">
        <f t="shared" si="48"/>
        <v>-0.30800000000012062</v>
      </c>
      <c r="AB45" s="1728">
        <f t="shared" si="48"/>
        <v>48.436000000000099</v>
      </c>
      <c r="AC45" s="1728">
        <f>AC39-AC42</f>
        <v>21.372887861879285</v>
      </c>
      <c r="AD45" s="1728">
        <f>AD39-AD42</f>
        <v>28.747105092497279</v>
      </c>
      <c r="AE45" s="1728">
        <f>AE39-AE42</f>
        <v>25.240293397874531</v>
      </c>
      <c r="AF45" s="1728">
        <f>AF39-AF42</f>
        <v>21.964138555440769</v>
      </c>
      <c r="AG45" s="1728">
        <f>AG39-AG42</f>
        <v>21.877562841126259</v>
      </c>
      <c r="AH45" s="1760"/>
      <c r="AI45" s="49">
        <f>((AB45/W45)^(1/5)-1)*100</f>
        <v>-27.487027866102832</v>
      </c>
      <c r="AJ45" s="79" t="s">
        <v>76</v>
      </c>
      <c r="AK45" s="49">
        <f>((AG45/AB45)^(1/5)-1)*100</f>
        <v>-14.696640779035119</v>
      </c>
      <c r="AL45" s="1758" t="s">
        <v>76</v>
      </c>
      <c r="AM45" s="114"/>
    </row>
    <row r="46" spans="1:39">
      <c r="A46" s="1789" t="s">
        <v>109</v>
      </c>
      <c r="B46" s="1173">
        <f t="shared" ref="B46:S46" si="49">B45/B$7</f>
        <v>3.0695684231520144E-2</v>
      </c>
      <c r="C46" s="1173">
        <f t="shared" si="49"/>
        <v>4.5994424146754372E-2</v>
      </c>
      <c r="D46" s="1173">
        <f t="shared" si="49"/>
        <v>7.3282802380640083E-2</v>
      </c>
      <c r="E46" s="1173">
        <f t="shared" si="49"/>
        <v>9.2638851877910405E-2</v>
      </c>
      <c r="F46" s="1173">
        <f t="shared" si="49"/>
        <v>0.12675675004346859</v>
      </c>
      <c r="G46" s="1173">
        <f t="shared" si="49"/>
        <v>0.1451231886447987</v>
      </c>
      <c r="H46" s="1173">
        <f t="shared" si="49"/>
        <v>0.12777350428731643</v>
      </c>
      <c r="I46" s="1173">
        <f t="shared" si="49"/>
        <v>0.12358253965811702</v>
      </c>
      <c r="J46" s="1173">
        <f t="shared" si="49"/>
        <v>0.12204489781338876</v>
      </c>
      <c r="K46" s="1173">
        <f t="shared" si="49"/>
        <v>0.11993729978001073</v>
      </c>
      <c r="L46" s="1759">
        <f t="shared" si="49"/>
        <v>0.11729055329018519</v>
      </c>
      <c r="M46" s="1759">
        <f t="shared" si="49"/>
        <v>0.12289210621856278</v>
      </c>
      <c r="N46" s="1759">
        <f t="shared" si="49"/>
        <v>0.12838184442829259</v>
      </c>
      <c r="O46" s="1759">
        <f>O45/O$7</f>
        <v>0.12723474891792372</v>
      </c>
      <c r="P46" s="1759">
        <f>P45/P$7</f>
        <v>0.13596226268019734</v>
      </c>
      <c r="Q46" s="1759">
        <f t="shared" si="49"/>
        <v>0.12685770912786568</v>
      </c>
      <c r="R46" s="1759">
        <f>R45/R$7</f>
        <v>0.13491173233403322</v>
      </c>
      <c r="S46" s="1173">
        <f t="shared" si="49"/>
        <v>8.9886589111486989E-2</v>
      </c>
      <c r="T46" s="1173">
        <f t="shared" ref="T46:Z46" si="50">T45/T$7</f>
        <v>3.3760553160612904E-2</v>
      </c>
      <c r="U46" s="1173">
        <f t="shared" si="50"/>
        <v>5.4286295800017009E-2</v>
      </c>
      <c r="V46" s="1173">
        <f t="shared" si="50"/>
        <v>5.3408586412214569E-2</v>
      </c>
      <c r="W46" s="1173">
        <f t="shared" si="50"/>
        <v>5.3559397934515147E-2</v>
      </c>
      <c r="X46" s="1173">
        <f t="shared" si="50"/>
        <v>3.6808790698431335E-2</v>
      </c>
      <c r="Y46" s="1173">
        <f t="shared" si="50"/>
        <v>3.000216344420318E-2</v>
      </c>
      <c r="Z46" s="1173">
        <f t="shared" si="50"/>
        <v>2.3026930553503112E-2</v>
      </c>
      <c r="AA46" s="1173">
        <f t="shared" ref="AA46:AF46" si="51">AA45/AA$7</f>
        <v>-9.2583129430048823E-5</v>
      </c>
      <c r="AB46" s="1173">
        <f t="shared" si="51"/>
        <v>1.3867821077736672E-2</v>
      </c>
      <c r="AC46" s="1173">
        <f t="shared" si="51"/>
        <v>6.0928559483962247E-3</v>
      </c>
      <c r="AD46" s="1173">
        <f t="shared" si="51"/>
        <v>8.2109864224738805E-3</v>
      </c>
      <c r="AE46" s="1173">
        <f t="shared" si="51"/>
        <v>7.2480603593929925E-3</v>
      </c>
      <c r="AF46" s="1173">
        <f t="shared" si="51"/>
        <v>6.3531132323688556E-3</v>
      </c>
      <c r="AG46" s="1173">
        <f t="shared" ref="AG46" si="52">AG45/AG$7</f>
        <v>6.3457692868725208E-3</v>
      </c>
      <c r="AH46" s="1760"/>
      <c r="AI46" s="49"/>
      <c r="AJ46" s="50"/>
      <c r="AK46" s="49"/>
      <c r="AL46" s="1761"/>
      <c r="AM46" s="114"/>
    </row>
    <row r="47" spans="1:39">
      <c r="A47" s="1789"/>
      <c r="B47" s="1728"/>
      <c r="C47" s="1728"/>
      <c r="D47" s="1728"/>
      <c r="E47" s="1728"/>
      <c r="F47" s="1728"/>
      <c r="G47" s="1728"/>
      <c r="H47" s="1728"/>
      <c r="I47" s="1728"/>
      <c r="J47" s="1728"/>
      <c r="K47" s="1728"/>
      <c r="L47" s="1763"/>
      <c r="M47" s="1790"/>
      <c r="N47" s="1790"/>
      <c r="O47" s="1791"/>
      <c r="P47" s="1791"/>
      <c r="Q47" s="1791"/>
      <c r="R47" s="1791"/>
      <c r="S47" s="1792"/>
      <c r="T47" s="1792"/>
      <c r="U47" s="1793"/>
      <c r="V47" s="1792"/>
      <c r="W47" s="1792"/>
      <c r="X47" s="1792"/>
      <c r="Y47" s="1792"/>
      <c r="Z47" s="1808"/>
      <c r="AA47" s="1792"/>
      <c r="AB47" s="1792"/>
      <c r="AC47" s="1792"/>
      <c r="AD47" s="1792"/>
      <c r="AE47" s="1792"/>
      <c r="AF47" s="1792"/>
      <c r="AG47" s="1792"/>
      <c r="AH47" s="1760"/>
      <c r="AI47" s="49"/>
      <c r="AJ47" s="50"/>
      <c r="AK47" s="49"/>
      <c r="AL47" s="1761"/>
      <c r="AM47" s="114"/>
    </row>
    <row r="48" spans="1:39">
      <c r="A48" s="1729" t="s">
        <v>799</v>
      </c>
      <c r="B48" s="1728"/>
      <c r="C48" s="1797"/>
      <c r="D48" s="1797"/>
      <c r="E48" s="1797"/>
      <c r="F48" s="1797"/>
      <c r="G48" s="1797"/>
      <c r="H48" s="1797"/>
      <c r="I48" s="1797"/>
      <c r="J48" s="1797"/>
      <c r="K48" s="1797"/>
      <c r="L48" s="1798"/>
      <c r="M48" s="1798"/>
      <c r="N48" s="1798"/>
      <c r="O48" s="1804"/>
      <c r="P48" s="1804"/>
      <c r="Q48" s="1804"/>
      <c r="R48" s="1804"/>
      <c r="S48" s="1805"/>
      <c r="T48" s="1806"/>
      <c r="U48" s="1806"/>
      <c r="V48" s="1806"/>
      <c r="W48" s="1801">
        <v>0</v>
      </c>
      <c r="X48" s="1801">
        <v>0</v>
      </c>
      <c r="Y48" s="1801">
        <v>0</v>
      </c>
      <c r="Z48" s="1728">
        <f>'qtrP&amp;L'!CJ164</f>
        <v>2.9829999999999997</v>
      </c>
      <c r="AA48" s="1728">
        <f>'qtrP&amp;L'!CN164</f>
        <v>3.7620000000000005</v>
      </c>
      <c r="AB48" s="1728">
        <f>'qtrP&amp;L'!CR164</f>
        <v>3.431</v>
      </c>
      <c r="AC48" s="1214">
        <f>'qtrP&amp;L'!CV164</f>
        <v>3.431</v>
      </c>
      <c r="AD48" s="1214">
        <f>AC48</f>
        <v>3.431</v>
      </c>
      <c r="AE48" s="1214">
        <f>AD48</f>
        <v>3.431</v>
      </c>
      <c r="AF48" s="1214">
        <f>AE48</f>
        <v>3.431</v>
      </c>
      <c r="AG48" s="1214">
        <f>AF48</f>
        <v>3.431</v>
      </c>
      <c r="AH48" s="1796"/>
      <c r="AI48" s="106"/>
      <c r="AJ48" s="297"/>
      <c r="AK48" s="106"/>
      <c r="AL48" s="2246"/>
      <c r="AM48" s="114"/>
    </row>
    <row r="49" spans="1:39">
      <c r="A49" s="1729"/>
      <c r="B49" s="1728"/>
      <c r="C49" s="1797"/>
      <c r="D49" s="1797"/>
      <c r="E49" s="1797"/>
      <c r="F49" s="1797"/>
      <c r="G49" s="1797"/>
      <c r="H49" s="1797"/>
      <c r="I49" s="1797"/>
      <c r="J49" s="1797"/>
      <c r="K49" s="1797"/>
      <c r="L49" s="1798"/>
      <c r="M49" s="1798"/>
      <c r="N49" s="1798"/>
      <c r="O49" s="1804"/>
      <c r="P49" s="1804"/>
      <c r="Q49" s="1804"/>
      <c r="R49" s="1804"/>
      <c r="S49" s="1805"/>
      <c r="T49" s="1806"/>
      <c r="U49" s="1806"/>
      <c r="V49" s="1806"/>
      <c r="W49" s="1807"/>
      <c r="X49" s="1806"/>
      <c r="Y49" s="1806"/>
      <c r="Z49" s="1728"/>
      <c r="AA49" s="1806"/>
      <c r="AB49" s="1806"/>
      <c r="AC49" s="1806"/>
      <c r="AD49" s="1806"/>
      <c r="AE49" s="1806"/>
      <c r="AF49" s="1806"/>
      <c r="AG49" s="1806"/>
      <c r="AH49" s="1796"/>
      <c r="AI49" s="106"/>
      <c r="AJ49" s="297"/>
      <c r="AK49" s="106"/>
      <c r="AL49" s="2246"/>
      <c r="AM49" s="114"/>
    </row>
    <row r="50" spans="1:39">
      <c r="A50" s="1729" t="s">
        <v>800</v>
      </c>
      <c r="B50" s="1731">
        <f t="shared" ref="B50:K50" si="53">B45/B61</f>
        <v>4.9745347698335149E-2</v>
      </c>
      <c r="C50" s="1731">
        <f t="shared" si="53"/>
        <v>0.10616062683643476</v>
      </c>
      <c r="D50" s="1731">
        <f t="shared" si="53"/>
        <v>0.24071498530852134</v>
      </c>
      <c r="E50" s="1731">
        <f t="shared" si="53"/>
        <v>0.46934612844321832</v>
      </c>
      <c r="F50" s="1731">
        <f t="shared" si="53"/>
        <v>0.96101768328280113</v>
      </c>
      <c r="G50" s="1731">
        <f t="shared" si="53"/>
        <v>1.389818006150072</v>
      </c>
      <c r="H50" s="1731">
        <f t="shared" si="53"/>
        <v>1.5479560671913541</v>
      </c>
      <c r="I50" s="1731">
        <f t="shared" si="53"/>
        <v>1.6451952713510982</v>
      </c>
      <c r="J50" s="1731">
        <f t="shared" si="53"/>
        <v>1.9353280798163568</v>
      </c>
      <c r="K50" s="1731">
        <f t="shared" si="53"/>
        <v>2.056939144406511</v>
      </c>
      <c r="L50" s="1794">
        <f>(L45-L53)/L61</f>
        <v>2.7102723162653763</v>
      </c>
      <c r="M50" s="1794">
        <f t="shared" ref="M50:Y50" si="54">M45/M61</f>
        <v>3.7515374749235395</v>
      </c>
      <c r="N50" s="1794">
        <f t="shared" si="54"/>
        <v>3.8958353887810939</v>
      </c>
      <c r="O50" s="1794">
        <f t="shared" si="54"/>
        <v>4.5884686447125294</v>
      </c>
      <c r="P50" s="1794">
        <f t="shared" si="54"/>
        <v>4.8529942397565451</v>
      </c>
      <c r="Q50" s="1794">
        <f t="shared" si="54"/>
        <v>5.1975678244812746</v>
      </c>
      <c r="R50" s="1794">
        <f t="shared" si="54"/>
        <v>5.4535690482173891</v>
      </c>
      <c r="S50" s="1731">
        <f t="shared" si="54"/>
        <v>3.5072963680550115</v>
      </c>
      <c r="T50" s="1731">
        <f t="shared" si="54"/>
        <v>1.1158234490853072</v>
      </c>
      <c r="U50" s="1731">
        <f t="shared" si="54"/>
        <v>2.0957696631089227</v>
      </c>
      <c r="V50" s="1731">
        <f t="shared" si="54"/>
        <v>2.4802707260685533</v>
      </c>
      <c r="W50" s="1731">
        <f t="shared" si="54"/>
        <v>2.9046621440873408</v>
      </c>
      <c r="X50" s="1731">
        <f t="shared" si="54"/>
        <v>1.914180329939619</v>
      </c>
      <c r="Y50" s="1731">
        <f t="shared" si="54"/>
        <v>1.5400825369839728</v>
      </c>
      <c r="Z50" s="1795">
        <f t="shared" ref="Z50:AE50" si="55">(Z45-Z48)/Z61</f>
        <v>1.1242404598297295</v>
      </c>
      <c r="AA50" s="1795">
        <f t="shared" si="55"/>
        <v>-5.9604006795151439E-2</v>
      </c>
      <c r="AB50" s="1795">
        <f t="shared" si="55"/>
        <v>0.64845900033139925</v>
      </c>
      <c r="AC50" s="1795">
        <f t="shared" si="55"/>
        <v>0.25263326075062886</v>
      </c>
      <c r="AD50" s="1795">
        <f t="shared" si="55"/>
        <v>0.35182268705612074</v>
      </c>
      <c r="AE50" s="1795">
        <f t="shared" si="55"/>
        <v>0.30099636195087476</v>
      </c>
      <c r="AF50" s="1795">
        <f>(AF45-AF48)/AF61</f>
        <v>0.25402824342339692</v>
      </c>
      <c r="AG50" s="1795">
        <f>(AG45-AG48)/AG61</f>
        <v>0.25112055816499801</v>
      </c>
      <c r="AH50" s="1796"/>
      <c r="AI50" s="106">
        <f>((AB50/W50)^(1/5)-1)*100</f>
        <v>-25.910377913734628</v>
      </c>
      <c r="AJ50" s="298" t="s">
        <v>76</v>
      </c>
      <c r="AK50" s="106">
        <f>((AG50/AB50)^(1/5)-1)*100</f>
        <v>-17.282014506479882</v>
      </c>
      <c r="AL50" s="2247" t="s">
        <v>76</v>
      </c>
      <c r="AM50" s="114"/>
    </row>
    <row r="51" spans="1:39">
      <c r="A51" s="1729" t="s">
        <v>110</v>
      </c>
      <c r="B51" s="1728"/>
      <c r="C51" s="1797">
        <f t="shared" ref="C51:N51" si="56">C50/B50-1</f>
        <v>1.1340815121086729</v>
      </c>
      <c r="D51" s="1797">
        <f t="shared" si="56"/>
        <v>1.2674600977950043</v>
      </c>
      <c r="E51" s="1797">
        <f t="shared" si="56"/>
        <v>0.94980020808286336</v>
      </c>
      <c r="F51" s="1797">
        <f t="shared" si="56"/>
        <v>1.0475670833174147</v>
      </c>
      <c r="G51" s="1797">
        <f t="shared" si="56"/>
        <v>0.44619399863955134</v>
      </c>
      <c r="H51" s="1797">
        <f t="shared" si="56"/>
        <v>0.11378328697822782</v>
      </c>
      <c r="I51" s="1797">
        <f t="shared" si="56"/>
        <v>6.2817806151421962E-2</v>
      </c>
      <c r="J51" s="1797">
        <f t="shared" si="56"/>
        <v>0.17635159395212119</v>
      </c>
      <c r="K51" s="1797">
        <f>K50/J50-1</f>
        <v>6.2837441288866147E-2</v>
      </c>
      <c r="L51" s="1798">
        <f>L50/K50-1</f>
        <v>0.31762396745450228</v>
      </c>
      <c r="M51" s="1798">
        <f t="shared" si="56"/>
        <v>0.38419208003901839</v>
      </c>
      <c r="N51" s="1798">
        <f t="shared" si="56"/>
        <v>3.8463673846279578E-2</v>
      </c>
      <c r="O51" s="1798">
        <f>O50/M50-1</f>
        <v>0.22309017979516454</v>
      </c>
      <c r="P51" s="1798">
        <f>P50/N50-1</f>
        <v>0.24568770378024651</v>
      </c>
      <c r="Q51" s="1798">
        <f>Q50/O50-1</f>
        <v>0.13274563409529527</v>
      </c>
      <c r="R51" s="1798">
        <f>R50/P50-1</f>
        <v>0.12375345586459474</v>
      </c>
      <c r="S51" s="1797">
        <f>S50/Q50-1</f>
        <v>-0.32520430968978353</v>
      </c>
      <c r="T51" s="1797">
        <f t="shared" ref="T51:Z51" si="57">T50/S50-1</f>
        <v>-0.68185652651187478</v>
      </c>
      <c r="U51" s="1797">
        <f t="shared" si="57"/>
        <v>0.87822694067499962</v>
      </c>
      <c r="V51" s="1797">
        <f t="shared" si="57"/>
        <v>0.18346532528257486</v>
      </c>
      <c r="W51" s="1797">
        <f t="shared" si="57"/>
        <v>0.17110689311383576</v>
      </c>
      <c r="X51" s="1797">
        <f t="shared" si="57"/>
        <v>-0.34099725373015322</v>
      </c>
      <c r="Y51" s="1797">
        <f t="shared" si="57"/>
        <v>-0.19543497919417374</v>
      </c>
      <c r="Z51" s="1797">
        <f t="shared" si="57"/>
        <v>-0.27001285136873854</v>
      </c>
      <c r="AA51" s="1797">
        <f t="shared" ref="AA51:AG51" si="58">AA50/Z50-1</f>
        <v>-1.0530171337226013</v>
      </c>
      <c r="AB51" s="1797">
        <f t="shared" si="58"/>
        <v>-11.879453164282053</v>
      </c>
      <c r="AC51" s="1797">
        <f t="shared" si="58"/>
        <v>-0.61040981677867223</v>
      </c>
      <c r="AD51" s="1797">
        <f t="shared" si="58"/>
        <v>0.39262219871911697</v>
      </c>
      <c r="AE51" s="1797">
        <f t="shared" si="58"/>
        <v>-0.1444657407699762</v>
      </c>
      <c r="AF51" s="1797">
        <f t="shared" si="58"/>
        <v>-0.15604214689858431</v>
      </c>
      <c r="AG51" s="1797">
        <f t="shared" si="58"/>
        <v>-1.1446306990174238E-2</v>
      </c>
      <c r="AH51" s="1796"/>
      <c r="AI51" s="106"/>
      <c r="AJ51" s="297"/>
      <c r="AK51" s="106"/>
      <c r="AL51" s="2246"/>
      <c r="AM51" s="114"/>
    </row>
    <row r="52" spans="1:39">
      <c r="A52" s="1729"/>
      <c r="B52" s="1728"/>
      <c r="C52" s="1797"/>
      <c r="D52" s="1797"/>
      <c r="E52" s="1797"/>
      <c r="F52" s="1797"/>
      <c r="G52" s="1797"/>
      <c r="H52" s="1797"/>
      <c r="I52" s="1797"/>
      <c r="J52" s="1797"/>
      <c r="K52" s="1797"/>
      <c r="L52" s="1798"/>
      <c r="M52" s="1799"/>
      <c r="N52" s="1799"/>
      <c r="O52" s="1800"/>
      <c r="P52" s="1800"/>
      <c r="Q52" s="1794"/>
      <c r="R52" s="1800"/>
      <c r="S52" s="1797"/>
      <c r="T52" s="1801"/>
      <c r="U52" s="1801"/>
      <c r="V52" s="1801"/>
      <c r="W52" s="1797"/>
      <c r="X52" s="1797"/>
      <c r="Y52" s="1797"/>
      <c r="Z52" s="1795"/>
      <c r="AA52" s="1795"/>
      <c r="AB52" s="1795"/>
      <c r="AC52" s="1795"/>
      <c r="AD52" s="1795"/>
      <c r="AE52" s="1795"/>
      <c r="AF52" s="1795"/>
      <c r="AG52" s="1795"/>
      <c r="AH52" s="1796"/>
      <c r="AI52" s="106"/>
      <c r="AJ52" s="297"/>
      <c r="AK52" s="106"/>
      <c r="AL52" s="2246"/>
      <c r="AM52" s="114"/>
    </row>
    <row r="53" spans="1:39">
      <c r="A53" s="1729" t="s">
        <v>801</v>
      </c>
      <c r="B53" s="1728"/>
      <c r="C53" s="1797"/>
      <c r="D53" s="1797"/>
      <c r="E53" s="1797"/>
      <c r="F53" s="1797"/>
      <c r="G53" s="1801"/>
      <c r="H53" s="1801">
        <f>'qtrP&amp;L'!AB164</f>
        <v>0</v>
      </c>
      <c r="I53" s="1801">
        <f>'qtrP&amp;L'!AF164</f>
        <v>0</v>
      </c>
      <c r="J53" s="1801">
        <f>'qtrP&amp;L'!AJ164</f>
        <v>0</v>
      </c>
      <c r="K53" s="1801">
        <f>'qtrP&amp;L'!AN164</f>
        <v>0</v>
      </c>
      <c r="L53" s="1802">
        <f>'qtrP&amp;L'!AR164</f>
        <v>-20.7</v>
      </c>
      <c r="M53" s="1803">
        <v>8.2330000000000005</v>
      </c>
      <c r="N53" s="1803">
        <v>-21.398</v>
      </c>
      <c r="O53" s="1802">
        <v>0</v>
      </c>
      <c r="P53" s="1802">
        <v>-24.338999999999999</v>
      </c>
      <c r="Q53" s="1802">
        <v>0</v>
      </c>
      <c r="R53" s="1802">
        <v>-23.434000000000001</v>
      </c>
      <c r="S53" s="1801">
        <v>-35.914000000000001</v>
      </c>
      <c r="T53" s="1801">
        <v>-78.698999999999998</v>
      </c>
      <c r="U53" s="1801">
        <v>0</v>
      </c>
      <c r="V53" s="1801">
        <v>0</v>
      </c>
      <c r="W53" s="1801">
        <v>0</v>
      </c>
      <c r="X53" s="1801">
        <v>0</v>
      </c>
      <c r="Y53" s="1801">
        <v>0</v>
      </c>
      <c r="Z53" s="1801">
        <v>0</v>
      </c>
      <c r="AA53" s="1801">
        <v>0</v>
      </c>
      <c r="AB53" s="1801">
        <v>0</v>
      </c>
      <c r="AC53" s="1801">
        <v>0</v>
      </c>
      <c r="AD53" s="1801">
        <v>0</v>
      </c>
      <c r="AE53" s="1801">
        <v>0</v>
      </c>
      <c r="AF53" s="1801">
        <v>0</v>
      </c>
      <c r="AG53" s="1801">
        <v>0</v>
      </c>
      <c r="AH53" s="1796"/>
      <c r="AI53" s="106"/>
      <c r="AJ53" s="297"/>
      <c r="AK53" s="106"/>
      <c r="AL53" s="2246"/>
      <c r="AM53" s="114"/>
    </row>
    <row r="54" spans="1:39">
      <c r="A54" s="1729"/>
      <c r="B54" s="1728"/>
      <c r="C54" s="1797"/>
      <c r="D54" s="1797"/>
      <c r="E54" s="1797"/>
      <c r="F54" s="1797"/>
      <c r="G54" s="1797"/>
      <c r="H54" s="1797"/>
      <c r="I54" s="1797"/>
      <c r="J54" s="1797"/>
      <c r="K54" s="1797"/>
      <c r="L54" s="1798"/>
      <c r="M54" s="1798"/>
      <c r="N54" s="1798"/>
      <c r="O54" s="1804">
        <v>4.3465943410054386</v>
      </c>
      <c r="P54" s="1804"/>
      <c r="Q54" s="1804">
        <v>5.0045980668452561</v>
      </c>
      <c r="R54" s="1804"/>
      <c r="S54" s="1805">
        <v>5.8539914970564038</v>
      </c>
      <c r="T54" s="1806"/>
      <c r="U54" s="1806"/>
      <c r="V54" s="1806"/>
      <c r="W54" s="1807"/>
      <c r="X54" s="1806"/>
      <c r="Y54" s="1806"/>
      <c r="Z54" s="1731"/>
      <c r="AA54" s="1806"/>
      <c r="AB54" s="1806"/>
      <c r="AC54" s="1806"/>
      <c r="AD54" s="1806"/>
      <c r="AE54" s="1806"/>
      <c r="AF54" s="1806"/>
      <c r="AG54" s="1806"/>
      <c r="AH54" s="1796"/>
      <c r="AI54" s="106"/>
      <c r="AJ54" s="297"/>
      <c r="AK54" s="106"/>
      <c r="AL54" s="2246"/>
      <c r="AM54" s="114"/>
    </row>
    <row r="55" spans="1:39">
      <c r="A55" s="1729" t="s">
        <v>797</v>
      </c>
      <c r="B55" s="1728"/>
      <c r="C55" s="1797"/>
      <c r="D55" s="1797"/>
      <c r="E55" s="1797"/>
      <c r="F55" s="1797"/>
      <c r="G55" s="1731">
        <f>(G45+G53)/G61</f>
        <v>1.389818006150072</v>
      </c>
      <c r="H55" s="1731">
        <f>(H45+H53)/H61</f>
        <v>1.5479560671913541</v>
      </c>
      <c r="I55" s="1731">
        <f>(I45+I53)/I61</f>
        <v>1.6451952713510982</v>
      </c>
      <c r="J55" s="1731">
        <f>(J45+J53)/J61</f>
        <v>1.9353280798163568</v>
      </c>
      <c r="K55" s="1731">
        <f>(K45+K53)/K61</f>
        <v>2.056939144406511</v>
      </c>
      <c r="L55" s="1794">
        <f>(L45)/L61</f>
        <v>2.4926295867942376</v>
      </c>
      <c r="M55" s="1794">
        <f>(M45)/M61</f>
        <v>3.7515374749235395</v>
      </c>
      <c r="N55" s="1794">
        <f t="shared" ref="N55:Y55" si="59">(N45+N53)/N61</f>
        <v>3.6612622093596885</v>
      </c>
      <c r="O55" s="1794">
        <f t="shared" si="59"/>
        <v>4.5884686447125294</v>
      </c>
      <c r="P55" s="1794">
        <f t="shared" si="59"/>
        <v>4.5884686447125285</v>
      </c>
      <c r="Q55" s="1794">
        <f t="shared" si="59"/>
        <v>5.1975678244812746</v>
      </c>
      <c r="R55" s="1794">
        <f t="shared" si="59"/>
        <v>5.1975241196202058</v>
      </c>
      <c r="S55" s="1731">
        <f t="shared" si="59"/>
        <v>3.1050833790639598</v>
      </c>
      <c r="T55" s="1731">
        <f t="shared" si="59"/>
        <v>0.2276631041993474</v>
      </c>
      <c r="U55" s="1731">
        <f t="shared" si="59"/>
        <v>2.0957696631089227</v>
      </c>
      <c r="V55" s="1731">
        <f t="shared" si="59"/>
        <v>2.4802707260685533</v>
      </c>
      <c r="W55" s="1731">
        <f t="shared" si="59"/>
        <v>2.9046621440873408</v>
      </c>
      <c r="X55" s="1731">
        <f t="shared" si="59"/>
        <v>1.914180329939619</v>
      </c>
      <c r="Y55" s="1731">
        <f t="shared" si="59"/>
        <v>1.5400825369839728</v>
      </c>
      <c r="Z55" s="1731">
        <f t="shared" ref="Z55:AE55" si="60">(Z45+Z53-Z48)/Z61</f>
        <v>1.1242404598297295</v>
      </c>
      <c r="AA55" s="1731">
        <f t="shared" si="60"/>
        <v>-5.9604006795151439E-2</v>
      </c>
      <c r="AB55" s="1731">
        <f t="shared" si="60"/>
        <v>0.64845900033139925</v>
      </c>
      <c r="AC55" s="1731">
        <f t="shared" si="60"/>
        <v>0.25263326075062886</v>
      </c>
      <c r="AD55" s="1731">
        <f t="shared" si="60"/>
        <v>0.35182268705612074</v>
      </c>
      <c r="AE55" s="1731">
        <f t="shared" si="60"/>
        <v>0.30099636195087476</v>
      </c>
      <c r="AF55" s="1731">
        <f>(AF45+AF53-AF48)/AF61</f>
        <v>0.25402824342339692</v>
      </c>
      <c r="AG55" s="1731">
        <f>(AG45+AG53-AG48)/AG61</f>
        <v>0.25112055816499801</v>
      </c>
      <c r="AH55" s="1796"/>
      <c r="AI55" s="106">
        <f>((AB55/W55)^(1/5)-1)*100</f>
        <v>-25.910377913734628</v>
      </c>
      <c r="AJ55" s="298" t="s">
        <v>76</v>
      </c>
      <c r="AK55" s="2248">
        <f>((AG55/AB55)^(1/5)-1)*100</f>
        <v>-17.282014506479882</v>
      </c>
      <c r="AL55" s="2246" t="s">
        <v>76</v>
      </c>
      <c r="AM55" s="114"/>
    </row>
    <row r="56" spans="1:39">
      <c r="A56" s="1729" t="s">
        <v>110</v>
      </c>
      <c r="B56" s="1728"/>
      <c r="C56" s="1797"/>
      <c r="D56" s="1797"/>
      <c r="E56" s="1797"/>
      <c r="F56" s="1797"/>
      <c r="G56" s="1797"/>
      <c r="H56" s="1797">
        <f t="shared" ref="H56:M56" si="61">H55/G55-1</f>
        <v>0.11378328697822782</v>
      </c>
      <c r="I56" s="1797">
        <f t="shared" si="61"/>
        <v>6.2817806151421962E-2</v>
      </c>
      <c r="J56" s="1797">
        <f t="shared" si="61"/>
        <v>0.17635159395212119</v>
      </c>
      <c r="K56" s="1797">
        <f t="shared" si="61"/>
        <v>6.2837441288866147E-2</v>
      </c>
      <c r="L56" s="1798">
        <f t="shared" si="61"/>
        <v>0.21181494045291083</v>
      </c>
      <c r="M56" s="1798">
        <f t="shared" si="61"/>
        <v>0.5050521324142585</v>
      </c>
      <c r="N56" s="1798">
        <f t="shared" ref="N56:S56" si="62">N55/L55-1</f>
        <v>0.468835252841729</v>
      </c>
      <c r="O56" s="1798">
        <f t="shared" si="62"/>
        <v>0.22309017979516454</v>
      </c>
      <c r="P56" s="1798">
        <f t="shared" si="62"/>
        <v>0.25324775510000896</v>
      </c>
      <c r="Q56" s="1798">
        <f t="shared" si="62"/>
        <v>0.13274563409529527</v>
      </c>
      <c r="R56" s="1798">
        <f t="shared" si="62"/>
        <v>0.13273610916128109</v>
      </c>
      <c r="S56" s="1797">
        <f t="shared" si="62"/>
        <v>-0.40258915632835401</v>
      </c>
      <c r="T56" s="1797">
        <f t="shared" ref="T56:Z56" si="63">T55/S55-1</f>
        <v>-0.92668051823201691</v>
      </c>
      <c r="U56" s="1797">
        <f t="shared" si="63"/>
        <v>8.2055744846288992</v>
      </c>
      <c r="V56" s="1797">
        <f t="shared" si="63"/>
        <v>0.18346532528257486</v>
      </c>
      <c r="W56" s="1797">
        <f t="shared" si="63"/>
        <v>0.17110689311383576</v>
      </c>
      <c r="X56" s="1797">
        <f t="shared" si="63"/>
        <v>-0.34099725373015322</v>
      </c>
      <c r="Y56" s="1797">
        <f t="shared" si="63"/>
        <v>-0.19543497919417374</v>
      </c>
      <c r="Z56" s="1797">
        <f t="shared" si="63"/>
        <v>-0.27001285136873854</v>
      </c>
      <c r="AA56" s="1797">
        <f t="shared" ref="AA56:AG56" si="64">AA55/Z55-1</f>
        <v>-1.0530171337226013</v>
      </c>
      <c r="AB56" s="1797">
        <f t="shared" si="64"/>
        <v>-11.879453164282053</v>
      </c>
      <c r="AC56" s="2224" t="s">
        <v>444</v>
      </c>
      <c r="AD56" s="1797">
        <f t="shared" si="64"/>
        <v>0.39262219871911697</v>
      </c>
      <c r="AE56" s="1797">
        <f t="shared" si="64"/>
        <v>-0.1444657407699762</v>
      </c>
      <c r="AF56" s="1797">
        <f t="shared" si="64"/>
        <v>-0.15604214689858431</v>
      </c>
      <c r="AG56" s="1797">
        <f t="shared" si="64"/>
        <v>-1.1446306990174238E-2</v>
      </c>
      <c r="AH56" s="1796"/>
      <c r="AI56" s="106"/>
      <c r="AJ56" s="297"/>
      <c r="AK56" s="106"/>
      <c r="AL56" s="2246"/>
      <c r="AM56" s="114"/>
    </row>
    <row r="57" spans="1:39">
      <c r="A57" s="1789"/>
      <c r="B57" s="1728"/>
      <c r="C57" s="1728"/>
      <c r="D57" s="1728"/>
      <c r="E57" s="1728"/>
      <c r="F57" s="1728"/>
      <c r="G57" s="1728"/>
      <c r="H57" s="1728"/>
      <c r="I57" s="1728"/>
      <c r="J57" s="1728"/>
      <c r="K57" s="1728"/>
      <c r="L57" s="1763"/>
      <c r="M57" s="1794"/>
      <c r="N57" s="1794"/>
      <c r="O57" s="1790"/>
      <c r="P57" s="1790"/>
      <c r="Q57" s="1790"/>
      <c r="R57" s="1790"/>
      <c r="S57" s="1808"/>
      <c r="T57" s="1808"/>
      <c r="U57" s="1808"/>
      <c r="V57" s="1808"/>
      <c r="W57" s="1808"/>
      <c r="X57" s="1808"/>
      <c r="Y57" s="1808"/>
      <c r="Z57" s="1808"/>
      <c r="AA57" s="1808"/>
      <c r="AB57" s="1808"/>
      <c r="AC57" s="1808"/>
      <c r="AD57" s="1808"/>
      <c r="AE57" s="1808"/>
      <c r="AF57" s="1808"/>
      <c r="AG57" s="1808"/>
      <c r="AH57" s="1760"/>
      <c r="AI57" s="106"/>
      <c r="AJ57" s="297"/>
      <c r="AK57" s="106"/>
      <c r="AL57" s="2246"/>
      <c r="AM57" s="114"/>
    </row>
    <row r="58" spans="1:39" ht="14.25" hidden="1" outlineLevel="1">
      <c r="A58" s="1809" t="s">
        <v>798</v>
      </c>
      <c r="B58" s="1772"/>
      <c r="C58" s="1810"/>
      <c r="D58" s="1810"/>
      <c r="E58" s="1811">
        <f t="shared" ref="E58:M58" si="65">E45/E61</f>
        <v>0.46934612844321832</v>
      </c>
      <c r="F58" s="1811">
        <f t="shared" si="65"/>
        <v>0.96101768328280113</v>
      </c>
      <c r="G58" s="1811">
        <f t="shared" si="65"/>
        <v>1.389818006150072</v>
      </c>
      <c r="H58" s="1811">
        <f t="shared" si="65"/>
        <v>1.5479560671913541</v>
      </c>
      <c r="I58" s="1811">
        <f t="shared" si="65"/>
        <v>1.6451952713510982</v>
      </c>
      <c r="J58" s="1811">
        <f t="shared" si="65"/>
        <v>1.9353280798163568</v>
      </c>
      <c r="K58" s="1811">
        <f t="shared" si="65"/>
        <v>2.056939144406511</v>
      </c>
      <c r="L58" s="1812">
        <f t="shared" si="65"/>
        <v>2.4926295867942376</v>
      </c>
      <c r="M58" s="1812">
        <f t="shared" si="65"/>
        <v>3.7515374749235395</v>
      </c>
      <c r="N58" s="1812"/>
      <c r="O58" s="1812">
        <f>(O45+(O24*(1-O43)))/O61</f>
        <v>4.8282689237862888</v>
      </c>
      <c r="P58" s="1812"/>
      <c r="Q58" s="1812">
        <f>(Q45+(Q24*(1-Q43)))/Q61</f>
        <v>5.4109259900745075</v>
      </c>
      <c r="R58" s="1812"/>
      <c r="S58" s="1811">
        <f t="shared" ref="S58:AD58" si="66">(S45+(S24*(1-S43)))/S61</f>
        <v>3.7201333286586102</v>
      </c>
      <c r="T58" s="1811">
        <f t="shared" si="66"/>
        <v>1.3435768176138188</v>
      </c>
      <c r="U58" s="1811">
        <f t="shared" si="66"/>
        <v>2.3587363818351927</v>
      </c>
      <c r="V58" s="1811">
        <f t="shared" si="66"/>
        <v>2.7057380463934315</v>
      </c>
      <c r="W58" s="1811">
        <f t="shared" si="66"/>
        <v>3.146520106745323</v>
      </c>
      <c r="X58" s="1811">
        <f t="shared" si="66"/>
        <v>2.1902154947983652</v>
      </c>
      <c r="Y58" s="1811">
        <f t="shared" si="66"/>
        <v>1.810761499688883</v>
      </c>
      <c r="Z58" s="1811">
        <f t="shared" si="66"/>
        <v>1.4749053631309021</v>
      </c>
      <c r="AA58" s="1811">
        <f t="shared" si="66"/>
        <v>4.616573721061403E-3</v>
      </c>
      <c r="AB58" s="1811">
        <f t="shared" si="66"/>
        <v>0.95719715118315774</v>
      </c>
      <c r="AC58" s="1811">
        <f t="shared" si="66"/>
        <v>0.51357491616854323</v>
      </c>
      <c r="AD58" s="1811">
        <f t="shared" si="66"/>
        <v>0.71572196023315704</v>
      </c>
      <c r="AE58" s="1811">
        <f>(AE45+(AE24*(1-AE43)))/AE61</f>
        <v>0.66238449560255785</v>
      </c>
      <c r="AF58" s="1811">
        <f>(AF45+(AF24*(1-AF43)))/AF61</f>
        <v>0.61293965699577524</v>
      </c>
      <c r="AG58" s="1811">
        <f>(AG45+(AG24*(1-AG43)))/AG61</f>
        <v>0.60758896825525488</v>
      </c>
      <c r="AH58" s="1796"/>
      <c r="AI58" s="49"/>
      <c r="AJ58" s="79"/>
      <c r="AK58" s="49"/>
      <c r="AL58" s="1761"/>
      <c r="AM58" s="114"/>
    </row>
    <row r="59" spans="1:39" hidden="1" outlineLevel="1">
      <c r="A59" s="1809" t="s">
        <v>110</v>
      </c>
      <c r="B59" s="1772"/>
      <c r="C59" s="1810"/>
      <c r="D59" s="1810"/>
      <c r="E59" s="1810"/>
      <c r="F59" s="1810"/>
      <c r="G59" s="1810"/>
      <c r="H59" s="1810"/>
      <c r="I59" s="1810"/>
      <c r="J59" s="1810">
        <f t="shared" ref="J59:Z59" si="67">J58/I58-1</f>
        <v>0.17635159395212119</v>
      </c>
      <c r="K59" s="1810">
        <f t="shared" si="67"/>
        <v>6.2837441288866147E-2</v>
      </c>
      <c r="L59" s="1813">
        <f t="shared" si="67"/>
        <v>0.21181494045291083</v>
      </c>
      <c r="M59" s="1813">
        <f t="shared" si="67"/>
        <v>0.5050521324142585</v>
      </c>
      <c r="N59" s="1813"/>
      <c r="O59" s="1813">
        <f>O58/M58-1</f>
        <v>0.28701071388996158</v>
      </c>
      <c r="P59" s="1813"/>
      <c r="Q59" s="1813">
        <f>Q58/O58-1</f>
        <v>0.1206761834283463</v>
      </c>
      <c r="R59" s="1813"/>
      <c r="S59" s="1810">
        <f>S58/Q58-1</f>
        <v>-0.31247750653351947</v>
      </c>
      <c r="T59" s="1810">
        <f t="shared" si="67"/>
        <v>-0.63883638060405756</v>
      </c>
      <c r="U59" s="1810">
        <f t="shared" si="67"/>
        <v>0.75556495982439542</v>
      </c>
      <c r="V59" s="1810">
        <f t="shared" si="67"/>
        <v>0.14711337274929281</v>
      </c>
      <c r="W59" s="1810">
        <f t="shared" si="67"/>
        <v>0.16290640586564709</v>
      </c>
      <c r="X59" s="1810">
        <f t="shared" si="67"/>
        <v>-0.30392451962944356</v>
      </c>
      <c r="Y59" s="1810">
        <f t="shared" si="67"/>
        <v>-0.17324961676632433</v>
      </c>
      <c r="Z59" s="1810">
        <f t="shared" si="67"/>
        <v>-0.18547784267319922</v>
      </c>
      <c r="AA59" s="1810">
        <f t="shared" ref="AA59:AG59" si="68">AA58/Z58-1</f>
        <v>-0.99686991868328323</v>
      </c>
      <c r="AB59" s="1810">
        <f t="shared" si="68"/>
        <v>206.33929728367625</v>
      </c>
      <c r="AC59" s="1810">
        <f t="shared" si="68"/>
        <v>-0.46345962737798441</v>
      </c>
      <c r="AD59" s="1810">
        <f t="shared" si="68"/>
        <v>0.39360770493369257</v>
      </c>
      <c r="AE59" s="1810">
        <f t="shared" si="68"/>
        <v>-7.4522604578492579E-2</v>
      </c>
      <c r="AF59" s="1810">
        <f t="shared" si="68"/>
        <v>-7.4646733030494072E-2</v>
      </c>
      <c r="AG59" s="1810">
        <f t="shared" si="68"/>
        <v>-8.7295522152146532E-3</v>
      </c>
      <c r="AH59" s="1796"/>
      <c r="AI59" s="49"/>
      <c r="AJ59" s="50"/>
      <c r="AK59" s="49"/>
      <c r="AL59" s="1761"/>
      <c r="AM59" s="114"/>
    </row>
    <row r="60" spans="1:39" collapsed="1">
      <c r="A60" s="1729"/>
      <c r="B60" s="1728"/>
      <c r="C60" s="1797"/>
      <c r="D60" s="1797"/>
      <c r="E60" s="1797"/>
      <c r="F60" s="1797"/>
      <c r="G60" s="1797"/>
      <c r="H60" s="1797"/>
      <c r="I60" s="1797"/>
      <c r="J60" s="1797"/>
      <c r="K60" s="1797"/>
      <c r="L60" s="1798"/>
      <c r="M60" s="1798"/>
      <c r="N60" s="1798"/>
      <c r="O60" s="1798"/>
      <c r="P60" s="1798"/>
      <c r="Q60" s="1798"/>
      <c r="R60" s="1798"/>
      <c r="S60" s="1797"/>
      <c r="T60" s="1797"/>
      <c r="U60" s="1797"/>
      <c r="V60" s="1797"/>
      <c r="W60" s="1797"/>
      <c r="X60" s="1797"/>
      <c r="Y60" s="1797"/>
      <c r="Z60" s="1797"/>
      <c r="AA60" s="1797"/>
      <c r="AB60" s="1797"/>
      <c r="AC60" s="1797"/>
      <c r="AD60" s="1797"/>
      <c r="AE60" s="1797"/>
      <c r="AF60" s="1797"/>
      <c r="AG60" s="1797"/>
      <c r="AH60" s="1796"/>
      <c r="AI60" s="49"/>
      <c r="AJ60" s="50"/>
      <c r="AK60" s="49"/>
      <c r="AL60" s="1761"/>
      <c r="AM60" s="114"/>
    </row>
    <row r="61" spans="1:39">
      <c r="A61" s="1729" t="s">
        <v>50</v>
      </c>
      <c r="B61" s="1728">
        <f>'qtrP&amp;L'!D197</f>
        <v>102.1</v>
      </c>
      <c r="C61" s="1728">
        <f>'qtrP&amp;L'!H197</f>
        <v>102.1</v>
      </c>
      <c r="D61" s="1728">
        <f>'qtrP&amp;L'!L197</f>
        <v>102.1</v>
      </c>
      <c r="E61" s="1728">
        <f>'qtrP&amp;L'!P197</f>
        <v>102.956</v>
      </c>
      <c r="F61" s="1728">
        <f>'qtrP&amp;L'!T197</f>
        <v>106.202</v>
      </c>
      <c r="G61" s="1728">
        <f>'qtrP&amp;L'!X197</f>
        <v>107.64100000000001</v>
      </c>
      <c r="H61" s="1728">
        <f>'qtrP&amp;L'!AB197</f>
        <v>102.15600000000001</v>
      </c>
      <c r="I61" s="1728">
        <f>'qtrP&amp;L'!AF197</f>
        <v>102.524</v>
      </c>
      <c r="J61" s="1728">
        <f>'qtrP&amp;L'!AJ197</f>
        <v>100.631</v>
      </c>
      <c r="K61" s="1728">
        <f>+'qtrP&amp;L'!AN197</f>
        <v>99.58</v>
      </c>
      <c r="L61" s="1763">
        <f>+'qtrP&amp;L'!AR197</f>
        <v>95.11</v>
      </c>
      <c r="M61" s="1763">
        <f>+'qtrP&amp;L'!AV197</f>
        <v>91.221000000000004</v>
      </c>
      <c r="N61" s="1763">
        <v>91.221000000000004</v>
      </c>
      <c r="O61" s="1763">
        <f>'qtrP&amp;L'!AZ197</f>
        <v>92.01</v>
      </c>
      <c r="P61" s="1763">
        <v>92.01</v>
      </c>
      <c r="Q61" s="1763">
        <f>+'qtrP&amp;L'!BD197</f>
        <v>91.522999999999996</v>
      </c>
      <c r="R61" s="1763">
        <v>91.522999999999996</v>
      </c>
      <c r="S61" s="1728">
        <f>+'qtrP&amp;L'!BH197</f>
        <v>89.290999999999997</v>
      </c>
      <c r="T61" s="1728">
        <f>'qtrP&amp;L'!BL197</f>
        <v>88.608999999999995</v>
      </c>
      <c r="U61" s="1728">
        <f>'qtrP&amp;L'!BP197</f>
        <v>89.850999999999999</v>
      </c>
      <c r="V61" s="1728">
        <f>+'qtrP&amp;L'!BT197</f>
        <v>89.537000000000006</v>
      </c>
      <c r="W61" s="1728">
        <f>+'qtrP&amp;L'!BX197</f>
        <v>83.175250000000005</v>
      </c>
      <c r="X61" s="1728">
        <f>+'qtrP&amp;L'!CB197</f>
        <v>79.165999999999997</v>
      </c>
      <c r="Y61" s="1728">
        <f>'qtrP&amp;L'!CF197</f>
        <v>72.936999999999998</v>
      </c>
      <c r="Z61" s="1728">
        <f>'qtrP&amp;L'!CJ197</f>
        <v>69.417000000000002</v>
      </c>
      <c r="AA61" s="1728">
        <f>'qtrP&amp;L'!CN197</f>
        <v>68.284000000000006</v>
      </c>
      <c r="AB61" s="1728">
        <f>'qtrP&amp;L'!CR197</f>
        <v>69.403000000000006</v>
      </c>
      <c r="AC61" s="2211">
        <f>'qtrP&amp;L'!CV197</f>
        <v>71.019499999999994</v>
      </c>
      <c r="AD61" s="2211">
        <f>'qtrP&amp;L'!CV196+0.5</f>
        <v>71.956999999999994</v>
      </c>
      <c r="AE61" s="2217">
        <f>AD61+0.5</f>
        <v>72.456999999999994</v>
      </c>
      <c r="AF61" s="2217">
        <f>AE61+0.5</f>
        <v>72.956999999999994</v>
      </c>
      <c r="AG61" s="2217">
        <f>AF61+0.5</f>
        <v>73.456999999999994</v>
      </c>
      <c r="AH61" s="1814"/>
      <c r="AI61" s="84">
        <f>((AB61/W61)^(1/5)-1)*100</f>
        <v>-3.5556421635323243</v>
      </c>
      <c r="AJ61" s="1815" t="s">
        <v>76</v>
      </c>
      <c r="AK61" s="84">
        <f>((AG61/AB61)^(1/5)-1)*100</f>
        <v>1.1418722895167432</v>
      </c>
      <c r="AL61" s="1816" t="s">
        <v>76</v>
      </c>
      <c r="AM61" s="114"/>
    </row>
    <row r="62" spans="1:39">
      <c r="A62" s="1729" t="s">
        <v>110</v>
      </c>
      <c r="B62" s="1728"/>
      <c r="C62" s="1728"/>
      <c r="D62" s="1728"/>
      <c r="E62" s="1728"/>
      <c r="F62" s="1728"/>
      <c r="G62" s="1728"/>
      <c r="H62" s="1728"/>
      <c r="I62" s="1728"/>
      <c r="J62" s="1173"/>
      <c r="K62" s="1728"/>
      <c r="L62" s="1763"/>
      <c r="M62" s="1763"/>
      <c r="N62" s="1759">
        <f>N61/L61-1</f>
        <v>-4.0889496372621181E-2</v>
      </c>
      <c r="O62" s="1763"/>
      <c r="P62" s="1759">
        <f>P61/N61-1</f>
        <v>8.6493241687768396E-3</v>
      </c>
      <c r="Q62" s="1763"/>
      <c r="R62" s="1759">
        <f>R61/P61-1</f>
        <v>-5.2929029453321341E-3</v>
      </c>
      <c r="S62" s="1173">
        <f t="shared" ref="S62:X62" si="69">S61/R61-1</f>
        <v>-2.4387312478830414E-2</v>
      </c>
      <c r="T62" s="1173">
        <f t="shared" si="69"/>
        <v>-7.6379478334882567E-3</v>
      </c>
      <c r="U62" s="1173">
        <f t="shared" si="69"/>
        <v>1.4016634879075562E-2</v>
      </c>
      <c r="V62" s="1173">
        <f t="shared" si="69"/>
        <v>-3.494674516699825E-3</v>
      </c>
      <c r="W62" s="1173">
        <f t="shared" si="69"/>
        <v>-7.1051632286094013E-2</v>
      </c>
      <c r="X62" s="1173">
        <f t="shared" si="69"/>
        <v>-4.8202440028734639E-2</v>
      </c>
      <c r="Y62" s="1173">
        <f t="shared" ref="Y62:AG62" si="70">Y61/X61-1</f>
        <v>-7.8682767854887148E-2</v>
      </c>
      <c r="Z62" s="1173">
        <f t="shared" si="70"/>
        <v>-4.8260827837722897E-2</v>
      </c>
      <c r="AA62" s="1173">
        <f t="shared" si="70"/>
        <v>-1.6321650316204916E-2</v>
      </c>
      <c r="AB62" s="1173">
        <f t="shared" si="70"/>
        <v>1.6387440688887533E-2</v>
      </c>
      <c r="AC62" s="1173">
        <f t="shared" si="70"/>
        <v>2.3291500367419005E-2</v>
      </c>
      <c r="AD62" s="1173">
        <f t="shared" si="70"/>
        <v>1.3200599835256455E-2</v>
      </c>
      <c r="AE62" s="1173">
        <f t="shared" si="70"/>
        <v>6.948594299373223E-3</v>
      </c>
      <c r="AF62" s="1173">
        <f t="shared" si="70"/>
        <v>6.9006445201982292E-3</v>
      </c>
      <c r="AG62" s="1173">
        <f t="shared" si="70"/>
        <v>6.8533519744506943E-3</v>
      </c>
      <c r="AH62" s="1728"/>
      <c r="AI62" s="97"/>
      <c r="AJ62" s="97"/>
      <c r="AK62" s="49"/>
      <c r="AL62" s="97"/>
    </row>
    <row r="63" spans="1:39" ht="7.5" customHeight="1">
      <c r="A63" s="1789"/>
      <c r="B63" s="1728"/>
      <c r="C63" s="1728"/>
      <c r="D63" s="1728"/>
      <c r="E63" s="1728"/>
      <c r="F63" s="1728"/>
      <c r="G63" s="1728"/>
      <c r="H63" s="1728"/>
      <c r="I63" s="1728"/>
      <c r="J63" s="1173"/>
      <c r="K63" s="1728"/>
      <c r="L63" s="1763"/>
      <c r="M63" s="1763"/>
      <c r="N63" s="1763"/>
      <c r="O63" s="1763"/>
      <c r="P63" s="1763"/>
      <c r="Q63" s="1763"/>
      <c r="R63" s="1763"/>
      <c r="S63" s="1728"/>
      <c r="T63" s="1728"/>
      <c r="U63" s="1728"/>
      <c r="V63" s="1728"/>
      <c r="W63" s="1728"/>
      <c r="X63" s="1728"/>
      <c r="Y63" s="1728"/>
      <c r="Z63" s="1728"/>
      <c r="AA63" s="1728"/>
      <c r="AB63" s="1728"/>
      <c r="AC63" s="1728"/>
      <c r="AD63" s="1728"/>
      <c r="AE63" s="1728"/>
      <c r="AF63" s="1728"/>
      <c r="AG63" s="1728"/>
      <c r="AH63" s="1728"/>
      <c r="AI63" s="1"/>
      <c r="AJ63" s="1"/>
      <c r="AK63" s="6"/>
      <c r="AL63" s="1"/>
    </row>
    <row r="64" spans="1:39">
      <c r="A64" s="47" t="s">
        <v>6</v>
      </c>
      <c r="B64" s="1817"/>
      <c r="C64" s="1728"/>
      <c r="D64" s="1728"/>
      <c r="E64" s="1729"/>
      <c r="F64" s="1729"/>
      <c r="G64" s="1729"/>
      <c r="H64" s="1729"/>
      <c r="I64" s="1729"/>
      <c r="J64" s="1729"/>
      <c r="K64" s="1729"/>
      <c r="L64" s="1730"/>
      <c r="M64" s="1818"/>
      <c r="N64" s="1818"/>
      <c r="O64" s="1794"/>
      <c r="P64" s="1794"/>
      <c r="Q64" s="1819" t="s">
        <v>435</v>
      </c>
      <c r="R64" s="1819"/>
      <c r="S64" s="1729"/>
      <c r="T64" s="1729"/>
      <c r="U64" s="1729"/>
      <c r="W64" s="1729"/>
      <c r="X64" s="1729"/>
      <c r="Y64" s="1729"/>
      <c r="Z64" s="1729"/>
      <c r="AA64" s="1729"/>
      <c r="AB64" s="1729"/>
      <c r="AC64" s="1729"/>
      <c r="AD64" s="1729"/>
      <c r="AE64" s="1729"/>
      <c r="AF64" s="1729"/>
      <c r="AG64" s="1729"/>
      <c r="AH64" s="1729"/>
      <c r="AI64" s="1729"/>
      <c r="AJ64" s="1729"/>
      <c r="AK64" s="1729"/>
      <c r="AL64" s="1729"/>
    </row>
    <row r="65" spans="1:34" ht="14.25">
      <c r="A65" s="1820" t="s">
        <v>773</v>
      </c>
      <c r="S65" s="1171"/>
      <c r="Y65" s="97"/>
      <c r="Z65" s="97"/>
      <c r="AA65" s="97"/>
      <c r="AB65" s="97"/>
      <c r="AC65" s="97"/>
      <c r="AD65" s="97"/>
      <c r="AE65" s="97"/>
      <c r="AF65" s="97"/>
      <c r="AG65" s="97"/>
    </row>
    <row r="66" spans="1:34">
      <c r="A66" s="22" t="s">
        <v>725</v>
      </c>
      <c r="Y66" s="97"/>
      <c r="Z66" s="97"/>
      <c r="AA66" s="97"/>
      <c r="AB66" s="97"/>
      <c r="AC66" s="97"/>
      <c r="AD66" s="97"/>
      <c r="AE66" s="97"/>
      <c r="AF66" s="97"/>
      <c r="AG66" s="97"/>
    </row>
    <row r="67" spans="1:34">
      <c r="Y67" s="97"/>
      <c r="Z67" s="97"/>
      <c r="AA67" s="97"/>
      <c r="AB67" s="97"/>
      <c r="AC67" s="97"/>
      <c r="AD67" s="97"/>
      <c r="AE67" s="97"/>
      <c r="AF67" s="97"/>
      <c r="AG67" s="97"/>
    </row>
    <row r="68" spans="1:34">
      <c r="Y68" s="97"/>
      <c r="Z68" s="97"/>
      <c r="AA68" s="97"/>
      <c r="AB68" s="97"/>
      <c r="AC68" s="97"/>
      <c r="AD68" s="97"/>
      <c r="AE68" s="97"/>
      <c r="AF68" s="97"/>
      <c r="AG68" s="97"/>
    </row>
    <row r="69" spans="1:34" outlineLevel="1">
      <c r="A69" s="22" t="s">
        <v>29</v>
      </c>
      <c r="L69" s="1821">
        <f>'qtrP&amp;L'!AR208</f>
        <v>0.5</v>
      </c>
      <c r="M69" s="1821">
        <f>'qtrP&amp;L'!AV208</f>
        <v>0.6</v>
      </c>
      <c r="N69" s="1821"/>
      <c r="O69" s="1821">
        <f>0.175*4</f>
        <v>0.7</v>
      </c>
      <c r="P69" s="1821"/>
      <c r="Q69" s="1821">
        <f>O69</f>
        <v>0.7</v>
      </c>
      <c r="R69" s="1821"/>
      <c r="S69" s="1171">
        <f>Q69</f>
        <v>0.7</v>
      </c>
      <c r="T69" s="1171">
        <f>'qtrP&amp;L'!BL208</f>
        <v>0.7</v>
      </c>
      <c r="U69" s="1347">
        <f>'qtrP&amp;L'!BP208</f>
        <v>0.7</v>
      </c>
      <c r="V69" s="1347">
        <f t="shared" ref="V69:AB69" si="71">U69</f>
        <v>0.7</v>
      </c>
      <c r="W69" s="1347">
        <f t="shared" si="71"/>
        <v>0.7</v>
      </c>
      <c r="X69" s="1347">
        <f>'qtrP&amp;L'!CB208</f>
        <v>0.80499999999999994</v>
      </c>
      <c r="Y69" s="1438">
        <f t="shared" si="71"/>
        <v>0.80499999999999994</v>
      </c>
      <c r="Z69" s="1438">
        <f t="shared" si="71"/>
        <v>0.80499999999999994</v>
      </c>
      <c r="AA69" s="1438">
        <f t="shared" si="71"/>
        <v>0.80499999999999994</v>
      </c>
      <c r="AB69" s="1438">
        <f t="shared" si="71"/>
        <v>0.80499999999999994</v>
      </c>
      <c r="AC69" s="1438">
        <f>AB69</f>
        <v>0.80499999999999994</v>
      </c>
      <c r="AD69" s="1438">
        <f>AC69</f>
        <v>0.80499999999999994</v>
      </c>
      <c r="AE69" s="1438">
        <f>AD69</f>
        <v>0.80499999999999994</v>
      </c>
      <c r="AF69" s="1438">
        <f>AE69</f>
        <v>0.80499999999999994</v>
      </c>
      <c r="AG69" s="1438">
        <f>AF69</f>
        <v>0.80499999999999994</v>
      </c>
      <c r="AH69" s="1347"/>
    </row>
    <row r="70" spans="1:34" outlineLevel="1">
      <c r="A70" s="22" t="s">
        <v>359</v>
      </c>
      <c r="B70" s="1078">
        <f>'qtrP&amp;L'!H216</f>
        <v>103.3</v>
      </c>
      <c r="C70" s="1078">
        <f>'qtrP&amp;L'!L216</f>
        <v>103.3</v>
      </c>
      <c r="D70" s="1078">
        <f>'qtrP&amp;L'!P216</f>
        <v>103.3</v>
      </c>
      <c r="E70" s="1078">
        <f>'qtrP&amp;L'!T216</f>
        <v>103.3</v>
      </c>
      <c r="F70" s="1078">
        <f>'qtrP&amp;L'!T216</f>
        <v>103.3</v>
      </c>
      <c r="G70" s="1078">
        <f>'qtrP&amp;L'!X216</f>
        <v>102.004</v>
      </c>
      <c r="H70" s="1078">
        <f>'qtrP&amp;L'!AB216</f>
        <v>98.796000000000006</v>
      </c>
      <c r="I70" s="1078">
        <f>'qtrP&amp;L'!AF216</f>
        <v>98.871499999999997</v>
      </c>
      <c r="J70" s="1078">
        <f>'qtrP&amp;L'!AJ216</f>
        <v>97.269000000000005</v>
      </c>
      <c r="K70" s="1078">
        <f>'qtrP&amp;L'!AN216</f>
        <v>94.608000000000004</v>
      </c>
      <c r="L70" s="1822">
        <f>'qtrP&amp;L'!AR216</f>
        <v>92.777000000000001</v>
      </c>
      <c r="M70" s="1822">
        <f>'qtrP&amp;L'!AV216</f>
        <v>87.726210999999992</v>
      </c>
      <c r="N70" s="1822"/>
      <c r="O70" s="1822">
        <f>'qtrP&amp;L'!AZ216</f>
        <v>88.300055</v>
      </c>
      <c r="P70" s="1822"/>
      <c r="Q70" s="1822">
        <f>Q61/O61*O70</f>
        <v>87.832691378817515</v>
      </c>
      <c r="R70" s="1822"/>
      <c r="S70" s="1100">
        <f>S61/Q61*Q70</f>
        <v>85.69068808830562</v>
      </c>
      <c r="T70" s="1100">
        <f t="shared" ref="T70:Z70" si="72">T61/S61*S70</f>
        <v>85.036187082871422</v>
      </c>
      <c r="U70" s="1078">
        <f t="shared" si="72"/>
        <v>86.228108268720788</v>
      </c>
      <c r="V70" s="1078">
        <f t="shared" si="72"/>
        <v>85.926769096130855</v>
      </c>
      <c r="W70" s="1078">
        <f t="shared" si="72"/>
        <v>79.821531894780463</v>
      </c>
      <c r="X70" s="1078">
        <f>X61/W61*W70</f>
        <v>75.973939290620578</v>
      </c>
      <c r="Y70" s="1823">
        <f t="shared" si="72"/>
        <v>69.996099462395392</v>
      </c>
      <c r="Z70" s="1823">
        <f t="shared" si="72"/>
        <v>66.618029756928607</v>
      </c>
      <c r="AA70" s="1823">
        <f t="shared" ref="AA70:AG70" si="73">AA61/Z61*Z70</f>
        <v>65.530713570481481</v>
      </c>
      <c r="AB70" s="1823">
        <f t="shared" si="73"/>
        <v>66.604594252418224</v>
      </c>
      <c r="AC70" s="1823">
        <f t="shared" si="73"/>
        <v>68.155915183920214</v>
      </c>
      <c r="AD70" s="1823">
        <f t="shared" si="73"/>
        <v>69.05561414666883</v>
      </c>
      <c r="AE70" s="1823">
        <f t="shared" si="73"/>
        <v>69.535453593468091</v>
      </c>
      <c r="AF70" s="1823">
        <f t="shared" si="73"/>
        <v>70.015293040267352</v>
      </c>
      <c r="AG70" s="1823">
        <f t="shared" si="73"/>
        <v>70.495132487066613</v>
      </c>
      <c r="AH70" s="1078"/>
    </row>
    <row r="71" spans="1:34" outlineLevel="1">
      <c r="A71" s="22" t="s">
        <v>360</v>
      </c>
      <c r="B71" s="1078">
        <f>'qtrP&amp;L'!H224</f>
        <v>103.084</v>
      </c>
      <c r="C71" s="1078">
        <f>'qtrP&amp;L'!L224</f>
        <v>103.084</v>
      </c>
      <c r="D71" s="1078">
        <f>'qtrP&amp;L'!P224</f>
        <v>103.084</v>
      </c>
      <c r="E71" s="1078">
        <f>'qtrP&amp;L'!T224</f>
        <v>103.084</v>
      </c>
      <c r="F71" s="1078">
        <f>'qtrP&amp;L'!T224</f>
        <v>103.084</v>
      </c>
      <c r="G71" s="1078">
        <f>'qtrP&amp;L'!X224</f>
        <v>102.191</v>
      </c>
      <c r="H71" s="1078">
        <f>'qtrP&amp;L'!AB224</f>
        <v>98.772000000000006</v>
      </c>
      <c r="I71" s="1078">
        <f>'qtrP&amp;L'!AF224</f>
        <v>99.123749999999987</v>
      </c>
      <c r="J71" s="1078">
        <f>'qtrP&amp;L'!AJ224</f>
        <v>98.292000000000002</v>
      </c>
      <c r="K71" s="1078">
        <f>'qtrP&amp;L'!AN224</f>
        <v>96.856999999999999</v>
      </c>
      <c r="L71" s="1822">
        <f>'qtrP&amp;L'!AR224</f>
        <v>92.777000000000001</v>
      </c>
      <c r="M71" s="1822">
        <f>'qtrP&amp;L'!AV224</f>
        <v>87.161000000000001</v>
      </c>
      <c r="N71" s="1822"/>
      <c r="O71" s="1822">
        <f>'qtrP&amp;L'!AZ224</f>
        <v>88.052000000000007</v>
      </c>
      <c r="P71" s="1822"/>
      <c r="Q71" s="1822">
        <f>Q70/O70*O71</f>
        <v>87.585949309857625</v>
      </c>
      <c r="R71" s="1822"/>
      <c r="S71" s="1100">
        <f>S70/Q70*Q71</f>
        <v>85.44996339528312</v>
      </c>
      <c r="T71" s="1100">
        <f t="shared" ref="T71:Z71" si="74">T70/S70*S71</f>
        <v>84.797301032496463</v>
      </c>
      <c r="U71" s="1078">
        <f t="shared" si="74"/>
        <v>85.985873839800021</v>
      </c>
      <c r="V71" s="1078">
        <f t="shared" si="74"/>
        <v>85.685381197695904</v>
      </c>
      <c r="W71" s="1078">
        <f t="shared" si="74"/>
        <v>79.597295000543426</v>
      </c>
      <c r="X71" s="1078">
        <f>X70/W70*W71</f>
        <v>75.760511161830237</v>
      </c>
      <c r="Y71" s="1823">
        <f t="shared" si="74"/>
        <v>69.799464449516364</v>
      </c>
      <c r="Z71" s="1823">
        <f t="shared" si="74"/>
        <v>66.430884512553007</v>
      </c>
      <c r="AA71" s="1823">
        <f t="shared" ref="AA71:AG71" si="75">AA70/Z70*Z71</f>
        <v>65.346622845342921</v>
      </c>
      <c r="AB71" s="1823">
        <f t="shared" si="75"/>
        <v>66.41748675144008</v>
      </c>
      <c r="AC71" s="1823">
        <f t="shared" si="75"/>
        <v>67.964449668514291</v>
      </c>
      <c r="AD71" s="1823">
        <f t="shared" si="75"/>
        <v>68.861621171611773</v>
      </c>
      <c r="AE71" s="1823">
        <f t="shared" si="75"/>
        <v>69.340112639930439</v>
      </c>
      <c r="AF71" s="1823">
        <f t="shared" si="75"/>
        <v>69.818604108249104</v>
      </c>
      <c r="AG71" s="1823">
        <f t="shared" si="75"/>
        <v>70.29709557656777</v>
      </c>
    </row>
    <row r="72" spans="1:34">
      <c r="U72" s="1824"/>
      <c r="Y72" s="97"/>
      <c r="Z72" s="97"/>
      <c r="AA72" s="97"/>
      <c r="AB72" s="97"/>
      <c r="AC72" s="97"/>
      <c r="AD72" s="97"/>
      <c r="AE72" s="97"/>
      <c r="AF72" s="97"/>
      <c r="AG72" s="97"/>
    </row>
    <row r="73" spans="1:34">
      <c r="A73" s="22" t="s">
        <v>433</v>
      </c>
      <c r="U73" s="1824">
        <f>U30+U27+U21</f>
        <v>813.59999999999968</v>
      </c>
      <c r="V73" s="1824">
        <f t="shared" ref="V73:AE73" si="76">V30+V27+V21</f>
        <v>974.39800000000014</v>
      </c>
      <c r="W73" s="1824">
        <f t="shared" si="76"/>
        <v>1017.4340000000007</v>
      </c>
      <c r="X73" s="1824">
        <f t="shared" si="76"/>
        <v>909.42299999999989</v>
      </c>
      <c r="Y73" s="1824">
        <f t="shared" si="76"/>
        <v>844.59</v>
      </c>
      <c r="Z73" s="1824">
        <f t="shared" si="76"/>
        <v>756.51440000000036</v>
      </c>
      <c r="AA73" s="1824">
        <f t="shared" si="76"/>
        <v>605.01099999999985</v>
      </c>
      <c r="AB73" s="1824">
        <f t="shared" si="76"/>
        <v>679.58030000000008</v>
      </c>
      <c r="AC73" s="1824">
        <f t="shared" si="76"/>
        <v>630.52864888820227</v>
      </c>
      <c r="AD73" s="1824">
        <f t="shared" si="76"/>
        <v>620.04558455170195</v>
      </c>
      <c r="AE73" s="1824">
        <f t="shared" si="76"/>
        <v>599.26357530935888</v>
      </c>
      <c r="AF73" s="1824">
        <f>AF30+AF27+AF21</f>
        <v>583.78138982336543</v>
      </c>
      <c r="AG73" s="1824">
        <f>AG30+AG27+AG21</f>
        <v>580.07053822262333</v>
      </c>
    </row>
    <row r="74" spans="1:34" hidden="1" outlineLevel="1">
      <c r="A74" s="22" t="s">
        <v>274</v>
      </c>
      <c r="I74" s="1824">
        <f>I30+I27</f>
        <v>312.61299999999994</v>
      </c>
      <c r="J74" s="1824">
        <f>J30+J27</f>
        <v>367.74499999999978</v>
      </c>
      <c r="K74" s="1824">
        <f>K30+K27</f>
        <v>419.74000000000035</v>
      </c>
      <c r="L74" s="1825">
        <f>L30+L27</f>
        <v>481.85899999999992</v>
      </c>
      <c r="M74" s="1825">
        <f>M30+M27</f>
        <v>674.9100000000002</v>
      </c>
      <c r="N74" s="1825"/>
      <c r="O74" s="1825">
        <f>O30+O27</f>
        <v>794.26099999999974</v>
      </c>
      <c r="P74" s="1825"/>
      <c r="Q74" s="1825">
        <f>Q30+Q27</f>
        <v>912.4789999999997</v>
      </c>
      <c r="R74" s="1825"/>
      <c r="S74" s="1705">
        <f t="shared" ref="S74:Z74" si="77">S30+S27</f>
        <v>718.81700000000001</v>
      </c>
      <c r="T74" s="1705">
        <f t="shared" si="77"/>
        <v>376.32900000000001</v>
      </c>
      <c r="U74" s="1826">
        <f t="shared" si="77"/>
        <v>470.87499999999977</v>
      </c>
      <c r="V74" s="1824">
        <f t="shared" si="77"/>
        <v>569.45200000000011</v>
      </c>
      <c r="W74" s="1824">
        <f t="shared" si="77"/>
        <v>586.54500000000064</v>
      </c>
      <c r="X74" s="1824">
        <f t="shared" si="77"/>
        <v>435.86199999999985</v>
      </c>
      <c r="Y74" s="1827">
        <f t="shared" si="77"/>
        <v>402.91</v>
      </c>
      <c r="Z74" s="1827">
        <f t="shared" si="77"/>
        <v>341.51740000000035</v>
      </c>
      <c r="AA74" s="1827"/>
      <c r="AB74" s="1827"/>
      <c r="AC74" s="1827"/>
      <c r="AD74" s="1827"/>
      <c r="AE74" s="1827"/>
      <c r="AF74" s="1827"/>
      <c r="AG74" s="1827"/>
    </row>
    <row r="75" spans="1:34" hidden="1" outlineLevel="1">
      <c r="A75" s="22" t="s">
        <v>256</v>
      </c>
      <c r="I75" s="1115">
        <f>I74/I7</f>
        <v>0.22904517922442924</v>
      </c>
      <c r="J75" s="1115">
        <f>J74/J7</f>
        <v>0.23045175424579045</v>
      </c>
      <c r="K75" s="1115">
        <f>K74/K7</f>
        <v>0.24577689893893304</v>
      </c>
      <c r="L75" s="1828">
        <f>L74/L7</f>
        <v>0.23839606501706365</v>
      </c>
      <c r="M75" s="1828">
        <f>M74/M7</f>
        <v>0.2423626724640367</v>
      </c>
      <c r="N75" s="1828"/>
      <c r="O75" s="1828">
        <f>O74/O7</f>
        <v>0.23936804697063846</v>
      </c>
      <c r="P75" s="1828"/>
      <c r="Q75" s="1828">
        <f>Q74/Q7</f>
        <v>0.24333766150992286</v>
      </c>
      <c r="R75" s="1828"/>
      <c r="S75" s="1770">
        <f t="shared" ref="S75:Z75" si="78">S74/S7</f>
        <v>0.2063160849549821</v>
      </c>
      <c r="T75" s="1770">
        <f t="shared" si="78"/>
        <v>0.12850023475180333</v>
      </c>
      <c r="U75" s="1115">
        <f t="shared" si="78"/>
        <v>0.13574673025874251</v>
      </c>
      <c r="V75" s="1115">
        <f t="shared" si="78"/>
        <v>0.13695143261589909</v>
      </c>
      <c r="W75" s="1115">
        <f t="shared" si="78"/>
        <v>0.13003111418028504</v>
      </c>
      <c r="X75" s="1115">
        <f t="shared" si="78"/>
        <v>0.10587148524726266</v>
      </c>
      <c r="Y75" s="1829">
        <f t="shared" si="78"/>
        <v>0.10761398813577884</v>
      </c>
      <c r="Z75" s="1829">
        <f t="shared" si="78"/>
        <v>9.7058385530937832E-2</v>
      </c>
      <c r="AA75" s="1829"/>
      <c r="AB75" s="1829"/>
      <c r="AC75" s="1829"/>
      <c r="AD75" s="1829"/>
      <c r="AE75" s="1829"/>
      <c r="AF75" s="1829"/>
      <c r="AG75" s="1829"/>
    </row>
    <row r="76" spans="1:34" hidden="1" outlineLevel="1">
      <c r="A76" s="22" t="s">
        <v>98</v>
      </c>
      <c r="T76" s="114">
        <v>4</v>
      </c>
      <c r="U76" s="305">
        <v>3.6</v>
      </c>
      <c r="Y76" s="97"/>
      <c r="Z76" s="97"/>
      <c r="AA76" s="97"/>
      <c r="AB76" s="97"/>
      <c r="AC76" s="97"/>
      <c r="AD76" s="97"/>
      <c r="AE76" s="97"/>
      <c r="AF76" s="97"/>
      <c r="AG76" s="97"/>
    </row>
    <row r="77" spans="1:34" hidden="1" outlineLevel="1">
      <c r="T77" s="114">
        <f>(T74*T76)</f>
        <v>1505.316</v>
      </c>
      <c r="U77" s="22">
        <f>(U74*U76)</f>
        <v>1695.1499999999992</v>
      </c>
      <c r="Y77" s="97"/>
      <c r="Z77" s="97"/>
      <c r="AA77" s="97"/>
      <c r="AB77" s="97"/>
      <c r="AC77" s="97"/>
      <c r="AD77" s="97"/>
      <c r="AE77" s="97"/>
      <c r="AF77" s="97"/>
      <c r="AG77" s="97"/>
    </row>
    <row r="78" spans="1:34" hidden="1" outlineLevel="1">
      <c r="A78" s="22" t="s">
        <v>370</v>
      </c>
      <c r="I78" s="22">
        <f>dtc!AH34</f>
        <v>-472.35199999999998</v>
      </c>
      <c r="T78" s="114">
        <f>T77-I78</f>
        <v>1977.6680000000001</v>
      </c>
      <c r="U78" s="22">
        <f>U77-I78</f>
        <v>2167.501999999999</v>
      </c>
      <c r="Y78" s="97"/>
      <c r="Z78" s="97"/>
      <c r="AA78" s="97"/>
      <c r="AB78" s="97"/>
      <c r="AC78" s="97"/>
      <c r="AD78" s="97"/>
      <c r="AE78" s="97"/>
      <c r="AF78" s="97"/>
      <c r="AG78" s="97"/>
    </row>
    <row r="79" spans="1:34" hidden="1" outlineLevel="1">
      <c r="A79" s="22" t="s">
        <v>371</v>
      </c>
      <c r="I79" s="22">
        <f>'qtrP&amp;L'!BL197</f>
        <v>88.608999999999995</v>
      </c>
      <c r="T79" s="1171">
        <f>T78/$I$79</f>
        <v>22.319042083761246</v>
      </c>
      <c r="U79" s="1347">
        <f>U78/$I$79</f>
        <v>24.461420397476545</v>
      </c>
      <c r="Y79" s="97"/>
      <c r="Z79" s="97"/>
      <c r="AA79" s="97"/>
      <c r="AB79" s="97"/>
      <c r="AC79" s="97"/>
      <c r="AD79" s="97"/>
      <c r="AE79" s="97"/>
      <c r="AF79" s="97"/>
      <c r="AG79" s="97"/>
    </row>
    <row r="80" spans="1:34" collapsed="1"/>
  </sheetData>
  <mergeCells count="1">
    <mergeCell ref="L4:R4"/>
  </mergeCells>
  <phoneticPr fontId="0" type="noConversion"/>
  <dataValidations disablePrompts="1" count="1">
    <dataValidation type="custom" allowBlank="1" showInputMessage="1" showErrorMessage="1" sqref="AK4:AK5 A24 O58:AG58">
      <formula1>-1</formula1>
    </dataValidation>
  </dataValidations>
  <pageMargins left="0" right="0" top="0.5" bottom="0.25" header="0.5" footer="0.5"/>
  <pageSetup scale="70" orientation="landscape" r:id="rId1"/>
  <headerFooter alignWithMargins="0">
    <oddFooter>&amp;R&amp;8&amp;D/&amp;T
&amp;F/&amp;A</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AM298"/>
  <sheetViews>
    <sheetView zoomScale="85" zoomScaleNormal="85" workbookViewId="0">
      <pane xSplit="8" ySplit="5" topLeftCell="S6" activePane="bottomRight" state="frozen"/>
      <selection pane="topRight" activeCell="I1" sqref="I1"/>
      <selection pane="bottomLeft" activeCell="A6" sqref="A6"/>
      <selection pane="bottomRight" activeCell="V33" sqref="V33"/>
    </sheetView>
  </sheetViews>
  <sheetFormatPr defaultRowHeight="12.75" outlineLevelRow="2" outlineLevelCol="1"/>
  <cols>
    <col min="1" max="1" width="28.42578125" style="22" customWidth="1"/>
    <col min="2" max="3" width="9.85546875" style="22" hidden="1" customWidth="1" outlineLevel="1"/>
    <col min="4" max="4" width="9.42578125" style="22" hidden="1" customWidth="1" outlineLevel="1" collapsed="1"/>
    <col min="5" max="5" width="9.85546875" style="22" hidden="1" customWidth="1" outlineLevel="1"/>
    <col min="6" max="6" width="9.5703125" style="22" hidden="1" customWidth="1" outlineLevel="1"/>
    <col min="7" max="7" width="10" style="22" hidden="1" customWidth="1" outlineLevel="1" collapsed="1"/>
    <col min="8" max="9" width="10" style="22" hidden="1" customWidth="1" outlineLevel="1"/>
    <col min="10" max="10" width="9.5703125" style="22" hidden="1" customWidth="1" outlineLevel="1"/>
    <col min="11" max="14" width="10" style="22" hidden="1" customWidth="1" outlineLevel="1"/>
    <col min="15" max="15" width="11.140625" style="22" hidden="1" customWidth="1" outlineLevel="1"/>
    <col min="16" max="16" width="10" style="22" hidden="1" customWidth="1" outlineLevel="1"/>
    <col min="17" max="17" width="7.5703125" style="22" hidden="1" customWidth="1" outlineLevel="1"/>
    <col min="18" max="18" width="10" style="22" hidden="1" customWidth="1" outlineLevel="1"/>
    <col min="19" max="19" width="10" style="22" customWidth="1" collapsed="1"/>
    <col min="20" max="30" width="10" style="22" customWidth="1"/>
    <col min="31" max="31" width="7.85546875" style="22" customWidth="1"/>
    <col min="32" max="32" width="2.140625" style="22" customWidth="1"/>
    <col min="33" max="33" width="7.85546875" style="22" customWidth="1"/>
    <col min="34" max="34" width="2.28515625" style="22" customWidth="1"/>
    <col min="35" max="35" width="7.85546875" style="22" customWidth="1"/>
    <col min="36" max="36" width="2.28515625" style="22" customWidth="1"/>
    <col min="37" max="16384" width="9.140625" style="22"/>
  </cols>
  <sheetData>
    <row r="1" spans="1:35">
      <c r="A1" s="331" t="str">
        <f>sumry!A1</f>
        <v>Abercrombie &amp; Fitch</v>
      </c>
      <c r="B1" s="325"/>
      <c r="C1" s="325"/>
      <c r="D1" s="325"/>
      <c r="E1" s="325"/>
      <c r="F1" s="325"/>
      <c r="G1" s="325"/>
      <c r="H1" s="325"/>
      <c r="I1" s="325"/>
      <c r="J1" s="325"/>
      <c r="K1" s="325"/>
      <c r="L1" s="332" t="s">
        <v>625</v>
      </c>
      <c r="M1" s="332"/>
      <c r="N1" s="332"/>
      <c r="O1" s="332"/>
      <c r="P1" s="1830"/>
      <c r="Q1" s="332"/>
      <c r="R1" s="332"/>
      <c r="S1" s="332"/>
      <c r="T1" s="332"/>
      <c r="U1" s="332"/>
      <c r="V1" s="332"/>
      <c r="W1" s="332"/>
      <c r="X1" s="332"/>
      <c r="Y1" s="332"/>
      <c r="Z1" s="332"/>
      <c r="AA1" s="332"/>
      <c r="AB1" s="332"/>
      <c r="AC1" s="332"/>
      <c r="AD1" s="332"/>
      <c r="AE1" s="325"/>
      <c r="AF1" s="325"/>
      <c r="AG1" s="325"/>
      <c r="AH1" s="325"/>
    </row>
    <row r="2" spans="1:35">
      <c r="A2" s="330" t="s">
        <v>738</v>
      </c>
      <c r="B2" s="327"/>
      <c r="C2" s="327"/>
      <c r="D2" s="327"/>
      <c r="E2" s="327"/>
      <c r="F2" s="327"/>
      <c r="G2" s="327"/>
      <c r="H2" s="327"/>
      <c r="I2" s="327"/>
      <c r="J2" s="327"/>
      <c r="K2" s="327"/>
      <c r="L2" s="327" t="s">
        <v>626</v>
      </c>
      <c r="M2" s="327"/>
      <c r="N2" s="327"/>
      <c r="O2" s="327"/>
      <c r="P2" s="352"/>
      <c r="Q2" s="327"/>
      <c r="R2" s="327"/>
      <c r="S2" s="327"/>
      <c r="T2" s="327"/>
      <c r="U2" s="327"/>
      <c r="V2" s="327"/>
      <c r="W2" s="327"/>
      <c r="X2" s="327"/>
      <c r="Y2" s="327"/>
      <c r="Z2" s="327"/>
      <c r="AA2" s="327"/>
      <c r="AB2" s="327"/>
      <c r="AC2" s="327"/>
      <c r="AD2" s="327"/>
      <c r="AE2" s="327"/>
      <c r="AF2" s="327"/>
      <c r="AG2" s="327"/>
      <c r="AH2" s="327"/>
    </row>
    <row r="3" spans="1:35" hidden="1">
      <c r="A3" s="21"/>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row>
    <row r="4" spans="1:35" ht="12.75" customHeight="1">
      <c r="A4" s="3"/>
      <c r="B4" s="1"/>
      <c r="C4" s="1"/>
      <c r="D4" s="1"/>
      <c r="E4" s="1"/>
      <c r="F4" s="1"/>
      <c r="G4" s="1"/>
      <c r="H4" s="1"/>
      <c r="I4" s="1"/>
      <c r="J4" s="1"/>
      <c r="K4" s="1"/>
      <c r="L4" s="1"/>
      <c r="M4" s="1"/>
      <c r="N4" s="1"/>
      <c r="O4" s="1"/>
      <c r="P4" s="1"/>
      <c r="Q4" s="1"/>
      <c r="R4" s="1"/>
      <c r="S4" s="1"/>
      <c r="T4" s="1"/>
      <c r="U4" s="1"/>
      <c r="V4" s="50"/>
      <c r="W4" s="50"/>
      <c r="X4" s="50"/>
      <c r="Y4" s="50"/>
      <c r="Z4" s="50"/>
      <c r="AA4" s="50"/>
      <c r="AB4" s="50"/>
      <c r="AC4" s="50"/>
      <c r="AD4" s="50"/>
      <c r="AE4" s="91"/>
      <c r="AF4" s="85" t="s">
        <v>75</v>
      </c>
      <c r="AG4" s="91"/>
      <c r="AH4" s="357"/>
    </row>
    <row r="5" spans="1:35">
      <c r="A5" s="4"/>
      <c r="B5" s="78">
        <v>1994</v>
      </c>
      <c r="C5" s="48">
        <f t="shared" ref="C5:L5" si="0">B5+1</f>
        <v>1995</v>
      </c>
      <c r="D5" s="48">
        <f t="shared" si="0"/>
        <v>1996</v>
      </c>
      <c r="E5" s="48">
        <f t="shared" si="0"/>
        <v>1997</v>
      </c>
      <c r="F5" s="48">
        <f t="shared" si="0"/>
        <v>1998</v>
      </c>
      <c r="G5" s="48">
        <f t="shared" si="0"/>
        <v>1999</v>
      </c>
      <c r="H5" s="48">
        <f t="shared" si="0"/>
        <v>2000</v>
      </c>
      <c r="I5" s="48">
        <f t="shared" si="0"/>
        <v>2001</v>
      </c>
      <c r="J5" s="48">
        <f t="shared" si="0"/>
        <v>2002</v>
      </c>
      <c r="K5" s="48">
        <f t="shared" si="0"/>
        <v>2003</v>
      </c>
      <c r="L5" s="48">
        <f t="shared" si="0"/>
        <v>2004</v>
      </c>
      <c r="M5" s="48">
        <f t="shared" ref="M5:S5" si="1">L5+1</f>
        <v>2005</v>
      </c>
      <c r="N5" s="48">
        <f t="shared" si="1"/>
        <v>2006</v>
      </c>
      <c r="O5" s="48">
        <f t="shared" si="1"/>
        <v>2007</v>
      </c>
      <c r="P5" s="48">
        <f t="shared" si="1"/>
        <v>2008</v>
      </c>
      <c r="Q5" s="48">
        <f t="shared" si="1"/>
        <v>2009</v>
      </c>
      <c r="R5" s="48">
        <f t="shared" si="1"/>
        <v>2010</v>
      </c>
      <c r="S5" s="48">
        <f t="shared" si="1"/>
        <v>2011</v>
      </c>
      <c r="T5" s="48">
        <f t="shared" ref="T5:Y5" si="2">S5+1</f>
        <v>2012</v>
      </c>
      <c r="U5" s="48">
        <f t="shared" si="2"/>
        <v>2013</v>
      </c>
      <c r="V5" s="48">
        <f t="shared" si="2"/>
        <v>2014</v>
      </c>
      <c r="W5" s="48">
        <f t="shared" si="2"/>
        <v>2015</v>
      </c>
      <c r="X5" s="48">
        <f t="shared" si="2"/>
        <v>2016</v>
      </c>
      <c r="Y5" s="48">
        <f t="shared" si="2"/>
        <v>2017</v>
      </c>
      <c r="Z5" s="1837">
        <f>Y5+1</f>
        <v>2018</v>
      </c>
      <c r="AA5" s="256">
        <f>Z5+1</f>
        <v>2019</v>
      </c>
      <c r="AB5" s="256">
        <f>AA5+1</f>
        <v>2020</v>
      </c>
      <c r="AC5" s="1837">
        <f>AB5+1</f>
        <v>2021</v>
      </c>
      <c r="AD5" s="700">
        <f>AC5+1</f>
        <v>2022</v>
      </c>
      <c r="AE5" s="748" t="str">
        <f>+'yrP&amp;L'!AI5</f>
        <v>12-17A</v>
      </c>
      <c r="AF5" s="358"/>
      <c r="AG5" s="85" t="str">
        <f>+'yrP&amp;L'!AK5</f>
        <v>'17-22E</v>
      </c>
      <c r="AH5" s="749"/>
    </row>
    <row r="6" spans="1:35">
      <c r="A6" s="1"/>
      <c r="B6" s="1"/>
      <c r="C6" s="1"/>
      <c r="D6" s="7"/>
      <c r="E6" s="7"/>
      <c r="F6" s="1"/>
      <c r="G6" s="1"/>
      <c r="H6" s="1"/>
      <c r="I6" s="1"/>
      <c r="J6" s="1"/>
      <c r="K6" s="278"/>
      <c r="L6" s="278"/>
      <c r="M6" s="278"/>
      <c r="N6" s="1"/>
      <c r="O6" s="1"/>
      <c r="P6" s="1"/>
      <c r="Q6" s="1"/>
      <c r="R6" s="1"/>
      <c r="S6" s="1"/>
      <c r="T6" s="1"/>
      <c r="U6" s="1"/>
      <c r="V6" s="50"/>
      <c r="W6" t="s">
        <v>794</v>
      </c>
      <c r="X6" s="50"/>
      <c r="Y6" s="50"/>
      <c r="Z6" s="50"/>
      <c r="AA6" s="50"/>
      <c r="AB6" s="50"/>
      <c r="AC6" s="50"/>
      <c r="AD6" s="647"/>
      <c r="AE6" s="81"/>
      <c r="AF6" s="50"/>
      <c r="AG6" s="106"/>
      <c r="AH6" s="647"/>
    </row>
    <row r="7" spans="1:35">
      <c r="A7" s="1" t="s">
        <v>697</v>
      </c>
      <c r="B7" s="1"/>
      <c r="C7" s="1"/>
      <c r="D7" s="7"/>
      <c r="E7" s="7"/>
      <c r="F7" s="1"/>
      <c r="G7" s="15">
        <f>G202-G62-G110</f>
        <v>962.96311799999989</v>
      </c>
      <c r="H7" s="15">
        <f>H202-H62-H110</f>
        <v>1093.2937980000002</v>
      </c>
      <c r="I7" s="15">
        <f>I202-I62-I110</f>
        <v>1107.348428</v>
      </c>
      <c r="J7" s="15">
        <f>SegqtrSales!AI17</f>
        <v>1171.5297128</v>
      </c>
      <c r="K7" s="15">
        <f>SegqtrSales!AI24</f>
        <v>1107.1173030199998</v>
      </c>
      <c r="L7" s="15">
        <f>SegqtrSales!AI31</f>
        <v>1116.3199920300003</v>
      </c>
      <c r="M7" s="15">
        <f>SegqtrSales!AI38</f>
        <v>1337.2182700000003</v>
      </c>
      <c r="N7" s="15">
        <f>SegqtrSales!AI45</f>
        <v>1393.8579999999999</v>
      </c>
      <c r="O7" s="15">
        <f>O11-O9</f>
        <v>1466.4190000000001</v>
      </c>
      <c r="P7" s="15">
        <f>SegqtrSales!AI59</f>
        <v>1345.4780000000001</v>
      </c>
      <c r="Q7" s="15">
        <f>SegqtrSales!$AI$66</f>
        <v>1103.1438333333333</v>
      </c>
      <c r="R7" s="15">
        <f>SegqtrSales!$AI$73</f>
        <v>1258.9450000000002</v>
      </c>
      <c r="S7" s="15">
        <f>SegqtrSales!S80</f>
        <v>1347.2909999999999</v>
      </c>
      <c r="T7" s="15">
        <f>SegqtrSales!S87</f>
        <v>1304.0022300000001</v>
      </c>
      <c r="U7" s="15">
        <f>SegqtrSales!S94</f>
        <v>1109.547785</v>
      </c>
      <c r="V7" s="586">
        <f>SegqtrSales!S101</f>
        <v>980.08237499999996</v>
      </c>
      <c r="W7" s="2010">
        <f>SegqtrSales!S108</f>
        <v>1051.4302089999999</v>
      </c>
      <c r="X7" s="2010">
        <f>SegqtrSales!S115</f>
        <v>880.4343550000001</v>
      </c>
      <c r="Y7" s="2010">
        <f>SegqtrSales!S122</f>
        <v>760.99910450000004</v>
      </c>
      <c r="Z7" s="2010">
        <f>SegqtrSales!S129</f>
        <v>748.26118827150003</v>
      </c>
      <c r="AA7" s="2011">
        <f>((Z7+((Z17+Z18)*(Z24*25%)))*(1+AA39))+(AA17*Z24*1.25)</f>
        <v>718.61670689448647</v>
      </c>
      <c r="AB7" s="2011">
        <f>((AA7+((AA17+AA18)*(AA24*25%)))*(1+AB39))+(AB17*AA24*1.25)</f>
        <v>683.38161221615962</v>
      </c>
      <c r="AC7" s="2011">
        <f>((AB7+((AB17+AB18)*(AB24*25%)))*(1+AC39))+(AC17*AB24*1.25)</f>
        <v>641.3044424263486</v>
      </c>
      <c r="AD7" s="2011">
        <f>((AC7+((AC17+AC18)*(AC24*25%)))*(1+AD39))+(AD17*AC24*1.25)</f>
        <v>608.89750252820545</v>
      </c>
      <c r="AE7" s="81"/>
      <c r="AF7" s="50"/>
      <c r="AG7" s="106"/>
      <c r="AH7" s="647"/>
    </row>
    <row r="8" spans="1:35">
      <c r="A8" s="210" t="s">
        <v>77</v>
      </c>
      <c r="B8" s="1"/>
      <c r="C8" s="1"/>
      <c r="D8" s="7"/>
      <c r="E8" s="7"/>
      <c r="F8" s="1"/>
      <c r="G8" s="1"/>
      <c r="H8" s="1"/>
      <c r="I8" s="1"/>
      <c r="J8" s="278"/>
      <c r="K8" s="281">
        <f t="shared" ref="K8:R8" si="3">K7/J7-1</f>
        <v>-5.4981456361061554E-2</v>
      </c>
      <c r="L8" s="281">
        <f t="shared" si="3"/>
        <v>8.3122980599232843E-3</v>
      </c>
      <c r="M8" s="281">
        <f t="shared" si="3"/>
        <v>0.19788078646544882</v>
      </c>
      <c r="N8" s="281">
        <f t="shared" si="3"/>
        <v>4.2356383599215786E-2</v>
      </c>
      <c r="O8" s="281">
        <f t="shared" si="3"/>
        <v>5.2057670150044144E-2</v>
      </c>
      <c r="P8" s="281">
        <f t="shared" si="3"/>
        <v>-8.2473699536080747E-2</v>
      </c>
      <c r="Q8" s="18">
        <f t="shared" si="3"/>
        <v>-0.18011009222496899</v>
      </c>
      <c r="R8" s="18">
        <f t="shared" si="3"/>
        <v>0.14123377383698688</v>
      </c>
      <c r="S8" s="18">
        <f t="shared" ref="S8:Z8" si="4">S7/R7-1</f>
        <v>7.0174630345249289E-2</v>
      </c>
      <c r="T8" s="18">
        <f t="shared" si="4"/>
        <v>-3.2130230217525257E-2</v>
      </c>
      <c r="U8" s="18">
        <f t="shared" si="4"/>
        <v>-0.14912125188620273</v>
      </c>
      <c r="V8" s="576">
        <f t="shared" si="4"/>
        <v>-0.11668304128064211</v>
      </c>
      <c r="W8" s="576">
        <f t="shared" si="4"/>
        <v>7.2797793144683265E-2</v>
      </c>
      <c r="X8" s="576">
        <f>X7/W7-1</f>
        <v>-0.16263167306428405</v>
      </c>
      <c r="Y8" s="576">
        <f t="shared" si="4"/>
        <v>-0.13565491830449983</v>
      </c>
      <c r="Z8" s="576">
        <f t="shared" si="4"/>
        <v>-1.6738411587053359E-2</v>
      </c>
      <c r="AA8" s="576">
        <f>AA7/Z7-1</f>
        <v>-3.9617825756127933E-2</v>
      </c>
      <c r="AB8" s="576">
        <f>AB7/AA7-1</f>
        <v>-4.9031833438156314E-2</v>
      </c>
      <c r="AC8" s="576">
        <f>AC7/AB7-1</f>
        <v>-6.1571995847763072E-2</v>
      </c>
      <c r="AD8" s="733">
        <f>AD7/AC7-1</f>
        <v>-5.0532847980177431E-2</v>
      </c>
      <c r="AE8" s="81"/>
      <c r="AF8" s="50"/>
      <c r="AG8" s="106"/>
      <c r="AH8" s="647"/>
    </row>
    <row r="9" spans="1:35" ht="14.25">
      <c r="A9" s="13" t="s">
        <v>358</v>
      </c>
      <c r="B9" s="1"/>
      <c r="C9" s="1"/>
      <c r="D9" s="7"/>
      <c r="E9" s="7"/>
      <c r="F9" s="1"/>
      <c r="G9" s="284">
        <f>G11-G7</f>
        <v>29.894882000000052</v>
      </c>
      <c r="H9" s="284">
        <f>H11-H7</f>
        <v>47.02895199999989</v>
      </c>
      <c r="I9" s="284">
        <f>I11-I7</f>
        <v>57.173322000000098</v>
      </c>
      <c r="J9" s="284">
        <f>SegqtrSales!AS17</f>
        <v>66.968287200000006</v>
      </c>
      <c r="K9" s="284">
        <f>SegqtrSales!AS24</f>
        <v>73.528696980000007</v>
      </c>
      <c r="L9" s="284">
        <f>SegqtrSales!AS31</f>
        <v>93.902007969999673</v>
      </c>
      <c r="M9" s="284">
        <f>SegqtrSales!AS38</f>
        <v>86.794729999999589</v>
      </c>
      <c r="N9" s="284">
        <f>SegqtrSales!AS45</f>
        <v>121.26499999999999</v>
      </c>
      <c r="O9" s="284">
        <f>SegqtrSales!AS52</f>
        <v>172.51</v>
      </c>
      <c r="P9" s="284">
        <f>SegqtrSales!AS59</f>
        <v>186.02</v>
      </c>
      <c r="Q9" s="284">
        <f>SegqtrSales!$AS$66</f>
        <v>169.15616666666668</v>
      </c>
      <c r="R9" s="284">
        <f>SegqtrSales!$AS$73</f>
        <v>234.25499999999997</v>
      </c>
      <c r="S9" s="284">
        <f>SegqtrSales!$AS$80</f>
        <v>317.84400000000005</v>
      </c>
      <c r="T9" s="284">
        <f>SegqtrSales!$AS$87</f>
        <v>400.16976999999997</v>
      </c>
      <c r="U9" s="284">
        <f>SegqtrSales!$AS$94</f>
        <v>437.75221500000009</v>
      </c>
      <c r="V9" s="577">
        <f>SegqtrSales!AS101</f>
        <v>469.81762500000002</v>
      </c>
      <c r="W9" s="577">
        <f>SegqtrSales!AS108</f>
        <v>589.86979100000008</v>
      </c>
      <c r="X9" s="577">
        <f>SegqtrSales!AS115</f>
        <v>606.66564500000004</v>
      </c>
      <c r="Y9" s="577">
        <f>SegqtrSales!AS122</f>
        <v>693.10089549999998</v>
      </c>
      <c r="Z9" s="577">
        <f>SegqtrSales!AS129</f>
        <v>700.1488984849999</v>
      </c>
      <c r="AA9" s="577">
        <f>Z9*(1+AA10)</f>
        <v>721.15336543954993</v>
      </c>
      <c r="AB9" s="577">
        <f>AA9*(1+AB10)</f>
        <v>742.7879664027364</v>
      </c>
      <c r="AC9" s="577">
        <f>AB9*(1+AC10)</f>
        <v>765.07160539481856</v>
      </c>
      <c r="AD9" s="734">
        <f>AC9*(1+AD10)</f>
        <v>788.02375355666311</v>
      </c>
      <c r="AE9" s="81"/>
      <c r="AF9" s="50"/>
      <c r="AG9" s="106"/>
      <c r="AH9" s="647"/>
    </row>
    <row r="10" spans="1:35">
      <c r="A10" s="210" t="s">
        <v>77</v>
      </c>
      <c r="B10" s="1"/>
      <c r="C10" s="1"/>
      <c r="D10" s="7"/>
      <c r="E10" s="7"/>
      <c r="F10" s="1"/>
      <c r="G10" s="285"/>
      <c r="H10" s="285"/>
      <c r="I10" s="285"/>
      <c r="J10" s="285"/>
      <c r="K10" s="286">
        <f t="shared" ref="K10:R10" si="5">K9/J9-1</f>
        <v>9.796293222204433E-2</v>
      </c>
      <c r="L10" s="286">
        <f t="shared" si="5"/>
        <v>0.27707972297593231</v>
      </c>
      <c r="M10" s="286">
        <f t="shared" si="5"/>
        <v>-7.5688242707980802E-2</v>
      </c>
      <c r="N10" s="286">
        <f t="shared" si="5"/>
        <v>0.39714703876606983</v>
      </c>
      <c r="O10" s="286">
        <f t="shared" si="5"/>
        <v>0.42258689646641656</v>
      </c>
      <c r="P10" s="286">
        <f t="shared" si="5"/>
        <v>7.8314300620254018E-2</v>
      </c>
      <c r="Q10" s="286">
        <f t="shared" si="5"/>
        <v>-9.0656022649894252E-2</v>
      </c>
      <c r="R10" s="286">
        <f t="shared" si="5"/>
        <v>0.38484457655992421</v>
      </c>
      <c r="S10" s="286">
        <f t="shared" ref="S10:Y10" si="6">S205</f>
        <v>0.36419753086419759</v>
      </c>
      <c r="T10" s="286">
        <f>T205</f>
        <v>0.26810678733031668</v>
      </c>
      <c r="U10" s="286">
        <f t="shared" si="6"/>
        <v>0.10888358888941219</v>
      </c>
      <c r="V10" s="286">
        <f t="shared" si="6"/>
        <v>7.1598473966297371E-2</v>
      </c>
      <c r="W10" s="286">
        <f t="shared" si="6"/>
        <v>-1.8325321725507493E-3</v>
      </c>
      <c r="X10" s="286">
        <f>X205</f>
        <v>2.8757232378848085E-2</v>
      </c>
      <c r="Y10" s="286">
        <f t="shared" si="6"/>
        <v>0.14326621153866359</v>
      </c>
      <c r="Z10" s="575">
        <f>Z205</f>
        <v>9.9101069100695494E-3</v>
      </c>
      <c r="AA10" s="286">
        <f>AA205</f>
        <v>3.0000000000000027E-2</v>
      </c>
      <c r="AB10" s="286">
        <f>AB205</f>
        <v>3.0000000000000027E-2</v>
      </c>
      <c r="AC10" s="575">
        <f>AC205</f>
        <v>3.0000000000000027E-2</v>
      </c>
      <c r="AD10" s="369">
        <f>AD205</f>
        <v>3.0000000000000027E-2</v>
      </c>
      <c r="AE10" s="81"/>
      <c r="AF10" s="50"/>
      <c r="AG10" s="106"/>
      <c r="AH10" s="647"/>
    </row>
    <row r="11" spans="1:35">
      <c r="A11" s="210" t="s">
        <v>649</v>
      </c>
      <c r="B11" s="15">
        <f t="shared" ref="B11:I11" si="7">B206-B62-B110</f>
        <v>165.46300000000002</v>
      </c>
      <c r="C11" s="15">
        <f t="shared" si="7"/>
        <v>235.65899999999999</v>
      </c>
      <c r="D11" s="15">
        <f t="shared" si="7"/>
        <v>335.37200000000001</v>
      </c>
      <c r="E11" s="15">
        <f t="shared" si="7"/>
        <v>521.61699999999996</v>
      </c>
      <c r="F11" s="15">
        <f t="shared" si="7"/>
        <v>795.18000000000006</v>
      </c>
      <c r="G11" s="288">
        <f t="shared" si="7"/>
        <v>992.85799999999995</v>
      </c>
      <c r="H11" s="288">
        <f t="shared" si="7"/>
        <v>1140.32275</v>
      </c>
      <c r="I11" s="288">
        <f t="shared" si="7"/>
        <v>1164.5217500000001</v>
      </c>
      <c r="J11" s="288">
        <f>J7+J9</f>
        <v>1238.498</v>
      </c>
      <c r="K11" s="288">
        <f>K7+K9</f>
        <v>1180.6459999999997</v>
      </c>
      <c r="L11" s="288">
        <f>L7+L9</f>
        <v>1210.222</v>
      </c>
      <c r="M11" s="288">
        <f>M7+M9</f>
        <v>1424.0129999999999</v>
      </c>
      <c r="N11" s="288">
        <f>N7+N9</f>
        <v>1515.123</v>
      </c>
      <c r="O11" s="288">
        <f>SegqtrSales!AY52</f>
        <v>1638.9290000000001</v>
      </c>
      <c r="P11" s="290">
        <f>P7+P9</f>
        <v>1531.498</v>
      </c>
      <c r="Q11" s="290">
        <f t="shared" ref="Q11:V11" si="8">Q9+Q7</f>
        <v>1272.3</v>
      </c>
      <c r="R11" s="290">
        <f t="shared" si="8"/>
        <v>1493.2</v>
      </c>
      <c r="S11" s="290">
        <f t="shared" si="8"/>
        <v>1665.135</v>
      </c>
      <c r="T11" s="290">
        <f t="shared" si="8"/>
        <v>1704.172</v>
      </c>
      <c r="U11" s="290">
        <f t="shared" si="8"/>
        <v>1547.3000000000002</v>
      </c>
      <c r="V11" s="578">
        <f t="shared" si="8"/>
        <v>1449.9</v>
      </c>
      <c r="W11" s="578">
        <f t="shared" ref="W11:AB11" si="9">W9+W7</f>
        <v>1641.3</v>
      </c>
      <c r="X11" s="1957">
        <f t="shared" si="9"/>
        <v>1487.1000000000001</v>
      </c>
      <c r="Y11" s="578">
        <f t="shared" si="9"/>
        <v>1454.1</v>
      </c>
      <c r="Z11" s="578">
        <f t="shared" si="9"/>
        <v>1448.4100867564998</v>
      </c>
      <c r="AA11" s="578">
        <f t="shared" si="9"/>
        <v>1439.7700723340363</v>
      </c>
      <c r="AB11" s="578">
        <f t="shared" si="9"/>
        <v>1426.1695786188961</v>
      </c>
      <c r="AC11" s="578">
        <f>AC9+AC7</f>
        <v>1406.376047821167</v>
      </c>
      <c r="AD11" s="735">
        <f>AD9+AD7</f>
        <v>1396.9212560848687</v>
      </c>
      <c r="AE11" s="750">
        <f>((Y11/T11)^(1/5)-1)*100</f>
        <v>-3.1240064094496311</v>
      </c>
      <c r="AF11" s="79" t="s">
        <v>76</v>
      </c>
      <c r="AG11" s="49">
        <f>((AD11/Y11)^(1/5)-1)*100</f>
        <v>-0.79911873907092534</v>
      </c>
      <c r="AH11" s="751" t="s">
        <v>76</v>
      </c>
      <c r="AI11" s="114"/>
    </row>
    <row r="12" spans="1:35">
      <c r="A12" s="210" t="s">
        <v>77</v>
      </c>
      <c r="B12" s="7"/>
      <c r="C12" s="7">
        <f t="shared" ref="C12:W12" si="10">C11/B11-1</f>
        <v>0.42423986027087612</v>
      </c>
      <c r="D12" s="7">
        <f t="shared" si="10"/>
        <v>0.42312409031694109</v>
      </c>
      <c r="E12" s="7">
        <f t="shared" si="10"/>
        <v>0.5553385494316756</v>
      </c>
      <c r="F12" s="7">
        <f t="shared" si="10"/>
        <v>0.52445184877026652</v>
      </c>
      <c r="G12" s="7">
        <f t="shared" si="10"/>
        <v>0.24859528660177554</v>
      </c>
      <c r="H12" s="7">
        <f>H11/G11-1</f>
        <v>0.14852551925854462</v>
      </c>
      <c r="I12" s="7">
        <f>I11/H11-1</f>
        <v>2.1221184967150863E-2</v>
      </c>
      <c r="J12" s="7">
        <f t="shared" si="10"/>
        <v>6.352500500742031E-2</v>
      </c>
      <c r="K12" s="7">
        <f>K11/J11-1</f>
        <v>-4.6711419800435916E-2</v>
      </c>
      <c r="L12" s="7">
        <f t="shared" si="10"/>
        <v>2.5050692586939816E-2</v>
      </c>
      <c r="M12" s="7">
        <f t="shared" si="10"/>
        <v>0.17665436589319961</v>
      </c>
      <c r="N12" s="7">
        <f>N11/M11-1</f>
        <v>6.3981157475388351E-2</v>
      </c>
      <c r="O12" s="7">
        <f t="shared" si="10"/>
        <v>8.1713497848029615E-2</v>
      </c>
      <c r="P12" s="7">
        <f t="shared" si="10"/>
        <v>-6.5549514347479354E-2</v>
      </c>
      <c r="Q12" s="7">
        <f t="shared" si="10"/>
        <v>-0.16924475252334648</v>
      </c>
      <c r="R12" s="7">
        <f t="shared" si="10"/>
        <v>0.17362257329246256</v>
      </c>
      <c r="S12" s="7">
        <f t="shared" si="10"/>
        <v>0.11514532547548884</v>
      </c>
      <c r="T12" s="7">
        <f t="shared" si="10"/>
        <v>2.3443744801472599E-2</v>
      </c>
      <c r="U12" s="7">
        <f t="shared" si="10"/>
        <v>-9.2051741256164221E-2</v>
      </c>
      <c r="V12" s="118">
        <f t="shared" si="10"/>
        <v>-6.2948361662250374E-2</v>
      </c>
      <c r="W12" s="118">
        <f t="shared" si="10"/>
        <v>0.13200910407614308</v>
      </c>
      <c r="X12" s="118">
        <f t="shared" ref="X12:AD12" si="11">X11/W11-1</f>
        <v>-9.3949917748126333E-2</v>
      </c>
      <c r="Y12" s="118">
        <f t="shared" si="11"/>
        <v>-2.2190841234617897E-2</v>
      </c>
      <c r="Z12" s="118">
        <f t="shared" si="11"/>
        <v>-3.9130137153566835E-3</v>
      </c>
      <c r="AA12" s="118">
        <f t="shared" si="11"/>
        <v>-5.9651713982546983E-3</v>
      </c>
      <c r="AB12" s="118">
        <f t="shared" si="11"/>
        <v>-9.4462956110014096E-3</v>
      </c>
      <c r="AC12" s="118">
        <f t="shared" si="11"/>
        <v>-1.3878805924956827E-2</v>
      </c>
      <c r="AD12" s="736">
        <f t="shared" si="11"/>
        <v>-6.7228048649905503E-3</v>
      </c>
      <c r="AE12" s="750"/>
      <c r="AF12" s="50"/>
      <c r="AG12" s="49"/>
      <c r="AH12" s="647"/>
      <c r="AI12" s="114"/>
    </row>
    <row r="13" spans="1:35">
      <c r="A13" s="210" t="s">
        <v>723</v>
      </c>
      <c r="B13" s="7"/>
      <c r="C13" s="7"/>
      <c r="D13" s="7"/>
      <c r="E13" s="7"/>
      <c r="F13" s="7"/>
      <c r="G13" s="7"/>
      <c r="H13" s="7"/>
      <c r="I13" s="7"/>
      <c r="J13" s="7">
        <f t="shared" ref="J13:S13" si="12">+J11/J$206</f>
        <v>0.77611942169139803</v>
      </c>
      <c r="K13" s="7">
        <f t="shared" si="12"/>
        <v>0.69132203893995148</v>
      </c>
      <c r="L13" s="7">
        <f t="shared" si="12"/>
        <v>0.59874810389985622</v>
      </c>
      <c r="M13" s="7">
        <f t="shared" si="12"/>
        <v>0.51136832511524533</v>
      </c>
      <c r="N13" s="7">
        <f t="shared" si="12"/>
        <v>0.45661568858384682</v>
      </c>
      <c r="O13" s="7">
        <f t="shared" si="12"/>
        <v>0.4370655656084102</v>
      </c>
      <c r="P13" s="7">
        <f t="shared" si="12"/>
        <v>0.43479006411848786</v>
      </c>
      <c r="Q13" s="7">
        <f t="shared" si="12"/>
        <v>0.43164960378675205</v>
      </c>
      <c r="R13" s="7">
        <f t="shared" si="12"/>
        <v>0.43551303739135505</v>
      </c>
      <c r="S13" s="7">
        <f t="shared" si="12"/>
        <v>0.40761769588114294</v>
      </c>
      <c r="T13" s="7">
        <f t="shared" ref="T13:Y13" si="13">+T11/T$206</f>
        <v>0.37779775450279934</v>
      </c>
      <c r="U13" s="7">
        <f t="shared" si="13"/>
        <v>0.37584131932375286</v>
      </c>
      <c r="V13" s="118">
        <f t="shared" si="13"/>
        <v>0.38725651236768943</v>
      </c>
      <c r="W13" s="118">
        <f t="shared" si="13"/>
        <v>0.46645332908931753</v>
      </c>
      <c r="X13" s="118">
        <f>+X11/X$206</f>
        <v>0.44701419407588217</v>
      </c>
      <c r="Y13" s="118">
        <f t="shared" si="13"/>
        <v>0.41632667084682579</v>
      </c>
      <c r="Z13" s="118">
        <f>+Z11/Z$206</f>
        <v>0.41290414612391402</v>
      </c>
      <c r="AA13" s="118">
        <f>+AA11/AA$206</f>
        <v>0.41123906137263266</v>
      </c>
      <c r="AB13" s="118">
        <f>+AB11/AB$206</f>
        <v>0.40954211686898606</v>
      </c>
      <c r="AC13" s="118">
        <f>+AC11/AC$206</f>
        <v>0.4067933853424906</v>
      </c>
      <c r="AD13" s="736">
        <f>+AD11/AD$206</f>
        <v>0.40518864315081976</v>
      </c>
      <c r="AE13" s="750"/>
      <c r="AF13" s="50"/>
      <c r="AG13" s="49"/>
      <c r="AH13" s="647"/>
      <c r="AI13" s="114"/>
    </row>
    <row r="14" spans="1:35">
      <c r="A14" s="210"/>
      <c r="B14" s="7"/>
      <c r="C14" s="7"/>
      <c r="D14" s="7"/>
      <c r="E14" s="7"/>
      <c r="F14" s="7"/>
      <c r="G14" s="7"/>
      <c r="H14" s="7"/>
      <c r="I14" s="7"/>
      <c r="J14" s="7"/>
      <c r="K14" s="7"/>
      <c r="L14" s="7"/>
      <c r="M14" s="7"/>
      <c r="N14" s="7"/>
      <c r="O14" s="7"/>
      <c r="P14" s="7"/>
      <c r="Q14" s="356"/>
      <c r="R14" s="7"/>
      <c r="S14" s="7"/>
      <c r="T14" s="7"/>
      <c r="U14" s="7"/>
      <c r="V14" s="118"/>
      <c r="W14" s="118"/>
      <c r="X14" s="118"/>
      <c r="Y14" s="118"/>
      <c r="Z14" s="118"/>
      <c r="AA14" s="118"/>
      <c r="AB14" s="118"/>
      <c r="AC14" s="118"/>
      <c r="AD14" s="736"/>
      <c r="AE14" s="750"/>
      <c r="AF14" s="50"/>
      <c r="AG14" s="49"/>
      <c r="AH14" s="647"/>
      <c r="AI14" s="114"/>
    </row>
    <row r="15" spans="1:35">
      <c r="A15" s="337"/>
      <c r="B15" s="1"/>
      <c r="C15" s="1"/>
      <c r="D15" s="7"/>
      <c r="E15" s="7"/>
      <c r="F15" s="1"/>
      <c r="G15" s="1"/>
      <c r="H15" s="1"/>
      <c r="I15" s="1"/>
      <c r="J15" s="1"/>
      <c r="K15" s="1"/>
      <c r="L15" s="1"/>
      <c r="M15" s="1"/>
      <c r="N15" s="1"/>
      <c r="O15" s="1"/>
      <c r="P15" s="1"/>
      <c r="Q15" s="1"/>
      <c r="R15" s="1"/>
      <c r="S15" s="364"/>
      <c r="T15" s="1"/>
      <c r="U15" s="1"/>
      <c r="V15" s="50"/>
      <c r="W15" s="50"/>
      <c r="X15" s="50"/>
      <c r="Y15" s="50"/>
      <c r="Z15" s="50"/>
      <c r="AA15" s="50"/>
      <c r="AB15" s="50"/>
      <c r="AC15" s="50"/>
      <c r="AD15" s="647"/>
      <c r="AE15" s="750"/>
      <c r="AF15" s="50"/>
      <c r="AG15" s="49"/>
      <c r="AH15" s="647"/>
      <c r="AI15" s="114"/>
    </row>
    <row r="16" spans="1:35">
      <c r="A16" s="210" t="s">
        <v>78</v>
      </c>
      <c r="B16" s="42">
        <v>49</v>
      </c>
      <c r="C16" s="117">
        <f t="shared" ref="C16:P16" si="14">B20</f>
        <v>67</v>
      </c>
      <c r="D16" s="117">
        <f t="shared" si="14"/>
        <v>100</v>
      </c>
      <c r="E16" s="117">
        <f t="shared" si="14"/>
        <v>127</v>
      </c>
      <c r="F16" s="117">
        <f t="shared" si="14"/>
        <v>156</v>
      </c>
      <c r="G16" s="117">
        <f t="shared" si="14"/>
        <v>183</v>
      </c>
      <c r="H16" s="117">
        <f t="shared" si="14"/>
        <v>215</v>
      </c>
      <c r="I16" s="117">
        <f t="shared" si="14"/>
        <v>265</v>
      </c>
      <c r="J16" s="117">
        <f t="shared" si="14"/>
        <v>309</v>
      </c>
      <c r="K16" s="117">
        <f t="shared" si="14"/>
        <v>340</v>
      </c>
      <c r="L16" s="117">
        <f t="shared" si="14"/>
        <v>357</v>
      </c>
      <c r="M16" s="89">
        <f>L20</f>
        <v>357</v>
      </c>
      <c r="N16" s="89">
        <f t="shared" si="14"/>
        <v>361</v>
      </c>
      <c r="O16" s="89">
        <f t="shared" si="14"/>
        <v>360</v>
      </c>
      <c r="P16" s="89">
        <f t="shared" si="14"/>
        <v>359</v>
      </c>
      <c r="Q16" s="89">
        <f t="shared" ref="Q16:V16" si="15">P20</f>
        <v>356</v>
      </c>
      <c r="R16" s="89">
        <f t="shared" si="15"/>
        <v>346</v>
      </c>
      <c r="S16" s="89">
        <f t="shared" si="15"/>
        <v>325</v>
      </c>
      <c r="T16" s="89">
        <f t="shared" si="15"/>
        <v>294</v>
      </c>
      <c r="U16" s="89">
        <f t="shared" si="15"/>
        <v>285</v>
      </c>
      <c r="V16" s="579">
        <f t="shared" si="15"/>
        <v>275</v>
      </c>
      <c r="W16" s="579">
        <v>393</v>
      </c>
      <c r="X16" s="579">
        <f t="shared" ref="X16:AD16" si="16">W20</f>
        <v>379</v>
      </c>
      <c r="Y16" s="579">
        <f t="shared" si="16"/>
        <v>355</v>
      </c>
      <c r="Z16" s="579">
        <f t="shared" si="16"/>
        <v>330</v>
      </c>
      <c r="AA16" s="579">
        <f t="shared" si="16"/>
        <v>308</v>
      </c>
      <c r="AB16" s="579">
        <f t="shared" si="16"/>
        <v>281</v>
      </c>
      <c r="AC16" s="579">
        <f t="shared" si="16"/>
        <v>264</v>
      </c>
      <c r="AD16" s="737">
        <f t="shared" si="16"/>
        <v>254</v>
      </c>
      <c r="AE16" s="750"/>
      <c r="AF16" s="50"/>
      <c r="AG16" s="49"/>
      <c r="AH16" s="647"/>
      <c r="AI16" s="114"/>
    </row>
    <row r="17" spans="1:35">
      <c r="A17" s="211" t="s">
        <v>353</v>
      </c>
      <c r="B17" s="120">
        <v>20</v>
      </c>
      <c r="C17" s="134">
        <f>squft!W10</f>
        <v>33</v>
      </c>
      <c r="D17" s="134">
        <f>squft!$AA$10</f>
        <v>29</v>
      </c>
      <c r="E17" s="134">
        <f>squft!$AE$10</f>
        <v>30</v>
      </c>
      <c r="F17" s="134">
        <f>squft!$AI$10</f>
        <v>28</v>
      </c>
      <c r="G17" s="134">
        <f>squft!$AM$10</f>
        <v>32</v>
      </c>
      <c r="H17" s="134">
        <f>squft!$AQ$10</f>
        <v>50</v>
      </c>
      <c r="I17" s="134">
        <f>squft!$AU$10</f>
        <v>45</v>
      </c>
      <c r="J17" s="134">
        <f>squft!$AY$10</f>
        <v>33</v>
      </c>
      <c r="K17" s="134">
        <f>squft!$BC$10</f>
        <v>18</v>
      </c>
      <c r="L17" s="134">
        <f>squft!$BG$10</f>
        <v>14</v>
      </c>
      <c r="M17" s="4">
        <f>squft!$BK$10</f>
        <v>15</v>
      </c>
      <c r="N17" s="4">
        <f>squft!$BO$10</f>
        <v>8</v>
      </c>
      <c r="O17" s="4">
        <v>6</v>
      </c>
      <c r="P17" s="4">
        <f>squft!$BW$10</f>
        <v>2</v>
      </c>
      <c r="Q17" s="4">
        <f>squft!$CA$10+squft!$CA$11</f>
        <v>2</v>
      </c>
      <c r="R17" s="4">
        <f>squft!$CE$10+squft!$CE$11</f>
        <v>6</v>
      </c>
      <c r="S17" s="4">
        <f>squft!$CI$10+squft!$CI$11</f>
        <v>5</v>
      </c>
      <c r="T17" s="4">
        <f>squft!$CM$10+squft!$CM$11</f>
        <v>9</v>
      </c>
      <c r="U17" s="293">
        <f>squft!$CQ$10+squft!$CQ$11</f>
        <v>5</v>
      </c>
      <c r="V17" s="293">
        <f>squft!$CU$10+squft!$CU$11</f>
        <v>12</v>
      </c>
      <c r="W17" s="293">
        <f>squft!$CY$10+squft!$CY$11</f>
        <v>20</v>
      </c>
      <c r="X17" s="293">
        <f>squft!$DC$10+squft!$DC$11</f>
        <v>10</v>
      </c>
      <c r="Y17" s="293">
        <f>squft!$DG$10+squft!$DG$11</f>
        <v>3</v>
      </c>
      <c r="Z17" s="293">
        <f>squft!$DK$10+squft!$DK$11</f>
        <v>8</v>
      </c>
      <c r="AA17" s="293">
        <f>squft!$DO$10+squft!$DO$11</f>
        <v>3</v>
      </c>
      <c r="AB17" s="293">
        <f>squft!$DS$10+squft!$DS$11</f>
        <v>3</v>
      </c>
      <c r="AC17" s="293">
        <f>squft!$DW$10+squft!$DW$11</f>
        <v>0</v>
      </c>
      <c r="AD17" s="738">
        <f>squft!$EA$10+squft!$EA$11</f>
        <v>0</v>
      </c>
      <c r="AE17" s="750"/>
      <c r="AF17" s="50"/>
      <c r="AG17" s="49"/>
      <c r="AH17" s="647"/>
      <c r="AI17" s="114"/>
    </row>
    <row r="18" spans="1:35">
      <c r="A18" s="210" t="s">
        <v>79</v>
      </c>
      <c r="B18" s="134">
        <f>squft!$S$13</f>
        <v>-2</v>
      </c>
      <c r="C18" s="134">
        <f>squft!$W$13</f>
        <v>0</v>
      </c>
      <c r="D18" s="134">
        <f>squft!$AA$13</f>
        <v>-2</v>
      </c>
      <c r="E18" s="134">
        <f>squft!$AE$13</f>
        <v>-1</v>
      </c>
      <c r="F18" s="134">
        <f>squft!$AI$13</f>
        <v>-1</v>
      </c>
      <c r="G18" s="134">
        <f>squft!$AM$13</f>
        <v>0</v>
      </c>
      <c r="H18" s="134">
        <f>squft!$AQ$13</f>
        <v>0</v>
      </c>
      <c r="I18" s="134">
        <f>squft!$AU$13</f>
        <v>-1</v>
      </c>
      <c r="J18" s="134">
        <f>squft!$AY$13</f>
        <v>-2</v>
      </c>
      <c r="K18" s="134">
        <f>squft!$BC$13</f>
        <v>-1</v>
      </c>
      <c r="L18" s="134">
        <f>squft!$BG$13</f>
        <v>-14</v>
      </c>
      <c r="M18" s="134">
        <f>squft!$BK$13</f>
        <v>-10</v>
      </c>
      <c r="N18" s="134">
        <v>-7</v>
      </c>
      <c r="O18" s="134">
        <f>squft!$BS$13</f>
        <v>-5</v>
      </c>
      <c r="P18" s="134">
        <f>squft!$BW$13</f>
        <v>-7</v>
      </c>
      <c r="Q18" s="4">
        <f>squft!$CA$13</f>
        <v>-12</v>
      </c>
      <c r="R18" s="4">
        <f>squft!$CE$13</f>
        <v>-27</v>
      </c>
      <c r="S18" s="215">
        <f>squft!$CI$13</f>
        <v>-36</v>
      </c>
      <c r="T18" s="125">
        <f>squft!$CM$13</f>
        <v>-18</v>
      </c>
      <c r="U18" s="125">
        <f>squft!$CQ$13</f>
        <v>-15</v>
      </c>
      <c r="V18" s="125">
        <f>squft!$CU$13</f>
        <v>-8</v>
      </c>
      <c r="W18" s="125">
        <f>squft!$CY$13</f>
        <v>-34</v>
      </c>
      <c r="X18" s="125">
        <f>squft!$DC$13</f>
        <v>-34</v>
      </c>
      <c r="Y18" s="125">
        <f>squft!$DG$13</f>
        <v>-28</v>
      </c>
      <c r="Z18" s="125">
        <f>squft!$DK$13</f>
        <v>-30</v>
      </c>
      <c r="AA18" s="125">
        <f>squft!$DO$13</f>
        <v>-30</v>
      </c>
      <c r="AB18" s="125">
        <f>squft!$DS$13</f>
        <v>-20</v>
      </c>
      <c r="AC18" s="125">
        <f>squft!$DW$13</f>
        <v>-10</v>
      </c>
      <c r="AD18" s="125">
        <f>squft!$EA$13</f>
        <v>-10</v>
      </c>
      <c r="AE18" s="750"/>
      <c r="AF18" s="50"/>
      <c r="AG18" s="49"/>
      <c r="AH18" s="647"/>
      <c r="AI18" s="114"/>
    </row>
    <row r="19" spans="1:35">
      <c r="A19" s="211" t="s">
        <v>57</v>
      </c>
      <c r="B19" s="134"/>
      <c r="C19" s="134"/>
      <c r="D19" s="134"/>
      <c r="E19" s="134"/>
      <c r="F19" s="134"/>
      <c r="G19" s="134"/>
      <c r="H19" s="134"/>
      <c r="I19" s="134"/>
      <c r="J19" s="134"/>
      <c r="K19" s="134"/>
      <c r="L19" s="134"/>
      <c r="M19" s="134">
        <f>+squft!BK12</f>
        <v>-1</v>
      </c>
      <c r="N19" s="134">
        <v>-2</v>
      </c>
      <c r="O19" s="134">
        <v>-2</v>
      </c>
      <c r="P19" s="134">
        <v>2</v>
      </c>
      <c r="Q19" s="4"/>
      <c r="R19" s="4"/>
      <c r="S19" s="4"/>
      <c r="T19" s="4"/>
      <c r="U19" s="4"/>
      <c r="V19" s="293"/>
      <c r="W19" s="293"/>
      <c r="X19" s="293"/>
      <c r="Y19" s="293"/>
      <c r="Z19" s="293"/>
      <c r="AA19" s="293"/>
      <c r="AB19" s="293"/>
      <c r="AC19" s="293"/>
      <c r="AD19" s="738"/>
      <c r="AE19" s="750"/>
      <c r="AF19" s="50"/>
      <c r="AG19" s="49"/>
      <c r="AH19" s="647"/>
      <c r="AI19" s="114"/>
    </row>
    <row r="20" spans="1:35">
      <c r="A20" s="210" t="s">
        <v>80</v>
      </c>
      <c r="B20" s="4">
        <f t="shared" ref="B20:K20" si="17">B16+B17+B18</f>
        <v>67</v>
      </c>
      <c r="C20" s="117">
        <f t="shared" si="17"/>
        <v>100</v>
      </c>
      <c r="D20" s="117">
        <f t="shared" si="17"/>
        <v>127</v>
      </c>
      <c r="E20" s="117">
        <f t="shared" si="17"/>
        <v>156</v>
      </c>
      <c r="F20" s="117">
        <f t="shared" si="17"/>
        <v>183</v>
      </c>
      <c r="G20" s="117">
        <f t="shared" si="17"/>
        <v>215</v>
      </c>
      <c r="H20" s="117">
        <f t="shared" si="17"/>
        <v>265</v>
      </c>
      <c r="I20" s="117">
        <f t="shared" si="17"/>
        <v>309</v>
      </c>
      <c r="J20" s="117">
        <f t="shared" si="17"/>
        <v>340</v>
      </c>
      <c r="K20" s="117">
        <f t="shared" si="17"/>
        <v>357</v>
      </c>
      <c r="L20" s="117">
        <f>L16+L17+L18</f>
        <v>357</v>
      </c>
      <c r="M20" s="134">
        <f t="shared" ref="M20:W20" si="18">M16+M17+M18+M19</f>
        <v>361</v>
      </c>
      <c r="N20" s="134">
        <f t="shared" si="18"/>
        <v>360</v>
      </c>
      <c r="O20" s="134">
        <f t="shared" si="18"/>
        <v>359</v>
      </c>
      <c r="P20" s="134">
        <f t="shared" si="18"/>
        <v>356</v>
      </c>
      <c r="Q20" s="134">
        <f t="shared" si="18"/>
        <v>346</v>
      </c>
      <c r="R20" s="134">
        <f t="shared" si="18"/>
        <v>325</v>
      </c>
      <c r="S20" s="134">
        <f>S16+S17+S18+S19</f>
        <v>294</v>
      </c>
      <c r="T20" s="134">
        <f>T16+T17+T18+T19</f>
        <v>285</v>
      </c>
      <c r="U20" s="134">
        <f>U16+U17+U18+U19</f>
        <v>275</v>
      </c>
      <c r="V20" s="581">
        <f t="shared" si="18"/>
        <v>279</v>
      </c>
      <c r="W20" s="581">
        <f t="shared" si="18"/>
        <v>379</v>
      </c>
      <c r="X20" s="581">
        <f t="shared" ref="X20:AC20" si="19">X16+X17+X18+X19</f>
        <v>355</v>
      </c>
      <c r="Y20" s="581">
        <f t="shared" si="19"/>
        <v>330</v>
      </c>
      <c r="Z20" s="581">
        <f t="shared" si="19"/>
        <v>308</v>
      </c>
      <c r="AA20" s="581">
        <f t="shared" si="19"/>
        <v>281</v>
      </c>
      <c r="AB20" s="581">
        <f t="shared" si="19"/>
        <v>264</v>
      </c>
      <c r="AC20" s="581">
        <f t="shared" si="19"/>
        <v>254</v>
      </c>
      <c r="AD20" s="739">
        <f t="shared" ref="AD20" si="20">AD16+AD17+AD18+AD19</f>
        <v>244</v>
      </c>
      <c r="AE20" s="750">
        <f>((Y20/T20)^(1/5)-1)*100</f>
        <v>2.9754778570413087</v>
      </c>
      <c r="AF20" s="79" t="s">
        <v>76</v>
      </c>
      <c r="AG20" s="49">
        <f>((AD20/Y20)^(1/5)-1)*100</f>
        <v>-5.8597868497000221</v>
      </c>
      <c r="AH20" s="751" t="s">
        <v>76</v>
      </c>
      <c r="AI20" s="114"/>
    </row>
    <row r="21" spans="1:35">
      <c r="A21" s="210" t="s">
        <v>81</v>
      </c>
      <c r="B21" s="339">
        <f t="shared" ref="B21:I21" si="21">AVERAGE(B16,B20)</f>
        <v>58</v>
      </c>
      <c r="C21" s="339">
        <f t="shared" si="21"/>
        <v>83.5</v>
      </c>
      <c r="D21" s="339">
        <f t="shared" si="21"/>
        <v>113.5</v>
      </c>
      <c r="E21" s="339">
        <f t="shared" si="21"/>
        <v>141.5</v>
      </c>
      <c r="F21" s="339">
        <f t="shared" si="21"/>
        <v>169.5</v>
      </c>
      <c r="G21" s="339">
        <f t="shared" si="21"/>
        <v>199</v>
      </c>
      <c r="H21" s="339">
        <f t="shared" si="21"/>
        <v>240</v>
      </c>
      <c r="I21" s="339">
        <f t="shared" si="21"/>
        <v>287</v>
      </c>
      <c r="J21" s="339">
        <f t="shared" ref="J21:W21" si="22">AVERAGE(J16,J20)</f>
        <v>324.5</v>
      </c>
      <c r="K21" s="339">
        <f t="shared" si="22"/>
        <v>348.5</v>
      </c>
      <c r="L21" s="339">
        <f t="shared" si="22"/>
        <v>357</v>
      </c>
      <c r="M21" s="339">
        <f t="shared" si="22"/>
        <v>359</v>
      </c>
      <c r="N21" s="339">
        <f t="shared" si="22"/>
        <v>360.5</v>
      </c>
      <c r="O21" s="339">
        <f t="shared" si="22"/>
        <v>359.5</v>
      </c>
      <c r="P21" s="339">
        <f t="shared" si="22"/>
        <v>357.5</v>
      </c>
      <c r="Q21" s="339">
        <f t="shared" si="22"/>
        <v>351</v>
      </c>
      <c r="R21" s="339">
        <f t="shared" si="22"/>
        <v>335.5</v>
      </c>
      <c r="S21" s="339">
        <f t="shared" si="22"/>
        <v>309.5</v>
      </c>
      <c r="T21" s="339">
        <f t="shared" si="22"/>
        <v>289.5</v>
      </c>
      <c r="U21" s="339">
        <f t="shared" si="22"/>
        <v>280</v>
      </c>
      <c r="V21" s="582">
        <f t="shared" si="22"/>
        <v>277</v>
      </c>
      <c r="W21" s="582">
        <f t="shared" si="22"/>
        <v>386</v>
      </c>
      <c r="X21" s="582">
        <f t="shared" ref="X21:AC21" si="23">AVERAGE(X16,X20)</f>
        <v>367</v>
      </c>
      <c r="Y21" s="582">
        <f t="shared" si="23"/>
        <v>342.5</v>
      </c>
      <c r="Z21" s="582">
        <f t="shared" si="23"/>
        <v>319</v>
      </c>
      <c r="AA21" s="582">
        <f t="shared" si="23"/>
        <v>294.5</v>
      </c>
      <c r="AB21" s="582">
        <f t="shared" si="23"/>
        <v>272.5</v>
      </c>
      <c r="AC21" s="582">
        <f t="shared" si="23"/>
        <v>259</v>
      </c>
      <c r="AD21" s="740">
        <f t="shared" ref="AD21" si="24">AVERAGE(AD16,AD20)</f>
        <v>249</v>
      </c>
      <c r="AE21" s="750"/>
      <c r="AF21" s="80"/>
      <c r="AG21" s="49"/>
      <c r="AH21" s="745"/>
      <c r="AI21" s="114"/>
    </row>
    <row r="22" spans="1:35">
      <c r="A22" s="210" t="s">
        <v>82</v>
      </c>
      <c r="B22" s="7"/>
      <c r="C22" s="7">
        <f t="shared" ref="C22:W22" si="25">(C21/B21-1)</f>
        <v>0.43965517241379315</v>
      </c>
      <c r="D22" s="7">
        <f t="shared" si="25"/>
        <v>0.35928143712574845</v>
      </c>
      <c r="E22" s="7">
        <f t="shared" si="25"/>
        <v>0.24669603524229067</v>
      </c>
      <c r="F22" s="7">
        <f t="shared" si="25"/>
        <v>0.19787985865724389</v>
      </c>
      <c r="G22" s="7">
        <f t="shared" si="25"/>
        <v>0.17404129793510315</v>
      </c>
      <c r="H22" s="7">
        <f t="shared" si="25"/>
        <v>0.20603015075376874</v>
      </c>
      <c r="I22" s="7">
        <f t="shared" si="25"/>
        <v>0.1958333333333333</v>
      </c>
      <c r="J22" s="7">
        <f t="shared" si="25"/>
        <v>0.13066202090592327</v>
      </c>
      <c r="K22" s="7">
        <f t="shared" si="25"/>
        <v>7.3959938366717992E-2</v>
      </c>
      <c r="L22" s="7">
        <f t="shared" si="25"/>
        <v>2.4390243902439046E-2</v>
      </c>
      <c r="M22" s="7">
        <f t="shared" si="25"/>
        <v>5.6022408963585235E-3</v>
      </c>
      <c r="N22" s="7">
        <f>(N21/M21-1)</f>
        <v>4.1782729805013297E-3</v>
      </c>
      <c r="O22" s="7">
        <f t="shared" si="25"/>
        <v>-2.7739251040221902E-3</v>
      </c>
      <c r="P22" s="7">
        <f t="shared" si="25"/>
        <v>-5.5632823365785455E-3</v>
      </c>
      <c r="Q22" s="7">
        <f t="shared" si="25"/>
        <v>-1.8181818181818188E-2</v>
      </c>
      <c r="R22" s="7">
        <f t="shared" si="25"/>
        <v>-4.4159544159544151E-2</v>
      </c>
      <c r="S22" s="7">
        <f t="shared" si="25"/>
        <v>-7.7496274217585648E-2</v>
      </c>
      <c r="T22" s="7">
        <f t="shared" si="25"/>
        <v>-6.4620355411954766E-2</v>
      </c>
      <c r="U22" s="7">
        <f t="shared" si="25"/>
        <v>-3.2815198618307395E-2</v>
      </c>
      <c r="V22" s="118">
        <f t="shared" si="25"/>
        <v>-1.0714285714285676E-2</v>
      </c>
      <c r="W22" s="118">
        <f t="shared" si="25"/>
        <v>0.39350180505415167</v>
      </c>
      <c r="X22" s="118">
        <f t="shared" ref="X22:AD22" si="26">(X21/W21-1)</f>
        <v>-4.9222797927461093E-2</v>
      </c>
      <c r="Y22" s="118">
        <f t="shared" si="26"/>
        <v>-6.6757493188010941E-2</v>
      </c>
      <c r="Z22" s="118">
        <f t="shared" si="26"/>
        <v>-6.8613138686131392E-2</v>
      </c>
      <c r="AA22" s="118">
        <f t="shared" si="26"/>
        <v>-7.6802507836990608E-2</v>
      </c>
      <c r="AB22" s="118">
        <f t="shared" si="26"/>
        <v>-7.4702886247877798E-2</v>
      </c>
      <c r="AC22" s="118">
        <f t="shared" si="26"/>
        <v>-4.9541284403669672E-2</v>
      </c>
      <c r="AD22" s="736">
        <f t="shared" si="26"/>
        <v>-3.8610038610038644E-2</v>
      </c>
      <c r="AE22" s="750"/>
      <c r="AF22" s="50"/>
      <c r="AG22" s="49"/>
      <c r="AH22" s="647"/>
      <c r="AI22" s="114"/>
    </row>
    <row r="23" spans="1:35">
      <c r="A23" s="1"/>
      <c r="B23" s="1"/>
      <c r="C23" s="1"/>
      <c r="D23" s="7"/>
      <c r="E23" s="7"/>
      <c r="F23" s="1"/>
      <c r="G23" s="1"/>
      <c r="H23" s="1"/>
      <c r="I23" s="1"/>
      <c r="J23" s="1"/>
      <c r="K23" s="1"/>
      <c r="L23" s="1"/>
      <c r="M23" s="1"/>
      <c r="N23" s="1"/>
      <c r="O23" s="1"/>
      <c r="P23" s="1"/>
      <c r="Q23" s="1"/>
      <c r="R23" s="1"/>
      <c r="S23" s="1"/>
      <c r="T23" s="1"/>
      <c r="U23" s="1"/>
      <c r="V23" s="50"/>
      <c r="W23" s="50"/>
      <c r="X23" s="50"/>
      <c r="Y23" s="50"/>
      <c r="Z23" s="50"/>
      <c r="AA23" s="50"/>
      <c r="AB23" s="50"/>
      <c r="AC23" s="50"/>
      <c r="AD23" s="647"/>
      <c r="AE23" s="750"/>
      <c r="AF23" s="50"/>
      <c r="AG23" s="49"/>
      <c r="AH23" s="647"/>
      <c r="AI23" s="114"/>
    </row>
    <row r="24" spans="1:35">
      <c r="A24" s="9" t="s">
        <v>83</v>
      </c>
      <c r="B24" s="11">
        <f t="shared" ref="B24:V24" si="27">B11/B21</f>
        <v>2.8528103448275868</v>
      </c>
      <c r="C24" s="11">
        <f t="shared" si="27"/>
        <v>2.822263473053892</v>
      </c>
      <c r="D24" s="11">
        <f t="shared" si="27"/>
        <v>2.9548193832599119</v>
      </c>
      <c r="E24" s="11">
        <f t="shared" si="27"/>
        <v>3.6863392226148406</v>
      </c>
      <c r="F24" s="11">
        <f t="shared" si="27"/>
        <v>4.6913274336283193</v>
      </c>
      <c r="G24" s="11">
        <f t="shared" si="27"/>
        <v>4.9892361809045225</v>
      </c>
      <c r="H24" s="11">
        <f t="shared" si="27"/>
        <v>4.7513447916666669</v>
      </c>
      <c r="I24" s="11">
        <f t="shared" si="27"/>
        <v>4.0575670731707323</v>
      </c>
      <c r="J24" s="11">
        <f t="shared" si="27"/>
        <v>3.8166348228043145</v>
      </c>
      <c r="K24" s="11">
        <f t="shared" si="27"/>
        <v>3.3877934002869434</v>
      </c>
      <c r="L24" s="11">
        <f t="shared" si="27"/>
        <v>3.3899775910364145</v>
      </c>
      <c r="M24" s="11">
        <f t="shared" si="27"/>
        <v>3.966610027855153</v>
      </c>
      <c r="N24" s="11">
        <f t="shared" si="27"/>
        <v>4.2028377253814151</v>
      </c>
      <c r="O24" s="11">
        <f t="shared" si="27"/>
        <v>4.5589123783031988</v>
      </c>
      <c r="P24" s="11">
        <f t="shared" si="27"/>
        <v>4.2839104895104896</v>
      </c>
      <c r="Q24" s="11">
        <f t="shared" si="27"/>
        <v>3.6247863247863248</v>
      </c>
      <c r="R24" s="11">
        <f t="shared" si="27"/>
        <v>4.4506706408345753</v>
      </c>
      <c r="S24" s="11">
        <f t="shared" si="27"/>
        <v>5.3800807754442648</v>
      </c>
      <c r="T24" s="11">
        <f t="shared" si="27"/>
        <v>5.8866044905008632</v>
      </c>
      <c r="U24" s="11">
        <f t="shared" si="27"/>
        <v>5.526071428571429</v>
      </c>
      <c r="V24" s="296">
        <f t="shared" si="27"/>
        <v>5.2342960288808671</v>
      </c>
      <c r="W24" s="296">
        <f t="shared" ref="W24:AB24" si="28">W11/W21</f>
        <v>4.2520725388601033</v>
      </c>
      <c r="X24" s="296">
        <f t="shared" si="28"/>
        <v>4.0520435967302459</v>
      </c>
      <c r="Y24" s="296">
        <f t="shared" si="28"/>
        <v>4.2455474452554745</v>
      </c>
      <c r="Z24" s="296">
        <f t="shared" si="28"/>
        <v>4.5404704913996863</v>
      </c>
      <c r="AA24" s="296">
        <f t="shared" si="28"/>
        <v>4.888862724394011</v>
      </c>
      <c r="AB24" s="296">
        <f t="shared" si="28"/>
        <v>5.2336498297941141</v>
      </c>
      <c r="AC24" s="296">
        <f>AC11/AC21</f>
        <v>5.4300233506608766</v>
      </c>
      <c r="AD24" s="741">
        <f>AD11/AD21</f>
        <v>5.6101255264452554</v>
      </c>
      <c r="AE24" s="750"/>
      <c r="AF24" s="50"/>
      <c r="AG24" s="49"/>
      <c r="AH24" s="647"/>
      <c r="AI24" s="114"/>
    </row>
    <row r="25" spans="1:35">
      <c r="A25" s="9" t="s">
        <v>77</v>
      </c>
      <c r="B25" s="12"/>
      <c r="C25" s="12">
        <f t="shared" ref="C25:W25" si="29">C24/B24-1</f>
        <v>-1.0707641967535264E-2</v>
      </c>
      <c r="D25" s="12">
        <f t="shared" si="29"/>
        <v>4.6967943096604348E-2</v>
      </c>
      <c r="E25" s="12">
        <f t="shared" si="29"/>
        <v>0.24756837710597313</v>
      </c>
      <c r="F25" s="12">
        <f t="shared" si="29"/>
        <v>0.27262499469612234</v>
      </c>
      <c r="G25" s="12">
        <f t="shared" si="29"/>
        <v>6.3502015472366447E-2</v>
      </c>
      <c r="H25" s="12">
        <f t="shared" si="29"/>
        <v>-4.7680923614790038E-2</v>
      </c>
      <c r="I25" s="12">
        <f t="shared" si="29"/>
        <v>-0.14601712755360208</v>
      </c>
      <c r="J25" s="12">
        <f t="shared" si="29"/>
        <v>-5.9378500964161418E-2</v>
      </c>
      <c r="K25" s="12">
        <f t="shared" si="29"/>
        <v>-0.11236113551001847</v>
      </c>
      <c r="L25" s="12">
        <f t="shared" si="29"/>
        <v>6.4472371582224852E-4</v>
      </c>
      <c r="M25" s="12">
        <f t="shared" si="29"/>
        <v>0.1700991883673324</v>
      </c>
      <c r="N25" s="12">
        <f>N24/M24-1</f>
        <v>5.95540514109969E-2</v>
      </c>
      <c r="O25" s="12">
        <f t="shared" si="29"/>
        <v>8.4722436645937593E-2</v>
      </c>
      <c r="P25" s="12">
        <f t="shared" si="29"/>
        <v>-6.0321819322849857E-2</v>
      </c>
      <c r="Q25" s="12">
        <f t="shared" si="29"/>
        <v>-0.15386039608859359</v>
      </c>
      <c r="R25" s="12">
        <f t="shared" si="29"/>
        <v>0.22784358636558677</v>
      </c>
      <c r="S25" s="12">
        <f t="shared" si="29"/>
        <v>0.20882473892415665</v>
      </c>
      <c r="T25" s="12">
        <f t="shared" si="29"/>
        <v>9.414797587584034E-2</v>
      </c>
      <c r="U25" s="12">
        <f t="shared" si="29"/>
        <v>-6.124635390592692E-2</v>
      </c>
      <c r="V25" s="583">
        <f t="shared" si="29"/>
        <v>-5.2799787961841482E-2</v>
      </c>
      <c r="W25" s="583">
        <f t="shared" si="29"/>
        <v>-0.18765149785209434</v>
      </c>
      <c r="X25" s="583">
        <f t="shared" ref="X25:AD25" si="30">X24/W24-1</f>
        <v>-4.7042692781408046E-2</v>
      </c>
      <c r="Y25" s="583">
        <f t="shared" si="30"/>
        <v>4.775463143619052E-2</v>
      </c>
      <c r="Z25" s="583">
        <f t="shared" si="30"/>
        <v>6.9466435117524705E-2</v>
      </c>
      <c r="AA25" s="583">
        <f t="shared" si="30"/>
        <v>7.6730425548240166E-2</v>
      </c>
      <c r="AB25" s="583">
        <f t="shared" si="30"/>
        <v>7.0525012633247952E-2</v>
      </c>
      <c r="AC25" s="583">
        <f t="shared" si="30"/>
        <v>3.7521333534553225E-2</v>
      </c>
      <c r="AD25" s="742">
        <f t="shared" si="30"/>
        <v>3.3167845542037888E-2</v>
      </c>
      <c r="AE25" s="750"/>
      <c r="AF25" s="50"/>
      <c r="AG25" s="49"/>
      <c r="AH25" s="647"/>
      <c r="AI25" s="114"/>
    </row>
    <row r="26" spans="1:35">
      <c r="A26" s="13"/>
      <c r="B26" s="1"/>
      <c r="C26" s="1"/>
      <c r="D26" s="1"/>
      <c r="E26" s="1"/>
      <c r="F26" s="1"/>
      <c r="G26" s="1"/>
      <c r="H26" s="1"/>
      <c r="I26" s="1"/>
      <c r="J26" s="1"/>
      <c r="K26" s="1"/>
      <c r="L26" s="1"/>
      <c r="M26" s="1"/>
      <c r="N26" s="1"/>
      <c r="O26" s="1"/>
      <c r="P26" s="1"/>
      <c r="Q26" s="1"/>
      <c r="R26" s="1"/>
      <c r="S26" s="1"/>
      <c r="T26" s="1"/>
      <c r="U26" s="1"/>
      <c r="V26" s="50"/>
      <c r="W26" s="50"/>
      <c r="X26" s="50"/>
      <c r="Y26" s="50"/>
      <c r="Z26" s="50"/>
      <c r="AA26" s="50"/>
      <c r="AB26" s="50"/>
      <c r="AC26" s="50"/>
      <c r="AD26" s="647"/>
      <c r="AE26" s="750"/>
      <c r="AF26" s="50"/>
      <c r="AG26" s="49"/>
      <c r="AH26" s="647"/>
      <c r="AI26" s="114"/>
    </row>
    <row r="27" spans="1:35">
      <c r="A27" s="9" t="s">
        <v>84</v>
      </c>
      <c r="B27" s="10">
        <f>+(B30+squft!Q14/1000)/2</f>
        <v>0.47311400000000003</v>
      </c>
      <c r="C27" s="10">
        <f t="shared" ref="C27:V27" si="31">+(C30+B30)/2</f>
        <v>0.75108900000000012</v>
      </c>
      <c r="D27" s="10">
        <f t="shared" si="31"/>
        <v>1.095164</v>
      </c>
      <c r="E27" s="10">
        <f t="shared" si="31"/>
        <v>1.375264</v>
      </c>
      <c r="F27" s="10">
        <f t="shared" si="31"/>
        <v>1.6269640000000001</v>
      </c>
      <c r="G27" s="10">
        <f t="shared" si="31"/>
        <v>1.8719890000000001</v>
      </c>
      <c r="H27" s="10">
        <f t="shared" si="31"/>
        <v>2.2182390000000005</v>
      </c>
      <c r="I27" s="10">
        <f t="shared" si="31"/>
        <v>2.6072890000000002</v>
      </c>
      <c r="J27" s="10">
        <f t="shared" si="31"/>
        <v>2.9122140000000001</v>
      </c>
      <c r="K27" s="10">
        <f t="shared" si="31"/>
        <v>3.0929640000000003</v>
      </c>
      <c r="L27" s="10">
        <f t="shared" si="31"/>
        <v>3.1447070000000004</v>
      </c>
      <c r="M27" s="10">
        <f t="shared" si="31"/>
        <v>3.1475</v>
      </c>
      <c r="N27" s="10">
        <f>+(N30+M30)/2</f>
        <v>3.1639999999999997</v>
      </c>
      <c r="O27" s="10">
        <f t="shared" si="31"/>
        <v>3.1689999999999996</v>
      </c>
      <c r="P27" s="10">
        <f t="shared" si="31"/>
        <v>3.1654999999999998</v>
      </c>
      <c r="Q27" s="10">
        <f t="shared" si="31"/>
        <v>3.1369000000000002</v>
      </c>
      <c r="R27" s="10">
        <f t="shared" si="31"/>
        <v>3.0325250000000001</v>
      </c>
      <c r="S27" s="10">
        <f t="shared" si="31"/>
        <v>2.8665000000000003</v>
      </c>
      <c r="T27" s="10">
        <f t="shared" si="31"/>
        <v>2.7661499999999997</v>
      </c>
      <c r="U27" s="10">
        <f t="shared" si="31"/>
        <v>2.7161499999999998</v>
      </c>
      <c r="V27" s="584">
        <f t="shared" si="31"/>
        <v>2.7009499999999997</v>
      </c>
      <c r="W27" s="584">
        <f t="shared" ref="W27:AD27" si="32">+(W30+V30)/2</f>
        <v>2.9711999999999996</v>
      </c>
      <c r="X27" s="584">
        <f t="shared" si="32"/>
        <v>3.1070500000000001</v>
      </c>
      <c r="Y27" s="584">
        <f t="shared" si="32"/>
        <v>2.8958250000000003</v>
      </c>
      <c r="Z27" s="584">
        <f t="shared" si="32"/>
        <v>2.7132500000000004</v>
      </c>
      <c r="AA27" s="584">
        <f t="shared" si="32"/>
        <v>2.5119000000000007</v>
      </c>
      <c r="AB27" s="584">
        <f t="shared" si="32"/>
        <v>2.3183000000000007</v>
      </c>
      <c r="AC27" s="584">
        <f t="shared" si="32"/>
        <v>2.1995000000000005</v>
      </c>
      <c r="AD27" s="743">
        <f t="shared" si="32"/>
        <v>2.1115000000000004</v>
      </c>
      <c r="AE27" s="750">
        <f>((Y27/T27)^(1/5)-1)*100</f>
        <v>0.92048227542587124</v>
      </c>
      <c r="AF27" s="79" t="s">
        <v>76</v>
      </c>
      <c r="AG27" s="49">
        <f>((AD27/Y27)^(1/5)-1)*100</f>
        <v>-6.122016034503619</v>
      </c>
      <c r="AH27" s="751" t="s">
        <v>76</v>
      </c>
      <c r="AI27" s="114"/>
    </row>
    <row r="28" spans="1:35">
      <c r="A28" s="9" t="s">
        <v>77</v>
      </c>
      <c r="B28" s="7"/>
      <c r="C28" s="7">
        <f t="shared" ref="C28:W28" si="33">C27/B27-1</f>
        <v>0.58754338277878082</v>
      </c>
      <c r="D28" s="7">
        <f t="shared" si="33"/>
        <v>0.4581015032838982</v>
      </c>
      <c r="E28" s="7">
        <f t="shared" si="33"/>
        <v>0.25576078103370814</v>
      </c>
      <c r="F28" s="7">
        <f t="shared" si="33"/>
        <v>0.18301940572864561</v>
      </c>
      <c r="G28" s="7">
        <f t="shared" si="33"/>
        <v>0.15060259477161142</v>
      </c>
      <c r="H28" s="7">
        <f t="shared" si="33"/>
        <v>0.18496369369691834</v>
      </c>
      <c r="I28" s="7">
        <f t="shared" si="33"/>
        <v>0.17538687219907301</v>
      </c>
      <c r="J28" s="7">
        <f t="shared" si="33"/>
        <v>0.1169509785835019</v>
      </c>
      <c r="K28" s="7">
        <f t="shared" si="33"/>
        <v>6.2066180576015428E-2</v>
      </c>
      <c r="L28" s="7">
        <f t="shared" si="33"/>
        <v>1.6729260347032815E-2</v>
      </c>
      <c r="M28" s="7">
        <f t="shared" si="33"/>
        <v>8.8815905583561339E-4</v>
      </c>
      <c r="N28" s="7">
        <f t="shared" si="33"/>
        <v>5.2422557585385388E-3</v>
      </c>
      <c r="O28" s="7">
        <f t="shared" si="33"/>
        <v>1.580278128950674E-3</v>
      </c>
      <c r="P28" s="7">
        <f t="shared" si="33"/>
        <v>-1.1044493531081612E-3</v>
      </c>
      <c r="Q28" s="7">
        <f t="shared" si="33"/>
        <v>-9.0349075975357795E-3</v>
      </c>
      <c r="R28" s="7">
        <f t="shared" si="33"/>
        <v>-3.3273295291529892E-2</v>
      </c>
      <c r="S28" s="7">
        <f t="shared" si="33"/>
        <v>-5.4748105951311188E-2</v>
      </c>
      <c r="T28" s="7">
        <f t="shared" si="33"/>
        <v>-3.500784929356382E-2</v>
      </c>
      <c r="U28" s="7">
        <f t="shared" si="33"/>
        <v>-1.8075664732570496E-2</v>
      </c>
      <c r="V28" s="118">
        <f t="shared" si="33"/>
        <v>-5.5961563242089563E-3</v>
      </c>
      <c r="W28" s="118">
        <f t="shared" si="33"/>
        <v>0.10005738721560919</v>
      </c>
      <c r="X28" s="118">
        <f t="shared" ref="X28:AD28" si="34">X27/W27-1</f>
        <v>4.5722267097469294E-2</v>
      </c>
      <c r="Y28" s="118">
        <f t="shared" si="34"/>
        <v>-6.798249143077828E-2</v>
      </c>
      <c r="Z28" s="118">
        <f t="shared" si="34"/>
        <v>-6.3047663446513469E-2</v>
      </c>
      <c r="AA28" s="118">
        <f t="shared" si="34"/>
        <v>-7.4209895881322985E-2</v>
      </c>
      <c r="AB28" s="118">
        <f t="shared" si="34"/>
        <v>-7.7073131892193114E-2</v>
      </c>
      <c r="AC28" s="118">
        <f t="shared" si="34"/>
        <v>-5.1244446361558116E-2</v>
      </c>
      <c r="AD28" s="736">
        <f t="shared" si="34"/>
        <v>-4.0009092975676341E-2</v>
      </c>
      <c r="AE28" s="750"/>
      <c r="AF28" s="50"/>
      <c r="AG28" s="49"/>
      <c r="AH28" s="647"/>
      <c r="AI28" s="114"/>
    </row>
    <row r="29" spans="1:35">
      <c r="A29" s="9"/>
      <c r="B29" s="7"/>
      <c r="C29" s="7"/>
      <c r="D29" s="7"/>
      <c r="E29" s="7"/>
      <c r="F29" s="7"/>
      <c r="G29" s="7"/>
      <c r="H29" s="90"/>
      <c r="I29" s="7"/>
      <c r="J29" s="7"/>
      <c r="K29" s="7"/>
      <c r="L29" s="7"/>
      <c r="M29" s="7"/>
      <c r="N29" s="7"/>
      <c r="O29" s="7"/>
      <c r="P29" s="7"/>
      <c r="Q29" s="7"/>
      <c r="R29" s="7"/>
      <c r="S29" s="7"/>
      <c r="T29" s="7"/>
      <c r="U29" s="7"/>
      <c r="V29" s="118"/>
      <c r="W29" s="118"/>
      <c r="X29" s="118"/>
      <c r="Y29" s="118"/>
      <c r="Z29" s="118"/>
      <c r="AA29" s="118"/>
      <c r="AB29" s="118"/>
      <c r="AC29" s="118"/>
      <c r="AD29" s="736"/>
      <c r="AE29" s="750"/>
      <c r="AF29" s="50"/>
      <c r="AG29" s="49"/>
      <c r="AH29" s="647"/>
      <c r="AI29" s="114"/>
    </row>
    <row r="30" spans="1:35">
      <c r="A30" s="9" t="s">
        <v>85</v>
      </c>
      <c r="B30" s="90">
        <f>squft!$U$14/1000</f>
        <v>0.54061400000000004</v>
      </c>
      <c r="C30" s="90">
        <f>squft!$Y$14/1000</f>
        <v>0.96156400000000009</v>
      </c>
      <c r="D30" s="90">
        <f>squft!$AC$14/1000</f>
        <v>1.2287640000000002</v>
      </c>
      <c r="E30" s="90">
        <f>squft!$AG$14/1000</f>
        <v>1.5217640000000001</v>
      </c>
      <c r="F30" s="90">
        <f>squft!$AK$14/1000</f>
        <v>1.7321640000000003</v>
      </c>
      <c r="G30" s="90">
        <f>squft!$AO$14/1000</f>
        <v>2.0118140000000002</v>
      </c>
      <c r="H30" s="90">
        <f>squft!$AS$14/1000</f>
        <v>2.4246640000000004</v>
      </c>
      <c r="I30" s="90">
        <f>squft!$AW$14/1000</f>
        <v>2.789914</v>
      </c>
      <c r="J30" s="90">
        <f>squft!$BA$14/1000</f>
        <v>3.0345140000000002</v>
      </c>
      <c r="K30" s="90">
        <f>squft!$BE$14/1000</f>
        <v>3.1514140000000004</v>
      </c>
      <c r="L30" s="90">
        <f>squft!$BI$14/1000</f>
        <v>3.1379999999999999</v>
      </c>
      <c r="M30" s="90">
        <f>squft!$BM$14/1000</f>
        <v>3.157</v>
      </c>
      <c r="N30" s="90">
        <f>squft!$BQ$14/1000</f>
        <v>3.1709999999999998</v>
      </c>
      <c r="O30" s="90">
        <f>squft!$BU$14/1000</f>
        <v>3.1669999999999998</v>
      </c>
      <c r="P30" s="90">
        <f>squft!$BY$14/1000</f>
        <v>3.1640000000000001</v>
      </c>
      <c r="Q30" s="90">
        <f>squft!$CC$14/1000</f>
        <v>3.1098000000000003</v>
      </c>
      <c r="R30" s="90">
        <f>squft!$CG$14/1000</f>
        <v>2.9552499999999999</v>
      </c>
      <c r="S30" s="90">
        <f>squft!$CK$14/1000</f>
        <v>2.7777500000000002</v>
      </c>
      <c r="T30" s="90">
        <f>squft!$CO$14/1000</f>
        <v>2.7545499999999996</v>
      </c>
      <c r="U30" s="90">
        <f>squft!$CS$14/1000</f>
        <v>2.6777499999999996</v>
      </c>
      <c r="V30" s="585">
        <f>squft!$CW$14/1000</f>
        <v>2.7241499999999998</v>
      </c>
      <c r="W30" s="585">
        <f>squft!$DA$14/1000</f>
        <v>3.2182499999999998</v>
      </c>
      <c r="X30" s="585">
        <f>squft!$DE$14/1000</f>
        <v>2.9958500000000003</v>
      </c>
      <c r="Y30" s="585">
        <f>squft!$DI$14/1000</f>
        <v>2.7958000000000003</v>
      </c>
      <c r="Z30" s="585">
        <f>squft!$DM$14/1000</f>
        <v>2.6307000000000005</v>
      </c>
      <c r="AA30" s="585">
        <f>squft!$DQ$14/1000</f>
        <v>2.3931000000000004</v>
      </c>
      <c r="AB30" s="585">
        <f>squft!$DU$14/1000</f>
        <v>2.2435000000000005</v>
      </c>
      <c r="AC30" s="585">
        <f>squft!$DY$14/1000</f>
        <v>2.1555000000000004</v>
      </c>
      <c r="AD30" s="744">
        <f>squft!$EC$14/1000</f>
        <v>2.0675000000000003</v>
      </c>
      <c r="AE30" s="750">
        <f>((Y30/T30)^(1/5)-1)*100</f>
        <v>0.29772635065281605</v>
      </c>
      <c r="AF30" s="79" t="s">
        <v>76</v>
      </c>
      <c r="AG30" s="49">
        <f>((AD30/Y30)^(1/5)-1)*100</f>
        <v>-5.8570325298343162</v>
      </c>
      <c r="AH30" s="751" t="s">
        <v>76</v>
      </c>
      <c r="AI30" s="114"/>
    </row>
    <row r="31" spans="1:35">
      <c r="A31" s="9" t="s">
        <v>77</v>
      </c>
      <c r="B31" s="7">
        <f>B30/(squft!Q14/1000)-1</f>
        <v>0.33282874851459776</v>
      </c>
      <c r="C31" s="7">
        <f t="shared" ref="C31:W31" si="35">C30/B30-1</f>
        <v>0.77865168123652007</v>
      </c>
      <c r="D31" s="7">
        <f t="shared" si="35"/>
        <v>0.27788061949074638</v>
      </c>
      <c r="E31" s="7">
        <f t="shared" si="35"/>
        <v>0.23845099628569844</v>
      </c>
      <c r="F31" s="7">
        <f t="shared" si="35"/>
        <v>0.13826059756966269</v>
      </c>
      <c r="G31" s="7">
        <f t="shared" si="35"/>
        <v>0.16144545204726568</v>
      </c>
      <c r="H31" s="7">
        <f t="shared" si="35"/>
        <v>0.20521280794347785</v>
      </c>
      <c r="I31" s="7">
        <f t="shared" si="35"/>
        <v>0.15063942880333103</v>
      </c>
      <c r="J31" s="7">
        <f t="shared" si="35"/>
        <v>8.7672953359852812E-2</v>
      </c>
      <c r="K31" s="7">
        <f t="shared" si="35"/>
        <v>3.852346701976006E-2</v>
      </c>
      <c r="L31" s="7">
        <f t="shared" si="35"/>
        <v>-4.2565020019585953E-3</v>
      </c>
      <c r="M31" s="7">
        <f>M30/L30-1</f>
        <v>6.0548119821541846E-3</v>
      </c>
      <c r="N31" s="7">
        <f t="shared" si="35"/>
        <v>4.4345898004434225E-3</v>
      </c>
      <c r="O31" s="7">
        <f t="shared" si="35"/>
        <v>-1.2614317250079221E-3</v>
      </c>
      <c r="P31" s="7">
        <f t="shared" si="35"/>
        <v>-9.4726870855688095E-4</v>
      </c>
      <c r="Q31" s="7">
        <f t="shared" si="35"/>
        <v>-1.7130214917825515E-2</v>
      </c>
      <c r="R31" s="7">
        <f t="shared" si="35"/>
        <v>-4.9697729757540832E-2</v>
      </c>
      <c r="S31" s="7">
        <f t="shared" si="35"/>
        <v>-6.0062600456814108E-2</v>
      </c>
      <c r="T31" s="7">
        <f t="shared" si="35"/>
        <v>-8.352083520835385E-3</v>
      </c>
      <c r="U31" s="7">
        <f t="shared" si="35"/>
        <v>-2.7881142110326551E-2</v>
      </c>
      <c r="V31" s="118">
        <f t="shared" si="35"/>
        <v>1.7327980580711611E-2</v>
      </c>
      <c r="W31" s="118">
        <f t="shared" si="35"/>
        <v>0.18137767744066946</v>
      </c>
      <c r="X31" s="118">
        <f t="shared" ref="X31:AD31" si="36">X30/W30-1</f>
        <v>-6.9105880525130003E-2</v>
      </c>
      <c r="Y31" s="118">
        <f t="shared" si="36"/>
        <v>-6.677570639384478E-2</v>
      </c>
      <c r="Z31" s="118">
        <f t="shared" si="36"/>
        <v>-5.9052865011803291E-2</v>
      </c>
      <c r="AA31" s="118">
        <f t="shared" si="36"/>
        <v>-9.0318166267533306E-2</v>
      </c>
      <c r="AB31" s="118">
        <f t="shared" si="36"/>
        <v>-6.2513058376164832E-2</v>
      </c>
      <c r="AC31" s="118">
        <f t="shared" si="36"/>
        <v>-3.9224426119901956E-2</v>
      </c>
      <c r="AD31" s="736">
        <f t="shared" si="36"/>
        <v>-4.0825794479239175E-2</v>
      </c>
      <c r="AE31" s="750"/>
      <c r="AF31" s="50"/>
      <c r="AG31" s="49"/>
      <c r="AH31" s="647"/>
      <c r="AI31" s="114"/>
    </row>
    <row r="32" spans="1:35">
      <c r="A32" s="13"/>
      <c r="B32" s="1"/>
      <c r="C32" s="1"/>
      <c r="D32" s="1"/>
      <c r="E32" s="1"/>
      <c r="F32" s="1"/>
      <c r="G32" s="1"/>
      <c r="H32" s="7"/>
      <c r="I32" s="1"/>
      <c r="J32" s="1"/>
      <c r="K32" s="1"/>
      <c r="L32" s="1"/>
      <c r="M32" s="1"/>
      <c r="N32" s="1"/>
      <c r="O32" s="1"/>
      <c r="P32" s="1"/>
      <c r="Q32" s="1"/>
      <c r="R32" s="1"/>
      <c r="S32" s="1"/>
      <c r="T32" s="1"/>
      <c r="U32" s="1"/>
      <c r="V32" s="50"/>
      <c r="W32" s="50"/>
      <c r="X32" s="50"/>
      <c r="Y32" s="50"/>
      <c r="Z32" s="50"/>
      <c r="AA32" s="50"/>
      <c r="AB32" s="50"/>
      <c r="AC32" s="50"/>
      <c r="AD32" s="647"/>
      <c r="AE32" s="750"/>
      <c r="AF32" s="50"/>
      <c r="AG32" s="49"/>
      <c r="AH32" s="647"/>
      <c r="AI32" s="114"/>
    </row>
    <row r="33" spans="1:35">
      <c r="A33" s="9" t="s">
        <v>86</v>
      </c>
      <c r="B33" s="43">
        <v>8074.626865671642</v>
      </c>
      <c r="C33" s="8">
        <f t="shared" ref="C33:V33" si="37">C30/C20*1000000</f>
        <v>9615.6400000000012</v>
      </c>
      <c r="D33" s="8">
        <f t="shared" si="37"/>
        <v>9675.3070866141752</v>
      </c>
      <c r="E33" s="8">
        <f t="shared" si="37"/>
        <v>9754.8974358974356</v>
      </c>
      <c r="F33" s="8">
        <f t="shared" si="37"/>
        <v>9465.377049180328</v>
      </c>
      <c r="G33" s="8">
        <f t="shared" si="37"/>
        <v>9357.2744186046511</v>
      </c>
      <c r="H33" s="8">
        <f t="shared" si="37"/>
        <v>9149.6754716981141</v>
      </c>
      <c r="I33" s="8">
        <f t="shared" si="37"/>
        <v>9028.8478964401293</v>
      </c>
      <c r="J33" s="8">
        <f t="shared" si="37"/>
        <v>8925.0411764705877</v>
      </c>
      <c r="K33" s="8">
        <f t="shared" si="37"/>
        <v>8827.4901960784318</v>
      </c>
      <c r="L33" s="8">
        <f t="shared" si="37"/>
        <v>8789.9159663865539</v>
      </c>
      <c r="M33" s="8">
        <f t="shared" si="37"/>
        <v>8745.1523545706368</v>
      </c>
      <c r="N33" s="8">
        <f t="shared" si="37"/>
        <v>8808.3333333333321</v>
      </c>
      <c r="O33" s="8">
        <f t="shared" si="37"/>
        <v>8821.7270194986068</v>
      </c>
      <c r="P33" s="8">
        <f t="shared" si="37"/>
        <v>8887.6404494382023</v>
      </c>
      <c r="Q33" s="8">
        <f t="shared" si="37"/>
        <v>8987.8612716763018</v>
      </c>
      <c r="R33" s="8">
        <f t="shared" si="37"/>
        <v>9093.076923076922</v>
      </c>
      <c r="S33" s="8">
        <f t="shared" si="37"/>
        <v>9448.1292517006805</v>
      </c>
      <c r="T33" s="8">
        <f t="shared" si="37"/>
        <v>9665.0877192982443</v>
      </c>
      <c r="U33" s="8">
        <f t="shared" si="37"/>
        <v>9737.2727272727261</v>
      </c>
      <c r="V33" s="80">
        <f t="shared" si="37"/>
        <v>9763.9784946236559</v>
      </c>
      <c r="W33" s="80">
        <f t="shared" ref="W33:AB33" si="38">W30/W20*1000000</f>
        <v>8491.4248021108178</v>
      </c>
      <c r="X33" s="80">
        <f t="shared" si="38"/>
        <v>8439.0140845070437</v>
      </c>
      <c r="Y33" s="80">
        <f t="shared" si="38"/>
        <v>8472.1212121212138</v>
      </c>
      <c r="Z33" s="80">
        <f t="shared" si="38"/>
        <v>8541.2337662337686</v>
      </c>
      <c r="AA33" s="80">
        <f t="shared" si="38"/>
        <v>8516.3701067615675</v>
      </c>
      <c r="AB33" s="80">
        <f t="shared" si="38"/>
        <v>8498.1060606060619</v>
      </c>
      <c r="AC33" s="80">
        <f>AC30/AC20*1000000</f>
        <v>8486.2204724409476</v>
      </c>
      <c r="AD33" s="745">
        <f>AD30/AD20*1000000</f>
        <v>8473.3606557377061</v>
      </c>
      <c r="AE33" s="750"/>
      <c r="AF33" s="80"/>
      <c r="AG33" s="49"/>
      <c r="AH33" s="745"/>
      <c r="AI33" s="114"/>
    </row>
    <row r="34" spans="1:35">
      <c r="A34" s="9" t="s">
        <v>77</v>
      </c>
      <c r="B34" s="12"/>
      <c r="C34" s="12">
        <f t="shared" ref="C34:W34" si="39">C33/B33-1</f>
        <v>0.19084635859519428</v>
      </c>
      <c r="D34" s="12">
        <f t="shared" si="39"/>
        <v>6.2052121974380814E-3</v>
      </c>
      <c r="E34" s="12">
        <f t="shared" si="39"/>
        <v>8.226131591561936E-3</v>
      </c>
      <c r="F34" s="12">
        <f t="shared" si="39"/>
        <v>-2.967949059635322E-2</v>
      </c>
      <c r="G34" s="12">
        <f t="shared" si="39"/>
        <v>-1.1420847792327327E-2</v>
      </c>
      <c r="H34" s="12">
        <f t="shared" si="39"/>
        <v>-2.2185835064725379E-2</v>
      </c>
      <c r="I34" s="12">
        <f t="shared" si="39"/>
        <v>-1.3205667854748526E-2</v>
      </c>
      <c r="J34" s="12">
        <f t="shared" si="39"/>
        <v>-1.1497227681780964E-2</v>
      </c>
      <c r="K34" s="12">
        <f t="shared" si="39"/>
        <v>-1.0930031409752239E-2</v>
      </c>
      <c r="L34" s="12">
        <f t="shared" si="39"/>
        <v>-4.2565020019585953E-3</v>
      </c>
      <c r="M34" s="12">
        <f t="shared" si="39"/>
        <v>-5.0926097572601137E-3</v>
      </c>
      <c r="N34" s="12">
        <f t="shared" si="39"/>
        <v>7.2246858832223371E-3</v>
      </c>
      <c r="O34" s="12">
        <f t="shared" si="39"/>
        <v>1.5205698579308091E-3</v>
      </c>
      <c r="P34" s="12">
        <f t="shared" si="39"/>
        <v>7.4717149821013074E-3</v>
      </c>
      <c r="Q34" s="12">
        <f t="shared" si="39"/>
        <v>1.1276426269520634E-2</v>
      </c>
      <c r="R34" s="12">
        <f t="shared" si="39"/>
        <v>1.1706416935048702E-2</v>
      </c>
      <c r="S34" s="12">
        <f t="shared" si="39"/>
        <v>3.9046445073249725E-2</v>
      </c>
      <c r="T34" s="12">
        <f t="shared" si="39"/>
        <v>2.2963113841664606E-2</v>
      </c>
      <c r="U34" s="12">
        <f t="shared" si="39"/>
        <v>7.4686345402070753E-3</v>
      </c>
      <c r="V34" s="583">
        <f t="shared" si="39"/>
        <v>2.7426331888733557E-3</v>
      </c>
      <c r="W34" s="583">
        <f t="shared" si="39"/>
        <v>-0.13033147227982378</v>
      </c>
      <c r="X34" s="583">
        <f t="shared" ref="X34:AD34" si="40">X33/W33-1</f>
        <v>-6.1721935747162116E-3</v>
      </c>
      <c r="Y34" s="583">
        <f t="shared" si="40"/>
        <v>3.9231037278335545E-3</v>
      </c>
      <c r="Z34" s="583">
        <f t="shared" si="40"/>
        <v>8.1576446302107364E-3</v>
      </c>
      <c r="AA34" s="583">
        <f t="shared" si="40"/>
        <v>-2.9110149836309995E-3</v>
      </c>
      <c r="AB34" s="583">
        <f t="shared" si="40"/>
        <v>-2.1445810746300031E-3</v>
      </c>
      <c r="AC34" s="583">
        <f t="shared" si="40"/>
        <v>-1.3986161246223316E-3</v>
      </c>
      <c r="AD34" s="742">
        <f t="shared" si="40"/>
        <v>-1.5153762201917109E-3</v>
      </c>
      <c r="AE34" s="750"/>
      <c r="AF34" s="50"/>
      <c r="AG34" s="49"/>
      <c r="AH34" s="647"/>
      <c r="AI34" s="114"/>
    </row>
    <row r="35" spans="1:35">
      <c r="A35" s="13"/>
      <c r="B35" s="1"/>
      <c r="C35" s="1"/>
      <c r="D35" s="1"/>
      <c r="E35" s="1"/>
      <c r="F35" s="1"/>
      <c r="G35" s="1"/>
      <c r="H35" s="1"/>
      <c r="I35" s="1"/>
      <c r="J35" s="1"/>
      <c r="K35" s="1"/>
      <c r="L35" s="1"/>
      <c r="M35" s="1"/>
      <c r="N35" s="1"/>
      <c r="O35" s="1"/>
      <c r="P35" s="1"/>
      <c r="Q35" s="1"/>
      <c r="R35" s="1"/>
      <c r="S35" s="1"/>
      <c r="T35" s="1"/>
      <c r="U35" s="1"/>
      <c r="V35" s="50"/>
      <c r="W35" s="50"/>
      <c r="X35" s="50"/>
      <c r="Y35" s="50"/>
      <c r="Z35" s="50"/>
      <c r="AA35" s="50"/>
      <c r="AB35" s="50"/>
      <c r="AC35" s="50"/>
      <c r="AD35" s="647"/>
      <c r="AE35" s="750"/>
      <c r="AF35" s="50"/>
      <c r="AG35" s="49"/>
      <c r="AH35" s="647"/>
      <c r="AI35" s="114"/>
    </row>
    <row r="36" spans="1:35">
      <c r="A36" s="9" t="s">
        <v>1436</v>
      </c>
      <c r="B36" s="191">
        <f t="shared" ref="B36:U36" si="41">B11/(B27)</f>
        <v>349.73177711925672</v>
      </c>
      <c r="C36" s="15">
        <f t="shared" si="41"/>
        <v>313.75642566992718</v>
      </c>
      <c r="D36" s="15">
        <f t="shared" si="41"/>
        <v>306.22993451209135</v>
      </c>
      <c r="E36" s="15">
        <f t="shared" si="41"/>
        <v>379.28499546268932</v>
      </c>
      <c r="F36" s="15">
        <f t="shared" si="41"/>
        <v>488.75082669315367</v>
      </c>
      <c r="G36" s="15">
        <f t="shared" si="41"/>
        <v>530.37597977338532</v>
      </c>
      <c r="H36" s="15">
        <f t="shared" si="41"/>
        <v>514.06667631395885</v>
      </c>
      <c r="I36" s="15">
        <f t="shared" si="41"/>
        <v>446.64084035179837</v>
      </c>
      <c r="J36" s="15">
        <f t="shared" si="41"/>
        <v>425.27712592549864</v>
      </c>
      <c r="K36" s="15">
        <f t="shared" si="41"/>
        <v>381.71992949158141</v>
      </c>
      <c r="L36" s="15">
        <f t="shared" si="41"/>
        <v>384.84412061282654</v>
      </c>
      <c r="M36" s="15">
        <f t="shared" si="41"/>
        <v>452.42668784749799</v>
      </c>
      <c r="N36" s="15">
        <f t="shared" si="41"/>
        <v>478.86314791403294</v>
      </c>
      <c r="O36" s="15">
        <f t="shared" si="41"/>
        <v>517.17544966866524</v>
      </c>
      <c r="P36" s="15">
        <f t="shared" si="41"/>
        <v>483.80919286052762</v>
      </c>
      <c r="Q36" s="15">
        <f t="shared" si="41"/>
        <v>405.59150753929032</v>
      </c>
      <c r="R36" s="15">
        <f t="shared" si="41"/>
        <v>492.39495140188455</v>
      </c>
      <c r="S36" s="15">
        <f t="shared" si="41"/>
        <v>580.89481946624801</v>
      </c>
      <c r="T36" s="15">
        <f t="shared" si="41"/>
        <v>616.08083437268419</v>
      </c>
      <c r="U36" s="15">
        <f t="shared" si="41"/>
        <v>569.66662371371251</v>
      </c>
      <c r="V36" s="586">
        <f>V11/(V27)</f>
        <v>536.81112201262522</v>
      </c>
      <c r="W36" s="586">
        <f t="shared" ref="W36:AB36" si="42">W11/(W27)</f>
        <v>552.40306946688213</v>
      </c>
      <c r="X36" s="586">
        <f t="shared" si="42"/>
        <v>478.62120017379834</v>
      </c>
      <c r="Y36" s="586">
        <f t="shared" si="42"/>
        <v>502.13669679624968</v>
      </c>
      <c r="Z36" s="586">
        <f t="shared" si="42"/>
        <v>533.8284665093521</v>
      </c>
      <c r="AA36" s="586">
        <f t="shared" si="42"/>
        <v>573.17969359211588</v>
      </c>
      <c r="AB36" s="586">
        <f t="shared" si="42"/>
        <v>615.17904439412314</v>
      </c>
      <c r="AC36" s="586">
        <f>AC11/(AC27)</f>
        <v>639.40715972774115</v>
      </c>
      <c r="AD36" s="746">
        <f>AD11/(AD27)</f>
        <v>661.57767278468782</v>
      </c>
      <c r="AE36" s="750">
        <f>((Y36/T36)^(1/5)-1)*100</f>
        <v>-4.0075994423387158</v>
      </c>
      <c r="AF36" s="79" t="s">
        <v>76</v>
      </c>
      <c r="AG36" s="49">
        <f>((AD36/Y36)^(1/5)-1)*100</f>
        <v>5.6700166222029669</v>
      </c>
      <c r="AH36" s="751" t="s">
        <v>76</v>
      </c>
      <c r="AI36" s="114"/>
    </row>
    <row r="37" spans="1:35">
      <c r="A37" s="9" t="s">
        <v>77</v>
      </c>
      <c r="B37" s="12"/>
      <c r="C37" s="12">
        <f t="shared" ref="C37:W37" si="43">C36/B36-1</f>
        <v>-0.10286554955245641</v>
      </c>
      <c r="D37" s="12">
        <f t="shared" si="43"/>
        <v>-2.398832515307181E-2</v>
      </c>
      <c r="E37" s="12">
        <f t="shared" si="43"/>
        <v>0.23856276842103896</v>
      </c>
      <c r="F37" s="12">
        <f t="shared" si="43"/>
        <v>0.28861102479661005</v>
      </c>
      <c r="G37" s="12">
        <f t="shared" si="43"/>
        <v>8.5166409562647427E-2</v>
      </c>
      <c r="H37" s="12">
        <f t="shared" si="43"/>
        <v>-3.0750456433556783E-2</v>
      </c>
      <c r="I37" s="12">
        <f t="shared" si="43"/>
        <v>-0.13116165483751585</v>
      </c>
      <c r="J37" s="12">
        <f t="shared" si="43"/>
        <v>-4.7831977052238517E-2</v>
      </c>
      <c r="K37" s="12">
        <f t="shared" si="43"/>
        <v>-0.10242073645302929</v>
      </c>
      <c r="L37" s="12">
        <f t="shared" si="43"/>
        <v>8.1845114175891354E-3</v>
      </c>
      <c r="M37" s="12">
        <f t="shared" si="43"/>
        <v>0.17561023701506162</v>
      </c>
      <c r="N37" s="12">
        <f t="shared" si="43"/>
        <v>5.8432583171234231E-2</v>
      </c>
      <c r="O37" s="12">
        <f t="shared" si="43"/>
        <v>8.0006786743819891E-2</v>
      </c>
      <c r="P37" s="12">
        <f t="shared" si="43"/>
        <v>-6.4516320002262484E-2</v>
      </c>
      <c r="Q37" s="12">
        <f t="shared" si="43"/>
        <v>-0.16167052316384134</v>
      </c>
      <c r="R37" s="12">
        <f t="shared" si="43"/>
        <v>0.21401691664903866</v>
      </c>
      <c r="S37" s="12">
        <f t="shared" si="43"/>
        <v>0.17973350013520206</v>
      </c>
      <c r="T37" s="12">
        <f t="shared" si="43"/>
        <v>6.0572092790854404E-2</v>
      </c>
      <c r="U37" s="12">
        <f t="shared" si="43"/>
        <v>-7.5337858393586199E-2</v>
      </c>
      <c r="V37" s="583">
        <f t="shared" si="43"/>
        <v>-5.7674963449497962E-2</v>
      </c>
      <c r="W37" s="583">
        <f t="shared" si="43"/>
        <v>2.9045500018328951E-2</v>
      </c>
      <c r="X37" s="583">
        <f t="shared" ref="X37:AD37" si="44">X36/W36-1</f>
        <v>-0.13356527755048464</v>
      </c>
      <c r="Y37" s="583">
        <f t="shared" si="44"/>
        <v>4.9131748894349681E-2</v>
      </c>
      <c r="Z37" s="583">
        <f t="shared" si="44"/>
        <v>6.3113829192933624E-2</v>
      </c>
      <c r="AA37" s="583">
        <f t="shared" si="44"/>
        <v>7.3715115531543862E-2</v>
      </c>
      <c r="AB37" s="583">
        <f t="shared" si="44"/>
        <v>7.3274317411346823E-2</v>
      </c>
      <c r="AC37" s="583">
        <f t="shared" si="44"/>
        <v>3.9383843702738286E-2</v>
      </c>
      <c r="AD37" s="742">
        <f t="shared" si="44"/>
        <v>3.4673545204571665E-2</v>
      </c>
      <c r="AE37" s="750"/>
      <c r="AF37" s="50"/>
      <c r="AG37" s="49"/>
      <c r="AH37" s="647"/>
    </row>
    <row r="38" spans="1:35" ht="11.25" customHeight="1">
      <c r="A38" s="13"/>
      <c r="B38" s="1"/>
      <c r="C38" s="1"/>
      <c r="D38" s="1"/>
      <c r="E38" s="1"/>
      <c r="F38" s="1"/>
      <c r="G38" s="1"/>
      <c r="H38" s="1"/>
      <c r="I38" s="1"/>
      <c r="J38" s="1"/>
      <c r="K38" s="1"/>
      <c r="L38" s="1"/>
      <c r="M38" s="1"/>
      <c r="N38" s="1"/>
      <c r="O38" s="1"/>
      <c r="P38" s="1"/>
      <c r="Q38" s="1"/>
      <c r="R38" s="1"/>
      <c r="S38" s="1"/>
      <c r="T38" s="1"/>
      <c r="U38" s="1"/>
      <c r="V38" s="50"/>
      <c r="W38" s="50"/>
      <c r="X38" s="50"/>
      <c r="Y38" s="50"/>
      <c r="Z38" s="50"/>
      <c r="AA38" s="50"/>
      <c r="AB38" s="50"/>
      <c r="AC38" s="50"/>
      <c r="AD38" s="647"/>
      <c r="AE38" s="750"/>
      <c r="AF38" s="50"/>
      <c r="AG38" s="49"/>
      <c r="AH38" s="647"/>
    </row>
    <row r="39" spans="1:35">
      <c r="A39" s="9" t="s">
        <v>87</v>
      </c>
      <c r="B39" s="14">
        <f>'qtrP&amp;L'!F14/100</f>
        <v>0.15</v>
      </c>
      <c r="C39" s="14">
        <f>'qtrP&amp;L'!J14/100</f>
        <v>0.05</v>
      </c>
      <c r="D39" s="12">
        <f>'qtrP&amp;L'!N14/100</f>
        <v>0.13</v>
      </c>
      <c r="E39" s="12">
        <f>'qtrP&amp;L'!R14/100</f>
        <v>0.21</v>
      </c>
      <c r="F39" s="12">
        <f>'qtrP&amp;L'!V14/100</f>
        <v>0.35</v>
      </c>
      <c r="G39" s="12">
        <f>'qtrP&amp;L'!Z14/100</f>
        <v>0.1</v>
      </c>
      <c r="H39" s="239">
        <v>-7.0000000000000007E-2</v>
      </c>
      <c r="I39" s="46">
        <v>-0.09</v>
      </c>
      <c r="J39" s="129">
        <v>-0.06</v>
      </c>
      <c r="K39" s="12">
        <v>-0.11</v>
      </c>
      <c r="L39" s="12">
        <v>-0.01</v>
      </c>
      <c r="M39" s="12">
        <v>0.18</v>
      </c>
      <c r="N39" s="12">
        <v>-0.04</v>
      </c>
      <c r="O39" s="12">
        <v>0</v>
      </c>
      <c r="P39" s="12">
        <f>SegqtrSales!$F$59*0.01</f>
        <v>-0.08</v>
      </c>
      <c r="Q39" s="12">
        <f>SegqtrSales!$F$66*0.01</f>
        <v>-0.19</v>
      </c>
      <c r="R39" s="12">
        <f>SegqtrSales!$F$73*0.01</f>
        <v>8.5096846963131828E-2</v>
      </c>
      <c r="S39" s="12">
        <f>SegqtrSales!F80*0.01</f>
        <v>2.8105568878586739E-2</v>
      </c>
      <c r="T39" s="12">
        <f>SegqtrSales!F87*0.01</f>
        <v>-0.03</v>
      </c>
      <c r="U39" s="12">
        <f>SegqtrSales!F94*0.01</f>
        <v>-0.1</v>
      </c>
      <c r="V39" s="732">
        <f>SegqtrSales!F101*0.01</f>
        <v>-0.05</v>
      </c>
      <c r="W39" s="583">
        <f>SegqtrSales!F108*0.01</f>
        <v>-0.06</v>
      </c>
      <c r="X39" s="583">
        <f>SegqtrSales!F115*0.01</f>
        <v>-0.11</v>
      </c>
      <c r="Y39" s="583">
        <f>SegqtrSales!F122*0.01</f>
        <v>-3.0892144328403735E-2</v>
      </c>
      <c r="Z39" s="583">
        <f>SegqtrSales!F129*0.01</f>
        <v>-1.0393397317713339E-2</v>
      </c>
      <c r="AA39" s="587">
        <v>-0.03</v>
      </c>
      <c r="AB39" s="587">
        <v>-0.03</v>
      </c>
      <c r="AC39" s="587">
        <v>-0.03</v>
      </c>
      <c r="AD39" s="587">
        <v>-0.03</v>
      </c>
      <c r="AE39" s="750"/>
      <c r="AF39" s="50"/>
      <c r="AG39" s="49"/>
      <c r="AH39" s="647"/>
    </row>
    <row r="40" spans="1:35" ht="11.25" customHeight="1">
      <c r="A40" s="13"/>
      <c r="B40" s="1"/>
      <c r="C40" s="1"/>
      <c r="D40" s="1"/>
      <c r="E40" s="1"/>
      <c r="F40" s="1"/>
      <c r="G40" s="1"/>
      <c r="H40" s="1"/>
      <c r="I40" s="1"/>
      <c r="J40" s="1"/>
      <c r="K40" s="1"/>
      <c r="L40" s="1"/>
      <c r="M40" s="1"/>
      <c r="N40" s="1"/>
      <c r="O40" s="1"/>
      <c r="P40" s="1"/>
      <c r="Q40" s="1"/>
      <c r="R40" s="1"/>
      <c r="S40" s="1"/>
      <c r="T40" s="1"/>
      <c r="U40" s="1"/>
      <c r="V40" s="50"/>
      <c r="W40" s="50"/>
      <c r="X40" s="50"/>
      <c r="Y40" s="50"/>
      <c r="Z40" s="50"/>
      <c r="AA40" s="50"/>
      <c r="AB40" s="50"/>
      <c r="AC40" s="50"/>
      <c r="AD40" s="647"/>
      <c r="AE40" s="750"/>
      <c r="AF40" s="50"/>
      <c r="AG40" s="49"/>
      <c r="AH40" s="647"/>
    </row>
    <row r="41" spans="1:35" ht="12.75" customHeight="1" outlineLevel="1">
      <c r="A41" s="9" t="s">
        <v>269</v>
      </c>
      <c r="B41" s="8">
        <f>squft!$T$10</f>
        <v>7550</v>
      </c>
      <c r="C41" s="8">
        <f>squft!$X$10</f>
        <v>11000</v>
      </c>
      <c r="D41" s="8">
        <f>squft!$AB$10</f>
        <v>9800</v>
      </c>
      <c r="E41" s="8">
        <f>squft!$AF$10</f>
        <v>10150</v>
      </c>
      <c r="F41" s="8">
        <f>squft!$AJ$10</f>
        <v>7800</v>
      </c>
      <c r="G41" s="8">
        <f>squft!$AN$10</f>
        <v>8650</v>
      </c>
      <c r="H41" s="8">
        <f>squft!$AR$10</f>
        <v>8200</v>
      </c>
      <c r="I41" s="8">
        <f>squft!$AV$10</f>
        <v>7990</v>
      </c>
      <c r="J41" s="8">
        <f>squft!$AZ$10</f>
        <v>8000</v>
      </c>
      <c r="K41" s="8">
        <f>squft!$BD$10</f>
        <v>7100</v>
      </c>
      <c r="L41" s="8">
        <f>squft!$BH$10</f>
        <v>8500</v>
      </c>
      <c r="M41" s="8">
        <f>squft!$BL$10</f>
        <v>9733.3333333333321</v>
      </c>
      <c r="N41" s="8">
        <f>squft!$BP$10</f>
        <v>8500</v>
      </c>
      <c r="O41" s="8">
        <f>squft!$BT$10</f>
        <v>8500</v>
      </c>
      <c r="P41" s="8">
        <f>squft!$BX$10</f>
        <v>13000</v>
      </c>
      <c r="Q41" s="8">
        <f>squft!$CB$10</f>
        <v>8860</v>
      </c>
      <c r="R41" s="8">
        <f>squft!$CF$10</f>
        <v>8800</v>
      </c>
      <c r="S41" s="8">
        <f>squft!$CJ$10</f>
        <v>8800</v>
      </c>
      <c r="T41" s="8">
        <f>squft!$CN$10</f>
        <v>8800</v>
      </c>
      <c r="U41" s="8">
        <f>squft!$CR$10</f>
        <v>8800</v>
      </c>
      <c r="V41" s="8">
        <f>squft!$CV$10</f>
        <v>8800</v>
      </c>
      <c r="W41" s="8">
        <f>squft!$CZ$10</f>
        <v>8800</v>
      </c>
      <c r="X41" s="8">
        <f>squft!$DD$10</f>
        <v>8800</v>
      </c>
      <c r="Y41" s="8">
        <f>squft!$DH$10</f>
        <v>8800</v>
      </c>
      <c r="Z41" s="80">
        <f>squft!$DL$10</f>
        <v>8800</v>
      </c>
      <c r="AA41" s="80">
        <f>squft!$DP$10</f>
        <v>8800</v>
      </c>
      <c r="AB41" s="80">
        <f>squft!$DT$10</f>
        <v>8800</v>
      </c>
      <c r="AC41" s="80">
        <f>squft!$DX$10</f>
        <v>8800</v>
      </c>
      <c r="AD41" s="745">
        <f>squft!$EB$10</f>
        <v>8800</v>
      </c>
      <c r="AE41" s="750"/>
      <c r="AF41" s="80"/>
      <c r="AG41" s="49"/>
      <c r="AH41" s="647"/>
    </row>
    <row r="42" spans="1:35" ht="12.75" customHeight="1" outlineLevel="1">
      <c r="A42" s="13"/>
      <c r="B42" s="1"/>
      <c r="C42" s="1"/>
      <c r="D42" s="1"/>
      <c r="E42" s="1"/>
      <c r="F42" s="1"/>
      <c r="G42" s="1"/>
      <c r="H42" s="1"/>
      <c r="I42" s="1"/>
      <c r="J42" s="1"/>
      <c r="K42" s="1"/>
      <c r="L42" s="1"/>
      <c r="M42" s="1"/>
      <c r="N42" s="1"/>
      <c r="O42" s="1"/>
      <c r="P42" s="1"/>
      <c r="Q42" s="1"/>
      <c r="R42" s="1"/>
      <c r="S42" s="1"/>
      <c r="T42" s="1"/>
      <c r="U42" s="1"/>
      <c r="V42" s="50"/>
      <c r="W42" s="50"/>
      <c r="X42" s="50"/>
      <c r="Y42" s="50"/>
      <c r="Z42" s="50"/>
      <c r="AA42" s="50"/>
      <c r="AB42" s="50"/>
      <c r="AC42" s="50"/>
      <c r="AD42" s="647"/>
      <c r="AE42" s="750"/>
      <c r="AF42" s="50"/>
      <c r="AG42" s="49"/>
      <c r="AH42" s="647"/>
    </row>
    <row r="43" spans="1:35">
      <c r="A43" s="9" t="s">
        <v>92</v>
      </c>
      <c r="B43" s="194">
        <v>0.99519574721780657</v>
      </c>
      <c r="C43" s="118">
        <f t="shared" ref="C43:P43" si="45">(C12-C39)/C28</f>
        <v>0.63695698265022116</v>
      </c>
      <c r="D43" s="118">
        <f t="shared" si="45"/>
        <v>0.63986712162191695</v>
      </c>
      <c r="E43" s="118">
        <f t="shared" si="45"/>
        <v>1.3502404396636618</v>
      </c>
      <c r="F43" s="118">
        <f t="shared" si="45"/>
        <v>0.95318771294076987</v>
      </c>
      <c r="G43" s="118">
        <f t="shared" si="45"/>
        <v>0.98667149013680699</v>
      </c>
      <c r="H43" s="118">
        <f t="shared" si="45"/>
        <v>1.1814508830939585</v>
      </c>
      <c r="I43" s="118">
        <f t="shared" si="45"/>
        <v>0.63414771911154877</v>
      </c>
      <c r="J43" s="118">
        <f t="shared" si="45"/>
        <v>1.0562118120219457</v>
      </c>
      <c r="K43" s="118">
        <f t="shared" si="45"/>
        <v>1.0196950998467116</v>
      </c>
      <c r="L43" s="118">
        <f t="shared" si="45"/>
        <v>2.0951728803214293</v>
      </c>
      <c r="M43" s="118">
        <f t="shared" si="45"/>
        <v>-3.7669312549571314</v>
      </c>
      <c r="N43" s="118">
        <f t="shared" si="45"/>
        <v>19.835193524471748</v>
      </c>
      <c r="O43" s="123">
        <f t="shared" si="45"/>
        <v>51.708301438233839</v>
      </c>
      <c r="P43" s="118">
        <f t="shared" si="45"/>
        <v>-13.083882580811725</v>
      </c>
      <c r="Q43" s="118">
        <f t="shared" ref="Q43:V43" si="46">(Q8-Q39)/Q28</f>
        <v>-1.0946329741909515</v>
      </c>
      <c r="R43" s="118">
        <f t="shared" si="46"/>
        <v>-1.6871465955506175</v>
      </c>
      <c r="S43" s="118">
        <f t="shared" si="46"/>
        <v>-0.768411267123571</v>
      </c>
      <c r="T43" s="118">
        <f t="shared" si="46"/>
        <v>6.0850073926617954E-2</v>
      </c>
      <c r="U43" s="118">
        <f t="shared" si="46"/>
        <v>2.7175350181004001</v>
      </c>
      <c r="V43" s="118">
        <f t="shared" si="46"/>
        <v>11.915864643053565</v>
      </c>
      <c r="W43" s="118">
        <f t="shared" ref="W43:AB43" si="47">(W8-W39)/W28</f>
        <v>1.3272162789792146</v>
      </c>
      <c r="X43" s="118">
        <f t="shared" si="47"/>
        <v>-1.1511168716128075</v>
      </c>
      <c r="Y43" s="118">
        <f t="shared" si="47"/>
        <v>1.5410258107820092</v>
      </c>
      <c r="Z43" s="118">
        <f t="shared" si="47"/>
        <v>0.10063837297829153</v>
      </c>
      <c r="AA43" s="118">
        <f t="shared" si="47"/>
        <v>0.12960300835765667</v>
      </c>
      <c r="AB43" s="118">
        <f t="shared" si="47"/>
        <v>0.24693214056459131</v>
      </c>
      <c r="AC43" s="118">
        <f>(AC8-AC39)/AC28</f>
        <v>0.61610570685074939</v>
      </c>
      <c r="AD43" s="736">
        <f>(AD8-AD39)/AD28</f>
        <v>0.51320453559545687</v>
      </c>
      <c r="AE43" s="750"/>
      <c r="AF43" s="50"/>
      <c r="AG43" s="49"/>
      <c r="AH43" s="647"/>
    </row>
    <row r="44" spans="1:35" ht="11.25" customHeight="1">
      <c r="A44" s="13"/>
      <c r="B44" s="1"/>
      <c r="C44" s="1"/>
      <c r="D44" s="1"/>
      <c r="E44" s="1"/>
      <c r="F44" s="1"/>
      <c r="G44" s="1"/>
      <c r="H44" s="1"/>
      <c r="I44" s="1"/>
      <c r="J44" s="1"/>
      <c r="K44" s="1"/>
      <c r="L44" s="1"/>
      <c r="M44" s="1"/>
      <c r="N44" s="1"/>
      <c r="O44" s="1"/>
      <c r="P44" s="1"/>
      <c r="Q44" s="1"/>
      <c r="R44" s="1"/>
      <c r="S44" s="1"/>
      <c r="T44" s="1"/>
      <c r="U44" s="1"/>
      <c r="V44" s="50"/>
      <c r="W44" s="50"/>
      <c r="X44" s="50"/>
      <c r="Y44" s="50"/>
      <c r="Z44" s="50"/>
      <c r="AA44" s="50"/>
      <c r="AB44" s="50"/>
      <c r="AC44" s="50"/>
      <c r="AD44" s="647"/>
      <c r="AE44" s="750"/>
      <c r="AF44" s="50"/>
      <c r="AG44" s="49"/>
      <c r="AH44" s="647"/>
    </row>
    <row r="45" spans="1:35" hidden="1" outlineLevel="1">
      <c r="A45" s="13" t="s">
        <v>93</v>
      </c>
      <c r="B45" s="16">
        <f>'qtrP&amp;L'!D84</f>
        <v>13.751000000000012</v>
      </c>
      <c r="C45" s="16">
        <f>'qtrP&amp;L'!H84</f>
        <v>23.797999999999988</v>
      </c>
      <c r="D45" s="16">
        <f>'qtrP&amp;L'!L84</f>
        <v>45.993000000000009</v>
      </c>
      <c r="E45" s="16">
        <f>'qtrP&amp;L'!P84</f>
        <v>84.125000000000014</v>
      </c>
      <c r="F45" s="16"/>
      <c r="G45" s="16"/>
      <c r="H45" s="16"/>
      <c r="I45" s="16"/>
      <c r="J45" s="16"/>
      <c r="K45" s="16"/>
      <c r="L45" s="16"/>
      <c r="M45" s="16"/>
      <c r="N45" s="16"/>
      <c r="O45" s="16"/>
      <c r="P45" s="16"/>
      <c r="Q45" s="16"/>
      <c r="R45" s="16"/>
      <c r="S45" s="16"/>
      <c r="T45" s="16"/>
      <c r="U45" s="16"/>
      <c r="V45" s="588"/>
      <c r="W45" s="588"/>
      <c r="X45" s="588"/>
      <c r="Y45" s="588"/>
      <c r="Z45" s="588"/>
      <c r="AA45" s="588"/>
      <c r="AB45" s="588"/>
      <c r="AC45" s="588"/>
      <c r="AD45" s="747"/>
      <c r="AE45" s="750" t="e">
        <f>((T45/O45)^(1/5)-1)*100</f>
        <v>#DIV/0!</v>
      </c>
      <c r="AF45" s="79" t="s">
        <v>76</v>
      </c>
      <c r="AG45" s="49" t="e">
        <f>((Y45/T45)^(1/5)-1)*100</f>
        <v>#DIV/0!</v>
      </c>
      <c r="AH45" s="751" t="s">
        <v>76</v>
      </c>
      <c r="AI45" s="114"/>
    </row>
    <row r="46" spans="1:35" hidden="1" outlineLevel="1">
      <c r="A46" s="17" t="s">
        <v>94</v>
      </c>
      <c r="B46" s="18">
        <f t="shared" ref="B46:W46" si="48">B45/B11</f>
        <v>8.3106192925306618E-2</v>
      </c>
      <c r="C46" s="18">
        <f t="shared" si="48"/>
        <v>0.10098489766993829</v>
      </c>
      <c r="D46" s="18">
        <f t="shared" si="48"/>
        <v>0.13714025022959581</v>
      </c>
      <c r="E46" s="18">
        <f t="shared" si="48"/>
        <v>0.16127733566965805</v>
      </c>
      <c r="F46" s="18">
        <f t="shared" si="48"/>
        <v>0</v>
      </c>
      <c r="G46" s="18">
        <f t="shared" si="48"/>
        <v>0</v>
      </c>
      <c r="H46" s="18">
        <f t="shared" si="48"/>
        <v>0</v>
      </c>
      <c r="I46" s="18">
        <f t="shared" si="48"/>
        <v>0</v>
      </c>
      <c r="J46" s="18">
        <f t="shared" si="48"/>
        <v>0</v>
      </c>
      <c r="K46" s="18">
        <f t="shared" si="48"/>
        <v>0</v>
      </c>
      <c r="L46" s="18">
        <f t="shared" si="48"/>
        <v>0</v>
      </c>
      <c r="M46" s="18">
        <f t="shared" si="48"/>
        <v>0</v>
      </c>
      <c r="N46" s="18">
        <f t="shared" si="48"/>
        <v>0</v>
      </c>
      <c r="O46" s="18">
        <f t="shared" si="48"/>
        <v>0</v>
      </c>
      <c r="P46" s="18">
        <f t="shared" si="48"/>
        <v>0</v>
      </c>
      <c r="Q46" s="18">
        <f t="shared" si="48"/>
        <v>0</v>
      </c>
      <c r="R46" s="18">
        <f t="shared" si="48"/>
        <v>0</v>
      </c>
      <c r="S46" s="18">
        <f t="shared" si="48"/>
        <v>0</v>
      </c>
      <c r="T46" s="18">
        <f t="shared" si="48"/>
        <v>0</v>
      </c>
      <c r="U46" s="18">
        <f t="shared" si="48"/>
        <v>0</v>
      </c>
      <c r="V46" s="576">
        <f t="shared" si="48"/>
        <v>0</v>
      </c>
      <c r="W46" s="576">
        <f t="shared" si="48"/>
        <v>0</v>
      </c>
      <c r="X46" s="576">
        <f t="shared" ref="X46:AC46" si="49">X45/X11</f>
        <v>0</v>
      </c>
      <c r="Y46" s="576">
        <f t="shared" si="49"/>
        <v>0</v>
      </c>
      <c r="Z46" s="576">
        <f t="shared" si="49"/>
        <v>0</v>
      </c>
      <c r="AA46" s="576">
        <f t="shared" si="49"/>
        <v>0</v>
      </c>
      <c r="AB46" s="576">
        <f t="shared" si="49"/>
        <v>0</v>
      </c>
      <c r="AC46" s="576">
        <f t="shared" si="49"/>
        <v>0</v>
      </c>
      <c r="AD46" s="733">
        <f t="shared" ref="AD46" si="50">AD45/AD11</f>
        <v>0</v>
      </c>
      <c r="AE46" s="83"/>
      <c r="AF46" s="2"/>
      <c r="AG46" s="108"/>
      <c r="AH46" s="752"/>
    </row>
    <row r="47" spans="1:35" ht="11.25" hidden="1" customHeight="1" outlineLevel="1">
      <c r="A47" s="13"/>
      <c r="B47" s="1"/>
      <c r="C47" s="1"/>
      <c r="D47" s="1"/>
      <c r="E47" s="1"/>
      <c r="F47" s="1"/>
      <c r="G47" s="1"/>
      <c r="H47" s="1"/>
      <c r="I47" s="1"/>
      <c r="J47" s="1"/>
      <c r="K47" s="1"/>
      <c r="L47" s="1"/>
      <c r="M47" s="1"/>
      <c r="N47" s="1"/>
      <c r="O47" s="1"/>
      <c r="P47" s="1"/>
      <c r="Q47" s="1"/>
      <c r="R47" s="1"/>
      <c r="S47" s="1"/>
      <c r="T47" s="1"/>
      <c r="U47" s="1"/>
      <c r="V47" s="50"/>
      <c r="W47" s="50"/>
      <c r="X47" s="50"/>
      <c r="Y47" s="50"/>
      <c r="Z47" s="50"/>
      <c r="AA47" s="50"/>
      <c r="AB47" s="50"/>
      <c r="AC47" s="50"/>
      <c r="AD47" s="647"/>
      <c r="AE47" s="81"/>
      <c r="AF47" s="50"/>
      <c r="AG47" s="49"/>
      <c r="AH47" s="647"/>
    </row>
    <row r="48" spans="1:35" collapsed="1">
      <c r="A48" s="9" t="s">
        <v>715</v>
      </c>
      <c r="B48" s="1"/>
      <c r="C48" s="1"/>
      <c r="D48" s="1"/>
      <c r="E48" s="20"/>
      <c r="F48" s="118">
        <f t="shared" ref="F48:V48" si="51">+(F12-F39)/F22</f>
        <v>0.8816048786068823</v>
      </c>
      <c r="G48" s="118">
        <f t="shared" si="51"/>
        <v>0.85379325691528707</v>
      </c>
      <c r="H48" s="118">
        <f t="shared" si="51"/>
        <v>1.0606482520109854</v>
      </c>
      <c r="I48" s="118">
        <f t="shared" si="51"/>
        <v>0.56793796578970657</v>
      </c>
      <c r="J48" s="118">
        <f t="shared" si="51"/>
        <v>0.94537803832345724</v>
      </c>
      <c r="K48" s="118">
        <f t="shared" si="51"/>
        <v>0.85571434478160646</v>
      </c>
      <c r="L48" s="118">
        <f t="shared" si="51"/>
        <v>1.4370783960645312</v>
      </c>
      <c r="M48" s="118">
        <f t="shared" si="51"/>
        <v>-0.59719568806387135</v>
      </c>
      <c r="N48" s="118">
        <f t="shared" si="51"/>
        <v>24.886157022443324</v>
      </c>
      <c r="O48" s="118">
        <f t="shared" si="51"/>
        <v>-29.45771597421469</v>
      </c>
      <c r="P48" s="118">
        <f t="shared" si="51"/>
        <v>-2.5974747960406033</v>
      </c>
      <c r="Q48" s="118">
        <f t="shared" si="51"/>
        <v>-1.1415386112159436</v>
      </c>
      <c r="R48" s="118">
        <f t="shared" si="51"/>
        <v>-2.0046793510706511</v>
      </c>
      <c r="S48" s="118">
        <f t="shared" si="51"/>
        <v>-1.1231476283946411</v>
      </c>
      <c r="T48" s="118">
        <f t="shared" si="51"/>
        <v>-0.82704195080278842</v>
      </c>
      <c r="U48" s="118">
        <f t="shared" si="51"/>
        <v>-0.24221272698320651</v>
      </c>
      <c r="V48" s="118">
        <f t="shared" si="51"/>
        <v>1.2085137551433722</v>
      </c>
      <c r="W48" s="118">
        <f t="shared" ref="W48:AB48" si="52">+(W12-W39)/W22</f>
        <v>0.48794974155129933</v>
      </c>
      <c r="X48" s="118">
        <f t="shared" si="52"/>
        <v>-0.32607009206438115</v>
      </c>
      <c r="Y48" s="118">
        <f t="shared" si="52"/>
        <v>-0.13034196879262858</v>
      </c>
      <c r="Z48" s="118">
        <f t="shared" si="52"/>
        <v>-9.4448143991793798E-2</v>
      </c>
      <c r="AA48" s="118">
        <f t="shared" si="52"/>
        <v>-0.3129432785288469</v>
      </c>
      <c r="AB48" s="118">
        <f t="shared" si="52"/>
        <v>-0.27513936102545827</v>
      </c>
      <c r="AC48" s="118">
        <f>+(AC12-AC39)/AC22</f>
        <v>-0.32540928781105694</v>
      </c>
      <c r="AD48" s="736">
        <f>+(AD12-AD39)/AD22</f>
        <v>-0.60287935399674419</v>
      </c>
      <c r="AE48" s="83"/>
      <c r="AF48" s="2"/>
      <c r="AG48" s="84"/>
      <c r="AH48" s="752"/>
    </row>
    <row r="49" spans="1:35" ht="20.25" customHeight="1">
      <c r="A49" s="1836" t="s">
        <v>774</v>
      </c>
      <c r="B49" s="1"/>
      <c r="C49" s="1"/>
      <c r="D49" s="1"/>
      <c r="E49" s="20"/>
      <c r="F49" s="1"/>
      <c r="G49" s="1"/>
      <c r="H49" s="1"/>
      <c r="I49" s="1"/>
      <c r="J49" s="1"/>
      <c r="K49" s="1"/>
      <c r="V49" s="97"/>
      <c r="W49" s="97"/>
      <c r="X49" s="97"/>
      <c r="Y49" s="97"/>
      <c r="Z49" s="97"/>
      <c r="AA49" s="97"/>
      <c r="AB49" s="97"/>
      <c r="AC49" s="97"/>
      <c r="AD49" s="97"/>
      <c r="AE49" s="1"/>
      <c r="AF49" s="1"/>
      <c r="AG49" s="6"/>
      <c r="AH49" s="1"/>
    </row>
    <row r="50" spans="1:35">
      <c r="A50" s="1" t="s">
        <v>6</v>
      </c>
      <c r="B50" s="1"/>
      <c r="C50" s="1"/>
      <c r="D50" s="1"/>
      <c r="E50" s="20"/>
      <c r="F50" s="1"/>
      <c r="G50" s="1"/>
      <c r="H50" s="1"/>
      <c r="I50" s="1"/>
      <c r="J50" s="1"/>
      <c r="K50" s="1"/>
      <c r="V50" s="97"/>
      <c r="W50" s="97"/>
      <c r="X50" s="97"/>
      <c r="Y50" s="97"/>
      <c r="Z50" s="97"/>
      <c r="AA50" s="97"/>
      <c r="AB50" s="97"/>
      <c r="AC50" s="97"/>
      <c r="AD50" s="97"/>
      <c r="AE50" s="1"/>
      <c r="AF50" s="1"/>
      <c r="AG50" s="6"/>
      <c r="AH50" s="1"/>
    </row>
    <row r="51" spans="1:35">
      <c r="A51" s="96"/>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96"/>
      <c r="AE51" s="96"/>
      <c r="AF51" s="96"/>
      <c r="AG51" s="96"/>
      <c r="AH51" s="96"/>
    </row>
    <row r="52" spans="1:35" hidden="1" outlineLevel="1">
      <c r="A52" s="328" t="s">
        <v>448</v>
      </c>
      <c r="B52" s="329"/>
      <c r="C52" s="329"/>
      <c r="D52" s="329"/>
      <c r="E52" s="329"/>
      <c r="F52" s="329"/>
      <c r="G52" s="329"/>
      <c r="H52" s="329"/>
      <c r="I52" s="329"/>
      <c r="J52" s="329"/>
      <c r="K52" s="329"/>
      <c r="L52" s="1017"/>
      <c r="M52" s="1017"/>
      <c r="N52" s="1017"/>
      <c r="O52" s="1017"/>
      <c r="P52" s="1830"/>
      <c r="Q52" s="1017"/>
      <c r="R52" s="1017"/>
      <c r="S52" s="1017"/>
      <c r="T52" s="1017"/>
      <c r="U52" s="1017"/>
      <c r="V52" s="332"/>
      <c r="W52" s="332"/>
      <c r="X52" s="332"/>
      <c r="Y52" s="332"/>
      <c r="Z52" s="332"/>
      <c r="AA52" s="332"/>
      <c r="AB52" s="332"/>
      <c r="AC52" s="332"/>
      <c r="AD52" s="332"/>
      <c r="AE52" s="329"/>
      <c r="AF52" s="329"/>
      <c r="AG52" s="329"/>
      <c r="AH52" s="329"/>
    </row>
    <row r="53" spans="1:35" hidden="1" outlineLevel="1">
      <c r="A53" s="326" t="str">
        <f>+A2</f>
        <v>Annual Sales Model, Fiscal 1997A-2018E</v>
      </c>
      <c r="B53" s="327"/>
      <c r="C53" s="327"/>
      <c r="D53" s="327"/>
      <c r="E53" s="327"/>
      <c r="F53" s="327"/>
      <c r="G53" s="327"/>
      <c r="H53" s="327"/>
      <c r="I53" s="327"/>
      <c r="J53" s="327"/>
      <c r="K53" s="327" t="s">
        <v>627</v>
      </c>
      <c r="L53" s="327"/>
      <c r="M53" s="327"/>
      <c r="N53" s="327"/>
      <c r="O53" s="327"/>
      <c r="P53" s="352"/>
      <c r="Q53" s="327"/>
      <c r="R53" s="327"/>
      <c r="S53" s="327"/>
      <c r="T53" s="327"/>
      <c r="U53" s="327"/>
      <c r="V53" s="327"/>
      <c r="W53" s="327"/>
      <c r="X53" s="327"/>
      <c r="Y53" s="327"/>
      <c r="Z53" s="327"/>
      <c r="AA53" s="327"/>
      <c r="AB53" s="327"/>
      <c r="AC53" s="327"/>
      <c r="AD53" s="327"/>
      <c r="AE53" s="327"/>
      <c r="AF53" s="327"/>
      <c r="AG53" s="327"/>
      <c r="AH53" s="327"/>
    </row>
    <row r="54" spans="1:35" hidden="1" outlineLevel="1">
      <c r="A54" s="21"/>
      <c r="B54" s="50"/>
      <c r="C54" s="50"/>
      <c r="D54" s="50"/>
      <c r="E54" s="50"/>
      <c r="F54" s="50"/>
      <c r="G54" s="50"/>
      <c r="H54" s="50"/>
      <c r="I54" s="50"/>
      <c r="J54" s="50"/>
      <c r="K54" s="50"/>
      <c r="L54" s="50"/>
      <c r="M54" s="50"/>
      <c r="N54" s="50"/>
      <c r="O54" s="50"/>
      <c r="P54" s="1"/>
      <c r="Q54" s="50"/>
      <c r="R54" s="50"/>
      <c r="S54" s="50"/>
      <c r="T54" s="50"/>
      <c r="U54" s="50"/>
      <c r="V54" s="50"/>
      <c r="W54" s="50"/>
      <c r="X54" s="50"/>
      <c r="Y54" s="50"/>
      <c r="Z54" s="50"/>
      <c r="AA54" s="50"/>
      <c r="AB54" s="50"/>
      <c r="AC54" s="50"/>
      <c r="AD54" s="50"/>
      <c r="AE54" s="50"/>
      <c r="AF54" s="50"/>
      <c r="AG54" s="50"/>
      <c r="AH54" s="50"/>
    </row>
    <row r="55" spans="1:35" hidden="1" outlineLevel="1">
      <c r="A55" s="3"/>
      <c r="B55" s="1"/>
      <c r="C55" s="1"/>
      <c r="D55" s="1"/>
      <c r="E55" s="1"/>
      <c r="F55" s="1"/>
      <c r="G55" s="1"/>
      <c r="H55" s="1"/>
      <c r="I55" s="1"/>
      <c r="J55" s="1"/>
      <c r="K55" s="1"/>
      <c r="L55" s="1"/>
      <c r="M55" s="1"/>
      <c r="N55" s="1"/>
      <c r="O55" s="1"/>
      <c r="P55" s="1"/>
      <c r="Q55" s="1"/>
      <c r="R55" s="1"/>
      <c r="S55" s="1"/>
      <c r="T55" s="1"/>
      <c r="U55" s="1"/>
      <c r="V55" s="50"/>
      <c r="W55" s="50"/>
      <c r="X55" s="50"/>
      <c r="Y55" s="50"/>
      <c r="Z55" s="50"/>
      <c r="AA55" s="50"/>
      <c r="AB55" s="50"/>
      <c r="AC55" s="50"/>
      <c r="AD55" s="50"/>
      <c r="AE55" s="754"/>
      <c r="AF55" s="85" t="s">
        <v>75</v>
      </c>
      <c r="AG55" s="91"/>
      <c r="AH55" s="755"/>
    </row>
    <row r="56" spans="1:35" hidden="1" outlineLevel="1">
      <c r="A56" s="4"/>
      <c r="B56" s="121">
        <f>+B5</f>
        <v>1994</v>
      </c>
      <c r="C56" s="121">
        <f>+C5</f>
        <v>1995</v>
      </c>
      <c r="D56" s="121">
        <f>+D5</f>
        <v>1996</v>
      </c>
      <c r="E56" s="121">
        <f t="shared" ref="E56:K56" si="53">+E5</f>
        <v>1997</v>
      </c>
      <c r="F56" s="121">
        <f t="shared" si="53"/>
        <v>1998</v>
      </c>
      <c r="G56" s="121">
        <f t="shared" si="53"/>
        <v>1999</v>
      </c>
      <c r="H56" s="121">
        <f t="shared" si="53"/>
        <v>2000</v>
      </c>
      <c r="I56" s="121">
        <f t="shared" si="53"/>
        <v>2001</v>
      </c>
      <c r="J56" s="121">
        <f t="shared" si="53"/>
        <v>2002</v>
      </c>
      <c r="K56" s="121">
        <f t="shared" si="53"/>
        <v>2003</v>
      </c>
      <c r="L56" s="48">
        <f t="shared" ref="L56:Q56" si="54">K56+1</f>
        <v>2004</v>
      </c>
      <c r="M56" s="48">
        <f t="shared" si="54"/>
        <v>2005</v>
      </c>
      <c r="N56" s="48">
        <f t="shared" si="54"/>
        <v>2006</v>
      </c>
      <c r="O56" s="48">
        <f t="shared" si="54"/>
        <v>2007</v>
      </c>
      <c r="P56" s="48">
        <f t="shared" si="54"/>
        <v>2008</v>
      </c>
      <c r="Q56" s="48">
        <f t="shared" si="54"/>
        <v>2009</v>
      </c>
      <c r="R56" s="48">
        <f t="shared" ref="R56:Y56" si="55">Q56+1</f>
        <v>2010</v>
      </c>
      <c r="S56" s="48">
        <f t="shared" si="55"/>
        <v>2011</v>
      </c>
      <c r="T56" s="48">
        <f t="shared" si="55"/>
        <v>2012</v>
      </c>
      <c r="U56" s="48">
        <f t="shared" si="55"/>
        <v>2013</v>
      </c>
      <c r="V56" s="48">
        <f t="shared" si="55"/>
        <v>2014</v>
      </c>
      <c r="W56" s="256">
        <f t="shared" si="55"/>
        <v>2015</v>
      </c>
      <c r="X56" s="256">
        <f t="shared" si="55"/>
        <v>2016</v>
      </c>
      <c r="Y56" s="256">
        <f t="shared" si="55"/>
        <v>2017</v>
      </c>
      <c r="Z56" s="256">
        <f>Y56+1</f>
        <v>2018</v>
      </c>
      <c r="AA56" s="256">
        <f>Z56+1</f>
        <v>2019</v>
      </c>
      <c r="AB56" s="256">
        <f>AA56+1</f>
        <v>2020</v>
      </c>
      <c r="AC56" s="256">
        <f>AB56+1</f>
        <v>2021</v>
      </c>
      <c r="AD56" s="256">
        <f>AC56+1</f>
        <v>2022</v>
      </c>
      <c r="AE56" s="748" t="str">
        <f>AE5</f>
        <v>12-17A</v>
      </c>
      <c r="AF56" s="50"/>
      <c r="AG56" s="85" t="str">
        <f>AG5</f>
        <v>'17-22E</v>
      </c>
      <c r="AH56" s="647"/>
    </row>
    <row r="57" spans="1:35" hidden="1" outlineLevel="1">
      <c r="A57" s="4"/>
      <c r="B57" s="4"/>
      <c r="C57" s="4"/>
      <c r="D57" s="4"/>
      <c r="E57" s="1"/>
      <c r="F57" s="1"/>
      <c r="G57" s="1"/>
      <c r="H57" s="1"/>
      <c r="I57" s="1"/>
      <c r="J57" s="1"/>
      <c r="K57" s="1"/>
      <c r="V57" s="97"/>
      <c r="W57" s="97"/>
      <c r="X57" s="97"/>
      <c r="Y57" s="97"/>
      <c r="Z57" s="97"/>
      <c r="AA57" s="97"/>
      <c r="AB57" s="97"/>
      <c r="AC57" s="97"/>
      <c r="AD57" s="97"/>
      <c r="AE57" s="81"/>
      <c r="AF57" s="50"/>
      <c r="AG57" s="50"/>
      <c r="AH57" s="647"/>
    </row>
    <row r="58" spans="1:35" hidden="1" outlineLevel="1">
      <c r="A58" s="1" t="s">
        <v>697</v>
      </c>
      <c r="B58" s="4"/>
      <c r="C58" s="4"/>
      <c r="D58" s="4"/>
      <c r="E58" s="1"/>
      <c r="F58" s="1"/>
      <c r="G58" s="1"/>
      <c r="H58" s="1"/>
      <c r="I58" s="1"/>
      <c r="J58" s="15">
        <f>SegqtrSales!AI138</f>
        <v>200.09607920000002</v>
      </c>
      <c r="K58" s="15">
        <f>SegqtrSales!AI145</f>
        <v>200.92640798000002</v>
      </c>
      <c r="L58" s="15">
        <f>SegqtrSales!AI152</f>
        <v>211.18350796999982</v>
      </c>
      <c r="M58" s="15">
        <f>SegqtrSales!AI159</f>
        <v>329.12782777999962</v>
      </c>
      <c r="N58" s="15">
        <f>SegqtrSales!AI166</f>
        <v>391.91999999999996</v>
      </c>
      <c r="O58" s="15">
        <f>O62-O60</f>
        <v>444.23599999999999</v>
      </c>
      <c r="P58" s="15">
        <f>SegqtrSales!S180</f>
        <v>397.47299999999996</v>
      </c>
      <c r="Q58" s="15">
        <f>SegqtrSales!$S$187</f>
        <v>321.78533333333331</v>
      </c>
      <c r="R58" s="15">
        <f>SegqtrSales!$S$194</f>
        <v>351.02000000000004</v>
      </c>
      <c r="S58" s="15">
        <f>SegqtrSales!S201</f>
        <v>339.423</v>
      </c>
      <c r="T58" s="15">
        <f>SegqtrSales!S208</f>
        <v>304.54002000000003</v>
      </c>
      <c r="U58" s="15">
        <f>SegqtrSales!S215</f>
        <v>257.52176499999996</v>
      </c>
      <c r="V58" s="586">
        <f>SegqtrSales!S222</f>
        <v>199.91832500000001</v>
      </c>
      <c r="W58" s="586">
        <f>SegqtrSales!S229</f>
        <v>43.343948516391407</v>
      </c>
      <c r="X58" s="586">
        <f t="shared" ref="X58:AD58" si="56">(W58+(W68*1))*(1+X89)</f>
        <v>43.343948516391407</v>
      </c>
      <c r="Y58" s="586">
        <f t="shared" si="56"/>
        <v>33.677388001555322</v>
      </c>
      <c r="Z58" s="586">
        <f t="shared" si="56"/>
        <v>34.014161881570878</v>
      </c>
      <c r="AA58" s="586">
        <f t="shared" si="56"/>
        <v>34.354303500386585</v>
      </c>
      <c r="AB58" s="586">
        <f t="shared" si="56"/>
        <v>34.697846535390454</v>
      </c>
      <c r="AC58" s="586">
        <f t="shared" si="56"/>
        <v>35.04482500074436</v>
      </c>
      <c r="AD58" s="586">
        <f t="shared" si="56"/>
        <v>35.395273250751806</v>
      </c>
      <c r="AE58" s="81"/>
      <c r="AF58" s="50"/>
      <c r="AG58" s="50"/>
      <c r="AH58" s="647"/>
    </row>
    <row r="59" spans="1:35" hidden="1" outlineLevel="1">
      <c r="A59" s="210" t="s">
        <v>77</v>
      </c>
      <c r="B59" s="4"/>
      <c r="C59" s="4"/>
      <c r="D59" s="4"/>
      <c r="E59" s="1"/>
      <c r="F59" s="1"/>
      <c r="G59" s="1"/>
      <c r="H59" s="1"/>
      <c r="I59" s="1"/>
      <c r="J59" s="278"/>
      <c r="K59" s="281">
        <f t="shared" ref="K59:U59" si="57">K58/J58-1</f>
        <v>4.1496504245346344E-3</v>
      </c>
      <c r="L59" s="281">
        <f t="shared" si="57"/>
        <v>5.1049038765580201E-2</v>
      </c>
      <c r="M59" s="281">
        <f t="shared" si="57"/>
        <v>0.55849209506811803</v>
      </c>
      <c r="N59" s="281">
        <f t="shared" si="57"/>
        <v>0.19078354037560374</v>
      </c>
      <c r="O59" s="281">
        <f t="shared" si="57"/>
        <v>0.13348642580118408</v>
      </c>
      <c r="P59" s="281">
        <f t="shared" si="57"/>
        <v>-0.10526611981019107</v>
      </c>
      <c r="Q59" s="281">
        <f t="shared" si="57"/>
        <v>-0.19042215865396306</v>
      </c>
      <c r="R59" s="281">
        <f t="shared" si="57"/>
        <v>9.0851457907756394E-2</v>
      </c>
      <c r="S59" s="281">
        <f t="shared" si="57"/>
        <v>-3.3038003532562366E-2</v>
      </c>
      <c r="T59" s="281">
        <f t="shared" si="57"/>
        <v>-0.10277140912666494</v>
      </c>
      <c r="U59" s="281">
        <f t="shared" si="57"/>
        <v>-0.15439105507381279</v>
      </c>
      <c r="V59" s="281">
        <f t="shared" ref="V59:AD59" si="58">V58/U58-1</f>
        <v>-0.22368377290362218</v>
      </c>
      <c r="W59" s="281">
        <f t="shared" si="58"/>
        <v>-0.78319171833601842</v>
      </c>
      <c r="X59" s="281">
        <f>X58/W58-1</f>
        <v>0</v>
      </c>
      <c r="Y59" s="281">
        <f t="shared" si="58"/>
        <v>-0.22301984119375917</v>
      </c>
      <c r="Z59" s="281">
        <f t="shared" si="58"/>
        <v>1.0000000000000009E-2</v>
      </c>
      <c r="AA59" s="281">
        <f t="shared" si="58"/>
        <v>1.0000000000000009E-2</v>
      </c>
      <c r="AB59" s="281">
        <f t="shared" si="58"/>
        <v>1.0000000000000009E-2</v>
      </c>
      <c r="AC59" s="281">
        <f t="shared" si="58"/>
        <v>1.0000000000000009E-2</v>
      </c>
      <c r="AD59" s="281">
        <f t="shared" si="58"/>
        <v>1.0000000000000009E-2</v>
      </c>
      <c r="AE59" s="81"/>
      <c r="AF59" s="50"/>
      <c r="AG59" s="50"/>
      <c r="AH59" s="647"/>
    </row>
    <row r="60" spans="1:35" ht="14.25" hidden="1" outlineLevel="1">
      <c r="A60" s="13" t="s">
        <v>358</v>
      </c>
      <c r="B60" s="4"/>
      <c r="C60" s="4"/>
      <c r="D60" s="4"/>
      <c r="E60" s="1"/>
      <c r="F60" s="1"/>
      <c r="G60" s="1"/>
      <c r="H60" s="1"/>
      <c r="I60" s="1"/>
      <c r="J60" s="278">
        <f>SegqtrSales!AS138</f>
        <v>7.4409208000000007</v>
      </c>
      <c r="K60" s="278">
        <f>SegqtrSales!AS145</f>
        <v>11.349592019999999</v>
      </c>
      <c r="L60" s="278">
        <f>SegqtrSales!AS152</f>
        <v>16.020492030000174</v>
      </c>
      <c r="M60" s="278">
        <f>SegqtrSales!AS159</f>
        <v>15.810172220000418</v>
      </c>
      <c r="N60" s="278">
        <f>SegqtrSales!AS166</f>
        <v>13.899999999999999</v>
      </c>
      <c r="O60" s="278">
        <f>SegqtrSales!AS173</f>
        <v>26.809000000000001</v>
      </c>
      <c r="P60" s="278">
        <f>SegqtrSales!AS180</f>
        <v>23.069999999999997</v>
      </c>
      <c r="Q60" s="284">
        <f>SegqtrSales!$AS$187</f>
        <v>21.414666666666669</v>
      </c>
      <c r="R60" s="284">
        <f>SegqtrSales!$AS$194</f>
        <v>31.580000000000005</v>
      </c>
      <c r="S60" s="284">
        <f>SegqtrSales!AS201</f>
        <v>58.481000000000009</v>
      </c>
      <c r="T60" s="284">
        <f>SegqtrSales!AS208</f>
        <v>77.976980000000012</v>
      </c>
      <c r="U60" s="284">
        <f>SegqtrSales!AS215</f>
        <v>89.278234999999995</v>
      </c>
      <c r="V60" s="577">
        <f>SegqtrSales!AS222</f>
        <v>121.481675</v>
      </c>
      <c r="W60" s="577">
        <f>SegqtrSales!AS229</f>
        <v>0</v>
      </c>
      <c r="X60" s="577">
        <f t="shared" ref="X60:AD60" si="59">W60*(1+X61)</f>
        <v>0</v>
      </c>
      <c r="Y60" s="577">
        <f t="shared" si="59"/>
        <v>0</v>
      </c>
      <c r="Z60" s="577">
        <f t="shared" si="59"/>
        <v>0</v>
      </c>
      <c r="AA60" s="577">
        <f t="shared" si="59"/>
        <v>0</v>
      </c>
      <c r="AB60" s="577">
        <f t="shared" si="59"/>
        <v>0</v>
      </c>
      <c r="AC60" s="577">
        <f t="shared" si="59"/>
        <v>0</v>
      </c>
      <c r="AD60" s="577">
        <f t="shared" si="59"/>
        <v>0</v>
      </c>
      <c r="AE60" s="81"/>
      <c r="AF60" s="50"/>
      <c r="AG60" s="50"/>
      <c r="AH60" s="647"/>
    </row>
    <row r="61" spans="1:35" hidden="1" outlineLevel="1">
      <c r="A61" s="210" t="s">
        <v>77</v>
      </c>
      <c r="B61" s="4"/>
      <c r="C61" s="4"/>
      <c r="D61" s="4"/>
      <c r="E61" s="1"/>
      <c r="F61" s="1"/>
      <c r="G61" s="285"/>
      <c r="H61" s="285"/>
      <c r="I61" s="285"/>
      <c r="J61" s="285"/>
      <c r="K61" s="286">
        <f t="shared" ref="K61:U61" si="60">K60/J60-1</f>
        <v>0.5252940227505174</v>
      </c>
      <c r="L61" s="286">
        <f t="shared" si="60"/>
        <v>0.41154783376963833</v>
      </c>
      <c r="M61" s="286">
        <f t="shared" si="60"/>
        <v>-1.3128174191273878E-2</v>
      </c>
      <c r="N61" s="286">
        <f t="shared" si="60"/>
        <v>-0.12081919117768902</v>
      </c>
      <c r="O61" s="286">
        <f t="shared" si="60"/>
        <v>0.92870503597122323</v>
      </c>
      <c r="P61" s="286">
        <f t="shared" si="60"/>
        <v>-0.13946808907456465</v>
      </c>
      <c r="Q61" s="286">
        <f t="shared" si="60"/>
        <v>-7.1752636902181588E-2</v>
      </c>
      <c r="R61" s="286">
        <f t="shared" si="60"/>
        <v>0.47469024344685895</v>
      </c>
      <c r="S61" s="286">
        <f t="shared" si="60"/>
        <v>0.85183660544648498</v>
      </c>
      <c r="T61" s="286">
        <f t="shared" si="60"/>
        <v>0.33337289034045248</v>
      </c>
      <c r="U61" s="286">
        <f t="shared" si="60"/>
        <v>0.14493065774027136</v>
      </c>
      <c r="V61" s="286">
        <f t="shared" ref="V61:AA61" si="61">V205</f>
        <v>7.1598473966297371E-2</v>
      </c>
      <c r="W61" s="286">
        <f t="shared" si="61"/>
        <v>-1.8325321725507493E-3</v>
      </c>
      <c r="X61" s="286">
        <f>X205</f>
        <v>2.8757232378848085E-2</v>
      </c>
      <c r="Y61" s="575">
        <f t="shared" si="61"/>
        <v>0.14326621153866359</v>
      </c>
      <c r="Z61" s="286">
        <f t="shared" si="61"/>
        <v>9.9101069100695494E-3</v>
      </c>
      <c r="AA61" s="286">
        <f t="shared" si="61"/>
        <v>3.0000000000000027E-2</v>
      </c>
      <c r="AB61" s="286">
        <f>AB205</f>
        <v>3.0000000000000027E-2</v>
      </c>
      <c r="AC61" s="286">
        <f>AC205</f>
        <v>3.0000000000000027E-2</v>
      </c>
      <c r="AD61" s="286">
        <f>AD205</f>
        <v>3.0000000000000027E-2</v>
      </c>
      <c r="AE61" s="81"/>
      <c r="AF61" s="50"/>
      <c r="AG61" s="50"/>
      <c r="AH61" s="647"/>
    </row>
    <row r="62" spans="1:35" hidden="1" outlineLevel="1">
      <c r="A62" s="210" t="str">
        <f>+A11</f>
        <v xml:space="preserve">Total Division Sales ($MM) </v>
      </c>
      <c r="B62" s="5"/>
      <c r="C62" s="45"/>
      <c r="D62" s="5"/>
      <c r="E62" s="5"/>
      <c r="F62" s="45">
        <v>10</v>
      </c>
      <c r="G62" s="287">
        <v>38</v>
      </c>
      <c r="H62" s="287">
        <v>92</v>
      </c>
      <c r="I62" s="287">
        <v>160</v>
      </c>
      <c r="J62" s="288">
        <f t="shared" ref="J62:V62" si="62">J58+J60</f>
        <v>207.53700000000003</v>
      </c>
      <c r="K62" s="288">
        <f t="shared" si="62"/>
        <v>212.27600000000001</v>
      </c>
      <c r="L62" s="288">
        <f t="shared" si="62"/>
        <v>227.20400000000001</v>
      </c>
      <c r="M62" s="288">
        <f t="shared" si="62"/>
        <v>344.93800000000005</v>
      </c>
      <c r="N62" s="288">
        <f t="shared" si="62"/>
        <v>405.81999999999994</v>
      </c>
      <c r="O62" s="288">
        <f>SegqtrSales!AY173</f>
        <v>471.04500000000002</v>
      </c>
      <c r="P62" s="288">
        <f t="shared" si="62"/>
        <v>420.54299999999995</v>
      </c>
      <c r="Q62" s="288">
        <f t="shared" si="62"/>
        <v>343.2</v>
      </c>
      <c r="R62" s="290">
        <f t="shared" si="62"/>
        <v>382.6</v>
      </c>
      <c r="S62" s="290">
        <f t="shared" si="62"/>
        <v>397.904</v>
      </c>
      <c r="T62" s="290">
        <f t="shared" si="62"/>
        <v>382.51700000000005</v>
      </c>
      <c r="U62" s="290">
        <f t="shared" si="62"/>
        <v>346.79999999999995</v>
      </c>
      <c r="V62" s="578">
        <f t="shared" si="62"/>
        <v>321.39999999999998</v>
      </c>
      <c r="W62" s="578">
        <f t="shared" ref="W62:AB62" si="63">W58+W60</f>
        <v>43.343948516391407</v>
      </c>
      <c r="X62" s="578">
        <f t="shared" si="63"/>
        <v>43.343948516391407</v>
      </c>
      <c r="Y62" s="578">
        <f t="shared" si="63"/>
        <v>33.677388001555322</v>
      </c>
      <c r="Z62" s="578">
        <f t="shared" si="63"/>
        <v>34.014161881570878</v>
      </c>
      <c r="AA62" s="578">
        <f t="shared" si="63"/>
        <v>34.354303500386585</v>
      </c>
      <c r="AB62" s="578">
        <f t="shared" si="63"/>
        <v>34.697846535390454</v>
      </c>
      <c r="AC62" s="578">
        <f>AC58+AC60</f>
        <v>35.04482500074436</v>
      </c>
      <c r="AD62" s="578">
        <f>AD58+AD60</f>
        <v>35.395273250751806</v>
      </c>
      <c r="AE62" s="750">
        <f>((X62/Q62)^(1/5)-1)*100</f>
        <v>-33.888617583792481</v>
      </c>
      <c r="AF62" s="79" t="s">
        <v>76</v>
      </c>
      <c r="AG62" s="49">
        <f>((AC62/X62)^(1/5)-1)*100</f>
        <v>-4.1617036954469055</v>
      </c>
      <c r="AH62" s="751" t="s">
        <v>76</v>
      </c>
      <c r="AI62" s="114"/>
    </row>
    <row r="63" spans="1:35" hidden="1" outlineLevel="1">
      <c r="A63" s="210" t="s">
        <v>77</v>
      </c>
      <c r="B63" s="7"/>
      <c r="C63" s="122"/>
      <c r="D63" s="123"/>
      <c r="E63" s="7"/>
      <c r="F63" s="7"/>
      <c r="G63" s="7">
        <f t="shared" ref="G63:W63" si="64">G62/F62-1</f>
        <v>2.8</v>
      </c>
      <c r="H63" s="7">
        <f t="shared" si="64"/>
        <v>1.4210526315789473</v>
      </c>
      <c r="I63" s="7">
        <f t="shared" si="64"/>
        <v>0.73913043478260865</v>
      </c>
      <c r="J63" s="7">
        <f t="shared" si="64"/>
        <v>0.29710625000000013</v>
      </c>
      <c r="K63" s="7">
        <f t="shared" si="64"/>
        <v>2.2834482526007394E-2</v>
      </c>
      <c r="L63" s="7">
        <f t="shared" si="64"/>
        <v>7.0323541050330673E-2</v>
      </c>
      <c r="M63" s="7">
        <f t="shared" si="64"/>
        <v>0.51818629953698014</v>
      </c>
      <c r="N63" s="7">
        <f t="shared" si="64"/>
        <v>0.17650128428877032</v>
      </c>
      <c r="O63" s="7">
        <f t="shared" si="64"/>
        <v>0.16072396629047381</v>
      </c>
      <c r="P63" s="7">
        <f t="shared" si="64"/>
        <v>-0.1072126866859856</v>
      </c>
      <c r="Q63" s="7">
        <f t="shared" si="64"/>
        <v>-0.18391222776267813</v>
      </c>
      <c r="R63" s="7">
        <f t="shared" si="64"/>
        <v>0.11480186480186494</v>
      </c>
      <c r="S63" s="7">
        <f t="shared" si="64"/>
        <v>4.0000000000000036E-2</v>
      </c>
      <c r="T63" s="7">
        <f t="shared" si="64"/>
        <v>-3.8670131489002224E-2</v>
      </c>
      <c r="U63" s="7">
        <f t="shared" si="64"/>
        <v>-9.3373627838763018E-2</v>
      </c>
      <c r="V63" s="118">
        <f t="shared" si="64"/>
        <v>-7.3241061130334462E-2</v>
      </c>
      <c r="W63" s="118">
        <f t="shared" si="64"/>
        <v>-0.86514017263101617</v>
      </c>
      <c r="X63" s="118">
        <f t="shared" ref="X63:AD63" si="65">X62/W62-1</f>
        <v>0</v>
      </c>
      <c r="Y63" s="118">
        <f t="shared" si="65"/>
        <v>-0.22301984119375917</v>
      </c>
      <c r="Z63" s="118">
        <f t="shared" si="65"/>
        <v>1.0000000000000009E-2</v>
      </c>
      <c r="AA63" s="118">
        <f t="shared" si="65"/>
        <v>1.0000000000000009E-2</v>
      </c>
      <c r="AB63" s="118">
        <f t="shared" si="65"/>
        <v>1.0000000000000009E-2</v>
      </c>
      <c r="AC63" s="118">
        <f t="shared" si="65"/>
        <v>1.0000000000000009E-2</v>
      </c>
      <c r="AD63" s="118">
        <f t="shared" si="65"/>
        <v>1.0000000000000009E-2</v>
      </c>
      <c r="AE63" s="750"/>
      <c r="AF63" s="50"/>
      <c r="AG63" s="49"/>
      <c r="AH63" s="647"/>
      <c r="AI63" s="114"/>
    </row>
    <row r="64" spans="1:35" hidden="1" outlineLevel="1">
      <c r="A64" s="210" t="s">
        <v>723</v>
      </c>
      <c r="B64" s="7"/>
      <c r="C64" s="122"/>
      <c r="D64" s="123"/>
      <c r="E64" s="7"/>
      <c r="F64" s="7"/>
      <c r="G64" s="7"/>
      <c r="H64" s="7"/>
      <c r="I64" s="7"/>
      <c r="J64" s="7">
        <f t="shared" ref="J64:V64" si="66">+J62/J$206</f>
        <v>0.13005551597141674</v>
      </c>
      <c r="K64" s="7">
        <f t="shared" si="66"/>
        <v>0.12429727211883763</v>
      </c>
      <c r="L64" s="7">
        <f t="shared" si="66"/>
        <v>0.11240744607060767</v>
      </c>
      <c r="M64" s="7">
        <f t="shared" si="66"/>
        <v>0.12386850915588728</v>
      </c>
      <c r="N64" s="7">
        <f t="shared" si="66"/>
        <v>0.12230279570773904</v>
      </c>
      <c r="O64" s="7">
        <f t="shared" si="66"/>
        <v>0.1256171251787073</v>
      </c>
      <c r="P64" s="7">
        <f t="shared" si="66"/>
        <v>0.11939154862401467</v>
      </c>
      <c r="Q64" s="7">
        <f t="shared" si="66"/>
        <v>0.11643648826504228</v>
      </c>
      <c r="R64" s="7">
        <f t="shared" si="66"/>
        <v>0.11159073674386047</v>
      </c>
      <c r="S64" s="7">
        <f t="shared" si="66"/>
        <v>9.7405142322928961E-2</v>
      </c>
      <c r="T64" s="7">
        <f t="shared" si="66"/>
        <v>8.4800163163781195E-2</v>
      </c>
      <c r="U64" s="7">
        <f t="shared" si="66"/>
        <v>8.4238201733004239E-2</v>
      </c>
      <c r="V64" s="118">
        <f t="shared" si="66"/>
        <v>8.584332924682761E-2</v>
      </c>
      <c r="W64" s="118">
        <f>+W62/W$206</f>
        <v>1.2318241078015451E-2</v>
      </c>
      <c r="X64" s="118">
        <f>+X62/X$202</f>
        <v>1.7535194525769623E-2</v>
      </c>
      <c r="Y64" s="118">
        <f t="shared" ref="Y64:AD64" si="67">+Y62/Y$206</f>
        <v>9.6422493841581483E-3</v>
      </c>
      <c r="Z64" s="118">
        <f t="shared" si="67"/>
        <v>9.696555275503076E-3</v>
      </c>
      <c r="AA64" s="118">
        <f t="shared" si="67"/>
        <v>9.812560906135975E-3</v>
      </c>
      <c r="AB64" s="118">
        <f t="shared" si="67"/>
        <v>9.9639129413068954E-3</v>
      </c>
      <c r="AC64" s="118">
        <f t="shared" si="67"/>
        <v>1.0136693541442284E-2</v>
      </c>
      <c r="AD64" s="118">
        <f t="shared" si="67"/>
        <v>1.0266693759546679E-2</v>
      </c>
      <c r="AE64" s="750"/>
      <c r="AF64" s="50"/>
      <c r="AG64" s="49"/>
      <c r="AH64" s="647"/>
      <c r="AI64" s="114"/>
    </row>
    <row r="65" spans="1:35" hidden="1" outlineLevel="1">
      <c r="A65" s="1"/>
      <c r="B65" s="1"/>
      <c r="C65" s="1"/>
      <c r="D65" s="1"/>
      <c r="E65" s="1"/>
      <c r="F65" s="1"/>
      <c r="G65" s="1"/>
      <c r="H65" s="1"/>
      <c r="I65" s="1"/>
      <c r="J65" s="1"/>
      <c r="K65" s="1"/>
      <c r="L65" s="1"/>
      <c r="M65" s="1"/>
      <c r="N65" s="1"/>
      <c r="O65" s="1"/>
      <c r="P65" s="1"/>
      <c r="Q65" s="1"/>
      <c r="R65" s="1"/>
      <c r="S65" s="364">
        <f>SUM(Q68:S68)/S66</f>
        <v>-0.34594594594594597</v>
      </c>
      <c r="T65" s="1"/>
      <c r="U65" s="1"/>
      <c r="V65" s="50"/>
      <c r="W65" s="50"/>
      <c r="X65" s="50"/>
      <c r="Y65" s="50"/>
      <c r="Z65" s="50"/>
      <c r="AA65" s="50"/>
      <c r="AB65" s="50"/>
      <c r="AC65" s="50"/>
      <c r="AD65" s="50"/>
      <c r="AE65" s="750"/>
      <c r="AF65" s="50"/>
      <c r="AG65" s="49"/>
      <c r="AH65" s="647"/>
      <c r="AI65" s="114"/>
    </row>
    <row r="66" spans="1:35" hidden="1" outlineLevel="1">
      <c r="A66" s="210" t="s">
        <v>78</v>
      </c>
      <c r="B66" s="4"/>
      <c r="C66" s="4"/>
      <c r="D66" s="125"/>
      <c r="E66" s="4"/>
      <c r="F66" s="4">
        <v>0</v>
      </c>
      <c r="G66" s="4">
        <f t="shared" ref="G66:W66" si="68">F70</f>
        <v>13</v>
      </c>
      <c r="H66" s="4">
        <f t="shared" si="68"/>
        <v>35</v>
      </c>
      <c r="I66" s="4">
        <f t="shared" si="68"/>
        <v>84</v>
      </c>
      <c r="J66" s="4">
        <f t="shared" si="68"/>
        <v>148</v>
      </c>
      <c r="K66" s="4">
        <f t="shared" si="68"/>
        <v>164</v>
      </c>
      <c r="L66" s="4">
        <f t="shared" si="68"/>
        <v>171</v>
      </c>
      <c r="M66" s="4">
        <f t="shared" si="68"/>
        <v>171</v>
      </c>
      <c r="N66" s="4">
        <f t="shared" si="68"/>
        <v>164</v>
      </c>
      <c r="O66" s="4">
        <f t="shared" si="68"/>
        <v>177</v>
      </c>
      <c r="P66" s="4">
        <f t="shared" si="68"/>
        <v>202</v>
      </c>
      <c r="Q66" s="4">
        <f t="shared" si="68"/>
        <v>212</v>
      </c>
      <c r="R66" s="4">
        <f t="shared" si="68"/>
        <v>209</v>
      </c>
      <c r="S66" s="4">
        <f t="shared" si="68"/>
        <v>185</v>
      </c>
      <c r="T66" s="4">
        <f t="shared" si="68"/>
        <v>156</v>
      </c>
      <c r="U66" s="4">
        <f t="shared" si="68"/>
        <v>147</v>
      </c>
      <c r="V66" s="293">
        <f t="shared" si="68"/>
        <v>136</v>
      </c>
      <c r="W66" s="293">
        <f t="shared" si="68"/>
        <v>114</v>
      </c>
      <c r="X66" s="293">
        <f t="shared" ref="X66:AD66" si="69">W70</f>
        <v>114</v>
      </c>
      <c r="Y66" s="293">
        <f t="shared" si="69"/>
        <v>104</v>
      </c>
      <c r="Z66" s="293">
        <f t="shared" si="69"/>
        <v>104</v>
      </c>
      <c r="AA66" s="293">
        <f t="shared" si="69"/>
        <v>104</v>
      </c>
      <c r="AB66" s="293">
        <f t="shared" si="69"/>
        <v>104</v>
      </c>
      <c r="AC66" s="293">
        <f t="shared" si="69"/>
        <v>104</v>
      </c>
      <c r="AD66" s="293">
        <f t="shared" si="69"/>
        <v>104</v>
      </c>
      <c r="AE66" s="750"/>
      <c r="AF66" s="50"/>
      <c r="AG66" s="49"/>
      <c r="AH66" s="647"/>
      <c r="AI66" s="114"/>
    </row>
    <row r="67" spans="1:35" hidden="1" outlineLevel="1">
      <c r="A67" s="210" t="s">
        <v>353</v>
      </c>
      <c r="B67" s="4"/>
      <c r="C67" s="4"/>
      <c r="D67" s="126"/>
      <c r="E67" s="42"/>
      <c r="F67" s="4">
        <f>squft!$AI$20</f>
        <v>13</v>
      </c>
      <c r="G67" s="4">
        <f>squft!$AM$20</f>
        <v>22</v>
      </c>
      <c r="H67" s="4">
        <f>squft!$AQ$20</f>
        <v>49</v>
      </c>
      <c r="I67" s="4">
        <f>squft!$AU$20</f>
        <v>64</v>
      </c>
      <c r="J67" s="4">
        <f>squft!$AY$20</f>
        <v>19</v>
      </c>
      <c r="K67" s="4">
        <f>squft!$BC$20</f>
        <v>9</v>
      </c>
      <c r="L67" s="4">
        <f>squft!$BG$20</f>
        <v>7</v>
      </c>
      <c r="M67" s="4">
        <f>squft!$BK$20</f>
        <v>5</v>
      </c>
      <c r="N67" s="4">
        <f>squft!$BO$20</f>
        <v>19</v>
      </c>
      <c r="O67" s="4">
        <v>25</v>
      </c>
      <c r="P67" s="4">
        <f>squft!$BW$20</f>
        <v>12</v>
      </c>
      <c r="Q67" s="4">
        <f>squft!$CA$20+squft!$CA$21</f>
        <v>4</v>
      </c>
      <c r="R67" s="4">
        <f>squft!$CE$20</f>
        <v>3</v>
      </c>
      <c r="S67" s="4">
        <f>squft!$CI$20</f>
        <v>1</v>
      </c>
      <c r="T67" s="4">
        <f>squft!$CM$20</f>
        <v>4</v>
      </c>
      <c r="U67" s="4">
        <f>squft!$CQ$20</f>
        <v>0</v>
      </c>
      <c r="V67" s="293">
        <f>squft!$CU$20</f>
        <v>0</v>
      </c>
      <c r="W67" s="293">
        <f>squft!$CY$20</f>
        <v>0</v>
      </c>
      <c r="X67" s="293">
        <f>squft!$DC$20</f>
        <v>0</v>
      </c>
      <c r="Y67" s="293">
        <f>squft!$DG$20</f>
        <v>0</v>
      </c>
      <c r="Z67" s="293">
        <f>squft!$DK$20</f>
        <v>0</v>
      </c>
      <c r="AA67" s="293">
        <f>squft!$DK$20</f>
        <v>0</v>
      </c>
      <c r="AB67" s="293">
        <f>squft!$DK$20</f>
        <v>0</v>
      </c>
      <c r="AC67" s="293">
        <f>squft!$DK$20</f>
        <v>0</v>
      </c>
      <c r="AD67" s="293">
        <f>squft!$DK$20</f>
        <v>0</v>
      </c>
      <c r="AE67" s="750"/>
      <c r="AF67" s="50"/>
      <c r="AG67" s="49"/>
      <c r="AH67" s="647"/>
      <c r="AI67" s="114"/>
    </row>
    <row r="68" spans="1:35" hidden="1" outlineLevel="1">
      <c r="A68" s="211" t="s">
        <v>445</v>
      </c>
      <c r="B68" s="4"/>
      <c r="C68" s="4"/>
      <c r="D68" s="127"/>
      <c r="E68" s="42"/>
      <c r="F68" s="4">
        <f>squft!$AI$22</f>
        <v>0</v>
      </c>
      <c r="G68" s="4">
        <f>squft!$AM$22</f>
        <v>0</v>
      </c>
      <c r="H68" s="134">
        <f>squft!$AQ$22</f>
        <v>0</v>
      </c>
      <c r="I68" s="134">
        <f>squft!$AU$22</f>
        <v>0</v>
      </c>
      <c r="J68" s="134">
        <f>squft!$AY$22</f>
        <v>-3</v>
      </c>
      <c r="K68" s="134">
        <f>squft!$BC$22</f>
        <v>-2</v>
      </c>
      <c r="L68" s="134">
        <f>squft!$BG$22</f>
        <v>-7</v>
      </c>
      <c r="M68" s="134">
        <f>squft!$BK$22</f>
        <v>-11</v>
      </c>
      <c r="N68" s="134">
        <f>squft!$BO$22</f>
        <v>-6</v>
      </c>
      <c r="O68" s="134">
        <f>squft!$BS$22</f>
        <v>0</v>
      </c>
      <c r="P68" s="4">
        <f>squft!$BW$22</f>
        <v>-2</v>
      </c>
      <c r="Q68" s="4">
        <f>squft!$CA$22</f>
        <v>-7</v>
      </c>
      <c r="R68" s="4">
        <f>squft!$CE$22</f>
        <v>-27</v>
      </c>
      <c r="S68" s="215">
        <f>squft!$CI$22</f>
        <v>-30</v>
      </c>
      <c r="T68" s="215">
        <f>squft!$CM$22</f>
        <v>-13</v>
      </c>
      <c r="U68" s="215">
        <f>squft!$CQ$22</f>
        <v>-11</v>
      </c>
      <c r="V68" s="580">
        <v>-22</v>
      </c>
      <c r="W68" s="580">
        <f>squft!$CY$22</f>
        <v>0</v>
      </c>
      <c r="X68" s="580">
        <v>-10</v>
      </c>
      <c r="Y68" s="580">
        <f>squft!$DG$22</f>
        <v>0</v>
      </c>
      <c r="Z68" s="580">
        <f>squft!$DK$22</f>
        <v>0</v>
      </c>
      <c r="AA68" s="580">
        <f>squft!$DK$22</f>
        <v>0</v>
      </c>
      <c r="AB68" s="580">
        <f>squft!$DK$22</f>
        <v>0</v>
      </c>
      <c r="AC68" s="580">
        <f>squft!$DK$22</f>
        <v>0</v>
      </c>
      <c r="AD68" s="580">
        <f>squft!$DK$22</f>
        <v>0</v>
      </c>
      <c r="AE68" s="750"/>
      <c r="AF68" s="50"/>
      <c r="AG68" s="49"/>
      <c r="AH68" s="647"/>
      <c r="AI68" s="114"/>
    </row>
    <row r="69" spans="1:35" hidden="1" outlineLevel="1">
      <c r="A69" s="211" t="s">
        <v>57</v>
      </c>
      <c r="B69" s="4"/>
      <c r="C69" s="4"/>
      <c r="D69" s="127"/>
      <c r="E69" s="42"/>
      <c r="F69" s="4"/>
      <c r="G69" s="4"/>
      <c r="H69" s="134"/>
      <c r="I69" s="134"/>
      <c r="J69" s="134"/>
      <c r="K69" s="134"/>
      <c r="L69" s="134"/>
      <c r="M69" s="134">
        <f>squft!$BK$21</f>
        <v>-1</v>
      </c>
      <c r="N69" s="134"/>
      <c r="O69" s="134"/>
      <c r="P69" s="4"/>
      <c r="Q69" s="4"/>
      <c r="R69" s="4"/>
      <c r="S69" s="4"/>
      <c r="T69" s="4"/>
      <c r="U69" s="4"/>
      <c r="V69" s="293"/>
      <c r="W69" s="293"/>
      <c r="X69" s="293"/>
      <c r="Y69" s="293"/>
      <c r="Z69" s="293"/>
      <c r="AA69" s="293"/>
      <c r="AB69" s="293"/>
      <c r="AC69" s="293"/>
      <c r="AD69" s="293"/>
      <c r="AE69" s="750"/>
      <c r="AF69" s="50"/>
      <c r="AG69" s="49"/>
      <c r="AH69" s="647"/>
      <c r="AI69" s="114"/>
    </row>
    <row r="70" spans="1:35" hidden="1" outlineLevel="1">
      <c r="A70" s="210" t="s">
        <v>80</v>
      </c>
      <c r="B70" s="4"/>
      <c r="C70" s="4"/>
      <c r="D70" s="125"/>
      <c r="E70" s="4"/>
      <c r="F70" s="4">
        <f t="shared" ref="F70:R70" si="70">+F66+F67+F68</f>
        <v>13</v>
      </c>
      <c r="G70" s="4">
        <f t="shared" si="70"/>
        <v>35</v>
      </c>
      <c r="H70" s="4">
        <f t="shared" si="70"/>
        <v>84</v>
      </c>
      <c r="I70" s="4">
        <f t="shared" si="70"/>
        <v>148</v>
      </c>
      <c r="J70" s="4">
        <f t="shared" si="70"/>
        <v>164</v>
      </c>
      <c r="K70" s="4">
        <f t="shared" si="70"/>
        <v>171</v>
      </c>
      <c r="L70" s="4">
        <f t="shared" si="70"/>
        <v>171</v>
      </c>
      <c r="M70" s="4">
        <f>+M66+M67+M68+M69</f>
        <v>164</v>
      </c>
      <c r="N70" s="4">
        <f t="shared" si="70"/>
        <v>177</v>
      </c>
      <c r="O70" s="134">
        <f t="shared" si="70"/>
        <v>202</v>
      </c>
      <c r="P70" s="4">
        <f t="shared" si="70"/>
        <v>212</v>
      </c>
      <c r="Q70" s="4">
        <f t="shared" si="70"/>
        <v>209</v>
      </c>
      <c r="R70" s="4">
        <f t="shared" si="70"/>
        <v>185</v>
      </c>
      <c r="S70" s="4">
        <f t="shared" ref="S70:Y70" si="71">+S66+S67+S68</f>
        <v>156</v>
      </c>
      <c r="T70" s="4">
        <f t="shared" si="71"/>
        <v>147</v>
      </c>
      <c r="U70" s="4">
        <f t="shared" si="71"/>
        <v>136</v>
      </c>
      <c r="V70" s="293">
        <f t="shared" si="71"/>
        <v>114</v>
      </c>
      <c r="W70" s="293">
        <f t="shared" si="71"/>
        <v>114</v>
      </c>
      <c r="X70" s="293">
        <f t="shared" si="71"/>
        <v>104</v>
      </c>
      <c r="Y70" s="293">
        <f t="shared" si="71"/>
        <v>104</v>
      </c>
      <c r="Z70" s="293">
        <f>+Z66+Z67+Z68</f>
        <v>104</v>
      </c>
      <c r="AA70" s="293">
        <f>+AA66+AA67+AA68</f>
        <v>104</v>
      </c>
      <c r="AB70" s="293">
        <f>+AB66+AB67+AB68</f>
        <v>104</v>
      </c>
      <c r="AC70" s="293">
        <f>+AC66+AC67+AC68</f>
        <v>104</v>
      </c>
      <c r="AD70" s="293">
        <f>+AD66+AD67+AD68</f>
        <v>104</v>
      </c>
      <c r="AE70" s="750">
        <f>((X70/Q70)^(1/5)-1)*100</f>
        <v>-13.028409841487109</v>
      </c>
      <c r="AF70" s="79" t="s">
        <v>76</v>
      </c>
      <c r="AG70" s="49">
        <f>((AC70/X70)^(1/5)-1)*100</f>
        <v>0</v>
      </c>
      <c r="AH70" s="751" t="s">
        <v>76</v>
      </c>
      <c r="AI70" s="114"/>
    </row>
    <row r="71" spans="1:35" hidden="1" outlineLevel="1">
      <c r="A71" s="210" t="s">
        <v>81</v>
      </c>
      <c r="B71" s="8"/>
      <c r="C71" s="8"/>
      <c r="D71" s="8"/>
      <c r="E71" s="8"/>
      <c r="F71" s="8">
        <f t="shared" ref="F71:W71" si="72">(+F70+F66)/2</f>
        <v>6.5</v>
      </c>
      <c r="G71" s="8">
        <f t="shared" si="72"/>
        <v>24</v>
      </c>
      <c r="H71" s="8">
        <f t="shared" si="72"/>
        <v>59.5</v>
      </c>
      <c r="I71" s="8">
        <f t="shared" si="72"/>
        <v>116</v>
      </c>
      <c r="J71" s="8">
        <f t="shared" si="72"/>
        <v>156</v>
      </c>
      <c r="K71" s="8">
        <f t="shared" si="72"/>
        <v>167.5</v>
      </c>
      <c r="L71" s="8">
        <f t="shared" si="72"/>
        <v>171</v>
      </c>
      <c r="M71" s="8">
        <f t="shared" si="72"/>
        <v>167.5</v>
      </c>
      <c r="N71" s="8">
        <f t="shared" si="72"/>
        <v>170.5</v>
      </c>
      <c r="O71" s="8">
        <f t="shared" si="72"/>
        <v>189.5</v>
      </c>
      <c r="P71" s="8">
        <f t="shared" si="72"/>
        <v>207</v>
      </c>
      <c r="Q71" s="8">
        <f t="shared" si="72"/>
        <v>210.5</v>
      </c>
      <c r="R71" s="8">
        <f t="shared" si="72"/>
        <v>197</v>
      </c>
      <c r="S71" s="8">
        <f t="shared" si="72"/>
        <v>170.5</v>
      </c>
      <c r="T71" s="8">
        <f t="shared" si="72"/>
        <v>151.5</v>
      </c>
      <c r="U71" s="8">
        <f t="shared" si="72"/>
        <v>141.5</v>
      </c>
      <c r="V71" s="80">
        <f>(+V70+V66)/2</f>
        <v>125</v>
      </c>
      <c r="W71" s="80">
        <f t="shared" si="72"/>
        <v>114</v>
      </c>
      <c r="X71" s="80">
        <f t="shared" ref="X71:AC71" si="73">(+X70+X66)/2</f>
        <v>109</v>
      </c>
      <c r="Y71" s="80">
        <f t="shared" si="73"/>
        <v>104</v>
      </c>
      <c r="Z71" s="80">
        <f t="shared" si="73"/>
        <v>104</v>
      </c>
      <c r="AA71" s="80">
        <f t="shared" si="73"/>
        <v>104</v>
      </c>
      <c r="AB71" s="80">
        <f t="shared" si="73"/>
        <v>104</v>
      </c>
      <c r="AC71" s="80">
        <f t="shared" si="73"/>
        <v>104</v>
      </c>
      <c r="AD71" s="80">
        <f t="shared" ref="AD71" si="74">(+AD70+AD66)/2</f>
        <v>104</v>
      </c>
      <c r="AE71" s="750"/>
      <c r="AF71" s="80"/>
      <c r="AG71" s="49"/>
      <c r="AH71" s="745"/>
      <c r="AI71" s="114"/>
    </row>
    <row r="72" spans="1:35" hidden="1" outlineLevel="1">
      <c r="A72" s="210" t="s">
        <v>82</v>
      </c>
      <c r="B72" s="7"/>
      <c r="C72" s="7"/>
      <c r="D72" s="7"/>
      <c r="E72" s="7"/>
      <c r="F72" s="7"/>
      <c r="G72" s="7">
        <f t="shared" ref="G72:W72" si="75">(G71/F71-1)</f>
        <v>2.6923076923076925</v>
      </c>
      <c r="H72" s="7">
        <f t="shared" si="75"/>
        <v>1.4791666666666665</v>
      </c>
      <c r="I72" s="7">
        <f t="shared" si="75"/>
        <v>0.94957983193277307</v>
      </c>
      <c r="J72" s="7">
        <f t="shared" si="75"/>
        <v>0.34482758620689657</v>
      </c>
      <c r="K72" s="7">
        <f t="shared" si="75"/>
        <v>7.3717948717948678E-2</v>
      </c>
      <c r="L72" s="7">
        <f t="shared" si="75"/>
        <v>2.0895522388059806E-2</v>
      </c>
      <c r="M72" s="7">
        <f t="shared" si="75"/>
        <v>-2.0467836257309968E-2</v>
      </c>
      <c r="N72" s="7">
        <f t="shared" si="75"/>
        <v>1.7910447761193993E-2</v>
      </c>
      <c r="O72" s="7">
        <f t="shared" si="75"/>
        <v>0.11143695014662747</v>
      </c>
      <c r="P72" s="7">
        <f t="shared" si="75"/>
        <v>9.2348284960422244E-2</v>
      </c>
      <c r="Q72" s="7">
        <f t="shared" si="75"/>
        <v>1.6908212560386549E-2</v>
      </c>
      <c r="R72" s="7">
        <f t="shared" si="75"/>
        <v>-6.4133016627078376E-2</v>
      </c>
      <c r="S72" s="7">
        <f t="shared" si="75"/>
        <v>-0.13451776649746194</v>
      </c>
      <c r="T72" s="7">
        <f t="shared" si="75"/>
        <v>-0.11143695014662758</v>
      </c>
      <c r="U72" s="7">
        <f t="shared" si="75"/>
        <v>-6.6006600660066028E-2</v>
      </c>
      <c r="V72" s="118">
        <f t="shared" si="75"/>
        <v>-0.11660777385159016</v>
      </c>
      <c r="W72" s="118">
        <f t="shared" si="75"/>
        <v>-8.7999999999999967E-2</v>
      </c>
      <c r="X72" s="118">
        <f t="shared" ref="X72:AD72" si="76">(X71/W71-1)</f>
        <v>-4.3859649122807043E-2</v>
      </c>
      <c r="Y72" s="118">
        <f t="shared" si="76"/>
        <v>-4.587155963302747E-2</v>
      </c>
      <c r="Z72" s="118">
        <f t="shared" si="76"/>
        <v>0</v>
      </c>
      <c r="AA72" s="118">
        <f t="shared" si="76"/>
        <v>0</v>
      </c>
      <c r="AB72" s="118">
        <f t="shared" si="76"/>
        <v>0</v>
      </c>
      <c r="AC72" s="118">
        <f t="shared" si="76"/>
        <v>0</v>
      </c>
      <c r="AD72" s="118">
        <f t="shared" si="76"/>
        <v>0</v>
      </c>
      <c r="AE72" s="750"/>
      <c r="AF72" s="50"/>
      <c r="AG72" s="49"/>
      <c r="AH72" s="647"/>
      <c r="AI72" s="114"/>
    </row>
    <row r="73" spans="1:35" hidden="1" outlineLevel="1">
      <c r="A73" s="1"/>
      <c r="B73" s="1"/>
      <c r="C73" s="1"/>
      <c r="D73" s="7"/>
      <c r="E73" s="7"/>
      <c r="F73" s="1"/>
      <c r="G73" s="1"/>
      <c r="H73" s="1"/>
      <c r="I73" s="1"/>
      <c r="J73" s="1"/>
      <c r="K73" s="1"/>
      <c r="L73" s="1"/>
      <c r="M73" s="1"/>
      <c r="N73" s="1"/>
      <c r="O73" s="1"/>
      <c r="P73" s="1"/>
      <c r="Q73" s="1"/>
      <c r="R73" s="1"/>
      <c r="S73" s="1"/>
      <c r="T73" s="1"/>
      <c r="U73" s="1"/>
      <c r="V73" s="50"/>
      <c r="W73" s="50"/>
      <c r="X73" s="50"/>
      <c r="Y73" s="50"/>
      <c r="Z73" s="50"/>
      <c r="AA73" s="50"/>
      <c r="AB73" s="50"/>
      <c r="AC73" s="50"/>
      <c r="AD73" s="50"/>
      <c r="AE73" s="750"/>
      <c r="AF73" s="50"/>
      <c r="AG73" s="49"/>
      <c r="AH73" s="647"/>
      <c r="AI73" s="114"/>
    </row>
    <row r="74" spans="1:35" hidden="1" outlineLevel="1">
      <c r="A74" s="210" t="s">
        <v>446</v>
      </c>
      <c r="B74" s="11"/>
      <c r="C74" s="11"/>
      <c r="D74" s="11"/>
      <c r="E74" s="11"/>
      <c r="F74" s="11">
        <f t="shared" ref="F74:N74" si="77">(F62)/F71</f>
        <v>1.5384615384615385</v>
      </c>
      <c r="G74" s="11">
        <f t="shared" si="77"/>
        <v>1.5833333333333333</v>
      </c>
      <c r="H74" s="11">
        <f t="shared" si="77"/>
        <v>1.546218487394958</v>
      </c>
      <c r="I74" s="11">
        <f t="shared" si="77"/>
        <v>1.3793103448275863</v>
      </c>
      <c r="J74" s="11">
        <f t="shared" si="77"/>
        <v>1.3303653846153849</v>
      </c>
      <c r="K74" s="11">
        <f t="shared" si="77"/>
        <v>1.2673194029850747</v>
      </c>
      <c r="L74" s="11">
        <f t="shared" si="77"/>
        <v>1.3286783625730996</v>
      </c>
      <c r="M74" s="11">
        <f t="shared" si="77"/>
        <v>2.0593313432835822</v>
      </c>
      <c r="N74" s="11">
        <f t="shared" si="77"/>
        <v>2.3801759530791786</v>
      </c>
      <c r="O74" s="11">
        <f t="shared" ref="O74:T74" si="78">(O62)/O71</f>
        <v>2.4857255936675462</v>
      </c>
      <c r="P74" s="11">
        <f t="shared" si="78"/>
        <v>2.0316086956521735</v>
      </c>
      <c r="Q74" s="11">
        <f t="shared" si="78"/>
        <v>1.6304038004750594</v>
      </c>
      <c r="R74" s="11">
        <f t="shared" si="78"/>
        <v>1.9421319796954315</v>
      </c>
      <c r="S74" s="11">
        <f t="shared" si="78"/>
        <v>2.3337478005865102</v>
      </c>
      <c r="T74" s="11">
        <f t="shared" si="78"/>
        <v>2.5248646864686473</v>
      </c>
      <c r="U74" s="11">
        <f t="shared" ref="U74:Z74" si="79">(U62)/U71</f>
        <v>2.4508833922261481</v>
      </c>
      <c r="V74" s="296">
        <f t="shared" si="79"/>
        <v>2.5711999999999997</v>
      </c>
      <c r="W74" s="296">
        <f t="shared" si="79"/>
        <v>0.38021007470518781</v>
      </c>
      <c r="X74" s="296">
        <f t="shared" si="79"/>
        <v>0.39765090382010465</v>
      </c>
      <c r="Y74" s="296">
        <f t="shared" si="79"/>
        <v>0.32382103847649346</v>
      </c>
      <c r="Z74" s="296">
        <f t="shared" si="79"/>
        <v>0.32705924886125842</v>
      </c>
      <c r="AA74" s="296">
        <f>(AA62)/AA71</f>
        <v>0.33032984134987103</v>
      </c>
      <c r="AB74" s="296">
        <f>(AB62)/AB71</f>
        <v>0.33363313976336972</v>
      </c>
      <c r="AC74" s="296">
        <f>(AC62)/AC71</f>
        <v>0.33696947116100345</v>
      </c>
      <c r="AD74" s="296">
        <f>(AD62)/AD71</f>
        <v>0.34033916587261354</v>
      </c>
      <c r="AE74" s="750"/>
      <c r="AF74" s="50"/>
      <c r="AG74" s="49"/>
      <c r="AH74" s="647"/>
      <c r="AI74" s="114"/>
    </row>
    <row r="75" spans="1:35" hidden="1" outlineLevel="1">
      <c r="A75" s="210" t="s">
        <v>77</v>
      </c>
      <c r="B75" s="12"/>
      <c r="C75" s="12"/>
      <c r="D75" s="129"/>
      <c r="E75" s="12"/>
      <c r="F75" s="193" t="s">
        <v>251</v>
      </c>
      <c r="G75" s="12">
        <f t="shared" ref="G75:W75" si="80">G74/F74-1</f>
        <v>2.9166666666666563E-2</v>
      </c>
      <c r="H75" s="12">
        <f t="shared" si="80"/>
        <v>-2.344095532950019E-2</v>
      </c>
      <c r="I75" s="12">
        <f t="shared" si="80"/>
        <v>-0.10794602698650668</v>
      </c>
      <c r="J75" s="12">
        <f t="shared" si="80"/>
        <v>-3.5485096153845985E-2</v>
      </c>
      <c r="K75" s="12">
        <f t="shared" si="80"/>
        <v>-4.7389974483241004E-2</v>
      </c>
      <c r="L75" s="12">
        <f t="shared" si="80"/>
        <v>4.8416334069768308E-2</v>
      </c>
      <c r="M75" s="12">
        <f t="shared" si="80"/>
        <v>0.5499095953482005</v>
      </c>
      <c r="N75" s="12">
        <f t="shared" si="80"/>
        <v>0.15580038192591816</v>
      </c>
      <c r="O75" s="12">
        <f t="shared" si="80"/>
        <v>4.4345310039713759E-2</v>
      </c>
      <c r="P75" s="12">
        <f t="shared" si="80"/>
        <v>-0.18268987500963418</v>
      </c>
      <c r="Q75" s="12">
        <f t="shared" si="80"/>
        <v>-0.19748138312054331</v>
      </c>
      <c r="R75" s="12">
        <f t="shared" si="80"/>
        <v>0.19119691645072368</v>
      </c>
      <c r="S75" s="12">
        <f t="shared" si="80"/>
        <v>0.20164222873900295</v>
      </c>
      <c r="T75" s="12">
        <f t="shared" si="80"/>
        <v>8.1892690304456339E-2</v>
      </c>
      <c r="U75" s="12">
        <f t="shared" si="80"/>
        <v>-2.9301092703693188E-2</v>
      </c>
      <c r="V75" s="583">
        <f t="shared" si="80"/>
        <v>4.9091118800461464E-2</v>
      </c>
      <c r="W75" s="583">
        <f t="shared" si="80"/>
        <v>-0.85212738227085105</v>
      </c>
      <c r="X75" s="583">
        <f t="shared" ref="X75:AD75" si="81">X74/W74-1</f>
        <v>4.587155963302747E-2</v>
      </c>
      <c r="Y75" s="583">
        <f t="shared" si="81"/>
        <v>-0.1856650258665361</v>
      </c>
      <c r="Z75" s="583">
        <f t="shared" si="81"/>
        <v>1.0000000000000009E-2</v>
      </c>
      <c r="AA75" s="583">
        <f t="shared" si="81"/>
        <v>1.0000000000000009E-2</v>
      </c>
      <c r="AB75" s="583">
        <f t="shared" si="81"/>
        <v>1.0000000000000009E-2</v>
      </c>
      <c r="AC75" s="583">
        <f t="shared" si="81"/>
        <v>1.0000000000000009E-2</v>
      </c>
      <c r="AD75" s="583">
        <f t="shared" si="81"/>
        <v>1.0000000000000231E-2</v>
      </c>
      <c r="AE75" s="750"/>
      <c r="AF75" s="50"/>
      <c r="AG75" s="49"/>
      <c r="AH75" s="647"/>
      <c r="AI75" s="114"/>
    </row>
    <row r="76" spans="1:35" hidden="1" outlineLevel="1">
      <c r="A76" s="1"/>
      <c r="B76" s="1"/>
      <c r="C76" s="1"/>
      <c r="D76" s="1"/>
      <c r="E76" s="1"/>
      <c r="F76" s="1"/>
      <c r="G76" s="1"/>
      <c r="H76" s="1"/>
      <c r="I76" s="1"/>
      <c r="J76" s="1"/>
      <c r="K76" s="1"/>
      <c r="L76" s="1"/>
      <c r="M76" s="1"/>
      <c r="N76" s="1"/>
      <c r="O76" s="11"/>
      <c r="P76" s="1"/>
      <c r="Q76" s="1"/>
      <c r="R76" s="1"/>
      <c r="S76" s="1"/>
      <c r="T76" s="1"/>
      <c r="U76" s="1"/>
      <c r="V76" s="50"/>
      <c r="W76" s="50"/>
      <c r="X76" s="50"/>
      <c r="Y76" s="50"/>
      <c r="Z76" s="50"/>
      <c r="AA76" s="50"/>
      <c r="AB76" s="50"/>
      <c r="AC76" s="50"/>
      <c r="AD76" s="50"/>
      <c r="AE76" s="750"/>
      <c r="AF76" s="50"/>
      <c r="AG76" s="49"/>
      <c r="AH76" s="647"/>
      <c r="AI76" s="114"/>
    </row>
    <row r="77" spans="1:35" hidden="1" outlineLevel="1">
      <c r="A77" s="210" t="s">
        <v>84</v>
      </c>
      <c r="B77" s="130"/>
      <c r="C77" s="130"/>
      <c r="D77" s="131"/>
      <c r="E77" s="131"/>
      <c r="F77" s="10">
        <f>+F71*F83/1000000</f>
        <v>2.9250000000000009E-2</v>
      </c>
      <c r="G77" s="10">
        <f>+(F80+G80)/2</f>
        <v>0.11020000000000001</v>
      </c>
      <c r="H77" s="10">
        <f>+(G80+H80)/2</f>
        <v>0.27705000000000002</v>
      </c>
      <c r="I77" s="10">
        <f t="shared" ref="I77:W77" si="82">+(H80+I80)/2</f>
        <v>0.53460000000000008</v>
      </c>
      <c r="J77" s="10">
        <f t="shared" si="82"/>
        <v>0.70199999999999996</v>
      </c>
      <c r="K77" s="10">
        <f t="shared" si="82"/>
        <v>0.74019999999999997</v>
      </c>
      <c r="L77" s="10">
        <f t="shared" si="82"/>
        <v>0.75269999999999992</v>
      </c>
      <c r="M77" s="10">
        <f t="shared" si="82"/>
        <v>0.73399999999999999</v>
      </c>
      <c r="N77" s="10">
        <f t="shared" si="82"/>
        <v>0.752</v>
      </c>
      <c r="O77" s="10">
        <f t="shared" si="82"/>
        <v>0.85250000000000004</v>
      </c>
      <c r="P77" s="10">
        <f t="shared" si="82"/>
        <v>0.94650000000000001</v>
      </c>
      <c r="Q77" s="10">
        <f t="shared" si="82"/>
        <v>0.97730000000000006</v>
      </c>
      <c r="R77" s="10">
        <f t="shared" si="82"/>
        <v>0.92870000000000008</v>
      </c>
      <c r="S77" s="10">
        <f t="shared" si="82"/>
        <v>0.82679999999999998</v>
      </c>
      <c r="T77" s="10">
        <f t="shared" si="82"/>
        <v>0.76355000000000006</v>
      </c>
      <c r="U77" s="10">
        <f t="shared" si="82"/>
        <v>0.72755000000000014</v>
      </c>
      <c r="V77" s="584">
        <f t="shared" si="82"/>
        <v>0.70280000000000009</v>
      </c>
      <c r="W77" s="584">
        <f t="shared" si="82"/>
        <v>0.35140000000000005</v>
      </c>
      <c r="X77" s="584">
        <f t="shared" ref="X77:AD77" si="83">+(W80+X80)/2</f>
        <v>0</v>
      </c>
      <c r="Y77" s="584">
        <f t="shared" si="83"/>
        <v>0</v>
      </c>
      <c r="Z77" s="584">
        <f t="shared" si="83"/>
        <v>0</v>
      </c>
      <c r="AA77" s="584">
        <f t="shared" si="83"/>
        <v>0</v>
      </c>
      <c r="AB77" s="584">
        <f t="shared" si="83"/>
        <v>0</v>
      </c>
      <c r="AC77" s="584">
        <f t="shared" si="83"/>
        <v>0</v>
      </c>
      <c r="AD77" s="584">
        <f t="shared" si="83"/>
        <v>0</v>
      </c>
      <c r="AE77" s="750">
        <f>((X77/Q77)^(1/5)-1)*100</f>
        <v>-100</v>
      </c>
      <c r="AF77" s="79" t="s">
        <v>76</v>
      </c>
      <c r="AG77" s="49" t="e">
        <f>((AC77/X77)^(1/5)-1)*100</f>
        <v>#DIV/0!</v>
      </c>
      <c r="AH77" s="751" t="s">
        <v>76</v>
      </c>
      <c r="AI77" s="114"/>
    </row>
    <row r="78" spans="1:35" hidden="1" outlineLevel="1">
      <c r="A78" s="210" t="s">
        <v>77</v>
      </c>
      <c r="B78" s="7"/>
      <c r="C78" s="7"/>
      <c r="D78" s="7"/>
      <c r="E78" s="7"/>
      <c r="F78" s="193" t="s">
        <v>251</v>
      </c>
      <c r="G78" s="7">
        <f t="shared" ref="G78:W78" si="84">G77/F77-1</f>
        <v>2.7675213675213666</v>
      </c>
      <c r="H78" s="7">
        <f t="shared" si="84"/>
        <v>1.5140653357531759</v>
      </c>
      <c r="I78" s="7">
        <f t="shared" si="84"/>
        <v>0.92961559285327566</v>
      </c>
      <c r="J78" s="7">
        <f t="shared" si="84"/>
        <v>0.31313131313131293</v>
      </c>
      <c r="K78" s="7">
        <f t="shared" si="84"/>
        <v>5.4415954415954371E-2</v>
      </c>
      <c r="L78" s="7">
        <f t="shared" si="84"/>
        <v>1.6887327749256942E-2</v>
      </c>
      <c r="M78" s="7">
        <f t="shared" si="84"/>
        <v>-2.4843895310216468E-2</v>
      </c>
      <c r="N78" s="7">
        <f t="shared" si="84"/>
        <v>2.4523160762942808E-2</v>
      </c>
      <c r="O78" s="7">
        <f t="shared" si="84"/>
        <v>0.13364361702127669</v>
      </c>
      <c r="P78" s="7">
        <f t="shared" si="84"/>
        <v>0.11026392961876819</v>
      </c>
      <c r="Q78" s="7">
        <f t="shared" si="84"/>
        <v>3.2540940306392097E-2</v>
      </c>
      <c r="R78" s="7">
        <f t="shared" si="84"/>
        <v>-4.9728844776424808E-2</v>
      </c>
      <c r="S78" s="7">
        <f t="shared" si="84"/>
        <v>-0.10972326908581898</v>
      </c>
      <c r="T78" s="7">
        <f t="shared" si="84"/>
        <v>-7.6499758103531601E-2</v>
      </c>
      <c r="U78" s="7">
        <f t="shared" si="84"/>
        <v>-4.7148189378560579E-2</v>
      </c>
      <c r="V78" s="118">
        <f t="shared" si="84"/>
        <v>-3.4018280530547784E-2</v>
      </c>
      <c r="W78" s="118">
        <f t="shared" si="84"/>
        <v>-0.5</v>
      </c>
      <c r="X78" s="118">
        <f t="shared" ref="X78:AD78" si="85">X77/W77-1</f>
        <v>-1</v>
      </c>
      <c r="Y78" s="118" t="e">
        <f t="shared" si="85"/>
        <v>#DIV/0!</v>
      </c>
      <c r="Z78" s="118" t="e">
        <f t="shared" si="85"/>
        <v>#DIV/0!</v>
      </c>
      <c r="AA78" s="118" t="e">
        <f t="shared" si="85"/>
        <v>#DIV/0!</v>
      </c>
      <c r="AB78" s="118" t="e">
        <f t="shared" si="85"/>
        <v>#DIV/0!</v>
      </c>
      <c r="AC78" s="118" t="e">
        <f t="shared" si="85"/>
        <v>#DIV/0!</v>
      </c>
      <c r="AD78" s="118" t="e">
        <f t="shared" si="85"/>
        <v>#DIV/0!</v>
      </c>
      <c r="AE78" s="750"/>
      <c r="AF78" s="50"/>
      <c r="AG78" s="49"/>
      <c r="AH78" s="647"/>
      <c r="AI78" s="114"/>
    </row>
    <row r="79" spans="1:35" hidden="1" outlineLevel="1">
      <c r="A79" s="1"/>
      <c r="B79" s="1"/>
      <c r="C79" s="1"/>
      <c r="D79" s="1"/>
      <c r="E79" s="1"/>
      <c r="F79" s="1"/>
      <c r="G79" s="1"/>
      <c r="H79" s="1"/>
      <c r="I79" s="1"/>
      <c r="J79" s="1"/>
      <c r="K79" s="1"/>
      <c r="L79" s="1"/>
      <c r="M79" s="1"/>
      <c r="N79" s="1"/>
      <c r="O79" s="1"/>
      <c r="P79" s="1"/>
      <c r="Q79" s="1"/>
      <c r="R79" s="1"/>
      <c r="S79" s="1"/>
      <c r="T79" s="1"/>
      <c r="U79" s="1"/>
      <c r="V79" s="50"/>
      <c r="W79" s="50"/>
      <c r="X79" s="50"/>
      <c r="Y79" s="50"/>
      <c r="Z79" s="50"/>
      <c r="AA79" s="50"/>
      <c r="AB79" s="50"/>
      <c r="AC79" s="50"/>
      <c r="AD79" s="50"/>
      <c r="AE79" s="750"/>
      <c r="AF79" s="50"/>
      <c r="AG79" s="49"/>
      <c r="AH79" s="647"/>
      <c r="AI79" s="114"/>
    </row>
    <row r="80" spans="1:35" hidden="1" outlineLevel="1">
      <c r="A80" s="210" t="s">
        <v>85</v>
      </c>
      <c r="B80" s="130"/>
      <c r="C80" s="130"/>
      <c r="D80" s="131"/>
      <c r="E80" s="131"/>
      <c r="F80" s="10">
        <f>squft!$AK$23/1000</f>
        <v>5.8500000000000003E-2</v>
      </c>
      <c r="G80" s="90">
        <f>squft!$AO$23/1000</f>
        <v>0.16190000000000002</v>
      </c>
      <c r="H80" s="10">
        <f>squft!$AS$23/1000</f>
        <v>0.39220000000000005</v>
      </c>
      <c r="I80" s="10">
        <f>squft!$AW$23/1000</f>
        <v>0.67700000000000005</v>
      </c>
      <c r="J80" s="10">
        <f>squft!$BA$23/1000</f>
        <v>0.72699999999999998</v>
      </c>
      <c r="K80" s="10">
        <f>squft!$BE$23/1000</f>
        <v>0.75339999999999996</v>
      </c>
      <c r="L80" s="10">
        <f>squft!$BI$23/1000</f>
        <v>0.752</v>
      </c>
      <c r="M80" s="10">
        <f>squft!$BM$23/1000</f>
        <v>0.71599999999999997</v>
      </c>
      <c r="N80" s="10">
        <f>squft!$BQ$23/1000</f>
        <v>0.78800000000000003</v>
      </c>
      <c r="O80" s="10">
        <f>squft!$BU$23/1000</f>
        <v>0.91700000000000004</v>
      </c>
      <c r="P80" s="10">
        <f>squft!$BY$23/1000</f>
        <v>0.97599999999999998</v>
      </c>
      <c r="Q80" s="10">
        <f>squft!$CC$23/1000</f>
        <v>0.97860000000000003</v>
      </c>
      <c r="R80" s="10">
        <f>squft!$CG$23/1000</f>
        <v>0.87880000000000003</v>
      </c>
      <c r="S80" s="10">
        <f>squft!$CK$23/1000</f>
        <v>0.77480000000000004</v>
      </c>
      <c r="T80" s="10">
        <f>squft!$CO$23/1000</f>
        <v>0.75230000000000008</v>
      </c>
      <c r="U80" s="10">
        <f>squft!$CS$23/1000</f>
        <v>0.70280000000000009</v>
      </c>
      <c r="V80" s="584">
        <f>squft!$CS$23/1000</f>
        <v>0.70280000000000009</v>
      </c>
      <c r="W80" s="584">
        <f>squft!$DA$23/1000</f>
        <v>0</v>
      </c>
      <c r="X80" s="584">
        <f>squft!$DE$23/1000</f>
        <v>0</v>
      </c>
      <c r="Y80" s="584">
        <f>squft!$DI$23/1000</f>
        <v>0</v>
      </c>
      <c r="Z80" s="584">
        <f>squft!$DM$23/1000</f>
        <v>0</v>
      </c>
      <c r="AA80" s="584">
        <f>squft!$DM$23/1000</f>
        <v>0</v>
      </c>
      <c r="AB80" s="584">
        <f>squft!$DM$23/1000</f>
        <v>0</v>
      </c>
      <c r="AC80" s="584">
        <f>squft!$DM$23/1000</f>
        <v>0</v>
      </c>
      <c r="AD80" s="584">
        <f>squft!$DM$23/1000</f>
        <v>0</v>
      </c>
      <c r="AE80" s="750">
        <f>((X80/Q80)^(1/5)-1)*100</f>
        <v>-100</v>
      </c>
      <c r="AF80" s="79" t="s">
        <v>76</v>
      </c>
      <c r="AG80" s="49" t="e">
        <f>((AC80/X80)^(1/5)-1)*100</f>
        <v>#DIV/0!</v>
      </c>
      <c r="AH80" s="751" t="s">
        <v>76</v>
      </c>
      <c r="AI80" s="114"/>
    </row>
    <row r="81" spans="1:35" hidden="1" outlineLevel="1">
      <c r="A81" s="210" t="s">
        <v>77</v>
      </c>
      <c r="B81" s="7"/>
      <c r="C81" s="7"/>
      <c r="D81" s="7"/>
      <c r="E81" s="7"/>
      <c r="F81" s="193" t="s">
        <v>251</v>
      </c>
      <c r="G81" s="7">
        <f t="shared" ref="G81:W81" si="86">G80/F80-1</f>
        <v>1.7675213675213675</v>
      </c>
      <c r="H81" s="7">
        <f t="shared" si="86"/>
        <v>1.4224830142063003</v>
      </c>
      <c r="I81" s="7">
        <f t="shared" si="86"/>
        <v>0.72616012238653749</v>
      </c>
      <c r="J81" s="7">
        <f t="shared" si="86"/>
        <v>7.385524372230412E-2</v>
      </c>
      <c r="K81" s="7">
        <f t="shared" si="86"/>
        <v>3.6313617606602344E-2</v>
      </c>
      <c r="L81" s="7">
        <f t="shared" si="86"/>
        <v>-1.8582426333951796E-3</v>
      </c>
      <c r="M81" s="7">
        <f t="shared" si="86"/>
        <v>-4.7872340425532012E-2</v>
      </c>
      <c r="N81" s="7">
        <f t="shared" si="86"/>
        <v>0.1005586592178771</v>
      </c>
      <c r="O81" s="7">
        <f t="shared" si="86"/>
        <v>0.16370558375634525</v>
      </c>
      <c r="P81" s="7">
        <f t="shared" si="86"/>
        <v>6.4340239912758834E-2</v>
      </c>
      <c r="Q81" s="7">
        <f t="shared" si="86"/>
        <v>2.6639344262295861E-3</v>
      </c>
      <c r="R81" s="7">
        <f t="shared" si="86"/>
        <v>-0.10198242387083589</v>
      </c>
      <c r="S81" s="7">
        <f t="shared" si="86"/>
        <v>-0.11834319526627213</v>
      </c>
      <c r="T81" s="7">
        <f t="shared" si="86"/>
        <v>-2.9039752194114588E-2</v>
      </c>
      <c r="U81" s="7">
        <f t="shared" si="86"/>
        <v>-6.5798218795693142E-2</v>
      </c>
      <c r="V81" s="118">
        <f t="shared" si="86"/>
        <v>0</v>
      </c>
      <c r="W81" s="118">
        <f t="shared" si="86"/>
        <v>-1</v>
      </c>
      <c r="X81" s="118" t="e">
        <f t="shared" ref="X81:AD81" si="87">X80/W80-1</f>
        <v>#DIV/0!</v>
      </c>
      <c r="Y81" s="118" t="e">
        <f t="shared" si="87"/>
        <v>#DIV/0!</v>
      </c>
      <c r="Z81" s="118" t="e">
        <f t="shared" si="87"/>
        <v>#DIV/0!</v>
      </c>
      <c r="AA81" s="118" t="e">
        <f t="shared" si="87"/>
        <v>#DIV/0!</v>
      </c>
      <c r="AB81" s="118" t="e">
        <f t="shared" si="87"/>
        <v>#DIV/0!</v>
      </c>
      <c r="AC81" s="118" t="e">
        <f t="shared" si="87"/>
        <v>#DIV/0!</v>
      </c>
      <c r="AD81" s="118" t="e">
        <f t="shared" si="87"/>
        <v>#DIV/0!</v>
      </c>
      <c r="AE81" s="750"/>
      <c r="AF81" s="50"/>
      <c r="AG81" s="49"/>
      <c r="AH81" s="647"/>
      <c r="AI81" s="114"/>
    </row>
    <row r="82" spans="1:35" hidden="1" outlineLevel="1">
      <c r="A82" s="1"/>
      <c r="B82" s="1"/>
      <c r="C82" s="1"/>
      <c r="D82" s="1"/>
      <c r="E82" s="1"/>
      <c r="F82" s="1"/>
      <c r="G82" s="1"/>
      <c r="H82" s="1"/>
      <c r="I82" s="1"/>
      <c r="J82" s="1"/>
      <c r="K82" s="1"/>
      <c r="L82" s="1"/>
      <c r="M82" s="1"/>
      <c r="N82" s="1"/>
      <c r="O82" s="1"/>
      <c r="P82" s="1"/>
      <c r="Q82" s="1"/>
      <c r="R82" s="18"/>
      <c r="S82" s="1"/>
      <c r="T82" s="1"/>
      <c r="U82" s="1"/>
      <c r="V82" s="50"/>
      <c r="W82" s="50"/>
      <c r="X82" s="50"/>
      <c r="Y82" s="50"/>
      <c r="Z82" s="50"/>
      <c r="AA82" s="50"/>
      <c r="AB82" s="50"/>
      <c r="AC82" s="50"/>
      <c r="AD82" s="50"/>
      <c r="AE82" s="750"/>
      <c r="AF82" s="50"/>
      <c r="AG82" s="49"/>
      <c r="AH82" s="647"/>
      <c r="AI82" s="114"/>
    </row>
    <row r="83" spans="1:35" hidden="1" outlineLevel="1">
      <c r="A83" s="210" t="s">
        <v>86</v>
      </c>
      <c r="B83" s="8"/>
      <c r="C83" s="8"/>
      <c r="D83" s="8"/>
      <c r="E83" s="8"/>
      <c r="F83" s="8">
        <f t="shared" ref="F83:M83" si="88">F80/F70*1000000</f>
        <v>4500.0000000000009</v>
      </c>
      <c r="G83" s="8">
        <f t="shared" si="88"/>
        <v>4625.7142857142862</v>
      </c>
      <c r="H83" s="8">
        <f t="shared" si="88"/>
        <v>4669.0476190476193</v>
      </c>
      <c r="I83" s="8">
        <f t="shared" si="88"/>
        <v>4574.3243243243251</v>
      </c>
      <c r="J83" s="8">
        <f t="shared" si="88"/>
        <v>4432.9268292682918</v>
      </c>
      <c r="K83" s="8">
        <f t="shared" si="88"/>
        <v>4405.8479532163738</v>
      </c>
      <c r="L83" s="8">
        <f t="shared" si="88"/>
        <v>4397.6608187134507</v>
      </c>
      <c r="M83" s="8">
        <f t="shared" si="88"/>
        <v>4365.8536585365846</v>
      </c>
      <c r="N83" s="8">
        <f t="shared" ref="N83:S83" si="89">N80/N70*1000000</f>
        <v>4451.9774011299432</v>
      </c>
      <c r="O83" s="8">
        <f t="shared" si="89"/>
        <v>4539.6039603960398</v>
      </c>
      <c r="P83" s="8">
        <f t="shared" si="89"/>
        <v>4603.7735849056608</v>
      </c>
      <c r="Q83" s="8">
        <f t="shared" si="89"/>
        <v>4682.2966507177034</v>
      </c>
      <c r="R83" s="8">
        <f t="shared" si="89"/>
        <v>4750.2702702702709</v>
      </c>
      <c r="S83" s="8">
        <f t="shared" si="89"/>
        <v>4966.666666666667</v>
      </c>
      <c r="T83" s="8">
        <f t="shared" ref="T83:Y83" si="90">T80/T70*1000000</f>
        <v>5117.6870748299325</v>
      </c>
      <c r="U83" s="8">
        <f t="shared" si="90"/>
        <v>5167.6470588235306</v>
      </c>
      <c r="V83" s="80">
        <f t="shared" si="90"/>
        <v>6164.9122807017548</v>
      </c>
      <c r="W83" s="80">
        <f t="shared" si="90"/>
        <v>0</v>
      </c>
      <c r="X83" s="80">
        <f t="shared" si="90"/>
        <v>0</v>
      </c>
      <c r="Y83" s="80">
        <f t="shared" si="90"/>
        <v>0</v>
      </c>
      <c r="Z83" s="80">
        <f>Z80/Z70*1000000</f>
        <v>0</v>
      </c>
      <c r="AA83" s="80">
        <f>AA80/AA70*1000000</f>
        <v>0</v>
      </c>
      <c r="AB83" s="80">
        <f>AB80/AB70*1000000</f>
        <v>0</v>
      </c>
      <c r="AC83" s="80">
        <f>AC80/AC70*1000000</f>
        <v>0</v>
      </c>
      <c r="AD83" s="80">
        <f>AD80/AD70*1000000</f>
        <v>0</v>
      </c>
      <c r="AE83" s="750"/>
      <c r="AF83" s="80"/>
      <c r="AG83" s="49"/>
      <c r="AH83" s="745"/>
      <c r="AI83" s="114"/>
    </row>
    <row r="84" spans="1:35" hidden="1" outlineLevel="1">
      <c r="A84" s="210" t="s">
        <v>77</v>
      </c>
      <c r="B84" s="12"/>
      <c r="C84" s="12"/>
      <c r="D84" s="12"/>
      <c r="E84" s="12"/>
      <c r="F84" s="193" t="s">
        <v>251</v>
      </c>
      <c r="G84" s="12">
        <f t="shared" ref="G84:W84" si="91">G83/F83-1</f>
        <v>2.7936507936507926E-2</v>
      </c>
      <c r="H84" s="12">
        <f t="shared" si="91"/>
        <v>9.3679225859584214E-3</v>
      </c>
      <c r="I84" s="12">
        <f t="shared" si="91"/>
        <v>-2.0287498104938129E-2</v>
      </c>
      <c r="J84" s="12">
        <f t="shared" si="91"/>
        <v>-3.0911121518896523E-2</v>
      </c>
      <c r="K84" s="12">
        <f t="shared" si="91"/>
        <v>-6.1085772661823023E-3</v>
      </c>
      <c r="L84" s="12">
        <f t="shared" si="91"/>
        <v>-1.8582426333950686E-3</v>
      </c>
      <c r="M84" s="12">
        <f t="shared" si="91"/>
        <v>-7.2327451997926673E-3</v>
      </c>
      <c r="N84" s="12">
        <f t="shared" si="91"/>
        <v>1.9726667297920164E-2</v>
      </c>
      <c r="O84" s="12">
        <f t="shared" si="91"/>
        <v>1.9682615469668985E-2</v>
      </c>
      <c r="P84" s="12">
        <f t="shared" si="91"/>
        <v>1.4135511614987273E-2</v>
      </c>
      <c r="Q84" s="12">
        <f t="shared" si="91"/>
        <v>1.705623970507486E-2</v>
      </c>
      <c r="R84" s="12">
        <f t="shared" si="91"/>
        <v>1.4517153572947583E-2</v>
      </c>
      <c r="S84" s="12">
        <f t="shared" si="91"/>
        <v>4.5554544075254055E-2</v>
      </c>
      <c r="T84" s="12">
        <f t="shared" si="91"/>
        <v>3.0406793589919268E-2</v>
      </c>
      <c r="U84" s="12">
        <f t="shared" si="91"/>
        <v>9.762219389949367E-3</v>
      </c>
      <c r="V84" s="583">
        <f t="shared" si="91"/>
        <v>0.19298245614035059</v>
      </c>
      <c r="W84" s="583">
        <f t="shared" si="91"/>
        <v>-1</v>
      </c>
      <c r="X84" s="583" t="e">
        <f t="shared" ref="X84:AD84" si="92">X83/W83-1</f>
        <v>#DIV/0!</v>
      </c>
      <c r="Y84" s="583" t="e">
        <f t="shared" si="92"/>
        <v>#DIV/0!</v>
      </c>
      <c r="Z84" s="583" t="e">
        <f t="shared" si="92"/>
        <v>#DIV/0!</v>
      </c>
      <c r="AA84" s="583" t="e">
        <f t="shared" si="92"/>
        <v>#DIV/0!</v>
      </c>
      <c r="AB84" s="583" t="e">
        <f t="shared" si="92"/>
        <v>#DIV/0!</v>
      </c>
      <c r="AC84" s="583" t="e">
        <f t="shared" si="92"/>
        <v>#DIV/0!</v>
      </c>
      <c r="AD84" s="583" t="e">
        <f t="shared" si="92"/>
        <v>#DIV/0!</v>
      </c>
      <c r="AE84" s="750"/>
      <c r="AF84" s="50"/>
      <c r="AG84" s="49"/>
      <c r="AH84" s="647"/>
      <c r="AI84" s="114"/>
    </row>
    <row r="85" spans="1:35" hidden="1" outlineLevel="1">
      <c r="A85" s="1"/>
      <c r="B85" s="1"/>
      <c r="C85" s="1"/>
      <c r="D85" s="1"/>
      <c r="E85" s="1"/>
      <c r="F85" s="1"/>
      <c r="G85" s="1"/>
      <c r="H85" s="1"/>
      <c r="I85" s="1"/>
      <c r="J85" s="1"/>
      <c r="K85" s="1"/>
      <c r="L85" s="1"/>
      <c r="M85" s="1"/>
      <c r="N85" s="1"/>
      <c r="O85" s="1"/>
      <c r="P85" s="1"/>
      <c r="Q85" s="1"/>
      <c r="R85" s="1"/>
      <c r="S85" s="1"/>
      <c r="T85" s="1"/>
      <c r="U85" s="1"/>
      <c r="V85" s="50"/>
      <c r="W85" s="50"/>
      <c r="X85" s="50"/>
      <c r="Y85" s="50"/>
      <c r="Z85" s="50"/>
      <c r="AA85" s="50"/>
      <c r="AB85" s="50"/>
      <c r="AC85" s="50"/>
      <c r="AD85" s="50"/>
      <c r="AE85" s="750"/>
      <c r="AF85" s="50"/>
      <c r="AG85" s="49"/>
      <c r="AH85" s="647"/>
      <c r="AI85" s="114"/>
    </row>
    <row r="86" spans="1:35" hidden="1" outlineLevel="1">
      <c r="A86" s="210" t="s">
        <v>447</v>
      </c>
      <c r="B86" s="5"/>
      <c r="C86" s="5"/>
      <c r="D86" s="5"/>
      <c r="E86" s="5"/>
      <c r="F86" s="5">
        <f t="shared" ref="F86:N86" si="93">+F62/F77</f>
        <v>341.8803418803418</v>
      </c>
      <c r="G86" s="5">
        <f t="shared" si="93"/>
        <v>344.82758620689651</v>
      </c>
      <c r="H86" s="5">
        <f t="shared" si="93"/>
        <v>332.07002346146902</v>
      </c>
      <c r="I86" s="5">
        <f t="shared" si="93"/>
        <v>299.28918817807704</v>
      </c>
      <c r="J86" s="5">
        <f t="shared" si="93"/>
        <v>295.63675213675219</v>
      </c>
      <c r="K86" s="5">
        <f t="shared" si="93"/>
        <v>286.78195082410161</v>
      </c>
      <c r="L86" s="5">
        <f t="shared" si="93"/>
        <v>301.85199946857983</v>
      </c>
      <c r="M86" s="5">
        <f t="shared" si="93"/>
        <v>469.94277929155322</v>
      </c>
      <c r="N86" s="5">
        <f t="shared" si="93"/>
        <v>539.65425531914889</v>
      </c>
      <c r="O86" s="5">
        <f t="shared" ref="O86:T86" si="94">+O62/O77</f>
        <v>552.5454545454545</v>
      </c>
      <c r="P86" s="5">
        <f t="shared" si="94"/>
        <v>444.31378763866871</v>
      </c>
      <c r="Q86" s="5">
        <f t="shared" si="94"/>
        <v>351.17159521129639</v>
      </c>
      <c r="R86" s="5">
        <f t="shared" si="94"/>
        <v>411.97372671476256</v>
      </c>
      <c r="S86" s="5">
        <f t="shared" si="94"/>
        <v>481.25786163522014</v>
      </c>
      <c r="T86" s="5">
        <f t="shared" si="94"/>
        <v>500.97177656996928</v>
      </c>
      <c r="U86" s="5">
        <f t="shared" ref="U86:Z86" si="95">+U62/U77</f>
        <v>476.66827022197771</v>
      </c>
      <c r="V86" s="589">
        <f t="shared" si="95"/>
        <v>457.31360273192934</v>
      </c>
      <c r="W86" s="589">
        <f t="shared" si="95"/>
        <v>123.34646703583211</v>
      </c>
      <c r="X86" s="589" t="e">
        <f t="shared" si="95"/>
        <v>#DIV/0!</v>
      </c>
      <c r="Y86" s="589" t="e">
        <f t="shared" si="95"/>
        <v>#DIV/0!</v>
      </c>
      <c r="Z86" s="589" t="e">
        <f t="shared" si="95"/>
        <v>#DIV/0!</v>
      </c>
      <c r="AA86" s="589" t="e">
        <f>+AA62/AA77</f>
        <v>#DIV/0!</v>
      </c>
      <c r="AB86" s="589" t="e">
        <f>+AB62/AB77</f>
        <v>#DIV/0!</v>
      </c>
      <c r="AC86" s="589" t="e">
        <f>+AC62/AC77</f>
        <v>#DIV/0!</v>
      </c>
      <c r="AD86" s="589" t="e">
        <f>+AD62/AD77</f>
        <v>#DIV/0!</v>
      </c>
      <c r="AE86" s="750" t="e">
        <f>((X86/Q86)^(1/5)-1)*100</f>
        <v>#DIV/0!</v>
      </c>
      <c r="AF86" s="79" t="s">
        <v>76</v>
      </c>
      <c r="AG86" s="49" t="e">
        <f>((AC86/X86)^(1/5)-1)*100</f>
        <v>#DIV/0!</v>
      </c>
      <c r="AH86" s="751" t="s">
        <v>76</v>
      </c>
      <c r="AI86" s="114"/>
    </row>
    <row r="87" spans="1:35" hidden="1" outlineLevel="1">
      <c r="A87" s="210" t="s">
        <v>77</v>
      </c>
      <c r="B87" s="12"/>
      <c r="C87" s="12"/>
      <c r="D87" s="12"/>
      <c r="E87" s="12"/>
      <c r="F87" s="128" t="s">
        <v>251</v>
      </c>
      <c r="G87" s="12">
        <f>G86/F86-1</f>
        <v>8.6206896551725976E-3</v>
      </c>
      <c r="H87" s="12">
        <f>H86/G86-1</f>
        <v>-3.6996931961739699E-2</v>
      </c>
      <c r="I87" s="12">
        <f t="shared" ref="I87:W87" si="96">I86/H86-1</f>
        <v>-9.8716634948519011E-2</v>
      </c>
      <c r="J87" s="12">
        <f t="shared" si="96"/>
        <v>-1.2203701923076626E-2</v>
      </c>
      <c r="K87" s="12">
        <f t="shared" si="96"/>
        <v>-2.9951625596788545E-2</v>
      </c>
      <c r="L87" s="12">
        <f t="shared" si="96"/>
        <v>5.2548804418034889E-2</v>
      </c>
      <c r="M87" s="12">
        <f t="shared" si="96"/>
        <v>0.55686488782218646</v>
      </c>
      <c r="N87" s="12">
        <f t="shared" si="96"/>
        <v>0.14834034929249662</v>
      </c>
      <c r="O87" s="12">
        <f t="shared" si="96"/>
        <v>2.3887885806963327E-2</v>
      </c>
      <c r="P87" s="12">
        <f t="shared" si="96"/>
        <v>-0.19587830470132339</v>
      </c>
      <c r="Q87" s="12">
        <f t="shared" si="96"/>
        <v>-0.20963155998912819</v>
      </c>
      <c r="R87" s="12">
        <f t="shared" si="96"/>
        <v>0.17314080162685741</v>
      </c>
      <c r="S87" s="12">
        <f t="shared" si="96"/>
        <v>0.16817610062893085</v>
      </c>
      <c r="T87" s="12">
        <f t="shared" si="96"/>
        <v>4.0963309914076262E-2</v>
      </c>
      <c r="U87" s="12">
        <f t="shared" si="96"/>
        <v>-4.8512725635746823E-2</v>
      </c>
      <c r="V87" s="583">
        <f t="shared" si="96"/>
        <v>-4.0604060935365283E-2</v>
      </c>
      <c r="W87" s="583">
        <f t="shared" si="96"/>
        <v>-0.73028034526203234</v>
      </c>
      <c r="X87" s="583" t="e">
        <f t="shared" ref="X87:AD87" si="97">X86/W86-1</f>
        <v>#DIV/0!</v>
      </c>
      <c r="Y87" s="583" t="e">
        <f t="shared" si="97"/>
        <v>#DIV/0!</v>
      </c>
      <c r="Z87" s="583" t="e">
        <f t="shared" si="97"/>
        <v>#DIV/0!</v>
      </c>
      <c r="AA87" s="583" t="e">
        <f t="shared" si="97"/>
        <v>#DIV/0!</v>
      </c>
      <c r="AB87" s="583" t="e">
        <f t="shared" si="97"/>
        <v>#DIV/0!</v>
      </c>
      <c r="AC87" s="583" t="e">
        <f t="shared" si="97"/>
        <v>#DIV/0!</v>
      </c>
      <c r="AD87" s="583" t="e">
        <f t="shared" si="97"/>
        <v>#DIV/0!</v>
      </c>
      <c r="AE87" s="81"/>
      <c r="AF87" s="50"/>
      <c r="AG87" s="49"/>
      <c r="AH87" s="647"/>
      <c r="AI87" s="114"/>
    </row>
    <row r="88" spans="1:35" hidden="1" outlineLevel="1">
      <c r="A88" s="1"/>
      <c r="B88" s="1"/>
      <c r="C88" s="1"/>
      <c r="D88" s="1"/>
      <c r="E88" s="1"/>
      <c r="F88" s="1"/>
      <c r="G88" s="1"/>
      <c r="H88" s="1"/>
      <c r="I88" s="1"/>
      <c r="J88" s="1"/>
      <c r="K88" s="1"/>
      <c r="L88" s="1"/>
      <c r="M88" s="1"/>
      <c r="N88" s="1"/>
      <c r="O88" s="1"/>
      <c r="P88" s="1"/>
      <c r="Q88" s="1"/>
      <c r="R88" s="1"/>
      <c r="S88" s="1"/>
      <c r="T88" s="1"/>
      <c r="U88" s="1"/>
      <c r="V88" s="50"/>
      <c r="W88" s="50"/>
      <c r="X88" s="50"/>
      <c r="Y88" s="50"/>
      <c r="Z88" s="50"/>
      <c r="AA88" s="50"/>
      <c r="AB88" s="50"/>
      <c r="AC88" s="50"/>
      <c r="AD88" s="50"/>
      <c r="AE88" s="81"/>
      <c r="AF88" s="50"/>
      <c r="AG88" s="49"/>
      <c r="AH88" s="647"/>
    </row>
    <row r="89" spans="1:35" hidden="1" outlineLevel="1">
      <c r="A89" s="210" t="s">
        <v>87</v>
      </c>
      <c r="B89" s="12"/>
      <c r="C89" s="12"/>
      <c r="D89" s="12"/>
      <c r="E89" s="12"/>
      <c r="F89" s="46">
        <v>0.35</v>
      </c>
      <c r="G89" s="46">
        <v>0.1</v>
      </c>
      <c r="H89" s="238">
        <v>-0.03</v>
      </c>
      <c r="I89" s="128">
        <v>-0.1</v>
      </c>
      <c r="J89" s="12">
        <v>-0.04</v>
      </c>
      <c r="K89" s="12">
        <v>-0.06</v>
      </c>
      <c r="L89" s="12">
        <v>0.01</v>
      </c>
      <c r="M89" s="12">
        <v>0.54</v>
      </c>
      <c r="N89" s="12">
        <v>0.1</v>
      </c>
      <c r="O89" s="12">
        <v>0</v>
      </c>
      <c r="P89" s="12">
        <f>SegqtrSales!F180*0.01</f>
        <v>0</v>
      </c>
      <c r="Q89" s="12">
        <f>SegqtrSales!$F$187*0.01</f>
        <v>0</v>
      </c>
      <c r="R89" s="12">
        <f>SegqtrSales!$F$194*0.01</f>
        <v>0</v>
      </c>
      <c r="S89" s="12">
        <f>SegqtrSales!$F$201*0.01</f>
        <v>0</v>
      </c>
      <c r="T89" s="12">
        <f>SegqtrSales!$F$208*0.01</f>
        <v>0</v>
      </c>
      <c r="U89" s="12">
        <f>SegqtrSales!$F$215*0.01</f>
        <v>0</v>
      </c>
      <c r="V89" s="732">
        <f>SegqtrSales!F222*0.01</f>
        <v>0</v>
      </c>
      <c r="W89" s="583">
        <f>SegqtrSales!F229*0.01</f>
        <v>0</v>
      </c>
      <c r="X89" s="587">
        <v>0</v>
      </c>
      <c r="Y89" s="587">
        <v>0.01</v>
      </c>
      <c r="Z89" s="587">
        <v>0.01</v>
      </c>
      <c r="AA89" s="587">
        <v>0.01</v>
      </c>
      <c r="AB89" s="587">
        <v>0.01</v>
      </c>
      <c r="AC89" s="587">
        <v>0.01</v>
      </c>
      <c r="AD89" s="587">
        <v>0.01</v>
      </c>
      <c r="AE89" s="81"/>
      <c r="AF89" s="50"/>
      <c r="AG89" s="49"/>
      <c r="AH89" s="647"/>
    </row>
    <row r="90" spans="1:35" hidden="1" outlineLevel="1">
      <c r="A90" s="1"/>
      <c r="B90" s="1"/>
      <c r="C90" s="1"/>
      <c r="D90" s="1"/>
      <c r="E90" s="1"/>
      <c r="F90" s="1"/>
      <c r="G90" s="1"/>
      <c r="H90" s="1"/>
      <c r="I90" s="1"/>
      <c r="J90" s="1"/>
      <c r="K90" s="1"/>
      <c r="L90" s="1"/>
      <c r="M90" s="1"/>
      <c r="N90" s="1"/>
      <c r="O90" s="1"/>
      <c r="P90" s="1"/>
      <c r="Q90" s="1"/>
      <c r="R90" s="1"/>
      <c r="S90" s="1"/>
      <c r="T90" s="1"/>
      <c r="U90" s="1"/>
      <c r="V90" s="50"/>
      <c r="W90" s="50"/>
      <c r="X90" s="50"/>
      <c r="Y90" s="50"/>
      <c r="Z90" s="50"/>
      <c r="AA90" s="50"/>
      <c r="AB90" s="50"/>
      <c r="AC90" s="50"/>
      <c r="AD90" s="50"/>
      <c r="AE90" s="81"/>
      <c r="AF90" s="50"/>
      <c r="AG90" s="49"/>
      <c r="AH90" s="647"/>
    </row>
    <row r="91" spans="1:35" hidden="1" outlineLevel="1">
      <c r="A91" s="210" t="s">
        <v>582</v>
      </c>
      <c r="B91" s="8"/>
      <c r="C91" s="8"/>
      <c r="D91" s="43"/>
      <c r="E91" s="43"/>
      <c r="F91" s="8">
        <f>squft!$AJ$20</f>
        <v>4500</v>
      </c>
      <c r="G91" s="8">
        <f>squft!$AN$20</f>
        <v>4700</v>
      </c>
      <c r="H91" s="8">
        <f>squft!$AR$20</f>
        <v>4700</v>
      </c>
      <c r="I91" s="8">
        <f>squft!$AV$20</f>
        <v>4450</v>
      </c>
      <c r="J91" s="8">
        <f>squft!$AZ$20</f>
        <v>4000</v>
      </c>
      <c r="K91" s="8">
        <f>squft!$BD$20</f>
        <v>4000</v>
      </c>
      <c r="L91" s="8">
        <f>squft!$BH$20</f>
        <v>4000</v>
      </c>
      <c r="M91" s="8">
        <f>squft!$BL$20</f>
        <v>4000</v>
      </c>
      <c r="N91" s="8">
        <f>squft!$BP$20</f>
        <v>4000</v>
      </c>
      <c r="O91" s="8">
        <f>squft!$BT$20</f>
        <v>4200</v>
      </c>
      <c r="P91" s="8">
        <f>squft!$BX$20</f>
        <v>4916.666666666667</v>
      </c>
      <c r="Q91" s="8">
        <f>squft!$CB$20</f>
        <v>6000</v>
      </c>
      <c r="R91" s="8">
        <f>squft!$CF$20</f>
        <v>6250</v>
      </c>
      <c r="S91" s="8">
        <f>squft!$CJ$20</f>
        <v>8500</v>
      </c>
      <c r="T91" s="8">
        <f>squft!$CN$20</f>
        <v>9000</v>
      </c>
      <c r="U91" s="8">
        <f>squft!$CR$20</f>
        <v>4590</v>
      </c>
      <c r="V91" s="80">
        <f>squft!$CV$20</f>
        <v>4590</v>
      </c>
      <c r="W91" s="80">
        <f>squft!$CZ$20</f>
        <v>0</v>
      </c>
      <c r="X91" s="80">
        <f>squft!$DD$20</f>
        <v>0</v>
      </c>
      <c r="Y91" s="80">
        <f>squft!$DH$20</f>
        <v>0</v>
      </c>
      <c r="Z91" s="80">
        <f>squft!$DL$20</f>
        <v>0</v>
      </c>
      <c r="AA91" s="80">
        <f>squft!$DL$20</f>
        <v>0</v>
      </c>
      <c r="AB91" s="80">
        <f>squft!$DL$20</f>
        <v>0</v>
      </c>
      <c r="AC91" s="80">
        <f>squft!$DL$20</f>
        <v>0</v>
      </c>
      <c r="AD91" s="80">
        <f>squft!$DL$20</f>
        <v>0</v>
      </c>
      <c r="AE91" s="82"/>
      <c r="AF91" s="80"/>
      <c r="AG91" s="49"/>
      <c r="AH91" s="647"/>
    </row>
    <row r="92" spans="1:35" hidden="1" outlineLevel="1">
      <c r="A92" s="1"/>
      <c r="B92" s="1"/>
      <c r="C92" s="1"/>
      <c r="D92" s="1"/>
      <c r="E92" s="1"/>
      <c r="F92" s="1"/>
      <c r="G92" s="1"/>
      <c r="H92" s="132"/>
      <c r="I92" s="1"/>
      <c r="J92" s="1"/>
      <c r="K92" s="1"/>
      <c r="L92" s="1"/>
      <c r="M92" s="1"/>
      <c r="N92" s="1"/>
      <c r="O92" s="1"/>
      <c r="P92" s="1"/>
      <c r="Q92" s="1"/>
      <c r="R92" s="1"/>
      <c r="S92" s="1"/>
      <c r="T92" s="1"/>
      <c r="U92" s="1"/>
      <c r="V92" s="50"/>
      <c r="W92" s="50"/>
      <c r="X92" s="50"/>
      <c r="Y92" s="50"/>
      <c r="Z92" s="50"/>
      <c r="AA92" s="50"/>
      <c r="AB92" s="50"/>
      <c r="AC92" s="50"/>
      <c r="AD92" s="50"/>
      <c r="AE92" s="81"/>
      <c r="AF92" s="50"/>
      <c r="AG92" s="49"/>
      <c r="AH92" s="647"/>
    </row>
    <row r="93" spans="1:35" hidden="1" outlineLevel="1">
      <c r="A93" s="210" t="s">
        <v>92</v>
      </c>
      <c r="B93" s="7"/>
      <c r="C93" s="7"/>
      <c r="D93" s="7"/>
      <c r="E93" s="7"/>
      <c r="F93" s="118"/>
      <c r="G93" s="118">
        <f t="shared" ref="G93:N93" si="98">(G63-G89)/G78</f>
        <v>0.97560222359481186</v>
      </c>
      <c r="H93" s="118">
        <f t="shared" si="98"/>
        <v>0.95838178004195396</v>
      </c>
      <c r="I93" s="118">
        <f t="shared" si="98"/>
        <v>0.90266389810336511</v>
      </c>
      <c r="J93" s="118">
        <f t="shared" si="98"/>
        <v>1.0765651209677429</v>
      </c>
      <c r="K93" s="118">
        <f t="shared" si="98"/>
        <v>1.5222462495617077</v>
      </c>
      <c r="L93" s="118">
        <f t="shared" si="98"/>
        <v>3.5721188068363845</v>
      </c>
      <c r="M93" s="118">
        <f t="shared" si="98"/>
        <v>0.87803060633770746</v>
      </c>
      <c r="N93" s="118">
        <f t="shared" si="98"/>
        <v>3.1195523704420749</v>
      </c>
      <c r="O93" s="118">
        <f t="shared" ref="O93:T93" si="99">(O63-O89)/O78</f>
        <v>1.202631071148619</v>
      </c>
      <c r="P93" s="118">
        <f t="shared" si="99"/>
        <v>-0.97232782340215795</v>
      </c>
      <c r="Q93" s="118">
        <f t="shared" si="99"/>
        <v>-5.6517182979666938</v>
      </c>
      <c r="R93" s="118">
        <f t="shared" si="99"/>
        <v>-2.3085568409642527</v>
      </c>
      <c r="S93" s="118">
        <f t="shared" si="99"/>
        <v>-0.36455348380765457</v>
      </c>
      <c r="T93" s="118">
        <f t="shared" si="99"/>
        <v>0.50549351328232528</v>
      </c>
      <c r="U93" s="118">
        <f t="shared" ref="U93:Z93" si="100">(U63-U89)/U78</f>
        <v>1.9804287093413233</v>
      </c>
      <c r="V93" s="118">
        <f t="shared" si="100"/>
        <v>2.152991273752515</v>
      </c>
      <c r="W93" s="118">
        <f>(W63-W89)/W78</f>
        <v>1.7302803452620323</v>
      </c>
      <c r="X93" s="118">
        <f t="shared" si="100"/>
        <v>0</v>
      </c>
      <c r="Y93" s="118" t="e">
        <f t="shared" si="100"/>
        <v>#DIV/0!</v>
      </c>
      <c r="Z93" s="118" t="e">
        <f t="shared" si="100"/>
        <v>#DIV/0!</v>
      </c>
      <c r="AA93" s="118" t="e">
        <f>(AA63-AA89)/AA78</f>
        <v>#DIV/0!</v>
      </c>
      <c r="AB93" s="118" t="e">
        <f>(AB63-AB89)/AB78</f>
        <v>#DIV/0!</v>
      </c>
      <c r="AC93" s="118" t="e">
        <f>(AC63-AC89)/AC78</f>
        <v>#DIV/0!</v>
      </c>
      <c r="AD93" s="118" t="e">
        <f>(AD63-AD89)/AD78</f>
        <v>#DIV/0!</v>
      </c>
      <c r="AE93" s="83"/>
      <c r="AF93" s="2"/>
      <c r="AG93" s="84"/>
      <c r="AH93" s="752"/>
    </row>
    <row r="94" spans="1:35" hidden="1" outlineLevel="1">
      <c r="A94" s="1"/>
      <c r="B94" s="1"/>
      <c r="C94" s="1"/>
      <c r="D94" s="1"/>
      <c r="E94" s="1"/>
      <c r="F94" s="1"/>
      <c r="G94" s="1"/>
      <c r="H94" s="1"/>
      <c r="I94" s="1"/>
      <c r="J94" s="1"/>
      <c r="K94" s="1"/>
      <c r="L94" s="1"/>
      <c r="M94" s="1"/>
      <c r="N94" s="1"/>
      <c r="O94" s="1"/>
      <c r="P94" s="1"/>
      <c r="Q94" s="1"/>
      <c r="R94" s="1"/>
      <c r="S94" s="1"/>
      <c r="T94" s="1"/>
      <c r="U94" s="1"/>
      <c r="V94" s="50"/>
      <c r="W94" s="50"/>
      <c r="X94" s="50"/>
      <c r="Y94" s="50"/>
      <c r="Z94" s="50"/>
      <c r="AA94" s="50"/>
      <c r="AB94" s="50"/>
      <c r="AC94" s="50"/>
      <c r="AD94" s="50"/>
      <c r="AE94" s="50"/>
      <c r="AF94" s="50"/>
      <c r="AG94" s="49"/>
      <c r="AH94" s="50"/>
    </row>
    <row r="95" spans="1:35" hidden="1" outlineLevel="1">
      <c r="A95" s="1" t="s">
        <v>715</v>
      </c>
      <c r="B95" s="1"/>
      <c r="C95" s="1"/>
      <c r="D95" s="1"/>
      <c r="E95" s="1"/>
      <c r="F95" s="118"/>
      <c r="G95" s="118">
        <f t="shared" ref="G95:N95" si="101">+(G63-G89)/G72</f>
        <v>1.0028571428571427</v>
      </c>
      <c r="H95" s="118">
        <f t="shared" si="101"/>
        <v>0.98099332839140119</v>
      </c>
      <c r="I95" s="118">
        <f t="shared" si="101"/>
        <v>0.88368603308964988</v>
      </c>
      <c r="J95" s="118">
        <f t="shared" si="101"/>
        <v>0.97760812500000027</v>
      </c>
      <c r="K95" s="118">
        <f t="shared" si="101"/>
        <v>1.1236677629614922</v>
      </c>
      <c r="L95" s="118">
        <f t="shared" si="101"/>
        <v>2.8869123216943819</v>
      </c>
      <c r="M95" s="118">
        <f t="shared" si="101"/>
        <v>1.0657550797646846</v>
      </c>
      <c r="N95" s="118">
        <f t="shared" si="101"/>
        <v>4.2713217061230182</v>
      </c>
      <c r="O95" s="118">
        <f t="shared" ref="O95:T95" si="102">+(O63-O89)/O72</f>
        <v>1.4422861185539899</v>
      </c>
      <c r="P95" s="118">
        <f t="shared" si="102"/>
        <v>-1.1609602358282431</v>
      </c>
      <c r="Q95" s="118">
        <f t="shared" si="102"/>
        <v>-10.877094613392629</v>
      </c>
      <c r="R95" s="118">
        <f t="shared" si="102"/>
        <v>-1.7900587067253757</v>
      </c>
      <c r="S95" s="118">
        <f t="shared" si="102"/>
        <v>-0.29735849056603797</v>
      </c>
      <c r="T95" s="118">
        <f t="shared" si="102"/>
        <v>0.34701354836183573</v>
      </c>
      <c r="U95" s="118">
        <f t="shared" ref="U95:Z95" si="103">+(U63-U89)/U72</f>
        <v>1.4146104617572592</v>
      </c>
      <c r="V95" s="118">
        <f t="shared" si="103"/>
        <v>0.62809758484498923</v>
      </c>
      <c r="W95" s="118">
        <f t="shared" si="103"/>
        <v>9.8311383253524607</v>
      </c>
      <c r="X95" s="118">
        <f t="shared" si="103"/>
        <v>0</v>
      </c>
      <c r="Y95" s="118">
        <f t="shared" si="103"/>
        <v>5.0798325380239557</v>
      </c>
      <c r="Z95" s="118" t="e">
        <f t="shared" si="103"/>
        <v>#DIV/0!</v>
      </c>
      <c r="AA95" s="118" t="e">
        <f>+(AA63-AA89)/AA72</f>
        <v>#DIV/0!</v>
      </c>
      <c r="AB95" s="118" t="e">
        <f>+(AB63-AB89)/AB72</f>
        <v>#DIV/0!</v>
      </c>
      <c r="AC95" s="118" t="e">
        <f>+(AC63-AC89)/AC72</f>
        <v>#DIV/0!</v>
      </c>
      <c r="AD95" s="118" t="e">
        <f>+(AD63-AD89)/AD72</f>
        <v>#DIV/0!</v>
      </c>
      <c r="AE95" s="50"/>
      <c r="AF95" s="50"/>
      <c r="AG95" s="50"/>
      <c r="AH95" s="50"/>
    </row>
    <row r="96" spans="1:35" hidden="1" outlineLevel="1">
      <c r="A96" s="1"/>
      <c r="B96" s="1"/>
      <c r="C96" s="1"/>
      <c r="D96" s="1"/>
      <c r="E96" s="1"/>
      <c r="F96" s="118"/>
      <c r="G96" s="118"/>
      <c r="H96" s="118"/>
      <c r="I96" s="118"/>
      <c r="J96" s="118"/>
      <c r="K96" s="118"/>
      <c r="L96" s="118"/>
      <c r="M96" s="118"/>
      <c r="N96" s="118"/>
      <c r="O96" s="118"/>
      <c r="P96" s="118"/>
      <c r="Q96" s="118"/>
      <c r="R96" s="118"/>
      <c r="S96" s="118"/>
      <c r="T96" s="118"/>
      <c r="U96" s="118"/>
      <c r="V96" s="118"/>
      <c r="W96" s="118"/>
      <c r="X96" s="118"/>
      <c r="Y96" s="118"/>
      <c r="Z96" s="118"/>
      <c r="AA96" s="118"/>
      <c r="AB96" s="118"/>
      <c r="AC96" s="118"/>
      <c r="AD96" s="118"/>
      <c r="AE96" s="1"/>
      <c r="AF96" s="1"/>
      <c r="AG96" s="1"/>
      <c r="AH96" s="1"/>
    </row>
    <row r="97" spans="1:34" ht="14.25" hidden="1" outlineLevel="1">
      <c r="A97" s="1836" t="s">
        <v>774</v>
      </c>
      <c r="B97" s="1"/>
      <c r="C97" s="1"/>
      <c r="D97" s="1"/>
      <c r="E97" s="1"/>
      <c r="F97" s="118"/>
      <c r="G97" s="118"/>
      <c r="H97" s="118"/>
      <c r="I97" s="118"/>
      <c r="J97" s="118"/>
      <c r="K97" s="118"/>
      <c r="L97" s="118"/>
      <c r="M97" s="118"/>
      <c r="N97" s="118"/>
      <c r="O97" s="118"/>
      <c r="P97" s="118"/>
      <c r="Q97" s="118"/>
      <c r="R97" s="118"/>
      <c r="S97" s="118"/>
      <c r="T97" s="118"/>
      <c r="U97" s="118"/>
      <c r="V97" s="118"/>
      <c r="W97" s="118"/>
      <c r="X97" s="118"/>
      <c r="Y97" s="118"/>
      <c r="Z97" s="118"/>
      <c r="AA97" s="118"/>
      <c r="AB97" s="118"/>
      <c r="AC97" s="118"/>
      <c r="AD97" s="118"/>
      <c r="AE97" s="1"/>
      <c r="AF97" s="1"/>
      <c r="AG97" s="1"/>
      <c r="AH97" s="1"/>
    </row>
    <row r="98" spans="1:34" hidden="1" outlineLevel="1">
      <c r="A98" s="1" t="s">
        <v>41</v>
      </c>
      <c r="V98" s="97"/>
      <c r="W98" s="97"/>
      <c r="X98" s="97"/>
      <c r="Y98" s="97"/>
      <c r="Z98" s="97"/>
      <c r="AA98" s="97"/>
      <c r="AB98" s="97"/>
      <c r="AC98" s="97"/>
      <c r="AD98" s="97"/>
    </row>
    <row r="99" spans="1:34" collapsed="1">
      <c r="A99" s="96"/>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96"/>
      <c r="AE99" s="96"/>
      <c r="AF99" s="96"/>
      <c r="AG99" s="96"/>
      <c r="AH99" s="96"/>
    </row>
    <row r="100" spans="1:34">
      <c r="A100" s="324" t="s">
        <v>449</v>
      </c>
      <c r="B100" s="325"/>
      <c r="C100" s="325"/>
      <c r="D100" s="325"/>
      <c r="E100" s="325"/>
      <c r="F100" s="325"/>
      <c r="G100" s="325"/>
      <c r="H100" s="325"/>
      <c r="I100" s="325"/>
      <c r="J100" s="325"/>
      <c r="K100" s="325"/>
      <c r="L100" s="332"/>
      <c r="M100" s="332"/>
      <c r="N100" s="332"/>
      <c r="O100" s="332"/>
      <c r="P100" s="1830"/>
      <c r="Q100" s="332"/>
      <c r="R100" s="332"/>
      <c r="S100" s="332"/>
      <c r="T100" s="332"/>
      <c r="U100" s="332"/>
      <c r="V100" s="332"/>
      <c r="W100" s="332"/>
      <c r="X100" s="332"/>
      <c r="Y100" s="332"/>
      <c r="Z100" s="332"/>
      <c r="AA100" s="332"/>
      <c r="AB100" s="332"/>
      <c r="AC100" s="332"/>
      <c r="AD100" s="332"/>
      <c r="AE100" s="325"/>
      <c r="AF100" s="325"/>
      <c r="AG100" s="325"/>
      <c r="AH100" s="325"/>
    </row>
    <row r="101" spans="1:34">
      <c r="A101" s="326" t="str">
        <f>+A2</f>
        <v>Annual Sales Model, Fiscal 1997A-2018E</v>
      </c>
      <c r="B101" s="327"/>
      <c r="C101" s="327"/>
      <c r="D101" s="327"/>
      <c r="E101" s="327"/>
      <c r="F101" s="327"/>
      <c r="G101" s="327"/>
      <c r="H101" s="327"/>
      <c r="I101" s="327"/>
      <c r="J101" s="327"/>
      <c r="K101" s="327" t="s">
        <v>646</v>
      </c>
      <c r="L101" s="327"/>
      <c r="M101" s="327"/>
      <c r="N101" s="327"/>
      <c r="O101" s="327"/>
      <c r="P101" s="352"/>
      <c r="Q101" s="327"/>
      <c r="R101" s="327"/>
      <c r="S101" s="327"/>
      <c r="T101" s="327"/>
      <c r="U101" s="327"/>
      <c r="V101" s="327"/>
      <c r="W101" s="327"/>
      <c r="X101" s="327"/>
      <c r="Y101" s="327"/>
      <c r="Z101" s="327"/>
      <c r="AA101" s="327"/>
      <c r="AB101" s="327"/>
      <c r="AC101" s="327"/>
      <c r="AD101" s="327"/>
      <c r="AE101" s="327"/>
      <c r="AF101" s="327"/>
      <c r="AG101" s="327"/>
      <c r="AH101" s="327"/>
    </row>
    <row r="102" spans="1:34">
      <c r="A102" s="21"/>
      <c r="B102" s="50"/>
      <c r="C102" s="50"/>
      <c r="D102" s="50"/>
      <c r="E102" s="50"/>
      <c r="F102" s="50"/>
      <c r="G102" s="50"/>
      <c r="H102" s="50"/>
      <c r="I102" s="50"/>
      <c r="J102" s="50"/>
      <c r="K102" s="50"/>
      <c r="L102" s="50"/>
      <c r="M102" s="50"/>
      <c r="N102" s="50"/>
      <c r="O102" s="50"/>
      <c r="P102" s="1"/>
      <c r="Q102" s="50"/>
      <c r="R102" s="50"/>
      <c r="S102" s="50"/>
      <c r="T102" s="50"/>
      <c r="U102" s="50"/>
      <c r="V102" s="50"/>
      <c r="W102" s="50"/>
      <c r="X102" s="50"/>
      <c r="Y102" s="50"/>
      <c r="Z102" s="50"/>
      <c r="AA102" s="50"/>
      <c r="AB102" s="50"/>
      <c r="AC102" s="50"/>
      <c r="AD102" s="50"/>
      <c r="AE102" s="50"/>
      <c r="AF102" s="50"/>
      <c r="AG102" s="50"/>
      <c r="AH102" s="50"/>
    </row>
    <row r="103" spans="1:34">
      <c r="A103" s="3"/>
      <c r="B103" s="1"/>
      <c r="C103" s="1"/>
      <c r="D103" s="1"/>
      <c r="E103" s="1"/>
      <c r="F103" s="1"/>
      <c r="G103" s="1"/>
      <c r="H103" s="1"/>
      <c r="J103" s="1"/>
      <c r="K103" s="1"/>
      <c r="L103" s="1"/>
      <c r="M103" s="1"/>
      <c r="N103" s="1"/>
      <c r="O103" s="1"/>
      <c r="P103" s="1"/>
      <c r="Q103" s="1"/>
      <c r="R103" s="1"/>
      <c r="S103" s="1"/>
      <c r="T103" s="1"/>
      <c r="U103" s="1"/>
      <c r="V103" s="50"/>
      <c r="W103" s="50"/>
      <c r="X103" s="50"/>
      <c r="Y103" s="50"/>
      <c r="Z103" s="50"/>
      <c r="AA103" s="50"/>
      <c r="AB103" s="50"/>
      <c r="AC103" s="50"/>
      <c r="AD103" s="50"/>
      <c r="AE103" s="754"/>
      <c r="AF103" s="85" t="s">
        <v>75</v>
      </c>
      <c r="AG103" s="91"/>
      <c r="AH103" s="755"/>
    </row>
    <row r="104" spans="1:34">
      <c r="B104" s="121">
        <f>+B5</f>
        <v>1994</v>
      </c>
      <c r="C104" s="121">
        <f>+C5</f>
        <v>1995</v>
      </c>
      <c r="D104" s="121">
        <f>+D5</f>
        <v>1996</v>
      </c>
      <c r="E104" s="121">
        <f t="shared" ref="E104:K104" si="104">+E5</f>
        <v>1997</v>
      </c>
      <c r="F104" s="121">
        <f t="shared" si="104"/>
        <v>1998</v>
      </c>
      <c r="G104" s="121">
        <f t="shared" si="104"/>
        <v>1999</v>
      </c>
      <c r="H104" s="121">
        <f t="shared" si="104"/>
        <v>2000</v>
      </c>
      <c r="I104" s="121">
        <f t="shared" si="104"/>
        <v>2001</v>
      </c>
      <c r="J104" s="121">
        <f t="shared" si="104"/>
        <v>2002</v>
      </c>
      <c r="K104" s="121">
        <f t="shared" si="104"/>
        <v>2003</v>
      </c>
      <c r="L104" s="48">
        <f t="shared" ref="L104:Q104" si="105">K104+1</f>
        <v>2004</v>
      </c>
      <c r="M104" s="48">
        <f t="shared" si="105"/>
        <v>2005</v>
      </c>
      <c r="N104" s="48">
        <f t="shared" si="105"/>
        <v>2006</v>
      </c>
      <c r="O104" s="48">
        <f t="shared" si="105"/>
        <v>2007</v>
      </c>
      <c r="P104" s="48">
        <f t="shared" si="105"/>
        <v>2008</v>
      </c>
      <c r="Q104" s="48">
        <f t="shared" si="105"/>
        <v>2009</v>
      </c>
      <c r="R104" s="48">
        <f t="shared" ref="R104:Y104" si="106">Q104+1</f>
        <v>2010</v>
      </c>
      <c r="S104" s="48">
        <f t="shared" si="106"/>
        <v>2011</v>
      </c>
      <c r="T104" s="48">
        <f t="shared" si="106"/>
        <v>2012</v>
      </c>
      <c r="U104" s="48">
        <f t="shared" si="106"/>
        <v>2013</v>
      </c>
      <c r="V104" s="48">
        <f t="shared" si="106"/>
        <v>2014</v>
      </c>
      <c r="W104" s="48">
        <f t="shared" si="106"/>
        <v>2015</v>
      </c>
      <c r="X104" s="48">
        <f t="shared" si="106"/>
        <v>2016</v>
      </c>
      <c r="Y104" s="48">
        <f t="shared" si="106"/>
        <v>2017</v>
      </c>
      <c r="Z104" s="256">
        <f>Y104+1</f>
        <v>2018</v>
      </c>
      <c r="AA104" s="256">
        <f>Z104+1</f>
        <v>2019</v>
      </c>
      <c r="AB104" s="256">
        <f>AA104+1</f>
        <v>2020</v>
      </c>
      <c r="AC104" s="256">
        <f>AB104+1</f>
        <v>2021</v>
      </c>
      <c r="AD104" s="256">
        <f>AC104+1</f>
        <v>2022</v>
      </c>
      <c r="AE104" s="756" t="str">
        <f>+AE5</f>
        <v>12-17A</v>
      </c>
      <c r="AF104" s="50"/>
      <c r="AG104" s="121" t="str">
        <f>+AG5</f>
        <v>'17-22E</v>
      </c>
      <c r="AH104" s="647"/>
    </row>
    <row r="105" spans="1:34">
      <c r="A105" s="4"/>
      <c r="B105" s="4"/>
      <c r="C105" s="4"/>
      <c r="D105" s="4"/>
      <c r="E105" s="1"/>
      <c r="F105" s="1"/>
      <c r="G105" s="1"/>
      <c r="H105" s="1"/>
      <c r="I105" s="1"/>
      <c r="J105" s="1"/>
      <c r="K105" s="1"/>
      <c r="V105" s="97"/>
      <c r="W105" s="97"/>
      <c r="X105" s="97"/>
      <c r="Y105" s="97"/>
      <c r="Z105" s="97"/>
      <c r="AA105" s="97"/>
      <c r="AB105" s="97"/>
      <c r="AC105" s="97"/>
      <c r="AD105" s="97"/>
      <c r="AE105" s="81"/>
      <c r="AF105" s="50"/>
      <c r="AG105" s="50"/>
      <c r="AH105" s="647"/>
    </row>
    <row r="106" spans="1:34">
      <c r="A106" s="1" t="s">
        <v>697</v>
      </c>
      <c r="B106" s="4"/>
      <c r="C106" s="4"/>
      <c r="D106" s="4"/>
      <c r="E106" s="1"/>
      <c r="F106" s="1"/>
      <c r="G106" s="1"/>
      <c r="H106" s="1"/>
      <c r="I106" s="1"/>
      <c r="J106" s="15">
        <f>SegqtrSales!AI240</f>
        <v>149.72200000000001</v>
      </c>
      <c r="K106" s="15">
        <f>SegqtrSales!AI247</f>
        <v>308.66299999999995</v>
      </c>
      <c r="L106" s="15">
        <f>SegqtrSales!AI254</f>
        <v>563.30949999999984</v>
      </c>
      <c r="M106" s="15">
        <f>SegqtrSales!AI261</f>
        <v>961.71690222000007</v>
      </c>
      <c r="N106" s="15">
        <f>SegqtrSales!AI268</f>
        <v>1299.4979999999998</v>
      </c>
      <c r="O106" s="15">
        <f>O110-O108</f>
        <v>1490.671</v>
      </c>
      <c r="P106" s="15">
        <f>SegqtrSales!AI282</f>
        <v>1408.261</v>
      </c>
      <c r="Q106" s="15">
        <f>SegqtrSales!$AI$289</f>
        <v>1187.6708333333333</v>
      </c>
      <c r="R106" s="15">
        <f>SegqtrSales!$AI$296</f>
        <v>1413.635</v>
      </c>
      <c r="S106" s="15">
        <f>SegqtrSales!$AI$303</f>
        <v>1845.827</v>
      </c>
      <c r="T106" s="15">
        <f>SegqtrSales!$AI$310</f>
        <v>2091.9497499999998</v>
      </c>
      <c r="U106" s="15">
        <f>SegqtrSales!$AI$317</f>
        <v>1877.8634499999998</v>
      </c>
      <c r="V106" s="15">
        <f>SegqtrSales!S324</f>
        <v>1706.5572999999999</v>
      </c>
      <c r="W106" s="15">
        <f>SegqtrSales!S331</f>
        <v>1635.8534509999999</v>
      </c>
      <c r="X106" s="15">
        <f>SegqtrSales!S338</f>
        <v>1591.451575</v>
      </c>
      <c r="Y106" s="15">
        <f>SegqtrSales!S345</f>
        <v>1754.3065255000001</v>
      </c>
      <c r="Z106" s="15">
        <f>SegqtrSales!S352</f>
        <v>1772.5187192435001</v>
      </c>
      <c r="AA106" s="15">
        <f>((Z106+((Z116+Z117)*(Z123*25%)))*(1+AA138))+(AA116*Z123*1.25)</f>
        <v>1765.7442117650182</v>
      </c>
      <c r="AB106" s="15">
        <f>((AA106+((AA116+AA117)*(AA123*25%)))*(1+AB138))+(AB116*AA123*1.25)</f>
        <v>1751.7761711181206</v>
      </c>
      <c r="AC106" s="15">
        <f>((AB106+((AB116+AB117)*(AB123*25%)))*(1+AC138))+(AC116*AB123*1.25)</f>
        <v>1737.3105701142072</v>
      </c>
      <c r="AD106" s="15">
        <f>((AC106+((AC116+AC117)*(AC123*25%)))*(1+AD138))+(AD116*AC123*1.25)</f>
        <v>1727.7172042935149</v>
      </c>
      <c r="AE106" s="81"/>
      <c r="AF106" s="50"/>
      <c r="AG106" s="50"/>
      <c r="AH106" s="647"/>
    </row>
    <row r="107" spans="1:34">
      <c r="A107" s="210" t="s">
        <v>77</v>
      </c>
      <c r="B107" s="4"/>
      <c r="C107" s="4"/>
      <c r="D107" s="4"/>
      <c r="E107" s="1"/>
      <c r="F107" s="1"/>
      <c r="G107" s="1"/>
      <c r="H107" s="1"/>
      <c r="I107" s="1"/>
      <c r="J107" s="278"/>
      <c r="K107" s="281">
        <f t="shared" ref="K107:V107" si="107">K106/J106-1</f>
        <v>1.0615741173641813</v>
      </c>
      <c r="L107" s="281">
        <f t="shared" si="107"/>
        <v>0.82499846110482933</v>
      </c>
      <c r="M107" s="281">
        <f t="shared" si="107"/>
        <v>0.7072619975697203</v>
      </c>
      <c r="N107" s="281">
        <f t="shared" si="107"/>
        <v>0.35122716154855493</v>
      </c>
      <c r="O107" s="281">
        <f t="shared" si="107"/>
        <v>0.14711296208228131</v>
      </c>
      <c r="P107" s="281">
        <f t="shared" si="107"/>
        <v>-5.5283828557743497E-2</v>
      </c>
      <c r="Q107" s="281">
        <f t="shared" si="107"/>
        <v>-0.15664011619058305</v>
      </c>
      <c r="R107" s="281">
        <f t="shared" si="107"/>
        <v>0.19025824355092769</v>
      </c>
      <c r="S107" s="281">
        <f t="shared" si="107"/>
        <v>0.30573097015849204</v>
      </c>
      <c r="T107" s="281">
        <f t="shared" si="107"/>
        <v>0.13334009633622212</v>
      </c>
      <c r="U107" s="281">
        <f t="shared" si="107"/>
        <v>-0.10233816562754439</v>
      </c>
      <c r="V107" s="575">
        <f t="shared" si="107"/>
        <v>-9.1223965192996248E-2</v>
      </c>
      <c r="W107" s="575">
        <f t="shared" ref="W107:AD107" si="108">W106/V106-1</f>
        <v>-4.1430691486304072E-2</v>
      </c>
      <c r="X107" s="575">
        <f t="shared" si="108"/>
        <v>-2.7142942402852088E-2</v>
      </c>
      <c r="Y107" s="575">
        <f>Y106/X106-1</f>
        <v>0.10233107501244576</v>
      </c>
      <c r="Z107" s="2183">
        <f t="shared" si="108"/>
        <v>1.0381420509343098E-2</v>
      </c>
      <c r="AA107" s="575">
        <f t="shared" si="108"/>
        <v>-3.8219666765342275E-3</v>
      </c>
      <c r="AB107" s="575">
        <f t="shared" si="108"/>
        <v>-7.910568560174025E-3</v>
      </c>
      <c r="AC107" s="575">
        <f t="shared" si="108"/>
        <v>-8.2576765470444569E-3</v>
      </c>
      <c r="AD107" s="575">
        <f t="shared" si="108"/>
        <v>-5.5219636521647297E-3</v>
      </c>
      <c r="AE107" s="81"/>
      <c r="AF107" s="50"/>
      <c r="AG107" s="50"/>
      <c r="AH107" s="647"/>
    </row>
    <row r="108" spans="1:34" ht="14.25">
      <c r="A108" s="13" t="s">
        <v>358</v>
      </c>
      <c r="B108" s="4"/>
      <c r="C108" s="4"/>
      <c r="D108" s="4"/>
      <c r="E108" s="1"/>
      <c r="F108" s="1"/>
      <c r="G108" s="1"/>
      <c r="H108" s="1"/>
      <c r="I108" s="1"/>
      <c r="J108" s="278">
        <v>0</v>
      </c>
      <c r="K108" s="278">
        <f>SegqtrSales!AS247</f>
        <v>6.2249999999999996</v>
      </c>
      <c r="L108" s="278">
        <f>SegqtrSales!AS254</f>
        <v>16.377500000000136</v>
      </c>
      <c r="M108" s="278">
        <f>SegqtrSales!AS261</f>
        <v>37.495097779999981</v>
      </c>
      <c r="N108" s="278">
        <f>SegqtrSales!AS268</f>
        <v>63.734999999999985</v>
      </c>
      <c r="O108" s="278">
        <f>SegqtrSales!AS275</f>
        <v>98.781000000000006</v>
      </c>
      <c r="P108" s="278">
        <f>SegqtrSales!AS282</f>
        <v>105.91</v>
      </c>
      <c r="Q108" s="278">
        <f>SegqtrSales!$AS$289</f>
        <v>99.529166666666669</v>
      </c>
      <c r="R108" s="278">
        <f>SegqtrSales!$AS$296</f>
        <v>139.16499999999999</v>
      </c>
      <c r="S108" s="278">
        <f>SegqtrSales!$AS$303</f>
        <v>176.17500000000001</v>
      </c>
      <c r="T108" s="278">
        <f>SegqtrSales!$AS$310</f>
        <v>222.48224999999999</v>
      </c>
      <c r="U108" s="278">
        <f>SegqtrSales!$AS$317</f>
        <v>249.93655000000001</v>
      </c>
      <c r="V108" s="590">
        <f>SegqtrSales!AS324</f>
        <v>241.24270000000001</v>
      </c>
      <c r="W108" s="590">
        <f>SegqtrSales!AS331</f>
        <v>241.14654899999999</v>
      </c>
      <c r="X108" s="590">
        <f>SegqtrSales!AS338</f>
        <v>248.248425</v>
      </c>
      <c r="Y108" s="590">
        <f>SegqtrSales!AS345</f>
        <v>284.2934745</v>
      </c>
      <c r="Z108" s="590">
        <f>SegqtrSales!AS352</f>
        <v>286.93155421500001</v>
      </c>
      <c r="AA108" s="590">
        <f>Z108*(1+AA109)</f>
        <v>295.53950084145004</v>
      </c>
      <c r="AB108" s="590">
        <f>AA108*(1+AB109)</f>
        <v>304.40568586669355</v>
      </c>
      <c r="AC108" s="590">
        <f>AB108*(1+AC109)</f>
        <v>313.53785644269436</v>
      </c>
      <c r="AD108" s="590">
        <f>AC108*(1+AD109)</f>
        <v>322.94399213597518</v>
      </c>
      <c r="AE108" s="81"/>
      <c r="AF108" s="50"/>
      <c r="AG108" s="50"/>
      <c r="AH108" s="647"/>
    </row>
    <row r="109" spans="1:34">
      <c r="A109" s="210" t="s">
        <v>77</v>
      </c>
      <c r="B109" s="4"/>
      <c r="C109" s="4"/>
      <c r="D109" s="4"/>
      <c r="E109" s="1"/>
      <c r="F109" s="1"/>
      <c r="G109" s="285"/>
      <c r="H109" s="285"/>
      <c r="I109" s="285"/>
      <c r="J109" s="285"/>
      <c r="K109" s="289" t="s">
        <v>444</v>
      </c>
      <c r="L109" s="286">
        <f t="shared" ref="L109:U109" si="109">L108/K108-1</f>
        <v>1.6309236947791383</v>
      </c>
      <c r="M109" s="286">
        <f t="shared" si="109"/>
        <v>1.289427432758337</v>
      </c>
      <c r="N109" s="286">
        <f t="shared" si="109"/>
        <v>0.69982221073167761</v>
      </c>
      <c r="O109" s="286">
        <f t="shared" si="109"/>
        <v>0.54987055777830118</v>
      </c>
      <c r="P109" s="286">
        <f t="shared" si="109"/>
        <v>7.216974924327535E-2</v>
      </c>
      <c r="Q109" s="286">
        <f t="shared" si="109"/>
        <v>-6.0247694583451361E-2</v>
      </c>
      <c r="R109" s="286">
        <f t="shared" si="109"/>
        <v>0.39823334868338423</v>
      </c>
      <c r="S109" s="286">
        <f t="shared" si="109"/>
        <v>0.26594330471023619</v>
      </c>
      <c r="T109" s="286">
        <f t="shared" si="109"/>
        <v>0.26284802043422717</v>
      </c>
      <c r="U109" s="286">
        <f t="shared" si="109"/>
        <v>0.12339995662575332</v>
      </c>
      <c r="V109" s="286">
        <f t="shared" ref="V109:AA109" si="110">V205</f>
        <v>7.1598473966297371E-2</v>
      </c>
      <c r="W109" s="286">
        <f t="shared" si="110"/>
        <v>-1.8325321725507493E-3</v>
      </c>
      <c r="X109" s="286">
        <f t="shared" si="110"/>
        <v>2.8757232378848085E-2</v>
      </c>
      <c r="Y109" s="286">
        <f t="shared" si="110"/>
        <v>0.14326621153866359</v>
      </c>
      <c r="Z109" s="286">
        <f t="shared" si="110"/>
        <v>9.9101069100695494E-3</v>
      </c>
      <c r="AA109" s="286">
        <f t="shared" si="110"/>
        <v>3.0000000000000027E-2</v>
      </c>
      <c r="AB109" s="286">
        <f>AB205</f>
        <v>3.0000000000000027E-2</v>
      </c>
      <c r="AC109" s="286">
        <f>AC205</f>
        <v>3.0000000000000027E-2</v>
      </c>
      <c r="AD109" s="286">
        <f>AD205</f>
        <v>3.0000000000000027E-2</v>
      </c>
      <c r="AE109" s="81"/>
      <c r="AF109" s="50"/>
      <c r="AG109" s="50"/>
      <c r="AH109" s="647"/>
    </row>
    <row r="110" spans="1:34">
      <c r="A110" s="210" t="str">
        <f>+A11</f>
        <v xml:space="preserve">Total Division Sales ($MM) </v>
      </c>
      <c r="B110" s="5"/>
      <c r="C110" s="45"/>
      <c r="D110" s="5"/>
      <c r="E110" s="5"/>
      <c r="F110" s="5"/>
      <c r="G110" s="287">
        <v>0</v>
      </c>
      <c r="H110" s="287">
        <f>0.65*500*H126</f>
        <v>5.28125</v>
      </c>
      <c r="I110" s="287">
        <f>0.75*450*I126</f>
        <v>40.331249999999997</v>
      </c>
      <c r="J110" s="288">
        <f t="shared" ref="J110:U110" si="111">J106+J108</f>
        <v>149.72200000000001</v>
      </c>
      <c r="K110" s="288">
        <f t="shared" si="111"/>
        <v>314.88799999999998</v>
      </c>
      <c r="L110" s="288">
        <f t="shared" si="111"/>
        <v>579.68700000000001</v>
      </c>
      <c r="M110" s="288">
        <f t="shared" si="111"/>
        <v>999.21199999999999</v>
      </c>
      <c r="N110" s="288">
        <f t="shared" si="111"/>
        <v>1363.2329999999997</v>
      </c>
      <c r="O110" s="288">
        <f>SegqtrSales!AY275</f>
        <v>1589.452</v>
      </c>
      <c r="P110" s="288">
        <f t="shared" si="111"/>
        <v>1514.171</v>
      </c>
      <c r="Q110" s="288">
        <f t="shared" si="111"/>
        <v>1287.2</v>
      </c>
      <c r="R110" s="290">
        <f t="shared" si="111"/>
        <v>1552.8</v>
      </c>
      <c r="S110" s="290">
        <f t="shared" si="111"/>
        <v>2022.002</v>
      </c>
      <c r="T110" s="290">
        <f t="shared" si="111"/>
        <v>2314.4319999999998</v>
      </c>
      <c r="U110" s="290">
        <f t="shared" si="111"/>
        <v>2127.7999999999997</v>
      </c>
      <c r="V110" s="578">
        <f t="shared" ref="V110:AA110" si="112">V106+V108</f>
        <v>1947.8</v>
      </c>
      <c r="W110" s="578">
        <f t="shared" si="112"/>
        <v>1877</v>
      </c>
      <c r="X110" s="578">
        <f t="shared" si="112"/>
        <v>1839.7</v>
      </c>
      <c r="Y110" s="578">
        <f t="shared" si="112"/>
        <v>2038.6000000000001</v>
      </c>
      <c r="Z110" s="591">
        <f t="shared" si="112"/>
        <v>2059.4502734585003</v>
      </c>
      <c r="AA110" s="591">
        <f t="shared" si="112"/>
        <v>2061.2837126064683</v>
      </c>
      <c r="AB110" s="591">
        <f>AB106+AB108</f>
        <v>2056.1818569848142</v>
      </c>
      <c r="AC110" s="591">
        <f>AC106+AC108</f>
        <v>2050.8484265569014</v>
      </c>
      <c r="AD110" s="591">
        <f>AD106+AD108</f>
        <v>2050.6611964294902</v>
      </c>
      <c r="AE110" s="750">
        <f>((Y110/T110)^(1/5)-1)*100</f>
        <v>-2.5060830962992164</v>
      </c>
      <c r="AF110" s="79" t="s">
        <v>76</v>
      </c>
      <c r="AG110" s="49">
        <f>((AD110/Y110)^(1/5)-1)*100</f>
        <v>0.11804918803852704</v>
      </c>
      <c r="AH110" s="751" t="s">
        <v>76</v>
      </c>
    </row>
    <row r="111" spans="1:34">
      <c r="A111" s="210" t="s">
        <v>77</v>
      </c>
      <c r="B111" s="7"/>
      <c r="C111" s="122"/>
      <c r="D111" s="123"/>
      <c r="E111" s="7"/>
      <c r="F111" s="7"/>
      <c r="G111" s="124" t="s">
        <v>444</v>
      </c>
      <c r="H111" s="124" t="s">
        <v>444</v>
      </c>
      <c r="I111" s="7">
        <f t="shared" ref="I111:W111" si="113">I110/H110-1</f>
        <v>6.6366863905325442</v>
      </c>
      <c r="J111" s="7">
        <f t="shared" si="113"/>
        <v>2.7123074538974126</v>
      </c>
      <c r="K111" s="7">
        <f t="shared" si="113"/>
        <v>1.1031511735082349</v>
      </c>
      <c r="L111" s="7">
        <f t="shared" si="113"/>
        <v>0.84093074362948106</v>
      </c>
      <c r="M111" s="7">
        <f t="shared" si="113"/>
        <v>0.72370951910255021</v>
      </c>
      <c r="N111" s="7">
        <f t="shared" si="113"/>
        <v>0.36430807476291283</v>
      </c>
      <c r="O111" s="7">
        <f t="shared" si="113"/>
        <v>0.16594301927843613</v>
      </c>
      <c r="P111" s="7">
        <f t="shared" si="113"/>
        <v>-4.736286468543871E-2</v>
      </c>
      <c r="Q111" s="7">
        <f t="shared" si="113"/>
        <v>-0.14989786490429413</v>
      </c>
      <c r="R111" s="7">
        <f t="shared" si="113"/>
        <v>0.20633934120571773</v>
      </c>
      <c r="S111" s="7">
        <f t="shared" si="113"/>
        <v>0.30216512107161253</v>
      </c>
      <c r="T111" s="7">
        <f t="shared" si="113"/>
        <v>0.14462399146984017</v>
      </c>
      <c r="U111" s="7">
        <f t="shared" si="113"/>
        <v>-8.0638359649365388E-2</v>
      </c>
      <c r="V111" s="118">
        <f t="shared" si="113"/>
        <v>-8.4594416768493219E-2</v>
      </c>
      <c r="W111" s="118">
        <f t="shared" si="113"/>
        <v>-3.6348701098675384E-2</v>
      </c>
      <c r="X111" s="118">
        <f t="shared" ref="X111:AD111" si="114">X110/W110-1</f>
        <v>-1.9872136387852901E-2</v>
      </c>
      <c r="Y111" s="118">
        <f t="shared" si="114"/>
        <v>0.10811545360656627</v>
      </c>
      <c r="Z111" s="118">
        <f t="shared" si="114"/>
        <v>1.0227741321740424E-2</v>
      </c>
      <c r="AA111" s="118">
        <f t="shared" si="114"/>
        <v>8.9025657555152904E-4</v>
      </c>
      <c r="AB111" s="118">
        <f t="shared" si="114"/>
        <v>-2.4750865639949771E-3</v>
      </c>
      <c r="AC111" s="118">
        <f t="shared" si="114"/>
        <v>-2.5938515164868337E-3</v>
      </c>
      <c r="AD111" s="118">
        <f t="shared" si="114"/>
        <v>-9.1293985936102828E-5</v>
      </c>
      <c r="AE111" s="750"/>
      <c r="AF111" s="50"/>
      <c r="AG111" s="49"/>
      <c r="AH111" s="647"/>
    </row>
    <row r="112" spans="1:34">
      <c r="A112" s="210" t="s">
        <v>723</v>
      </c>
      <c r="B112" s="7"/>
      <c r="C112" s="122"/>
      <c r="D112" s="123"/>
      <c r="E112" s="7"/>
      <c r="F112" s="7"/>
      <c r="G112" s="124"/>
      <c r="H112" s="124"/>
      <c r="I112" s="7"/>
      <c r="J112" s="7">
        <f t="shared" ref="J112:V112" si="115">+J110/J$206</f>
        <v>9.3825062337185433E-2</v>
      </c>
      <c r="K112" s="7">
        <f t="shared" si="115"/>
        <v>0.1843812744867839</v>
      </c>
      <c r="L112" s="7">
        <f t="shared" si="115"/>
        <v>0.28679572186375391</v>
      </c>
      <c r="M112" s="7">
        <f t="shared" si="115"/>
        <v>0.35882071784109731</v>
      </c>
      <c r="N112" s="7">
        <f t="shared" si="115"/>
        <v>0.41084029151113349</v>
      </c>
      <c r="O112" s="7">
        <f t="shared" si="115"/>
        <v>0.42387116061001956</v>
      </c>
      <c r="P112" s="7">
        <f t="shared" si="115"/>
        <v>0.42987095391332858</v>
      </c>
      <c r="Q112" s="7">
        <f t="shared" si="115"/>
        <v>0.43670468442529847</v>
      </c>
      <c r="R112" s="7">
        <f t="shared" si="115"/>
        <v>0.4528962258647844</v>
      </c>
      <c r="S112" s="7">
        <f t="shared" si="115"/>
        <v>0.49497716179592816</v>
      </c>
      <c r="T112" s="7">
        <f t="shared" si="115"/>
        <v>0.51308624513806289</v>
      </c>
      <c r="U112" s="7">
        <f t="shared" si="115"/>
        <v>0.51684557568479361</v>
      </c>
      <c r="V112" s="118">
        <f t="shared" si="115"/>
        <v>0.5202415578934998</v>
      </c>
      <c r="W112" s="118">
        <f>+W110/W$206</f>
        <v>0.53343867586708649</v>
      </c>
      <c r="X112" s="118">
        <f>+X110/X$202</f>
        <v>0.74426761920083917</v>
      </c>
      <c r="Y112" s="118">
        <f t="shared" ref="Y112:AD112" si="116">+Y110/Y$206</f>
        <v>0.58367619227586764</v>
      </c>
      <c r="Z112" s="118">
        <f t="shared" si="116"/>
        <v>0.58709585387608609</v>
      </c>
      <c r="AA112" s="118">
        <f t="shared" si="116"/>
        <v>0.58876093862736723</v>
      </c>
      <c r="AB112" s="118">
        <f t="shared" si="116"/>
        <v>0.59045788313101388</v>
      </c>
      <c r="AC112" s="118">
        <f t="shared" si="116"/>
        <v>0.59320661465750946</v>
      </c>
      <c r="AD112" s="118">
        <f t="shared" si="116"/>
        <v>0.59481135684918018</v>
      </c>
      <c r="AE112" s="750"/>
      <c r="AF112" s="50"/>
      <c r="AG112" s="49"/>
      <c r="AH112" s="647"/>
    </row>
    <row r="113" spans="1:34">
      <c r="A113" s="210"/>
      <c r="B113" s="7"/>
      <c r="C113" s="122"/>
      <c r="D113" s="123"/>
      <c r="E113" s="7"/>
      <c r="F113" s="7"/>
      <c r="G113" s="124"/>
      <c r="H113" s="124"/>
      <c r="I113" s="7"/>
      <c r="J113" s="7"/>
      <c r="K113" s="7"/>
      <c r="L113" s="7"/>
      <c r="M113" s="7"/>
      <c r="N113" s="7"/>
      <c r="O113" s="7"/>
      <c r="P113" s="7"/>
      <c r="Q113" s="356"/>
      <c r="R113" s="356"/>
      <c r="S113" s="7"/>
      <c r="T113" s="7"/>
      <c r="U113" s="7"/>
      <c r="V113" s="118"/>
      <c r="W113" s="118"/>
      <c r="X113" s="118"/>
      <c r="Y113" s="118"/>
      <c r="Z113" s="118"/>
      <c r="AA113" s="118"/>
      <c r="AB113" s="118"/>
      <c r="AC113" s="118"/>
      <c r="AD113" s="118"/>
      <c r="AE113" s="750"/>
      <c r="AF113" s="50"/>
      <c r="AG113" s="49"/>
      <c r="AH113" s="647"/>
    </row>
    <row r="114" spans="1:34">
      <c r="A114" s="338"/>
      <c r="B114" s="1"/>
      <c r="C114" s="1"/>
      <c r="D114" s="1"/>
      <c r="E114" s="1"/>
      <c r="F114" s="1"/>
      <c r="G114" s="1"/>
      <c r="H114" s="1"/>
      <c r="I114" s="1"/>
      <c r="J114" s="1"/>
      <c r="K114" s="1"/>
      <c r="L114" s="1"/>
      <c r="M114" s="1"/>
      <c r="N114" s="1"/>
      <c r="O114" s="1"/>
      <c r="P114" s="1"/>
      <c r="Q114" s="1"/>
      <c r="R114" s="1"/>
      <c r="S114" s="364"/>
      <c r="T114" s="1"/>
      <c r="U114" s="1"/>
      <c r="V114" s="50"/>
      <c r="W114" s="50"/>
      <c r="X114" s="50"/>
      <c r="Y114" s="50"/>
      <c r="Z114" s="50"/>
      <c r="AA114" s="50"/>
      <c r="AB114" s="50"/>
      <c r="AC114" s="50"/>
      <c r="AD114" s="50"/>
      <c r="AE114" s="750"/>
      <c r="AF114" s="50"/>
      <c r="AG114" s="49"/>
      <c r="AH114" s="647"/>
    </row>
    <row r="115" spans="1:34">
      <c r="A115" s="210" t="s">
        <v>78</v>
      </c>
      <c r="B115" s="4"/>
      <c r="C115" s="4"/>
      <c r="D115" s="125"/>
      <c r="E115" s="4"/>
      <c r="F115" s="4"/>
      <c r="G115" s="4"/>
      <c r="H115" s="4">
        <f t="shared" ref="H115:W115" si="117">G119</f>
        <v>0</v>
      </c>
      <c r="I115" s="4">
        <f t="shared" si="117"/>
        <v>5</v>
      </c>
      <c r="J115" s="4">
        <f t="shared" si="117"/>
        <v>34</v>
      </c>
      <c r="K115" s="4">
        <f t="shared" si="117"/>
        <v>93</v>
      </c>
      <c r="L115" s="4">
        <f t="shared" si="117"/>
        <v>172</v>
      </c>
      <c r="M115" s="4">
        <f t="shared" si="117"/>
        <v>256</v>
      </c>
      <c r="N115" s="4">
        <f t="shared" si="117"/>
        <v>318</v>
      </c>
      <c r="O115" s="4">
        <f t="shared" si="117"/>
        <v>393</v>
      </c>
      <c r="P115" s="4">
        <f t="shared" si="117"/>
        <v>450</v>
      </c>
      <c r="Q115" s="4">
        <f t="shared" si="117"/>
        <v>515</v>
      </c>
      <c r="R115" s="4">
        <f t="shared" si="117"/>
        <v>525</v>
      </c>
      <c r="S115" s="4">
        <f t="shared" si="117"/>
        <v>540</v>
      </c>
      <c r="T115" s="4">
        <f t="shared" si="117"/>
        <v>570</v>
      </c>
      <c r="U115" s="4">
        <f t="shared" si="117"/>
        <v>585</v>
      </c>
      <c r="V115" s="293">
        <f t="shared" si="117"/>
        <v>587</v>
      </c>
      <c r="W115" s="293">
        <f t="shared" si="117"/>
        <v>568</v>
      </c>
      <c r="X115" s="293">
        <f t="shared" ref="X115:AD115" si="118">W119</f>
        <v>553</v>
      </c>
      <c r="Y115" s="293">
        <f t="shared" si="118"/>
        <v>543</v>
      </c>
      <c r="Z115" s="293">
        <f t="shared" si="118"/>
        <v>538</v>
      </c>
      <c r="AA115" s="293">
        <f t="shared" si="118"/>
        <v>526</v>
      </c>
      <c r="AB115" s="293">
        <f t="shared" si="118"/>
        <v>507</v>
      </c>
      <c r="AC115" s="293">
        <f t="shared" si="118"/>
        <v>488</v>
      </c>
      <c r="AD115" s="293">
        <f t="shared" si="118"/>
        <v>474</v>
      </c>
      <c r="AE115" s="750"/>
      <c r="AF115" s="50"/>
      <c r="AG115" s="49"/>
      <c r="AH115" s="647"/>
    </row>
    <row r="116" spans="1:34">
      <c r="A116" s="210" t="s">
        <v>353</v>
      </c>
      <c r="B116" s="4"/>
      <c r="C116" s="4"/>
      <c r="D116" s="126"/>
      <c r="E116" s="42"/>
      <c r="F116" s="42"/>
      <c r="G116" s="42">
        <v>0</v>
      </c>
      <c r="H116" s="4">
        <f>squft!$AQ$29</f>
        <v>5</v>
      </c>
      <c r="I116" s="4">
        <f>squft!$AU$29</f>
        <v>29</v>
      </c>
      <c r="J116" s="4">
        <f>squft!$AY$29</f>
        <v>60</v>
      </c>
      <c r="K116" s="4">
        <f>squft!$BC$29</f>
        <v>79</v>
      </c>
      <c r="L116" s="4">
        <f>squft!$BG$29</f>
        <v>84</v>
      </c>
      <c r="M116" s="4">
        <f>squft!$BK$29</f>
        <v>57</v>
      </c>
      <c r="N116" s="4">
        <f>squft!$BO$29</f>
        <v>70</v>
      </c>
      <c r="O116" s="4">
        <f>58</f>
        <v>58</v>
      </c>
      <c r="P116" s="4">
        <f>squft!$BW$29</f>
        <v>66</v>
      </c>
      <c r="Q116" s="4">
        <f>squft!$CA$29+squft!$CA$30</f>
        <v>14</v>
      </c>
      <c r="R116" s="4">
        <f>squft!$CE$29+squft!$CE$30</f>
        <v>25</v>
      </c>
      <c r="S116" s="4">
        <f>squft!$CI$29+squft!$CI$30</f>
        <v>38</v>
      </c>
      <c r="T116" s="4">
        <f>squft!$CM$29+squft!$CM$30</f>
        <v>30</v>
      </c>
      <c r="U116" s="4">
        <f>squft!$CQ$29+squft!$CQ$30</f>
        <v>23</v>
      </c>
      <c r="V116" s="293">
        <f>squft!$CU$29+squft!$CU$30</f>
        <v>9</v>
      </c>
      <c r="W116" s="293">
        <f>squft!$CY$29+squft!$CY$30</f>
        <v>10</v>
      </c>
      <c r="X116" s="293">
        <f>squft!$DC$29+squft!$DC$30</f>
        <v>9</v>
      </c>
      <c r="Y116" s="293">
        <f>squft!$DG$29+squft!$DG$30</f>
        <v>6</v>
      </c>
      <c r="Z116" s="293">
        <f>squft!$DK$29+squft!$DK$30</f>
        <v>13</v>
      </c>
      <c r="AA116" s="293">
        <f>squft!$DO$29+squft!$DO$30</f>
        <v>1</v>
      </c>
      <c r="AB116" s="293">
        <f>squft!$DS$29+squft!$DS$30</f>
        <v>1</v>
      </c>
      <c r="AC116" s="293">
        <f>squft!$DW$29+squft!$DW$30</f>
        <v>1</v>
      </c>
      <c r="AD116" s="293">
        <f>squft!$DW$29+squft!$DW$30</f>
        <v>1</v>
      </c>
      <c r="AE116" s="750"/>
      <c r="AF116" s="50"/>
      <c r="AG116" s="49"/>
      <c r="AH116" s="647"/>
    </row>
    <row r="117" spans="1:34">
      <c r="A117" s="211" t="s">
        <v>79</v>
      </c>
      <c r="B117" s="4"/>
      <c r="C117" s="4"/>
      <c r="D117" s="127"/>
      <c r="E117" s="42"/>
      <c r="F117" s="42"/>
      <c r="G117" s="42">
        <v>0</v>
      </c>
      <c r="H117" s="134">
        <f>squft!$AQ$32</f>
        <v>0</v>
      </c>
      <c r="I117" s="134">
        <f>squft!$AU$32</f>
        <v>0</v>
      </c>
      <c r="J117" s="214">
        <f>squft!$AY$32</f>
        <v>-1</v>
      </c>
      <c r="K117" s="134">
        <f>squft!$BC$32</f>
        <v>0</v>
      </c>
      <c r="L117" s="134">
        <f>squft!$BG$32</f>
        <v>0</v>
      </c>
      <c r="M117" s="134">
        <f>squft!$BK$32</f>
        <v>-1</v>
      </c>
      <c r="N117" s="134">
        <f>squft!$BO$32</f>
        <v>0</v>
      </c>
      <c r="O117" s="4">
        <f>squft!$BS$32</f>
        <v>-1</v>
      </c>
      <c r="P117" s="4">
        <f>squft!$BW$32</f>
        <v>-1</v>
      </c>
      <c r="Q117" s="4">
        <f>squft!$CA$32</f>
        <v>-4</v>
      </c>
      <c r="R117" s="4">
        <f>squft!$CE$32</f>
        <v>-10</v>
      </c>
      <c r="S117" s="215">
        <f>squft!$CI$32</f>
        <v>-8</v>
      </c>
      <c r="T117" s="215">
        <f>squft!$CM$32</f>
        <v>-15</v>
      </c>
      <c r="U117" s="215">
        <f>squft!$CQ32</f>
        <v>-21</v>
      </c>
      <c r="V117" s="580">
        <f>squft!$CU32</f>
        <v>-28</v>
      </c>
      <c r="W117" s="580">
        <f>squft!$CY32</f>
        <v>-25</v>
      </c>
      <c r="X117" s="580">
        <f>squft!$DC32</f>
        <v>-19</v>
      </c>
      <c r="Y117" s="580">
        <f>squft!DG32</f>
        <v>-11</v>
      </c>
      <c r="Z117" s="580">
        <f>squft!$DK32</f>
        <v>-25</v>
      </c>
      <c r="AA117" s="580">
        <f>squft!$DO32</f>
        <v>-20</v>
      </c>
      <c r="AB117" s="580">
        <f>squft!$DS32</f>
        <v>-20</v>
      </c>
      <c r="AC117" s="580">
        <f>squft!$DW32</f>
        <v>-15</v>
      </c>
      <c r="AD117" s="580">
        <f>squft!$DW32</f>
        <v>-15</v>
      </c>
      <c r="AE117" s="750"/>
      <c r="AF117" s="50"/>
      <c r="AG117" s="49"/>
      <c r="AH117" s="647"/>
    </row>
    <row r="118" spans="1:34">
      <c r="A118" s="211" t="s">
        <v>57</v>
      </c>
      <c r="B118" s="4"/>
      <c r="C118" s="4"/>
      <c r="D118" s="127"/>
      <c r="E118" s="42"/>
      <c r="F118" s="42"/>
      <c r="G118" s="42"/>
      <c r="H118" s="134"/>
      <c r="I118" s="134"/>
      <c r="J118" s="214"/>
      <c r="K118" s="134"/>
      <c r="L118" s="134"/>
      <c r="M118" s="134">
        <f>squft!$BK$31</f>
        <v>6</v>
      </c>
      <c r="N118" s="134">
        <f>squft!$BO$31</f>
        <v>5</v>
      </c>
      <c r="O118" s="4"/>
      <c r="P118" s="4"/>
      <c r="Q118" s="4"/>
      <c r="R118" s="4"/>
      <c r="S118" s="4"/>
      <c r="T118" s="4"/>
      <c r="U118" s="4"/>
      <c r="V118" s="293"/>
      <c r="W118" s="293"/>
      <c r="X118" s="293"/>
      <c r="Y118" s="293"/>
      <c r="Z118" s="293"/>
      <c r="AA118" s="293"/>
      <c r="AB118" s="293"/>
      <c r="AC118" s="293"/>
      <c r="AD118" s="293"/>
      <c r="AE118" s="750"/>
      <c r="AF118" s="50"/>
      <c r="AG118" s="49"/>
      <c r="AH118" s="647"/>
    </row>
    <row r="119" spans="1:34">
      <c r="A119" s="210" t="s">
        <v>80</v>
      </c>
      <c r="B119" s="4"/>
      <c r="C119" s="4"/>
      <c r="D119" s="125"/>
      <c r="E119" s="4"/>
      <c r="F119" s="4"/>
      <c r="G119" s="4"/>
      <c r="H119" s="4">
        <f>+H115+H116+H117</f>
        <v>5</v>
      </c>
      <c r="I119" s="4">
        <f>+I115+I116+I117</f>
        <v>34</v>
      </c>
      <c r="J119" s="215">
        <f>+J115+J116+J117</f>
        <v>93</v>
      </c>
      <c r="K119" s="4">
        <f>+K115+K116+K117</f>
        <v>172</v>
      </c>
      <c r="L119" s="4">
        <f>+L115+L116+L117</f>
        <v>256</v>
      </c>
      <c r="M119" s="4">
        <f t="shared" ref="M119:W119" si="119">+M115+M116+M117+M118</f>
        <v>318</v>
      </c>
      <c r="N119" s="4">
        <f t="shared" si="119"/>
        <v>393</v>
      </c>
      <c r="O119" s="4">
        <f t="shared" si="119"/>
        <v>450</v>
      </c>
      <c r="P119" s="4">
        <f t="shared" si="119"/>
        <v>515</v>
      </c>
      <c r="Q119" s="4">
        <f t="shared" si="119"/>
        <v>525</v>
      </c>
      <c r="R119" s="4">
        <f t="shared" si="119"/>
        <v>540</v>
      </c>
      <c r="S119" s="4">
        <f t="shared" si="119"/>
        <v>570</v>
      </c>
      <c r="T119" s="4">
        <f t="shared" si="119"/>
        <v>585</v>
      </c>
      <c r="U119" s="4">
        <f t="shared" si="119"/>
        <v>587</v>
      </c>
      <c r="V119" s="293">
        <f t="shared" si="119"/>
        <v>568</v>
      </c>
      <c r="W119" s="293">
        <f t="shared" si="119"/>
        <v>553</v>
      </c>
      <c r="X119" s="293">
        <f t="shared" ref="X119:AC119" si="120">+X115+X116+X117+X118</f>
        <v>543</v>
      </c>
      <c r="Y119" s="293">
        <f t="shared" si="120"/>
        <v>538</v>
      </c>
      <c r="Z119" s="293">
        <f t="shared" si="120"/>
        <v>526</v>
      </c>
      <c r="AA119" s="293">
        <f t="shared" si="120"/>
        <v>507</v>
      </c>
      <c r="AB119" s="293">
        <f t="shared" si="120"/>
        <v>488</v>
      </c>
      <c r="AC119" s="293">
        <f t="shared" si="120"/>
        <v>474</v>
      </c>
      <c r="AD119" s="293">
        <f t="shared" ref="AD119" si="121">+AD115+AD116+AD117+AD118</f>
        <v>460</v>
      </c>
      <c r="AE119" s="750">
        <f>((Y119/T119)^(1/5)-1)*100</f>
        <v>-1.6611145211958389</v>
      </c>
      <c r="AF119" s="79" t="s">
        <v>76</v>
      </c>
      <c r="AG119" s="49">
        <f>((AD119/Y119)^(1/5)-1)*100</f>
        <v>-3.0840825813925443</v>
      </c>
      <c r="AH119" s="751" t="s">
        <v>76</v>
      </c>
    </row>
    <row r="120" spans="1:34">
      <c r="A120" s="210" t="s">
        <v>81</v>
      </c>
      <c r="B120" s="8"/>
      <c r="C120" s="8"/>
      <c r="D120" s="8"/>
      <c r="E120" s="8"/>
      <c r="F120" s="8"/>
      <c r="G120" s="8"/>
      <c r="H120" s="8">
        <f>(+H119+H115)/2</f>
        <v>2.5</v>
      </c>
      <c r="I120" s="8">
        <f>(+I119+I115)/2</f>
        <v>19.5</v>
      </c>
      <c r="J120" s="8">
        <f t="shared" ref="J120:W120" si="122">(+J119+J115)/2</f>
        <v>63.5</v>
      </c>
      <c r="K120" s="8">
        <f t="shared" si="122"/>
        <v>132.5</v>
      </c>
      <c r="L120" s="8">
        <f t="shared" si="122"/>
        <v>214</v>
      </c>
      <c r="M120" s="8">
        <f t="shared" si="122"/>
        <v>287</v>
      </c>
      <c r="N120" s="8">
        <f t="shared" si="122"/>
        <v>355.5</v>
      </c>
      <c r="O120" s="8">
        <f t="shared" si="122"/>
        <v>421.5</v>
      </c>
      <c r="P120" s="8">
        <f t="shared" si="122"/>
        <v>482.5</v>
      </c>
      <c r="Q120" s="8">
        <f t="shared" si="122"/>
        <v>520</v>
      </c>
      <c r="R120" s="8">
        <f t="shared" si="122"/>
        <v>532.5</v>
      </c>
      <c r="S120" s="8">
        <f t="shared" si="122"/>
        <v>555</v>
      </c>
      <c r="T120" s="8">
        <f t="shared" si="122"/>
        <v>577.5</v>
      </c>
      <c r="U120" s="8">
        <f t="shared" si="122"/>
        <v>586</v>
      </c>
      <c r="V120" s="80">
        <f t="shared" si="122"/>
        <v>577.5</v>
      </c>
      <c r="W120" s="80">
        <f t="shared" si="122"/>
        <v>560.5</v>
      </c>
      <c r="X120" s="80">
        <f t="shared" ref="X120:AC120" si="123">(+X119+X115)/2</f>
        <v>548</v>
      </c>
      <c r="Y120" s="80">
        <f t="shared" si="123"/>
        <v>540.5</v>
      </c>
      <c r="Z120" s="80">
        <f t="shared" si="123"/>
        <v>532</v>
      </c>
      <c r="AA120" s="80">
        <f t="shared" si="123"/>
        <v>516.5</v>
      </c>
      <c r="AB120" s="80">
        <f t="shared" si="123"/>
        <v>497.5</v>
      </c>
      <c r="AC120" s="80">
        <f t="shared" si="123"/>
        <v>481</v>
      </c>
      <c r="AD120" s="80">
        <f t="shared" ref="AD120" si="124">(+AD119+AD115)/2</f>
        <v>467</v>
      </c>
      <c r="AE120" s="750"/>
      <c r="AF120" s="80"/>
      <c r="AG120" s="49"/>
      <c r="AH120" s="745"/>
    </row>
    <row r="121" spans="1:34">
      <c r="A121" s="210" t="s">
        <v>82</v>
      </c>
      <c r="B121" s="7"/>
      <c r="C121" s="7"/>
      <c r="D121" s="7"/>
      <c r="E121" s="7"/>
      <c r="F121" s="7"/>
      <c r="G121" s="7"/>
      <c r="H121" s="128" t="s">
        <v>251</v>
      </c>
      <c r="I121" s="7">
        <f t="shared" ref="I121:W121" si="125">(I120/H120-1)</f>
        <v>6.8</v>
      </c>
      <c r="J121" s="7">
        <f t="shared" si="125"/>
        <v>2.2564102564102564</v>
      </c>
      <c r="K121" s="7">
        <f t="shared" si="125"/>
        <v>1.0866141732283463</v>
      </c>
      <c r="L121" s="7">
        <f t="shared" si="125"/>
        <v>0.61509433962264159</v>
      </c>
      <c r="M121" s="7">
        <f t="shared" si="125"/>
        <v>0.3411214953271029</v>
      </c>
      <c r="N121" s="7">
        <f t="shared" si="125"/>
        <v>0.23867595818815324</v>
      </c>
      <c r="O121" s="7">
        <f t="shared" si="125"/>
        <v>0.18565400843881852</v>
      </c>
      <c r="P121" s="7">
        <f t="shared" si="125"/>
        <v>0.1447212336892052</v>
      </c>
      <c r="Q121" s="7">
        <f t="shared" si="125"/>
        <v>7.7720207253886064E-2</v>
      </c>
      <c r="R121" s="7">
        <f t="shared" si="125"/>
        <v>2.4038461538461453E-2</v>
      </c>
      <c r="S121" s="7">
        <f t="shared" si="125"/>
        <v>4.2253521126760507E-2</v>
      </c>
      <c r="T121" s="7">
        <f t="shared" si="125"/>
        <v>4.0540540540540571E-2</v>
      </c>
      <c r="U121" s="7">
        <f t="shared" si="125"/>
        <v>1.4718614718614687E-2</v>
      </c>
      <c r="V121" s="118">
        <f t="shared" si="125"/>
        <v>-1.4505119453924964E-2</v>
      </c>
      <c r="W121" s="118">
        <f t="shared" si="125"/>
        <v>-2.9437229437229484E-2</v>
      </c>
      <c r="X121" s="118">
        <f t="shared" ref="X121:AD121" si="126">(X120/W120-1)</f>
        <v>-2.2301516503122176E-2</v>
      </c>
      <c r="Y121" s="118">
        <f t="shared" si="126"/>
        <v>-1.3686131386861367E-2</v>
      </c>
      <c r="Z121" s="118">
        <f t="shared" si="126"/>
        <v>-1.5726179463459777E-2</v>
      </c>
      <c r="AA121" s="118">
        <f t="shared" si="126"/>
        <v>-2.9135338345864681E-2</v>
      </c>
      <c r="AB121" s="118">
        <f t="shared" si="126"/>
        <v>-3.6786060019361133E-2</v>
      </c>
      <c r="AC121" s="118">
        <f t="shared" si="126"/>
        <v>-3.3165829145728631E-2</v>
      </c>
      <c r="AD121" s="118">
        <f t="shared" si="126"/>
        <v>-2.9106029106029108E-2</v>
      </c>
      <c r="AE121" s="750"/>
      <c r="AF121" s="50"/>
      <c r="AG121" s="49"/>
      <c r="AH121" s="647"/>
    </row>
    <row r="122" spans="1:34">
      <c r="A122" s="1"/>
      <c r="B122" s="1"/>
      <c r="C122" s="1"/>
      <c r="D122" s="7"/>
      <c r="E122" s="7"/>
      <c r="F122" s="1"/>
      <c r="G122" s="1"/>
      <c r="H122" s="1"/>
      <c r="I122" s="1"/>
      <c r="J122" s="1"/>
      <c r="K122" s="1"/>
      <c r="L122" s="1"/>
      <c r="M122" s="1"/>
      <c r="N122" s="1"/>
      <c r="O122" s="1"/>
      <c r="P122" s="1"/>
      <c r="Q122" s="1"/>
      <c r="R122" s="1"/>
      <c r="S122" s="1"/>
      <c r="T122" s="1"/>
      <c r="U122" s="1"/>
      <c r="V122" s="50"/>
      <c r="W122" s="50"/>
      <c r="X122" s="50"/>
      <c r="Y122" s="50"/>
      <c r="Z122" s="50"/>
      <c r="AA122" s="50"/>
      <c r="AB122" s="50"/>
      <c r="AC122" s="50"/>
      <c r="AD122" s="50"/>
      <c r="AE122" s="750"/>
      <c r="AF122" s="50"/>
      <c r="AG122" s="49"/>
      <c r="AH122" s="647"/>
    </row>
    <row r="123" spans="1:34">
      <c r="A123" s="210" t="s">
        <v>446</v>
      </c>
      <c r="B123" s="11"/>
      <c r="C123" s="11"/>
      <c r="D123" s="11"/>
      <c r="E123" s="11"/>
      <c r="F123" s="11"/>
      <c r="G123" s="11"/>
      <c r="H123" s="11">
        <f t="shared" ref="H123:V123" si="127">(H110)/H120</f>
        <v>2.1124999999999998</v>
      </c>
      <c r="I123" s="11">
        <f t="shared" si="127"/>
        <v>2.0682692307692307</v>
      </c>
      <c r="J123" s="11">
        <f t="shared" si="127"/>
        <v>2.3578267716535435</v>
      </c>
      <c r="K123" s="11">
        <f t="shared" si="127"/>
        <v>2.3765132075471698</v>
      </c>
      <c r="L123" s="11">
        <f t="shared" si="127"/>
        <v>2.7088177570093457</v>
      </c>
      <c r="M123" s="11">
        <f t="shared" si="127"/>
        <v>3.4815749128919862</v>
      </c>
      <c r="N123" s="11">
        <f t="shared" si="127"/>
        <v>3.834691983122362</v>
      </c>
      <c r="O123" s="11">
        <f t="shared" si="127"/>
        <v>3.7709418742586003</v>
      </c>
      <c r="P123" s="11">
        <f t="shared" si="127"/>
        <v>3.1381782383419692</v>
      </c>
      <c r="Q123" s="11">
        <f t="shared" si="127"/>
        <v>2.4753846153846153</v>
      </c>
      <c r="R123" s="11">
        <f t="shared" si="127"/>
        <v>2.9160563380281688</v>
      </c>
      <c r="S123" s="11">
        <f t="shared" si="127"/>
        <v>3.6432468468468469</v>
      </c>
      <c r="T123" s="11">
        <f t="shared" si="127"/>
        <v>4.0076744588744582</v>
      </c>
      <c r="U123" s="11">
        <f t="shared" si="127"/>
        <v>3.6310580204778153</v>
      </c>
      <c r="V123" s="296">
        <f t="shared" si="127"/>
        <v>3.3728138528138527</v>
      </c>
      <c r="W123" s="296">
        <f t="shared" ref="W123:AB123" si="128">(W110)/W120</f>
        <v>3.3487957181088315</v>
      </c>
      <c r="X123" s="296">
        <f t="shared" si="128"/>
        <v>3.3571167883211679</v>
      </c>
      <c r="Y123" s="296">
        <f t="shared" si="128"/>
        <v>3.7716928769657727</v>
      </c>
      <c r="Z123" s="296">
        <f t="shared" si="128"/>
        <v>3.8711471305610909</v>
      </c>
      <c r="AA123" s="296">
        <f t="shared" si="128"/>
        <v>3.9908687562564729</v>
      </c>
      <c r="AB123" s="296">
        <f t="shared" si="128"/>
        <v>4.1330288582609329</v>
      </c>
      <c r="AC123" s="296">
        <f>(AC110)/AC120</f>
        <v>4.2637181425299406</v>
      </c>
      <c r="AD123" s="296">
        <f>(AD110)/AD120</f>
        <v>4.3911374655877733</v>
      </c>
      <c r="AE123" s="750"/>
      <c r="AF123" s="50"/>
      <c r="AG123" s="49"/>
      <c r="AH123" s="647"/>
    </row>
    <row r="124" spans="1:34">
      <c r="A124" s="210" t="s">
        <v>77</v>
      </c>
      <c r="B124" s="12"/>
      <c r="C124" s="12"/>
      <c r="D124" s="129"/>
      <c r="E124" s="12"/>
      <c r="F124" s="12"/>
      <c r="G124" s="12"/>
      <c r="H124" s="128" t="s">
        <v>251</v>
      </c>
      <c r="I124" s="12">
        <f t="shared" ref="I124:AD124" si="129">I123/H123-1</f>
        <v>-2.0937642239417298E-2</v>
      </c>
      <c r="J124" s="12">
        <f t="shared" si="129"/>
        <v>0.13999992678739437</v>
      </c>
      <c r="K124" s="12">
        <f t="shared" si="129"/>
        <v>7.9252793794182264E-3</v>
      </c>
      <c r="L124" s="12">
        <f t="shared" si="129"/>
        <v>0.13982861463040286</v>
      </c>
      <c r="M124" s="12">
        <f t="shared" si="129"/>
        <v>0.28527469368622227</v>
      </c>
      <c r="N124" s="12">
        <f t="shared" si="129"/>
        <v>0.10142452167920113</v>
      </c>
      <c r="O124" s="12">
        <f t="shared" si="129"/>
        <v>-1.6624570928863491E-2</v>
      </c>
      <c r="P124" s="12">
        <f t="shared" si="129"/>
        <v>-0.16779989111898941</v>
      </c>
      <c r="Q124" s="12">
        <f t="shared" si="129"/>
        <v>-0.21120330733908077</v>
      </c>
      <c r="R124" s="12">
        <f t="shared" si="129"/>
        <v>0.17802151629478535</v>
      </c>
      <c r="S124" s="12">
        <f t="shared" si="129"/>
        <v>0.24937464319033098</v>
      </c>
      <c r="T124" s="12">
        <f t="shared" si="129"/>
        <v>0.10002825154244377</v>
      </c>
      <c r="U124" s="12">
        <f t="shared" si="129"/>
        <v>-9.3973810064007623E-2</v>
      </c>
      <c r="V124" s="583">
        <f t="shared" si="129"/>
        <v>-7.1120914677639924E-2</v>
      </c>
      <c r="W124" s="583">
        <f t="shared" si="129"/>
        <v>-7.1210970285192632E-3</v>
      </c>
      <c r="X124" s="583">
        <f t="shared" si="129"/>
        <v>2.4847948076796023E-3</v>
      </c>
      <c r="Y124" s="583">
        <f t="shared" si="129"/>
        <v>0.12349170874449289</v>
      </c>
      <c r="Z124" s="583">
        <f t="shared" si="129"/>
        <v>2.6368598090978912E-2</v>
      </c>
      <c r="AA124" s="583">
        <f t="shared" si="129"/>
        <v>3.0926653433094753E-2</v>
      </c>
      <c r="AB124" s="583">
        <f t="shared" si="129"/>
        <v>3.5621342290847346E-2</v>
      </c>
      <c r="AC124" s="583">
        <f t="shared" si="129"/>
        <v>3.1620704512573372E-2</v>
      </c>
      <c r="AD124" s="583">
        <f t="shared" si="129"/>
        <v>2.9884555873157748E-2</v>
      </c>
      <c r="AE124" s="750"/>
      <c r="AF124" s="50"/>
      <c r="AG124" s="49"/>
      <c r="AH124" s="647"/>
    </row>
    <row r="125" spans="1:34">
      <c r="A125" s="1"/>
      <c r="B125" s="1"/>
      <c r="C125" s="1"/>
      <c r="D125" s="1"/>
      <c r="E125" s="1"/>
      <c r="F125" s="1"/>
      <c r="G125" s="1"/>
      <c r="H125" s="1"/>
      <c r="I125" s="1"/>
      <c r="J125" s="1"/>
      <c r="K125" s="1"/>
      <c r="L125" s="1"/>
      <c r="M125" s="1"/>
      <c r="N125" s="1"/>
      <c r="O125" s="1"/>
      <c r="P125" s="1"/>
      <c r="Q125" s="1"/>
      <c r="R125" s="1"/>
      <c r="S125" s="1"/>
      <c r="T125" s="1"/>
      <c r="U125" s="1"/>
      <c r="V125" s="50"/>
      <c r="W125" s="50"/>
      <c r="X125" s="50"/>
      <c r="Y125" s="50"/>
      <c r="Z125" s="50"/>
      <c r="AA125" s="50"/>
      <c r="AB125" s="50"/>
      <c r="AC125" s="50"/>
      <c r="AD125" s="50"/>
      <c r="AE125" s="750"/>
      <c r="AF125" s="50"/>
      <c r="AG125" s="49"/>
      <c r="AH125" s="647"/>
    </row>
    <row r="126" spans="1:34">
      <c r="A126" s="210" t="s">
        <v>84</v>
      </c>
      <c r="B126" s="130"/>
      <c r="C126" s="130"/>
      <c r="D126" s="131"/>
      <c r="E126" s="131"/>
      <c r="F126" s="130"/>
      <c r="G126" s="44"/>
      <c r="H126" s="10">
        <f>+H120*H132/1000000</f>
        <v>1.6250000000000001E-2</v>
      </c>
      <c r="I126" s="10">
        <f t="shared" ref="I126:W126" si="130">+(H129+I129)/2</f>
        <v>0.1195</v>
      </c>
      <c r="J126" s="10">
        <f t="shared" si="130"/>
        <v>0.40075</v>
      </c>
      <c r="K126" s="10">
        <f t="shared" si="130"/>
        <v>0.85299999999999998</v>
      </c>
      <c r="L126" s="10">
        <f t="shared" si="130"/>
        <v>1.3869819999999999</v>
      </c>
      <c r="M126" s="10">
        <f t="shared" si="130"/>
        <v>1.8729640000000001</v>
      </c>
      <c r="N126" s="10">
        <f t="shared" si="130"/>
        <v>2.343464</v>
      </c>
      <c r="O126" s="10">
        <f t="shared" si="130"/>
        <v>2.8094640000000002</v>
      </c>
      <c r="P126" s="10">
        <f t="shared" si="130"/>
        <v>3.2444639999999998</v>
      </c>
      <c r="Q126" s="10">
        <f t="shared" si="130"/>
        <v>3.535714</v>
      </c>
      <c r="R126" s="10">
        <f t="shared" si="130"/>
        <v>3.6684640000000002</v>
      </c>
      <c r="S126" s="10">
        <f t="shared" si="130"/>
        <v>3.8730639999999998</v>
      </c>
      <c r="T126" s="10">
        <f t="shared" si="130"/>
        <v>4.0876640000000002</v>
      </c>
      <c r="U126" s="10">
        <f t="shared" si="130"/>
        <v>4.2022639999999996</v>
      </c>
      <c r="V126" s="584">
        <f t="shared" si="130"/>
        <v>4.1896639999999996</v>
      </c>
      <c r="W126" s="584">
        <f t="shared" si="130"/>
        <v>4.1084639999999997</v>
      </c>
      <c r="X126" s="584">
        <f t="shared" ref="X126:AD126" si="131">+(W129+X129)/2</f>
        <v>4.0524639999999996</v>
      </c>
      <c r="Y126" s="584">
        <f t="shared" si="131"/>
        <v>4.0224639999999994</v>
      </c>
      <c r="Z126" s="584">
        <f t="shared" si="131"/>
        <v>3.9904640000000002</v>
      </c>
      <c r="AA126" s="584">
        <f t="shared" si="131"/>
        <v>3.9114640000000001</v>
      </c>
      <c r="AB126" s="584">
        <f t="shared" si="131"/>
        <v>3.799464</v>
      </c>
      <c r="AC126" s="584">
        <f t="shared" si="131"/>
        <v>3.702464</v>
      </c>
      <c r="AD126" s="584">
        <f t="shared" si="131"/>
        <v>3.6204640000000001</v>
      </c>
      <c r="AE126" s="750">
        <f>((Y126/T126)^(1/5)-1)*100</f>
        <v>-0.32106363597984577</v>
      </c>
      <c r="AF126" s="79" t="s">
        <v>76</v>
      </c>
      <c r="AG126" s="49">
        <f>((AD126/Y126)^(1/5)-1)*100</f>
        <v>-2.0838309402155919</v>
      </c>
      <c r="AH126" s="751" t="s">
        <v>76</v>
      </c>
    </row>
    <row r="127" spans="1:34">
      <c r="A127" s="210" t="s">
        <v>77</v>
      </c>
      <c r="B127" s="7"/>
      <c r="C127" s="7"/>
      <c r="D127" s="7"/>
      <c r="E127" s="7"/>
      <c r="F127" s="7"/>
      <c r="G127" s="7"/>
      <c r="H127" s="128" t="s">
        <v>251</v>
      </c>
      <c r="I127" s="7">
        <f t="shared" ref="I127:W127" si="132">I126/H126-1</f>
        <v>6.3538461538461535</v>
      </c>
      <c r="J127" s="7">
        <f t="shared" si="132"/>
        <v>2.3535564853556488</v>
      </c>
      <c r="K127" s="7">
        <f t="shared" si="132"/>
        <v>1.1285090455396132</v>
      </c>
      <c r="L127" s="7">
        <f t="shared" si="132"/>
        <v>0.62600468933177011</v>
      </c>
      <c r="M127" s="7">
        <f t="shared" si="132"/>
        <v>0.3503881088579377</v>
      </c>
      <c r="N127" s="7">
        <f t="shared" si="132"/>
        <v>0.25120610967429169</v>
      </c>
      <c r="O127" s="7">
        <f t="shared" si="132"/>
        <v>0.19885093178303581</v>
      </c>
      <c r="P127" s="7">
        <f t="shared" si="132"/>
        <v>0.15483380459760276</v>
      </c>
      <c r="Q127" s="7">
        <f t="shared" si="132"/>
        <v>8.9768294547265759E-2</v>
      </c>
      <c r="R127" s="7">
        <f t="shared" si="132"/>
        <v>3.7545457579430952E-2</v>
      </c>
      <c r="S127" s="7">
        <f t="shared" si="132"/>
        <v>5.5772661255500955E-2</v>
      </c>
      <c r="T127" s="7">
        <f t="shared" si="132"/>
        <v>5.5408327876843799E-2</v>
      </c>
      <c r="U127" s="7">
        <f t="shared" si="132"/>
        <v>2.803557239538268E-2</v>
      </c>
      <c r="V127" s="118">
        <f t="shared" si="132"/>
        <v>-2.9983837283902304E-3</v>
      </c>
      <c r="W127" s="118">
        <f t="shared" si="132"/>
        <v>-1.9381029123099136E-2</v>
      </c>
      <c r="X127" s="118">
        <f t="shared" ref="X127:AD127" si="133">X126/W126-1</f>
        <v>-1.363039812445721E-2</v>
      </c>
      <c r="Y127" s="118">
        <f t="shared" si="133"/>
        <v>-7.402903517464976E-3</v>
      </c>
      <c r="Z127" s="118">
        <f t="shared" si="133"/>
        <v>-7.955322906556539E-3</v>
      </c>
      <c r="AA127" s="118">
        <f t="shared" si="133"/>
        <v>-1.9797196516495363E-2</v>
      </c>
      <c r="AB127" s="118">
        <f t="shared" si="133"/>
        <v>-2.8633780088478389E-2</v>
      </c>
      <c r="AC127" s="118">
        <f t="shared" si="133"/>
        <v>-2.5529916851429579E-2</v>
      </c>
      <c r="AD127" s="118">
        <f t="shared" si="133"/>
        <v>-2.2147413182140308E-2</v>
      </c>
      <c r="AE127" s="750"/>
      <c r="AF127" s="50"/>
      <c r="AG127" s="49"/>
      <c r="AH127" s="647"/>
    </row>
    <row r="128" spans="1:34">
      <c r="A128" s="1"/>
      <c r="B128" s="1"/>
      <c r="C128" s="1"/>
      <c r="D128" s="1"/>
      <c r="E128" s="1"/>
      <c r="F128" s="1"/>
      <c r="G128" s="1"/>
      <c r="H128" s="1"/>
      <c r="I128" s="1"/>
      <c r="J128" s="1"/>
      <c r="K128" s="1"/>
      <c r="L128" s="1"/>
      <c r="M128" s="1"/>
      <c r="N128" s="1"/>
      <c r="O128" s="1"/>
      <c r="P128" s="1"/>
      <c r="Q128" s="1"/>
      <c r="R128" s="1"/>
      <c r="S128" s="1"/>
      <c r="T128" s="1"/>
      <c r="U128" s="1"/>
      <c r="V128" s="50"/>
      <c r="W128" s="50"/>
      <c r="X128" s="50"/>
      <c r="Y128" s="50"/>
      <c r="Z128" s="50"/>
      <c r="AA128" s="50"/>
      <c r="AB128" s="50"/>
      <c r="AC128" s="50"/>
      <c r="AD128" s="50"/>
      <c r="AE128" s="750"/>
      <c r="AF128" s="50"/>
      <c r="AG128" s="49"/>
      <c r="AH128" s="647"/>
    </row>
    <row r="129" spans="1:34">
      <c r="A129" s="210" t="s">
        <v>85</v>
      </c>
      <c r="B129" s="130"/>
      <c r="C129" s="130"/>
      <c r="D129" s="131"/>
      <c r="E129" s="131"/>
      <c r="F129" s="130"/>
      <c r="G129" s="90"/>
      <c r="H129" s="10">
        <f>squft!$AS$33/1000</f>
        <v>3.2500000000000001E-2</v>
      </c>
      <c r="I129" s="10">
        <f>squft!$AW$33/1000</f>
        <v>0.20649999999999999</v>
      </c>
      <c r="J129" s="10">
        <f>squft!$BA$33/1000</f>
        <v>0.59499999999999997</v>
      </c>
      <c r="K129" s="10">
        <f>squft!$BE$33/1000</f>
        <v>1.111</v>
      </c>
      <c r="L129" s="10">
        <f>squft!$BI$33/1000</f>
        <v>1.6629639999999999</v>
      </c>
      <c r="M129" s="10">
        <f>squft!$BM$33/1000</f>
        <v>2.082964</v>
      </c>
      <c r="N129" s="10">
        <f>squft!$BQ$33/1000</f>
        <v>2.6039639999999999</v>
      </c>
      <c r="O129" s="10">
        <f>squft!$BU$33/1000</f>
        <v>3.014964</v>
      </c>
      <c r="P129" s="10">
        <f>squft!$BY$33/1000</f>
        <v>3.4739640000000001</v>
      </c>
      <c r="Q129" s="10">
        <f>squft!$CC$33/1000</f>
        <v>3.597464</v>
      </c>
      <c r="R129" s="10">
        <f>squft!$CG$33/1000</f>
        <v>3.7394639999999999</v>
      </c>
      <c r="S129" s="10">
        <f>squft!$CK$33/1000</f>
        <v>4.0066639999999998</v>
      </c>
      <c r="T129" s="10">
        <f>squft!$CO$33/1000</f>
        <v>4.1686639999999997</v>
      </c>
      <c r="U129" s="10">
        <f>squft!$CS$33/1000</f>
        <v>4.2358639999999994</v>
      </c>
      <c r="V129" s="584">
        <f>squft!$CW$33/1000</f>
        <v>4.1434639999999998</v>
      </c>
      <c r="W129" s="584">
        <f>squft!$DA$33/1000</f>
        <v>4.0734639999999995</v>
      </c>
      <c r="X129" s="584">
        <f>squft!$DE$33/1000</f>
        <v>4.0314639999999997</v>
      </c>
      <c r="Y129" s="584">
        <f>squft!$DI$33/1000</f>
        <v>4.0134639999999999</v>
      </c>
      <c r="Z129" s="584">
        <f>squft!$DM$33/1000</f>
        <v>3.9674640000000001</v>
      </c>
      <c r="AA129" s="584">
        <f>squft!$DQ$33/1000</f>
        <v>3.855464</v>
      </c>
      <c r="AB129" s="584">
        <f>squft!$DU$33/1000</f>
        <v>3.7434639999999999</v>
      </c>
      <c r="AC129" s="584">
        <f>squft!$DY$33/1000</f>
        <v>3.6614640000000001</v>
      </c>
      <c r="AD129" s="584">
        <f>squft!$EC$33/1000</f>
        <v>3.5794639999999998</v>
      </c>
      <c r="AE129" s="750">
        <f>((Y129/T129)^(1/5)-1)*100</f>
        <v>-0.75594608505453742</v>
      </c>
      <c r="AF129" s="79" t="s">
        <v>76</v>
      </c>
      <c r="AG129" s="49">
        <f>((AD129/Y129)^(1/5)-1)*100</f>
        <v>-2.2628377333384742</v>
      </c>
      <c r="AH129" s="751" t="s">
        <v>76</v>
      </c>
    </row>
    <row r="130" spans="1:34">
      <c r="A130" s="210" t="s">
        <v>77</v>
      </c>
      <c r="B130" s="7"/>
      <c r="C130" s="7"/>
      <c r="D130" s="7"/>
      <c r="E130" s="7"/>
      <c r="F130" s="130"/>
      <c r="G130" s="7"/>
      <c r="H130" s="128" t="s">
        <v>251</v>
      </c>
      <c r="I130" s="7">
        <f t="shared" ref="I130:W130" si="134">I129/H129-1</f>
        <v>5.3538461538461535</v>
      </c>
      <c r="J130" s="7">
        <f t="shared" si="134"/>
        <v>1.8813559322033897</v>
      </c>
      <c r="K130" s="7">
        <f t="shared" si="134"/>
        <v>0.86722689075630255</v>
      </c>
      <c r="L130" s="7">
        <f t="shared" si="134"/>
        <v>0.49681728172817263</v>
      </c>
      <c r="M130" s="7">
        <f t="shared" si="134"/>
        <v>0.25256108971691527</v>
      </c>
      <c r="N130" s="7">
        <f t="shared" si="134"/>
        <v>0.25012434204335743</v>
      </c>
      <c r="O130" s="7">
        <f t="shared" si="134"/>
        <v>0.15783628345092326</v>
      </c>
      <c r="P130" s="7">
        <f t="shared" si="134"/>
        <v>0.152240623768642</v>
      </c>
      <c r="Q130" s="7">
        <f t="shared" si="134"/>
        <v>3.5550166898678182E-2</v>
      </c>
      <c r="R130" s="7">
        <f t="shared" si="134"/>
        <v>3.9472250451985103E-2</v>
      </c>
      <c r="S130" s="7">
        <f t="shared" si="134"/>
        <v>7.1454090746695176E-2</v>
      </c>
      <c r="T130" s="7">
        <f t="shared" si="134"/>
        <v>4.043263922305429E-2</v>
      </c>
      <c r="U130" s="7">
        <f t="shared" si="134"/>
        <v>1.6120272586133133E-2</v>
      </c>
      <c r="V130" s="118">
        <f t="shared" si="134"/>
        <v>-2.1813731507904777E-2</v>
      </c>
      <c r="W130" s="118">
        <f t="shared" si="134"/>
        <v>-1.689407703312984E-2</v>
      </c>
      <c r="X130" s="118">
        <f t="shared" ref="X130:AD130" si="135">X129/W129-1</f>
        <v>-1.0310634879797553E-2</v>
      </c>
      <c r="Y130" s="118">
        <f t="shared" si="135"/>
        <v>-4.4648792597428155E-3</v>
      </c>
      <c r="Z130" s="118">
        <f t="shared" si="135"/>
        <v>-1.1461420857393989E-2</v>
      </c>
      <c r="AA130" s="118">
        <f t="shared" si="135"/>
        <v>-2.8229619726858335E-2</v>
      </c>
      <c r="AB130" s="118">
        <f t="shared" si="135"/>
        <v>-2.9049681179749043E-2</v>
      </c>
      <c r="AC130" s="118">
        <f t="shared" si="135"/>
        <v>-2.1904845351791824E-2</v>
      </c>
      <c r="AD130" s="118">
        <f t="shared" si="135"/>
        <v>-2.2395413419331822E-2</v>
      </c>
      <c r="AE130" s="750"/>
      <c r="AF130" s="50"/>
      <c r="AG130" s="49"/>
      <c r="AH130" s="647"/>
    </row>
    <row r="131" spans="1:34">
      <c r="A131" s="1"/>
      <c r="B131" s="1"/>
      <c r="C131" s="1"/>
      <c r="D131" s="1"/>
      <c r="E131" s="1"/>
      <c r="F131" s="1"/>
      <c r="G131" s="1"/>
      <c r="H131" s="1"/>
      <c r="I131" s="1"/>
      <c r="J131" s="1"/>
      <c r="K131" s="1"/>
      <c r="L131" s="1"/>
      <c r="M131" s="1"/>
      <c r="N131" s="1"/>
      <c r="O131" s="1"/>
      <c r="P131" s="1"/>
      <c r="Q131" s="1"/>
      <c r="R131" s="281"/>
      <c r="S131" s="1"/>
      <c r="T131" s="1"/>
      <c r="U131" s="1"/>
      <c r="V131" s="50"/>
      <c r="W131" s="50"/>
      <c r="X131" s="50"/>
      <c r="Y131" s="50"/>
      <c r="Z131" s="50"/>
      <c r="AA131" s="50"/>
      <c r="AB131" s="50"/>
      <c r="AC131" s="50"/>
      <c r="AD131" s="50"/>
      <c r="AE131" s="750"/>
      <c r="AF131" s="50"/>
      <c r="AG131" s="49"/>
      <c r="AH131" s="647"/>
    </row>
    <row r="132" spans="1:34">
      <c r="A132" s="210" t="s">
        <v>86</v>
      </c>
      <c r="B132" s="8"/>
      <c r="C132" s="8"/>
      <c r="D132" s="8"/>
      <c r="E132" s="8"/>
      <c r="F132" s="8"/>
      <c r="G132" s="8"/>
      <c r="H132" s="8">
        <f t="shared" ref="H132:V132" si="136">H129/H119*1000000</f>
        <v>6500.0000000000009</v>
      </c>
      <c r="I132" s="8">
        <f t="shared" si="136"/>
        <v>6073.5294117647063</v>
      </c>
      <c r="J132" s="8">
        <f t="shared" si="136"/>
        <v>6397.8494623655906</v>
      </c>
      <c r="K132" s="8">
        <f t="shared" si="136"/>
        <v>6459.3023255813951</v>
      </c>
      <c r="L132" s="8">
        <f t="shared" si="136"/>
        <v>6495.953125</v>
      </c>
      <c r="M132" s="8">
        <f t="shared" si="136"/>
        <v>6550.201257861635</v>
      </c>
      <c r="N132" s="8">
        <f t="shared" si="136"/>
        <v>6625.8625954198469</v>
      </c>
      <c r="O132" s="8">
        <f t="shared" si="136"/>
        <v>6699.92</v>
      </c>
      <c r="P132" s="8">
        <f t="shared" si="136"/>
        <v>6745.5611650485444</v>
      </c>
      <c r="Q132" s="8">
        <f t="shared" si="136"/>
        <v>6852.3123809523813</v>
      </c>
      <c r="R132" s="8">
        <f t="shared" si="136"/>
        <v>6924.9333333333334</v>
      </c>
      <c r="S132" s="8">
        <f t="shared" si="136"/>
        <v>7029.2350877192976</v>
      </c>
      <c r="T132" s="8">
        <f t="shared" si="136"/>
        <v>7125.9213675213668</v>
      </c>
      <c r="U132" s="8">
        <f t="shared" si="136"/>
        <v>7216.1226575809187</v>
      </c>
      <c r="V132" s="80">
        <f t="shared" si="136"/>
        <v>7294.8309859154933</v>
      </c>
      <c r="W132" s="80">
        <f t="shared" ref="W132:AB132" si="137">W129/W119*1000000</f>
        <v>7366.1193490054247</v>
      </c>
      <c r="X132" s="80">
        <f t="shared" si="137"/>
        <v>7424.427255985267</v>
      </c>
      <c r="Y132" s="80">
        <f t="shared" si="137"/>
        <v>7459.9702602230482</v>
      </c>
      <c r="Z132" s="80">
        <f t="shared" si="137"/>
        <v>7542.7072243346011</v>
      </c>
      <c r="AA132" s="80">
        <f t="shared" si="137"/>
        <v>7604.4654832347142</v>
      </c>
      <c r="AB132" s="80">
        <f t="shared" si="137"/>
        <v>7671.0327868852455</v>
      </c>
      <c r="AC132" s="80">
        <f>AC129/AC119*1000000</f>
        <v>7724.6075949367087</v>
      </c>
      <c r="AD132" s="80">
        <f>AD129/AD119*1000000</f>
        <v>7781.4434782608696</v>
      </c>
      <c r="AE132" s="750"/>
      <c r="AF132" s="80"/>
      <c r="AG132" s="49"/>
      <c r="AH132" s="745"/>
    </row>
    <row r="133" spans="1:34">
      <c r="A133" s="210" t="s">
        <v>77</v>
      </c>
      <c r="B133" s="12"/>
      <c r="C133" s="12"/>
      <c r="D133" s="12"/>
      <c r="E133" s="12"/>
      <c r="F133" s="12"/>
      <c r="G133" s="12"/>
      <c r="H133" s="128" t="s">
        <v>251</v>
      </c>
      <c r="I133" s="12">
        <f t="shared" ref="I133:W133" si="138">I132/H132-1</f>
        <v>-6.5610859728506887E-2</v>
      </c>
      <c r="J133" s="12">
        <f t="shared" si="138"/>
        <v>5.3398942956077722E-2</v>
      </c>
      <c r="K133" s="12">
        <f t="shared" si="138"/>
        <v>9.605237443814918E-3</v>
      </c>
      <c r="L133" s="12">
        <f t="shared" si="138"/>
        <v>5.6741111611162687E-3</v>
      </c>
      <c r="M133" s="12">
        <f t="shared" si="138"/>
        <v>8.3510659356296202E-3</v>
      </c>
      <c r="N133" s="12">
        <f t="shared" si="138"/>
        <v>1.1550994325159492E-2</v>
      </c>
      <c r="O133" s="12">
        <f t="shared" si="138"/>
        <v>1.1177020880473121E-2</v>
      </c>
      <c r="P133" s="12">
        <f t="shared" si="138"/>
        <v>6.8121955259978773E-3</v>
      </c>
      <c r="Q133" s="12">
        <f t="shared" si="138"/>
        <v>1.582540181489378E-2</v>
      </c>
      <c r="R133" s="12">
        <f t="shared" si="138"/>
        <v>1.0598021272763214E-2</v>
      </c>
      <c r="S133" s="12">
        <f t="shared" si="138"/>
        <v>1.506177018107957E-2</v>
      </c>
      <c r="T133" s="12">
        <f t="shared" si="138"/>
        <v>1.3754879242976026E-2</v>
      </c>
      <c r="U133" s="12">
        <f t="shared" si="138"/>
        <v>1.2658193292824249E-2</v>
      </c>
      <c r="V133" s="583">
        <f t="shared" si="138"/>
        <v>1.090728803672536E-2</v>
      </c>
      <c r="W133" s="583">
        <f t="shared" si="138"/>
        <v>9.7724489062969155E-3</v>
      </c>
      <c r="X133" s="583">
        <f t="shared" ref="X133:AD133" si="139">X132/W132-1</f>
        <v>7.9156886030791185E-3</v>
      </c>
      <c r="Y133" s="583">
        <f t="shared" si="139"/>
        <v>4.7873058772482935E-3</v>
      </c>
      <c r="Z133" s="583">
        <f t="shared" si="139"/>
        <v>1.109079007361613E-2</v>
      </c>
      <c r="AA133" s="583">
        <f t="shared" si="139"/>
        <v>8.1878106975790121E-3</v>
      </c>
      <c r="AB133" s="583">
        <f t="shared" si="139"/>
        <v>8.7537123808754114E-3</v>
      </c>
      <c r="AC133" s="583">
        <f t="shared" si="139"/>
        <v>6.9840410724169022E-3</v>
      </c>
      <c r="AD133" s="583">
        <f t="shared" si="139"/>
        <v>7.3577696505147117E-3</v>
      </c>
      <c r="AE133" s="750"/>
      <c r="AF133" s="50"/>
      <c r="AG133" s="49"/>
      <c r="AH133" s="647"/>
    </row>
    <row r="134" spans="1:34">
      <c r="A134" s="1"/>
      <c r="B134" s="1"/>
      <c r="C134" s="1"/>
      <c r="D134" s="1"/>
      <c r="E134" s="1"/>
      <c r="F134" s="1"/>
      <c r="G134" s="1"/>
      <c r="H134" s="1"/>
      <c r="I134" s="1"/>
      <c r="J134" s="1"/>
      <c r="K134" s="1"/>
      <c r="L134" s="1"/>
      <c r="M134" s="1"/>
      <c r="N134" s="1"/>
      <c r="O134" s="1"/>
      <c r="P134" s="1"/>
      <c r="Q134" s="1"/>
      <c r="R134" s="1"/>
      <c r="S134" s="1"/>
      <c r="T134" s="1"/>
      <c r="U134" s="1"/>
      <c r="V134" s="50"/>
      <c r="W134" s="50"/>
      <c r="X134" s="50"/>
      <c r="Y134" s="50"/>
      <c r="Z134" s="50"/>
      <c r="AA134" s="50"/>
      <c r="AB134" s="50"/>
      <c r="AC134" s="50"/>
      <c r="AD134" s="50"/>
      <c r="AE134" s="750"/>
      <c r="AF134" s="50"/>
      <c r="AG134" s="49"/>
      <c r="AH134" s="647"/>
    </row>
    <row r="135" spans="1:34">
      <c r="A135" s="210" t="s">
        <v>447</v>
      </c>
      <c r="B135" s="5"/>
      <c r="C135" s="5"/>
      <c r="D135" s="5"/>
      <c r="E135" s="5"/>
      <c r="F135" s="240"/>
      <c r="G135" s="5"/>
      <c r="H135" s="5">
        <f t="shared" ref="H135:V135" si="140">+H110/H126</f>
        <v>325</v>
      </c>
      <c r="I135" s="5">
        <f t="shared" si="140"/>
        <v>337.5</v>
      </c>
      <c r="J135" s="5">
        <f t="shared" si="140"/>
        <v>373.60449157829072</v>
      </c>
      <c r="K135" s="5">
        <f t="shared" si="140"/>
        <v>369.15357561547478</v>
      </c>
      <c r="L135" s="5">
        <f t="shared" si="140"/>
        <v>417.94846652660237</v>
      </c>
      <c r="M135" s="5">
        <f t="shared" si="140"/>
        <v>533.49236824626632</v>
      </c>
      <c r="N135" s="5">
        <f t="shared" si="140"/>
        <v>581.71706499438426</v>
      </c>
      <c r="O135" s="5">
        <f t="shared" si="140"/>
        <v>565.74919628797522</v>
      </c>
      <c r="P135" s="5">
        <f t="shared" si="140"/>
        <v>466.69372814739205</v>
      </c>
      <c r="Q135" s="5">
        <f t="shared" si="140"/>
        <v>364.05659507528043</v>
      </c>
      <c r="R135" s="5">
        <f t="shared" si="140"/>
        <v>423.28342325289276</v>
      </c>
      <c r="S135" s="5">
        <f t="shared" si="140"/>
        <v>522.06779955094987</v>
      </c>
      <c r="T135" s="5">
        <f t="shared" si="140"/>
        <v>566.19917879747447</v>
      </c>
      <c r="U135" s="5">
        <f t="shared" si="140"/>
        <v>506.34610295783415</v>
      </c>
      <c r="V135" s="589">
        <f t="shared" si="140"/>
        <v>464.9060163297105</v>
      </c>
      <c r="W135" s="589">
        <f t="shared" ref="W135:AB135" si="141">+W110/W126</f>
        <v>456.86173713582502</v>
      </c>
      <c r="X135" s="589">
        <f t="shared" si="141"/>
        <v>453.97072003600778</v>
      </c>
      <c r="Y135" s="589">
        <f t="shared" si="141"/>
        <v>506.80378991583279</v>
      </c>
      <c r="Z135" s="589">
        <f t="shared" si="141"/>
        <v>516.09293391908818</v>
      </c>
      <c r="AA135" s="589">
        <f t="shared" si="141"/>
        <v>526.9852189887132</v>
      </c>
      <c r="AB135" s="589">
        <f t="shared" si="141"/>
        <v>541.1768230952614</v>
      </c>
      <c r="AC135" s="589">
        <f>+AC110/AC126</f>
        <v>553.91448142558613</v>
      </c>
      <c r="AD135" s="589">
        <f>+AD110/AD126</f>
        <v>566.40839307599526</v>
      </c>
      <c r="AE135" s="750">
        <f>((Y135/T135)^(1/5)-1)*100</f>
        <v>-2.1920573593801618</v>
      </c>
      <c r="AF135" s="79" t="s">
        <v>76</v>
      </c>
      <c r="AG135" s="49">
        <f>((AD135/Y135)^(1/5)-1)*100</f>
        <v>2.248740069589239</v>
      </c>
      <c r="AH135" s="751" t="s">
        <v>76</v>
      </c>
    </row>
    <row r="136" spans="1:34">
      <c r="A136" s="210" t="s">
        <v>77</v>
      </c>
      <c r="B136" s="12"/>
      <c r="C136" s="12"/>
      <c r="D136" s="12"/>
      <c r="E136" s="12"/>
      <c r="F136" s="12"/>
      <c r="G136" s="12"/>
      <c r="H136" s="128" t="s">
        <v>251</v>
      </c>
      <c r="I136" s="12">
        <f t="shared" ref="I136:AD136" si="142">I135/H135-1</f>
        <v>3.8461538461538547E-2</v>
      </c>
      <c r="J136" s="12">
        <f t="shared" si="142"/>
        <v>0.10697627134308352</v>
      </c>
      <c r="K136" s="12">
        <f t="shared" si="142"/>
        <v>-1.1913443395750067E-2</v>
      </c>
      <c r="L136" s="12">
        <f t="shared" si="142"/>
        <v>0.13218046399733185</v>
      </c>
      <c r="M136" s="12">
        <f t="shared" si="142"/>
        <v>0.27645490048067822</v>
      </c>
      <c r="N136" s="12">
        <f t="shared" si="142"/>
        <v>9.0394351669257356E-2</v>
      </c>
      <c r="O136" s="12">
        <f t="shared" si="142"/>
        <v>-2.744954492019791E-2</v>
      </c>
      <c r="P136" s="12">
        <f t="shared" si="142"/>
        <v>-0.17508724500275274</v>
      </c>
      <c r="Q136" s="12">
        <f t="shared" si="142"/>
        <v>-0.2199239605801957</v>
      </c>
      <c r="R136" s="12">
        <f t="shared" si="142"/>
        <v>0.16268577187941147</v>
      </c>
      <c r="S136" s="12">
        <f t="shared" si="142"/>
        <v>0.23337643496385607</v>
      </c>
      <c r="T136" s="12">
        <f t="shared" si="142"/>
        <v>8.4531892762747862E-2</v>
      </c>
      <c r="U136" s="12">
        <f t="shared" si="142"/>
        <v>-0.10571028373223645</v>
      </c>
      <c r="V136" s="583">
        <f t="shared" si="142"/>
        <v>-8.1841425037242899E-2</v>
      </c>
      <c r="W136" s="583">
        <f t="shared" si="142"/>
        <v>-1.730302235577108E-2</v>
      </c>
      <c r="X136" s="583">
        <f t="shared" si="142"/>
        <v>-6.3279913042001423E-3</v>
      </c>
      <c r="Y136" s="583">
        <f t="shared" si="142"/>
        <v>0.1163799063420532</v>
      </c>
      <c r="Z136" s="583">
        <f t="shared" si="142"/>
        <v>1.8328876358241208E-2</v>
      </c>
      <c r="AA136" s="583">
        <f t="shared" si="142"/>
        <v>2.1105278436795327E-2</v>
      </c>
      <c r="AB136" s="583">
        <f t="shared" si="142"/>
        <v>2.6929795362727438E-2</v>
      </c>
      <c r="AC136" s="583">
        <f t="shared" si="142"/>
        <v>2.3536962018202656E-2</v>
      </c>
      <c r="AD136" s="583">
        <f t="shared" si="142"/>
        <v>2.2555668915270166E-2</v>
      </c>
      <c r="AE136" s="757"/>
      <c r="AF136" s="50"/>
      <c r="AG136" s="49"/>
      <c r="AH136" s="647"/>
    </row>
    <row r="137" spans="1:34">
      <c r="A137" s="1"/>
      <c r="B137" s="1"/>
      <c r="C137" s="1"/>
      <c r="D137" s="1"/>
      <c r="E137" s="1"/>
      <c r="F137" s="1"/>
      <c r="G137" s="1"/>
      <c r="H137" s="1"/>
      <c r="I137" s="1"/>
      <c r="J137" s="1"/>
      <c r="K137" s="1"/>
      <c r="L137" s="1"/>
      <c r="M137" s="1"/>
      <c r="N137" s="1"/>
      <c r="O137" s="1"/>
      <c r="P137" s="1"/>
      <c r="Q137" s="1"/>
      <c r="R137" s="1"/>
      <c r="S137" s="1"/>
      <c r="T137" s="1"/>
      <c r="U137" s="1"/>
      <c r="V137" s="50"/>
      <c r="W137" s="50"/>
      <c r="X137" s="50"/>
      <c r="Y137" s="50"/>
      <c r="Z137" s="50"/>
      <c r="AA137" s="50"/>
      <c r="AB137" s="50"/>
      <c r="AC137" s="50"/>
      <c r="AD137" s="50"/>
      <c r="AE137" s="81"/>
      <c r="AF137" s="50"/>
      <c r="AG137" s="49"/>
      <c r="AH137" s="647"/>
    </row>
    <row r="138" spans="1:34">
      <c r="A138" s="210" t="s">
        <v>87</v>
      </c>
      <c r="B138" s="12"/>
      <c r="C138" s="12"/>
      <c r="D138" s="12"/>
      <c r="E138" s="12"/>
      <c r="F138" s="12"/>
      <c r="G138" s="12"/>
      <c r="H138" s="128" t="s">
        <v>251</v>
      </c>
      <c r="I138" s="238">
        <v>0.15</v>
      </c>
      <c r="J138" s="14">
        <v>0.1</v>
      </c>
      <c r="K138" s="12">
        <v>7.0000000000000007E-2</v>
      </c>
      <c r="L138" s="12">
        <v>0.13</v>
      </c>
      <c r="M138" s="12">
        <v>0.28999999999999998</v>
      </c>
      <c r="N138" s="12">
        <v>0.05</v>
      </c>
      <c r="O138" s="12">
        <v>-0.02</v>
      </c>
      <c r="P138" s="12">
        <f>SegqtrSales!F282*0.01</f>
        <v>-0.17</v>
      </c>
      <c r="Q138" s="12">
        <f>SegqtrSales!$F$289*0.01</f>
        <v>-0.27</v>
      </c>
      <c r="R138" s="12">
        <f>SegqtrSales!$F$296*0.01</f>
        <v>6.2595843340041799E-2</v>
      </c>
      <c r="S138" s="12">
        <f>SegqtrSales!$F$303*0.01</f>
        <v>0.08</v>
      </c>
      <c r="T138" s="12">
        <f>SegqtrSales!$F$310*0.01</f>
        <v>-0.01</v>
      </c>
      <c r="U138" s="12">
        <f>SegqtrSales!$F$317*0.01</f>
        <v>-0.14000000000000001</v>
      </c>
      <c r="V138" s="583">
        <f>SegqtrSales!F324*0.01</f>
        <v>-0.1</v>
      </c>
      <c r="W138" s="583">
        <f>SegqtrSales!F331*0.01</f>
        <v>0</v>
      </c>
      <c r="X138" s="583">
        <f>SegqtrSales!F338*0.01</f>
        <v>0</v>
      </c>
      <c r="Y138" s="583">
        <f>SegqtrSales!F345*0.01</f>
        <v>7.3961419603121692E-2</v>
      </c>
      <c r="Z138" s="583">
        <f>SegqtrSales!F352*0.01</f>
        <v>-8.7242493556005662E-4</v>
      </c>
      <c r="AA138" s="587">
        <v>0</v>
      </c>
      <c r="AB138" s="587">
        <v>0</v>
      </c>
      <c r="AC138" s="587">
        <v>0</v>
      </c>
      <c r="AD138" s="587">
        <v>0</v>
      </c>
      <c r="AE138" s="81"/>
      <c r="AF138" s="50"/>
      <c r="AG138" s="49"/>
      <c r="AH138" s="647"/>
    </row>
    <row r="139" spans="1:34">
      <c r="A139" s="1"/>
      <c r="B139" s="1"/>
      <c r="C139" s="1"/>
      <c r="D139" s="1"/>
      <c r="E139" s="1"/>
      <c r="F139" s="1"/>
      <c r="G139" s="1"/>
      <c r="H139" s="1"/>
      <c r="I139" s="1"/>
      <c r="J139" s="1"/>
      <c r="K139" s="1"/>
      <c r="L139" s="1"/>
      <c r="M139" s="1"/>
      <c r="N139" s="1"/>
      <c r="O139" s="1"/>
      <c r="P139" s="1"/>
      <c r="Q139" s="1"/>
      <c r="R139" s="1"/>
      <c r="S139" s="1"/>
      <c r="T139" s="1"/>
      <c r="U139" s="1"/>
      <c r="V139" s="50"/>
      <c r="W139" s="50"/>
      <c r="X139" s="50"/>
      <c r="Y139" s="50"/>
      <c r="Z139" s="50"/>
      <c r="AA139" s="50"/>
      <c r="AB139" s="50"/>
      <c r="AC139" s="50"/>
      <c r="AD139" s="50"/>
      <c r="AE139" s="81"/>
      <c r="AF139" s="50"/>
      <c r="AG139" s="49"/>
      <c r="AH139" s="647"/>
    </row>
    <row r="140" spans="1:34">
      <c r="A140" s="210" t="s">
        <v>269</v>
      </c>
      <c r="B140" s="8"/>
      <c r="C140" s="8"/>
      <c r="D140" s="43"/>
      <c r="E140" s="43"/>
      <c r="F140" s="43"/>
      <c r="G140" s="43"/>
      <c r="H140" s="8">
        <f>squft!$AR$29</f>
        <v>6500</v>
      </c>
      <c r="I140" s="8">
        <f>squft!$AV$29</f>
        <v>6000</v>
      </c>
      <c r="J140" s="8">
        <f>squft!$AZ$29</f>
        <v>6500</v>
      </c>
      <c r="K140" s="8">
        <f>squft!$BD$29</f>
        <v>6531.6455696202538</v>
      </c>
      <c r="L140" s="8">
        <f>squft!$BH$29</f>
        <v>6571</v>
      </c>
      <c r="M140" s="8">
        <f>squft!$BL$29</f>
        <v>6824.5614035087719</v>
      </c>
      <c r="N140" s="8">
        <f>squft!$BP$29</f>
        <v>6500</v>
      </c>
      <c r="O140" s="8">
        <f>squft!$BT$29</f>
        <v>6700</v>
      </c>
      <c r="P140" s="8">
        <f>squft!$BX$29</f>
        <v>6757.575757575758</v>
      </c>
      <c r="Q140" s="8">
        <f>squft!$CB$29</f>
        <v>8700</v>
      </c>
      <c r="R140" s="8">
        <f>squft!$CF$29</f>
        <v>8250</v>
      </c>
      <c r="S140" s="8">
        <f>squft!$CJ$29</f>
        <v>8400</v>
      </c>
      <c r="T140" s="8">
        <f>squft!$CN$29</f>
        <v>8400</v>
      </c>
      <c r="U140" s="8">
        <f>squft!$CR$29</f>
        <v>8400</v>
      </c>
      <c r="V140" s="80">
        <f>squft!$CV$29</f>
        <v>8400</v>
      </c>
      <c r="W140" s="80">
        <f>squft!$CZ$29</f>
        <v>8000</v>
      </c>
      <c r="X140" s="80">
        <f>squft!$DD$29</f>
        <v>8000</v>
      </c>
      <c r="Y140" s="107">
        <f>squft!$DH$29</f>
        <v>8000</v>
      </c>
      <c r="Z140" s="80">
        <f>squft!$DL$29</f>
        <v>8000</v>
      </c>
      <c r="AA140" s="80">
        <f>squft!$DP$29</f>
        <v>8000</v>
      </c>
      <c r="AB140" s="80">
        <f>squft!$DT$29</f>
        <v>8000</v>
      </c>
      <c r="AC140" s="80">
        <f>squft!$DX$29</f>
        <v>8000</v>
      </c>
      <c r="AD140" s="80">
        <f>squft!$EB$29</f>
        <v>8000</v>
      </c>
      <c r="AE140" s="82"/>
      <c r="AF140" s="80"/>
      <c r="AG140" s="49"/>
      <c r="AH140" s="647"/>
    </row>
    <row r="141" spans="1:34">
      <c r="A141" s="1"/>
      <c r="B141" s="1"/>
      <c r="C141" s="1"/>
      <c r="D141" s="1"/>
      <c r="E141" s="1"/>
      <c r="F141" s="1"/>
      <c r="G141" s="1"/>
      <c r="H141" s="132"/>
      <c r="I141" s="1"/>
      <c r="J141" s="1"/>
      <c r="K141" s="1"/>
      <c r="L141" s="1"/>
      <c r="M141" s="1"/>
      <c r="N141" s="1"/>
      <c r="O141" s="1"/>
      <c r="P141" s="1"/>
      <c r="Q141" s="1"/>
      <c r="R141" s="1"/>
      <c r="S141" s="1"/>
      <c r="T141" s="1"/>
      <c r="U141" s="1"/>
      <c r="V141" s="50"/>
      <c r="W141" s="50"/>
      <c r="X141" s="50"/>
      <c r="Y141" s="50"/>
      <c r="Z141" s="50"/>
      <c r="AA141" s="50"/>
      <c r="AB141" s="50"/>
      <c r="AC141" s="50"/>
      <c r="AD141" s="50"/>
      <c r="AE141" s="81"/>
      <c r="AF141" s="50"/>
      <c r="AG141" s="49"/>
      <c r="AH141" s="647"/>
    </row>
    <row r="142" spans="1:34">
      <c r="A142" s="210" t="s">
        <v>92</v>
      </c>
      <c r="B142" s="7"/>
      <c r="C142" s="7"/>
      <c r="D142" s="7"/>
      <c r="E142" s="7"/>
      <c r="F142" s="7"/>
      <c r="G142" s="7"/>
      <c r="H142" s="118"/>
      <c r="I142" s="118">
        <f t="shared" ref="I142:V142" si="143">(I111-I138)/I127</f>
        <v>1.0209070590426523</v>
      </c>
      <c r="J142" s="118">
        <f t="shared" si="143"/>
        <v>1.1099404115226339</v>
      </c>
      <c r="K142" s="118">
        <f t="shared" si="143"/>
        <v>0.91550101223532365</v>
      </c>
      <c r="L142" s="118">
        <f t="shared" si="143"/>
        <v>1.1356636072301078</v>
      </c>
      <c r="M142" s="118">
        <f t="shared" si="143"/>
        <v>1.237797482671978</v>
      </c>
      <c r="N142" s="118">
        <f t="shared" si="143"/>
        <v>1.2511959807444084</v>
      </c>
      <c r="O142" s="118">
        <f t="shared" si="143"/>
        <v>0.93508749298352101</v>
      </c>
      <c r="P142" s="118">
        <f t="shared" si="143"/>
        <v>0.79205659018250363</v>
      </c>
      <c r="Q142" s="118">
        <f t="shared" si="143"/>
        <v>1.3379126305275681</v>
      </c>
      <c r="R142" s="118">
        <f t="shared" si="143"/>
        <v>3.8285190042383426</v>
      </c>
      <c r="S142" s="118">
        <f t="shared" si="143"/>
        <v>3.9834054188995687</v>
      </c>
      <c r="T142" s="118">
        <f t="shared" si="143"/>
        <v>2.7906272828431717</v>
      </c>
      <c r="U142" s="118">
        <f t="shared" si="143"/>
        <v>2.1173685885011997</v>
      </c>
      <c r="V142" s="118">
        <f t="shared" si="143"/>
        <v>-5.1379625248225729</v>
      </c>
      <c r="W142" s="118">
        <f t="shared" ref="W142:AB142" si="144">(W111-W138)/W127</f>
        <v>1.875478379801486</v>
      </c>
      <c r="X142" s="118">
        <f t="shared" si="144"/>
        <v>1.4579278027247093</v>
      </c>
      <c r="Y142" s="118">
        <f t="shared" si="144"/>
        <v>-4.6135997751244719</v>
      </c>
      <c r="Z142" s="118">
        <f t="shared" si="144"/>
        <v>-1.3953130988752269</v>
      </c>
      <c r="AA142" s="118">
        <f t="shared" si="144"/>
        <v>-4.4968820449387971E-2</v>
      </c>
      <c r="AB142" s="118">
        <f t="shared" si="144"/>
        <v>8.6439392785268271E-2</v>
      </c>
      <c r="AC142" s="118">
        <f>(AC111-AC138)/AC127</f>
        <v>0.10160046864161987</v>
      </c>
      <c r="AD142" s="118">
        <f>(AD111-AD138)/AD127</f>
        <v>4.1221060529869182E-3</v>
      </c>
      <c r="AE142" s="83"/>
      <c r="AF142" s="2"/>
      <c r="AG142" s="84"/>
      <c r="AH142" s="752"/>
    </row>
    <row r="143" spans="1:34">
      <c r="A143" s="1"/>
      <c r="B143" s="1"/>
      <c r="C143" s="1"/>
      <c r="D143" s="1"/>
      <c r="E143" s="1"/>
      <c r="F143" s="1"/>
      <c r="G143" s="1"/>
      <c r="H143" s="18"/>
      <c r="I143" s="1"/>
      <c r="J143" s="1"/>
      <c r="K143" s="1"/>
      <c r="L143" s="1"/>
      <c r="M143" s="1"/>
      <c r="N143" s="1"/>
      <c r="O143" s="1"/>
      <c r="P143" s="1"/>
      <c r="Q143" s="1"/>
      <c r="R143" s="1"/>
      <c r="S143" s="1"/>
      <c r="T143" s="1"/>
      <c r="U143" s="1"/>
      <c r="V143" s="50"/>
      <c r="W143" s="50"/>
      <c r="X143" s="50"/>
      <c r="Y143" s="50"/>
      <c r="Z143" s="50"/>
      <c r="AA143" s="50"/>
      <c r="AB143" s="50"/>
      <c r="AC143" s="50"/>
      <c r="AD143" s="50"/>
      <c r="AE143" s="50"/>
      <c r="AF143" s="50"/>
      <c r="AG143" s="49"/>
      <c r="AH143" s="50"/>
    </row>
    <row r="144" spans="1:34">
      <c r="A144" s="47" t="s">
        <v>715</v>
      </c>
      <c r="B144" s="1"/>
      <c r="C144" s="1"/>
      <c r="D144" s="1"/>
      <c r="E144" s="1"/>
      <c r="F144" s="1"/>
      <c r="G144" s="1"/>
      <c r="H144" s="1"/>
      <c r="I144" s="18">
        <f t="shared" ref="I144:W144" si="145">+(I111-I138)/I121</f>
        <v>0.9539244691959623</v>
      </c>
      <c r="J144" s="18">
        <f t="shared" si="145"/>
        <v>1.1577271670681715</v>
      </c>
      <c r="K144" s="18">
        <f t="shared" si="145"/>
        <v>0.95079854373583939</v>
      </c>
      <c r="L144" s="18">
        <f t="shared" si="145"/>
        <v>1.155807650685966</v>
      </c>
      <c r="M144" s="18">
        <f t="shared" si="145"/>
        <v>1.2714224258622702</v>
      </c>
      <c r="N144" s="18">
        <f t="shared" si="145"/>
        <v>1.3168820066708906</v>
      </c>
      <c r="O144" s="18">
        <f t="shared" si="145"/>
        <v>1.0015567174770312</v>
      </c>
      <c r="P144" s="18">
        <f t="shared" si="145"/>
        <v>0.8474025005752065</v>
      </c>
      <c r="Q144" s="18">
        <f t="shared" si="145"/>
        <v>1.5453141382314146</v>
      </c>
      <c r="R144" s="18">
        <f t="shared" si="145"/>
        <v>5.9797295112121391</v>
      </c>
      <c r="S144" s="18">
        <f t="shared" si="145"/>
        <v>5.2579078653615028</v>
      </c>
      <c r="T144" s="18">
        <f t="shared" si="145"/>
        <v>3.8140584562560549</v>
      </c>
      <c r="U144" s="18">
        <f t="shared" si="145"/>
        <v>4.0330996826460668</v>
      </c>
      <c r="V144" s="576">
        <f>+(V111-V138)/V121</f>
        <v>-1.0620790321956408</v>
      </c>
      <c r="W144" s="576">
        <f t="shared" si="145"/>
        <v>1.2347867579108824</v>
      </c>
      <c r="X144" s="576">
        <f t="shared" ref="X144:AC144" si="146">+(X111-X138)/X121</f>
        <v>0.89106659563132551</v>
      </c>
      <c r="Y144" s="576">
        <f t="shared" si="146"/>
        <v>-2.4955214178516743</v>
      </c>
      <c r="Z144" s="576">
        <f t="shared" si="146"/>
        <v>-0.70583998377304746</v>
      </c>
      <c r="AA144" s="576">
        <f t="shared" si="146"/>
        <v>-3.055590310925246E-2</v>
      </c>
      <c r="AB144" s="576">
        <f t="shared" si="146"/>
        <v>6.7283274226494952E-2</v>
      </c>
      <c r="AC144" s="576">
        <f t="shared" si="146"/>
        <v>7.8208553300133349E-2</v>
      </c>
      <c r="AD144" s="576">
        <f t="shared" ref="AD144" si="147">+(AD111-AD138)/AD121</f>
        <v>3.1366005168046757E-3</v>
      </c>
      <c r="AE144" s="1"/>
      <c r="AF144" s="1"/>
      <c r="AG144" s="1"/>
      <c r="AH144" s="1"/>
    </row>
    <row r="145" spans="1:34">
      <c r="A145" s="47"/>
      <c r="B145" s="1"/>
      <c r="C145" s="1"/>
      <c r="D145" s="1"/>
      <c r="E145" s="1"/>
      <c r="F145" s="1"/>
      <c r="G145" s="1"/>
      <c r="H145" s="1"/>
      <c r="I145" s="18"/>
      <c r="J145" s="18"/>
      <c r="K145" s="18"/>
      <c r="L145" s="18"/>
      <c r="M145" s="18"/>
      <c r="N145" s="18"/>
      <c r="O145" s="18"/>
      <c r="P145" s="18"/>
      <c r="Q145" s="18"/>
      <c r="R145" s="18"/>
      <c r="S145" s="18"/>
      <c r="T145" s="18"/>
      <c r="U145" s="18"/>
      <c r="V145" s="576"/>
      <c r="W145" s="576"/>
      <c r="X145" s="576"/>
      <c r="Y145" s="576"/>
      <c r="Z145" s="576"/>
      <c r="AA145" s="576"/>
      <c r="AB145" s="576"/>
      <c r="AC145" s="576"/>
      <c r="AD145" s="576"/>
      <c r="AE145" s="1"/>
      <c r="AF145" s="1"/>
      <c r="AG145" s="1"/>
      <c r="AH145" s="1"/>
    </row>
    <row r="146" spans="1:34" ht="14.25">
      <c r="A146" s="1836" t="s">
        <v>774</v>
      </c>
      <c r="B146" s="1"/>
      <c r="C146" s="1"/>
      <c r="D146" s="1"/>
      <c r="E146" s="1"/>
      <c r="F146" s="1"/>
      <c r="G146" s="1"/>
      <c r="H146" s="1"/>
      <c r="I146" s="18"/>
      <c r="J146" s="18"/>
      <c r="K146" s="18"/>
      <c r="L146" s="18"/>
      <c r="M146" s="18"/>
      <c r="N146" s="18"/>
      <c r="O146" s="18"/>
      <c r="P146" s="18"/>
      <c r="Q146" s="18"/>
      <c r="R146" s="18"/>
      <c r="S146" s="18"/>
      <c r="T146" s="18"/>
      <c r="U146" s="18"/>
      <c r="V146" s="576"/>
      <c r="W146" s="576"/>
      <c r="X146" s="576"/>
      <c r="Y146" s="576"/>
      <c r="Z146" s="576"/>
      <c r="AA146" s="576"/>
      <c r="AB146" s="576"/>
      <c r="AC146" s="576"/>
      <c r="AD146" s="576"/>
      <c r="AE146" s="1"/>
      <c r="AF146" s="1"/>
      <c r="AG146" s="1"/>
      <c r="AH146" s="1"/>
    </row>
    <row r="147" spans="1:34">
      <c r="A147" s="1" t="s">
        <v>6</v>
      </c>
      <c r="B147" s="1"/>
      <c r="C147" s="1"/>
      <c r="D147" s="1"/>
      <c r="E147" s="1"/>
      <c r="F147" s="1"/>
      <c r="G147" s="1"/>
      <c r="H147" s="1"/>
      <c r="I147" s="18"/>
      <c r="J147" s="18"/>
      <c r="K147" s="18"/>
      <c r="L147" s="18"/>
      <c r="M147" s="18"/>
      <c r="N147" s="18"/>
      <c r="O147" s="18"/>
      <c r="P147" s="18"/>
      <c r="Q147" s="18"/>
      <c r="R147" s="18"/>
      <c r="S147" s="18"/>
      <c r="T147" s="18"/>
      <c r="U147" s="18"/>
      <c r="V147" s="576"/>
      <c r="W147" s="576"/>
      <c r="X147" s="576"/>
      <c r="Y147" s="576"/>
      <c r="Z147" s="576"/>
      <c r="AA147" s="576"/>
      <c r="AB147" s="576"/>
      <c r="AC147" s="576"/>
      <c r="AD147" s="576"/>
      <c r="AE147" s="1"/>
      <c r="AF147" s="1"/>
      <c r="AG147" s="1"/>
      <c r="AH147" s="1"/>
    </row>
    <row r="148" spans="1:34">
      <c r="A148" s="2"/>
      <c r="B148" s="2"/>
      <c r="C148" s="2"/>
      <c r="D148" s="2"/>
      <c r="E148" s="2"/>
      <c r="F148" s="2"/>
      <c r="G148" s="2"/>
      <c r="H148" s="2"/>
      <c r="I148" s="333"/>
      <c r="J148" s="333"/>
      <c r="K148" s="333"/>
      <c r="L148" s="333"/>
      <c r="M148" s="333"/>
      <c r="N148" s="333"/>
      <c r="O148" s="333"/>
      <c r="P148" s="333"/>
      <c r="Q148" s="333"/>
      <c r="R148" s="333"/>
      <c r="S148" s="333"/>
      <c r="T148" s="333"/>
      <c r="U148" s="333"/>
      <c r="V148" s="333"/>
      <c r="W148" s="333"/>
      <c r="X148" s="333"/>
      <c r="Y148" s="333"/>
      <c r="Z148" s="333"/>
      <c r="AA148" s="333"/>
      <c r="AB148" s="333"/>
      <c r="AC148" s="333"/>
      <c r="AD148" s="333"/>
      <c r="AE148" s="2"/>
      <c r="AF148" s="2"/>
      <c r="AG148" s="2"/>
      <c r="AH148" s="2"/>
    </row>
    <row r="149" spans="1:34" hidden="1" outlineLevel="1">
      <c r="A149" s="328" t="s">
        <v>47</v>
      </c>
      <c r="B149" s="329"/>
      <c r="C149" s="329"/>
      <c r="D149" s="329"/>
      <c r="E149" s="329"/>
      <c r="F149" s="329"/>
      <c r="G149" s="329"/>
      <c r="H149" s="329"/>
      <c r="I149" s="329"/>
      <c r="J149" s="329"/>
      <c r="K149" s="329"/>
      <c r="L149" s="1017"/>
      <c r="M149" s="1017"/>
      <c r="N149" s="1017"/>
      <c r="O149" s="1017"/>
      <c r="P149" s="1017"/>
      <c r="Q149" s="1017"/>
      <c r="R149" s="1017"/>
      <c r="S149" s="1017"/>
      <c r="T149" s="1017"/>
      <c r="U149" s="1017"/>
      <c r="V149" s="332"/>
      <c r="W149" s="332"/>
      <c r="X149" s="332"/>
      <c r="Y149" s="332"/>
      <c r="Z149" s="332"/>
      <c r="AA149" s="332"/>
      <c r="AB149" s="332"/>
      <c r="AC149" s="332"/>
      <c r="AD149" s="332"/>
      <c r="AE149" s="329"/>
      <c r="AF149" s="329"/>
      <c r="AG149" s="329"/>
      <c r="AH149" s="329"/>
    </row>
    <row r="150" spans="1:34" hidden="1" outlineLevel="1">
      <c r="A150" s="326" t="str">
        <f>+A2</f>
        <v>Annual Sales Model, Fiscal 1997A-2018E</v>
      </c>
      <c r="B150" s="327"/>
      <c r="C150" s="327"/>
      <c r="D150" s="327"/>
      <c r="E150" s="327"/>
      <c r="F150" s="327"/>
      <c r="G150" s="327"/>
      <c r="H150" s="327"/>
      <c r="I150" s="327"/>
      <c r="J150" s="327"/>
      <c r="K150" s="327" t="s">
        <v>647</v>
      </c>
      <c r="L150" s="327"/>
      <c r="M150" s="327"/>
      <c r="N150" s="327"/>
      <c r="O150" s="327"/>
      <c r="P150" s="351"/>
      <c r="Q150" s="327"/>
      <c r="R150" s="327"/>
      <c r="S150" s="327"/>
      <c r="T150" s="327"/>
      <c r="U150" s="327"/>
      <c r="V150" s="327"/>
      <c r="W150" s="327"/>
      <c r="X150" s="327"/>
      <c r="Y150" s="327"/>
      <c r="Z150" s="327"/>
      <c r="AA150" s="327"/>
      <c r="AB150" s="327"/>
      <c r="AC150" s="327"/>
      <c r="AD150" s="327"/>
      <c r="AE150" s="327"/>
      <c r="AF150" s="327"/>
      <c r="AG150" s="327"/>
      <c r="AH150" s="327"/>
    </row>
    <row r="151" spans="1:34" hidden="1" outlineLevel="1">
      <c r="A151" s="21"/>
      <c r="B151" s="50"/>
      <c r="C151" s="50"/>
      <c r="D151" s="50"/>
      <c r="E151" s="50"/>
      <c r="F151" s="50"/>
      <c r="G151" s="50"/>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row>
    <row r="152" spans="1:34" hidden="1" outlineLevel="1">
      <c r="A152" s="3"/>
      <c r="B152" s="1"/>
      <c r="C152" s="1"/>
      <c r="D152" s="1"/>
      <c r="E152" s="1"/>
      <c r="F152" s="1"/>
      <c r="G152" s="1"/>
      <c r="H152" s="1"/>
      <c r="I152" s="1"/>
      <c r="J152" s="1"/>
      <c r="K152" s="1"/>
      <c r="L152" s="1"/>
      <c r="M152" s="1"/>
      <c r="N152" s="1"/>
      <c r="O152" s="1"/>
      <c r="P152" s="1"/>
      <c r="Q152" s="1"/>
      <c r="R152" s="1"/>
      <c r="S152" s="1"/>
      <c r="T152" s="1"/>
      <c r="U152" s="1"/>
      <c r="V152" s="50"/>
      <c r="W152" s="50"/>
      <c r="X152" s="50"/>
      <c r="Y152" s="50"/>
      <c r="Z152" s="50"/>
      <c r="AA152" s="50"/>
      <c r="AB152" s="50"/>
      <c r="AC152" s="50"/>
      <c r="AD152" s="50"/>
      <c r="AE152" s="299"/>
      <c r="AF152" s="255"/>
      <c r="AG152" s="299"/>
      <c r="AH152" s="359"/>
    </row>
    <row r="153" spans="1:34" hidden="1" outlineLevel="1">
      <c r="A153" s="4"/>
      <c r="B153" s="121">
        <f>+B52</f>
        <v>0</v>
      </c>
      <c r="C153" s="121">
        <f>+C52</f>
        <v>0</v>
      </c>
      <c r="D153" s="121">
        <f>+D52</f>
        <v>0</v>
      </c>
      <c r="E153" s="121">
        <f t="shared" ref="E153:K153" si="148">+E5</f>
        <v>1997</v>
      </c>
      <c r="F153" s="121">
        <f t="shared" si="148"/>
        <v>1998</v>
      </c>
      <c r="G153" s="121">
        <f t="shared" si="148"/>
        <v>1999</v>
      </c>
      <c r="H153" s="121">
        <f t="shared" si="148"/>
        <v>2000</v>
      </c>
      <c r="I153" s="121">
        <f t="shared" si="148"/>
        <v>2001</v>
      </c>
      <c r="J153" s="121">
        <f t="shared" si="148"/>
        <v>2002</v>
      </c>
      <c r="K153" s="121">
        <f t="shared" si="148"/>
        <v>2003</v>
      </c>
      <c r="L153" s="48">
        <f t="shared" ref="L153:Q153" si="149">K153+1</f>
        <v>2004</v>
      </c>
      <c r="M153" s="48">
        <f t="shared" si="149"/>
        <v>2005</v>
      </c>
      <c r="N153" s="48">
        <f t="shared" si="149"/>
        <v>2006</v>
      </c>
      <c r="O153" s="48">
        <f t="shared" si="149"/>
        <v>2007</v>
      </c>
      <c r="P153" s="48">
        <f t="shared" si="149"/>
        <v>2008</v>
      </c>
      <c r="Q153" s="48">
        <f t="shared" si="149"/>
        <v>2009</v>
      </c>
      <c r="R153" s="256"/>
      <c r="S153" s="256"/>
      <c r="T153" s="256"/>
      <c r="U153" s="256"/>
      <c r="V153" s="256"/>
      <c r="W153" s="256"/>
      <c r="X153" s="256"/>
      <c r="Y153" s="700"/>
      <c r="Z153" s="700"/>
      <c r="AA153" s="700"/>
      <c r="AB153" s="700"/>
      <c r="AC153" s="700"/>
      <c r="AD153" s="700"/>
      <c r="AE153" s="300"/>
      <c r="AF153" s="297"/>
      <c r="AG153" s="300"/>
      <c r="AH153" s="297"/>
    </row>
    <row r="154" spans="1:34" hidden="1" outlineLevel="1">
      <c r="A154" s="4"/>
      <c r="B154" s="4"/>
      <c r="C154" s="4"/>
      <c r="D154" s="4"/>
      <c r="E154" s="1"/>
      <c r="F154" s="1"/>
      <c r="G154" s="1"/>
      <c r="H154" s="1"/>
      <c r="I154" s="1"/>
      <c r="J154" s="1"/>
      <c r="K154" s="1"/>
      <c r="V154" s="97"/>
      <c r="W154" s="97"/>
      <c r="X154" s="97"/>
      <c r="Y154" s="97"/>
      <c r="Z154" s="97"/>
      <c r="AA154" s="97"/>
      <c r="AB154" s="97"/>
      <c r="AC154" s="97"/>
      <c r="AD154" s="97"/>
      <c r="AE154" s="297"/>
      <c r="AF154" s="297"/>
      <c r="AG154" s="297"/>
      <c r="AH154" s="297"/>
    </row>
    <row r="155" spans="1:34" hidden="1" outlineLevel="2">
      <c r="A155" s="1" t="s">
        <v>697</v>
      </c>
      <c r="B155" s="4"/>
      <c r="C155" s="4"/>
      <c r="D155" s="4"/>
      <c r="E155" s="1"/>
      <c r="F155" s="1"/>
      <c r="G155" s="1"/>
      <c r="H155" s="1"/>
      <c r="I155" s="1"/>
      <c r="J155" s="15"/>
      <c r="K155" s="15"/>
      <c r="L155" s="15">
        <f>SegqtrSales!AI358</f>
        <v>11875.677090487001</v>
      </c>
      <c r="M155" s="15">
        <f>SegqtrSales!AI365</f>
        <v>17.411999999999999</v>
      </c>
      <c r="N155" s="15">
        <f>SegqtrSales!AI372</f>
        <v>33.981999999999999</v>
      </c>
      <c r="O155" s="15">
        <f>O159</f>
        <v>50.191000000000003</v>
      </c>
      <c r="P155" s="15">
        <f>SegqtrSales!AI386</f>
        <v>56.173000000000002</v>
      </c>
      <c r="Q155" s="5">
        <f>SegqtrSales!$AI$393</f>
        <v>44.829637090909088</v>
      </c>
      <c r="R155" s="5"/>
      <c r="S155" s="5"/>
      <c r="T155" s="5"/>
      <c r="U155" s="5"/>
      <c r="V155" s="589"/>
      <c r="W155" s="589"/>
      <c r="X155" s="589"/>
      <c r="Y155" s="589"/>
      <c r="Z155" s="589"/>
      <c r="AA155" s="589"/>
      <c r="AB155" s="589"/>
      <c r="AC155" s="589"/>
      <c r="AD155" s="589"/>
      <c r="AE155" s="297"/>
      <c r="AF155" s="297"/>
      <c r="AG155" s="297"/>
      <c r="AH155" s="297"/>
    </row>
    <row r="156" spans="1:34" hidden="1" outlineLevel="2">
      <c r="A156" s="210" t="s">
        <v>77</v>
      </c>
      <c r="B156" s="4"/>
      <c r="C156" s="4"/>
      <c r="D156" s="4"/>
      <c r="E156" s="1"/>
      <c r="F156" s="1"/>
      <c r="G156" s="1"/>
      <c r="H156" s="1"/>
      <c r="I156" s="1"/>
      <c r="J156" s="278"/>
      <c r="K156" s="281"/>
      <c r="L156" s="281"/>
      <c r="M156" s="281">
        <f>M155/L155-1</f>
        <v>-0.99853380991523022</v>
      </c>
      <c r="N156" s="281">
        <f>N155/M155-1</f>
        <v>0.95164254537100867</v>
      </c>
      <c r="O156" s="281">
        <f>O155/N155-1</f>
        <v>0.47698781707963045</v>
      </c>
      <c r="P156" s="281">
        <f>P155/O155-1</f>
        <v>0.11918471439102629</v>
      </c>
      <c r="Q156" s="281">
        <f>Q155/P155-1</f>
        <v>-0.20193621328914091</v>
      </c>
      <c r="R156" s="281"/>
      <c r="S156" s="281"/>
      <c r="T156" s="281"/>
      <c r="U156" s="281"/>
      <c r="V156" s="575"/>
      <c r="W156" s="575"/>
      <c r="X156" s="575"/>
      <c r="Y156" s="575"/>
      <c r="Z156" s="575"/>
      <c r="AA156" s="575"/>
      <c r="AB156" s="575"/>
      <c r="AC156" s="575"/>
      <c r="AD156" s="575"/>
      <c r="AE156" s="297"/>
      <c r="AF156" s="297"/>
      <c r="AG156" s="297"/>
      <c r="AH156" s="297"/>
    </row>
    <row r="157" spans="1:34" ht="13.5" hidden="1" customHeight="1" outlineLevel="2">
      <c r="A157" s="13" t="s">
        <v>358</v>
      </c>
      <c r="B157" s="4"/>
      <c r="C157" s="4"/>
      <c r="D157" s="4"/>
      <c r="E157" s="1"/>
      <c r="F157" s="1"/>
      <c r="G157" s="1"/>
      <c r="H157" s="1"/>
      <c r="I157" s="1"/>
      <c r="J157" s="281"/>
      <c r="K157" s="278"/>
      <c r="L157" s="278">
        <v>0</v>
      </c>
      <c r="M157" s="278">
        <v>0</v>
      </c>
      <c r="N157" s="278">
        <v>0</v>
      </c>
      <c r="O157" s="278"/>
      <c r="P157" s="278"/>
      <c r="Q157" s="278"/>
      <c r="R157" s="278"/>
      <c r="S157" s="278"/>
      <c r="T157" s="278"/>
      <c r="U157" s="278"/>
      <c r="V157" s="590"/>
      <c r="W157" s="590"/>
      <c r="X157" s="590"/>
      <c r="Y157" s="590"/>
      <c r="Z157" s="590"/>
      <c r="AA157" s="590"/>
      <c r="AB157" s="590"/>
      <c r="AC157" s="590"/>
      <c r="AD157" s="590"/>
      <c r="AE157" s="297"/>
      <c r="AF157" s="297"/>
      <c r="AG157" s="297"/>
      <c r="AH157" s="297"/>
    </row>
    <row r="158" spans="1:34" hidden="1" outlineLevel="2">
      <c r="A158" s="210" t="s">
        <v>77</v>
      </c>
      <c r="B158" s="4"/>
      <c r="C158" s="4"/>
      <c r="D158" s="4"/>
      <c r="E158" s="1"/>
      <c r="F158" s="1"/>
      <c r="G158" s="50"/>
      <c r="H158" s="50"/>
      <c r="I158" s="50"/>
      <c r="J158" s="50"/>
      <c r="K158" s="291"/>
      <c r="L158" s="286"/>
      <c r="M158" s="286"/>
      <c r="N158" s="286"/>
      <c r="O158" s="1831"/>
      <c r="P158" s="1831"/>
      <c r="Q158" s="1831"/>
      <c r="R158" s="1831"/>
      <c r="S158" s="1831"/>
      <c r="T158" s="1832"/>
      <c r="U158" s="1832"/>
      <c r="V158" s="1831"/>
      <c r="W158" s="1832"/>
      <c r="X158" s="97"/>
      <c r="Y158" s="97"/>
      <c r="Z158" s="97"/>
      <c r="AA158" s="97"/>
      <c r="AB158" s="97"/>
      <c r="AC158" s="97"/>
      <c r="AD158" s="97"/>
      <c r="AE158" s="297"/>
      <c r="AF158" s="297"/>
      <c r="AG158" s="297"/>
      <c r="AH158" s="297"/>
    </row>
    <row r="159" spans="1:34" hidden="1" outlineLevel="1" collapsed="1">
      <c r="A159" s="210" t="str">
        <f>+A11</f>
        <v xml:space="preserve">Total Division Sales ($MM) </v>
      </c>
      <c r="B159" s="5"/>
      <c r="C159" s="45"/>
      <c r="D159" s="5"/>
      <c r="E159" s="5"/>
      <c r="F159" s="5"/>
      <c r="G159" s="292"/>
      <c r="H159" s="292"/>
      <c r="I159" s="292"/>
      <c r="J159" s="292"/>
      <c r="K159" s="292"/>
      <c r="L159" s="288">
        <f>L155+L157</f>
        <v>11875.677090487001</v>
      </c>
      <c r="M159" s="288">
        <f>M155+M157</f>
        <v>17.411999999999999</v>
      </c>
      <c r="N159" s="288">
        <f>N155+N157</f>
        <v>33.981999999999999</v>
      </c>
      <c r="O159" s="288">
        <f>SegqtrSales!AY379</f>
        <v>50.191000000000003</v>
      </c>
      <c r="P159" s="288">
        <f>P155+P157</f>
        <v>56.173000000000002</v>
      </c>
      <c r="Q159" s="288">
        <f>Q155+Q157</f>
        <v>44.829637090909088</v>
      </c>
      <c r="R159" s="287"/>
      <c r="S159" s="287"/>
      <c r="T159" s="287"/>
      <c r="U159" s="287"/>
      <c r="V159" s="591"/>
      <c r="W159" s="591"/>
      <c r="X159" s="591"/>
      <c r="Y159" s="591"/>
      <c r="Z159" s="591"/>
      <c r="AA159" s="591"/>
      <c r="AB159" s="591"/>
      <c r="AC159" s="591"/>
      <c r="AD159" s="591"/>
      <c r="AE159" s="49"/>
      <c r="AF159" s="79"/>
      <c r="AG159" s="49"/>
      <c r="AH159" s="79"/>
    </row>
    <row r="160" spans="1:34" hidden="1" outlineLevel="1">
      <c r="A160" s="210" t="s">
        <v>77</v>
      </c>
      <c r="B160" s="7"/>
      <c r="C160" s="122"/>
      <c r="D160" s="123"/>
      <c r="E160" s="7"/>
      <c r="F160" s="7"/>
      <c r="G160" s="282"/>
      <c r="H160" s="282"/>
      <c r="I160" s="282"/>
      <c r="J160" s="282"/>
      <c r="K160" s="282"/>
      <c r="L160" s="124" t="s">
        <v>444</v>
      </c>
      <c r="M160" s="7">
        <f>M159/L159-1</f>
        <v>-0.99853380991523022</v>
      </c>
      <c r="N160" s="7">
        <f>N159/M159-1</f>
        <v>0.95164254537100867</v>
      </c>
      <c r="O160" s="7">
        <f>O159/N159-1</f>
        <v>0.47698781707963045</v>
      </c>
      <c r="P160" s="7">
        <f>P159/O159-1</f>
        <v>0.11918471439102629</v>
      </c>
      <c r="Q160" s="7">
        <f>Q159/P159-1</f>
        <v>-0.20193621328914091</v>
      </c>
      <c r="R160" s="7"/>
      <c r="S160" s="7"/>
      <c r="T160" s="7"/>
      <c r="U160" s="7"/>
      <c r="V160" s="118"/>
      <c r="W160" s="118"/>
      <c r="X160" s="118"/>
      <c r="Y160" s="118"/>
      <c r="Z160" s="118"/>
      <c r="AA160" s="118"/>
      <c r="AB160" s="118"/>
      <c r="AC160" s="118"/>
      <c r="AD160" s="118"/>
      <c r="AE160" s="297"/>
      <c r="AF160" s="297"/>
      <c r="AG160" s="106"/>
      <c r="AH160" s="297"/>
    </row>
    <row r="161" spans="1:34" hidden="1" outlineLevel="1">
      <c r="A161" s="210" t="s">
        <v>723</v>
      </c>
      <c r="B161" s="7"/>
      <c r="C161" s="122"/>
      <c r="D161" s="123"/>
      <c r="E161" s="7"/>
      <c r="F161" s="7"/>
      <c r="G161" s="282"/>
      <c r="H161" s="282"/>
      <c r="I161" s="118"/>
      <c r="J161" s="118"/>
      <c r="K161" s="118"/>
      <c r="L161" s="7">
        <f t="shared" ref="L161:Q161" si="150">+L159/L$206</f>
        <v>5.8754006624041324</v>
      </c>
      <c r="M161" s="7">
        <f t="shared" si="150"/>
        <v>6.2527134772692745E-3</v>
      </c>
      <c r="N161" s="7">
        <f t="shared" si="150"/>
        <v>1.0241224197280539E-2</v>
      </c>
      <c r="O161" s="7">
        <f t="shared" si="150"/>
        <v>1.3384812767027562E-2</v>
      </c>
      <c r="P161" s="7">
        <f t="shared" si="150"/>
        <v>1.5947433344168795E-2</v>
      </c>
      <c r="Q161" s="7">
        <f t="shared" si="150"/>
        <v>1.520922352290717E-2</v>
      </c>
      <c r="R161" s="7"/>
      <c r="S161" s="7"/>
      <c r="T161" s="7"/>
      <c r="U161" s="7"/>
      <c r="V161" s="118"/>
      <c r="W161" s="118"/>
      <c r="X161" s="118"/>
      <c r="Y161" s="118"/>
      <c r="Z161" s="118"/>
      <c r="AA161" s="118"/>
      <c r="AB161" s="118"/>
      <c r="AC161" s="118"/>
      <c r="AD161" s="118"/>
      <c r="AE161" s="297"/>
      <c r="AF161" s="297"/>
      <c r="AG161" s="106"/>
      <c r="AH161" s="297"/>
    </row>
    <row r="162" spans="1:34" hidden="1" outlineLevel="1">
      <c r="A162" s="1"/>
      <c r="B162" s="1"/>
      <c r="C162" s="1"/>
      <c r="D162" s="1"/>
      <c r="E162" s="1"/>
      <c r="F162" s="1"/>
      <c r="G162" s="50"/>
      <c r="H162" s="50"/>
      <c r="I162" s="50"/>
      <c r="J162" s="50"/>
      <c r="K162" s="50"/>
      <c r="L162" s="1"/>
      <c r="M162" s="1"/>
      <c r="N162" s="1"/>
      <c r="O162" s="1"/>
      <c r="P162" s="1"/>
      <c r="Q162" s="1"/>
      <c r="R162" s="1"/>
      <c r="S162" s="1"/>
      <c r="T162" s="1"/>
      <c r="U162" s="1"/>
      <c r="V162" s="50"/>
      <c r="W162" s="50"/>
      <c r="X162" s="50"/>
      <c r="Y162" s="50"/>
      <c r="Z162" s="50"/>
      <c r="AA162" s="50"/>
      <c r="AB162" s="50"/>
      <c r="AC162" s="50"/>
      <c r="AD162" s="50"/>
      <c r="AE162" s="297"/>
      <c r="AF162" s="297"/>
      <c r="AG162" s="106"/>
      <c r="AH162" s="297"/>
    </row>
    <row r="163" spans="1:34" hidden="1" outlineLevel="1">
      <c r="A163" s="210" t="s">
        <v>78</v>
      </c>
      <c r="B163" s="4"/>
      <c r="C163" s="4"/>
      <c r="D163" s="125"/>
      <c r="E163" s="4"/>
      <c r="F163" s="4"/>
      <c r="G163" s="293"/>
      <c r="H163" s="293"/>
      <c r="I163" s="293"/>
      <c r="J163" s="293"/>
      <c r="K163" s="293"/>
      <c r="L163" s="4">
        <f t="shared" ref="L163:Q163" si="151">K167</f>
        <v>0</v>
      </c>
      <c r="M163" s="4">
        <f t="shared" si="151"/>
        <v>4</v>
      </c>
      <c r="N163" s="4">
        <f t="shared" si="151"/>
        <v>8</v>
      </c>
      <c r="O163" s="4">
        <f t="shared" si="151"/>
        <v>14</v>
      </c>
      <c r="P163" s="4">
        <f t="shared" si="151"/>
        <v>22</v>
      </c>
      <c r="Q163" s="4">
        <f t="shared" si="151"/>
        <v>28</v>
      </c>
      <c r="R163" s="4"/>
      <c r="S163" s="4"/>
      <c r="T163" s="4"/>
      <c r="U163" s="4"/>
      <c r="V163" s="293"/>
      <c r="W163" s="293"/>
      <c r="X163" s="293"/>
      <c r="Y163" s="293"/>
      <c r="Z163" s="293"/>
      <c r="AA163" s="293"/>
      <c r="AB163" s="293"/>
      <c r="AC163" s="293"/>
      <c r="AD163" s="293"/>
      <c r="AE163" s="297"/>
      <c r="AF163" s="297"/>
      <c r="AG163" s="106"/>
      <c r="AH163" s="297"/>
    </row>
    <row r="164" spans="1:34" hidden="1" outlineLevel="1">
      <c r="A164" s="210" t="s">
        <v>353</v>
      </c>
      <c r="B164" s="4"/>
      <c r="C164" s="4"/>
      <c r="D164" s="126"/>
      <c r="E164" s="42"/>
      <c r="F164" s="42"/>
      <c r="G164" s="294"/>
      <c r="H164" s="294"/>
      <c r="I164" s="294"/>
      <c r="J164" s="294"/>
      <c r="K164" s="294"/>
      <c r="L164" s="4">
        <f>+squft!BG39</f>
        <v>4</v>
      </c>
      <c r="M164" s="4">
        <f>+squft!BK39</f>
        <v>4</v>
      </c>
      <c r="N164" s="4">
        <f>+squft!BO39</f>
        <v>7</v>
      </c>
      <c r="O164" s="4">
        <v>7</v>
      </c>
      <c r="P164" s="4">
        <f>+squft!BW39</f>
        <v>6</v>
      </c>
      <c r="Q164" s="4">
        <f>+squft!CA39</f>
        <v>0</v>
      </c>
      <c r="R164" s="4"/>
      <c r="S164" s="4"/>
      <c r="T164" s="4"/>
      <c r="U164" s="4"/>
      <c r="V164" s="293"/>
      <c r="W164" s="293"/>
      <c r="X164" s="293"/>
      <c r="Y164" s="293"/>
      <c r="Z164" s="293"/>
      <c r="AA164" s="293"/>
      <c r="AB164" s="293"/>
      <c r="AC164" s="293"/>
      <c r="AD164" s="293"/>
      <c r="AE164" s="297"/>
      <c r="AF164" s="297"/>
      <c r="AG164" s="106"/>
      <c r="AH164" s="297"/>
    </row>
    <row r="165" spans="1:34" hidden="1" outlineLevel="1">
      <c r="A165" s="211" t="s">
        <v>79</v>
      </c>
      <c r="B165" s="4"/>
      <c r="C165" s="4"/>
      <c r="D165" s="127"/>
      <c r="E165" s="42"/>
      <c r="F165" s="42"/>
      <c r="G165" s="294"/>
      <c r="H165" s="294"/>
      <c r="I165" s="294"/>
      <c r="J165" s="294"/>
      <c r="K165" s="294"/>
      <c r="L165" s="4">
        <f>+squft!BG40</f>
        <v>0</v>
      </c>
      <c r="M165" s="4">
        <f>+squft!BK40</f>
        <v>0</v>
      </c>
      <c r="N165" s="4">
        <v>0</v>
      </c>
      <c r="O165" s="4">
        <f>+squft!BS40</f>
        <v>1</v>
      </c>
      <c r="P165" s="4">
        <f>+squft!BW40</f>
        <v>0</v>
      </c>
      <c r="Q165" s="4">
        <v>-28</v>
      </c>
      <c r="R165" s="4"/>
      <c r="S165" s="4"/>
      <c r="T165" s="4"/>
      <c r="U165" s="4"/>
      <c r="V165" s="293"/>
      <c r="W165" s="293"/>
      <c r="X165" s="293"/>
      <c r="Y165" s="293"/>
      <c r="Z165" s="293"/>
      <c r="AA165" s="293"/>
      <c r="AB165" s="293"/>
      <c r="AC165" s="293"/>
      <c r="AD165" s="293"/>
      <c r="AE165" s="297"/>
      <c r="AF165" s="297"/>
      <c r="AG165" s="106"/>
      <c r="AH165" s="297"/>
    </row>
    <row r="166" spans="1:34" hidden="1" outlineLevel="1">
      <c r="A166" s="211" t="s">
        <v>57</v>
      </c>
      <c r="B166" s="4"/>
      <c r="C166" s="4"/>
      <c r="D166" s="127"/>
      <c r="E166" s="42"/>
      <c r="F166" s="42"/>
      <c r="G166" s="294"/>
      <c r="H166" s="294"/>
      <c r="I166" s="294"/>
      <c r="J166" s="294"/>
      <c r="K166" s="294"/>
      <c r="L166" s="4"/>
      <c r="M166" s="4"/>
      <c r="N166" s="4">
        <v>-1</v>
      </c>
      <c r="O166" s="4"/>
      <c r="P166" s="4"/>
      <c r="Q166" s="4"/>
      <c r="R166" s="4"/>
      <c r="S166" s="4"/>
      <c r="T166" s="4"/>
      <c r="U166" s="4"/>
      <c r="V166" s="293"/>
      <c r="W166" s="293"/>
      <c r="X166" s="293"/>
      <c r="Y166" s="293"/>
      <c r="Z166" s="293"/>
      <c r="AA166" s="293"/>
      <c r="AB166" s="293"/>
      <c r="AC166" s="293"/>
      <c r="AD166" s="293"/>
      <c r="AE166" s="297"/>
      <c r="AF166" s="297"/>
      <c r="AG166" s="106"/>
      <c r="AH166" s="297"/>
    </row>
    <row r="167" spans="1:34" hidden="1" outlineLevel="1">
      <c r="A167" s="210" t="s">
        <v>80</v>
      </c>
      <c r="B167" s="4"/>
      <c r="C167" s="4"/>
      <c r="D167" s="125"/>
      <c r="E167" s="4"/>
      <c r="F167" s="4"/>
      <c r="G167" s="293"/>
      <c r="H167" s="293"/>
      <c r="I167" s="293"/>
      <c r="J167" s="125"/>
      <c r="K167" s="293"/>
      <c r="L167" s="4">
        <f t="shared" ref="L167:Q167" si="152">+L163+L164+L165</f>
        <v>4</v>
      </c>
      <c r="M167" s="4">
        <f t="shared" si="152"/>
        <v>8</v>
      </c>
      <c r="N167" s="4">
        <f>+N163+N164+N165+N166</f>
        <v>14</v>
      </c>
      <c r="O167" s="4">
        <f t="shared" si="152"/>
        <v>22</v>
      </c>
      <c r="P167" s="4">
        <f t="shared" si="152"/>
        <v>28</v>
      </c>
      <c r="Q167" s="4">
        <f t="shared" si="152"/>
        <v>0</v>
      </c>
      <c r="R167" s="4"/>
      <c r="S167" s="4"/>
      <c r="T167" s="4"/>
      <c r="U167" s="4"/>
      <c r="V167" s="293"/>
      <c r="W167" s="293"/>
      <c r="X167" s="293"/>
      <c r="Y167" s="293"/>
      <c r="Z167" s="293"/>
      <c r="AA167" s="293"/>
      <c r="AB167" s="293"/>
      <c r="AC167" s="293"/>
      <c r="AD167" s="293"/>
      <c r="AE167" s="49"/>
      <c r="AF167" s="79"/>
      <c r="AG167" s="49"/>
      <c r="AH167" s="79"/>
    </row>
    <row r="168" spans="1:34" hidden="1" outlineLevel="1">
      <c r="A168" s="210" t="s">
        <v>81</v>
      </c>
      <c r="B168" s="8"/>
      <c r="C168" s="8"/>
      <c r="D168" s="8"/>
      <c r="E168" s="8"/>
      <c r="F168" s="8"/>
      <c r="G168" s="80"/>
      <c r="H168" s="80"/>
      <c r="I168" s="80"/>
      <c r="J168" s="80"/>
      <c r="K168" s="80"/>
      <c r="L168" s="8">
        <f t="shared" ref="L168:Q168" si="153">(+L167+L163)/2</f>
        <v>2</v>
      </c>
      <c r="M168" s="8">
        <f t="shared" si="153"/>
        <v>6</v>
      </c>
      <c r="N168" s="8">
        <f t="shared" si="153"/>
        <v>11</v>
      </c>
      <c r="O168" s="8">
        <f t="shared" si="153"/>
        <v>18</v>
      </c>
      <c r="P168" s="8">
        <f t="shared" si="153"/>
        <v>25</v>
      </c>
      <c r="Q168" s="8">
        <f t="shared" si="153"/>
        <v>14</v>
      </c>
      <c r="R168" s="8"/>
      <c r="S168" s="8"/>
      <c r="T168" s="8"/>
      <c r="U168" s="8"/>
      <c r="V168" s="80"/>
      <c r="W168" s="80"/>
      <c r="X168" s="80"/>
      <c r="Y168" s="80"/>
      <c r="Z168" s="80"/>
      <c r="AA168" s="80"/>
      <c r="AB168" s="80"/>
      <c r="AC168" s="80"/>
      <c r="AD168" s="80"/>
      <c r="AE168" s="107"/>
      <c r="AF168" s="107"/>
      <c r="AG168" s="107"/>
      <c r="AH168" s="107"/>
    </row>
    <row r="169" spans="1:34" hidden="1" outlineLevel="1">
      <c r="A169" s="210" t="s">
        <v>82</v>
      </c>
      <c r="B169" s="7"/>
      <c r="C169" s="7"/>
      <c r="D169" s="7"/>
      <c r="E169" s="7"/>
      <c r="F169" s="7"/>
      <c r="G169" s="118"/>
      <c r="H169" s="295"/>
      <c r="I169" s="295"/>
      <c r="J169" s="295"/>
      <c r="K169" s="295"/>
      <c r="L169" s="128" t="s">
        <v>251</v>
      </c>
      <c r="M169" s="7">
        <f>(M168/L168-1)</f>
        <v>2</v>
      </c>
      <c r="N169" s="7">
        <f>(N168/M168-1)</f>
        <v>0.83333333333333326</v>
      </c>
      <c r="O169" s="7">
        <f>(O168/N168-1)</f>
        <v>0.63636363636363646</v>
      </c>
      <c r="P169" s="7">
        <f>(P168/O168-1)</f>
        <v>0.38888888888888884</v>
      </c>
      <c r="Q169" s="7">
        <f>(Q168/P168-1)</f>
        <v>-0.43999999999999995</v>
      </c>
      <c r="R169" s="7"/>
      <c r="S169" s="7"/>
      <c r="T169" s="7"/>
      <c r="U169" s="7"/>
      <c r="V169" s="118"/>
      <c r="W169" s="118"/>
      <c r="X169" s="118"/>
      <c r="Y169" s="118"/>
      <c r="Z169" s="118"/>
      <c r="AA169" s="118"/>
      <c r="AB169" s="118"/>
      <c r="AC169" s="118"/>
      <c r="AD169" s="118"/>
      <c r="AE169" s="297"/>
      <c r="AF169" s="297"/>
      <c r="AG169" s="106"/>
      <c r="AH169" s="297"/>
    </row>
    <row r="170" spans="1:34" hidden="1" outlineLevel="1">
      <c r="A170" s="1"/>
      <c r="B170" s="1"/>
      <c r="C170" s="1"/>
      <c r="D170" s="7"/>
      <c r="E170" s="7"/>
      <c r="F170" s="1"/>
      <c r="G170" s="50"/>
      <c r="H170" s="50"/>
      <c r="I170" s="50"/>
      <c r="J170" s="50"/>
      <c r="K170" s="50"/>
      <c r="L170" s="1"/>
      <c r="M170" s="1"/>
      <c r="N170" s="1"/>
      <c r="O170" s="1"/>
      <c r="P170" s="1"/>
      <c r="Q170" s="1"/>
      <c r="R170" s="1"/>
      <c r="S170" s="1"/>
      <c r="T170" s="1"/>
      <c r="U170" s="1"/>
      <c r="V170" s="50"/>
      <c r="W170" s="50"/>
      <c r="X170" s="50"/>
      <c r="Y170" s="50"/>
      <c r="Z170" s="50"/>
      <c r="AA170" s="50"/>
      <c r="AB170" s="50"/>
      <c r="AC170" s="50"/>
      <c r="AD170" s="50"/>
      <c r="AE170" s="297"/>
      <c r="AF170" s="297"/>
      <c r="AG170" s="106"/>
      <c r="AH170" s="297"/>
    </row>
    <row r="171" spans="1:34" hidden="1" outlineLevel="1">
      <c r="A171" s="210" t="s">
        <v>446</v>
      </c>
      <c r="B171" s="11"/>
      <c r="C171" s="11"/>
      <c r="D171" s="11"/>
      <c r="E171" s="11"/>
      <c r="F171" s="11"/>
      <c r="G171" s="296"/>
      <c r="H171" s="296"/>
      <c r="I171" s="296"/>
      <c r="J171" s="296"/>
      <c r="K171" s="296"/>
      <c r="L171" s="11">
        <f t="shared" ref="L171:Q171" si="154">(L159)/L168</f>
        <v>5937.8385452435004</v>
      </c>
      <c r="M171" s="11">
        <f t="shared" si="154"/>
        <v>2.9019999999999997</v>
      </c>
      <c r="N171" s="11">
        <f t="shared" si="154"/>
        <v>3.0892727272727272</v>
      </c>
      <c r="O171" s="11">
        <f t="shared" si="154"/>
        <v>2.788388888888889</v>
      </c>
      <c r="P171" s="11">
        <f>(P159)/P168</f>
        <v>2.2469200000000003</v>
      </c>
      <c r="Q171" s="11">
        <f t="shared" si="154"/>
        <v>3.202116935064935</v>
      </c>
      <c r="R171" s="11"/>
      <c r="S171" s="11"/>
      <c r="T171" s="11"/>
      <c r="U171" s="11"/>
      <c r="V171" s="296"/>
      <c r="W171" s="296"/>
      <c r="X171" s="296"/>
      <c r="Y171" s="296"/>
      <c r="Z171" s="296"/>
      <c r="AA171" s="296"/>
      <c r="AB171" s="296"/>
      <c r="AC171" s="296"/>
      <c r="AD171" s="296"/>
      <c r="AE171" s="297"/>
      <c r="AF171" s="297"/>
      <c r="AG171" s="106"/>
      <c r="AH171" s="297"/>
    </row>
    <row r="172" spans="1:34" hidden="1" outlineLevel="1">
      <c r="A172" s="210" t="s">
        <v>77</v>
      </c>
      <c r="B172" s="12"/>
      <c r="C172" s="12"/>
      <c r="D172" s="129"/>
      <c r="E172" s="12"/>
      <c r="F172" s="12"/>
      <c r="G172" s="12"/>
      <c r="H172" s="128"/>
      <c r="I172" s="128"/>
      <c r="J172" s="12"/>
      <c r="K172" s="128"/>
      <c r="L172" s="128" t="s">
        <v>251</v>
      </c>
      <c r="M172" s="12">
        <f>M171/L171-1</f>
        <v>-0.99951126997174344</v>
      </c>
      <c r="N172" s="12">
        <f>N171/M171-1</f>
        <v>6.4532297475095701E-2</v>
      </c>
      <c r="O172" s="12">
        <f>O171/N171-1</f>
        <v>-9.7396334006892515E-2</v>
      </c>
      <c r="P172" s="12">
        <f>P171/O171-1</f>
        <v>-0.19418700563846103</v>
      </c>
      <c r="Q172" s="12">
        <f>Q171/P171-1</f>
        <v>0.42511390484081968</v>
      </c>
      <c r="R172" s="12"/>
      <c r="S172" s="12"/>
      <c r="T172" s="12"/>
      <c r="U172" s="12"/>
      <c r="V172" s="583"/>
      <c r="W172" s="583"/>
      <c r="X172" s="583"/>
      <c r="Y172" s="583"/>
      <c r="Z172" s="583"/>
      <c r="AA172" s="583"/>
      <c r="AB172" s="583"/>
      <c r="AC172" s="583"/>
      <c r="AD172" s="583"/>
      <c r="AE172" s="297"/>
      <c r="AF172" s="297"/>
      <c r="AG172" s="106"/>
      <c r="AH172" s="297"/>
    </row>
    <row r="173" spans="1:34" hidden="1" outlineLevel="1">
      <c r="A173" s="1"/>
      <c r="B173" s="1"/>
      <c r="C173" s="1"/>
      <c r="D173" s="1"/>
      <c r="E173" s="1"/>
      <c r="F173" s="1"/>
      <c r="G173" s="1"/>
      <c r="H173" s="1"/>
      <c r="I173" s="1"/>
      <c r="J173" s="1"/>
      <c r="K173" s="1"/>
      <c r="L173" s="1"/>
      <c r="M173" s="1"/>
      <c r="N173" s="1"/>
      <c r="O173" s="1"/>
      <c r="P173" s="1"/>
      <c r="Q173" s="1"/>
      <c r="R173" s="1"/>
      <c r="S173" s="1"/>
      <c r="T173" s="1"/>
      <c r="U173" s="1"/>
      <c r="V173" s="50"/>
      <c r="W173" s="50"/>
      <c r="X173" s="50"/>
      <c r="Y173" s="50"/>
      <c r="Z173" s="50"/>
      <c r="AA173" s="50"/>
      <c r="AB173" s="50"/>
      <c r="AC173" s="50"/>
      <c r="AD173" s="50"/>
      <c r="AE173" s="297"/>
      <c r="AF173" s="297"/>
      <c r="AG173" s="106"/>
      <c r="AH173" s="297"/>
    </row>
    <row r="174" spans="1:34" hidden="1" outlineLevel="1">
      <c r="A174" s="210" t="s">
        <v>84</v>
      </c>
      <c r="B174" s="130"/>
      <c r="C174" s="130"/>
      <c r="D174" s="131"/>
      <c r="E174" s="131"/>
      <c r="F174" s="130"/>
      <c r="G174" s="44"/>
      <c r="H174" s="10"/>
      <c r="I174" s="10"/>
      <c r="J174" s="10"/>
      <c r="K174" s="10"/>
      <c r="L174" s="10">
        <f t="shared" ref="L174:Q174" si="155">+(K177+L177)/2</f>
        <v>1.8699999999999998E-2</v>
      </c>
      <c r="M174" s="10">
        <f t="shared" si="155"/>
        <v>5.3400000000000003E-2</v>
      </c>
      <c r="N174" s="10">
        <f t="shared" si="155"/>
        <v>9.9900000000000017E-2</v>
      </c>
      <c r="O174" s="10">
        <f t="shared" si="155"/>
        <v>0.16739999999999999</v>
      </c>
      <c r="P174" s="10">
        <f t="shared" si="155"/>
        <v>0.2334</v>
      </c>
      <c r="Q174" s="10">
        <f t="shared" si="155"/>
        <v>0.13135999999999998</v>
      </c>
      <c r="R174" s="10"/>
      <c r="S174" s="10"/>
      <c r="T174" s="10"/>
      <c r="U174" s="10"/>
      <c r="V174" s="584"/>
      <c r="W174" s="584"/>
      <c r="X174" s="584"/>
      <c r="Y174" s="584"/>
      <c r="Z174" s="584"/>
      <c r="AA174" s="584"/>
      <c r="AB174" s="584"/>
      <c r="AC174" s="584"/>
      <c r="AD174" s="584"/>
      <c r="AE174" s="49"/>
      <c r="AF174" s="79"/>
      <c r="AG174" s="49"/>
      <c r="AH174" s="298"/>
    </row>
    <row r="175" spans="1:34" hidden="1" outlineLevel="1">
      <c r="A175" s="210" t="s">
        <v>77</v>
      </c>
      <c r="B175" s="7"/>
      <c r="C175" s="7"/>
      <c r="D175" s="7"/>
      <c r="E175" s="7"/>
      <c r="F175" s="7"/>
      <c r="G175" s="7"/>
      <c r="H175" s="128"/>
      <c r="I175" s="7"/>
      <c r="J175" s="7"/>
      <c r="K175" s="128"/>
      <c r="L175" s="128" t="s">
        <v>251</v>
      </c>
      <c r="M175" s="7">
        <f>M174/L174-1</f>
        <v>1.8556149732620324</v>
      </c>
      <c r="N175" s="7">
        <f>N174/M174-1</f>
        <v>0.87078651685393282</v>
      </c>
      <c r="O175" s="7">
        <f>O174/N174-1</f>
        <v>0.67567567567567544</v>
      </c>
      <c r="P175" s="7">
        <f>P174/O174-1</f>
        <v>0.39426523297491034</v>
      </c>
      <c r="Q175" s="7">
        <f>Q174/P174-1</f>
        <v>-0.43718937446443884</v>
      </c>
      <c r="R175" s="7"/>
      <c r="S175" s="7"/>
      <c r="T175" s="7"/>
      <c r="U175" s="7"/>
      <c r="V175" s="118"/>
      <c r="W175" s="118"/>
      <c r="X175" s="118"/>
      <c r="Y175" s="118"/>
      <c r="Z175" s="118"/>
      <c r="AA175" s="118"/>
      <c r="AB175" s="118"/>
      <c r="AC175" s="118"/>
      <c r="AD175" s="118"/>
      <c r="AE175" s="297"/>
      <c r="AF175" s="297"/>
      <c r="AG175" s="106"/>
      <c r="AH175" s="297"/>
    </row>
    <row r="176" spans="1:34" hidden="1" outlineLevel="1">
      <c r="A176" s="1"/>
      <c r="B176" s="1"/>
      <c r="C176" s="1"/>
      <c r="D176" s="1"/>
      <c r="E176" s="1"/>
      <c r="F176" s="1"/>
      <c r="G176" s="1"/>
      <c r="H176" s="1"/>
      <c r="I176" s="1"/>
      <c r="J176" s="1"/>
      <c r="K176" s="1"/>
      <c r="L176" s="1"/>
      <c r="M176" s="1"/>
      <c r="N176" s="1"/>
      <c r="O176" s="1"/>
      <c r="P176" s="1"/>
      <c r="Q176" s="1"/>
      <c r="R176" s="1"/>
      <c r="S176" s="1"/>
      <c r="T176" s="1"/>
      <c r="U176" s="1"/>
      <c r="V176" s="50"/>
      <c r="W176" s="50"/>
      <c r="X176" s="50"/>
      <c r="Y176" s="50"/>
      <c r="Z176" s="50"/>
      <c r="AA176" s="50"/>
      <c r="AB176" s="50"/>
      <c r="AC176" s="50"/>
      <c r="AD176" s="50"/>
      <c r="AE176" s="297"/>
      <c r="AF176" s="297"/>
      <c r="AG176" s="106"/>
      <c r="AH176" s="297"/>
    </row>
    <row r="177" spans="1:34" hidden="1" outlineLevel="1">
      <c r="A177" s="210" t="s">
        <v>85</v>
      </c>
      <c r="B177" s="130"/>
      <c r="C177" s="130"/>
      <c r="D177" s="131"/>
      <c r="E177" s="131"/>
      <c r="F177" s="130"/>
      <c r="G177" s="90"/>
      <c r="H177" s="10"/>
      <c r="I177" s="10"/>
      <c r="J177" s="10"/>
      <c r="K177" s="10"/>
      <c r="L177" s="10">
        <f>+squft!BI42/1000</f>
        <v>3.7399999999999996E-2</v>
      </c>
      <c r="M177" s="10">
        <f>+squft!BM42/1000</f>
        <v>6.9400000000000003E-2</v>
      </c>
      <c r="N177" s="10">
        <f>+squft!BQ42/1000</f>
        <v>0.13040000000000002</v>
      </c>
      <c r="O177" s="10">
        <f>+squft!BU42/1000</f>
        <v>0.2044</v>
      </c>
      <c r="P177" s="10">
        <f>+squft!BY42/1000</f>
        <v>0.26239999999999997</v>
      </c>
      <c r="Q177" s="10">
        <f>+squft!CC42/1000</f>
        <v>3.199999999999932E-4</v>
      </c>
      <c r="R177" s="10"/>
      <c r="S177" s="10"/>
      <c r="T177" s="10"/>
      <c r="U177" s="10"/>
      <c r="V177" s="584"/>
      <c r="W177" s="584"/>
      <c r="X177" s="584"/>
      <c r="Y177" s="584"/>
      <c r="Z177" s="584"/>
      <c r="AA177" s="584"/>
      <c r="AB177" s="584"/>
      <c r="AC177" s="584"/>
      <c r="AD177" s="584"/>
      <c r="AE177" s="49"/>
      <c r="AF177" s="79"/>
      <c r="AG177" s="49"/>
      <c r="AH177" s="298"/>
    </row>
    <row r="178" spans="1:34" hidden="1" outlineLevel="1">
      <c r="A178" s="210" t="s">
        <v>77</v>
      </c>
      <c r="B178" s="7"/>
      <c r="C178" s="7"/>
      <c r="D178" s="7"/>
      <c r="E178" s="7"/>
      <c r="F178" s="130"/>
      <c r="G178" s="7"/>
      <c r="H178" s="128"/>
      <c r="I178" s="7"/>
      <c r="J178" s="7"/>
      <c r="K178" s="128"/>
      <c r="L178" s="128" t="s">
        <v>251</v>
      </c>
      <c r="M178" s="7">
        <f>M177/L177-1</f>
        <v>0.8556149732620324</v>
      </c>
      <c r="N178" s="7">
        <f>N177/M177-1</f>
        <v>0.87896253602305485</v>
      </c>
      <c r="O178" s="7">
        <f>O177/N177-1</f>
        <v>0.56748466257668695</v>
      </c>
      <c r="P178" s="7">
        <f>P177/O177-1</f>
        <v>0.28375733855185903</v>
      </c>
      <c r="Q178" s="7">
        <f>Q177/P177-1</f>
        <v>-0.99878048780487805</v>
      </c>
      <c r="R178" s="7"/>
      <c r="S178" s="7"/>
      <c r="T178" s="7"/>
      <c r="U178" s="7"/>
      <c r="V178" s="118"/>
      <c r="W178" s="118"/>
      <c r="X178" s="118"/>
      <c r="Y178" s="118"/>
      <c r="Z178" s="118"/>
      <c r="AA178" s="118"/>
      <c r="AB178" s="118"/>
      <c r="AC178" s="118"/>
      <c r="AD178" s="118"/>
      <c r="AE178" s="297"/>
      <c r="AF178" s="297"/>
      <c r="AG178" s="106"/>
      <c r="AH178" s="297"/>
    </row>
    <row r="179" spans="1:34" hidden="1" outlineLevel="1">
      <c r="A179" s="1"/>
      <c r="B179" s="1"/>
      <c r="C179" s="1"/>
      <c r="D179" s="1"/>
      <c r="E179" s="1"/>
      <c r="F179" s="1"/>
      <c r="G179" s="1"/>
      <c r="H179" s="1"/>
      <c r="I179" s="1"/>
      <c r="J179" s="1"/>
      <c r="K179" s="1"/>
      <c r="L179" s="1"/>
      <c r="M179" s="1"/>
      <c r="N179" s="1"/>
      <c r="O179" s="1"/>
      <c r="P179" s="1"/>
      <c r="Q179" s="1"/>
      <c r="R179" s="1"/>
      <c r="S179" s="1"/>
      <c r="T179" s="1"/>
      <c r="U179" s="1"/>
      <c r="V179" s="50"/>
      <c r="W179" s="50"/>
      <c r="X179" s="50"/>
      <c r="Y179" s="50"/>
      <c r="Z179" s="50"/>
      <c r="AA179" s="50"/>
      <c r="AB179" s="50"/>
      <c r="AC179" s="50"/>
      <c r="AD179" s="50"/>
      <c r="AE179" s="297"/>
      <c r="AF179" s="297"/>
      <c r="AG179" s="106"/>
      <c r="AH179" s="297"/>
    </row>
    <row r="180" spans="1:34" hidden="1" outlineLevel="1">
      <c r="A180" s="210" t="s">
        <v>86</v>
      </c>
      <c r="B180" s="8"/>
      <c r="C180" s="8"/>
      <c r="D180" s="8"/>
      <c r="E180" s="8"/>
      <c r="F180" s="8"/>
      <c r="G180" s="8"/>
      <c r="H180" s="8"/>
      <c r="I180" s="8"/>
      <c r="J180" s="8"/>
      <c r="K180" s="8"/>
      <c r="L180" s="8">
        <f>L177/L167*1000000</f>
        <v>9349.9999999999982</v>
      </c>
      <c r="M180" s="8">
        <f>M177/M167*1000000</f>
        <v>8675</v>
      </c>
      <c r="N180" s="8">
        <f>N177/N167*1000000</f>
        <v>9314.2857142857156</v>
      </c>
      <c r="O180" s="8">
        <f>O177/O167*1000000</f>
        <v>9290.9090909090919</v>
      </c>
      <c r="P180" s="8">
        <f>P177/P167*1000000</f>
        <v>9371.4285714285706</v>
      </c>
      <c r="Q180" s="128" t="s">
        <v>251</v>
      </c>
      <c r="R180" s="8"/>
      <c r="S180" s="8"/>
      <c r="T180" s="8"/>
      <c r="U180" s="8"/>
      <c r="V180" s="80"/>
      <c r="W180" s="80"/>
      <c r="X180" s="80"/>
      <c r="Y180" s="80"/>
      <c r="Z180" s="80"/>
      <c r="AA180" s="80"/>
      <c r="AB180" s="80"/>
      <c r="AC180" s="80"/>
      <c r="AD180" s="80"/>
      <c r="AE180" s="107"/>
      <c r="AF180" s="107"/>
      <c r="AG180" s="106"/>
      <c r="AH180" s="107"/>
    </row>
    <row r="181" spans="1:34" hidden="1" outlineLevel="1">
      <c r="A181" s="210" t="s">
        <v>77</v>
      </c>
      <c r="B181" s="12"/>
      <c r="C181" s="12"/>
      <c r="D181" s="12"/>
      <c r="E181" s="12"/>
      <c r="F181" s="12"/>
      <c r="G181" s="12"/>
      <c r="H181" s="128"/>
      <c r="I181" s="12"/>
      <c r="J181" s="12"/>
      <c r="K181" s="128"/>
      <c r="L181" s="128" t="s">
        <v>251</v>
      </c>
      <c r="M181" s="12">
        <f>M180/L180-1</f>
        <v>-7.2192513368983802E-2</v>
      </c>
      <c r="N181" s="12">
        <f>N180/M180-1</f>
        <v>7.3692877727459916E-2</v>
      </c>
      <c r="O181" s="12">
        <f>O180/N180-1</f>
        <v>-2.5097601784718204E-3</v>
      </c>
      <c r="P181" s="12">
        <f>P180/O180-1</f>
        <v>8.6664802907463478E-3</v>
      </c>
      <c r="Q181" s="128" t="s">
        <v>251</v>
      </c>
      <c r="R181" s="12"/>
      <c r="S181" s="12"/>
      <c r="T181" s="12"/>
      <c r="U181" s="12"/>
      <c r="V181" s="583"/>
      <c r="W181" s="583"/>
      <c r="X181" s="583"/>
      <c r="Y181" s="583"/>
      <c r="Z181" s="583"/>
      <c r="AA181" s="583"/>
      <c r="AB181" s="583"/>
      <c r="AC181" s="583"/>
      <c r="AD181" s="583"/>
      <c r="AE181" s="297"/>
      <c r="AF181" s="297"/>
      <c r="AG181" s="106"/>
      <c r="AH181" s="297"/>
    </row>
    <row r="182" spans="1:34" hidden="1" outlineLevel="1">
      <c r="A182" s="1"/>
      <c r="B182" s="1"/>
      <c r="C182" s="1"/>
      <c r="D182" s="1"/>
      <c r="E182" s="1"/>
      <c r="F182" s="1"/>
      <c r="G182" s="1"/>
      <c r="H182" s="1"/>
      <c r="I182" s="1"/>
      <c r="J182" s="1"/>
      <c r="K182" s="1"/>
      <c r="L182" s="1"/>
      <c r="M182" s="1"/>
      <c r="N182" s="1"/>
      <c r="O182" s="1"/>
      <c r="P182" s="1"/>
      <c r="Q182" s="1"/>
      <c r="R182" s="1"/>
      <c r="S182" s="1"/>
      <c r="T182" s="1"/>
      <c r="U182" s="1"/>
      <c r="V182" s="50"/>
      <c r="W182" s="50"/>
      <c r="X182" s="50"/>
      <c r="Y182" s="50"/>
      <c r="Z182" s="50"/>
      <c r="AA182" s="50"/>
      <c r="AB182" s="50"/>
      <c r="AC182" s="50"/>
      <c r="AD182" s="50"/>
      <c r="AE182" s="297"/>
      <c r="AF182" s="297"/>
      <c r="AG182" s="106"/>
      <c r="AH182" s="297"/>
    </row>
    <row r="183" spans="1:34" hidden="1" outlineLevel="1">
      <c r="A183" s="210" t="s">
        <v>447</v>
      </c>
      <c r="B183" s="5"/>
      <c r="C183" s="5"/>
      <c r="D183" s="5"/>
      <c r="E183" s="5"/>
      <c r="F183" s="240"/>
      <c r="G183" s="5"/>
      <c r="H183" s="5"/>
      <c r="I183" s="5"/>
      <c r="J183" s="5"/>
      <c r="K183" s="5"/>
      <c r="L183" s="5">
        <f t="shared" ref="L183:Q183" si="156">+L159/L174</f>
        <v>635062.94601534773</v>
      </c>
      <c r="M183" s="5">
        <f t="shared" si="156"/>
        <v>326.06741573033702</v>
      </c>
      <c r="N183" s="5">
        <f t="shared" si="156"/>
        <v>340.1601601601601</v>
      </c>
      <c r="O183" s="5">
        <f>+O159/O174</f>
        <v>299.82676224611708</v>
      </c>
      <c r="P183" s="5">
        <f t="shared" si="156"/>
        <v>240.67266495287063</v>
      </c>
      <c r="Q183" s="5">
        <f t="shared" si="156"/>
        <v>341.27312036319347</v>
      </c>
      <c r="R183" s="5"/>
      <c r="S183" s="5"/>
      <c r="T183" s="5"/>
      <c r="U183" s="5"/>
      <c r="V183" s="589"/>
      <c r="W183" s="589"/>
      <c r="X183" s="589"/>
      <c r="Y183" s="589"/>
      <c r="Z183" s="589"/>
      <c r="AA183" s="589"/>
      <c r="AB183" s="589"/>
      <c r="AC183" s="589"/>
      <c r="AD183" s="589"/>
      <c r="AE183" s="49"/>
      <c r="AF183" s="79"/>
      <c r="AG183" s="49"/>
      <c r="AH183" s="298"/>
    </row>
    <row r="184" spans="1:34" hidden="1" outlineLevel="1">
      <c r="A184" s="210" t="s">
        <v>77</v>
      </c>
      <c r="B184" s="12"/>
      <c r="C184" s="12"/>
      <c r="D184" s="12"/>
      <c r="E184" s="12"/>
      <c r="F184" s="12"/>
      <c r="G184" s="12"/>
      <c r="H184" s="128"/>
      <c r="I184" s="12"/>
      <c r="J184" s="12"/>
      <c r="K184" s="128"/>
      <c r="L184" s="128" t="s">
        <v>251</v>
      </c>
      <c r="M184" s="12">
        <f>M183/L183-1</f>
        <v>-0.99948655890289895</v>
      </c>
      <c r="N184" s="12">
        <f>N183/M183-1</f>
        <v>4.3220339567686228E-2</v>
      </c>
      <c r="O184" s="12">
        <f>O183/N183-1</f>
        <v>-0.1185717865815108</v>
      </c>
      <c r="P184" s="12">
        <f>P183/O183-1</f>
        <v>-0.19729425368869824</v>
      </c>
      <c r="Q184" s="12">
        <f>Q183/P183-1</f>
        <v>0.41799701445123727</v>
      </c>
      <c r="R184" s="12"/>
      <c r="S184" s="12"/>
      <c r="T184" s="12"/>
      <c r="U184" s="12"/>
      <c r="V184" s="583"/>
      <c r="W184" s="583"/>
      <c r="X184" s="583"/>
      <c r="Y184" s="583"/>
      <c r="Z184" s="583"/>
      <c r="AA184" s="583"/>
      <c r="AB184" s="583"/>
      <c r="AC184" s="583"/>
      <c r="AD184" s="583"/>
      <c r="AE184" s="297"/>
      <c r="AF184" s="297"/>
      <c r="AG184" s="106"/>
      <c r="AH184" s="297"/>
    </row>
    <row r="185" spans="1:34" hidden="1" outlineLevel="1">
      <c r="A185" s="1"/>
      <c r="B185" s="1"/>
      <c r="C185" s="1"/>
      <c r="D185" s="1"/>
      <c r="E185" s="1"/>
      <c r="F185" s="1"/>
      <c r="G185" s="1"/>
      <c r="H185" s="1"/>
      <c r="I185" s="1"/>
      <c r="J185" s="1"/>
      <c r="K185" s="1"/>
      <c r="L185" s="1"/>
      <c r="M185" s="1"/>
      <c r="N185" s="1"/>
      <c r="O185" s="1"/>
      <c r="P185" s="1"/>
      <c r="Q185" s="1"/>
      <c r="R185" s="1"/>
      <c r="S185" s="1"/>
      <c r="T185" s="1"/>
      <c r="U185" s="1"/>
      <c r="V185" s="50"/>
      <c r="W185" s="50"/>
      <c r="X185" s="50"/>
      <c r="Y185" s="50"/>
      <c r="Z185" s="50"/>
      <c r="AA185" s="50"/>
      <c r="AB185" s="50"/>
      <c r="AC185" s="50"/>
      <c r="AD185" s="50"/>
      <c r="AE185" s="50"/>
      <c r="AF185" s="50"/>
      <c r="AG185" s="49"/>
      <c r="AH185" s="50"/>
    </row>
    <row r="186" spans="1:34" hidden="1" outlineLevel="1">
      <c r="A186" s="210" t="s">
        <v>87</v>
      </c>
      <c r="B186" s="12"/>
      <c r="C186" s="12"/>
      <c r="D186" s="12"/>
      <c r="E186" s="12"/>
      <c r="F186" s="12"/>
      <c r="G186" s="12"/>
      <c r="H186" s="128"/>
      <c r="I186" s="238"/>
      <c r="J186" s="239"/>
      <c r="K186" s="128"/>
      <c r="L186" s="128" t="s">
        <v>251</v>
      </c>
      <c r="M186" s="128" t="s">
        <v>251</v>
      </c>
      <c r="N186" s="12">
        <f>SegqtrSales!F372/100</f>
        <v>0.12822729680419045</v>
      </c>
      <c r="O186" s="12">
        <v>-0.09</v>
      </c>
      <c r="P186" s="12">
        <f>SegqtrSales!F386*0.01</f>
        <v>-0.23</v>
      </c>
      <c r="Q186" s="12">
        <f>SegqtrSales!$F$393*0.01</f>
        <v>-0.26421125667855666</v>
      </c>
      <c r="R186" s="46"/>
      <c r="S186" s="46"/>
      <c r="T186" s="46"/>
      <c r="U186" s="46"/>
      <c r="V186" s="587"/>
      <c r="W186" s="587"/>
      <c r="X186" s="587"/>
      <c r="Y186" s="587"/>
      <c r="Z186" s="587"/>
      <c r="AA186" s="587"/>
      <c r="AB186" s="587"/>
      <c r="AC186" s="587"/>
      <c r="AD186" s="587"/>
      <c r="AE186" s="50"/>
      <c r="AF186" s="50"/>
      <c r="AG186" s="49"/>
      <c r="AH186" s="50"/>
    </row>
    <row r="187" spans="1:34" hidden="1" outlineLevel="1">
      <c r="A187" s="1"/>
      <c r="B187" s="1"/>
      <c r="C187" s="1"/>
      <c r="D187" s="1"/>
      <c r="E187" s="1"/>
      <c r="F187" s="1"/>
      <c r="G187" s="1"/>
      <c r="H187" s="1"/>
      <c r="I187" s="1"/>
      <c r="J187" s="1"/>
      <c r="K187" s="1"/>
      <c r="L187" s="1"/>
      <c r="M187" s="1"/>
      <c r="N187" s="1"/>
      <c r="O187" s="1"/>
      <c r="P187" s="1"/>
      <c r="Q187" s="1"/>
      <c r="R187" s="1"/>
      <c r="S187" s="1"/>
      <c r="T187" s="1"/>
      <c r="U187" s="1"/>
      <c r="V187" s="50"/>
      <c r="W187" s="50"/>
      <c r="X187" s="50"/>
      <c r="Y187" s="50"/>
      <c r="Z187" s="50"/>
      <c r="AA187" s="50"/>
      <c r="AB187" s="50"/>
      <c r="AC187" s="50"/>
      <c r="AD187" s="50"/>
      <c r="AE187" s="50"/>
      <c r="AF187" s="50"/>
      <c r="AG187" s="49"/>
      <c r="AH187" s="50"/>
    </row>
    <row r="188" spans="1:34" hidden="1" outlineLevel="1">
      <c r="A188" s="210" t="s">
        <v>269</v>
      </c>
      <c r="B188" s="8"/>
      <c r="C188" s="8"/>
      <c r="D188" s="43"/>
      <c r="E188" s="43"/>
      <c r="F188" s="43"/>
      <c r="G188" s="43"/>
      <c r="H188" s="8"/>
      <c r="I188" s="8"/>
      <c r="J188" s="8"/>
      <c r="K188" s="8"/>
      <c r="L188" s="8">
        <f>+squft!BH39</f>
        <v>9350</v>
      </c>
      <c r="M188" s="8">
        <f>+squft!BL39</f>
        <v>8000</v>
      </c>
      <c r="N188" s="8">
        <f>+squft!BP39</f>
        <v>8000</v>
      </c>
      <c r="O188" s="8">
        <f>+squft!BT39</f>
        <v>8500</v>
      </c>
      <c r="P188" s="8">
        <f>+squft!BX39</f>
        <v>9666.6666666666661</v>
      </c>
      <c r="Q188" s="8">
        <f>+squft!CB39</f>
        <v>9400</v>
      </c>
      <c r="R188" s="8"/>
      <c r="S188" s="8"/>
      <c r="T188" s="8"/>
      <c r="U188" s="8"/>
      <c r="V188" s="80"/>
      <c r="W188" s="80"/>
      <c r="X188" s="80"/>
      <c r="Y188" s="80"/>
      <c r="Z188" s="80"/>
      <c r="AA188" s="80"/>
      <c r="AB188" s="80"/>
      <c r="AC188" s="80"/>
      <c r="AD188" s="80"/>
      <c r="AE188" s="80"/>
      <c r="AF188" s="80"/>
      <c r="AG188" s="49"/>
      <c r="AH188" s="50"/>
    </row>
    <row r="189" spans="1:34" hidden="1" outlineLevel="1">
      <c r="A189" s="1"/>
      <c r="B189" s="1"/>
      <c r="C189" s="1"/>
      <c r="D189" s="1"/>
      <c r="E189" s="1"/>
      <c r="F189" s="1"/>
      <c r="G189" s="1"/>
      <c r="H189" s="132"/>
      <c r="I189" s="1"/>
      <c r="J189" s="1"/>
      <c r="K189" s="1"/>
      <c r="L189" s="1"/>
      <c r="M189" s="1"/>
      <c r="N189" s="1"/>
      <c r="O189" s="1"/>
      <c r="P189" s="1"/>
      <c r="Q189" s="1"/>
      <c r="R189" s="1"/>
      <c r="S189" s="1"/>
      <c r="T189" s="1"/>
      <c r="U189" s="1"/>
      <c r="V189" s="50"/>
      <c r="W189" s="50"/>
      <c r="X189" s="50"/>
      <c r="Y189" s="50"/>
      <c r="Z189" s="50"/>
      <c r="AA189" s="50"/>
      <c r="AB189" s="50"/>
      <c r="AC189" s="50"/>
      <c r="AD189" s="50"/>
      <c r="AE189" s="50"/>
      <c r="AF189" s="50"/>
      <c r="AG189" s="49"/>
      <c r="AH189" s="50"/>
    </row>
    <row r="190" spans="1:34" hidden="1" outlineLevel="1">
      <c r="A190" s="210" t="s">
        <v>92</v>
      </c>
      <c r="B190" s="7"/>
      <c r="C190" s="7"/>
      <c r="D190" s="7"/>
      <c r="E190" s="7"/>
      <c r="F190" s="7"/>
      <c r="G190" s="7"/>
      <c r="H190" s="118"/>
      <c r="I190" s="118"/>
      <c r="J190" s="118"/>
      <c r="K190" s="118"/>
      <c r="L190" s="128" t="s">
        <v>251</v>
      </c>
      <c r="M190" s="282" t="s">
        <v>251</v>
      </c>
      <c r="N190" s="118">
        <f>(N160-N186)/N175</f>
        <v>0.94559944674124907</v>
      </c>
      <c r="O190" s="118">
        <f>(O160-O186)/O175</f>
        <v>0.83914196927785334</v>
      </c>
      <c r="P190" s="118">
        <f>(P160-P186)/P175</f>
        <v>0.88565941195542131</v>
      </c>
      <c r="Q190" s="118">
        <f>(Q160-Q186)/Q175</f>
        <v>-0.1424440917982128</v>
      </c>
      <c r="R190" s="118"/>
      <c r="S190" s="118"/>
      <c r="T190" s="118"/>
      <c r="U190" s="118"/>
      <c r="V190" s="118"/>
      <c r="W190" s="118"/>
      <c r="X190" s="118"/>
      <c r="Y190" s="118"/>
      <c r="Z190" s="118"/>
      <c r="AA190" s="118"/>
      <c r="AB190" s="118"/>
      <c r="AC190" s="118"/>
      <c r="AD190" s="118"/>
      <c r="AE190" s="2"/>
      <c r="AF190" s="2"/>
      <c r="AG190" s="84"/>
      <c r="AH190" s="2"/>
    </row>
    <row r="191" spans="1:34" hidden="1" outlineLevel="1">
      <c r="A191" s="1"/>
      <c r="B191" s="1"/>
      <c r="C191" s="1"/>
      <c r="D191" s="1"/>
      <c r="E191" s="1"/>
      <c r="F191" s="1"/>
      <c r="G191" s="1"/>
      <c r="H191" s="18"/>
      <c r="I191" s="1"/>
      <c r="J191" s="1"/>
      <c r="K191" s="1"/>
      <c r="L191" s="1"/>
      <c r="M191" s="1"/>
      <c r="N191" s="1"/>
      <c r="O191" s="1"/>
      <c r="P191" s="1"/>
      <c r="Q191" s="1"/>
      <c r="R191" s="1"/>
      <c r="S191" s="1"/>
      <c r="T191" s="1"/>
      <c r="U191" s="1"/>
      <c r="V191" s="50"/>
      <c r="W191" s="50"/>
      <c r="X191" s="50"/>
      <c r="Y191" s="50"/>
      <c r="Z191" s="50"/>
      <c r="AA191" s="50"/>
      <c r="AB191" s="50"/>
      <c r="AC191" s="50"/>
      <c r="AD191" s="50"/>
      <c r="AE191" s="50"/>
      <c r="AF191" s="50"/>
      <c r="AG191" s="49"/>
      <c r="AH191" s="50"/>
    </row>
    <row r="192" spans="1:34" hidden="1" outlineLevel="1">
      <c r="A192" s="47" t="s">
        <v>715</v>
      </c>
      <c r="B192" s="1"/>
      <c r="C192" s="1"/>
      <c r="D192" s="1"/>
      <c r="E192" s="1"/>
      <c r="F192" s="1"/>
      <c r="G192" s="1"/>
      <c r="H192" s="1"/>
      <c r="I192" s="18"/>
      <c r="J192" s="18"/>
      <c r="K192" s="18"/>
      <c r="L192" s="128" t="s">
        <v>251</v>
      </c>
      <c r="M192" s="128" t="s">
        <v>251</v>
      </c>
      <c r="N192" s="18">
        <f>+(N160-N186)/N169</f>
        <v>0.98809829828018203</v>
      </c>
      <c r="O192" s="18">
        <f>+(O160-O186)/O169</f>
        <v>0.89098085541084771</v>
      </c>
      <c r="P192" s="18">
        <f>+(P160-P186)/P169</f>
        <v>0.89790355129121058</v>
      </c>
      <c r="Q192" s="18">
        <f>+(Q160-Q186)/Q169</f>
        <v>-0.14153418952139946</v>
      </c>
      <c r="R192" s="18"/>
      <c r="S192" s="18"/>
      <c r="T192" s="18"/>
      <c r="U192" s="18"/>
      <c r="V192" s="576"/>
      <c r="W192" s="576"/>
      <c r="X192" s="576"/>
      <c r="Y192" s="576"/>
      <c r="Z192" s="576"/>
      <c r="AA192" s="576"/>
      <c r="AB192" s="576"/>
      <c r="AC192" s="576"/>
      <c r="AD192" s="576"/>
      <c r="AE192" s="1"/>
      <c r="AF192" s="1"/>
      <c r="AG192" s="1"/>
      <c r="AH192" s="1"/>
    </row>
    <row r="193" spans="1:39" hidden="1" outlineLevel="1">
      <c r="A193" s="47"/>
      <c r="B193" s="1"/>
      <c r="C193" s="1"/>
      <c r="D193" s="1"/>
      <c r="E193" s="1"/>
      <c r="F193" s="1"/>
      <c r="G193" s="1"/>
      <c r="H193" s="1"/>
      <c r="I193" s="18"/>
      <c r="J193" s="18"/>
      <c r="K193" s="18"/>
      <c r="L193" s="18"/>
      <c r="M193" s="18"/>
      <c r="N193" s="18"/>
      <c r="O193" s="18"/>
      <c r="P193" s="18"/>
      <c r="Q193" s="18"/>
      <c r="R193" s="18"/>
      <c r="S193" s="18"/>
      <c r="T193" s="18"/>
      <c r="U193" s="18"/>
      <c r="V193" s="576"/>
      <c r="W193" s="576"/>
      <c r="X193" s="576"/>
      <c r="Y193" s="576"/>
      <c r="Z193" s="576"/>
      <c r="AA193" s="576"/>
      <c r="AB193" s="576"/>
      <c r="AC193" s="576"/>
      <c r="AD193" s="576"/>
      <c r="AE193" s="1"/>
      <c r="AF193" s="1"/>
      <c r="AG193" s="1"/>
      <c r="AH193" s="1"/>
    </row>
    <row r="194" spans="1:39" hidden="1" outlineLevel="1">
      <c r="A194" s="1" t="s">
        <v>6</v>
      </c>
      <c r="B194" s="1"/>
      <c r="C194" s="1"/>
      <c r="D194" s="1"/>
      <c r="E194" s="1"/>
      <c r="F194" s="1"/>
      <c r="G194" s="1"/>
      <c r="H194" s="1"/>
      <c r="I194" s="18"/>
      <c r="J194" s="18"/>
      <c r="K194" s="18"/>
      <c r="L194" s="18"/>
      <c r="M194" s="18"/>
      <c r="N194" s="18"/>
      <c r="O194" s="18"/>
      <c r="P194" s="18"/>
      <c r="Q194" s="18"/>
      <c r="R194" s="18"/>
      <c r="S194" s="18"/>
      <c r="T194" s="18"/>
      <c r="U194" s="18"/>
      <c r="V194" s="576"/>
      <c r="W194" s="576"/>
      <c r="X194" s="576"/>
      <c r="Y194" s="576"/>
      <c r="Z194" s="576"/>
      <c r="AA194" s="576"/>
      <c r="AB194" s="576"/>
      <c r="AC194" s="576"/>
      <c r="AD194" s="576"/>
      <c r="AE194" s="1"/>
      <c r="AF194" s="1"/>
      <c r="AG194" s="1"/>
      <c r="AH194" s="1"/>
    </row>
    <row r="195" spans="1:39" hidden="1" outlineLevel="1">
      <c r="A195" s="96"/>
      <c r="B195" s="96"/>
      <c r="C195" s="96"/>
      <c r="D195" s="96"/>
      <c r="E195" s="96"/>
      <c r="F195" s="96"/>
      <c r="G195" s="96"/>
      <c r="H195" s="96"/>
      <c r="I195" s="96"/>
      <c r="J195" s="96"/>
      <c r="K195" s="96"/>
      <c r="L195" s="1833"/>
      <c r="M195" s="1833"/>
      <c r="N195" s="1833"/>
      <c r="O195" s="1833"/>
      <c r="P195" s="1833"/>
      <c r="Q195" s="1833"/>
      <c r="R195" s="1833"/>
      <c r="S195" s="1833"/>
      <c r="T195" s="96"/>
      <c r="U195" s="96"/>
      <c r="V195" s="96"/>
      <c r="W195" s="96"/>
      <c r="X195" s="96"/>
      <c r="Y195" s="96"/>
      <c r="Z195" s="96"/>
      <c r="AA195" s="96"/>
      <c r="AB195" s="96"/>
      <c r="AC195" s="96"/>
      <c r="AD195" s="96"/>
      <c r="AE195" s="96"/>
      <c r="AF195" s="96"/>
      <c r="AG195" s="96"/>
      <c r="AH195" s="96"/>
    </row>
    <row r="196" spans="1:39" collapsed="1">
      <c r="A196" s="328" t="s">
        <v>451</v>
      </c>
      <c r="B196" s="329"/>
      <c r="C196" s="329"/>
      <c r="D196" s="329"/>
      <c r="E196" s="329"/>
      <c r="F196" s="329"/>
      <c r="G196" s="329"/>
      <c r="H196" s="329"/>
      <c r="I196" s="329"/>
      <c r="J196" s="329"/>
      <c r="K196" s="329"/>
      <c r="L196" s="1017"/>
      <c r="M196" s="1017"/>
      <c r="N196" s="1017"/>
      <c r="O196" s="1017"/>
      <c r="P196" s="1017"/>
      <c r="Q196" s="1017"/>
      <c r="R196" s="1834"/>
      <c r="S196" s="1017"/>
      <c r="T196" s="1017"/>
      <c r="U196" s="1017"/>
      <c r="V196" s="332"/>
      <c r="W196" s="332"/>
      <c r="X196" s="332"/>
      <c r="Y196" s="332"/>
      <c r="Z196" s="332"/>
      <c r="AA196" s="332"/>
      <c r="AB196" s="332"/>
      <c r="AC196" s="332"/>
      <c r="AD196" s="332"/>
      <c r="AE196" s="329"/>
      <c r="AF196" s="329"/>
      <c r="AG196" s="329"/>
      <c r="AH196" s="329"/>
    </row>
    <row r="197" spans="1:39">
      <c r="A197" s="326" t="str">
        <f>+A2</f>
        <v>Annual Sales Model, Fiscal 1997A-2018E</v>
      </c>
      <c r="B197" s="327"/>
      <c r="C197" s="327"/>
      <c r="D197" s="327"/>
      <c r="E197" s="327"/>
      <c r="F197" s="327"/>
      <c r="G197" s="327"/>
      <c r="H197" s="327"/>
      <c r="I197" s="327"/>
      <c r="J197" s="327"/>
      <c r="K197" s="327"/>
      <c r="L197" s="327"/>
      <c r="M197" s="327"/>
      <c r="N197" s="327"/>
      <c r="O197" s="327"/>
      <c r="P197" s="327"/>
      <c r="Q197" s="327"/>
      <c r="R197" s="327"/>
      <c r="S197" s="327"/>
      <c r="T197" s="327"/>
      <c r="U197" s="327"/>
      <c r="V197" s="327"/>
      <c r="W197" s="327"/>
      <c r="X197" s="327"/>
      <c r="Y197" s="327"/>
      <c r="Z197" s="327"/>
      <c r="AA197" s="327"/>
      <c r="AB197" s="327"/>
      <c r="AC197" s="327"/>
      <c r="AD197" s="327"/>
      <c r="AE197" s="327"/>
      <c r="AF197" s="327"/>
      <c r="AG197" s="327"/>
      <c r="AH197" s="327"/>
    </row>
    <row r="198" spans="1:39">
      <c r="A198" s="21"/>
      <c r="B198" s="50"/>
      <c r="C198" s="50"/>
      <c r="D198" s="50"/>
      <c r="E198" s="50"/>
      <c r="F198" s="50"/>
      <c r="G198" s="50"/>
      <c r="H198" s="50"/>
      <c r="I198" s="50"/>
      <c r="J198" s="50"/>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row>
    <row r="199" spans="1:39">
      <c r="A199" s="3"/>
      <c r="B199" s="1"/>
      <c r="C199" s="1"/>
      <c r="D199" s="1"/>
      <c r="E199" s="1"/>
      <c r="F199" s="1"/>
      <c r="G199" s="1"/>
      <c r="H199" s="1"/>
      <c r="I199" s="1"/>
      <c r="J199" s="1"/>
      <c r="K199" s="1"/>
      <c r="L199" s="1"/>
      <c r="M199" s="1"/>
      <c r="N199" s="1"/>
      <c r="O199" s="1"/>
      <c r="P199" s="1"/>
      <c r="Q199" s="1"/>
      <c r="R199" s="1"/>
      <c r="S199" s="1"/>
      <c r="T199" s="1"/>
      <c r="U199" s="1"/>
      <c r="V199" s="50"/>
      <c r="W199" s="50"/>
      <c r="X199" s="50"/>
      <c r="Y199" s="50"/>
      <c r="Z199" s="50"/>
      <c r="AA199" s="50"/>
      <c r="AB199" s="50"/>
      <c r="AC199" s="50"/>
      <c r="AD199" s="50"/>
      <c r="AE199" s="754"/>
      <c r="AF199" s="85" t="s">
        <v>75</v>
      </c>
      <c r="AG199" s="91"/>
      <c r="AH199" s="755"/>
    </row>
    <row r="200" spans="1:39">
      <c r="A200" s="4"/>
      <c r="B200" s="121">
        <f>B5</f>
        <v>1994</v>
      </c>
      <c r="C200" s="121">
        <f>C5</f>
        <v>1995</v>
      </c>
      <c r="D200" s="121">
        <f>D5</f>
        <v>1996</v>
      </c>
      <c r="E200" s="121">
        <f t="shared" ref="E200:K200" si="157">E5</f>
        <v>1997</v>
      </c>
      <c r="F200" s="121">
        <f t="shared" si="157"/>
        <v>1998</v>
      </c>
      <c r="G200" s="121">
        <f t="shared" si="157"/>
        <v>1999</v>
      </c>
      <c r="H200" s="121">
        <f t="shared" si="157"/>
        <v>2000</v>
      </c>
      <c r="I200" s="121">
        <f t="shared" si="157"/>
        <v>2001</v>
      </c>
      <c r="J200" s="121">
        <f t="shared" si="157"/>
        <v>2002</v>
      </c>
      <c r="K200" s="121">
        <f t="shared" si="157"/>
        <v>2003</v>
      </c>
      <c r="L200" s="48">
        <f t="shared" ref="L200:Q200" si="158">K200+1</f>
        <v>2004</v>
      </c>
      <c r="M200" s="48">
        <f t="shared" si="158"/>
        <v>2005</v>
      </c>
      <c r="N200" s="48">
        <f t="shared" si="158"/>
        <v>2006</v>
      </c>
      <c r="O200" s="48">
        <f t="shared" si="158"/>
        <v>2007</v>
      </c>
      <c r="P200" s="48">
        <f t="shared" si="158"/>
        <v>2008</v>
      </c>
      <c r="Q200" s="48">
        <f t="shared" si="158"/>
        <v>2009</v>
      </c>
      <c r="R200" s="48">
        <f t="shared" ref="R200:Y200" si="159">Q200+1</f>
        <v>2010</v>
      </c>
      <c r="S200" s="48">
        <f t="shared" si="159"/>
        <v>2011</v>
      </c>
      <c r="T200" s="48">
        <f t="shared" si="159"/>
        <v>2012</v>
      </c>
      <c r="U200" s="48">
        <f t="shared" si="159"/>
        <v>2013</v>
      </c>
      <c r="V200" s="48">
        <f t="shared" si="159"/>
        <v>2014</v>
      </c>
      <c r="W200" s="48">
        <f t="shared" si="159"/>
        <v>2015</v>
      </c>
      <c r="X200" s="48">
        <f t="shared" si="159"/>
        <v>2016</v>
      </c>
      <c r="Y200" s="48">
        <f t="shared" si="159"/>
        <v>2017</v>
      </c>
      <c r="Z200" s="256">
        <f>Y200+1</f>
        <v>2018</v>
      </c>
      <c r="AA200" s="256">
        <f>Z200+1</f>
        <v>2019</v>
      </c>
      <c r="AB200" s="256">
        <f>AA200+1</f>
        <v>2020</v>
      </c>
      <c r="AC200" s="256">
        <f>AB200+1</f>
        <v>2021</v>
      </c>
      <c r="AD200" s="256">
        <f>AC200+1</f>
        <v>2022</v>
      </c>
      <c r="AE200" s="756" t="str">
        <f>AE5</f>
        <v>12-17A</v>
      </c>
      <c r="AF200" s="50"/>
      <c r="AG200" s="121" t="str">
        <f>AG5</f>
        <v>'17-22E</v>
      </c>
      <c r="AH200" s="647"/>
    </row>
    <row r="201" spans="1:39">
      <c r="A201" s="4"/>
      <c r="B201" s="4"/>
      <c r="C201" s="4"/>
      <c r="D201" s="4"/>
      <c r="E201" s="1"/>
      <c r="F201" s="1"/>
      <c r="G201" s="1"/>
      <c r="H201" s="1"/>
      <c r="I201" s="1"/>
      <c r="J201" s="1"/>
      <c r="K201" s="1"/>
      <c r="P201" s="1835"/>
      <c r="R201" s="113"/>
      <c r="S201" s="113"/>
      <c r="V201" s="97"/>
      <c r="W201" s="97"/>
      <c r="X201" s="97"/>
      <c r="Y201" s="97"/>
      <c r="Z201" s="97"/>
      <c r="AA201" s="97"/>
      <c r="AB201" s="97"/>
      <c r="AC201" s="97"/>
      <c r="AD201" s="97"/>
      <c r="AE201" s="81"/>
      <c r="AF201" s="50"/>
      <c r="AG201" s="50"/>
      <c r="AH201" s="647"/>
    </row>
    <row r="202" spans="1:39" ht="13.5" customHeight="1">
      <c r="A202" s="4" t="s">
        <v>697</v>
      </c>
      <c r="B202" s="5">
        <f t="shared" ref="B202:Q202" si="160">+B206-B204</f>
        <v>165.46300000000002</v>
      </c>
      <c r="C202" s="5">
        <f t="shared" si="160"/>
        <v>235.65899999999999</v>
      </c>
      <c r="D202" s="5">
        <f t="shared" si="160"/>
        <v>335.37200000000001</v>
      </c>
      <c r="E202" s="5">
        <f t="shared" si="160"/>
        <v>518.010535</v>
      </c>
      <c r="F202" s="5">
        <f t="shared" si="160"/>
        <v>789.07640000000004</v>
      </c>
      <c r="G202" s="5">
        <f t="shared" si="160"/>
        <v>1000.9631179999999</v>
      </c>
      <c r="H202" s="5">
        <f t="shared" si="160"/>
        <v>1190.5750480000002</v>
      </c>
      <c r="I202" s="5">
        <f t="shared" si="160"/>
        <v>1307.679678</v>
      </c>
      <c r="J202" s="5">
        <f t="shared" si="160"/>
        <v>1521.3477919999998</v>
      </c>
      <c r="K202" s="5">
        <f t="shared" si="160"/>
        <v>1707.8090000000002</v>
      </c>
      <c r="L202" s="5">
        <f t="shared" si="160"/>
        <v>1894.954</v>
      </c>
      <c r="M202" s="5">
        <f>+M206-M204</f>
        <v>2644.6110000000003</v>
      </c>
      <c r="N202" s="5">
        <f>+N206-N204</f>
        <v>3119.2579999999998</v>
      </c>
      <c r="O202" s="5">
        <f>+O206-O204</f>
        <v>3451.7469999999998</v>
      </c>
      <c r="P202" s="5">
        <f t="shared" si="160"/>
        <v>3207.3850000000002</v>
      </c>
      <c r="Q202" s="5">
        <f t="shared" si="160"/>
        <v>2657.4296370909092</v>
      </c>
      <c r="R202" s="5">
        <f>+R206-R204</f>
        <v>3023.6000000000004</v>
      </c>
      <c r="S202" s="5">
        <f t="shared" ref="S202:Y202" si="161">+S206-S204</f>
        <v>3532.5409999999997</v>
      </c>
      <c r="T202" s="5">
        <f t="shared" si="161"/>
        <v>3810.1760000000004</v>
      </c>
      <c r="U202" s="5">
        <f t="shared" si="161"/>
        <v>3339.9809999999998</v>
      </c>
      <c r="V202" s="589">
        <f t="shared" si="161"/>
        <v>2911.4879999999998</v>
      </c>
      <c r="W202" s="589">
        <f t="shared" si="161"/>
        <v>2687.6636600000002</v>
      </c>
      <c r="X202" s="589">
        <f t="shared" si="161"/>
        <v>2471.82593</v>
      </c>
      <c r="Y202" s="589">
        <f t="shared" si="161"/>
        <v>2515.2956300000001</v>
      </c>
      <c r="Z202" s="1957">
        <f>Z7+Z106</f>
        <v>2520.7799075150001</v>
      </c>
      <c r="AA202" s="1957">
        <f>AA7+AA106</f>
        <v>2484.3609186595049</v>
      </c>
      <c r="AB202" s="1957">
        <f>AB7+AB106</f>
        <v>2435.1577833342803</v>
      </c>
      <c r="AC202" s="1957">
        <f>AC7+AC106</f>
        <v>2378.6150125405557</v>
      </c>
      <c r="AD202" s="1957">
        <f>AD7+AD106</f>
        <v>2336.6147068217206</v>
      </c>
      <c r="AE202" s="81"/>
      <c r="AF202" s="50"/>
      <c r="AG202" s="50"/>
      <c r="AH202" s="647"/>
      <c r="AL202" s="2186"/>
      <c r="AM202" s="18"/>
    </row>
    <row r="203" spans="1:39">
      <c r="A203" s="210" t="s">
        <v>77</v>
      </c>
      <c r="B203" s="233"/>
      <c r="C203" s="7">
        <f t="shared" ref="C203:W203" si="162">+C202/B202-1</f>
        <v>0.42423986027087612</v>
      </c>
      <c r="D203" s="7">
        <f t="shared" si="162"/>
        <v>0.42312409031694109</v>
      </c>
      <c r="E203" s="7">
        <f t="shared" si="162"/>
        <v>0.54458492360721822</v>
      </c>
      <c r="F203" s="7">
        <f t="shared" si="162"/>
        <v>0.52328253324037122</v>
      </c>
      <c r="G203" s="7">
        <f t="shared" si="162"/>
        <v>0.26852497172643841</v>
      </c>
      <c r="H203" s="7">
        <f t="shared" si="162"/>
        <v>0.18942948705129048</v>
      </c>
      <c r="I203" s="7">
        <f t="shared" si="162"/>
        <v>9.8359721377261566E-2</v>
      </c>
      <c r="J203" s="7">
        <f t="shared" si="162"/>
        <v>0.16339484171443996</v>
      </c>
      <c r="K203" s="7">
        <f t="shared" si="162"/>
        <v>0.12256316996054806</v>
      </c>
      <c r="L203" s="7">
        <f t="shared" si="162"/>
        <v>0.10958192631611596</v>
      </c>
      <c r="M203" s="7">
        <f t="shared" si="162"/>
        <v>0.39560696460177946</v>
      </c>
      <c r="N203" s="7">
        <f t="shared" si="162"/>
        <v>0.17947705730634844</v>
      </c>
      <c r="O203" s="7">
        <f t="shared" si="162"/>
        <v>0.10659233702374094</v>
      </c>
      <c r="P203" s="7">
        <f t="shared" si="162"/>
        <v>-7.0793716920735994E-2</v>
      </c>
      <c r="Q203" s="7">
        <f t="shared" si="162"/>
        <v>-0.17146534105169509</v>
      </c>
      <c r="R203" s="7">
        <f t="shared" si="162"/>
        <v>0.13779117903943394</v>
      </c>
      <c r="S203" s="7">
        <f t="shared" si="162"/>
        <v>0.1683228601666884</v>
      </c>
      <c r="T203" s="7">
        <f t="shared" si="162"/>
        <v>7.8593567633044037E-2</v>
      </c>
      <c r="U203" s="7">
        <f t="shared" si="162"/>
        <v>-0.12340506055363332</v>
      </c>
      <c r="V203" s="118">
        <f t="shared" si="162"/>
        <v>-0.12829204717032816</v>
      </c>
      <c r="W203" s="118">
        <f t="shared" si="162"/>
        <v>-7.6876270827837767E-2</v>
      </c>
      <c r="X203" s="118">
        <f t="shared" ref="X203:AD203" si="163">+X202/W202-1</f>
        <v>-8.0306823064311583E-2</v>
      </c>
      <c r="Y203" s="118">
        <f t="shared" si="163"/>
        <v>1.7586068449407355E-2</v>
      </c>
      <c r="Z203" s="118">
        <f t="shared" si="163"/>
        <v>2.180370947092225E-3</v>
      </c>
      <c r="AA203" s="118">
        <f t="shared" si="163"/>
        <v>-1.4447508386956853E-2</v>
      </c>
      <c r="AB203" s="118">
        <f t="shared" si="163"/>
        <v>-1.9805147857410832E-2</v>
      </c>
      <c r="AC203" s="118">
        <f t="shared" si="163"/>
        <v>-2.3219345859513463E-2</v>
      </c>
      <c r="AD203" s="118">
        <f t="shared" si="163"/>
        <v>-1.7657462639981913E-2</v>
      </c>
      <c r="AE203" s="81"/>
      <c r="AF203" s="50"/>
      <c r="AG203" s="50"/>
      <c r="AH203" s="647"/>
    </row>
    <row r="204" spans="1:39">
      <c r="A204" s="4" t="s">
        <v>698</v>
      </c>
      <c r="B204" s="45">
        <v>0</v>
      </c>
      <c r="C204" s="45">
        <v>0</v>
      </c>
      <c r="D204" s="45">
        <v>0</v>
      </c>
      <c r="E204" s="45">
        <f>+qtrSales!AP37</f>
        <v>3.6064650000000005</v>
      </c>
      <c r="F204" s="45">
        <f>0.02*'qtrP&amp;L'!T14</f>
        <v>16.1036</v>
      </c>
      <c r="G204" s="45">
        <f>0.029*'qtrP&amp;L'!X14</f>
        <v>29.894881999999999</v>
      </c>
      <c r="H204" s="45">
        <f>0.038*'qtrP&amp;L'!AB14</f>
        <v>47.028952000000004</v>
      </c>
      <c r="I204" s="231">
        <f>+qtrSales!AP66</f>
        <v>57.173321999999999</v>
      </c>
      <c r="J204" s="231">
        <f>+qtrSales!AP73</f>
        <v>74.409208000000007</v>
      </c>
      <c r="K204" s="871"/>
      <c r="L204" s="5">
        <f>+qtrSales!AS87</f>
        <v>126.29999999999998</v>
      </c>
      <c r="M204" s="5">
        <f>qtrSales!AS94</f>
        <v>140.1</v>
      </c>
      <c r="N204" s="5">
        <f>qtrSales!AS101</f>
        <v>198.89999999999998</v>
      </c>
      <c r="O204" s="5">
        <f>+qtrSales!AS108</f>
        <v>298.10000000000002</v>
      </c>
      <c r="P204" s="5">
        <f>+qtrSales!AS115</f>
        <v>315</v>
      </c>
      <c r="Q204" s="5">
        <f>qtrSales!$AS$122</f>
        <v>290.10000000000002</v>
      </c>
      <c r="R204" s="5">
        <f>qtrSales!$AS$129</f>
        <v>405</v>
      </c>
      <c r="S204" s="5">
        <f>qtrSales!AS136</f>
        <v>552.5</v>
      </c>
      <c r="T204" s="5">
        <f>qtrSales!AS143</f>
        <v>700.62900000000002</v>
      </c>
      <c r="U204" s="5">
        <f>qtrSales!AS150</f>
        <v>776.91600000000005</v>
      </c>
      <c r="V204" s="589">
        <f>qtrSales!AS157</f>
        <v>832.54199999999992</v>
      </c>
      <c r="W204" s="589">
        <f>qtrSales!AS164</f>
        <v>831.01634000000013</v>
      </c>
      <c r="X204" s="589">
        <f>qtrSales!AS171</f>
        <v>854.91407000000004</v>
      </c>
      <c r="Y204" s="589">
        <f>qtrSales!AS178</f>
        <v>977.39436999999998</v>
      </c>
      <c r="Z204" s="589">
        <f>qtrSales!AS185</f>
        <v>987.08045270000002</v>
      </c>
      <c r="AA204" s="292">
        <f>Z204*1.03</f>
        <v>1016.6928662810001</v>
      </c>
      <c r="AB204" s="292">
        <f>AA204*1.03</f>
        <v>1047.19365226943</v>
      </c>
      <c r="AC204" s="292">
        <f>AB204*1.03</f>
        <v>1078.609461837513</v>
      </c>
      <c r="AD204" s="292">
        <f>AC204*1.03</f>
        <v>1110.9677456926383</v>
      </c>
      <c r="AE204" s="81"/>
      <c r="AF204" s="50"/>
      <c r="AG204" s="50"/>
      <c r="AH204" s="647"/>
    </row>
    <row r="205" spans="1:39">
      <c r="A205" s="210" t="s">
        <v>77</v>
      </c>
      <c r="B205" s="233" t="s">
        <v>444</v>
      </c>
      <c r="C205" s="233" t="s">
        <v>444</v>
      </c>
      <c r="D205" s="233" t="s">
        <v>444</v>
      </c>
      <c r="E205" s="233" t="s">
        <v>444</v>
      </c>
      <c r="F205" s="7">
        <f t="shared" ref="F205:X205" si="164">+F204/E204-1</f>
        <v>3.4652034610068299</v>
      </c>
      <c r="G205" s="301">
        <f t="shared" si="164"/>
        <v>0.85640987108472633</v>
      </c>
      <c r="H205" s="301">
        <f t="shared" si="164"/>
        <v>0.57314392476946407</v>
      </c>
      <c r="I205" s="301">
        <f t="shared" si="164"/>
        <v>0.21570478542664517</v>
      </c>
      <c r="J205" s="301">
        <f t="shared" si="164"/>
        <v>0.30146728224048291</v>
      </c>
      <c r="L205" s="301"/>
      <c r="M205" s="301">
        <f t="shared" si="164"/>
        <v>0.1092636579572448</v>
      </c>
      <c r="N205" s="301">
        <f t="shared" si="164"/>
        <v>0.41970021413276215</v>
      </c>
      <c r="O205" s="301">
        <f t="shared" si="164"/>
        <v>0.49874308697838132</v>
      </c>
      <c r="P205" s="301">
        <f t="shared" si="164"/>
        <v>5.6692385105669096E-2</v>
      </c>
      <c r="Q205" s="301">
        <f t="shared" si="164"/>
        <v>-7.9047619047618922E-2</v>
      </c>
      <c r="R205" s="301">
        <f t="shared" si="164"/>
        <v>0.39607032057911051</v>
      </c>
      <c r="S205" s="301">
        <f t="shared" si="164"/>
        <v>0.36419753086419759</v>
      </c>
      <c r="T205" s="301">
        <f t="shared" si="164"/>
        <v>0.26810678733031668</v>
      </c>
      <c r="U205" s="301">
        <f>+U204/T204-1</f>
        <v>0.10888358888941219</v>
      </c>
      <c r="V205" s="301">
        <f t="shared" si="164"/>
        <v>7.1598473966297371E-2</v>
      </c>
      <c r="W205" s="301">
        <f t="shared" si="164"/>
        <v>-1.8325321725507493E-3</v>
      </c>
      <c r="X205" s="301">
        <f t="shared" si="164"/>
        <v>2.8757232378848085E-2</v>
      </c>
      <c r="Y205" s="118">
        <f t="shared" ref="Y205:AD205" si="165">+Y204/X204-1</f>
        <v>0.14326621153866359</v>
      </c>
      <c r="Z205" s="301">
        <f t="shared" si="165"/>
        <v>9.9101069100695494E-3</v>
      </c>
      <c r="AA205" s="301">
        <f t="shared" si="165"/>
        <v>3.0000000000000027E-2</v>
      </c>
      <c r="AB205" s="301">
        <f t="shared" si="165"/>
        <v>3.0000000000000027E-2</v>
      </c>
      <c r="AC205" s="301">
        <f t="shared" si="165"/>
        <v>3.0000000000000027E-2</v>
      </c>
      <c r="AD205" s="301">
        <f t="shared" si="165"/>
        <v>3.0000000000000027E-2</v>
      </c>
      <c r="AE205" s="81"/>
      <c r="AF205" s="50"/>
      <c r="AG205" s="50"/>
      <c r="AH205" s="647"/>
    </row>
    <row r="206" spans="1:39">
      <c r="A206" s="210" t="s">
        <v>253</v>
      </c>
      <c r="B206" s="5">
        <f>'qtrP&amp;L'!D14</f>
        <v>165.46300000000002</v>
      </c>
      <c r="C206" s="5">
        <f>'qtrP&amp;L'!H14</f>
        <v>235.65899999999999</v>
      </c>
      <c r="D206" s="5">
        <f>'qtrP&amp;L'!$L$14</f>
        <v>335.37200000000001</v>
      </c>
      <c r="E206" s="5">
        <f>'qtrP&amp;L'!$P$14</f>
        <v>521.61699999999996</v>
      </c>
      <c r="F206" s="5">
        <f>'qtrP&amp;L'!$T$14</f>
        <v>805.18000000000006</v>
      </c>
      <c r="G206" s="290">
        <f>+'qtrP&amp;L'!X14</f>
        <v>1030.8579999999999</v>
      </c>
      <c r="H206" s="290">
        <f>+'qtrP&amp;L'!AB14</f>
        <v>1237.604</v>
      </c>
      <c r="I206" s="290">
        <f>+'qtrP&amp;L'!AF14</f>
        <v>1364.8530000000001</v>
      </c>
      <c r="J206" s="290">
        <f>+'qtrP&amp;L'!AJ14</f>
        <v>1595.7569999999998</v>
      </c>
      <c r="K206" s="290">
        <f>+'qtrP&amp;L'!AN14</f>
        <v>1707.8090000000002</v>
      </c>
      <c r="L206" s="290">
        <f>+'qtrP&amp;L'!AR14</f>
        <v>2021.2539999999999</v>
      </c>
      <c r="M206" s="290">
        <f>'qtrP&amp;L'!AV14</f>
        <v>2784.7110000000002</v>
      </c>
      <c r="N206" s="290">
        <f>'qtrP&amp;L'!AZ14</f>
        <v>3318.1579999999999</v>
      </c>
      <c r="O206" s="290">
        <f>'qtrP&amp;L'!BD14</f>
        <v>3749.8469999999998</v>
      </c>
      <c r="P206" s="290">
        <f>P11+P62+P110+P159+P258</f>
        <v>3522.3850000000002</v>
      </c>
      <c r="Q206" s="290">
        <f>Q11+Q62+Q110+Q159+Q258</f>
        <v>2947.5296370909091</v>
      </c>
      <c r="R206" s="290">
        <f>R11+R62+R110+R159+R258</f>
        <v>3428.6000000000004</v>
      </c>
      <c r="S206" s="290">
        <f>S11+S62+S110+S159+S258</f>
        <v>4085.0409999999997</v>
      </c>
      <c r="T206" s="290">
        <f>'qtrP&amp;L'!BX14</f>
        <v>4510.8050000000003</v>
      </c>
      <c r="U206" s="290">
        <f>'qtrP&amp;L'!CB14</f>
        <v>4116.8969999999999</v>
      </c>
      <c r="V206" s="578">
        <f>'qtrP&amp;L'!CF14</f>
        <v>3744.0299999999997</v>
      </c>
      <c r="W206" s="578">
        <f>'qtrP&amp;L'!CJ14</f>
        <v>3518.6800000000003</v>
      </c>
      <c r="X206" s="2012">
        <f>'qtrP&amp;L'!CN14</f>
        <v>3326.74</v>
      </c>
      <c r="Y206" s="2012">
        <f>'qtrP&amp;L'!CR14</f>
        <v>3492.69</v>
      </c>
      <c r="Z206" s="2223">
        <f>'qtrP&amp;L'!CV14</f>
        <v>3507.8603602149997</v>
      </c>
      <c r="AA206" s="2012">
        <f>AA204+AA202</f>
        <v>3501.053784940505</v>
      </c>
      <c r="AB206" s="2012">
        <f>AB204+AB202</f>
        <v>3482.3514356037103</v>
      </c>
      <c r="AC206" s="2012">
        <f>AC204+AC202</f>
        <v>3457.2244743780684</v>
      </c>
      <c r="AD206" s="2012">
        <f>AD204+AD202</f>
        <v>3447.5824525143589</v>
      </c>
      <c r="AE206" s="750">
        <f>((Y206/T206)^(1/5)-1)*100</f>
        <v>-4.9874011182867388</v>
      </c>
      <c r="AF206" s="79" t="s">
        <v>76</v>
      </c>
      <c r="AG206" s="49">
        <f>((AD206/Y206)^(1/5)-1)*100</f>
        <v>-0.25964166544419909</v>
      </c>
      <c r="AH206" s="751" t="s">
        <v>76</v>
      </c>
      <c r="AK206" s="1835"/>
    </row>
    <row r="207" spans="1:39">
      <c r="A207" s="210" t="s">
        <v>77</v>
      </c>
      <c r="B207" s="7"/>
      <c r="C207" s="7">
        <f t="shared" ref="C207:W207" si="166">C206/B206-1</f>
        <v>0.42423986027087612</v>
      </c>
      <c r="D207" s="7">
        <f t="shared" si="166"/>
        <v>0.42312409031694109</v>
      </c>
      <c r="E207" s="7">
        <f t="shared" si="166"/>
        <v>0.5553385494316756</v>
      </c>
      <c r="F207" s="7">
        <f t="shared" si="166"/>
        <v>0.54362300308463896</v>
      </c>
      <c r="G207" s="7">
        <f t="shared" si="166"/>
        <v>0.28028266971360427</v>
      </c>
      <c r="H207" s="7">
        <f t="shared" si="166"/>
        <v>0.20055720574511726</v>
      </c>
      <c r="I207" s="7">
        <f t="shared" si="166"/>
        <v>0.10281883381113821</v>
      </c>
      <c r="J207" s="7">
        <f t="shared" si="166"/>
        <v>0.16917865880061789</v>
      </c>
      <c r="K207" s="7">
        <f t="shared" si="166"/>
        <v>7.0218711244882659E-2</v>
      </c>
      <c r="L207" s="7">
        <f t="shared" si="166"/>
        <v>0.18353633222450494</v>
      </c>
      <c r="M207" s="7">
        <f t="shared" si="166"/>
        <v>0.37771452771398373</v>
      </c>
      <c r="N207" s="7">
        <f t="shared" si="166"/>
        <v>0.19156278694629347</v>
      </c>
      <c r="O207" s="7">
        <f t="shared" si="166"/>
        <v>0.1300989886557542</v>
      </c>
      <c r="P207" s="7">
        <f t="shared" si="166"/>
        <v>-6.0659008220868671E-2</v>
      </c>
      <c r="Q207" s="7">
        <f t="shared" si="166"/>
        <v>-0.16320060496200472</v>
      </c>
      <c r="R207" s="7">
        <f t="shared" si="166"/>
        <v>0.16321137431679489</v>
      </c>
      <c r="S207" s="7">
        <f t="shared" si="166"/>
        <v>0.19146036283030954</v>
      </c>
      <c r="T207" s="7">
        <f t="shared" si="166"/>
        <v>0.10422514731186316</v>
      </c>
      <c r="U207" s="7">
        <f t="shared" si="166"/>
        <v>-8.7325433043547784E-2</v>
      </c>
      <c r="V207" s="118">
        <f t="shared" si="166"/>
        <v>-9.0569912242157158E-2</v>
      </c>
      <c r="W207" s="118">
        <f t="shared" si="166"/>
        <v>-6.0189154467245043E-2</v>
      </c>
      <c r="X207" s="118">
        <f t="shared" ref="X207:AD207" si="167">X206/W206-1</f>
        <v>-5.454886491525246E-2</v>
      </c>
      <c r="Y207" s="118">
        <f t="shared" si="167"/>
        <v>4.9883669899060346E-2</v>
      </c>
      <c r="Z207" s="118">
        <f t="shared" si="167"/>
        <v>4.3434602598568794E-3</v>
      </c>
      <c r="AA207" s="118">
        <f t="shared" si="167"/>
        <v>-1.9403780582866181E-3</v>
      </c>
      <c r="AB207" s="118">
        <f t="shared" si="167"/>
        <v>-5.3419200291184854E-3</v>
      </c>
      <c r="AC207" s="118">
        <f t="shared" si="167"/>
        <v>-7.2155156337015969E-3</v>
      </c>
      <c r="AD207" s="118">
        <f t="shared" si="167"/>
        <v>-2.7889487463622631E-3</v>
      </c>
      <c r="AE207" s="750"/>
      <c r="AF207" s="50"/>
      <c r="AG207" s="49"/>
      <c r="AH207" s="647"/>
    </row>
    <row r="208" spans="1:39">
      <c r="A208" s="349"/>
      <c r="B208" s="349"/>
      <c r="C208" s="349"/>
      <c r="D208" s="349"/>
      <c r="E208" s="349"/>
      <c r="F208" s="349"/>
      <c r="G208" s="349"/>
      <c r="H208" s="349"/>
      <c r="I208" s="349"/>
      <c r="J208" s="349"/>
      <c r="K208" s="349"/>
      <c r="L208" s="349"/>
      <c r="M208" s="350">
        <f>SUM(M161,M112,M64,M13,M264)</f>
        <v>1.0003102655894991</v>
      </c>
      <c r="N208" s="350">
        <f>SUM(N161,N112,N64,N13,N264)</f>
        <v>0.99999999999999989</v>
      </c>
      <c r="O208" s="350">
        <f>SUM(O161,O112,O64,O13,O264)</f>
        <v>1.0000052970894631</v>
      </c>
      <c r="P208" s="350">
        <f>SUM(P161,P112,P64,P13,P264)</f>
        <v>0.99999999999999989</v>
      </c>
      <c r="Q208" s="360">
        <f>Q206*0.05</f>
        <v>147.37648185454546</v>
      </c>
      <c r="R208" s="350">
        <f>SUM(R161,R112,R64,R13,R264)</f>
        <v>0.99999999999999989</v>
      </c>
      <c r="S208" s="350">
        <f>SUM(S161,S112,S64,S13,S264)</f>
        <v>1</v>
      </c>
      <c r="T208" s="232"/>
      <c r="U208" s="232"/>
      <c r="V208" s="592"/>
      <c r="W208" s="592"/>
      <c r="X208" s="1958"/>
      <c r="Y208" s="1958">
        <f t="shared" ref="Y208:AD208" si="168">(Y204-X204)/X206</f>
        <v>3.6816913855606377E-2</v>
      </c>
      <c r="Z208" s="1958">
        <f t="shared" si="168"/>
        <v>2.7732443188488078E-3</v>
      </c>
      <c r="AA208" s="1958">
        <f t="shared" si="168"/>
        <v>8.4417310098356037E-3</v>
      </c>
      <c r="AB208" s="1958">
        <f t="shared" si="168"/>
        <v>8.7118872950842832E-3</v>
      </c>
      <c r="AC208" s="1958">
        <f t="shared" si="168"/>
        <v>9.0214357020047993E-3</v>
      </c>
      <c r="AD208" s="1958">
        <f t="shared" si="168"/>
        <v>9.3596132084962178E-3</v>
      </c>
      <c r="AE208" s="750"/>
      <c r="AF208" s="50"/>
      <c r="AG208" s="49"/>
      <c r="AH208" s="647"/>
    </row>
    <row r="209" spans="1:34">
      <c r="A209" s="210" t="s">
        <v>78</v>
      </c>
      <c r="B209" s="4">
        <f>B16+B66+B115</f>
        <v>49</v>
      </c>
      <c r="C209" s="4">
        <f t="shared" ref="C209:V209" si="169">+B218</f>
        <v>67</v>
      </c>
      <c r="D209" s="4">
        <f t="shared" si="169"/>
        <v>100</v>
      </c>
      <c r="E209" s="4">
        <f t="shared" si="169"/>
        <v>127</v>
      </c>
      <c r="F209" s="4">
        <f t="shared" si="169"/>
        <v>156</v>
      </c>
      <c r="G209" s="4">
        <f t="shared" si="169"/>
        <v>196</v>
      </c>
      <c r="H209" s="4">
        <f t="shared" si="169"/>
        <v>250</v>
      </c>
      <c r="I209" s="4">
        <f t="shared" si="169"/>
        <v>354</v>
      </c>
      <c r="J209" s="4">
        <f t="shared" si="169"/>
        <v>491</v>
      </c>
      <c r="K209" s="4">
        <f t="shared" si="169"/>
        <v>597</v>
      </c>
      <c r="L209" s="4">
        <f t="shared" si="169"/>
        <v>700</v>
      </c>
      <c r="M209" s="4">
        <f t="shared" si="169"/>
        <v>788</v>
      </c>
      <c r="N209" s="4">
        <f t="shared" si="169"/>
        <v>851</v>
      </c>
      <c r="O209" s="4">
        <f t="shared" si="169"/>
        <v>944</v>
      </c>
      <c r="P209" s="4">
        <f t="shared" si="169"/>
        <v>1035</v>
      </c>
      <c r="Q209" s="4">
        <f t="shared" si="169"/>
        <v>1125</v>
      </c>
      <c r="R209" s="4">
        <f t="shared" si="169"/>
        <v>1097</v>
      </c>
      <c r="S209" s="4">
        <f t="shared" si="169"/>
        <v>1069</v>
      </c>
      <c r="T209" s="4">
        <f t="shared" si="169"/>
        <v>1041</v>
      </c>
      <c r="U209" s="4">
        <f t="shared" si="169"/>
        <v>1041</v>
      </c>
      <c r="V209" s="293">
        <f t="shared" si="169"/>
        <v>1006</v>
      </c>
      <c r="W209" s="293">
        <f t="shared" ref="W209:AD209" si="170">+V218</f>
        <v>961</v>
      </c>
      <c r="X209" s="293">
        <f t="shared" si="170"/>
        <v>932</v>
      </c>
      <c r="Y209" s="293">
        <f t="shared" si="170"/>
        <v>898</v>
      </c>
      <c r="Z209" s="293">
        <f t="shared" si="170"/>
        <v>868</v>
      </c>
      <c r="AA209" s="293">
        <f t="shared" si="170"/>
        <v>834</v>
      </c>
      <c r="AB209" s="293">
        <f t="shared" si="170"/>
        <v>788</v>
      </c>
      <c r="AC209" s="293">
        <f t="shared" si="170"/>
        <v>752</v>
      </c>
      <c r="AD209" s="293">
        <f t="shared" si="170"/>
        <v>728</v>
      </c>
      <c r="AE209" s="750"/>
      <c r="AF209" s="50"/>
      <c r="AG209" s="701"/>
      <c r="AH209" s="647"/>
    </row>
    <row r="210" spans="1:34">
      <c r="A210" s="210" t="s">
        <v>353</v>
      </c>
      <c r="B210" s="4">
        <f t="shared" ref="B210:N210" si="171">+B211+B212+B213+B214</f>
        <v>20</v>
      </c>
      <c r="C210" s="4">
        <f t="shared" si="171"/>
        <v>33</v>
      </c>
      <c r="D210" s="4">
        <f t="shared" si="171"/>
        <v>29</v>
      </c>
      <c r="E210" s="4">
        <f t="shared" si="171"/>
        <v>30</v>
      </c>
      <c r="F210" s="4">
        <f t="shared" si="171"/>
        <v>41</v>
      </c>
      <c r="G210" s="4">
        <f t="shared" si="171"/>
        <v>54</v>
      </c>
      <c r="H210" s="4">
        <f t="shared" si="171"/>
        <v>104</v>
      </c>
      <c r="I210" s="4">
        <f t="shared" si="171"/>
        <v>138</v>
      </c>
      <c r="J210" s="4">
        <f t="shared" si="171"/>
        <v>112</v>
      </c>
      <c r="K210" s="4">
        <f t="shared" si="171"/>
        <v>106</v>
      </c>
      <c r="L210" s="4">
        <f t="shared" si="171"/>
        <v>109</v>
      </c>
      <c r="M210" s="4">
        <f t="shared" si="171"/>
        <v>81</v>
      </c>
      <c r="N210" s="4">
        <f t="shared" si="171"/>
        <v>104</v>
      </c>
      <c r="O210" s="4">
        <f t="shared" ref="O210:V210" si="172">+O211+O212+O213+O214+O215</f>
        <v>99</v>
      </c>
      <c r="P210" s="4">
        <f t="shared" si="172"/>
        <v>97</v>
      </c>
      <c r="Q210" s="4">
        <f t="shared" si="172"/>
        <v>22</v>
      </c>
      <c r="R210" s="4">
        <f t="shared" si="172"/>
        <v>37</v>
      </c>
      <c r="S210" s="4">
        <f t="shared" si="172"/>
        <v>46</v>
      </c>
      <c r="T210" s="4">
        <f t="shared" si="172"/>
        <v>47</v>
      </c>
      <c r="U210" s="4">
        <f>+U211+U212+U213+U214+U215</f>
        <v>28</v>
      </c>
      <c r="V210" s="293">
        <f t="shared" si="172"/>
        <v>21</v>
      </c>
      <c r="W210" s="293">
        <f t="shared" ref="W210:AB210" si="173">+W211+W212+W213+W214+W215</f>
        <v>30</v>
      </c>
      <c r="X210" s="293">
        <f>+X211+X212+X213+X214+X215</f>
        <v>19</v>
      </c>
      <c r="Y210" s="293">
        <f t="shared" si="173"/>
        <v>9</v>
      </c>
      <c r="Z210" s="293">
        <f t="shared" si="173"/>
        <v>21</v>
      </c>
      <c r="AA210" s="293">
        <f t="shared" si="173"/>
        <v>4</v>
      </c>
      <c r="AB210" s="293">
        <f t="shared" si="173"/>
        <v>4</v>
      </c>
      <c r="AC210" s="293">
        <f>+AC211+AC212+AC213+AC214+AC215</f>
        <v>1</v>
      </c>
      <c r="AD210" s="293">
        <f>+AD211+AD212+AD213+AD214+AD215</f>
        <v>1</v>
      </c>
      <c r="AE210" s="750"/>
      <c r="AF210" s="50"/>
      <c r="AG210" s="49"/>
      <c r="AH210" s="647"/>
    </row>
    <row r="211" spans="1:34">
      <c r="A211" s="212" t="s">
        <v>452</v>
      </c>
      <c r="B211" s="1">
        <f>B17</f>
        <v>20</v>
      </c>
      <c r="C211" s="1">
        <f t="shared" ref="C211:V211" si="174">C17</f>
        <v>33</v>
      </c>
      <c r="D211" s="1">
        <f t="shared" si="174"/>
        <v>29</v>
      </c>
      <c r="E211" s="1">
        <f t="shared" si="174"/>
        <v>30</v>
      </c>
      <c r="F211" s="1">
        <f t="shared" si="174"/>
        <v>28</v>
      </c>
      <c r="G211" s="1">
        <f t="shared" si="174"/>
        <v>32</v>
      </c>
      <c r="H211" s="1">
        <f t="shared" si="174"/>
        <v>50</v>
      </c>
      <c r="I211" s="1">
        <f t="shared" si="174"/>
        <v>45</v>
      </c>
      <c r="J211" s="1">
        <f t="shared" si="174"/>
        <v>33</v>
      </c>
      <c r="K211" s="1">
        <f t="shared" si="174"/>
        <v>18</v>
      </c>
      <c r="L211" s="1">
        <f t="shared" si="174"/>
        <v>14</v>
      </c>
      <c r="M211" s="1">
        <f t="shared" si="174"/>
        <v>15</v>
      </c>
      <c r="N211" s="1">
        <f t="shared" si="174"/>
        <v>8</v>
      </c>
      <c r="O211" s="1">
        <f t="shared" si="174"/>
        <v>6</v>
      </c>
      <c r="P211" s="1">
        <f t="shared" si="174"/>
        <v>2</v>
      </c>
      <c r="Q211" s="1">
        <f t="shared" si="174"/>
        <v>2</v>
      </c>
      <c r="R211" s="1">
        <f t="shared" si="174"/>
        <v>6</v>
      </c>
      <c r="S211" s="1">
        <f t="shared" si="174"/>
        <v>5</v>
      </c>
      <c r="T211" s="1">
        <f t="shared" si="174"/>
        <v>9</v>
      </c>
      <c r="U211" s="1">
        <f t="shared" si="174"/>
        <v>5</v>
      </c>
      <c r="V211" s="50">
        <f t="shared" si="174"/>
        <v>12</v>
      </c>
      <c r="W211" s="50">
        <f t="shared" ref="W211:AB211" si="175">W17</f>
        <v>20</v>
      </c>
      <c r="X211" s="50">
        <f t="shared" si="175"/>
        <v>10</v>
      </c>
      <c r="Y211" s="50">
        <f t="shared" si="175"/>
        <v>3</v>
      </c>
      <c r="Z211" s="50">
        <f t="shared" si="175"/>
        <v>8</v>
      </c>
      <c r="AA211" s="50">
        <f t="shared" si="175"/>
        <v>3</v>
      </c>
      <c r="AB211" s="50">
        <f t="shared" si="175"/>
        <v>3</v>
      </c>
      <c r="AC211" s="50">
        <f>AC17</f>
        <v>0</v>
      </c>
      <c r="AD211" s="50">
        <f>AD17</f>
        <v>0</v>
      </c>
      <c r="AE211" s="750"/>
      <c r="AF211" s="50"/>
      <c r="AG211" s="49"/>
      <c r="AH211" s="647"/>
    </row>
    <row r="212" spans="1:34" hidden="1" outlineLevel="1">
      <c r="A212" s="212" t="s">
        <v>448</v>
      </c>
      <c r="B212" s="4">
        <f t="shared" ref="B212:N212" si="176">B67</f>
        <v>0</v>
      </c>
      <c r="C212" s="4">
        <f t="shared" si="176"/>
        <v>0</v>
      </c>
      <c r="D212" s="4">
        <f t="shared" si="176"/>
        <v>0</v>
      </c>
      <c r="E212" s="4">
        <f t="shared" si="176"/>
        <v>0</v>
      </c>
      <c r="F212" s="4">
        <f t="shared" si="176"/>
        <v>13</v>
      </c>
      <c r="G212" s="4">
        <f t="shared" si="176"/>
        <v>22</v>
      </c>
      <c r="H212" s="4">
        <f t="shared" si="176"/>
        <v>49</v>
      </c>
      <c r="I212" s="4">
        <f t="shared" si="176"/>
        <v>64</v>
      </c>
      <c r="J212" s="4">
        <f t="shared" si="176"/>
        <v>19</v>
      </c>
      <c r="K212" s="4">
        <f t="shared" si="176"/>
        <v>9</v>
      </c>
      <c r="L212" s="4">
        <f t="shared" si="176"/>
        <v>7</v>
      </c>
      <c r="M212" s="4">
        <f t="shared" si="176"/>
        <v>5</v>
      </c>
      <c r="N212" s="4">
        <f t="shared" si="176"/>
        <v>19</v>
      </c>
      <c r="O212" s="4">
        <f t="shared" ref="O212:T212" si="177">O67</f>
        <v>25</v>
      </c>
      <c r="P212" s="4">
        <f t="shared" si="177"/>
        <v>12</v>
      </c>
      <c r="Q212" s="215">
        <f>Q67</f>
        <v>4</v>
      </c>
      <c r="R212" s="4">
        <f t="shared" si="177"/>
        <v>3</v>
      </c>
      <c r="S212" s="4">
        <f t="shared" si="177"/>
        <v>1</v>
      </c>
      <c r="T212" s="4">
        <f t="shared" si="177"/>
        <v>4</v>
      </c>
      <c r="U212" s="4">
        <f t="shared" ref="U212:Z212" si="178">U67</f>
        <v>0</v>
      </c>
      <c r="V212" s="293">
        <f t="shared" si="178"/>
        <v>0</v>
      </c>
      <c r="W212" s="293">
        <f t="shared" si="178"/>
        <v>0</v>
      </c>
      <c r="X212" s="293">
        <f t="shared" si="178"/>
        <v>0</v>
      </c>
      <c r="Y212" s="293">
        <f t="shared" si="178"/>
        <v>0</v>
      </c>
      <c r="Z212" s="293">
        <f t="shared" si="178"/>
        <v>0</v>
      </c>
      <c r="AA212" s="293">
        <f>AA67</f>
        <v>0</v>
      </c>
      <c r="AB212" s="293">
        <f>AB67</f>
        <v>0</v>
      </c>
      <c r="AC212" s="293">
        <f>AC67</f>
        <v>0</v>
      </c>
      <c r="AD212" s="293">
        <f>AD67</f>
        <v>0</v>
      </c>
      <c r="AE212" s="750"/>
      <c r="AF212" s="50"/>
      <c r="AG212" s="49"/>
      <c r="AH212" s="647"/>
    </row>
    <row r="213" spans="1:34" collapsed="1">
      <c r="A213" s="212" t="s">
        <v>449</v>
      </c>
      <c r="B213" s="1">
        <f>B116</f>
        <v>0</v>
      </c>
      <c r="C213" s="1">
        <f t="shared" ref="C213:V213" si="179">C116</f>
        <v>0</v>
      </c>
      <c r="D213" s="1">
        <f t="shared" si="179"/>
        <v>0</v>
      </c>
      <c r="E213" s="1">
        <f t="shared" si="179"/>
        <v>0</v>
      </c>
      <c r="F213" s="1">
        <f t="shared" si="179"/>
        <v>0</v>
      </c>
      <c r="G213" s="1">
        <f t="shared" si="179"/>
        <v>0</v>
      </c>
      <c r="H213" s="1">
        <f t="shared" si="179"/>
        <v>5</v>
      </c>
      <c r="I213" s="1">
        <f t="shared" si="179"/>
        <v>29</v>
      </c>
      <c r="J213" s="1">
        <f t="shared" si="179"/>
        <v>60</v>
      </c>
      <c r="K213" s="1">
        <f t="shared" si="179"/>
        <v>79</v>
      </c>
      <c r="L213" s="1">
        <f t="shared" si="179"/>
        <v>84</v>
      </c>
      <c r="M213" s="1">
        <f t="shared" si="179"/>
        <v>57</v>
      </c>
      <c r="N213" s="1">
        <f t="shared" si="179"/>
        <v>70</v>
      </c>
      <c r="O213" s="1">
        <f t="shared" si="179"/>
        <v>58</v>
      </c>
      <c r="P213" s="1">
        <f t="shared" si="179"/>
        <v>66</v>
      </c>
      <c r="Q213" s="1">
        <f t="shared" si="179"/>
        <v>14</v>
      </c>
      <c r="R213" s="1">
        <f t="shared" si="179"/>
        <v>25</v>
      </c>
      <c r="S213" s="1">
        <f t="shared" si="179"/>
        <v>38</v>
      </c>
      <c r="T213" s="1">
        <f t="shared" si="179"/>
        <v>30</v>
      </c>
      <c r="U213" s="1">
        <f t="shared" si="179"/>
        <v>23</v>
      </c>
      <c r="V213" s="50">
        <f t="shared" si="179"/>
        <v>9</v>
      </c>
      <c r="W213" s="50">
        <f t="shared" ref="W213:AB213" si="180">W116</f>
        <v>10</v>
      </c>
      <c r="X213" s="50">
        <f t="shared" si="180"/>
        <v>9</v>
      </c>
      <c r="Y213" s="50">
        <f t="shared" si="180"/>
        <v>6</v>
      </c>
      <c r="Z213" s="50">
        <f t="shared" si="180"/>
        <v>13</v>
      </c>
      <c r="AA213" s="50">
        <f t="shared" si="180"/>
        <v>1</v>
      </c>
      <c r="AB213" s="50">
        <f t="shared" si="180"/>
        <v>1</v>
      </c>
      <c r="AC213" s="50">
        <f>AC116</f>
        <v>1</v>
      </c>
      <c r="AD213" s="50">
        <f>AD116</f>
        <v>1</v>
      </c>
      <c r="AE213" s="750"/>
      <c r="AF213" s="50"/>
      <c r="AG213" s="49"/>
      <c r="AH213" s="647"/>
    </row>
    <row r="214" spans="1:34" hidden="1" outlineLevel="1">
      <c r="A214" s="212" t="s">
        <v>47</v>
      </c>
      <c r="B214" s="4">
        <f>B117</f>
        <v>0</v>
      </c>
      <c r="C214" s="4">
        <f>C117</f>
        <v>0</v>
      </c>
      <c r="D214" s="4">
        <f>D117</f>
        <v>0</v>
      </c>
      <c r="E214" s="260">
        <v>0</v>
      </c>
      <c r="F214" s="260">
        <v>0</v>
      </c>
      <c r="G214" s="260">
        <v>0</v>
      </c>
      <c r="H214" s="260">
        <v>0</v>
      </c>
      <c r="I214" s="260">
        <v>0</v>
      </c>
      <c r="J214" s="260">
        <v>0</v>
      </c>
      <c r="K214" s="260">
        <v>0</v>
      </c>
      <c r="L214" s="4">
        <f t="shared" ref="L214:Q214" si="181">+L164</f>
        <v>4</v>
      </c>
      <c r="M214" s="4">
        <f t="shared" si="181"/>
        <v>4</v>
      </c>
      <c r="N214" s="4">
        <f t="shared" si="181"/>
        <v>7</v>
      </c>
      <c r="O214" s="4">
        <f t="shared" si="181"/>
        <v>7</v>
      </c>
      <c r="P214" s="4">
        <f t="shared" si="181"/>
        <v>6</v>
      </c>
      <c r="Q214" s="4">
        <f t="shared" si="181"/>
        <v>0</v>
      </c>
      <c r="R214" s="4">
        <f t="shared" ref="R214:Y214" si="182">+R164</f>
        <v>0</v>
      </c>
      <c r="S214" s="4">
        <f t="shared" si="182"/>
        <v>0</v>
      </c>
      <c r="T214" s="4">
        <f t="shared" si="182"/>
        <v>0</v>
      </c>
      <c r="U214" s="4">
        <f t="shared" si="182"/>
        <v>0</v>
      </c>
      <c r="V214" s="293">
        <f t="shared" si="182"/>
        <v>0</v>
      </c>
      <c r="W214" s="293">
        <f t="shared" si="182"/>
        <v>0</v>
      </c>
      <c r="X214" s="293">
        <f t="shared" si="182"/>
        <v>0</v>
      </c>
      <c r="Y214" s="293">
        <f t="shared" si="182"/>
        <v>0</v>
      </c>
      <c r="Z214" s="293">
        <f>+Z164</f>
        <v>0</v>
      </c>
      <c r="AA214" s="293">
        <f>+AA164</f>
        <v>0</v>
      </c>
      <c r="AB214" s="293">
        <f>+AB164</f>
        <v>0</v>
      </c>
      <c r="AC214" s="293">
        <f>+AC164</f>
        <v>0</v>
      </c>
      <c r="AD214" s="293">
        <f>+AD164</f>
        <v>0</v>
      </c>
      <c r="AE214" s="750"/>
      <c r="AF214" s="50"/>
      <c r="AG214" s="49"/>
      <c r="AH214" s="647"/>
    </row>
    <row r="215" spans="1:34" hidden="1" outlineLevel="1">
      <c r="A215" s="212" t="s">
        <v>432</v>
      </c>
      <c r="B215" s="4"/>
      <c r="C215" s="4"/>
      <c r="D215" s="4"/>
      <c r="E215" s="260"/>
      <c r="F215" s="260"/>
      <c r="G215" s="260"/>
      <c r="H215" s="260"/>
      <c r="I215" s="260"/>
      <c r="J215" s="260"/>
      <c r="K215" s="260"/>
      <c r="L215" s="4"/>
      <c r="M215" s="4"/>
      <c r="N215" s="4"/>
      <c r="O215" s="4">
        <f t="shared" ref="O215:T215" si="183">O267</f>
        <v>3</v>
      </c>
      <c r="P215" s="4">
        <f t="shared" si="183"/>
        <v>11</v>
      </c>
      <c r="Q215" s="4">
        <f t="shared" si="183"/>
        <v>2</v>
      </c>
      <c r="R215" s="4">
        <f t="shared" si="183"/>
        <v>3</v>
      </c>
      <c r="S215" s="4">
        <f t="shared" si="183"/>
        <v>2</v>
      </c>
      <c r="T215" s="4">
        <f t="shared" si="183"/>
        <v>4</v>
      </c>
      <c r="U215" s="4">
        <f t="shared" ref="U215:Z215" si="184">U267</f>
        <v>0</v>
      </c>
      <c r="V215" s="293">
        <f>V267</f>
        <v>0</v>
      </c>
      <c r="W215" s="293">
        <f t="shared" si="184"/>
        <v>0</v>
      </c>
      <c r="X215" s="293">
        <f t="shared" si="184"/>
        <v>0</v>
      </c>
      <c r="Y215" s="293">
        <f t="shared" si="184"/>
        <v>0</v>
      </c>
      <c r="Z215" s="293">
        <f t="shared" si="184"/>
        <v>0</v>
      </c>
      <c r="AA215" s="293">
        <f>AA2661</f>
        <v>0</v>
      </c>
      <c r="AB215" s="293">
        <f>AB2661</f>
        <v>0</v>
      </c>
      <c r="AC215" s="293">
        <f>AC2661</f>
        <v>0</v>
      </c>
      <c r="AD215" s="293">
        <f>AD2661</f>
        <v>0</v>
      </c>
      <c r="AE215" s="750"/>
      <c r="AF215" s="50"/>
      <c r="AG215" s="49"/>
      <c r="AH215" s="647"/>
    </row>
    <row r="216" spans="1:34" collapsed="1">
      <c r="A216" s="211" t="s">
        <v>450</v>
      </c>
      <c r="B216" s="134">
        <f t="shared" ref="B216:P216" si="185">B18+B68+B117</f>
        <v>-2</v>
      </c>
      <c r="C216" s="134">
        <f t="shared" si="185"/>
        <v>0</v>
      </c>
      <c r="D216" s="134">
        <f t="shared" si="185"/>
        <v>-2</v>
      </c>
      <c r="E216" s="134">
        <f t="shared" si="185"/>
        <v>-1</v>
      </c>
      <c r="F216" s="134">
        <f t="shared" si="185"/>
        <v>-1</v>
      </c>
      <c r="G216" s="134">
        <f t="shared" si="185"/>
        <v>0</v>
      </c>
      <c r="H216" s="134">
        <f t="shared" si="185"/>
        <v>0</v>
      </c>
      <c r="I216" s="134">
        <f t="shared" si="185"/>
        <v>-1</v>
      </c>
      <c r="J216" s="134">
        <f t="shared" si="185"/>
        <v>-6</v>
      </c>
      <c r="K216" s="134">
        <f t="shared" si="185"/>
        <v>-3</v>
      </c>
      <c r="L216" s="134">
        <f t="shared" si="185"/>
        <v>-21</v>
      </c>
      <c r="M216" s="134">
        <f t="shared" si="185"/>
        <v>-22</v>
      </c>
      <c r="N216" s="134">
        <f t="shared" si="185"/>
        <v>-13</v>
      </c>
      <c r="O216" s="134">
        <f t="shared" si="185"/>
        <v>-6</v>
      </c>
      <c r="P216" s="134">
        <f t="shared" si="185"/>
        <v>-10</v>
      </c>
      <c r="Q216" s="134">
        <f>Q18+Q68+Q117+Q165</f>
        <v>-51</v>
      </c>
      <c r="R216" s="134">
        <f>R18+R68+R117-1</f>
        <v>-65</v>
      </c>
      <c r="S216" s="134">
        <f>S18+S68+S117</f>
        <v>-74</v>
      </c>
      <c r="T216" s="134">
        <f>T18+T68+T117+T268</f>
        <v>-47</v>
      </c>
      <c r="U216" s="134">
        <f>U18+U68+U117+U268</f>
        <v>-63</v>
      </c>
      <c r="V216" s="581">
        <f>V18+V68+V117+V268</f>
        <v>-66</v>
      </c>
      <c r="W216" s="581">
        <f>W18+W68+W117</f>
        <v>-59</v>
      </c>
      <c r="X216" s="581">
        <f t="shared" ref="X216:AC216" si="186">X18+X117</f>
        <v>-53</v>
      </c>
      <c r="Y216" s="581">
        <f t="shared" si="186"/>
        <v>-39</v>
      </c>
      <c r="Z216" s="581">
        <f t="shared" si="186"/>
        <v>-55</v>
      </c>
      <c r="AA216" s="581">
        <f t="shared" si="186"/>
        <v>-50</v>
      </c>
      <c r="AB216" s="581">
        <f t="shared" si="186"/>
        <v>-40</v>
      </c>
      <c r="AC216" s="581">
        <f t="shared" si="186"/>
        <v>-25</v>
      </c>
      <c r="AD216" s="581">
        <f t="shared" ref="AD216" si="187">AD18+AD117</f>
        <v>-25</v>
      </c>
      <c r="AE216" s="750"/>
      <c r="AF216" s="50"/>
      <c r="AG216" s="49"/>
      <c r="AH216" s="647"/>
    </row>
    <row r="217" spans="1:34">
      <c r="A217" s="211" t="s">
        <v>57</v>
      </c>
      <c r="B217" s="134"/>
      <c r="C217" s="134"/>
      <c r="D217" s="134"/>
      <c r="E217" s="134"/>
      <c r="F217" s="134"/>
      <c r="G217" s="134"/>
      <c r="H217" s="134"/>
      <c r="I217" s="134"/>
      <c r="J217" s="134"/>
      <c r="K217" s="134"/>
      <c r="L217" s="134"/>
      <c r="M217" s="134">
        <f>M19+M69+M118+M166</f>
        <v>4</v>
      </c>
      <c r="N217" s="134">
        <f>N19+N69+N118+N166</f>
        <v>2</v>
      </c>
      <c r="O217" s="134">
        <v>-2</v>
      </c>
      <c r="P217" s="134">
        <v>3</v>
      </c>
      <c r="Q217" s="134">
        <v>1</v>
      </c>
      <c r="R217" s="134"/>
      <c r="S217" s="134"/>
      <c r="T217" s="134"/>
      <c r="U217" s="134"/>
      <c r="V217" s="581"/>
      <c r="W217" s="581"/>
      <c r="X217" s="581"/>
      <c r="Y217" s="581"/>
      <c r="Z217" s="581"/>
      <c r="AA217" s="581"/>
      <c r="AB217" s="581"/>
      <c r="AC217" s="581"/>
      <c r="AD217" s="581"/>
      <c r="AE217" s="750"/>
      <c r="AF217" s="50"/>
      <c r="AG217" s="49"/>
      <c r="AH217" s="647"/>
    </row>
    <row r="218" spans="1:34">
      <c r="A218" s="210" t="s">
        <v>80</v>
      </c>
      <c r="B218" s="4">
        <f t="shared" ref="B218:L218" si="188">+B209+B210+B216</f>
        <v>67</v>
      </c>
      <c r="C218" s="4">
        <f t="shared" si="188"/>
        <v>100</v>
      </c>
      <c r="D218" s="4">
        <f t="shared" si="188"/>
        <v>127</v>
      </c>
      <c r="E218" s="4">
        <f t="shared" si="188"/>
        <v>156</v>
      </c>
      <c r="F218" s="4">
        <f t="shared" si="188"/>
        <v>196</v>
      </c>
      <c r="G218" s="4">
        <f t="shared" si="188"/>
        <v>250</v>
      </c>
      <c r="H218" s="4">
        <f t="shared" si="188"/>
        <v>354</v>
      </c>
      <c r="I218" s="4">
        <f t="shared" si="188"/>
        <v>491</v>
      </c>
      <c r="J218" s="4">
        <f t="shared" si="188"/>
        <v>597</v>
      </c>
      <c r="K218" s="4">
        <f t="shared" si="188"/>
        <v>700</v>
      </c>
      <c r="L218" s="4">
        <f t="shared" si="188"/>
        <v>788</v>
      </c>
      <c r="M218" s="4">
        <f t="shared" ref="M218:Z218" si="189">+M209+M210+M216+M217</f>
        <v>851</v>
      </c>
      <c r="N218" s="4">
        <f t="shared" si="189"/>
        <v>944</v>
      </c>
      <c r="O218" s="8">
        <f t="shared" si="189"/>
        <v>1035</v>
      </c>
      <c r="P218" s="615">
        <f>+P209+P210+P216+P217</f>
        <v>1125</v>
      </c>
      <c r="Q218" s="8">
        <f t="shared" si="189"/>
        <v>1097</v>
      </c>
      <c r="R218" s="8">
        <f t="shared" si="189"/>
        <v>1069</v>
      </c>
      <c r="S218" s="8">
        <f t="shared" si="189"/>
        <v>1041</v>
      </c>
      <c r="T218" s="8">
        <f>+T209+T210+T216+T217</f>
        <v>1041</v>
      </c>
      <c r="U218" s="8">
        <f>+U209+U210+U216+U217</f>
        <v>1006</v>
      </c>
      <c r="V218" s="80">
        <f>+V209+V210+V216+V217</f>
        <v>961</v>
      </c>
      <c r="W218" s="80">
        <f t="shared" si="189"/>
        <v>932</v>
      </c>
      <c r="X218" s="80">
        <f t="shared" si="189"/>
        <v>898</v>
      </c>
      <c r="Y218" s="80">
        <f t="shared" si="189"/>
        <v>868</v>
      </c>
      <c r="Z218" s="80">
        <f t="shared" si="189"/>
        <v>834</v>
      </c>
      <c r="AA218" s="80">
        <f>+AA209+AA210+AA216+AA217</f>
        <v>788</v>
      </c>
      <c r="AB218" s="80">
        <f>+AB209+AB210+AB216+AB217</f>
        <v>752</v>
      </c>
      <c r="AC218" s="80">
        <f>+AC209+AC210+AC216+AC217</f>
        <v>728</v>
      </c>
      <c r="AD218" s="80">
        <f>+AD209+AD210+AD216+AD217</f>
        <v>704</v>
      </c>
      <c r="AE218" s="750">
        <f>((Y218/T218)^(1/5)-1)*100</f>
        <v>-3.569637550300675</v>
      </c>
      <c r="AF218" s="79" t="s">
        <v>76</v>
      </c>
      <c r="AG218" s="49">
        <f>((AD218/Y218)^(1/5)-1)*100</f>
        <v>-4.1017710266556868</v>
      </c>
      <c r="AH218" s="751" t="s">
        <v>76</v>
      </c>
    </row>
    <row r="219" spans="1:34">
      <c r="A219" s="210" t="s">
        <v>81</v>
      </c>
      <c r="B219" s="8">
        <f t="shared" ref="B219:W219" si="190">(+B218+B209)/2</f>
        <v>58</v>
      </c>
      <c r="C219" s="8">
        <f t="shared" si="190"/>
        <v>83.5</v>
      </c>
      <c r="D219" s="8">
        <f t="shared" si="190"/>
        <v>113.5</v>
      </c>
      <c r="E219" s="8">
        <f t="shared" si="190"/>
        <v>141.5</v>
      </c>
      <c r="F219" s="8">
        <f t="shared" si="190"/>
        <v>176</v>
      </c>
      <c r="G219" s="8">
        <f t="shared" si="190"/>
        <v>223</v>
      </c>
      <c r="H219" s="8">
        <f t="shared" si="190"/>
        <v>302</v>
      </c>
      <c r="I219" s="8">
        <f t="shared" si="190"/>
        <v>422.5</v>
      </c>
      <c r="J219" s="8">
        <f t="shared" si="190"/>
        <v>544</v>
      </c>
      <c r="K219" s="8">
        <f t="shared" si="190"/>
        <v>648.5</v>
      </c>
      <c r="L219" s="8">
        <f t="shared" si="190"/>
        <v>744</v>
      </c>
      <c r="M219" s="8">
        <f t="shared" si="190"/>
        <v>819.5</v>
      </c>
      <c r="N219" s="8">
        <f t="shared" si="190"/>
        <v>897.5</v>
      </c>
      <c r="O219" s="8">
        <f t="shared" si="190"/>
        <v>989.5</v>
      </c>
      <c r="P219" s="8">
        <f t="shared" si="190"/>
        <v>1080</v>
      </c>
      <c r="Q219" s="8">
        <f t="shared" si="190"/>
        <v>1111</v>
      </c>
      <c r="R219" s="8">
        <f t="shared" si="190"/>
        <v>1083</v>
      </c>
      <c r="S219" s="8">
        <f t="shared" si="190"/>
        <v>1055</v>
      </c>
      <c r="T219" s="8">
        <f t="shared" si="190"/>
        <v>1041</v>
      </c>
      <c r="U219" s="8">
        <f t="shared" si="190"/>
        <v>1023.5</v>
      </c>
      <c r="V219" s="80">
        <f t="shared" si="190"/>
        <v>983.5</v>
      </c>
      <c r="W219" s="80">
        <f t="shared" si="190"/>
        <v>946.5</v>
      </c>
      <c r="X219" s="80">
        <f t="shared" ref="X219:AC219" si="191">(+X218+X209)/2</f>
        <v>915</v>
      </c>
      <c r="Y219" s="80">
        <f t="shared" si="191"/>
        <v>883</v>
      </c>
      <c r="Z219" s="80">
        <f t="shared" si="191"/>
        <v>851</v>
      </c>
      <c r="AA219" s="80">
        <f t="shared" si="191"/>
        <v>811</v>
      </c>
      <c r="AB219" s="80">
        <f t="shared" si="191"/>
        <v>770</v>
      </c>
      <c r="AC219" s="80">
        <f t="shared" si="191"/>
        <v>740</v>
      </c>
      <c r="AD219" s="80">
        <f t="shared" ref="AD219" si="192">(+AD218+AD209)/2</f>
        <v>716</v>
      </c>
      <c r="AE219" s="750"/>
      <c r="AF219" s="80"/>
      <c r="AG219" s="49"/>
      <c r="AH219" s="745"/>
    </row>
    <row r="220" spans="1:34">
      <c r="A220" s="210" t="s">
        <v>82</v>
      </c>
      <c r="B220" s="7"/>
      <c r="C220" s="7">
        <f t="shared" ref="C220:W220" si="193">+C219/B219-1</f>
        <v>0.43965517241379315</v>
      </c>
      <c r="D220" s="7">
        <f t="shared" si="193"/>
        <v>0.35928143712574845</v>
      </c>
      <c r="E220" s="7">
        <f t="shared" si="193"/>
        <v>0.24669603524229067</v>
      </c>
      <c r="F220" s="7">
        <f t="shared" si="193"/>
        <v>0.24381625441696109</v>
      </c>
      <c r="G220" s="7">
        <f t="shared" si="193"/>
        <v>0.26704545454545459</v>
      </c>
      <c r="H220" s="7">
        <f t="shared" si="193"/>
        <v>0.35426008968609857</v>
      </c>
      <c r="I220" s="7">
        <f t="shared" si="193"/>
        <v>0.39900662251655628</v>
      </c>
      <c r="J220" s="7">
        <f t="shared" si="193"/>
        <v>0.28757396449704142</v>
      </c>
      <c r="K220" s="7">
        <f t="shared" si="193"/>
        <v>0.19209558823529416</v>
      </c>
      <c r="L220" s="7">
        <f t="shared" si="193"/>
        <v>0.14726291441788741</v>
      </c>
      <c r="M220" s="7">
        <f t="shared" si="193"/>
        <v>0.10147849462365599</v>
      </c>
      <c r="N220" s="7">
        <f t="shared" si="193"/>
        <v>9.5179987797437526E-2</v>
      </c>
      <c r="O220" s="7">
        <f t="shared" si="193"/>
        <v>0.10250696378830093</v>
      </c>
      <c r="P220" s="7">
        <f t="shared" si="193"/>
        <v>9.146033350176852E-2</v>
      </c>
      <c r="Q220" s="7">
        <f t="shared" si="193"/>
        <v>2.8703703703703676E-2</v>
      </c>
      <c r="R220" s="7">
        <f t="shared" si="193"/>
        <v>-2.5202520252025185E-2</v>
      </c>
      <c r="S220" s="7">
        <f t="shared" si="193"/>
        <v>-2.5854108956602007E-2</v>
      </c>
      <c r="T220" s="7">
        <f t="shared" si="193"/>
        <v>-1.3270142180094813E-2</v>
      </c>
      <c r="U220" s="7">
        <f t="shared" si="193"/>
        <v>-1.6810758885686838E-2</v>
      </c>
      <c r="V220" s="118">
        <f t="shared" si="193"/>
        <v>-3.9081582804103565E-2</v>
      </c>
      <c r="W220" s="118">
        <f t="shared" si="193"/>
        <v>-3.7620742247076788E-2</v>
      </c>
      <c r="X220" s="118">
        <f t="shared" ref="X220:AD220" si="194">+X219/W219-1</f>
        <v>-3.3280507131537296E-2</v>
      </c>
      <c r="Y220" s="118">
        <f t="shared" si="194"/>
        <v>-3.4972677595628388E-2</v>
      </c>
      <c r="Z220" s="118">
        <f t="shared" si="194"/>
        <v>-3.6240090600226482E-2</v>
      </c>
      <c r="AA220" s="118">
        <f t="shared" si="194"/>
        <v>-4.7003525264394774E-2</v>
      </c>
      <c r="AB220" s="118">
        <f t="shared" si="194"/>
        <v>-5.0554870530209572E-2</v>
      </c>
      <c r="AC220" s="118">
        <f t="shared" si="194"/>
        <v>-3.8961038961038974E-2</v>
      </c>
      <c r="AD220" s="118">
        <f t="shared" si="194"/>
        <v>-3.2432432432432434E-2</v>
      </c>
      <c r="AE220" s="750"/>
      <c r="AF220" s="50"/>
      <c r="AG220" s="49"/>
      <c r="AH220" s="647"/>
    </row>
    <row r="221" spans="1:34">
      <c r="A221" s="1"/>
      <c r="B221" s="1"/>
      <c r="C221" s="1"/>
      <c r="D221" s="7"/>
      <c r="E221" s="7"/>
      <c r="F221" s="1"/>
      <c r="G221" s="1"/>
      <c r="H221" s="1"/>
      <c r="I221" s="1"/>
      <c r="J221" s="1"/>
      <c r="K221" s="1"/>
      <c r="L221" s="1"/>
      <c r="M221" s="1"/>
      <c r="N221" s="1"/>
      <c r="O221" s="1"/>
      <c r="P221" s="1"/>
      <c r="Q221" s="1"/>
      <c r="R221" s="1"/>
      <c r="S221" s="1"/>
      <c r="T221" s="1"/>
      <c r="U221" s="1"/>
      <c r="V221" s="50"/>
      <c r="W221" s="50"/>
      <c r="X221" s="50"/>
      <c r="Y221" s="50"/>
      <c r="Z221" s="50"/>
      <c r="AA221" s="50"/>
      <c r="AB221" s="50"/>
      <c r="AC221" s="50"/>
      <c r="AD221" s="50"/>
      <c r="AE221" s="750"/>
      <c r="AF221" s="50"/>
      <c r="AG221" s="49"/>
      <c r="AH221" s="647"/>
    </row>
    <row r="222" spans="1:34">
      <c r="A222" s="210" t="s">
        <v>446</v>
      </c>
      <c r="B222" s="11">
        <f t="shared" ref="B222:U222" si="195">B206/B219</f>
        <v>2.8528103448275868</v>
      </c>
      <c r="C222" s="11">
        <f t="shared" si="195"/>
        <v>2.822263473053892</v>
      </c>
      <c r="D222" s="11">
        <f t="shared" si="195"/>
        <v>2.9548193832599119</v>
      </c>
      <c r="E222" s="11">
        <f t="shared" si="195"/>
        <v>3.6863392226148406</v>
      </c>
      <c r="F222" s="11">
        <f t="shared" si="195"/>
        <v>4.5748863636363639</v>
      </c>
      <c r="G222" s="11">
        <f t="shared" si="195"/>
        <v>4.6226816143497755</v>
      </c>
      <c r="H222" s="11">
        <f t="shared" si="195"/>
        <v>4.0980264900662249</v>
      </c>
      <c r="I222" s="11">
        <f t="shared" si="195"/>
        <v>3.2304213017751482</v>
      </c>
      <c r="J222" s="11">
        <f t="shared" si="195"/>
        <v>2.9333768382352936</v>
      </c>
      <c r="K222" s="11">
        <f t="shared" si="195"/>
        <v>2.6334757131842719</v>
      </c>
      <c r="L222" s="11">
        <f t="shared" si="195"/>
        <v>2.7167392473118279</v>
      </c>
      <c r="M222" s="11">
        <f t="shared" si="195"/>
        <v>3.3980610128126911</v>
      </c>
      <c r="N222" s="11">
        <f t="shared" si="195"/>
        <v>3.6971119777158772</v>
      </c>
      <c r="O222" s="11">
        <f t="shared" si="195"/>
        <v>3.7896382011116723</v>
      </c>
      <c r="P222" s="11">
        <f t="shared" si="195"/>
        <v>3.2614675925925929</v>
      </c>
      <c r="Q222" s="11">
        <f t="shared" si="195"/>
        <v>2.6530419775795759</v>
      </c>
      <c r="R222" s="11">
        <f t="shared" si="195"/>
        <v>3.165835641735919</v>
      </c>
      <c r="S222" s="11">
        <f t="shared" si="195"/>
        <v>3.8720767772511846</v>
      </c>
      <c r="T222" s="11">
        <f t="shared" si="195"/>
        <v>4.3331460134486077</v>
      </c>
      <c r="U222" s="11">
        <f t="shared" si="195"/>
        <v>4.0223712750366385</v>
      </c>
      <c r="V222" s="296">
        <f t="shared" ref="V222:AA222" si="196">V206/V219</f>
        <v>3.8068429079816979</v>
      </c>
      <c r="W222" s="296">
        <f>W206/W219</f>
        <v>3.7175699947173801</v>
      </c>
      <c r="X222" s="296">
        <f>X202/X219</f>
        <v>2.7014491038251367</v>
      </c>
      <c r="Y222" s="296">
        <f t="shared" si="196"/>
        <v>3.9554813137032845</v>
      </c>
      <c r="Z222" s="296">
        <f t="shared" si="196"/>
        <v>4.1220450766333725</v>
      </c>
      <c r="AA222" s="296">
        <f t="shared" si="196"/>
        <v>4.316959044316282</v>
      </c>
      <c r="AB222" s="296">
        <f>AB206/AB219</f>
        <v>4.5225343319528708</v>
      </c>
      <c r="AC222" s="296">
        <f>AC206/AC219</f>
        <v>4.6719249653757684</v>
      </c>
      <c r="AD222" s="296">
        <f>AD206/AD219</f>
        <v>4.8150592912211714</v>
      </c>
      <c r="AE222" s="750"/>
      <c r="AF222" s="50"/>
      <c r="AG222" s="49"/>
      <c r="AH222" s="647"/>
    </row>
    <row r="223" spans="1:34">
      <c r="A223" s="210" t="s">
        <v>77</v>
      </c>
      <c r="B223" s="12"/>
      <c r="C223" s="12">
        <f t="shared" ref="C223:W223" si="197">C222/B222-1</f>
        <v>-1.0707641967535264E-2</v>
      </c>
      <c r="D223" s="12">
        <f t="shared" si="197"/>
        <v>4.6967943096604348E-2</v>
      </c>
      <c r="E223" s="12">
        <f t="shared" si="197"/>
        <v>0.24756837710597313</v>
      </c>
      <c r="F223" s="12">
        <f t="shared" si="197"/>
        <v>0.24103781213907061</v>
      </c>
      <c r="G223" s="12">
        <f t="shared" si="197"/>
        <v>1.0447308832261637E-2</v>
      </c>
      <c r="H223" s="12">
        <f t="shared" si="197"/>
        <v>-0.1134958381418506</v>
      </c>
      <c r="I223" s="12">
        <f t="shared" si="197"/>
        <v>-0.21171292825807386</v>
      </c>
      <c r="J223" s="12">
        <f t="shared" si="197"/>
        <v>-9.195223650135842E-2</v>
      </c>
      <c r="K223" s="12">
        <f t="shared" si="197"/>
        <v>-0.10223750359719919</v>
      </c>
      <c r="L223" s="12">
        <f t="shared" si="197"/>
        <v>3.1617354096225014E-2</v>
      </c>
      <c r="M223" s="12">
        <f t="shared" si="197"/>
        <v>0.25078658769884554</v>
      </c>
      <c r="N223" s="12">
        <f t="shared" si="197"/>
        <v>8.8006355323105634E-2</v>
      </c>
      <c r="O223" s="12">
        <f t="shared" si="197"/>
        <v>2.5026621847942687E-2</v>
      </c>
      <c r="P223" s="12">
        <f t="shared" si="197"/>
        <v>-0.13937230429124947</v>
      </c>
      <c r="Q223" s="12">
        <f t="shared" si="197"/>
        <v>-0.18654964298736743</v>
      </c>
      <c r="R223" s="12">
        <f t="shared" si="197"/>
        <v>0.19328516792794037</v>
      </c>
      <c r="S223" s="12">
        <f t="shared" si="197"/>
        <v>0.22308205966372063</v>
      </c>
      <c r="T223" s="12">
        <f t="shared" si="197"/>
        <v>0.11907543747744054</v>
      </c>
      <c r="U223" s="12">
        <f t="shared" si="197"/>
        <v>-7.1720347629050663E-2</v>
      </c>
      <c r="V223" s="583">
        <f>V222/U222-1</f>
        <v>-5.3582415027806585E-2</v>
      </c>
      <c r="W223" s="583">
        <f t="shared" si="197"/>
        <v>-2.345064280880671E-2</v>
      </c>
      <c r="X223" s="583">
        <f t="shared" ref="X223:AD223" si="198">X222/W222-1</f>
        <v>-0.27332932327733928</v>
      </c>
      <c r="Y223" s="583">
        <f t="shared" si="198"/>
        <v>0.46420723163079103</v>
      </c>
      <c r="Z223" s="583">
        <f t="shared" si="198"/>
        <v>4.2109606826620016E-2</v>
      </c>
      <c r="AA223" s="583">
        <f t="shared" si="198"/>
        <v>4.7285743862389484E-2</v>
      </c>
      <c r="AB223" s="583">
        <f t="shared" si="198"/>
        <v>4.7620393319980581E-2</v>
      </c>
      <c r="AC223" s="583">
        <f t="shared" si="198"/>
        <v>3.3032504002769913E-2</v>
      </c>
      <c r="AD223" s="583">
        <f t="shared" si="198"/>
        <v>3.0637120010742924E-2</v>
      </c>
      <c r="AE223" s="750"/>
      <c r="AF223" s="50"/>
      <c r="AG223" s="49"/>
      <c r="AH223" s="647"/>
    </row>
    <row r="224" spans="1:34">
      <c r="A224" s="1"/>
      <c r="B224" s="1"/>
      <c r="C224" s="1"/>
      <c r="D224" s="1"/>
      <c r="E224" s="1"/>
      <c r="F224" s="1"/>
      <c r="G224" s="1"/>
      <c r="H224" s="1"/>
      <c r="I224" s="1"/>
      <c r="J224" s="1"/>
      <c r="K224" s="1"/>
      <c r="L224" s="1"/>
      <c r="M224" s="1"/>
      <c r="N224" s="1"/>
      <c r="O224" s="1"/>
      <c r="P224" s="1"/>
      <c r="Q224" s="1"/>
      <c r="R224" s="1"/>
      <c r="S224" s="1"/>
      <c r="T224" s="1"/>
      <c r="U224" s="1"/>
      <c r="V224" s="50"/>
      <c r="W224" s="50"/>
      <c r="X224" s="50"/>
      <c r="Y224" s="50"/>
      <c r="Z224" s="50"/>
      <c r="AA224" s="50"/>
      <c r="AB224" s="50"/>
      <c r="AC224" s="50"/>
      <c r="AD224" s="50"/>
      <c r="AE224" s="750"/>
      <c r="AF224" s="50"/>
      <c r="AG224" s="49"/>
      <c r="AH224" s="647"/>
    </row>
    <row r="225" spans="1:34">
      <c r="A225" s="210" t="s">
        <v>84</v>
      </c>
      <c r="B225" s="10">
        <f>+(B228+squft!Q57/1000)/2</f>
        <v>0.47311400000000003</v>
      </c>
      <c r="C225" s="10">
        <f t="shared" ref="C225:V225" si="199">+(C228+B228)/2</f>
        <v>0.75108900000000012</v>
      </c>
      <c r="D225" s="10">
        <f t="shared" si="199"/>
        <v>1.095164</v>
      </c>
      <c r="E225" s="10">
        <f t="shared" si="199"/>
        <v>1.375264</v>
      </c>
      <c r="F225" s="10">
        <f t="shared" si="199"/>
        <v>1.6562140000000003</v>
      </c>
      <c r="G225" s="10">
        <f t="shared" si="199"/>
        <v>1.982332</v>
      </c>
      <c r="H225" s="10">
        <f t="shared" si="199"/>
        <v>2.5114999999999998</v>
      </c>
      <c r="I225" s="10">
        <f t="shared" si="199"/>
        <v>3.2610000000000001</v>
      </c>
      <c r="J225" s="10">
        <f t="shared" si="199"/>
        <v>4.0152570000000001</v>
      </c>
      <c r="K225" s="10">
        <f t="shared" si="199"/>
        <v>4.6866640000000004</v>
      </c>
      <c r="L225" s="10">
        <f t="shared" si="199"/>
        <v>5.3030889999999999</v>
      </c>
      <c r="M225" s="10">
        <f t="shared" si="199"/>
        <v>5.8078639999999995</v>
      </c>
      <c r="N225" s="10">
        <f t="shared" si="199"/>
        <v>6.3593639999999994</v>
      </c>
      <c r="O225" s="10">
        <f t="shared" si="199"/>
        <v>7.0153639999999999</v>
      </c>
      <c r="P225" s="10">
        <f t="shared" si="199"/>
        <v>7.6798640000000002</v>
      </c>
      <c r="Q225" s="10">
        <f t="shared" si="199"/>
        <v>7.9347739999999991</v>
      </c>
      <c r="R225" s="10">
        <f t="shared" si="199"/>
        <v>7.802009</v>
      </c>
      <c r="S225" s="10">
        <f t="shared" si="199"/>
        <v>7.7496840000000002</v>
      </c>
      <c r="T225" s="10">
        <f t="shared" si="199"/>
        <v>7.8502670000000006</v>
      </c>
      <c r="U225" s="10">
        <f t="shared" si="199"/>
        <v>7.8469999999999995</v>
      </c>
      <c r="V225" s="584">
        <f t="shared" si="199"/>
        <v>7.6265000000000001</v>
      </c>
      <c r="W225" s="584">
        <f t="shared" ref="W225:AD225" si="200">+(W228+V228)/2</f>
        <v>7.4045000000000005</v>
      </c>
      <c r="X225" s="584">
        <f t="shared" si="200"/>
        <v>7.1494999999999997</v>
      </c>
      <c r="Y225" s="584">
        <f t="shared" si="200"/>
        <v>6.9469069999999995</v>
      </c>
      <c r="Z225" s="584">
        <f t="shared" si="200"/>
        <v>6.7420139999999984</v>
      </c>
      <c r="AA225" s="584">
        <f t="shared" si="200"/>
        <v>6.5245489999999986</v>
      </c>
      <c r="AB225" s="584">
        <f t="shared" si="200"/>
        <v>6.321083999999999</v>
      </c>
      <c r="AC225" s="584">
        <f t="shared" si="200"/>
        <v>6.1052839999999993</v>
      </c>
      <c r="AD225" s="584">
        <f t="shared" si="200"/>
        <v>5.9352839999999993</v>
      </c>
      <c r="AE225" s="750">
        <f>((Y225/T225)^(1/5)-1)*100</f>
        <v>-2.4153718934339041</v>
      </c>
      <c r="AF225" s="79" t="s">
        <v>76</v>
      </c>
      <c r="AG225" s="49">
        <f>((AD225/Y225)^(1/5)-1)*100</f>
        <v>-3.0986106465008989</v>
      </c>
      <c r="AH225" s="751" t="s">
        <v>76</v>
      </c>
    </row>
    <row r="226" spans="1:34">
      <c r="A226" s="210" t="s">
        <v>700</v>
      </c>
      <c r="B226" s="7"/>
      <c r="C226" s="7">
        <f>C225/B225-1</f>
        <v>0.58754338277878082</v>
      </c>
      <c r="D226" s="7">
        <f>D225/C225-1</f>
        <v>0.4581015032838982</v>
      </c>
      <c r="E226" s="7">
        <f>E225/D225-1</f>
        <v>0.25576078103370814</v>
      </c>
      <c r="F226" s="7">
        <f>F225/E225-1</f>
        <v>0.20428804942178402</v>
      </c>
      <c r="G226" s="7">
        <f t="shared" ref="G226:W226" si="201">G225/F225-1</f>
        <v>0.19690571387513911</v>
      </c>
      <c r="H226" s="7">
        <f t="shared" si="201"/>
        <v>0.26694216710419849</v>
      </c>
      <c r="I226" s="7">
        <f t="shared" si="201"/>
        <v>0.29842723472028676</v>
      </c>
      <c r="J226" s="7">
        <f t="shared" si="201"/>
        <v>0.23129622815087392</v>
      </c>
      <c r="K226" s="7">
        <f t="shared" si="201"/>
        <v>0.16721395417528706</v>
      </c>
      <c r="L226" s="7">
        <f t="shared" si="201"/>
        <v>0.13152745748361716</v>
      </c>
      <c r="M226" s="7">
        <f t="shared" si="201"/>
        <v>9.5185089294183012E-2</v>
      </c>
      <c r="N226" s="7">
        <f t="shared" si="201"/>
        <v>9.4957457681515978E-2</v>
      </c>
      <c r="O226" s="7">
        <f t="shared" si="201"/>
        <v>0.10315496958500892</v>
      </c>
      <c r="P226" s="7">
        <f t="shared" si="201"/>
        <v>9.4720673082679729E-2</v>
      </c>
      <c r="Q226" s="7">
        <f t="shared" si="201"/>
        <v>3.3191994024894145E-2</v>
      </c>
      <c r="R226" s="7">
        <f t="shared" si="201"/>
        <v>-1.6732045550383545E-2</v>
      </c>
      <c r="S226" s="7">
        <f t="shared" si="201"/>
        <v>-6.7066059523899213E-3</v>
      </c>
      <c r="T226" s="7">
        <f t="shared" si="201"/>
        <v>1.2978980820379293E-2</v>
      </c>
      <c r="U226" s="7">
        <f t="shared" si="201"/>
        <v>-4.161641890653156E-4</v>
      </c>
      <c r="V226" s="118">
        <f t="shared" si="201"/>
        <v>-2.8099910793933924E-2</v>
      </c>
      <c r="W226" s="118">
        <f t="shared" si="201"/>
        <v>-2.9109027732249326E-2</v>
      </c>
      <c r="X226" s="118">
        <f t="shared" ref="X226:AD226" si="202">X225/W225-1</f>
        <v>-3.4438517117968859E-2</v>
      </c>
      <c r="Y226" s="118">
        <f t="shared" si="202"/>
        <v>-2.8336666899783203E-2</v>
      </c>
      <c r="Z226" s="118">
        <f t="shared" si="202"/>
        <v>-2.9494133144434054E-2</v>
      </c>
      <c r="AA226" s="118">
        <f t="shared" si="202"/>
        <v>-3.2255198520798056E-2</v>
      </c>
      <c r="AB226" s="118">
        <f t="shared" si="202"/>
        <v>-3.1184530915470132E-2</v>
      </c>
      <c r="AC226" s="118">
        <f t="shared" si="202"/>
        <v>-3.4139714011077849E-2</v>
      </c>
      <c r="AD226" s="118">
        <f t="shared" si="202"/>
        <v>-2.7844732530051042E-2</v>
      </c>
      <c r="AE226" s="750"/>
      <c r="AF226" s="50"/>
      <c r="AG226" s="49"/>
      <c r="AH226" s="647"/>
    </row>
    <row r="227" spans="1:34">
      <c r="A227" s="1"/>
      <c r="B227" s="1"/>
      <c r="C227" s="1"/>
      <c r="D227" s="1"/>
      <c r="E227" s="1"/>
      <c r="F227" s="1"/>
      <c r="G227" s="1"/>
      <c r="H227" s="1"/>
      <c r="I227" s="1"/>
      <c r="J227" s="1"/>
      <c r="K227" s="1"/>
      <c r="L227" s="1"/>
      <c r="M227" s="1"/>
      <c r="N227" s="1"/>
      <c r="O227" s="1"/>
      <c r="P227" s="1"/>
      <c r="Q227" s="1"/>
      <c r="R227" s="1"/>
      <c r="S227" s="1"/>
      <c r="T227" s="1"/>
      <c r="U227" s="1"/>
      <c r="V227" s="50"/>
      <c r="W227" s="50"/>
      <c r="X227" s="50"/>
      <c r="Y227" s="50"/>
      <c r="Z227" s="50"/>
      <c r="AA227" s="50"/>
      <c r="AB227" s="50"/>
      <c r="AC227" s="50"/>
      <c r="AD227" s="50"/>
      <c r="AE227" s="750"/>
      <c r="AF227" s="50"/>
      <c r="AG227" s="49"/>
      <c r="AH227" s="647"/>
    </row>
    <row r="228" spans="1:34">
      <c r="A228" s="210" t="s">
        <v>85</v>
      </c>
      <c r="B228" s="10">
        <f>B30+B80+B129</f>
        <v>0.54061400000000004</v>
      </c>
      <c r="C228" s="10">
        <f>C30+C80+C129</f>
        <v>0.96156400000000009</v>
      </c>
      <c r="D228" s="10">
        <f>D30+D80+D129</f>
        <v>1.2287640000000002</v>
      </c>
      <c r="E228" s="10">
        <f>E30+E80+E129</f>
        <v>1.5217640000000001</v>
      </c>
      <c r="F228" s="10">
        <f>F30+F80+F129</f>
        <v>1.7906640000000003</v>
      </c>
      <c r="G228" s="10">
        <v>2.1739999999999999</v>
      </c>
      <c r="H228" s="10">
        <v>2.8490000000000002</v>
      </c>
      <c r="I228" s="10">
        <v>3.673</v>
      </c>
      <c r="J228" s="90">
        <f>squft!$BA$57/1000</f>
        <v>4.3575140000000001</v>
      </c>
      <c r="K228" s="90">
        <f>squft!$BE$57/1000</f>
        <v>5.0158140000000007</v>
      </c>
      <c r="L228" s="90">
        <f>squft!$BI$57/1000</f>
        <v>5.5903639999999992</v>
      </c>
      <c r="M228" s="90">
        <f>squft!$BM$57/1000</f>
        <v>6.0253639999999997</v>
      </c>
      <c r="N228" s="90">
        <f>squft!$BQ$57/1000</f>
        <v>6.6933639999999999</v>
      </c>
      <c r="O228" s="90">
        <f>squft!$BU$57/1000</f>
        <v>7.337364</v>
      </c>
      <c r="P228" s="90">
        <f>squft!$BY$57/1000</f>
        <v>8.0223639999999996</v>
      </c>
      <c r="Q228" s="90">
        <f>squft!$CC$57/1000</f>
        <v>7.8471839999999995</v>
      </c>
      <c r="R228" s="90">
        <f>squft!$CG$57/1000</f>
        <v>7.7568339999999996</v>
      </c>
      <c r="S228" s="90">
        <f>squft!$CK$57/1000</f>
        <v>7.742534</v>
      </c>
      <c r="T228" s="90">
        <f>qtrSales!Z142</f>
        <v>7.9580000000000002</v>
      </c>
      <c r="U228" s="90">
        <f>qtrSales!Z149</f>
        <v>7.7359999999999998</v>
      </c>
      <c r="V228" s="585">
        <f>qtrSales!Z156</f>
        <v>7.5170000000000003</v>
      </c>
      <c r="W228" s="585">
        <f>qtrSales!Z163</f>
        <v>7.2919999999999998</v>
      </c>
      <c r="X228" s="585">
        <f>qtrSales!Z170</f>
        <v>7.0069999999999997</v>
      </c>
      <c r="Y228" s="585">
        <f>qtrSales!Z177</f>
        <v>6.8868139999999984</v>
      </c>
      <c r="Z228" s="585">
        <f>qtrSales!Z184</f>
        <v>6.5972139999999984</v>
      </c>
      <c r="AA228" s="585">
        <f>squft!$DQ$57/1000</f>
        <v>6.4518839999999997</v>
      </c>
      <c r="AB228" s="585">
        <f>squft!$DU$57/1000</f>
        <v>6.1902839999999992</v>
      </c>
      <c r="AC228" s="585">
        <f>squft!$DY$57/1000</f>
        <v>6.0202839999999993</v>
      </c>
      <c r="AD228" s="585">
        <f>squft!$EC$57/1000</f>
        <v>5.8502839999999994</v>
      </c>
      <c r="AE228" s="750">
        <f>((Y228/T228)^(1/5)-1)*100</f>
        <v>-2.8499823651152556</v>
      </c>
      <c r="AF228" s="79" t="s">
        <v>76</v>
      </c>
      <c r="AG228" s="49">
        <f>((AD228/Y228)^(1/5)-1)*100</f>
        <v>-3.209726037127536</v>
      </c>
      <c r="AH228" s="751" t="s">
        <v>76</v>
      </c>
    </row>
    <row r="229" spans="1:34">
      <c r="A229" s="210" t="s">
        <v>170</v>
      </c>
      <c r="B229" s="7"/>
      <c r="C229" s="7"/>
      <c r="D229" s="7">
        <f t="shared" ref="D229:W229" si="203">D228/C228-1</f>
        <v>0.27788061949074638</v>
      </c>
      <c r="E229" s="7">
        <f t="shared" si="203"/>
        <v>0.23845099628569844</v>
      </c>
      <c r="F229" s="7">
        <f t="shared" si="203"/>
        <v>0.1767028264566648</v>
      </c>
      <c r="G229" s="7">
        <f t="shared" si="203"/>
        <v>0.21407477896467442</v>
      </c>
      <c r="H229" s="7">
        <f t="shared" si="203"/>
        <v>0.31048758049678016</v>
      </c>
      <c r="I229" s="7">
        <f t="shared" si="203"/>
        <v>0.28922428922428911</v>
      </c>
      <c r="J229" s="7">
        <f t="shared" si="203"/>
        <v>0.18636373536618578</v>
      </c>
      <c r="K229" s="7">
        <f t="shared" si="203"/>
        <v>0.15107237750699154</v>
      </c>
      <c r="L229" s="7">
        <f t="shared" si="203"/>
        <v>0.11454770850753215</v>
      </c>
      <c r="M229" s="7">
        <f t="shared" si="203"/>
        <v>7.781246444775336E-2</v>
      </c>
      <c r="N229" s="7">
        <f t="shared" si="203"/>
        <v>0.11086467141238265</v>
      </c>
      <c r="O229" s="7">
        <f t="shared" si="203"/>
        <v>9.6214698617914651E-2</v>
      </c>
      <c r="P229" s="7">
        <f t="shared" si="203"/>
        <v>9.3357778079430132E-2</v>
      </c>
      <c r="Q229" s="7">
        <f t="shared" si="203"/>
        <v>-2.1836456186730024E-2</v>
      </c>
      <c r="R229" s="7">
        <f t="shared" si="203"/>
        <v>-1.1513684399397262E-2</v>
      </c>
      <c r="S229" s="7">
        <f t="shared" si="203"/>
        <v>-1.8435356486937726E-3</v>
      </c>
      <c r="T229" s="7">
        <f t="shared" si="203"/>
        <v>2.7828873596163817E-2</v>
      </c>
      <c r="U229" s="7">
        <f t="shared" si="203"/>
        <v>-2.7896456396079516E-2</v>
      </c>
      <c r="V229" s="118">
        <f t="shared" si="203"/>
        <v>-2.8309203722854059E-2</v>
      </c>
      <c r="W229" s="118">
        <f t="shared" si="203"/>
        <v>-2.9932153784754667E-2</v>
      </c>
      <c r="X229" s="118">
        <f t="shared" ref="X229:AD229" si="204">X228/W228-1</f>
        <v>-3.9083927591881507E-2</v>
      </c>
      <c r="Y229" s="118">
        <f t="shared" si="204"/>
        <v>-1.7152276295133606E-2</v>
      </c>
      <c r="Z229" s="118">
        <f t="shared" si="204"/>
        <v>-4.205137528035463E-2</v>
      </c>
      <c r="AA229" s="118">
        <f t="shared" si="204"/>
        <v>-2.2028995876137825E-2</v>
      </c>
      <c r="AB229" s="118">
        <f t="shared" si="204"/>
        <v>-4.0546296244631908E-2</v>
      </c>
      <c r="AC229" s="118">
        <f t="shared" si="204"/>
        <v>-2.7462391063156399E-2</v>
      </c>
      <c r="AD229" s="118">
        <f t="shared" si="204"/>
        <v>-2.8237870505776752E-2</v>
      </c>
      <c r="AE229" s="750"/>
      <c r="AF229" s="50"/>
      <c r="AG229" s="49"/>
      <c r="AH229" s="647"/>
    </row>
    <row r="230" spans="1:34">
      <c r="A230" s="1"/>
      <c r="B230" s="1"/>
      <c r="C230" s="1"/>
      <c r="D230" s="1"/>
      <c r="E230" s="1"/>
      <c r="F230" s="1"/>
      <c r="G230" s="1"/>
      <c r="H230" s="1"/>
      <c r="I230" s="1"/>
      <c r="J230" s="1"/>
      <c r="K230" s="1"/>
      <c r="L230" s="1"/>
      <c r="M230" s="1"/>
      <c r="N230" s="1"/>
      <c r="O230" s="1"/>
      <c r="P230" s="1"/>
      <c r="Q230" s="1"/>
      <c r="R230" s="1"/>
      <c r="S230" s="1"/>
      <c r="T230" s="1"/>
      <c r="U230" s="1"/>
      <c r="V230" s="50"/>
      <c r="W230" s="50"/>
      <c r="X230" s="50"/>
      <c r="Y230" s="50"/>
      <c r="Z230" s="50"/>
      <c r="AA230" s="50"/>
      <c r="AB230" s="50"/>
      <c r="AC230" s="50"/>
      <c r="AD230" s="50"/>
      <c r="AE230" s="750"/>
      <c r="AF230" s="50"/>
      <c r="AG230" s="49"/>
      <c r="AH230" s="647"/>
    </row>
    <row r="231" spans="1:34" hidden="1" outlineLevel="1">
      <c r="A231" s="210" t="s">
        <v>86</v>
      </c>
      <c r="B231" s="8">
        <f>+B228*1000000/B218</f>
        <v>8068.8656716417909</v>
      </c>
      <c r="C231" s="8">
        <f t="shared" ref="C231:N231" si="205">+C228*1000000/C218</f>
        <v>9615.6400000000012</v>
      </c>
      <c r="D231" s="8">
        <f t="shared" si="205"/>
        <v>9675.3070866141752</v>
      </c>
      <c r="E231" s="8">
        <f t="shared" si="205"/>
        <v>9754.8974358974374</v>
      </c>
      <c r="F231" s="8">
        <f t="shared" si="205"/>
        <v>9136.0408163265311</v>
      </c>
      <c r="G231" s="8">
        <f t="shared" si="205"/>
        <v>8696</v>
      </c>
      <c r="H231" s="8">
        <f t="shared" si="205"/>
        <v>8048.0225988700568</v>
      </c>
      <c r="I231" s="8">
        <f t="shared" si="205"/>
        <v>7480.6517311608959</v>
      </c>
      <c r="J231" s="8">
        <f t="shared" si="205"/>
        <v>7299.0184254606365</v>
      </c>
      <c r="K231" s="8">
        <f t="shared" si="205"/>
        <v>7165.4485714285729</v>
      </c>
      <c r="L231" s="8">
        <f t="shared" si="205"/>
        <v>7094.3705583756337</v>
      </c>
      <c r="M231" s="8">
        <f t="shared" si="205"/>
        <v>7080.3337250293771</v>
      </c>
      <c r="N231" s="8">
        <f t="shared" si="205"/>
        <v>7090.4279661016953</v>
      </c>
      <c r="O231" s="8">
        <f t="shared" ref="O231:T231" si="206">+O228*1000000/O218</f>
        <v>7089.2405797101446</v>
      </c>
      <c r="P231" s="8">
        <f t="shared" si="206"/>
        <v>7130.9902222222227</v>
      </c>
      <c r="Q231" s="8">
        <f t="shared" si="206"/>
        <v>7153.3126709206917</v>
      </c>
      <c r="R231" s="8">
        <f t="shared" si="206"/>
        <v>7256.1590271281575</v>
      </c>
      <c r="S231" s="8">
        <f t="shared" si="206"/>
        <v>7437.5926993275698</v>
      </c>
      <c r="T231" s="8">
        <f t="shared" si="206"/>
        <v>7644.5725264169068</v>
      </c>
      <c r="U231" s="8">
        <f t="shared" ref="U231:Z231" si="207">+U228*1000000/U218</f>
        <v>7689.8608349900596</v>
      </c>
      <c r="V231" s="80">
        <f t="shared" si="207"/>
        <v>7822.0603537981269</v>
      </c>
      <c r="W231" s="80">
        <f t="shared" si="207"/>
        <v>7824.0343347639482</v>
      </c>
      <c r="X231" s="80">
        <f t="shared" si="207"/>
        <v>7802.8953229398667</v>
      </c>
      <c r="Y231" s="80">
        <f t="shared" si="207"/>
        <v>7934.1175115207352</v>
      </c>
      <c r="Z231" s="80">
        <f t="shared" si="207"/>
        <v>7910.3285371702614</v>
      </c>
      <c r="AA231" s="80">
        <f>+AA228*1000000/AA218</f>
        <v>8187.6700507614214</v>
      </c>
      <c r="AB231" s="80">
        <f>+AB228*1000000/AB218</f>
        <v>8231.760638297872</v>
      </c>
      <c r="AC231" s="80">
        <f>+AC228*1000000/AC218</f>
        <v>8269.6208791208774</v>
      </c>
      <c r="AD231" s="80">
        <f>+AD228*1000000/AD218</f>
        <v>8310.0624999999982</v>
      </c>
      <c r="AE231" s="750"/>
      <c r="AF231" s="80"/>
      <c r="AG231" s="49"/>
      <c r="AH231" s="745"/>
    </row>
    <row r="232" spans="1:34" hidden="1" outlineLevel="1">
      <c r="A232" s="210" t="s">
        <v>77</v>
      </c>
      <c r="B232" s="12"/>
      <c r="C232" s="12">
        <f t="shared" ref="C232:W232" si="208">C231/B231-1</f>
        <v>0.19169662642846852</v>
      </c>
      <c r="D232" s="12">
        <f t="shared" si="208"/>
        <v>6.2052121974380814E-3</v>
      </c>
      <c r="E232" s="12">
        <f t="shared" si="208"/>
        <v>8.226131591562158E-3</v>
      </c>
      <c r="F232" s="12">
        <f t="shared" si="208"/>
        <v>-6.3440607514083203E-2</v>
      </c>
      <c r="G232" s="12">
        <f t="shared" si="208"/>
        <v>-4.8165373291695235E-2</v>
      </c>
      <c r="H232" s="12">
        <f t="shared" si="208"/>
        <v>-7.4514420553121297E-2</v>
      </c>
      <c r="I232" s="12">
        <f t="shared" si="208"/>
        <v>-7.0498170294504336E-2</v>
      </c>
      <c r="J232" s="12">
        <f t="shared" si="208"/>
        <v>-2.4280411951763559E-2</v>
      </c>
      <c r="K232" s="12">
        <f t="shared" si="208"/>
        <v>-1.8299700897608573E-2</v>
      </c>
      <c r="L232" s="12">
        <f t="shared" si="208"/>
        <v>-9.9195482801111012E-3</v>
      </c>
      <c r="M232" s="12">
        <f t="shared" si="208"/>
        <v>-1.9785875618922866E-3</v>
      </c>
      <c r="N232" s="12">
        <f t="shared" si="208"/>
        <v>1.4256730634933934E-3</v>
      </c>
      <c r="O232" s="12">
        <f t="shared" si="208"/>
        <v>-1.6746328955419276E-4</v>
      </c>
      <c r="P232" s="12">
        <f t="shared" si="208"/>
        <v>5.8891558330758098E-3</v>
      </c>
      <c r="Q232" s="12">
        <f t="shared" si="208"/>
        <v>3.1303434730434176E-3</v>
      </c>
      <c r="R232" s="12">
        <f t="shared" si="208"/>
        <v>1.4377444540562667E-2</v>
      </c>
      <c r="S232" s="12">
        <f t="shared" si="208"/>
        <v>2.5004092595145355E-2</v>
      </c>
      <c r="T232" s="12">
        <f t="shared" si="208"/>
        <v>2.7828873596163817E-2</v>
      </c>
      <c r="U232" s="12">
        <f t="shared" si="208"/>
        <v>5.9242434310946557E-3</v>
      </c>
      <c r="V232" s="583">
        <f t="shared" si="208"/>
        <v>1.7191405884296129E-2</v>
      </c>
      <c r="W232" s="583">
        <f t="shared" si="208"/>
        <v>2.5236074340218018E-4</v>
      </c>
      <c r="X232" s="583">
        <f t="shared" ref="X232:AD232" si="209">X231/W231-1</f>
        <v>-2.7018045831107562E-3</v>
      </c>
      <c r="Y232" s="583">
        <f t="shared" si="209"/>
        <v>1.6817115077154332E-2</v>
      </c>
      <c r="Z232" s="583">
        <f t="shared" si="209"/>
        <v>-2.9983138409446219E-3</v>
      </c>
      <c r="AA232" s="583">
        <f t="shared" si="209"/>
        <v>3.5060682029570023E-2</v>
      </c>
      <c r="AB232" s="583">
        <f t="shared" si="209"/>
        <v>5.3849980840825484E-3</v>
      </c>
      <c r="AC232" s="583">
        <f t="shared" si="209"/>
        <v>4.5992883523438E-3</v>
      </c>
      <c r="AD232" s="583">
        <f t="shared" si="209"/>
        <v>4.8903839087990342E-3</v>
      </c>
      <c r="AE232" s="750"/>
      <c r="AF232" s="50"/>
      <c r="AG232" s="49"/>
      <c r="AH232" s="647"/>
    </row>
    <row r="233" spans="1:34" hidden="1" outlineLevel="1">
      <c r="A233" s="1"/>
      <c r="B233" s="1"/>
      <c r="C233" s="1"/>
      <c r="D233" s="1"/>
      <c r="E233" s="1"/>
      <c r="F233" s="1"/>
      <c r="G233" s="1"/>
      <c r="H233" s="1"/>
      <c r="I233" s="1"/>
      <c r="J233" s="1"/>
      <c r="K233" s="1"/>
      <c r="L233" s="1"/>
      <c r="M233" s="1"/>
      <c r="N233" s="1"/>
      <c r="O233" s="1"/>
      <c r="P233" s="1"/>
      <c r="Q233" s="1"/>
      <c r="R233" s="1"/>
      <c r="S233" s="1"/>
      <c r="T233" s="1"/>
      <c r="U233" s="1"/>
      <c r="V233" s="50"/>
      <c r="W233" s="50"/>
      <c r="X233" s="50"/>
      <c r="Y233" s="50"/>
      <c r="Z233" s="50"/>
      <c r="AA233" s="50"/>
      <c r="AB233" s="50"/>
      <c r="AC233" s="50"/>
      <c r="AD233" s="50"/>
      <c r="AE233" s="750"/>
      <c r="AF233" s="50"/>
      <c r="AG233" s="49"/>
      <c r="AH233" s="647"/>
    </row>
    <row r="234" spans="1:34" hidden="1" outlineLevel="1">
      <c r="A234" s="210" t="s">
        <v>581</v>
      </c>
      <c r="B234" s="8">
        <f>squft!$T$54</f>
        <v>7550</v>
      </c>
      <c r="C234" s="8">
        <f>squft!$X$54</f>
        <v>11000</v>
      </c>
      <c r="D234" s="8">
        <f>squft!$AB$54</f>
        <v>9800</v>
      </c>
      <c r="E234" s="8">
        <f>squft!$AF$54</f>
        <v>10150</v>
      </c>
      <c r="F234" s="8">
        <f>squft!$AJ$54</f>
        <v>6753.6585365853653</v>
      </c>
      <c r="G234" s="8">
        <f>squft!$AN$54</f>
        <v>7040.7407407407409</v>
      </c>
      <c r="H234" s="8">
        <f>squft!$AR$54</f>
        <v>6469.2307692307686</v>
      </c>
      <c r="I234" s="8">
        <f>squft!$AV$54</f>
        <v>5930.072463768116</v>
      </c>
      <c r="J234" s="8">
        <f>squft!$AZ$54</f>
        <v>6517.8571428571431</v>
      </c>
      <c r="K234" s="8">
        <f>squft!$BD$54</f>
        <v>6413.2075471698136</v>
      </c>
      <c r="L234" s="8">
        <f>squft!$BH$54</f>
        <v>6755.6330275229366</v>
      </c>
      <c r="M234" s="8">
        <f>squft!$BL$54</f>
        <v>7246.9135802469136</v>
      </c>
      <c r="N234" s="8">
        <f>squft!$BP$54</f>
        <v>6846.1538461538457</v>
      </c>
      <c r="O234" s="8">
        <f>squft!$BT$54</f>
        <v>7141.4141414141413</v>
      </c>
      <c r="P234" s="8">
        <f>squft!$BX$54</f>
        <v>7226.8041237113403</v>
      </c>
      <c r="Q234" s="8">
        <f>squft!$CB$54</f>
        <v>6957.1428571428569</v>
      </c>
      <c r="R234" s="8">
        <f>squft!$CF$54</f>
        <v>7331.9444444444443</v>
      </c>
      <c r="S234" s="8">
        <f>squft!$CJ$54</f>
        <v>7447.7272727272721</v>
      </c>
      <c r="T234" s="8">
        <f>squft!$CN$54</f>
        <v>7302.1276595744675</v>
      </c>
      <c r="U234" s="8">
        <f>squft!$CR$54</f>
        <v>8157.1428571428569</v>
      </c>
      <c r="V234" s="80">
        <f>squft!$CV$54</f>
        <v>8209.5238095238092</v>
      </c>
      <c r="W234" s="80">
        <f>squft!$CZ$54</f>
        <v>8533.3333333333339</v>
      </c>
      <c r="X234" s="80">
        <f>squft!$DD$54</f>
        <v>8884.21052631579</v>
      </c>
      <c r="Y234" s="80">
        <f>squft!$DH$54</f>
        <v>8266.6666666666679</v>
      </c>
      <c r="Z234" s="80">
        <f>squft!$DL$54</f>
        <v>8304.7619047619046</v>
      </c>
      <c r="AA234" s="80">
        <f>squft!$DP$54</f>
        <v>8600</v>
      </c>
      <c r="AB234" s="80">
        <f>squft!$DT$54</f>
        <v>8600</v>
      </c>
      <c r="AC234" s="80">
        <f>squft!$DT$54</f>
        <v>8600</v>
      </c>
      <c r="AD234" s="80">
        <f>squft!$DT$54</f>
        <v>8600</v>
      </c>
      <c r="AE234" s="750"/>
      <c r="AF234" s="80"/>
      <c r="AG234" s="49"/>
      <c r="AH234" s="745"/>
    </row>
    <row r="235" spans="1:34" hidden="1" outlineLevel="1">
      <c r="A235" s="210" t="s">
        <v>77</v>
      </c>
      <c r="B235" s="1"/>
      <c r="C235" s="12">
        <f t="shared" ref="C235:W235" si="210">C234/B234-1</f>
        <v>0.45695364238410585</v>
      </c>
      <c r="D235" s="12">
        <f t="shared" si="210"/>
        <v>-0.10909090909090913</v>
      </c>
      <c r="E235" s="12">
        <f t="shared" si="210"/>
        <v>3.5714285714285809E-2</v>
      </c>
      <c r="F235" s="12">
        <f t="shared" si="210"/>
        <v>-0.3346149225039049</v>
      </c>
      <c r="G235" s="12">
        <f t="shared" si="210"/>
        <v>4.2507657531131837E-2</v>
      </c>
      <c r="H235" s="12">
        <f t="shared" si="210"/>
        <v>-8.1171852870958738E-2</v>
      </c>
      <c r="I235" s="12">
        <f t="shared" si="210"/>
        <v>-8.3341949714797692E-2</v>
      </c>
      <c r="J235" s="12">
        <f t="shared" si="210"/>
        <v>9.9119308015257257E-2</v>
      </c>
      <c r="K235" s="12">
        <f t="shared" si="210"/>
        <v>-1.6055828379425874E-2</v>
      </c>
      <c r="L235" s="12">
        <f t="shared" si="210"/>
        <v>5.3393793641410836E-2</v>
      </c>
      <c r="M235" s="12">
        <f t="shared" si="210"/>
        <v>7.2721616275257306E-2</v>
      </c>
      <c r="N235" s="12">
        <f t="shared" si="210"/>
        <v>-5.5300746953217184E-2</v>
      </c>
      <c r="O235" s="12">
        <f t="shared" si="210"/>
        <v>4.3127908296447748E-2</v>
      </c>
      <c r="P235" s="12">
        <f t="shared" si="210"/>
        <v>1.1957013079805678E-2</v>
      </c>
      <c r="Q235" s="12">
        <f t="shared" si="210"/>
        <v>-3.7314041165681711E-2</v>
      </c>
      <c r="R235" s="12">
        <f t="shared" si="210"/>
        <v>5.3872918092630728E-2</v>
      </c>
      <c r="S235" s="12">
        <f t="shared" si="210"/>
        <v>1.5791558318551946E-2</v>
      </c>
      <c r="T235" s="12">
        <f t="shared" si="210"/>
        <v>-1.9549536096195919E-2</v>
      </c>
      <c r="U235" s="12">
        <f t="shared" si="210"/>
        <v>0.11709124209124222</v>
      </c>
      <c r="V235" s="583">
        <f t="shared" si="210"/>
        <v>6.4214827787507645E-3</v>
      </c>
      <c r="W235" s="583">
        <f t="shared" si="210"/>
        <v>3.9443155452436374E-2</v>
      </c>
      <c r="X235" s="583">
        <f t="shared" ref="X235:AD235" si="211">X234/W234-1</f>
        <v>4.1118421052631637E-2</v>
      </c>
      <c r="Y235" s="583">
        <f t="shared" si="211"/>
        <v>-6.9510268562401167E-2</v>
      </c>
      <c r="Z235" s="583">
        <f t="shared" si="211"/>
        <v>4.6082949308754451E-3</v>
      </c>
      <c r="AA235" s="583">
        <f t="shared" si="211"/>
        <v>3.5550458715596367E-2</v>
      </c>
      <c r="AB235" s="583">
        <f t="shared" si="211"/>
        <v>0</v>
      </c>
      <c r="AC235" s="583">
        <f t="shared" si="211"/>
        <v>0</v>
      </c>
      <c r="AD235" s="583">
        <f t="shared" si="211"/>
        <v>0</v>
      </c>
      <c r="AE235" s="750"/>
      <c r="AF235" s="50"/>
      <c r="AG235" s="49"/>
      <c r="AH235" s="647"/>
    </row>
    <row r="236" spans="1:34" hidden="1" outlineLevel="1">
      <c r="A236" s="1"/>
      <c r="B236" s="1"/>
      <c r="C236" s="1"/>
      <c r="D236" s="1"/>
      <c r="E236" s="1"/>
      <c r="F236" s="1"/>
      <c r="G236" s="1"/>
      <c r="H236" s="1"/>
      <c r="I236" s="1"/>
      <c r="J236" s="1"/>
      <c r="K236" s="1"/>
      <c r="L236" s="1"/>
      <c r="M236" s="1"/>
      <c r="N236" s="1"/>
      <c r="O236" s="1"/>
      <c r="P236" s="1"/>
      <c r="Q236" s="1"/>
      <c r="R236" s="1"/>
      <c r="S236" s="1"/>
      <c r="T236" s="1"/>
      <c r="U236" s="1"/>
      <c r="V236" s="50"/>
      <c r="W236" s="50"/>
      <c r="X236" s="50"/>
      <c r="Y236" s="50"/>
      <c r="Z236" s="50"/>
      <c r="AA236" s="50"/>
      <c r="AB236" s="50"/>
      <c r="AC236" s="50"/>
      <c r="AD236" s="50"/>
      <c r="AE236" s="750"/>
      <c r="AF236" s="50"/>
      <c r="AG236" s="49"/>
      <c r="AH236" s="647"/>
    </row>
    <row r="237" spans="1:34" collapsed="1">
      <c r="A237" s="210" t="s">
        <v>447</v>
      </c>
      <c r="B237" s="5">
        <f>+B206/B225</f>
        <v>349.73177711925672</v>
      </c>
      <c r="C237" s="5">
        <f t="shared" ref="C237:AB237" si="212">+C206/C225</f>
        <v>313.75642566992718</v>
      </c>
      <c r="D237" s="5">
        <f t="shared" si="212"/>
        <v>306.22993451209135</v>
      </c>
      <c r="E237" s="5">
        <f t="shared" si="212"/>
        <v>379.28499546268932</v>
      </c>
      <c r="F237" s="5">
        <f t="shared" si="212"/>
        <v>486.15698212912093</v>
      </c>
      <c r="G237" s="5">
        <f t="shared" si="212"/>
        <v>520.02288214083205</v>
      </c>
      <c r="H237" s="5">
        <f t="shared" si="212"/>
        <v>492.77483575552463</v>
      </c>
      <c r="I237" s="5">
        <f t="shared" si="212"/>
        <v>418.53817847286109</v>
      </c>
      <c r="J237" s="5">
        <f t="shared" si="212"/>
        <v>397.42337788091766</v>
      </c>
      <c r="K237" s="5">
        <f t="shared" si="212"/>
        <v>364.39757575964484</v>
      </c>
      <c r="L237" s="5">
        <f t="shared" si="212"/>
        <v>381.1465355380609</v>
      </c>
      <c r="M237" s="5">
        <f t="shared" si="212"/>
        <v>479.47248764778249</v>
      </c>
      <c r="N237" s="5">
        <f t="shared" si="212"/>
        <v>521.77513348819161</v>
      </c>
      <c r="O237" s="5">
        <f t="shared" si="212"/>
        <v>534.51923521003323</v>
      </c>
      <c r="P237" s="5">
        <f t="shared" si="212"/>
        <v>458.65200217087181</v>
      </c>
      <c r="Q237" s="5">
        <f t="shared" si="212"/>
        <v>371.4698915294764</v>
      </c>
      <c r="R237" s="5">
        <f t="shared" si="212"/>
        <v>439.45091578335791</v>
      </c>
      <c r="S237" s="5">
        <f t="shared" si="212"/>
        <v>527.12355755408862</v>
      </c>
      <c r="T237" s="5">
        <f t="shared" si="212"/>
        <v>574.6052968644251</v>
      </c>
      <c r="U237" s="5">
        <f>+U206/U225</f>
        <v>524.64597935516758</v>
      </c>
      <c r="V237" s="5">
        <f>+V206/V225</f>
        <v>490.923752704386</v>
      </c>
      <c r="W237" s="5">
        <f>+W206/W225</f>
        <v>475.20831926531162</v>
      </c>
      <c r="X237" s="5">
        <f t="shared" si="212"/>
        <v>465.3108608993636</v>
      </c>
      <c r="Y237" s="5">
        <f t="shared" si="212"/>
        <v>502.76907406418428</v>
      </c>
      <c r="Z237" s="5">
        <f t="shared" si="212"/>
        <v>520.2985873679587</v>
      </c>
      <c r="AA237" s="5">
        <f t="shared" si="212"/>
        <v>536.59705597130255</v>
      </c>
      <c r="AB237" s="5">
        <f t="shared" si="212"/>
        <v>550.91048237987513</v>
      </c>
      <c r="AC237" s="5">
        <f>+AC206/AC225</f>
        <v>566.267592855315</v>
      </c>
      <c r="AD237" s="5">
        <f>+AD206/AD225</f>
        <v>580.86225570913871</v>
      </c>
      <c r="AE237" s="750">
        <f>((Y237/T237)^(1/5)-1)*100</f>
        <v>-2.6356909635850467</v>
      </c>
      <c r="AF237" s="79" t="s">
        <v>76</v>
      </c>
      <c r="AG237" s="49">
        <f>((AD237/Y237)^(1/5)-1)*100</f>
        <v>2.9297505433075299</v>
      </c>
      <c r="AH237" s="751" t="s">
        <v>76</v>
      </c>
    </row>
    <row r="238" spans="1:34">
      <c r="A238" s="210" t="s">
        <v>77</v>
      </c>
      <c r="B238" s="12"/>
      <c r="C238" s="12">
        <f t="shared" ref="C238:W238" si="213">C237/B237-1</f>
        <v>-0.10286554955245641</v>
      </c>
      <c r="D238" s="12">
        <f t="shared" si="213"/>
        <v>-2.398832515307181E-2</v>
      </c>
      <c r="E238" s="12">
        <f t="shared" si="213"/>
        <v>0.23856276842103896</v>
      </c>
      <c r="F238" s="12">
        <f t="shared" si="213"/>
        <v>0.28177225027332975</v>
      </c>
      <c r="G238" s="12">
        <f t="shared" si="213"/>
        <v>6.9660420926992872E-2</v>
      </c>
      <c r="H238" s="12">
        <f t="shared" si="213"/>
        <v>-5.2397783484320115E-2</v>
      </c>
      <c r="I238" s="12">
        <f t="shared" si="213"/>
        <v>-0.15065026031380757</v>
      </c>
      <c r="J238" s="12">
        <f t="shared" si="213"/>
        <v>-5.0448923605932339E-2</v>
      </c>
      <c r="K238" s="12">
        <f t="shared" si="213"/>
        <v>-8.3099797242346729E-2</v>
      </c>
      <c r="L238" s="12">
        <f t="shared" si="213"/>
        <v>4.5963422625686201E-2</v>
      </c>
      <c r="M238" s="12">
        <f t="shared" si="213"/>
        <v>0.25797414627136983</v>
      </c>
      <c r="N238" s="12">
        <f t="shared" si="213"/>
        <v>8.8227472754358383E-2</v>
      </c>
      <c r="O238" s="12">
        <f t="shared" si="213"/>
        <v>2.4424509532764205E-2</v>
      </c>
      <c r="P238" s="12">
        <f t="shared" si="213"/>
        <v>-0.14193545908474225</v>
      </c>
      <c r="Q238" s="12">
        <f t="shared" si="213"/>
        <v>-0.19008335345479543</v>
      </c>
      <c r="R238" s="12">
        <f t="shared" si="213"/>
        <v>0.18300547582464621</v>
      </c>
      <c r="S238" s="12">
        <f t="shared" si="213"/>
        <v>0.19950497000204659</v>
      </c>
      <c r="T238" s="12">
        <f t="shared" si="213"/>
        <v>9.0077058082277617E-2</v>
      </c>
      <c r="U238" s="12">
        <f t="shared" si="213"/>
        <v>-8.6945452438189297E-2</v>
      </c>
      <c r="V238" s="583">
        <f t="shared" si="213"/>
        <v>-6.4276155689268699E-2</v>
      </c>
      <c r="W238" s="583">
        <f t="shared" si="213"/>
        <v>-3.2011963879322813E-2</v>
      </c>
      <c r="X238" s="583">
        <f t="shared" ref="X238:AD238" si="214">X237/W237-1</f>
        <v>-2.0827620150358106E-2</v>
      </c>
      <c r="Y238" s="583">
        <f t="shared" si="214"/>
        <v>8.0501480434865824E-2</v>
      </c>
      <c r="Z238" s="583">
        <f t="shared" si="214"/>
        <v>3.4865933900971369E-2</v>
      </c>
      <c r="AA238" s="583">
        <f t="shared" si="214"/>
        <v>3.1325221707391382E-2</v>
      </c>
      <c r="AB238" s="583">
        <f t="shared" si="214"/>
        <v>2.6674440810458E-2</v>
      </c>
      <c r="AC238" s="583">
        <f t="shared" si="214"/>
        <v>2.7875872699133941E-2</v>
      </c>
      <c r="AD238" s="583">
        <f t="shared" si="214"/>
        <v>2.5773438278945848E-2</v>
      </c>
      <c r="AE238" s="750"/>
      <c r="AF238" s="50"/>
      <c r="AG238" s="49"/>
      <c r="AH238" s="647"/>
    </row>
    <row r="239" spans="1:34">
      <c r="A239" s="1"/>
      <c r="B239" s="1"/>
      <c r="C239" s="1"/>
      <c r="D239" s="1"/>
      <c r="E239" s="1"/>
      <c r="F239" s="1"/>
      <c r="G239" s="1"/>
      <c r="H239" s="1"/>
      <c r="I239" s="1"/>
      <c r="J239" s="1"/>
      <c r="K239" s="1"/>
      <c r="L239" s="1"/>
      <c r="M239" s="1"/>
      <c r="N239" s="1"/>
      <c r="O239" s="1"/>
      <c r="P239" s="1"/>
      <c r="Q239" s="1"/>
      <c r="R239" s="1"/>
      <c r="S239" s="1"/>
      <c r="T239" s="1"/>
      <c r="U239" s="1"/>
      <c r="V239" s="50"/>
      <c r="W239" s="50"/>
      <c r="X239" s="50"/>
      <c r="Y239" s="50"/>
      <c r="Z239" s="50"/>
      <c r="AA239" s="50"/>
      <c r="AB239" s="50"/>
      <c r="AC239" s="50"/>
      <c r="AD239" s="50"/>
      <c r="AE239" s="750"/>
      <c r="AF239" s="50"/>
      <c r="AG239" s="49"/>
      <c r="AH239" s="647"/>
    </row>
    <row r="240" spans="1:34">
      <c r="A240" s="2226" t="s">
        <v>778</v>
      </c>
      <c r="B240" s="2227">
        <f>'qtrP&amp;L'!F14/100</f>
        <v>0.15</v>
      </c>
      <c r="C240" s="2227">
        <f>'qtrP&amp;L'!J14/100</f>
        <v>0.05</v>
      </c>
      <c r="D240" s="2227">
        <f>'qtrP&amp;L'!N14/100</f>
        <v>0.13</v>
      </c>
      <c r="E240" s="2227">
        <f>'qtrP&amp;L'!R14/100</f>
        <v>0.21</v>
      </c>
      <c r="F240" s="2227">
        <f>'qtrP&amp;L'!V14/100</f>
        <v>0.35</v>
      </c>
      <c r="G240" s="2227">
        <f>'qtrP&amp;L'!Z14/100</f>
        <v>0.1</v>
      </c>
      <c r="H240" s="2227">
        <f>+'qtrP&amp;L'!AD14/100</f>
        <v>-7.0000000000000007E-2</v>
      </c>
      <c r="I240" s="2227">
        <f>+'qtrP&amp;L'!AH14/100</f>
        <v>-0.09</v>
      </c>
      <c r="J240" s="2227">
        <f>+'qtrP&amp;L'!AL14/100</f>
        <v>-0.05</v>
      </c>
      <c r="K240" s="2227">
        <f>+'qtrP&amp;L'!AP14/100</f>
        <v>-0.09</v>
      </c>
      <c r="L240" s="2227">
        <f>+'qtrP&amp;L'!AT14/100</f>
        <v>0.02</v>
      </c>
      <c r="M240" s="2227">
        <v>0.26</v>
      </c>
      <c r="N240" s="2227">
        <v>0.02</v>
      </c>
      <c r="O240" s="2227">
        <v>-0.01</v>
      </c>
      <c r="P240" s="2227">
        <v>-0.13</v>
      </c>
      <c r="Q240" s="2227">
        <f>qtrSales!$F$122*0.01</f>
        <v>-0.23</v>
      </c>
      <c r="R240" s="2228">
        <f>'qtrP&amp;L'!BR14*0.01</f>
        <v>7.0000000000000007E-2</v>
      </c>
      <c r="S240" s="2227">
        <f>'qtrP&amp;L'!$BV$14/100</f>
        <v>0.05</v>
      </c>
      <c r="T240" s="2229">
        <f>'qtrP&amp;L'!BZ14*0.01</f>
        <v>-0.01</v>
      </c>
      <c r="U240" s="2227">
        <f>'qtrP&amp;L'!CD14/100</f>
        <v>-0.11</v>
      </c>
      <c r="V240" s="2230">
        <f>'qtrP&amp;L'!CH14/100</f>
        <v>-7.9683968878454511E-2</v>
      </c>
      <c r="W240" s="2230">
        <f>'qtrP&amp;L'!CL14/100</f>
        <v>-0.03</v>
      </c>
      <c r="X240" s="2230">
        <f>'qtrP&amp;L'!CP14/100</f>
        <v>-0.05</v>
      </c>
      <c r="Y240" s="2230">
        <f>'qtrP&amp;L'!CT14/100</f>
        <v>0.03</v>
      </c>
      <c r="Z240" s="2230">
        <f>'qtrP&amp;L'!CX14/100</f>
        <v>-1.1912052448902445E-3</v>
      </c>
      <c r="AA240" s="2231">
        <f>AA241+AA208</f>
        <v>-1.1958268990164398E-2</v>
      </c>
      <c r="AB240" s="2231">
        <f>AB241+AB208</f>
        <v>-1.1688112704915718E-2</v>
      </c>
      <c r="AC240" s="2231">
        <f>AC241+AC208</f>
        <v>-1.1378564297995202E-2</v>
      </c>
      <c r="AD240" s="2231">
        <f>AD241+AD208</f>
        <v>-1.1040386791503784E-2</v>
      </c>
      <c r="AE240" s="750"/>
      <c r="AF240" s="50"/>
      <c r="AG240" s="49"/>
      <c r="AH240" s="647"/>
    </row>
    <row r="241" spans="1:34">
      <c r="A241" s="2226" t="s">
        <v>777</v>
      </c>
      <c r="B241" s="2227"/>
      <c r="C241" s="2227"/>
      <c r="D241" s="2227"/>
      <c r="E241" s="2227"/>
      <c r="F241" s="2227"/>
      <c r="G241" s="2227"/>
      <c r="H241" s="2227"/>
      <c r="I241" s="2227"/>
      <c r="J241" s="2227"/>
      <c r="K241" s="2227"/>
      <c r="L241" s="2227"/>
      <c r="M241" s="2227"/>
      <c r="N241" s="2227"/>
      <c r="O241" s="2227"/>
      <c r="P241" s="2227"/>
      <c r="Q241" s="2227"/>
      <c r="R241" s="2227">
        <f>qtrSales!F129*0.01-qtrSales!AW129</f>
        <v>3.076657134320715E-2</v>
      </c>
      <c r="S241" s="2227">
        <f>qtrSales!F136*0.01-qtrSales!AW136</f>
        <v>7.4777962024644984E-3</v>
      </c>
      <c r="T241" s="2227">
        <f>qtrSales!F143*0.01-qtrSales!AW143</f>
        <v>-4.9657853905901835E-2</v>
      </c>
      <c r="U241" s="2227">
        <f>qtrSales!F150*0.01-qtrSales!AW150</f>
        <v>-0.13192531498586824</v>
      </c>
      <c r="V241" s="2230">
        <f>qtrSales!F157*0.01-qtrSales!AW157</f>
        <v>-9.2685756003845765E-2</v>
      </c>
      <c r="W241" s="2230">
        <f>qtrSales!F164*0.01-qtrSales!AW164</f>
        <v>-2.5067834489144125E-2</v>
      </c>
      <c r="X241" s="2230">
        <f>qtrSales!F171*0.01-qtrSales!AW171</f>
        <v>-5.6791674718928667E-2</v>
      </c>
      <c r="Y241" s="2230">
        <f>qtrSales!F178*0.01-qtrSales!AW178</f>
        <v>-6.8169138556063782E-3</v>
      </c>
      <c r="Z241" s="2230">
        <f>qtrSales!F185*0.01-qtrSales!AW185</f>
        <v>-6.7376938825878599E-3</v>
      </c>
      <c r="AA241" s="2232">
        <f>+AA138*(32%)+AA39*(68%)</f>
        <v>-2.0400000000000001E-2</v>
      </c>
      <c r="AB241" s="2232">
        <f t="shared" ref="AB241:AD241" si="215">+AB138*(32%)+AB39*(68%)</f>
        <v>-2.0400000000000001E-2</v>
      </c>
      <c r="AC241" s="2232">
        <f t="shared" si="215"/>
        <v>-2.0400000000000001E-2</v>
      </c>
      <c r="AD241" s="2232">
        <f t="shared" si="215"/>
        <v>-2.0400000000000001E-2</v>
      </c>
      <c r="AE241" s="750"/>
      <c r="AF241" s="50"/>
      <c r="AG241" s="49"/>
      <c r="AH241" s="647"/>
    </row>
    <row r="242" spans="1:34">
      <c r="A242" s="1"/>
      <c r="B242" s="1"/>
      <c r="C242" s="1"/>
      <c r="D242" s="1"/>
      <c r="E242" s="1"/>
      <c r="F242" s="1"/>
      <c r="G242" s="1"/>
      <c r="H242" s="1"/>
      <c r="I242" s="1"/>
      <c r="J242" s="1"/>
      <c r="K242" s="1"/>
      <c r="L242" s="1"/>
      <c r="M242" s="1"/>
      <c r="N242" s="1"/>
      <c r="O242" s="1"/>
      <c r="P242" s="1"/>
      <c r="Q242" s="1"/>
      <c r="R242" s="1"/>
      <c r="S242" s="1"/>
      <c r="T242" s="1"/>
      <c r="U242" s="1"/>
      <c r="V242" s="50"/>
      <c r="W242" s="50"/>
      <c r="X242" s="50"/>
      <c r="Y242" s="50"/>
      <c r="Z242" s="50"/>
      <c r="AA242" s="50"/>
      <c r="AB242" s="50"/>
      <c r="AC242" s="50"/>
      <c r="AD242" s="50"/>
      <c r="AE242" s="750"/>
      <c r="AF242" s="50"/>
      <c r="AG242" s="49"/>
      <c r="AH242" s="647"/>
    </row>
    <row r="243" spans="1:34">
      <c r="A243" s="210" t="s">
        <v>92</v>
      </c>
      <c r="B243" s="135"/>
      <c r="C243" s="7">
        <f t="shared" ref="C243:U243" si="216">(C203-C240)/C226</f>
        <v>0.63695698265022116</v>
      </c>
      <c r="D243" s="7">
        <f t="shared" si="216"/>
        <v>0.63986712162191695</v>
      </c>
      <c r="E243" s="7">
        <f t="shared" si="216"/>
        <v>1.3081947992765999</v>
      </c>
      <c r="F243" s="7">
        <f t="shared" si="216"/>
        <v>0.84822648084814234</v>
      </c>
      <c r="G243" s="7">
        <f t="shared" si="216"/>
        <v>0.85586633526187383</v>
      </c>
      <c r="H243" s="7">
        <f t="shared" si="216"/>
        <v>0.97185652557478674</v>
      </c>
      <c r="I243" s="7">
        <f t="shared" si="216"/>
        <v>0.63117470345429261</v>
      </c>
      <c r="J243" s="7">
        <f t="shared" si="216"/>
        <v>0.92260407106700881</v>
      </c>
      <c r="K243" s="7">
        <f t="shared" si="216"/>
        <v>1.2712047329358787</v>
      </c>
      <c r="L243" s="7">
        <f t="shared" si="216"/>
        <v>0.68108916594296776</v>
      </c>
      <c r="M243" s="7">
        <f t="shared" si="216"/>
        <v>1.4246660438870515</v>
      </c>
      <c r="N243" s="7">
        <f t="shared" si="216"/>
        <v>1.6794579509618821</v>
      </c>
      <c r="O243" s="7">
        <f t="shared" si="216"/>
        <v>1.1302638883302507</v>
      </c>
      <c r="P243" s="7">
        <f t="shared" si="216"/>
        <v>0.62506189147942459</v>
      </c>
      <c r="Q243" s="7">
        <f t="shared" si="216"/>
        <v>1.7635173983341785</v>
      </c>
      <c r="R243" s="7">
        <f>(R203-R241)/R226</f>
        <v>-6.3963851505157709</v>
      </c>
      <c r="S243" s="7">
        <f>(S203-S241)/S226</f>
        <v>-23.98307953472445</v>
      </c>
      <c r="T243" s="7">
        <f>(T203-T241)/T226</f>
        <v>9.8814709193165982</v>
      </c>
      <c r="U243" s="7">
        <f t="shared" si="216"/>
        <v>32.210990051163286</v>
      </c>
      <c r="V243" s="118">
        <f>(V203-V240)/V226</f>
        <v>1.7298303417520788</v>
      </c>
      <c r="W243" s="118">
        <f>(W203-W240)/W226</f>
        <v>1.6103688264347098</v>
      </c>
      <c r="X243" s="118">
        <f t="shared" ref="X243:AC243" si="217">(X203-X241)/X226</f>
        <v>0.68281535656230397</v>
      </c>
      <c r="Y243" s="118">
        <f t="shared" si="217"/>
        <v>-0.86118040598488432</v>
      </c>
      <c r="Z243" s="118">
        <f t="shared" si="217"/>
        <v>-0.30236741612333318</v>
      </c>
      <c r="AA243" s="118">
        <f t="shared" si="217"/>
        <v>-0.18454363594150566</v>
      </c>
      <c r="AB243" s="118">
        <f t="shared" si="217"/>
        <v>-1.9075231376787301E-2</v>
      </c>
      <c r="AC243" s="118">
        <f t="shared" si="217"/>
        <v>8.2582585741597714E-2</v>
      </c>
      <c r="AD243" s="118">
        <f t="shared" ref="AD243" si="218">(AD203-AD241)/AD226</f>
        <v>-9.8493938020709756E-2</v>
      </c>
      <c r="AE243" s="750"/>
      <c r="AF243" s="50"/>
      <c r="AG243" s="49"/>
      <c r="AH243" s="647"/>
    </row>
    <row r="244" spans="1:34">
      <c r="A244" s="1"/>
      <c r="B244" s="1"/>
      <c r="C244" s="1"/>
      <c r="D244" s="1"/>
      <c r="E244" s="1"/>
      <c r="F244" s="1"/>
      <c r="G244" s="1"/>
      <c r="H244" s="18"/>
      <c r="I244" s="1"/>
      <c r="J244" s="1"/>
      <c r="K244" s="1"/>
      <c r="L244" s="1"/>
      <c r="M244" s="1"/>
      <c r="N244" s="1"/>
      <c r="O244" s="1"/>
      <c r="P244" s="1"/>
      <c r="Q244" s="1"/>
      <c r="R244" s="1"/>
      <c r="S244" s="1"/>
      <c r="T244" s="1"/>
      <c r="U244" s="1"/>
      <c r="V244" s="50"/>
      <c r="W244" s="50"/>
      <c r="X244" s="50"/>
      <c r="Y244" s="50"/>
      <c r="Z244" s="50"/>
      <c r="AA244" s="50"/>
      <c r="AB244" s="50"/>
      <c r="AC244" s="50"/>
      <c r="AD244" s="50"/>
      <c r="AE244" s="750"/>
      <c r="AF244" s="50"/>
      <c r="AG244" s="49"/>
      <c r="AH244" s="647"/>
    </row>
    <row r="245" spans="1:34">
      <c r="A245" s="1" t="s">
        <v>93</v>
      </c>
      <c r="B245" s="16">
        <f>'qtrP&amp;L'!D84</f>
        <v>13.751000000000012</v>
      </c>
      <c r="C245" s="16">
        <f>'qtrP&amp;L'!H84</f>
        <v>23.797999999999988</v>
      </c>
      <c r="D245" s="16">
        <f>'qtrP&amp;L'!L84</f>
        <v>45.993000000000009</v>
      </c>
      <c r="E245" s="16">
        <f>'qtrP&amp;L'!P84</f>
        <v>84.125000000000014</v>
      </c>
      <c r="F245" s="16">
        <f>'qtrP&amp;L'!T84</f>
        <v>166.95799999999997</v>
      </c>
      <c r="G245" s="16">
        <f>'qtrP&amp;L'!X84</f>
        <v>242.06400000000002</v>
      </c>
      <c r="H245" s="16">
        <f>+'yrP&amp;L'!H30</f>
        <v>253.65199999999999</v>
      </c>
      <c r="I245" s="16">
        <f>+'yrP&amp;L'!I30</f>
        <v>271.45799999999997</v>
      </c>
      <c r="J245" s="16">
        <f>+'yrP&amp;L'!J30</f>
        <v>311.75599999999974</v>
      </c>
      <c r="K245" s="16">
        <f>+'yrP&amp;L'!K30</f>
        <v>330.20100000000036</v>
      </c>
      <c r="L245" s="16">
        <f>+'yrP&amp;L'!L30</f>
        <v>376.04499999999996</v>
      </c>
      <c r="M245" s="16">
        <f>+'yrP&amp;L'!M30</f>
        <v>550.70400000000018</v>
      </c>
      <c r="N245" s="16">
        <f>+'yrP&amp;L'!O30</f>
        <v>648.10499999999979</v>
      </c>
      <c r="O245" s="16">
        <f>+'yrP&amp;L'!Q30</f>
        <v>728.76299999999969</v>
      </c>
      <c r="P245" s="16">
        <f>+'yrP&amp;L'!S30</f>
        <v>493.48299999999995</v>
      </c>
      <c r="Q245" s="16">
        <f>+'yrP&amp;L'!T30</f>
        <v>137.577</v>
      </c>
      <c r="R245" s="16">
        <f>+'yrP&amp;L'!U30</f>
        <v>241.72199999999975</v>
      </c>
      <c r="S245" s="16">
        <f>+'yrP&amp;L'!V30</f>
        <v>336.49600000000009</v>
      </c>
      <c r="T245" s="16">
        <f>+'yrP&amp;L'!W30</f>
        <v>362.30000000000064</v>
      </c>
      <c r="U245" s="16">
        <f>+'yrP&amp;L'!X30</f>
        <v>200.62199999999984</v>
      </c>
      <c r="V245" s="588">
        <f>+'yrP&amp;L'!Y30</f>
        <v>176.48900000000003</v>
      </c>
      <c r="W245" s="588">
        <f>+'yrP&amp;L'!Z30</f>
        <v>127.83740000000034</v>
      </c>
      <c r="X245" s="588">
        <f>+'yrP&amp;L'!AA30</f>
        <v>-10.66800000000012</v>
      </c>
      <c r="Y245" s="588">
        <f>+'yrP&amp;L'!AB30</f>
        <v>84.573000000000093</v>
      </c>
      <c r="Z245" s="753">
        <f>+'yrP&amp;L'!AC30</f>
        <v>56.551972549058519</v>
      </c>
      <c r="AA245" s="753">
        <f>+'yrP&amp;L'!AD30</f>
        <v>51.81559601711956</v>
      </c>
      <c r="AB245" s="753">
        <f>+'yrP&amp;L'!AE30</f>
        <v>47.011744380650043</v>
      </c>
      <c r="AC245" s="753">
        <f>+'yrP&amp;L'!AF30</f>
        <v>42.52386103485037</v>
      </c>
      <c r="AD245" s="753">
        <f>+'yrP&amp;L'!AG30</f>
        <v>42.405264165926383</v>
      </c>
      <c r="AE245" s="750">
        <f>((Y245/T245)^(1/5)-1)*100</f>
        <v>-25.246302214072912</v>
      </c>
      <c r="AF245" s="79" t="s">
        <v>76</v>
      </c>
      <c r="AG245" s="49">
        <f>((AD245/Y245)^(1/5)-1)*100</f>
        <v>-12.896098646157995</v>
      </c>
      <c r="AH245" s="751" t="s">
        <v>76</v>
      </c>
    </row>
    <row r="246" spans="1:34">
      <c r="A246" s="213" t="s">
        <v>94</v>
      </c>
      <c r="B246" s="18">
        <f t="shared" ref="B246:W246" si="219">B245/B206</f>
        <v>8.3106192925306618E-2</v>
      </c>
      <c r="C246" s="18">
        <f t="shared" si="219"/>
        <v>0.10098489766993829</v>
      </c>
      <c r="D246" s="18">
        <f t="shared" si="219"/>
        <v>0.13714025022959581</v>
      </c>
      <c r="E246" s="18">
        <f t="shared" si="219"/>
        <v>0.16127733566965805</v>
      </c>
      <c r="F246" s="18">
        <f t="shared" si="219"/>
        <v>0.20735487717032211</v>
      </c>
      <c r="G246" s="18">
        <f t="shared" si="219"/>
        <v>0.23481798657041031</v>
      </c>
      <c r="H246" s="18">
        <f t="shared" si="219"/>
        <v>0.20495408870688844</v>
      </c>
      <c r="I246" s="18">
        <f t="shared" si="219"/>
        <v>0.1988917487817369</v>
      </c>
      <c r="J246" s="18">
        <f t="shared" si="219"/>
        <v>0.19536558511101615</v>
      </c>
      <c r="K246" s="18">
        <f t="shared" si="219"/>
        <v>0.19334773385079967</v>
      </c>
      <c r="L246" s="18">
        <f t="shared" si="219"/>
        <v>0.18604539558115901</v>
      </c>
      <c r="M246" s="18">
        <f t="shared" si="219"/>
        <v>0.19775983935137259</v>
      </c>
      <c r="N246" s="18">
        <f t="shared" si="219"/>
        <v>0.19532071709665416</v>
      </c>
      <c r="O246" s="18">
        <f t="shared" si="219"/>
        <v>0.19434472926495394</v>
      </c>
      <c r="P246" s="18">
        <f t="shared" si="219"/>
        <v>0.14009910898439548</v>
      </c>
      <c r="Q246" s="18">
        <f t="shared" si="219"/>
        <v>4.6675357651630896E-2</v>
      </c>
      <c r="R246" s="18">
        <f t="shared" si="219"/>
        <v>7.0501662486145866E-2</v>
      </c>
      <c r="S246" s="18">
        <f t="shared" si="219"/>
        <v>8.2372735059452307E-2</v>
      </c>
      <c r="T246" s="18">
        <f t="shared" si="219"/>
        <v>8.0318258049284025E-2</v>
      </c>
      <c r="U246" s="18">
        <f t="shared" si="219"/>
        <v>4.8731362480042575E-2</v>
      </c>
      <c r="V246" s="576">
        <f t="shared" si="219"/>
        <v>4.713877826833654E-2</v>
      </c>
      <c r="W246" s="576">
        <f t="shared" si="219"/>
        <v>3.6331067332067798E-2</v>
      </c>
      <c r="X246" s="576">
        <f>X245/X202</f>
        <v>-4.315837887500484E-3</v>
      </c>
      <c r="Y246" s="576">
        <f t="shared" ref="Y246:AD246" si="220">Y245/Y206</f>
        <v>2.4214287554864614E-2</v>
      </c>
      <c r="Z246" s="576">
        <f t="shared" si="220"/>
        <v>1.6121500499407679E-2</v>
      </c>
      <c r="AA246" s="576">
        <f t="shared" si="220"/>
        <v>1.4800000000000025E-2</v>
      </c>
      <c r="AB246" s="576">
        <f t="shared" si="220"/>
        <v>1.3499999999999986E-2</v>
      </c>
      <c r="AC246" s="576">
        <f t="shared" si="220"/>
        <v>1.2300000000000037E-2</v>
      </c>
      <c r="AD246" s="576">
        <f t="shared" si="220"/>
        <v>1.2299999999999933E-2</v>
      </c>
      <c r="AE246" s="83"/>
      <c r="AF246" s="2"/>
      <c r="AG246" s="84"/>
      <c r="AH246" s="752"/>
    </row>
    <row r="247" spans="1:34">
      <c r="A247" s="1"/>
      <c r="B247" s="1"/>
      <c r="C247" s="1"/>
      <c r="D247" s="1"/>
      <c r="E247" s="20"/>
      <c r="F247" s="1"/>
      <c r="G247" s="1"/>
      <c r="H247" s="1"/>
      <c r="I247" s="1"/>
      <c r="J247" s="1"/>
      <c r="K247" s="1"/>
      <c r="V247" s="97"/>
      <c r="W247" s="97"/>
      <c r="X247" s="97"/>
      <c r="Y247" s="97"/>
      <c r="Z247" s="97"/>
      <c r="AA247" s="97"/>
      <c r="AB247" s="97"/>
      <c r="AC247" s="97"/>
      <c r="AD247" s="97"/>
      <c r="AE247" s="1"/>
      <c r="AF247" s="1"/>
      <c r="AG247" s="6"/>
      <c r="AH247" s="1"/>
    </row>
    <row r="248" spans="1:34">
      <c r="A248" s="1"/>
      <c r="B248" s="1"/>
      <c r="C248" s="1"/>
      <c r="D248" s="1"/>
      <c r="E248" s="20"/>
      <c r="F248" s="1"/>
      <c r="G248" s="1"/>
      <c r="H248" s="1"/>
      <c r="I248" s="1"/>
      <c r="J248" s="1"/>
      <c r="K248" s="1"/>
      <c r="V248" s="97"/>
      <c r="W248" s="97"/>
      <c r="X248" s="97"/>
      <c r="Y248" s="97"/>
      <c r="Z248" s="97"/>
      <c r="AA248" s="97"/>
      <c r="AB248" s="97"/>
      <c r="AC248" s="97"/>
      <c r="AD248" s="97"/>
      <c r="AE248" s="1"/>
      <c r="AF248" s="1"/>
      <c r="AG248" s="6"/>
      <c r="AH248" s="1"/>
    </row>
    <row r="249" spans="1:34" ht="14.25">
      <c r="A249" s="1836" t="s">
        <v>774</v>
      </c>
      <c r="B249" s="1"/>
      <c r="C249" s="1"/>
      <c r="D249" s="1"/>
      <c r="E249" s="1"/>
      <c r="F249" s="1"/>
      <c r="G249" s="1"/>
      <c r="H249" s="1"/>
      <c r="I249" s="1"/>
      <c r="J249" s="1"/>
      <c r="K249" s="1"/>
      <c r="V249" s="97"/>
      <c r="W249" s="97"/>
      <c r="X249" s="97"/>
      <c r="Y249" s="97"/>
      <c r="Z249" s="97"/>
      <c r="AA249" s="97"/>
      <c r="AB249" s="97"/>
      <c r="AC249" s="97"/>
      <c r="AD249" s="97"/>
      <c r="AE249" s="1"/>
      <c r="AF249" s="1"/>
      <c r="AG249" s="1"/>
      <c r="AH249" s="1"/>
    </row>
    <row r="250" spans="1:34">
      <c r="A250" s="47" t="s">
        <v>6</v>
      </c>
      <c r="B250" s="1"/>
      <c r="C250" s="1"/>
      <c r="D250" s="1"/>
      <c r="E250" s="1"/>
      <c r="F250" s="1"/>
      <c r="G250" s="1"/>
      <c r="H250" s="1"/>
      <c r="I250" s="1"/>
      <c r="J250" s="1"/>
      <c r="K250" s="1"/>
      <c r="V250" s="97"/>
      <c r="W250" s="97"/>
      <c r="X250" s="97"/>
      <c r="Y250" s="97"/>
      <c r="Z250" s="97"/>
      <c r="AA250" s="97"/>
      <c r="AB250" s="97"/>
      <c r="AC250" s="97"/>
      <c r="AD250" s="97"/>
      <c r="AE250" s="1"/>
      <c r="AF250" s="1"/>
      <c r="AG250" s="1"/>
      <c r="AH250" s="1"/>
    </row>
    <row r="251" spans="1:34">
      <c r="A251" s="96"/>
      <c r="B251" s="96"/>
      <c r="C251" s="96"/>
      <c r="D251" s="96"/>
      <c r="E251" s="96"/>
      <c r="F251" s="96"/>
      <c r="G251" s="96"/>
      <c r="H251" s="96"/>
      <c r="I251" s="96"/>
      <c r="J251" s="96"/>
      <c r="K251" s="96"/>
      <c r="L251" s="96"/>
      <c r="M251" s="96"/>
      <c r="N251" s="96"/>
      <c r="O251" s="96"/>
      <c r="P251" s="96"/>
      <c r="Q251" s="96"/>
      <c r="R251" s="96"/>
      <c r="S251" s="96"/>
      <c r="T251" s="96"/>
      <c r="U251" s="96"/>
      <c r="V251" s="96"/>
      <c r="W251" s="96"/>
      <c r="X251" s="96"/>
      <c r="Y251" s="96"/>
      <c r="Z251" s="96"/>
      <c r="AA251" s="96"/>
      <c r="AB251" s="96"/>
      <c r="AC251" s="96"/>
      <c r="AD251" s="96"/>
      <c r="AE251" s="96"/>
      <c r="AF251" s="96"/>
      <c r="AG251" s="96"/>
      <c r="AH251" s="96"/>
    </row>
    <row r="252" spans="1:34" hidden="1" outlineLevel="1">
      <c r="A252" s="328" t="s">
        <v>432</v>
      </c>
      <c r="B252" s="329"/>
      <c r="C252" s="329"/>
      <c r="D252" s="329"/>
      <c r="E252" s="329"/>
      <c r="F252" s="329"/>
      <c r="G252" s="329"/>
      <c r="H252" s="329"/>
      <c r="I252" s="329"/>
      <c r="J252" s="329"/>
      <c r="K252" s="329"/>
      <c r="L252" s="1017"/>
      <c r="M252" s="1017"/>
      <c r="N252" s="1017"/>
      <c r="O252" s="1017"/>
      <c r="P252" s="1017"/>
      <c r="Q252" s="1017"/>
      <c r="R252" s="1017"/>
      <c r="S252" s="1017"/>
      <c r="T252" s="1017"/>
      <c r="U252" s="1017"/>
      <c r="V252" s="332"/>
      <c r="W252" s="332"/>
      <c r="X252" s="332"/>
      <c r="Y252" s="332"/>
      <c r="Z252" s="332"/>
      <c r="AA252" s="332"/>
      <c r="AB252" s="332"/>
      <c r="AC252" s="332"/>
      <c r="AD252" s="332"/>
      <c r="AE252" s="329"/>
      <c r="AF252" s="329"/>
      <c r="AG252" s="329"/>
      <c r="AH252" s="329"/>
    </row>
    <row r="253" spans="1:34" hidden="1" outlineLevel="1">
      <c r="A253" s="326"/>
      <c r="B253" s="327"/>
      <c r="C253" s="327"/>
      <c r="D253" s="327"/>
      <c r="E253" s="327"/>
      <c r="F253" s="327"/>
      <c r="G253" s="327"/>
      <c r="H253" s="327"/>
      <c r="I253" s="327"/>
      <c r="J253" s="327"/>
      <c r="K253" s="327"/>
      <c r="L253" s="327"/>
      <c r="M253" s="327"/>
      <c r="N253" s="327"/>
      <c r="O253" s="327"/>
      <c r="P253" s="327"/>
      <c r="Q253" s="327"/>
      <c r="R253" s="327"/>
      <c r="S253" s="327"/>
      <c r="T253" s="327"/>
      <c r="U253" s="327"/>
      <c r="V253" s="327"/>
      <c r="W253" s="327"/>
      <c r="X253" s="327"/>
      <c r="Y253" s="327"/>
      <c r="Z253" s="327"/>
      <c r="AA253" s="327"/>
      <c r="AB253" s="327"/>
      <c r="AC253" s="327"/>
      <c r="AD253" s="327"/>
      <c r="AE253" s="327"/>
      <c r="AF253" s="327"/>
      <c r="AG253" s="327"/>
      <c r="AH253" s="327"/>
    </row>
    <row r="254" spans="1:34" hidden="1" outlineLevel="1">
      <c r="A254" s="21"/>
      <c r="B254" s="50"/>
      <c r="C254" s="50"/>
      <c r="D254" s="50"/>
      <c r="E254" s="50"/>
      <c r="F254" s="50"/>
      <c r="G254" s="50"/>
      <c r="H254" s="50"/>
      <c r="I254" s="50"/>
      <c r="J254" s="50"/>
      <c r="K254" s="50"/>
      <c r="L254" s="50"/>
      <c r="M254" s="50"/>
      <c r="N254" s="50"/>
      <c r="O254" s="50"/>
      <c r="P254" s="50"/>
      <c r="Q254" s="50"/>
      <c r="R254" s="50"/>
      <c r="S254" s="50"/>
      <c r="T254" s="50"/>
      <c r="U254" s="50"/>
      <c r="V254" s="50"/>
      <c r="W254" s="50"/>
      <c r="X254" s="50"/>
      <c r="Y254" s="50"/>
      <c r="Z254" s="50"/>
      <c r="AA254" s="50"/>
      <c r="AB254" s="50"/>
      <c r="AC254" s="50"/>
      <c r="AD254" s="50"/>
      <c r="AE254" s="50"/>
      <c r="AF254" s="50"/>
      <c r="AG254" s="50"/>
      <c r="AH254" s="50"/>
    </row>
    <row r="255" spans="1:34" hidden="1" outlineLevel="1">
      <c r="A255" s="3"/>
      <c r="B255" s="1"/>
      <c r="C255" s="1"/>
      <c r="D255" s="1"/>
      <c r="E255" s="1"/>
      <c r="F255" s="1"/>
      <c r="G255" s="1"/>
      <c r="H255" s="1"/>
      <c r="I255" s="1"/>
      <c r="J255" s="1"/>
      <c r="K255" s="1"/>
      <c r="L255" s="1"/>
      <c r="M255" s="1"/>
      <c r="N255" s="1"/>
      <c r="O255" s="1"/>
      <c r="P255" s="1"/>
      <c r="Q255" s="1"/>
      <c r="R255" s="1"/>
      <c r="S255" s="1"/>
      <c r="T255" s="1"/>
      <c r="U255" s="1"/>
      <c r="V255" s="50"/>
      <c r="W255" s="50"/>
      <c r="X255" s="50"/>
      <c r="Y255" s="50"/>
      <c r="Z255" s="50"/>
      <c r="AA255" s="50"/>
      <c r="AB255" s="50"/>
      <c r="AC255" s="50"/>
      <c r="AD255" s="50"/>
      <c r="AE255" s="758"/>
      <c r="AF255" s="255" t="s">
        <v>75</v>
      </c>
      <c r="AG255" s="299"/>
      <c r="AH255" s="759"/>
    </row>
    <row r="256" spans="1:34" hidden="1" outlineLevel="1">
      <c r="A256" s="4"/>
      <c r="B256" s="121">
        <f>B200</f>
        <v>1994</v>
      </c>
      <c r="C256" s="121">
        <f t="shared" ref="C256:S256" si="221">C200</f>
        <v>1995</v>
      </c>
      <c r="D256" s="121">
        <f t="shared" si="221"/>
        <v>1996</v>
      </c>
      <c r="E256" s="121">
        <f t="shared" si="221"/>
        <v>1997</v>
      </c>
      <c r="F256" s="121">
        <f t="shared" si="221"/>
        <v>1998</v>
      </c>
      <c r="G256" s="121">
        <f t="shared" si="221"/>
        <v>1999</v>
      </c>
      <c r="H256" s="121">
        <f t="shared" si="221"/>
        <v>2000</v>
      </c>
      <c r="I256" s="121">
        <f t="shared" si="221"/>
        <v>2001</v>
      </c>
      <c r="J256" s="121">
        <f t="shared" si="221"/>
        <v>2002</v>
      </c>
      <c r="K256" s="121">
        <f t="shared" si="221"/>
        <v>2003</v>
      </c>
      <c r="L256" s="121">
        <f t="shared" si="221"/>
        <v>2004</v>
      </c>
      <c r="M256" s="121">
        <f t="shared" si="221"/>
        <v>2005</v>
      </c>
      <c r="N256" s="121">
        <f t="shared" si="221"/>
        <v>2006</v>
      </c>
      <c r="O256" s="121">
        <f t="shared" si="221"/>
        <v>2007</v>
      </c>
      <c r="P256" s="121">
        <f t="shared" si="221"/>
        <v>2008</v>
      </c>
      <c r="Q256" s="121">
        <f t="shared" si="221"/>
        <v>2009</v>
      </c>
      <c r="R256" s="121">
        <f t="shared" si="221"/>
        <v>2010</v>
      </c>
      <c r="S256" s="121">
        <f t="shared" si="221"/>
        <v>2011</v>
      </c>
      <c r="T256" s="48">
        <f t="shared" ref="T256:Y256" si="222">T200</f>
        <v>2012</v>
      </c>
      <c r="U256" s="48">
        <f t="shared" si="222"/>
        <v>2013</v>
      </c>
      <c r="V256" s="256">
        <f t="shared" si="222"/>
        <v>2014</v>
      </c>
      <c r="W256" s="256">
        <f t="shared" si="222"/>
        <v>2015</v>
      </c>
      <c r="X256" s="256">
        <f t="shared" si="222"/>
        <v>2016</v>
      </c>
      <c r="Y256" s="256">
        <f t="shared" si="222"/>
        <v>2017</v>
      </c>
      <c r="Z256" s="256">
        <f>Z200</f>
        <v>2018</v>
      </c>
      <c r="AA256" s="256">
        <f>AA200</f>
        <v>2019</v>
      </c>
      <c r="AB256" s="256">
        <f>AB200</f>
        <v>2020</v>
      </c>
      <c r="AC256" s="256">
        <f>AC200</f>
        <v>2021</v>
      </c>
      <c r="AD256" s="256">
        <f>AD200</f>
        <v>2022</v>
      </c>
      <c r="AE256" s="756"/>
      <c r="AF256" s="50"/>
      <c r="AG256" s="121" t="str">
        <f>AG200</f>
        <v>'17-22E</v>
      </c>
      <c r="AH256" s="647"/>
    </row>
    <row r="257" spans="1:34" hidden="1" outlineLevel="1">
      <c r="A257" s="4"/>
      <c r="B257" s="4"/>
      <c r="C257" s="4"/>
      <c r="D257" s="4"/>
      <c r="E257" s="1"/>
      <c r="F257" s="1"/>
      <c r="G257" s="1"/>
      <c r="H257" s="1"/>
      <c r="I257" s="1"/>
      <c r="J257" s="1"/>
      <c r="K257" s="1"/>
      <c r="V257" s="97"/>
      <c r="W257" s="97"/>
      <c r="X257" s="97"/>
      <c r="Y257" s="97"/>
      <c r="Z257" s="97"/>
      <c r="AA257" s="97"/>
      <c r="AB257" s="97"/>
      <c r="AC257" s="97"/>
      <c r="AD257" s="97"/>
      <c r="AE257" s="757"/>
      <c r="AF257" s="297"/>
      <c r="AG257" s="297"/>
      <c r="AH257" s="760"/>
    </row>
    <row r="258" spans="1:34" hidden="1" outlineLevel="2">
      <c r="A258" s="1" t="s">
        <v>697</v>
      </c>
      <c r="B258" s="4"/>
      <c r="C258" s="4"/>
      <c r="D258" s="4"/>
      <c r="E258" s="1"/>
      <c r="F258" s="1"/>
      <c r="G258" s="1"/>
      <c r="H258" s="1"/>
      <c r="I258" s="1"/>
      <c r="J258" s="15"/>
      <c r="K258" s="15"/>
      <c r="L258" s="15"/>
      <c r="M258" s="15"/>
      <c r="N258" s="15"/>
      <c r="O258" s="361">
        <v>0.23</v>
      </c>
      <c r="P258" s="5">
        <f>SegqtrSales!S414</f>
        <v>0</v>
      </c>
      <c r="Q258" s="5">
        <f>SegqtrSales!$S$421</f>
        <v>0</v>
      </c>
      <c r="R258" s="5">
        <f>SegqtrSales!$S$428</f>
        <v>0</v>
      </c>
      <c r="S258" s="5">
        <f>SegqtrSales!$S$435</f>
        <v>0</v>
      </c>
      <c r="T258" s="5">
        <f>SegqtrSales!$S$442</f>
        <v>0</v>
      </c>
      <c r="U258" s="5">
        <f>SegqtrSales!$S$449</f>
        <v>0</v>
      </c>
      <c r="V258" s="292">
        <f>SegqtrSales!S456</f>
        <v>0</v>
      </c>
      <c r="W258" s="292">
        <f t="shared" ref="W258:AD258" si="223">V258*(1+W289+W278)</f>
        <v>0</v>
      </c>
      <c r="X258" s="292">
        <f t="shared" si="223"/>
        <v>0</v>
      </c>
      <c r="Y258" s="292">
        <f t="shared" si="223"/>
        <v>0</v>
      </c>
      <c r="Z258" s="292">
        <f t="shared" si="223"/>
        <v>0</v>
      </c>
      <c r="AA258" s="292">
        <f t="shared" si="223"/>
        <v>0</v>
      </c>
      <c r="AB258" s="292">
        <f t="shared" si="223"/>
        <v>0</v>
      </c>
      <c r="AC258" s="292">
        <f t="shared" si="223"/>
        <v>0</v>
      </c>
      <c r="AD258" s="292">
        <f t="shared" si="223"/>
        <v>0</v>
      </c>
      <c r="AE258" s="750"/>
      <c r="AF258" s="297"/>
      <c r="AG258" s="49" t="e">
        <f>((AC258/X258)^(1/5)-1)*100</f>
        <v>#DIV/0!</v>
      </c>
      <c r="AH258" s="761" t="s">
        <v>76</v>
      </c>
    </row>
    <row r="259" spans="1:34" hidden="1" outlineLevel="2">
      <c r="A259" s="210" t="s">
        <v>77</v>
      </c>
      <c r="B259" s="4"/>
      <c r="C259" s="4"/>
      <c r="D259" s="4"/>
      <c r="E259" s="1"/>
      <c r="F259" s="1"/>
      <c r="G259" s="1"/>
      <c r="H259" s="1"/>
      <c r="I259" s="1"/>
      <c r="J259" s="278"/>
      <c r="K259" s="281"/>
      <c r="L259" s="281"/>
      <c r="M259" s="281"/>
      <c r="N259" s="281"/>
      <c r="O259" s="281"/>
      <c r="P259" s="281">
        <f t="shared" ref="P259:W259" si="224">P258/O258-1</f>
        <v>-1</v>
      </c>
      <c r="Q259" s="281" t="e">
        <f t="shared" si="224"/>
        <v>#DIV/0!</v>
      </c>
      <c r="R259" s="281" t="e">
        <f t="shared" si="224"/>
        <v>#DIV/0!</v>
      </c>
      <c r="S259" s="281" t="e">
        <f t="shared" si="224"/>
        <v>#DIV/0!</v>
      </c>
      <c r="T259" s="281" t="e">
        <f t="shared" si="224"/>
        <v>#DIV/0!</v>
      </c>
      <c r="U259" s="281" t="e">
        <f t="shared" si="224"/>
        <v>#DIV/0!</v>
      </c>
      <c r="V259" s="575" t="e">
        <f t="shared" si="224"/>
        <v>#DIV/0!</v>
      </c>
      <c r="W259" s="575" t="e">
        <f t="shared" si="224"/>
        <v>#DIV/0!</v>
      </c>
      <c r="X259" s="575" t="e">
        <f t="shared" ref="X259:AD259" si="225">X258/W258-1</f>
        <v>#DIV/0!</v>
      </c>
      <c r="Y259" s="575" t="e">
        <f t="shared" si="225"/>
        <v>#DIV/0!</v>
      </c>
      <c r="Z259" s="575" t="e">
        <f t="shared" si="225"/>
        <v>#DIV/0!</v>
      </c>
      <c r="AA259" s="575" t="e">
        <f t="shared" si="225"/>
        <v>#DIV/0!</v>
      </c>
      <c r="AB259" s="575" t="e">
        <f t="shared" si="225"/>
        <v>#DIV/0!</v>
      </c>
      <c r="AC259" s="575" t="e">
        <f t="shared" si="225"/>
        <v>#DIV/0!</v>
      </c>
      <c r="AD259" s="575" t="e">
        <f t="shared" si="225"/>
        <v>#DIV/0!</v>
      </c>
      <c r="AE259" s="757"/>
      <c r="AF259" s="297"/>
      <c r="AG259" s="49"/>
      <c r="AH259" s="760"/>
    </row>
    <row r="260" spans="1:34" ht="13.5" hidden="1" customHeight="1" outlineLevel="2">
      <c r="A260" s="13" t="s">
        <v>358</v>
      </c>
      <c r="B260" s="4"/>
      <c r="C260" s="4"/>
      <c r="D260" s="4"/>
      <c r="E260" s="1"/>
      <c r="F260" s="1"/>
      <c r="G260" s="1"/>
      <c r="H260" s="1"/>
      <c r="I260" s="1"/>
      <c r="J260" s="278"/>
      <c r="K260" s="278"/>
      <c r="L260" s="278"/>
      <c r="M260" s="278"/>
      <c r="N260" s="278"/>
      <c r="O260" s="278"/>
      <c r="P260" s="278"/>
      <c r="Q260" s="278"/>
      <c r="R260" s="278"/>
      <c r="S260" s="278"/>
      <c r="T260" s="278"/>
      <c r="U260" s="278"/>
      <c r="V260" s="590"/>
      <c r="W260" s="590"/>
      <c r="X260" s="590"/>
      <c r="Y260" s="590"/>
      <c r="Z260" s="590"/>
      <c r="AA260" s="590"/>
      <c r="AB260" s="590"/>
      <c r="AC260" s="590"/>
      <c r="AD260" s="590"/>
      <c r="AE260" s="757"/>
      <c r="AF260" s="297"/>
      <c r="AG260" s="49"/>
      <c r="AH260" s="760"/>
    </row>
    <row r="261" spans="1:34" hidden="1" outlineLevel="2">
      <c r="A261" s="210" t="s">
        <v>77</v>
      </c>
      <c r="B261" s="4"/>
      <c r="C261" s="4"/>
      <c r="D261" s="4"/>
      <c r="E261" s="1"/>
      <c r="F261" s="1"/>
      <c r="G261" s="50"/>
      <c r="H261" s="50"/>
      <c r="I261" s="50"/>
      <c r="J261" s="50"/>
      <c r="K261" s="291"/>
      <c r="L261" s="286"/>
      <c r="M261" s="286"/>
      <c r="N261" s="286"/>
      <c r="O261" s="1831"/>
      <c r="P261" s="1831"/>
      <c r="Q261" s="1831"/>
      <c r="R261" s="1831"/>
      <c r="S261" s="1831"/>
      <c r="T261" s="1831"/>
      <c r="U261" s="1831"/>
      <c r="V261" s="1831"/>
      <c r="W261" s="1831"/>
      <c r="X261" s="97"/>
      <c r="Y261" s="97"/>
      <c r="Z261" s="97"/>
      <c r="AA261" s="97"/>
      <c r="AB261" s="97"/>
      <c r="AC261" s="97"/>
      <c r="AD261" s="97"/>
      <c r="AE261" s="757"/>
      <c r="AF261" s="297"/>
      <c r="AG261" s="49"/>
      <c r="AH261" s="760"/>
    </row>
    <row r="262" spans="1:34" hidden="1" outlineLevel="1">
      <c r="A262" s="210" t="str">
        <f>+A106</f>
        <v>Retail Sales</v>
      </c>
      <c r="B262" s="5"/>
      <c r="C262" s="45"/>
      <c r="D262" s="5"/>
      <c r="E262" s="5"/>
      <c r="F262" s="5"/>
      <c r="G262" s="292"/>
      <c r="H262" s="292"/>
      <c r="I262" s="292"/>
      <c r="J262" s="292"/>
      <c r="K262" s="292"/>
      <c r="L262" s="288"/>
      <c r="M262" s="288"/>
      <c r="N262" s="288"/>
      <c r="O262" s="288"/>
      <c r="P262" s="287"/>
      <c r="Q262" s="287"/>
      <c r="R262" s="287"/>
      <c r="S262" s="287"/>
      <c r="T262" s="287"/>
      <c r="U262" s="287"/>
      <c r="V262" s="591"/>
      <c r="W262" s="591"/>
      <c r="X262" s="591"/>
      <c r="Y262" s="591"/>
      <c r="Z262" s="591"/>
      <c r="AA262" s="591"/>
      <c r="AB262" s="591"/>
      <c r="AC262" s="591"/>
      <c r="AD262" s="591"/>
      <c r="AE262" s="762"/>
      <c r="AF262" s="298"/>
      <c r="AG262" s="49"/>
      <c r="AH262" s="761"/>
    </row>
    <row r="263" spans="1:34" hidden="1" outlineLevel="1">
      <c r="A263" s="210" t="s">
        <v>77</v>
      </c>
      <c r="B263" s="7"/>
      <c r="C263" s="122"/>
      <c r="D263" s="123"/>
      <c r="E263" s="7"/>
      <c r="F263" s="7"/>
      <c r="G263" s="282"/>
      <c r="H263" s="282"/>
      <c r="I263" s="282"/>
      <c r="J263" s="282"/>
      <c r="K263" s="282"/>
      <c r="L263" s="124"/>
      <c r="M263" s="7"/>
      <c r="N263" s="7"/>
      <c r="O263" s="7"/>
      <c r="P263" s="7"/>
      <c r="Q263" s="7"/>
      <c r="R263" s="7"/>
      <c r="S263" s="7"/>
      <c r="T263" s="7"/>
      <c r="U263" s="7"/>
      <c r="V263" s="118"/>
      <c r="W263" s="118"/>
      <c r="X263" s="118"/>
      <c r="Y263" s="118"/>
      <c r="Z263" s="118"/>
      <c r="AA263" s="118"/>
      <c r="AB263" s="118"/>
      <c r="AC263" s="118"/>
      <c r="AD263" s="118"/>
      <c r="AE263" s="757"/>
      <c r="AF263" s="297"/>
      <c r="AG263" s="49"/>
      <c r="AH263" s="760"/>
    </row>
    <row r="264" spans="1:34" hidden="1" outlineLevel="1">
      <c r="A264" s="210" t="s">
        <v>723</v>
      </c>
      <c r="B264" s="7"/>
      <c r="C264" s="122"/>
      <c r="D264" s="123"/>
      <c r="E264" s="7"/>
      <c r="F264" s="7"/>
      <c r="G264" s="282"/>
      <c r="H264" s="282"/>
      <c r="I264" s="118"/>
      <c r="J264" s="118"/>
      <c r="K264" s="118"/>
      <c r="L264" s="7"/>
      <c r="M264" s="7"/>
      <c r="N264" s="7"/>
      <c r="O264" s="7">
        <f t="shared" ref="O264:V264" si="226">O258/O202</f>
        <v>6.6632925298406874E-5</v>
      </c>
      <c r="P264" s="7">
        <f t="shared" si="226"/>
        <v>0</v>
      </c>
      <c r="Q264" s="7">
        <f t="shared" si="226"/>
        <v>0</v>
      </c>
      <c r="R264" s="7">
        <f t="shared" si="226"/>
        <v>0</v>
      </c>
      <c r="S264" s="7">
        <f t="shared" si="226"/>
        <v>0</v>
      </c>
      <c r="T264" s="7">
        <f t="shared" si="226"/>
        <v>0</v>
      </c>
      <c r="U264" s="7">
        <f t="shared" si="226"/>
        <v>0</v>
      </c>
      <c r="V264" s="118">
        <f t="shared" si="226"/>
        <v>0</v>
      </c>
      <c r="W264" s="118">
        <f>W258/W202</f>
        <v>0</v>
      </c>
      <c r="X264" s="118" t="e">
        <f>X258/#REF!</f>
        <v>#REF!</v>
      </c>
      <c r="Y264" s="118">
        <f t="shared" ref="Y264:AD264" si="227">Y258/Y202</f>
        <v>0</v>
      </c>
      <c r="Z264" s="118">
        <f t="shared" si="227"/>
        <v>0</v>
      </c>
      <c r="AA264" s="118">
        <f t="shared" si="227"/>
        <v>0</v>
      </c>
      <c r="AB264" s="118">
        <f t="shared" si="227"/>
        <v>0</v>
      </c>
      <c r="AC264" s="118">
        <f t="shared" si="227"/>
        <v>0</v>
      </c>
      <c r="AD264" s="118">
        <f t="shared" si="227"/>
        <v>0</v>
      </c>
      <c r="AE264" s="757"/>
      <c r="AF264" s="297"/>
      <c r="AG264" s="49"/>
      <c r="AH264" s="760"/>
    </row>
    <row r="265" spans="1:34" hidden="1" outlineLevel="1">
      <c r="A265" s="1"/>
      <c r="B265" s="1"/>
      <c r="C265" s="1"/>
      <c r="D265" s="1"/>
      <c r="E265" s="1"/>
      <c r="F265" s="1"/>
      <c r="G265" s="50"/>
      <c r="H265" s="50"/>
      <c r="I265" s="50"/>
      <c r="J265" s="50"/>
      <c r="K265" s="50"/>
      <c r="L265" s="1"/>
      <c r="M265" s="1"/>
      <c r="N265" s="1"/>
      <c r="O265" s="1"/>
      <c r="P265" s="1"/>
      <c r="Q265" s="1"/>
      <c r="R265" s="1"/>
      <c r="S265" s="1"/>
      <c r="T265" s="1"/>
      <c r="U265" s="1"/>
      <c r="V265" s="50"/>
      <c r="W265" s="50"/>
      <c r="X265" s="50"/>
      <c r="Y265" s="50"/>
      <c r="Z265" s="50"/>
      <c r="AA265" s="50"/>
      <c r="AB265" s="50"/>
      <c r="AC265" s="50"/>
      <c r="AD265" s="50"/>
      <c r="AE265" s="757"/>
      <c r="AF265" s="297"/>
      <c r="AG265" s="49"/>
      <c r="AH265" s="760"/>
    </row>
    <row r="266" spans="1:34" hidden="1" outlineLevel="1">
      <c r="A266" s="210" t="s">
        <v>78</v>
      </c>
      <c r="B266" s="4"/>
      <c r="C266" s="4"/>
      <c r="D266" s="125"/>
      <c r="E266" s="4"/>
      <c r="F266" s="4"/>
      <c r="G266" s="293"/>
      <c r="H266" s="293"/>
      <c r="I266" s="293"/>
      <c r="J266" s="293"/>
      <c r="K266" s="293"/>
      <c r="L266" s="4"/>
      <c r="M266" s="4"/>
      <c r="N266" s="4"/>
      <c r="O266" s="4">
        <v>0</v>
      </c>
      <c r="P266" s="4">
        <f t="shared" ref="P266:W266" si="228">O270</f>
        <v>3</v>
      </c>
      <c r="Q266" s="4">
        <f t="shared" si="228"/>
        <v>14</v>
      </c>
      <c r="R266" s="4">
        <f t="shared" si="228"/>
        <v>16</v>
      </c>
      <c r="S266" s="4">
        <f t="shared" si="228"/>
        <v>19</v>
      </c>
      <c r="T266" s="4">
        <f t="shared" si="228"/>
        <v>21</v>
      </c>
      <c r="U266" s="4">
        <f t="shared" si="228"/>
        <v>24</v>
      </c>
      <c r="V266" s="293">
        <f t="shared" si="228"/>
        <v>8</v>
      </c>
      <c r="W266" s="293">
        <f t="shared" si="228"/>
        <v>0</v>
      </c>
      <c r="X266" s="293">
        <f t="shared" ref="X266:AD266" si="229">W270</f>
        <v>0</v>
      </c>
      <c r="Y266" s="293">
        <f t="shared" si="229"/>
        <v>0</v>
      </c>
      <c r="Z266" s="293">
        <f t="shared" si="229"/>
        <v>0</v>
      </c>
      <c r="AA266" s="293">
        <f t="shared" si="229"/>
        <v>0</v>
      </c>
      <c r="AB266" s="293">
        <f t="shared" si="229"/>
        <v>0</v>
      </c>
      <c r="AC266" s="293">
        <f t="shared" si="229"/>
        <v>0</v>
      </c>
      <c r="AD266" s="293">
        <f t="shared" si="229"/>
        <v>0</v>
      </c>
      <c r="AE266" s="757"/>
      <c r="AF266" s="297"/>
      <c r="AG266" s="49"/>
      <c r="AH266" s="760"/>
    </row>
    <row r="267" spans="1:34" hidden="1" outlineLevel="1">
      <c r="A267" s="210" t="s">
        <v>353</v>
      </c>
      <c r="B267" s="4"/>
      <c r="C267" s="4"/>
      <c r="D267" s="126"/>
      <c r="E267" s="42"/>
      <c r="F267" s="42"/>
      <c r="G267" s="294"/>
      <c r="H267" s="294"/>
      <c r="I267" s="294"/>
      <c r="J267" s="294"/>
      <c r="K267" s="294"/>
      <c r="L267" s="4"/>
      <c r="M267" s="4"/>
      <c r="N267" s="4"/>
      <c r="O267" s="260">
        <v>3</v>
      </c>
      <c r="P267" s="4">
        <f>squft!BW47</f>
        <v>11</v>
      </c>
      <c r="Q267" s="4">
        <f>squft!CA47</f>
        <v>2</v>
      </c>
      <c r="R267" s="4">
        <f>squft!CE47</f>
        <v>3</v>
      </c>
      <c r="S267" s="4">
        <v>2</v>
      </c>
      <c r="T267" s="4">
        <f>squft!CM47</f>
        <v>4</v>
      </c>
      <c r="U267" s="4">
        <f>squft!CQ47</f>
        <v>0</v>
      </c>
      <c r="V267" s="293">
        <f>squft!CU47</f>
        <v>0</v>
      </c>
      <c r="W267" s="293">
        <f>squft!CY47</f>
        <v>0</v>
      </c>
      <c r="X267" s="293">
        <f>squft!DC47</f>
        <v>0</v>
      </c>
      <c r="Y267" s="293">
        <f>squft!DG47</f>
        <v>0</v>
      </c>
      <c r="Z267" s="293">
        <f>squft!DK47</f>
        <v>0</v>
      </c>
      <c r="AA267" s="293">
        <v>0</v>
      </c>
      <c r="AB267" s="293">
        <v>0</v>
      </c>
      <c r="AC267" s="293">
        <v>0</v>
      </c>
      <c r="AD267" s="293">
        <v>0</v>
      </c>
      <c r="AE267" s="757"/>
      <c r="AF267" s="297"/>
      <c r="AG267" s="49"/>
      <c r="AH267" s="760"/>
    </row>
    <row r="268" spans="1:34" hidden="1" outlineLevel="1">
      <c r="A268" s="211" t="s">
        <v>79</v>
      </c>
      <c r="B268" s="4"/>
      <c r="C268" s="4"/>
      <c r="D268" s="127"/>
      <c r="E268" s="42"/>
      <c r="F268" s="42"/>
      <c r="G268" s="294"/>
      <c r="H268" s="294"/>
      <c r="I268" s="294"/>
      <c r="J268" s="294"/>
      <c r="K268" s="294"/>
      <c r="L268" s="4"/>
      <c r="M268" s="4"/>
      <c r="N268" s="4"/>
      <c r="O268" s="4"/>
      <c r="P268" s="4"/>
      <c r="Q268" s="4"/>
      <c r="R268" s="4"/>
      <c r="S268" s="4"/>
      <c r="T268" s="4">
        <f>squft!CM49</f>
        <v>-1</v>
      </c>
      <c r="U268" s="4">
        <f>squft!CQ49</f>
        <v>-16</v>
      </c>
      <c r="V268" s="293">
        <v>-8</v>
      </c>
      <c r="W268" s="293"/>
      <c r="X268" s="293"/>
      <c r="Y268" s="293"/>
      <c r="Z268" s="293"/>
      <c r="AA268" s="293"/>
      <c r="AB268" s="293"/>
      <c r="AC268" s="293"/>
      <c r="AD268" s="293"/>
      <c r="AE268" s="757"/>
      <c r="AF268" s="297"/>
      <c r="AG268" s="49"/>
      <c r="AH268" s="760"/>
    </row>
    <row r="269" spans="1:34" hidden="1" outlineLevel="1">
      <c r="A269" s="211" t="s">
        <v>57</v>
      </c>
      <c r="B269" s="4"/>
      <c r="C269" s="4"/>
      <c r="D269" s="127"/>
      <c r="E269" s="42"/>
      <c r="F269" s="42"/>
      <c r="G269" s="294"/>
      <c r="H269" s="294"/>
      <c r="I269" s="294"/>
      <c r="J269" s="294"/>
      <c r="K269" s="294"/>
      <c r="L269" s="4"/>
      <c r="M269" s="4"/>
      <c r="N269" s="4"/>
      <c r="O269" s="4"/>
      <c r="P269" s="4"/>
      <c r="Q269" s="4"/>
      <c r="R269" s="4"/>
      <c r="S269" s="4"/>
      <c r="T269" s="4"/>
      <c r="U269" s="4"/>
      <c r="V269" s="293"/>
      <c r="W269" s="293"/>
      <c r="X269" s="293"/>
      <c r="Y269" s="293"/>
      <c r="Z269" s="293"/>
      <c r="AA269" s="293"/>
      <c r="AB269" s="293"/>
      <c r="AC269" s="293"/>
      <c r="AD269" s="293"/>
      <c r="AE269" s="757"/>
      <c r="AF269" s="297"/>
      <c r="AG269" s="49"/>
      <c r="AH269" s="760"/>
    </row>
    <row r="270" spans="1:34" hidden="1" outlineLevel="1">
      <c r="A270" s="210" t="s">
        <v>80</v>
      </c>
      <c r="B270" s="4"/>
      <c r="C270" s="4"/>
      <c r="D270" s="125"/>
      <c r="E270" s="4"/>
      <c r="F270" s="4"/>
      <c r="G270" s="293"/>
      <c r="H270" s="293"/>
      <c r="I270" s="293"/>
      <c r="J270" s="125"/>
      <c r="K270" s="293"/>
      <c r="L270" s="4"/>
      <c r="M270" s="4"/>
      <c r="N270" s="4"/>
      <c r="O270" s="4">
        <f>O267</f>
        <v>3</v>
      </c>
      <c r="P270" s="4">
        <f t="shared" ref="P270:V270" si="230">P266+P267+P268</f>
        <v>14</v>
      </c>
      <c r="Q270" s="4">
        <f t="shared" si="230"/>
        <v>16</v>
      </c>
      <c r="R270" s="4">
        <f t="shared" si="230"/>
        <v>19</v>
      </c>
      <c r="S270" s="4">
        <f t="shared" si="230"/>
        <v>21</v>
      </c>
      <c r="T270" s="4">
        <f t="shared" si="230"/>
        <v>24</v>
      </c>
      <c r="U270" s="4">
        <f t="shared" si="230"/>
        <v>8</v>
      </c>
      <c r="V270" s="4">
        <f t="shared" si="230"/>
        <v>0</v>
      </c>
      <c r="W270" s="293">
        <f t="shared" ref="W270:AB270" si="231">W266+W267-W268</f>
        <v>0</v>
      </c>
      <c r="X270" s="293">
        <f t="shared" si="231"/>
        <v>0</v>
      </c>
      <c r="Y270" s="293">
        <f t="shared" si="231"/>
        <v>0</v>
      </c>
      <c r="Z270" s="293">
        <f t="shared" si="231"/>
        <v>0</v>
      </c>
      <c r="AA270" s="293">
        <f t="shared" si="231"/>
        <v>0</v>
      </c>
      <c r="AB270" s="293">
        <f t="shared" si="231"/>
        <v>0</v>
      </c>
      <c r="AC270" s="293">
        <f>AC266+AC267-AC268</f>
        <v>0</v>
      </c>
      <c r="AD270" s="293">
        <f>AD266+AD267-AD268</f>
        <v>0</v>
      </c>
      <c r="AE270" s="762"/>
      <c r="AF270" s="298"/>
      <c r="AG270" s="49" t="e">
        <f>((AC270/X270)^(1/5)-1)*100</f>
        <v>#DIV/0!</v>
      </c>
      <c r="AH270" s="761" t="s">
        <v>76</v>
      </c>
    </row>
    <row r="271" spans="1:34" hidden="1" outlineLevel="1">
      <c r="A271" s="210" t="s">
        <v>81</v>
      </c>
      <c r="B271" s="8"/>
      <c r="C271" s="8"/>
      <c r="D271" s="8"/>
      <c r="E271" s="8"/>
      <c r="F271" s="8"/>
      <c r="G271" s="80"/>
      <c r="H271" s="80"/>
      <c r="I271" s="80"/>
      <c r="J271" s="80"/>
      <c r="K271" s="80"/>
      <c r="L271" s="8"/>
      <c r="M271" s="8"/>
      <c r="N271" s="8"/>
      <c r="O271" s="8">
        <f t="shared" ref="O271:Z271" si="232">AVERAGE(O266,O270)</f>
        <v>1.5</v>
      </c>
      <c r="P271" s="8">
        <f t="shared" si="232"/>
        <v>8.5</v>
      </c>
      <c r="Q271" s="8">
        <f t="shared" si="232"/>
        <v>15</v>
      </c>
      <c r="R271" s="8">
        <f t="shared" si="232"/>
        <v>17.5</v>
      </c>
      <c r="S271" s="8">
        <f t="shared" si="232"/>
        <v>20</v>
      </c>
      <c r="T271" s="8">
        <f t="shared" si="232"/>
        <v>22.5</v>
      </c>
      <c r="U271" s="8">
        <f t="shared" si="232"/>
        <v>16</v>
      </c>
      <c r="V271" s="80">
        <f t="shared" si="232"/>
        <v>4</v>
      </c>
      <c r="W271" s="80">
        <f t="shared" si="232"/>
        <v>0</v>
      </c>
      <c r="X271" s="80">
        <f t="shared" si="232"/>
        <v>0</v>
      </c>
      <c r="Y271" s="80">
        <f t="shared" si="232"/>
        <v>0</v>
      </c>
      <c r="Z271" s="80">
        <f t="shared" si="232"/>
        <v>0</v>
      </c>
      <c r="AA271" s="80">
        <f>AVERAGE(AA266,AA270)</f>
        <v>0</v>
      </c>
      <c r="AB271" s="80">
        <f>AVERAGE(AB266,AB270)</f>
        <v>0</v>
      </c>
      <c r="AC271" s="80">
        <f>AVERAGE(AC266,AC270)</f>
        <v>0</v>
      </c>
      <c r="AD271" s="80">
        <f>AVERAGE(AD266,AD270)</f>
        <v>0</v>
      </c>
      <c r="AE271" s="763"/>
      <c r="AF271" s="107"/>
      <c r="AG271" s="49"/>
      <c r="AH271" s="764"/>
    </row>
    <row r="272" spans="1:34" hidden="1" outlineLevel="1">
      <c r="A272" s="210" t="s">
        <v>82</v>
      </c>
      <c r="B272" s="7"/>
      <c r="C272" s="7"/>
      <c r="D272" s="7"/>
      <c r="E272" s="7"/>
      <c r="F272" s="7"/>
      <c r="G272" s="118"/>
      <c r="H272" s="295"/>
      <c r="I272" s="295"/>
      <c r="J272" s="295"/>
      <c r="K272" s="295"/>
      <c r="L272" s="128"/>
      <c r="M272" s="7"/>
      <c r="N272" s="7"/>
      <c r="O272" s="7"/>
      <c r="P272" s="7">
        <f t="shared" ref="P272:W272" si="233">P271/O271-1</f>
        <v>4.666666666666667</v>
      </c>
      <c r="Q272" s="7">
        <f t="shared" si="233"/>
        <v>0.76470588235294112</v>
      </c>
      <c r="R272" s="7">
        <f t="shared" si="233"/>
        <v>0.16666666666666674</v>
      </c>
      <c r="S272" s="7">
        <f t="shared" si="233"/>
        <v>0.14285714285714279</v>
      </c>
      <c r="T272" s="7">
        <f t="shared" si="233"/>
        <v>0.125</v>
      </c>
      <c r="U272" s="7">
        <f t="shared" si="233"/>
        <v>-0.28888888888888886</v>
      </c>
      <c r="V272" s="118">
        <f t="shared" si="233"/>
        <v>-0.75</v>
      </c>
      <c r="W272" s="118">
        <f t="shared" si="233"/>
        <v>-1</v>
      </c>
      <c r="X272" s="118" t="e">
        <f t="shared" ref="X272:AD272" si="234">X271/W271-1</f>
        <v>#DIV/0!</v>
      </c>
      <c r="Y272" s="118" t="e">
        <f t="shared" si="234"/>
        <v>#DIV/0!</v>
      </c>
      <c r="Z272" s="118" t="e">
        <f t="shared" si="234"/>
        <v>#DIV/0!</v>
      </c>
      <c r="AA272" s="118" t="e">
        <f t="shared" si="234"/>
        <v>#DIV/0!</v>
      </c>
      <c r="AB272" s="118" t="e">
        <f t="shared" si="234"/>
        <v>#DIV/0!</v>
      </c>
      <c r="AC272" s="118" t="e">
        <f t="shared" si="234"/>
        <v>#DIV/0!</v>
      </c>
      <c r="AD272" s="118" t="e">
        <f t="shared" si="234"/>
        <v>#DIV/0!</v>
      </c>
      <c r="AE272" s="757"/>
      <c r="AF272" s="297"/>
      <c r="AG272" s="49"/>
      <c r="AH272" s="760"/>
    </row>
    <row r="273" spans="1:34" hidden="1" outlineLevel="1">
      <c r="A273" s="1"/>
      <c r="B273" s="1"/>
      <c r="C273" s="1"/>
      <c r="D273" s="7"/>
      <c r="E273" s="7"/>
      <c r="F273" s="1"/>
      <c r="G273" s="50"/>
      <c r="H273" s="50"/>
      <c r="I273" s="50"/>
      <c r="J273" s="50"/>
      <c r="K273" s="50"/>
      <c r="L273" s="1"/>
      <c r="M273" s="1"/>
      <c r="N273" s="1"/>
      <c r="O273" s="1"/>
      <c r="P273" s="1"/>
      <c r="Q273" s="1"/>
      <c r="R273" s="1"/>
      <c r="S273" s="1"/>
      <c r="T273" s="1"/>
      <c r="U273" s="1"/>
      <c r="V273" s="50"/>
      <c r="W273" s="50"/>
      <c r="X273" s="50"/>
      <c r="Y273" s="50"/>
      <c r="Z273" s="50"/>
      <c r="AA273" s="50"/>
      <c r="AB273" s="50"/>
      <c r="AC273" s="50"/>
      <c r="AD273" s="50"/>
      <c r="AE273" s="757"/>
      <c r="AF273" s="297"/>
      <c r="AG273" s="49"/>
      <c r="AH273" s="760"/>
    </row>
    <row r="274" spans="1:34" hidden="1" outlineLevel="1">
      <c r="A274" s="210" t="s">
        <v>446</v>
      </c>
      <c r="B274" s="11"/>
      <c r="C274" s="11"/>
      <c r="D274" s="11"/>
      <c r="E274" s="11"/>
      <c r="F274" s="11"/>
      <c r="G274" s="296"/>
      <c r="H274" s="296"/>
      <c r="I274" s="296"/>
      <c r="J274" s="296"/>
      <c r="K274" s="296"/>
      <c r="L274" s="11"/>
      <c r="M274" s="11"/>
      <c r="N274" s="11"/>
      <c r="O274" s="11">
        <f t="shared" ref="O274:T274" si="235">O258/O271</f>
        <v>0.15333333333333335</v>
      </c>
      <c r="P274" s="11">
        <f t="shared" si="235"/>
        <v>0</v>
      </c>
      <c r="Q274" s="11">
        <f t="shared" si="235"/>
        <v>0</v>
      </c>
      <c r="R274" s="11">
        <f t="shared" si="235"/>
        <v>0</v>
      </c>
      <c r="S274" s="11">
        <f t="shared" si="235"/>
        <v>0</v>
      </c>
      <c r="T274" s="11">
        <f t="shared" si="235"/>
        <v>0</v>
      </c>
      <c r="U274" s="11">
        <f t="shared" ref="U274:Z274" si="236">U258/U271</f>
        <v>0</v>
      </c>
      <c r="V274" s="296">
        <f t="shared" si="236"/>
        <v>0</v>
      </c>
      <c r="W274" s="296" t="e">
        <f t="shared" si="236"/>
        <v>#DIV/0!</v>
      </c>
      <c r="X274" s="296" t="e">
        <f t="shared" si="236"/>
        <v>#DIV/0!</v>
      </c>
      <c r="Y274" s="296" t="e">
        <f t="shared" si="236"/>
        <v>#DIV/0!</v>
      </c>
      <c r="Z274" s="296" t="e">
        <f t="shared" si="236"/>
        <v>#DIV/0!</v>
      </c>
      <c r="AA274" s="296" t="e">
        <f>AA258/AA271</f>
        <v>#DIV/0!</v>
      </c>
      <c r="AB274" s="296" t="e">
        <f>AB258/AB271</f>
        <v>#DIV/0!</v>
      </c>
      <c r="AC274" s="296" t="e">
        <f>AC258/AC271</f>
        <v>#DIV/0!</v>
      </c>
      <c r="AD274" s="296" t="e">
        <f>AD258/AD271</f>
        <v>#DIV/0!</v>
      </c>
      <c r="AE274" s="757"/>
      <c r="AF274" s="297"/>
      <c r="AG274" s="49"/>
      <c r="AH274" s="760"/>
    </row>
    <row r="275" spans="1:34" hidden="1" outlineLevel="1">
      <c r="A275" s="210" t="s">
        <v>77</v>
      </c>
      <c r="B275" s="12"/>
      <c r="C275" s="12"/>
      <c r="D275" s="129"/>
      <c r="E275" s="12"/>
      <c r="F275" s="12"/>
      <c r="G275" s="12"/>
      <c r="H275" s="128"/>
      <c r="I275" s="128"/>
      <c r="J275" s="12"/>
      <c r="K275" s="128"/>
      <c r="L275" s="128"/>
      <c r="M275" s="12"/>
      <c r="N275" s="12"/>
      <c r="O275" s="12"/>
      <c r="P275" s="12">
        <f t="shared" ref="P275:W275" si="237">P274/O274-1</f>
        <v>-1</v>
      </c>
      <c r="Q275" s="12" t="e">
        <f t="shared" si="237"/>
        <v>#DIV/0!</v>
      </c>
      <c r="R275" s="12" t="e">
        <f t="shared" si="237"/>
        <v>#DIV/0!</v>
      </c>
      <c r="S275" s="12" t="e">
        <f t="shared" si="237"/>
        <v>#DIV/0!</v>
      </c>
      <c r="T275" s="12" t="e">
        <f t="shared" si="237"/>
        <v>#DIV/0!</v>
      </c>
      <c r="U275" s="12" t="e">
        <f t="shared" si="237"/>
        <v>#DIV/0!</v>
      </c>
      <c r="V275" s="583" t="e">
        <f t="shared" si="237"/>
        <v>#DIV/0!</v>
      </c>
      <c r="W275" s="583" t="e">
        <f t="shared" si="237"/>
        <v>#DIV/0!</v>
      </c>
      <c r="X275" s="583" t="e">
        <f t="shared" ref="X275:AD275" si="238">X274/W274-1</f>
        <v>#DIV/0!</v>
      </c>
      <c r="Y275" s="583" t="e">
        <f t="shared" si="238"/>
        <v>#DIV/0!</v>
      </c>
      <c r="Z275" s="583" t="e">
        <f t="shared" si="238"/>
        <v>#DIV/0!</v>
      </c>
      <c r="AA275" s="583" t="e">
        <f t="shared" si="238"/>
        <v>#DIV/0!</v>
      </c>
      <c r="AB275" s="583" t="e">
        <f t="shared" si="238"/>
        <v>#DIV/0!</v>
      </c>
      <c r="AC275" s="583" t="e">
        <f t="shared" si="238"/>
        <v>#DIV/0!</v>
      </c>
      <c r="AD275" s="583" t="e">
        <f t="shared" si="238"/>
        <v>#DIV/0!</v>
      </c>
      <c r="AE275" s="757"/>
      <c r="AF275" s="297"/>
      <c r="AG275" s="49"/>
      <c r="AH275" s="760"/>
    </row>
    <row r="276" spans="1:34" hidden="1" outlineLevel="1">
      <c r="A276" s="1"/>
      <c r="B276" s="1"/>
      <c r="C276" s="1"/>
      <c r="D276" s="1"/>
      <c r="E276" s="1"/>
      <c r="F276" s="1"/>
      <c r="G276" s="1"/>
      <c r="H276" s="1"/>
      <c r="I276" s="1"/>
      <c r="J276" s="1"/>
      <c r="K276" s="1"/>
      <c r="L276" s="1"/>
      <c r="M276" s="1"/>
      <c r="N276" s="1"/>
      <c r="O276" s="1"/>
      <c r="P276" s="1"/>
      <c r="Q276" s="1"/>
      <c r="R276" s="1"/>
      <c r="S276" s="1"/>
      <c r="T276" s="1"/>
      <c r="U276" s="1"/>
      <c r="V276" s="50"/>
      <c r="W276" s="50"/>
      <c r="X276" s="50"/>
      <c r="Y276" s="50"/>
      <c r="Z276" s="50"/>
      <c r="AA276" s="50"/>
      <c r="AB276" s="50"/>
      <c r="AC276" s="50"/>
      <c r="AD276" s="50"/>
      <c r="AE276" s="757"/>
      <c r="AF276" s="297"/>
      <c r="AG276" s="49"/>
      <c r="AH276" s="760"/>
    </row>
    <row r="277" spans="1:34" hidden="1" outlineLevel="1">
      <c r="A277" s="210" t="s">
        <v>84</v>
      </c>
      <c r="B277" s="130"/>
      <c r="C277" s="130"/>
      <c r="D277" s="131"/>
      <c r="E277" s="131"/>
      <c r="F277" s="130"/>
      <c r="G277" s="44"/>
      <c r="H277" s="10"/>
      <c r="I277" s="10"/>
      <c r="J277" s="10"/>
      <c r="K277" s="10"/>
      <c r="L277" s="10"/>
      <c r="M277" s="10"/>
      <c r="N277" s="10"/>
      <c r="O277" s="10">
        <f t="shared" ref="O277:W277" si="239">AVERAGE(N280,O280)</f>
        <v>1.7000000000000001E-2</v>
      </c>
      <c r="P277" s="10">
        <f t="shared" si="239"/>
        <v>0.09</v>
      </c>
      <c r="Q277" s="10">
        <f t="shared" si="239"/>
        <v>0.1535</v>
      </c>
      <c r="R277" s="10">
        <f t="shared" si="239"/>
        <v>0.17199999999999999</v>
      </c>
      <c r="S277" s="10">
        <f t="shared" si="239"/>
        <v>0.183</v>
      </c>
      <c r="T277" s="10">
        <f t="shared" si="239"/>
        <v>0.193</v>
      </c>
      <c r="U277" s="10">
        <f t="shared" si="239"/>
        <v>0.20300000000000001</v>
      </c>
      <c r="V277" s="584">
        <f>AVERAGE(U280,V280)</f>
        <v>0.20300000000000001</v>
      </c>
      <c r="W277" s="584">
        <f t="shared" si="239"/>
        <v>0.20300000000000001</v>
      </c>
      <c r="X277" s="584">
        <f t="shared" ref="X277:AD277" si="240">AVERAGE(W280,X280)</f>
        <v>0.20300000000000001</v>
      </c>
      <c r="Y277" s="584">
        <f t="shared" si="240"/>
        <v>0.20300000000000001</v>
      </c>
      <c r="Z277" s="584">
        <f t="shared" si="240"/>
        <v>0.20300000000000001</v>
      </c>
      <c r="AA277" s="584">
        <f t="shared" si="240"/>
        <v>0.20300000000000001</v>
      </c>
      <c r="AB277" s="584">
        <f t="shared" si="240"/>
        <v>0.20300000000000001</v>
      </c>
      <c r="AC277" s="584">
        <f t="shared" si="240"/>
        <v>0.20300000000000001</v>
      </c>
      <c r="AD277" s="584">
        <f t="shared" si="240"/>
        <v>0.20300000000000001</v>
      </c>
      <c r="AE277" s="762"/>
      <c r="AF277" s="298"/>
      <c r="AG277" s="49">
        <f>((AC277/X277)^(1/5)-1)*100</f>
        <v>0</v>
      </c>
      <c r="AH277" s="761" t="s">
        <v>76</v>
      </c>
    </row>
    <row r="278" spans="1:34" hidden="1" outlineLevel="1">
      <c r="A278" s="210" t="s">
        <v>77</v>
      </c>
      <c r="B278" s="7"/>
      <c r="C278" s="7"/>
      <c r="D278" s="7"/>
      <c r="E278" s="7"/>
      <c r="F278" s="7"/>
      <c r="G278" s="7"/>
      <c r="H278" s="128"/>
      <c r="I278" s="7"/>
      <c r="J278" s="7"/>
      <c r="K278" s="128"/>
      <c r="L278" s="128"/>
      <c r="M278" s="7"/>
      <c r="N278" s="7"/>
      <c r="O278" s="7"/>
      <c r="P278" s="7">
        <f t="shared" ref="P278:W278" si="241">P277/O277-1</f>
        <v>4.2941176470588234</v>
      </c>
      <c r="Q278" s="7">
        <f t="shared" si="241"/>
        <v>0.70555555555555549</v>
      </c>
      <c r="R278" s="7">
        <f t="shared" si="241"/>
        <v>0.12052117263843631</v>
      </c>
      <c r="S278" s="7">
        <f t="shared" si="241"/>
        <v>6.3953488372093137E-2</v>
      </c>
      <c r="T278" s="7">
        <f t="shared" si="241"/>
        <v>5.464480874316946E-2</v>
      </c>
      <c r="U278" s="7">
        <f t="shared" si="241"/>
        <v>5.1813471502590636E-2</v>
      </c>
      <c r="V278" s="118">
        <f>V277/U277-1</f>
        <v>0</v>
      </c>
      <c r="W278" s="118">
        <f t="shared" si="241"/>
        <v>0</v>
      </c>
      <c r="X278" s="118">
        <f t="shared" ref="X278:AD278" si="242">X277/W277-1</f>
        <v>0</v>
      </c>
      <c r="Y278" s="118">
        <f t="shared" si="242"/>
        <v>0</v>
      </c>
      <c r="Z278" s="118">
        <f t="shared" si="242"/>
        <v>0</v>
      </c>
      <c r="AA278" s="118">
        <f t="shared" si="242"/>
        <v>0</v>
      </c>
      <c r="AB278" s="118">
        <f t="shared" si="242"/>
        <v>0</v>
      </c>
      <c r="AC278" s="118">
        <f t="shared" si="242"/>
        <v>0</v>
      </c>
      <c r="AD278" s="118">
        <f t="shared" si="242"/>
        <v>0</v>
      </c>
      <c r="AE278" s="757"/>
      <c r="AF278" s="297"/>
      <c r="AG278" s="49"/>
      <c r="AH278" s="760"/>
    </row>
    <row r="279" spans="1:34" hidden="1" outlineLevel="1">
      <c r="A279" s="1"/>
      <c r="B279" s="1"/>
      <c r="C279" s="1"/>
      <c r="D279" s="1"/>
      <c r="E279" s="1"/>
      <c r="F279" s="1"/>
      <c r="G279" s="1"/>
      <c r="H279" s="1"/>
      <c r="I279" s="1"/>
      <c r="J279" s="1"/>
      <c r="K279" s="1"/>
      <c r="L279" s="1"/>
      <c r="M279" s="1"/>
      <c r="N279" s="1"/>
      <c r="O279" s="1"/>
      <c r="P279" s="1"/>
      <c r="Q279" s="1"/>
      <c r="R279" s="1"/>
      <c r="S279" s="1"/>
      <c r="T279" s="1"/>
      <c r="U279" s="1"/>
      <c r="V279" s="50"/>
      <c r="W279" s="50"/>
      <c r="X279" s="50"/>
      <c r="Y279" s="50"/>
      <c r="Z279" s="50"/>
      <c r="AA279" s="50"/>
      <c r="AB279" s="50"/>
      <c r="AC279" s="50"/>
      <c r="AD279" s="50"/>
      <c r="AE279" s="757"/>
      <c r="AF279" s="297"/>
      <c r="AG279" s="49"/>
      <c r="AH279" s="760"/>
    </row>
    <row r="280" spans="1:34" hidden="1" outlineLevel="1">
      <c r="A280" s="210" t="s">
        <v>85</v>
      </c>
      <c r="B280" s="130"/>
      <c r="C280" s="130"/>
      <c r="D280" s="131"/>
      <c r="E280" s="131"/>
      <c r="F280" s="130"/>
      <c r="G280" s="90"/>
      <c r="H280" s="10"/>
      <c r="I280" s="10"/>
      <c r="J280" s="10"/>
      <c r="K280" s="10"/>
      <c r="L280" s="10"/>
      <c r="M280" s="10"/>
      <c r="N280" s="10">
        <v>0</v>
      </c>
      <c r="O280" s="10">
        <f>squft!BU50/1000</f>
        <v>3.4000000000000002E-2</v>
      </c>
      <c r="P280" s="10">
        <f>squft!BY50/1000</f>
        <v>0.14599999999999999</v>
      </c>
      <c r="Q280" s="10">
        <f>squft!CC50/1000</f>
        <v>0.161</v>
      </c>
      <c r="R280" s="10">
        <f>squft!CG50/1000</f>
        <v>0.183</v>
      </c>
      <c r="S280" s="10">
        <f>squft!CK50/1000</f>
        <v>0.183</v>
      </c>
      <c r="T280" s="10">
        <f>squft!CO50/1000</f>
        <v>0.20300000000000001</v>
      </c>
      <c r="U280" s="10">
        <f>squft!$CS$50/1000</f>
        <v>0.20300000000000001</v>
      </c>
      <c r="V280" s="584">
        <f>squft!$CW$50/1000</f>
        <v>0.20300000000000001</v>
      </c>
      <c r="W280" s="584">
        <f>squft!$DA$50/1000</f>
        <v>0.20300000000000001</v>
      </c>
      <c r="X280" s="584">
        <f>squft!$DE$50/1000</f>
        <v>0.20300000000000001</v>
      </c>
      <c r="Y280" s="584">
        <f>squft!$DI$50/1000</f>
        <v>0.20300000000000001</v>
      </c>
      <c r="Z280" s="584">
        <f>squft!$DM$50/1000</f>
        <v>0.20300000000000001</v>
      </c>
      <c r="AA280" s="584">
        <f>squft!$DM$50/1000</f>
        <v>0.20300000000000001</v>
      </c>
      <c r="AB280" s="584">
        <f>squft!$DM$50/1000</f>
        <v>0.20300000000000001</v>
      </c>
      <c r="AC280" s="584">
        <f>squft!$DM$50/1000</f>
        <v>0.20300000000000001</v>
      </c>
      <c r="AD280" s="584">
        <f>squft!$DM$50/1000</f>
        <v>0.20300000000000001</v>
      </c>
      <c r="AE280" s="762"/>
      <c r="AF280" s="298"/>
      <c r="AG280" s="49">
        <f>((AC280/X280)^(1/5)-1)*100</f>
        <v>0</v>
      </c>
      <c r="AH280" s="761" t="s">
        <v>76</v>
      </c>
    </row>
    <row r="281" spans="1:34" hidden="1" outlineLevel="1">
      <c r="A281" s="210" t="s">
        <v>77</v>
      </c>
      <c r="B281" s="7"/>
      <c r="C281" s="7"/>
      <c r="D281" s="7"/>
      <c r="E281" s="7"/>
      <c r="F281" s="130"/>
      <c r="G281" s="7"/>
      <c r="H281" s="128"/>
      <c r="I281" s="7"/>
      <c r="J281" s="7"/>
      <c r="K281" s="128"/>
      <c r="L281" s="128"/>
      <c r="M281" s="7"/>
      <c r="N281" s="7"/>
      <c r="O281" s="7"/>
      <c r="P281" s="348">
        <f t="shared" ref="P281:W281" si="243">P280/O280-1</f>
        <v>3.2941176470588234</v>
      </c>
      <c r="Q281" s="348">
        <f t="shared" si="243"/>
        <v>0.10273972602739745</v>
      </c>
      <c r="R281" s="348">
        <f t="shared" si="243"/>
        <v>0.13664596273291929</v>
      </c>
      <c r="S281" s="348">
        <f t="shared" si="243"/>
        <v>0</v>
      </c>
      <c r="T281" s="348">
        <f t="shared" si="243"/>
        <v>0.10928961748633892</v>
      </c>
      <c r="U281" s="348">
        <f t="shared" si="243"/>
        <v>0</v>
      </c>
      <c r="V281" s="593">
        <f t="shared" si="243"/>
        <v>0</v>
      </c>
      <c r="W281" s="593">
        <f t="shared" si="243"/>
        <v>0</v>
      </c>
      <c r="X281" s="593">
        <f t="shared" ref="X281:AD281" si="244">X280/W280-1</f>
        <v>0</v>
      </c>
      <c r="Y281" s="593">
        <f t="shared" si="244"/>
        <v>0</v>
      </c>
      <c r="Z281" s="593">
        <f t="shared" si="244"/>
        <v>0</v>
      </c>
      <c r="AA281" s="593">
        <f t="shared" si="244"/>
        <v>0</v>
      </c>
      <c r="AB281" s="593">
        <f t="shared" si="244"/>
        <v>0</v>
      </c>
      <c r="AC281" s="593">
        <f t="shared" si="244"/>
        <v>0</v>
      </c>
      <c r="AD281" s="593">
        <f t="shared" si="244"/>
        <v>0</v>
      </c>
      <c r="AE281" s="757"/>
      <c r="AF281" s="297"/>
      <c r="AG281" s="49"/>
      <c r="AH281" s="760"/>
    </row>
    <row r="282" spans="1:34" hidden="1" outlineLevel="1">
      <c r="A282" s="1"/>
      <c r="B282" s="1"/>
      <c r="C282" s="1"/>
      <c r="D282" s="1"/>
      <c r="E282" s="1"/>
      <c r="F282" s="1"/>
      <c r="G282" s="1"/>
      <c r="H282" s="1"/>
      <c r="I282" s="1"/>
      <c r="J282" s="1"/>
      <c r="K282" s="1"/>
      <c r="L282" s="1"/>
      <c r="M282" s="1"/>
      <c r="N282" s="1"/>
      <c r="O282" s="1"/>
      <c r="P282" s="1"/>
      <c r="Q282" s="1"/>
      <c r="R282" s="1"/>
      <c r="S282" s="1"/>
      <c r="T282" s="1"/>
      <c r="U282" s="1"/>
      <c r="V282" s="50"/>
      <c r="W282" s="50"/>
      <c r="X282" s="50"/>
      <c r="Y282" s="50"/>
      <c r="Z282" s="50"/>
      <c r="AA282" s="50"/>
      <c r="AB282" s="50"/>
      <c r="AC282" s="50"/>
      <c r="AD282" s="50"/>
      <c r="AE282" s="757"/>
      <c r="AF282" s="297"/>
      <c r="AG282" s="49"/>
      <c r="AH282" s="760"/>
    </row>
    <row r="283" spans="1:34" hidden="1" outlineLevel="1">
      <c r="A283" s="210" t="s">
        <v>86</v>
      </c>
      <c r="B283" s="8"/>
      <c r="C283" s="8"/>
      <c r="D283" s="8"/>
      <c r="E283" s="8"/>
      <c r="F283" s="8"/>
      <c r="G283" s="8"/>
      <c r="H283" s="8"/>
      <c r="I283" s="8"/>
      <c r="J283" s="8"/>
      <c r="K283" s="8"/>
      <c r="L283" s="8"/>
      <c r="M283" s="8"/>
      <c r="N283" s="8"/>
      <c r="O283" s="8">
        <f t="shared" ref="O283:T283" si="245">+O280*1000000/O270</f>
        <v>11333.333333333334</v>
      </c>
      <c r="P283" s="8">
        <f t="shared" si="245"/>
        <v>10428.571428571429</v>
      </c>
      <c r="Q283" s="8">
        <f t="shared" si="245"/>
        <v>10062.5</v>
      </c>
      <c r="R283" s="8">
        <f t="shared" si="245"/>
        <v>9631.5789473684217</v>
      </c>
      <c r="S283" s="8">
        <f t="shared" si="245"/>
        <v>8714.2857142857138</v>
      </c>
      <c r="T283" s="8">
        <f t="shared" si="245"/>
        <v>8458.3333333333339</v>
      </c>
      <c r="U283" s="8">
        <f t="shared" ref="U283:Z283" si="246">+U280*1000000/U270</f>
        <v>25375</v>
      </c>
      <c r="V283" s="80" t="e">
        <f t="shared" si="246"/>
        <v>#DIV/0!</v>
      </c>
      <c r="W283" s="80" t="e">
        <f t="shared" si="246"/>
        <v>#DIV/0!</v>
      </c>
      <c r="X283" s="80" t="e">
        <f t="shared" si="246"/>
        <v>#DIV/0!</v>
      </c>
      <c r="Y283" s="80" t="e">
        <f t="shared" si="246"/>
        <v>#DIV/0!</v>
      </c>
      <c r="Z283" s="80" t="e">
        <f t="shared" si="246"/>
        <v>#DIV/0!</v>
      </c>
      <c r="AA283" s="80" t="e">
        <f>+AA280*1000000/AA270</f>
        <v>#DIV/0!</v>
      </c>
      <c r="AB283" s="80" t="e">
        <f>+AB280*1000000/AB270</f>
        <v>#DIV/0!</v>
      </c>
      <c r="AC283" s="80" t="e">
        <f>+AC280*1000000/AC270</f>
        <v>#DIV/0!</v>
      </c>
      <c r="AD283" s="80" t="e">
        <f>+AD280*1000000/AD270</f>
        <v>#DIV/0!</v>
      </c>
      <c r="AE283" s="763"/>
      <c r="AF283" s="107"/>
      <c r="AG283" s="49"/>
      <c r="AH283" s="764"/>
    </row>
    <row r="284" spans="1:34" hidden="1" outlineLevel="1">
      <c r="A284" s="210" t="s">
        <v>77</v>
      </c>
      <c r="B284" s="12"/>
      <c r="C284" s="12"/>
      <c r="D284" s="12"/>
      <c r="E284" s="12"/>
      <c r="F284" s="12"/>
      <c r="G284" s="12"/>
      <c r="H284" s="128"/>
      <c r="I284" s="12"/>
      <c r="J284" s="12"/>
      <c r="K284" s="128"/>
      <c r="L284" s="128"/>
      <c r="M284" s="12"/>
      <c r="N284" s="12"/>
      <c r="O284" s="12"/>
      <c r="P284" s="12">
        <f t="shared" ref="P284:W284" si="247">P283/O283-1</f>
        <v>-7.9831932773109182E-2</v>
      </c>
      <c r="Q284" s="12">
        <f t="shared" si="247"/>
        <v>-3.510273972602751E-2</v>
      </c>
      <c r="R284" s="12">
        <f t="shared" si="247"/>
        <v>-4.2824452435436311E-2</v>
      </c>
      <c r="S284" s="12">
        <f t="shared" si="247"/>
        <v>-9.5238095238095344E-2</v>
      </c>
      <c r="T284" s="12">
        <f t="shared" si="247"/>
        <v>-2.9371584699453446E-2</v>
      </c>
      <c r="U284" s="12">
        <f t="shared" si="247"/>
        <v>2</v>
      </c>
      <c r="V284" s="583" t="e">
        <f t="shared" si="247"/>
        <v>#DIV/0!</v>
      </c>
      <c r="W284" s="583" t="e">
        <f t="shared" si="247"/>
        <v>#DIV/0!</v>
      </c>
      <c r="X284" s="583" t="e">
        <f t="shared" ref="X284:AD284" si="248">X283/W283-1</f>
        <v>#DIV/0!</v>
      </c>
      <c r="Y284" s="583" t="e">
        <f t="shared" si="248"/>
        <v>#DIV/0!</v>
      </c>
      <c r="Z284" s="583" t="e">
        <f t="shared" si="248"/>
        <v>#DIV/0!</v>
      </c>
      <c r="AA284" s="583" t="e">
        <f t="shared" si="248"/>
        <v>#DIV/0!</v>
      </c>
      <c r="AB284" s="583" t="e">
        <f t="shared" si="248"/>
        <v>#DIV/0!</v>
      </c>
      <c r="AC284" s="583" t="e">
        <f t="shared" si="248"/>
        <v>#DIV/0!</v>
      </c>
      <c r="AD284" s="583" t="e">
        <f t="shared" si="248"/>
        <v>#DIV/0!</v>
      </c>
      <c r="AE284" s="757"/>
      <c r="AF284" s="297"/>
      <c r="AG284" s="49"/>
      <c r="AH284" s="760"/>
    </row>
    <row r="285" spans="1:34" hidden="1" outlineLevel="1">
      <c r="A285" s="1"/>
      <c r="B285" s="1"/>
      <c r="C285" s="1"/>
      <c r="D285" s="1"/>
      <c r="E285" s="1"/>
      <c r="F285" s="1"/>
      <c r="G285" s="1"/>
      <c r="H285" s="1"/>
      <c r="I285" s="1"/>
      <c r="J285" s="1"/>
      <c r="K285" s="1"/>
      <c r="L285" s="1"/>
      <c r="M285" s="1"/>
      <c r="N285" s="1"/>
      <c r="O285" s="1"/>
      <c r="P285" s="1"/>
      <c r="Q285" s="1"/>
      <c r="R285" s="1"/>
      <c r="S285" s="1"/>
      <c r="T285" s="1"/>
      <c r="U285" s="1"/>
      <c r="V285" s="50"/>
      <c r="W285" s="50"/>
      <c r="X285" s="50"/>
      <c r="Y285" s="50"/>
      <c r="Z285" s="50"/>
      <c r="AA285" s="50"/>
      <c r="AB285" s="50"/>
      <c r="AC285" s="50"/>
      <c r="AD285" s="50"/>
      <c r="AE285" s="757"/>
      <c r="AF285" s="297"/>
      <c r="AG285" s="49"/>
      <c r="AH285" s="760"/>
    </row>
    <row r="286" spans="1:34" hidden="1" outlineLevel="1">
      <c r="A286" s="210" t="s">
        <v>447</v>
      </c>
      <c r="B286" s="5"/>
      <c r="C286" s="5"/>
      <c r="D286" s="5"/>
      <c r="E286" s="5"/>
      <c r="F286" s="240"/>
      <c r="G286" s="5"/>
      <c r="H286" s="5"/>
      <c r="I286" s="5"/>
      <c r="J286" s="5"/>
      <c r="K286" s="5"/>
      <c r="L286" s="5"/>
      <c r="M286" s="5"/>
      <c r="N286" s="5"/>
      <c r="O286" s="5">
        <f t="shared" ref="O286:T286" si="249">+O258/O277</f>
        <v>13.529411764705882</v>
      </c>
      <c r="P286" s="5">
        <f t="shared" si="249"/>
        <v>0</v>
      </c>
      <c r="Q286" s="5">
        <f t="shared" si="249"/>
        <v>0</v>
      </c>
      <c r="R286" s="5">
        <f t="shared" si="249"/>
        <v>0</v>
      </c>
      <c r="S286" s="5">
        <f t="shared" si="249"/>
        <v>0</v>
      </c>
      <c r="T286" s="5">
        <f t="shared" si="249"/>
        <v>0</v>
      </c>
      <c r="U286" s="5">
        <f t="shared" ref="U286:Z286" si="250">+U258/U277</f>
        <v>0</v>
      </c>
      <c r="V286" s="589">
        <f t="shared" si="250"/>
        <v>0</v>
      </c>
      <c r="W286" s="589">
        <f t="shared" si="250"/>
        <v>0</v>
      </c>
      <c r="X286" s="589">
        <f t="shared" si="250"/>
        <v>0</v>
      </c>
      <c r="Y286" s="589">
        <f t="shared" si="250"/>
        <v>0</v>
      </c>
      <c r="Z286" s="589">
        <f t="shared" si="250"/>
        <v>0</v>
      </c>
      <c r="AA286" s="589">
        <f>+AA258/AA277</f>
        <v>0</v>
      </c>
      <c r="AB286" s="589">
        <f>+AB258/AB277</f>
        <v>0</v>
      </c>
      <c r="AC286" s="589">
        <f>+AC258/AC277</f>
        <v>0</v>
      </c>
      <c r="AD286" s="589">
        <f>+AD258/AD277</f>
        <v>0</v>
      </c>
      <c r="AE286" s="762"/>
      <c r="AF286" s="298"/>
      <c r="AG286" s="49" t="e">
        <f>((AC286/X286)^(1/5)-1)*100</f>
        <v>#DIV/0!</v>
      </c>
      <c r="AH286" s="761" t="s">
        <v>76</v>
      </c>
    </row>
    <row r="287" spans="1:34" hidden="1" outlineLevel="1">
      <c r="A287" s="210" t="s">
        <v>77</v>
      </c>
      <c r="B287" s="12"/>
      <c r="C287" s="12"/>
      <c r="D287" s="12"/>
      <c r="E287" s="12"/>
      <c r="F287" s="12"/>
      <c r="G287" s="12"/>
      <c r="H287" s="128"/>
      <c r="I287" s="12"/>
      <c r="J287" s="12"/>
      <c r="K287" s="128"/>
      <c r="L287" s="128"/>
      <c r="M287" s="12"/>
      <c r="N287" s="12"/>
      <c r="O287" s="12"/>
      <c r="P287" s="12">
        <f t="shared" ref="P287:W287" si="251">P286/O286-1</f>
        <v>-1</v>
      </c>
      <c r="Q287" s="12" t="e">
        <f t="shared" si="251"/>
        <v>#DIV/0!</v>
      </c>
      <c r="R287" s="12" t="e">
        <f t="shared" si="251"/>
        <v>#DIV/0!</v>
      </c>
      <c r="S287" s="12" t="e">
        <f t="shared" si="251"/>
        <v>#DIV/0!</v>
      </c>
      <c r="T287" s="12" t="e">
        <f t="shared" si="251"/>
        <v>#DIV/0!</v>
      </c>
      <c r="U287" s="12" t="e">
        <f t="shared" si="251"/>
        <v>#DIV/0!</v>
      </c>
      <c r="V287" s="583" t="e">
        <f t="shared" si="251"/>
        <v>#DIV/0!</v>
      </c>
      <c r="W287" s="583" t="e">
        <f t="shared" si="251"/>
        <v>#DIV/0!</v>
      </c>
      <c r="X287" s="583" t="e">
        <f t="shared" ref="X287:AD287" si="252">X286/W286-1</f>
        <v>#DIV/0!</v>
      </c>
      <c r="Y287" s="583" t="e">
        <f t="shared" si="252"/>
        <v>#DIV/0!</v>
      </c>
      <c r="Z287" s="583" t="e">
        <f t="shared" si="252"/>
        <v>#DIV/0!</v>
      </c>
      <c r="AA287" s="583" t="e">
        <f t="shared" si="252"/>
        <v>#DIV/0!</v>
      </c>
      <c r="AB287" s="583" t="e">
        <f t="shared" si="252"/>
        <v>#DIV/0!</v>
      </c>
      <c r="AC287" s="583" t="e">
        <f t="shared" si="252"/>
        <v>#DIV/0!</v>
      </c>
      <c r="AD287" s="583" t="e">
        <f t="shared" si="252"/>
        <v>#DIV/0!</v>
      </c>
      <c r="AE287" s="757"/>
      <c r="AF287" s="297"/>
      <c r="AG287" s="106"/>
      <c r="AH287" s="760"/>
    </row>
    <row r="288" spans="1:34" hidden="1" outlineLevel="1">
      <c r="A288" s="1"/>
      <c r="B288" s="1"/>
      <c r="C288" s="1"/>
      <c r="D288" s="1"/>
      <c r="E288" s="1"/>
      <c r="F288" s="1"/>
      <c r="G288" s="1"/>
      <c r="H288" s="1"/>
      <c r="I288" s="1"/>
      <c r="J288" s="1"/>
      <c r="K288" s="1"/>
      <c r="L288" s="1"/>
      <c r="M288" s="1"/>
      <c r="N288" s="1"/>
      <c r="O288" s="1"/>
      <c r="P288" s="1"/>
      <c r="Q288" s="1"/>
      <c r="R288" s="1"/>
      <c r="S288" s="1"/>
      <c r="T288" s="1"/>
      <c r="U288" s="1"/>
      <c r="V288" s="50"/>
      <c r="W288" s="50"/>
      <c r="X288" s="50"/>
      <c r="Y288" s="50"/>
      <c r="Z288" s="50"/>
      <c r="AA288" s="50"/>
      <c r="AB288" s="50"/>
      <c r="AC288" s="50"/>
      <c r="AD288" s="50"/>
      <c r="AE288" s="81"/>
      <c r="AF288" s="50"/>
      <c r="AG288" s="49"/>
      <c r="AH288" s="647"/>
    </row>
    <row r="289" spans="1:34" hidden="1" outlineLevel="1">
      <c r="A289" s="210" t="s">
        <v>87</v>
      </c>
      <c r="B289" s="12"/>
      <c r="C289" s="12"/>
      <c r="D289" s="12"/>
      <c r="E289" s="12"/>
      <c r="F289" s="12"/>
      <c r="G289" s="12"/>
      <c r="H289" s="128"/>
      <c r="I289" s="238"/>
      <c r="J289" s="239"/>
      <c r="K289" s="128"/>
      <c r="L289" s="128"/>
      <c r="M289" s="128"/>
      <c r="N289" s="12"/>
      <c r="O289" s="46"/>
      <c r="P289" s="46"/>
      <c r="Q289" s="12" t="e">
        <f>SegqtrSales!F421/100</f>
        <v>#DIV/0!</v>
      </c>
      <c r="R289" s="12" t="e">
        <f>SegqtrSales!F428/100</f>
        <v>#DIV/0!</v>
      </c>
      <c r="S289" s="12" t="e">
        <f>SegqtrSales!F435/100</f>
        <v>#DIV/0!</v>
      </c>
      <c r="T289" s="12" t="e">
        <f>SegqtrSales!F442/100</f>
        <v>#DIV/0!</v>
      </c>
      <c r="U289" s="12" t="e">
        <f>SegqtrSales!F449/100</f>
        <v>#DIV/0!</v>
      </c>
      <c r="V289" s="587">
        <v>0</v>
      </c>
      <c r="W289" s="587">
        <v>0</v>
      </c>
      <c r="X289" s="587">
        <v>0</v>
      </c>
      <c r="Y289" s="587">
        <v>0</v>
      </c>
      <c r="Z289" s="587">
        <v>0</v>
      </c>
      <c r="AA289" s="587">
        <v>0</v>
      </c>
      <c r="AB289" s="587">
        <v>0</v>
      </c>
      <c r="AC289" s="587">
        <v>0</v>
      </c>
      <c r="AD289" s="587">
        <v>0</v>
      </c>
      <c r="AE289" s="81"/>
      <c r="AF289" s="50"/>
      <c r="AG289" s="49"/>
      <c r="AH289" s="647"/>
    </row>
    <row r="290" spans="1:34" hidden="1" outlineLevel="1">
      <c r="A290" s="1"/>
      <c r="B290" s="1"/>
      <c r="C290" s="1"/>
      <c r="D290" s="1"/>
      <c r="E290" s="1"/>
      <c r="F290" s="1"/>
      <c r="G290" s="1"/>
      <c r="H290" s="1"/>
      <c r="I290" s="1"/>
      <c r="J290" s="1"/>
      <c r="K290" s="1"/>
      <c r="L290" s="1"/>
      <c r="M290" s="1"/>
      <c r="N290" s="1"/>
      <c r="O290" s="1"/>
      <c r="P290" s="1"/>
      <c r="Q290" s="1"/>
      <c r="R290" s="1"/>
      <c r="S290" s="1"/>
      <c r="T290" s="1"/>
      <c r="U290" s="1"/>
      <c r="V290" s="50"/>
      <c r="W290" s="50"/>
      <c r="X290" s="50"/>
      <c r="Y290" s="50"/>
      <c r="Z290" s="50"/>
      <c r="AA290" s="50"/>
      <c r="AB290" s="50"/>
      <c r="AC290" s="50"/>
      <c r="AD290" s="50"/>
      <c r="AE290" s="81"/>
      <c r="AF290" s="50"/>
      <c r="AG290" s="49"/>
      <c r="AH290" s="647"/>
    </row>
    <row r="291" spans="1:34" hidden="1" outlineLevel="1">
      <c r="A291" s="210" t="s">
        <v>269</v>
      </c>
      <c r="B291" s="8"/>
      <c r="C291" s="8"/>
      <c r="D291" s="43"/>
      <c r="E291" s="43"/>
      <c r="F291" s="43"/>
      <c r="G291" s="43"/>
      <c r="H291" s="8"/>
      <c r="I291" s="8"/>
      <c r="J291" s="8"/>
      <c r="K291" s="8"/>
      <c r="L291" s="8"/>
      <c r="M291" s="8"/>
      <c r="N291" s="8"/>
      <c r="O291" s="8">
        <f>squft!BT47</f>
        <v>11000</v>
      </c>
      <c r="P291" s="8">
        <f>squft!BX47</f>
        <v>10181.818181818182</v>
      </c>
      <c r="Q291" s="8">
        <f>squft!CB47</f>
        <v>7500</v>
      </c>
      <c r="R291" s="8">
        <f>squft!CF47</f>
        <v>4000</v>
      </c>
      <c r="S291" s="8">
        <f>squft!CJ47</f>
        <v>8000</v>
      </c>
      <c r="T291" s="8">
        <f>squft!CN47</f>
        <v>5000</v>
      </c>
      <c r="U291" s="8">
        <f>squft!$CR$47</f>
        <v>5000</v>
      </c>
      <c r="V291" s="80">
        <f>squft!$CV$47</f>
        <v>5000</v>
      </c>
      <c r="W291" s="80">
        <f>squft!$CZ$47</f>
        <v>5000</v>
      </c>
      <c r="X291" s="80">
        <f>squft!$DD$47</f>
        <v>5000</v>
      </c>
      <c r="Y291" s="80">
        <f>squft!$DH$47</f>
        <v>5000</v>
      </c>
      <c r="Z291" s="80">
        <f>squft!$DL$47</f>
        <v>5000</v>
      </c>
      <c r="AA291" s="80">
        <f>squft!$DL$47</f>
        <v>5000</v>
      </c>
      <c r="AB291" s="80">
        <f>squft!$DL$47</f>
        <v>5000</v>
      </c>
      <c r="AC291" s="80">
        <f>squft!$DL$47</f>
        <v>5000</v>
      </c>
      <c r="AD291" s="80">
        <f>squft!$DL$47</f>
        <v>5000</v>
      </c>
      <c r="AE291" s="82"/>
      <c r="AF291" s="80"/>
      <c r="AG291" s="49"/>
      <c r="AH291" s="647"/>
    </row>
    <row r="292" spans="1:34" hidden="1" outlineLevel="1">
      <c r="A292" s="1"/>
      <c r="B292" s="1"/>
      <c r="C292" s="1"/>
      <c r="D292" s="1"/>
      <c r="E292" s="1"/>
      <c r="F292" s="1"/>
      <c r="G292" s="1"/>
      <c r="H292" s="132"/>
      <c r="I292" s="1"/>
      <c r="J292" s="1"/>
      <c r="K292" s="1"/>
      <c r="L292" s="1"/>
      <c r="M292" s="1"/>
      <c r="N292" s="1"/>
      <c r="O292" s="1"/>
      <c r="P292" s="1"/>
      <c r="Q292" s="1"/>
      <c r="R292" s="1"/>
      <c r="S292" s="1"/>
      <c r="T292" s="1"/>
      <c r="U292" s="1"/>
      <c r="V292" s="50"/>
      <c r="W292" s="50"/>
      <c r="X292" s="50"/>
      <c r="Y292" s="50"/>
      <c r="Z292" s="50"/>
      <c r="AA292" s="50"/>
      <c r="AB292" s="50"/>
      <c r="AC292" s="50"/>
      <c r="AD292" s="50"/>
      <c r="AE292" s="81"/>
      <c r="AF292" s="50"/>
      <c r="AG292" s="49"/>
      <c r="AH292" s="647"/>
    </row>
    <row r="293" spans="1:34" hidden="1" outlineLevel="1">
      <c r="A293" s="210" t="s">
        <v>12</v>
      </c>
      <c r="B293" s="7"/>
      <c r="C293" s="7"/>
      <c r="D293" s="7"/>
      <c r="E293" s="7"/>
      <c r="F293" s="7"/>
      <c r="G293" s="7"/>
      <c r="H293" s="118"/>
      <c r="I293" s="118"/>
      <c r="J293" s="118"/>
      <c r="K293" s="118"/>
      <c r="L293" s="128"/>
      <c r="M293" s="282"/>
      <c r="N293" s="118"/>
      <c r="O293" s="118"/>
      <c r="P293" s="118"/>
      <c r="Q293" s="118" t="e">
        <f>(Q259-Q289)/Q278</f>
        <v>#DIV/0!</v>
      </c>
      <c r="R293" s="118" t="e">
        <f>(R259-R289)/R278</f>
        <v>#DIV/0!</v>
      </c>
      <c r="S293" s="118" t="e">
        <f>(S259-S289)/S278</f>
        <v>#DIV/0!</v>
      </c>
      <c r="T293" s="118" t="e">
        <f>(T259-T289)/T278</f>
        <v>#DIV/0!</v>
      </c>
      <c r="U293" s="118" t="e">
        <f>(U259-U289)/U278</f>
        <v>#DIV/0!</v>
      </c>
      <c r="V293" s="118"/>
      <c r="W293" s="118"/>
      <c r="X293" s="118"/>
      <c r="Y293" s="118"/>
      <c r="Z293" s="118"/>
      <c r="AA293" s="118"/>
      <c r="AB293" s="118"/>
      <c r="AC293" s="118"/>
      <c r="AD293" s="118"/>
      <c r="AE293" s="83"/>
      <c r="AF293" s="2"/>
      <c r="AG293" s="84"/>
      <c r="AH293" s="752"/>
    </row>
    <row r="294" spans="1:34" hidden="1" outlineLevel="1">
      <c r="A294" s="1"/>
      <c r="B294" s="1"/>
      <c r="C294" s="1"/>
      <c r="D294" s="1"/>
      <c r="E294" s="1"/>
      <c r="F294" s="1"/>
      <c r="G294" s="1"/>
      <c r="H294" s="18"/>
      <c r="I294" s="1"/>
      <c r="J294" s="1"/>
      <c r="K294" s="1"/>
      <c r="L294" s="1"/>
      <c r="M294" s="1"/>
      <c r="N294" s="1"/>
      <c r="O294" s="1"/>
      <c r="P294" s="1"/>
      <c r="Q294" s="1"/>
      <c r="R294" s="1"/>
      <c r="S294" s="1"/>
      <c r="T294" s="1"/>
      <c r="U294" s="1"/>
      <c r="V294" s="1"/>
      <c r="W294" s="50"/>
      <c r="X294" s="50"/>
      <c r="Y294" s="50"/>
      <c r="Z294" s="50"/>
      <c r="AA294" s="50"/>
      <c r="AB294" s="50"/>
      <c r="AC294" s="50"/>
      <c r="AD294" s="50"/>
      <c r="AE294" s="50"/>
      <c r="AF294" s="50"/>
      <c r="AG294" s="49"/>
      <c r="AH294" s="358"/>
    </row>
    <row r="295" spans="1:34" hidden="1" outlineLevel="1">
      <c r="A295" s="47" t="s">
        <v>13</v>
      </c>
      <c r="B295" s="1"/>
      <c r="C295" s="1"/>
      <c r="D295" s="1"/>
      <c r="E295" s="1"/>
      <c r="F295" s="1"/>
      <c r="G295" s="1"/>
      <c r="H295" s="1"/>
      <c r="I295" s="18"/>
      <c r="J295" s="18"/>
      <c r="K295" s="18"/>
      <c r="L295" s="128"/>
      <c r="M295" s="128"/>
      <c r="N295" s="18"/>
      <c r="O295" s="18"/>
      <c r="P295" s="18"/>
      <c r="Q295" s="18" t="e">
        <f>(Q259-Q289)/Q272</f>
        <v>#DIV/0!</v>
      </c>
      <c r="R295" s="18" t="e">
        <f>(R259-R289)/R272</f>
        <v>#DIV/0!</v>
      </c>
      <c r="S295" s="18" t="e">
        <f>(S259-S289)/S272</f>
        <v>#DIV/0!</v>
      </c>
      <c r="T295" s="18" t="e">
        <f>(T259-T289)/T272</f>
        <v>#DIV/0!</v>
      </c>
      <c r="U295" s="18" t="e">
        <f>(U259-U289)/U272</f>
        <v>#DIV/0!</v>
      </c>
      <c r="V295" s="18"/>
      <c r="W295" s="576"/>
      <c r="X295" s="576"/>
      <c r="Y295" s="576"/>
      <c r="Z295" s="576"/>
      <c r="AA295" s="576"/>
      <c r="AB295" s="576"/>
      <c r="AC295" s="576"/>
      <c r="AD295" s="576"/>
      <c r="AE295" s="1"/>
      <c r="AF295" s="1"/>
      <c r="AG295" s="1"/>
      <c r="AH295" s="50"/>
    </row>
    <row r="296" spans="1:34" hidden="1" outlineLevel="1"/>
    <row r="297" spans="1:34" hidden="1" outlineLevel="1"/>
    <row r="298" spans="1:34" collapsed="1">
      <c r="A298" s="97"/>
      <c r="B298" s="97"/>
      <c r="C298" s="97"/>
      <c r="D298" s="97"/>
      <c r="E298" s="97"/>
      <c r="F298" s="97"/>
      <c r="G298" s="97"/>
      <c r="H298" s="97"/>
      <c r="I298" s="97"/>
      <c r="J298" s="97"/>
      <c r="K298" s="97"/>
      <c r="L298" s="97"/>
      <c r="M298" s="97"/>
      <c r="N298" s="97"/>
      <c r="O298" s="97"/>
      <c r="P298" s="97"/>
      <c r="Q298" s="97"/>
      <c r="R298" s="97"/>
      <c r="S298" s="97"/>
      <c r="T298" s="97"/>
      <c r="U298" s="97"/>
      <c r="V298" s="97"/>
      <c r="W298" s="97"/>
      <c r="X298" s="97"/>
      <c r="Y298" s="97"/>
      <c r="Z298" s="97"/>
      <c r="AA298" s="97"/>
      <c r="AB298" s="97"/>
      <c r="AC298" s="97"/>
      <c r="AD298" s="97"/>
      <c r="AE298" s="97"/>
      <c r="AF298" s="97"/>
      <c r="AG298" s="97"/>
      <c r="AH298" s="97"/>
    </row>
  </sheetData>
  <phoneticPr fontId="0" type="noConversion"/>
  <dataValidations count="1">
    <dataValidation type="custom" allowBlank="1" showInputMessage="1" showErrorMessage="1" sqref="AI252:AJ261 AK252:IW295 AJ120:AJ125 AK196:IW250 AJ130:AJ134 AJ127:AJ128 AI4:AI5 AJ63:AJ69 AK100:IW194 AJ81:AJ85 AJ78:AJ79 AJ71:AJ76 AK52:IW97 AJ111:AJ118 Q100:AD103 AH278:AJ279 AH271:AJ276 AH263:AJ269 AH259:AH261 AE287:AJ295 AH219:AJ224 AH238:AJ244 AH207:AJ217 AH229:AJ236 AE196:AJ205 AH226:AJ227 AE178:AJ182 AE175:AJ176 AE168:AJ173 AE160:AJ166 AE136:AJ158 AE184:AJ194 AE4:AG5 AE100:AJ109 AE52:AJ61 AE87:AJ97 Q52:AD55 H100:H139 T65:AD66 K62:O63 P7:P10 P103 F92:AD92 L100:O103 P55 B95:AD97 L52:O55 P58:P63 K100 J100:J111 K52 J114:N119 I104:I119 Q61:Q63 A95:A96 T114:AD115 O57:AD57 A62:A93 A105 S66 P52:P53 AH281:AJ285 B100:G194 R62:AD63 K60:O60 AE271:AF276 AE278:AF279 B52:E93 A52:A57 I54:I90 J52:J63 P100:P101 O70:AD90 K54:K58 L57:N58 O58 P11:AD11 F52:H90 A100:A103 I100:I102 J65:N90 A110:A113 A115:A145 K102:K111 C210:AD210 O65:R66 H141:AD141 O114:R115 S115 Q8:R8 L196:AD199 A13:A14 A19 H189:AD189 R61:U61 O162:AD163 A159:A193 L149:AD152 O119:AD119 AE259:AE261 M256:AD263 K196:K203 O167:AD187 L162:N187 L154:L159 L190 J160:L160 H160:I163 H164:K187 J162:K163 A149:A154 AE281:AF285 H196:J205 A196:A248 B212:AD212 H191:AD194 M154:AD160 C196:G209 B196:B210 B242:AD244 K151:K159 H149:J159 K149 B223:AD224 X203:AD205 O265:AD266 Q59:AD59 H292:AD292 A250 O270:AD290 AE263:AF269 H294:AD295 L252:AD255 A262:A295 H207:AD209 X201:AD201 L265:N290 L256:L262 L293 C257:G295 J263:L263 H263:I266 H267:K290 J265:K266 A252:A257 I120:AD139 B252:B295 C252:K256 H257:K262 AG252:AH257 AF252:AF261 AE252:AE257 AF229:AF236 AF207:AF217 AF238:AF244 AF219:AF224 AF226:AF227 L201:W205 X202:Y202 H143:AD148 Y105:AD105 Y107:AD111 L105:X111 B226:AD239 B246:AJ250 B214:AD221">
      <formula1>-1</formula1>
    </dataValidation>
  </dataValidations>
  <printOptions horizontalCentered="1"/>
  <pageMargins left="0.5" right="0.5" top="0.5" bottom="0.5" header="0.5" footer="0.5"/>
  <pageSetup scale="72" orientation="landscape" verticalDpi="300" r:id="rId1"/>
  <headerFooter alignWithMargins="0">
    <oddFooter>&amp;R&amp;8&amp;D/&amp;T
&amp;F/&amp;A</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AO51"/>
  <sheetViews>
    <sheetView zoomScaleNormal="100" workbookViewId="0">
      <selection activeCell="S20" sqref="S20"/>
    </sheetView>
  </sheetViews>
  <sheetFormatPr defaultRowHeight="12.75" outlineLevelRow="1" outlineLevelCol="1"/>
  <cols>
    <col min="1" max="1" width="1.140625" customWidth="1"/>
    <col min="2" max="2" width="3" bestFit="1" customWidth="1"/>
    <col min="3" max="3" width="10.28515625" customWidth="1"/>
    <col min="4" max="4" width="9.28515625" bestFit="1" customWidth="1"/>
    <col min="5" max="5" width="2" customWidth="1"/>
    <col min="6" max="6" width="11.42578125" hidden="1" customWidth="1" outlineLevel="1"/>
    <col min="7" max="7" width="9.140625" hidden="1" customWidth="1" outlineLevel="1"/>
    <col min="8" max="8" width="5.7109375" hidden="1" customWidth="1" outlineLevel="1"/>
    <col min="9" max="9" width="9.140625" hidden="1" customWidth="1" outlineLevel="1"/>
    <col min="10" max="10" width="6" hidden="1" customWidth="1" outlineLevel="1"/>
    <col min="11" max="11" width="5.140625" hidden="1" customWidth="1" outlineLevel="1"/>
    <col min="12" max="12" width="9.140625" hidden="1" customWidth="1" outlineLevel="1"/>
    <col min="13" max="13" width="7.85546875" hidden="1" customWidth="1" outlineLevel="1"/>
    <col min="14" max="14" width="6.7109375" hidden="1" customWidth="1" outlineLevel="1"/>
    <col min="15" max="15" width="9.140625" collapsed="1"/>
    <col min="16" max="16" width="9.7109375" bestFit="1" customWidth="1"/>
    <col min="33" max="35" width="9.140625" style="2197"/>
  </cols>
  <sheetData>
    <row r="1" spans="1:41">
      <c r="A1" s="23"/>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row>
    <row r="2" spans="1:41">
      <c r="A2" s="23"/>
      <c r="B2" s="23"/>
      <c r="C2" s="26" t="s">
        <v>672</v>
      </c>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row>
    <row r="3" spans="1:41">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row>
    <row r="4" spans="1:41">
      <c r="A4" s="23"/>
      <c r="B4" s="23"/>
      <c r="C4" s="98" t="s">
        <v>653</v>
      </c>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row>
    <row r="5" spans="1:41">
      <c r="A5" s="23"/>
      <c r="B5" s="23"/>
      <c r="C5" s="98">
        <v>2008</v>
      </c>
      <c r="D5" s="98"/>
      <c r="E5" s="23"/>
      <c r="F5" s="2305">
        <v>2009</v>
      </c>
      <c r="G5" s="2306"/>
      <c r="H5" s="2307"/>
      <c r="I5" s="2305">
        <v>2010</v>
      </c>
      <c r="J5" s="2306"/>
      <c r="K5" s="2307"/>
      <c r="L5" s="2305">
        <v>2011</v>
      </c>
      <c r="M5" s="2306"/>
      <c r="N5" s="2307"/>
      <c r="O5" s="2305">
        <v>2012</v>
      </c>
      <c r="P5" s="2306"/>
      <c r="Q5" s="2307"/>
      <c r="R5" s="2305">
        <v>2013</v>
      </c>
      <c r="S5" s="2306"/>
      <c r="T5" s="2307"/>
      <c r="U5" s="2305">
        <v>2014</v>
      </c>
      <c r="V5" s="2306"/>
      <c r="W5" s="2307"/>
      <c r="X5" s="2305">
        <v>2015</v>
      </c>
      <c r="Y5" s="2306"/>
      <c r="Z5" s="2307"/>
      <c r="AA5" s="2305">
        <v>2016</v>
      </c>
      <c r="AB5" s="2306"/>
      <c r="AC5" s="2307"/>
      <c r="AD5" s="2305">
        <v>2017</v>
      </c>
      <c r="AE5" s="2306"/>
      <c r="AF5" s="2307"/>
      <c r="AG5" s="2305">
        <v>2018</v>
      </c>
      <c r="AH5" s="2306"/>
      <c r="AI5" s="2307"/>
      <c r="AJ5" s="23"/>
      <c r="AK5" s="23"/>
      <c r="AL5" s="23"/>
      <c r="AM5" s="23"/>
      <c r="AN5" s="23"/>
      <c r="AO5" s="23"/>
    </row>
    <row r="6" spans="1:41">
      <c r="A6" s="23"/>
      <c r="B6" s="23" t="s">
        <v>115</v>
      </c>
      <c r="C6" s="34">
        <f>'qtrP&amp;L'!BH10</f>
        <v>787.13900000000001</v>
      </c>
      <c r="D6" s="23"/>
      <c r="E6" s="23"/>
      <c r="F6" s="566">
        <f>'qtrP&amp;L'!BL10</f>
        <v>601.72900000000004</v>
      </c>
      <c r="G6" s="27"/>
      <c r="H6" s="101"/>
      <c r="I6" s="566">
        <f>'qtrP&amp;L'!BP10</f>
        <v>687.80399999999997</v>
      </c>
      <c r="J6" s="27"/>
      <c r="K6" s="101"/>
      <c r="L6" s="566">
        <f>'qtrP&amp;L'!BT10</f>
        <v>836.67399999999998</v>
      </c>
      <c r="M6" s="27"/>
      <c r="N6" s="101"/>
      <c r="O6" s="566">
        <f>'qtrP&amp;L'!BX10</f>
        <v>921.21799999999996</v>
      </c>
      <c r="P6" s="27"/>
      <c r="Q6" s="101"/>
      <c r="R6" s="566">
        <f>'qtrP&amp;L'!CB10</f>
        <v>838.76900000000001</v>
      </c>
      <c r="S6" s="27"/>
      <c r="T6" s="699">
        <f>R6/O6-1</f>
        <v>-8.9499988059286717E-2</v>
      </c>
      <c r="U6" s="566">
        <f>'qtrP&amp;L'!CF10</f>
        <v>822.428</v>
      </c>
      <c r="V6" s="27"/>
      <c r="W6" s="699">
        <f>U6/R6-1</f>
        <v>-1.9482122014523706E-2</v>
      </c>
      <c r="X6" s="566">
        <f>'qtrP&amp;L'!CJ10</f>
        <v>709.42200000000003</v>
      </c>
      <c r="Y6" s="27"/>
      <c r="Z6" s="699">
        <f>X6/U6-1</f>
        <v>-0.13740534125783654</v>
      </c>
      <c r="AA6" s="566">
        <f>'qtrP&amp;L'!CN10</f>
        <v>685.48299999999995</v>
      </c>
      <c r="AB6" s="27"/>
      <c r="AC6" s="699">
        <f>AA6/X6-1</f>
        <v>-3.3744372179041693E-2</v>
      </c>
      <c r="AD6" s="566">
        <f>'qtrP&amp;L'!CR10</f>
        <v>661.09900000000005</v>
      </c>
      <c r="AE6" s="27"/>
      <c r="AF6" s="699">
        <f>AD6/AA6-1</f>
        <v>-3.5571998138538619E-2</v>
      </c>
      <c r="AG6" s="566">
        <f>'qtrP&amp;L'!CV10</f>
        <v>699.03953011499993</v>
      </c>
      <c r="AH6" s="27"/>
      <c r="AI6" s="699">
        <f>AG6/AD6-1</f>
        <v>5.7390088496579006E-2</v>
      </c>
      <c r="AJ6" s="23"/>
      <c r="AK6" s="23"/>
      <c r="AL6" s="23"/>
      <c r="AM6" s="23"/>
      <c r="AN6" s="23"/>
      <c r="AO6" s="23"/>
    </row>
    <row r="7" spans="1:41">
      <c r="A7" s="23"/>
      <c r="B7" s="23" t="s">
        <v>116</v>
      </c>
      <c r="C7" s="34">
        <f>'qtrP&amp;L'!BH11</f>
        <v>833.298</v>
      </c>
      <c r="D7" s="23"/>
      <c r="E7" s="23"/>
      <c r="F7" s="566">
        <f>'qtrP&amp;L'!BL11</f>
        <v>637.221</v>
      </c>
      <c r="G7" s="27"/>
      <c r="H7" s="101"/>
      <c r="I7" s="566">
        <f>'qtrP&amp;L'!BP11</f>
        <v>745.798</v>
      </c>
      <c r="J7" s="27"/>
      <c r="K7" s="101"/>
      <c r="L7" s="566">
        <f>'qtrP&amp;L'!BT11</f>
        <v>916.76300000000003</v>
      </c>
      <c r="M7" s="27"/>
      <c r="N7" s="101"/>
      <c r="O7" s="566">
        <f>'qtrP&amp;L'!BX11</f>
        <v>951.40700000000004</v>
      </c>
      <c r="P7" s="27"/>
      <c r="Q7" s="101"/>
      <c r="R7" s="566">
        <f>'qtrP&amp;L'!CB11</f>
        <v>945.69799999999998</v>
      </c>
      <c r="S7" s="27"/>
      <c r="T7" s="102">
        <f>R7/O7-1</f>
        <v>-6.0005864997840774E-3</v>
      </c>
      <c r="U7" s="566">
        <f>'qtrP&amp;L'!CF11</f>
        <v>890.60500000000002</v>
      </c>
      <c r="V7" s="27"/>
      <c r="W7" s="102">
        <f>U7/R7-1</f>
        <v>-5.8256441274064152E-2</v>
      </c>
      <c r="X7" s="566">
        <f>'qtrP&amp;L'!CJ11</f>
        <v>817.75599999999997</v>
      </c>
      <c r="Y7" s="27"/>
      <c r="Z7" s="102">
        <f>X7/U7-1</f>
        <v>-8.1797205270574547E-2</v>
      </c>
      <c r="AA7" s="566">
        <f>'qtrP&amp;L'!CN11</f>
        <v>783.16</v>
      </c>
      <c r="AB7" s="27"/>
      <c r="AC7" s="102">
        <f>AA7/X7-1</f>
        <v>-4.2306017931999285E-2</v>
      </c>
      <c r="AD7" s="566">
        <f>'qtrP&amp;L'!CR11</f>
        <v>779.32100000000003</v>
      </c>
      <c r="AE7" s="27"/>
      <c r="AF7" s="102">
        <f>AD7/AA7-1</f>
        <v>-4.9019357474844316E-3</v>
      </c>
      <c r="AG7" s="566">
        <f>'qtrP&amp;L'!CV11</f>
        <v>832.10776663999991</v>
      </c>
      <c r="AH7" s="27"/>
      <c r="AI7" s="102">
        <f>AG7/AD7-1</f>
        <v>6.7734305427416874E-2</v>
      </c>
      <c r="AJ7" s="23"/>
      <c r="AK7" s="23"/>
      <c r="AL7" s="23"/>
      <c r="AM7" s="23"/>
      <c r="AN7" s="23"/>
      <c r="AO7" s="23"/>
    </row>
    <row r="8" spans="1:41">
      <c r="A8" s="23"/>
      <c r="B8" s="23" t="s">
        <v>117</v>
      </c>
      <c r="C8" s="34">
        <f>'qtrP&amp;L'!BH12</f>
        <v>882.81100000000004</v>
      </c>
      <c r="D8" s="23"/>
      <c r="E8" s="23"/>
      <c r="F8" s="566">
        <f>'qtrP&amp;L'!BL12</f>
        <v>753.68399999999997</v>
      </c>
      <c r="G8" s="27"/>
      <c r="H8" s="101"/>
      <c r="I8" s="566">
        <f>'qtrP&amp;L'!BP12</f>
        <v>885.77800000000002</v>
      </c>
      <c r="J8" s="27"/>
      <c r="K8" s="101"/>
      <c r="L8" s="566">
        <f>'qtrP&amp;L'!BT12</f>
        <v>1075.856</v>
      </c>
      <c r="M8" s="27"/>
      <c r="N8" s="101"/>
      <c r="O8" s="566">
        <f>'qtrP&amp;L'!BX12</f>
        <v>1169.6489999999999</v>
      </c>
      <c r="P8" s="27"/>
      <c r="Q8" s="101"/>
      <c r="R8" s="566">
        <f>'qtrP&amp;L'!CB12</f>
        <v>1033.2929999999999</v>
      </c>
      <c r="S8" s="27"/>
      <c r="T8" s="102">
        <f>R8/O8-1</f>
        <v>-0.11657856331258354</v>
      </c>
      <c r="U8" s="566">
        <f>'qtrP&amp;L'!CF12</f>
        <v>911.45299999999997</v>
      </c>
      <c r="V8" s="27"/>
      <c r="W8" s="102">
        <f>U8/R8-1</f>
        <v>-0.11791427987995651</v>
      </c>
      <c r="X8" s="566">
        <f>'qtrP&amp;L'!CJ12</f>
        <v>878.572</v>
      </c>
      <c r="Y8" s="27"/>
      <c r="Z8" s="102">
        <f>X8/U8-1</f>
        <v>-3.6075365378137936E-2</v>
      </c>
      <c r="AA8" s="566">
        <f>'qtrP&amp;L'!CN12</f>
        <v>821.73400000000004</v>
      </c>
      <c r="AB8" s="27"/>
      <c r="AC8" s="102">
        <f>AA8/X8-1</f>
        <v>-6.4693616459436387E-2</v>
      </c>
      <c r="AD8" s="566">
        <f>'qtrP&amp;L'!CR12</f>
        <v>859.11199999999997</v>
      </c>
      <c r="AE8" s="27"/>
      <c r="AF8" s="102">
        <f>AD8/AA8-1</f>
        <v>4.5486739017735589E-2</v>
      </c>
      <c r="AG8" s="566">
        <f>'qtrP&amp;L'!CV12</f>
        <v>863.99221295999996</v>
      </c>
      <c r="AH8" s="27"/>
      <c r="AI8" s="102">
        <f>AG8/AD8-1</f>
        <v>5.6805317118140408E-3</v>
      </c>
      <c r="AJ8" s="23"/>
      <c r="AK8" s="23"/>
      <c r="AL8" s="23"/>
      <c r="AM8" s="23"/>
      <c r="AN8" s="23"/>
      <c r="AO8" s="23"/>
    </row>
    <row r="9" spans="1:41">
      <c r="A9" s="23"/>
      <c r="B9" s="23" t="s">
        <v>118</v>
      </c>
      <c r="C9" s="34">
        <f>'qtrP&amp;L'!BH13</f>
        <v>980.80899999999997</v>
      </c>
      <c r="D9" s="23"/>
      <c r="E9" s="23"/>
      <c r="F9" s="566">
        <f>'qtrP&amp;L'!BL13</f>
        <v>935.99099999999999</v>
      </c>
      <c r="G9" s="27"/>
      <c r="H9" s="101"/>
      <c r="I9" s="566">
        <f>'qtrP&amp;L'!BP13</f>
        <v>1149.396</v>
      </c>
      <c r="J9" s="27"/>
      <c r="K9" s="101"/>
      <c r="L9" s="566">
        <f>'qtrP&amp;L'!BT13</f>
        <v>1328.7650000000001</v>
      </c>
      <c r="M9" s="27">
        <f>22*0.75</f>
        <v>16.5</v>
      </c>
      <c r="N9" s="101"/>
      <c r="O9" s="566">
        <f>'qtrP&amp;L'!BX13</f>
        <v>1468.5309999999999</v>
      </c>
      <c r="P9" s="27" t="s">
        <v>427</v>
      </c>
      <c r="Q9" s="101"/>
      <c r="R9" s="566">
        <f>'qtrP&amp;L'!CB13</f>
        <v>1299.1369999999999</v>
      </c>
      <c r="S9" s="27"/>
      <c r="T9" s="102">
        <f>R9/O9-1</f>
        <v>-0.11534928442096215</v>
      </c>
      <c r="U9" s="566">
        <f>'qtrP&amp;L'!CF13</f>
        <v>1119.5440000000001</v>
      </c>
      <c r="V9" s="27"/>
      <c r="W9" s="102">
        <f>U9/R9-1</f>
        <v>-0.13824023178463851</v>
      </c>
      <c r="X9" s="566">
        <f>'qtrP&amp;L'!CJ13</f>
        <v>1112.93</v>
      </c>
      <c r="Y9" s="27"/>
      <c r="Z9" s="102">
        <f>X9/U9-1</f>
        <v>-5.9077624461387757E-3</v>
      </c>
      <c r="AA9" s="566">
        <f>'qtrP&amp;L'!CN13</f>
        <v>1036.3630000000001</v>
      </c>
      <c r="AB9" s="27"/>
      <c r="AC9" s="102">
        <f>AA9/X9-1</f>
        <v>-6.8797678200785306E-2</v>
      </c>
      <c r="AD9" s="566">
        <f>'qtrP&amp;L'!CR13</f>
        <v>1193.1579999999999</v>
      </c>
      <c r="AE9" s="27"/>
      <c r="AF9" s="102">
        <f>AD9/AA9-1</f>
        <v>0.15129351395215762</v>
      </c>
      <c r="AG9" s="566">
        <f>'qtrP&amp;L'!CV13</f>
        <v>1112.7208505000001</v>
      </c>
      <c r="AH9" s="27"/>
      <c r="AI9" s="102">
        <f>AG9/AD9-1</f>
        <v>-6.7415337700455269E-2</v>
      </c>
      <c r="AJ9" s="23"/>
      <c r="AK9" s="23"/>
      <c r="AL9" s="23"/>
      <c r="AM9" s="23"/>
      <c r="AN9" s="23"/>
      <c r="AO9" s="23"/>
    </row>
    <row r="10" spans="1:41" ht="6" customHeight="1">
      <c r="A10" s="23"/>
      <c r="B10" s="23"/>
      <c r="C10" s="34"/>
      <c r="D10" s="23"/>
      <c r="E10" s="23"/>
      <c r="F10" s="100"/>
      <c r="G10" s="27"/>
      <c r="H10" s="101"/>
      <c r="I10" s="100"/>
      <c r="J10" s="27"/>
      <c r="K10" s="101"/>
      <c r="L10" s="100"/>
      <c r="M10" s="27"/>
      <c r="N10" s="101"/>
      <c r="O10" s="100"/>
      <c r="P10" s="27"/>
      <c r="Q10" s="101"/>
      <c r="R10" s="27"/>
      <c r="S10" s="27"/>
      <c r="T10" s="101"/>
      <c r="U10" s="27"/>
      <c r="V10" s="27"/>
      <c r="W10" s="101"/>
      <c r="X10" s="27"/>
      <c r="Y10" s="27"/>
      <c r="Z10" s="101"/>
      <c r="AA10" s="27"/>
      <c r="AB10" s="27"/>
      <c r="AC10" s="101"/>
      <c r="AD10" s="27"/>
      <c r="AE10" s="27"/>
      <c r="AF10" s="101"/>
      <c r="AG10" s="27"/>
      <c r="AH10" s="27"/>
      <c r="AI10" s="101"/>
      <c r="AJ10" s="23"/>
      <c r="AK10" s="23"/>
      <c r="AL10" s="23"/>
      <c r="AM10" s="23"/>
      <c r="AN10" s="23"/>
      <c r="AO10" s="23"/>
    </row>
    <row r="11" spans="1:41">
      <c r="A11" s="23"/>
      <c r="B11" s="23"/>
      <c r="C11" s="98" t="s">
        <v>663</v>
      </c>
      <c r="D11" s="23"/>
      <c r="E11" s="23"/>
      <c r="F11" s="100"/>
      <c r="G11" s="27" t="s">
        <v>223</v>
      </c>
      <c r="H11" s="101"/>
      <c r="I11" s="100"/>
      <c r="J11" s="27"/>
      <c r="K11" s="101"/>
      <c r="L11" s="100"/>
      <c r="M11" s="27"/>
      <c r="N11" s="101"/>
      <c r="O11" s="100"/>
      <c r="P11" s="27"/>
      <c r="Q11" s="101"/>
      <c r="R11" s="27"/>
      <c r="S11" s="27"/>
      <c r="T11" s="101"/>
      <c r="U11" s="27"/>
      <c r="V11" s="27"/>
      <c r="W11" s="101"/>
      <c r="X11" s="27"/>
      <c r="Y11" s="27"/>
      <c r="Z11" s="101"/>
      <c r="AA11" s="27"/>
      <c r="AB11" s="27"/>
      <c r="AC11" s="101"/>
      <c r="AD11" s="27"/>
      <c r="AE11" s="27"/>
      <c r="AF11" s="101"/>
      <c r="AG11" s="27"/>
      <c r="AH11" s="27"/>
      <c r="AI11" s="101"/>
      <c r="AJ11" s="23"/>
      <c r="AK11" s="23"/>
      <c r="AL11" s="23"/>
      <c r="AM11" s="23"/>
      <c r="AN11" s="23"/>
      <c r="AO11" s="23"/>
    </row>
    <row r="12" spans="1:41">
      <c r="A12" s="23"/>
      <c r="B12" s="23"/>
      <c r="C12" s="98" t="s">
        <v>673</v>
      </c>
      <c r="D12" s="98" t="s">
        <v>674</v>
      </c>
      <c r="E12" s="23"/>
      <c r="F12" s="100" t="s">
        <v>673</v>
      </c>
      <c r="G12" s="565" t="s">
        <v>674</v>
      </c>
      <c r="H12" s="101"/>
      <c r="I12" s="100"/>
      <c r="J12" s="565"/>
      <c r="K12" s="101"/>
      <c r="L12" s="100"/>
      <c r="M12" s="565"/>
      <c r="N12" s="101"/>
      <c r="O12" s="100"/>
      <c r="P12" s="565"/>
      <c r="Q12" s="101"/>
      <c r="R12" s="27"/>
      <c r="S12" s="27"/>
      <c r="T12" s="101"/>
      <c r="U12" s="27"/>
      <c r="V12" s="27"/>
      <c r="W12" s="101"/>
      <c r="X12" s="27"/>
      <c r="Y12" s="27"/>
      <c r="Z12" s="101"/>
      <c r="AA12" s="27"/>
      <c r="AB12" s="27"/>
      <c r="AC12" s="101"/>
      <c r="AD12" s="27"/>
      <c r="AE12" s="27"/>
      <c r="AF12" s="101"/>
      <c r="AG12" s="27"/>
      <c r="AH12" s="27"/>
      <c r="AI12" s="101"/>
      <c r="AJ12" s="23"/>
      <c r="AK12" s="23"/>
      <c r="AL12" s="23"/>
      <c r="AM12" s="23"/>
      <c r="AN12" s="23"/>
      <c r="AO12" s="23"/>
    </row>
    <row r="13" spans="1:41">
      <c r="A13" s="23"/>
      <c r="B13" s="23" t="s">
        <v>115</v>
      </c>
      <c r="C13" s="93">
        <f>41.5%-C20</f>
        <v>0.16499999999999998</v>
      </c>
      <c r="D13" s="370">
        <f>C13*C6</f>
        <v>129.87793499999998</v>
      </c>
      <c r="E13" s="93"/>
      <c r="F13" s="103">
        <f>G13/F6</f>
        <v>0.25592916412537869</v>
      </c>
      <c r="G13" s="568">
        <v>154</v>
      </c>
      <c r="H13" s="570">
        <f>+G13/D13-1</f>
        <v>0.18572873829569292</v>
      </c>
      <c r="I13" s="103">
        <f>J13/I6</f>
        <v>0.23067181929735794</v>
      </c>
      <c r="J13" s="568">
        <f>320.46-161.803</f>
        <v>158.65699999999998</v>
      </c>
      <c r="K13" s="570">
        <f>+J13/G13-1</f>
        <v>3.0240259740259567E-2</v>
      </c>
      <c r="L13" s="103">
        <f>M13/L6</f>
        <v>0.20000621508496738</v>
      </c>
      <c r="M13" s="568">
        <v>167.34</v>
      </c>
      <c r="N13" s="612">
        <f>+M13/J13-1</f>
        <v>5.4728124192440442E-2</v>
      </c>
      <c r="O13" s="103">
        <f>P13/O6</f>
        <v>0.1945815214205541</v>
      </c>
      <c r="P13" s="568">
        <v>179.25200000000001</v>
      </c>
      <c r="Q13" s="612">
        <f>+P13/M13-1</f>
        <v>7.1184414963547216E-2</v>
      </c>
      <c r="R13" s="103">
        <f>S13/R6</f>
        <v>0.2262780336421589</v>
      </c>
      <c r="S13" s="568">
        <v>189.79499999999999</v>
      </c>
      <c r="T13" s="612">
        <f>+S13/P13-1</f>
        <v>5.8816638029143276E-2</v>
      </c>
      <c r="U13" s="103">
        <f>V13/U6</f>
        <v>0.22946811149425847</v>
      </c>
      <c r="V13" s="568">
        <v>188.721</v>
      </c>
      <c r="W13" s="612">
        <f>+V13/S13-1</f>
        <v>-5.6587370584050278E-3</v>
      </c>
      <c r="X13" s="103">
        <f>Y13/X6</f>
        <v>0.25532193814119097</v>
      </c>
      <c r="Y13" s="568">
        <v>181.131</v>
      </c>
      <c r="Z13" s="612">
        <f>+Y13/V13-1</f>
        <v>-4.0218099734528723E-2</v>
      </c>
      <c r="AA13" s="103">
        <f>AB13/AA6</f>
        <v>0.25496037100847141</v>
      </c>
      <c r="AB13" s="568">
        <v>174.77099999999999</v>
      </c>
      <c r="AC13" s="612">
        <f>+AB13/Y13-1</f>
        <v>-3.5112708481706667E-2</v>
      </c>
      <c r="AD13" s="103">
        <f>AE13/AD6</f>
        <v>0.2523404210262003</v>
      </c>
      <c r="AE13" s="568">
        <v>166.822</v>
      </c>
      <c r="AF13" s="612">
        <f>+AE13/AB13-1</f>
        <v>-4.5482374078079202E-2</v>
      </c>
      <c r="AG13" s="2233">
        <v>0.24199999999999999</v>
      </c>
      <c r="AH13" s="565">
        <f t="shared" ref="AH13:AH14" si="0">AG13*AG6</f>
        <v>169.16756628782997</v>
      </c>
      <c r="AI13" s="612">
        <f>+AH13/AE13-1</f>
        <v>1.4060293533406654E-2</v>
      </c>
      <c r="AJ13" s="23"/>
      <c r="AK13" s="99" t="s">
        <v>376</v>
      </c>
      <c r="AL13" s="99" t="s">
        <v>387</v>
      </c>
      <c r="AM13" s="99" t="s">
        <v>381</v>
      </c>
      <c r="AN13" s="99" t="s">
        <v>385</v>
      </c>
      <c r="AO13" s="99" t="s">
        <v>386</v>
      </c>
    </row>
    <row r="14" spans="1:41">
      <c r="A14" s="23"/>
      <c r="B14" s="23" t="s">
        <v>116</v>
      </c>
      <c r="C14" s="93">
        <f>41.6%-C21</f>
        <v>0.13500000000000001</v>
      </c>
      <c r="D14" s="370">
        <f>C14*C7</f>
        <v>112.49523000000001</v>
      </c>
      <c r="E14" s="93"/>
      <c r="F14" s="103">
        <f>G14/F7</f>
        <v>0.24423080846362563</v>
      </c>
      <c r="G14" s="568">
        <v>155.62899999999999</v>
      </c>
      <c r="H14" s="570">
        <f>(+G14/142)-1</f>
        <v>9.5978873239436657E-2</v>
      </c>
      <c r="I14" s="103">
        <f>J14/I7</f>
        <v>0.21400298740409604</v>
      </c>
      <c r="J14" s="568">
        <f>161.803-2.2</f>
        <v>159.60300000000001</v>
      </c>
      <c r="K14" s="570">
        <f>+J14/G14-1</f>
        <v>2.5535086648375449E-2</v>
      </c>
      <c r="L14" s="103">
        <f>M14/L7</f>
        <v>0.18931392300954555</v>
      </c>
      <c r="M14" s="568">
        <v>173.55600000000001</v>
      </c>
      <c r="N14" s="612">
        <f>+M14/J14-1</f>
        <v>8.7423168737429835E-2</v>
      </c>
      <c r="O14" s="103">
        <f>P14/O7</f>
        <v>0.19477573740786014</v>
      </c>
      <c r="P14" s="568">
        <v>185.31100000000001</v>
      </c>
      <c r="Q14" s="612">
        <f>+P14/M14-1</f>
        <v>6.7730300306529267E-2</v>
      </c>
      <c r="R14" s="103">
        <f>S14/R7</f>
        <v>0.20349942582092806</v>
      </c>
      <c r="S14" s="731">
        <v>192.44900000000001</v>
      </c>
      <c r="T14" s="612">
        <f>+S14/P14-1</f>
        <v>3.8519030170901969E-2</v>
      </c>
      <c r="U14" s="103">
        <f>V14/U7</f>
        <v>0.21422067021855928</v>
      </c>
      <c r="V14" s="775">
        <v>190.786</v>
      </c>
      <c r="W14" s="612">
        <f>+V14/S14-1</f>
        <v>-8.6412504091993858E-3</v>
      </c>
      <c r="X14" s="103">
        <f>Y14/X7</f>
        <v>0.22068685524777562</v>
      </c>
      <c r="Y14" s="775">
        <v>180.46799999999999</v>
      </c>
      <c r="Z14" s="612">
        <f>+Y14/V14-1</f>
        <v>-5.4081536381076267E-2</v>
      </c>
      <c r="AA14" s="103">
        <f>AB14/AA7</f>
        <v>0.21998952959803872</v>
      </c>
      <c r="AB14" s="568">
        <v>172.28700000000001</v>
      </c>
      <c r="AC14" s="612">
        <f>+AB14/Y14-1</f>
        <v>-4.5332136445242255E-2</v>
      </c>
      <c r="AD14" s="103">
        <f>AE14/AD7</f>
        <v>0.20765384225498865</v>
      </c>
      <c r="AE14" s="568">
        <v>161.82900000000001</v>
      </c>
      <c r="AF14" s="612">
        <f>+AE14/AB14-1</f>
        <v>-6.0701039544481028E-2</v>
      </c>
      <c r="AG14" s="2233">
        <v>0.2</v>
      </c>
      <c r="AH14" s="565">
        <f t="shared" si="0"/>
        <v>166.42155332799999</v>
      </c>
      <c r="AI14" s="612">
        <f>+AH14/AE14-1</f>
        <v>2.8379050281469809E-2</v>
      </c>
      <c r="AJ14" s="23"/>
      <c r="AK14" s="99"/>
      <c r="AL14" s="99"/>
      <c r="AM14" s="99"/>
      <c r="AN14" s="99"/>
      <c r="AO14" s="99"/>
    </row>
    <row r="15" spans="1:41">
      <c r="A15" s="23"/>
      <c r="B15" s="23" t="s">
        <v>117</v>
      </c>
      <c r="C15" s="195">
        <v>0.17599999999999999</v>
      </c>
      <c r="D15" s="370">
        <f>C15*C8</f>
        <v>155.37473599999998</v>
      </c>
      <c r="E15" s="93"/>
      <c r="F15" s="103">
        <f>G15/F8</f>
        <v>0.21096374607925869</v>
      </c>
      <c r="G15" s="568">
        <v>159</v>
      </c>
      <c r="H15" s="570">
        <f>+G15/D15-1</f>
        <v>2.3332390408695725E-2</v>
      </c>
      <c r="I15" s="103">
        <f>J15/I8</f>
        <v>0.1863638518906543</v>
      </c>
      <c r="J15" s="568">
        <v>165.077</v>
      </c>
      <c r="K15" s="570">
        <f>+J15/G15-1</f>
        <v>3.8220125786163406E-2</v>
      </c>
      <c r="L15" s="103">
        <f>M15/L8</f>
        <v>0.16527490667896078</v>
      </c>
      <c r="M15" s="568">
        <v>177.81200000000001</v>
      </c>
      <c r="N15" s="612">
        <f>+M15/J15-1</f>
        <v>7.7145816800644695E-2</v>
      </c>
      <c r="O15" s="103">
        <f>P15/O8</f>
        <v>0.16200757663196397</v>
      </c>
      <c r="P15" s="568">
        <f>189.492</f>
        <v>189.49199999999999</v>
      </c>
      <c r="Q15" s="612">
        <f>+P15/M15-1</f>
        <v>6.5687355184126828E-2</v>
      </c>
      <c r="R15" s="103">
        <f>S15/R8</f>
        <v>0.19027516880497597</v>
      </c>
      <c r="S15" s="568">
        <v>196.61</v>
      </c>
      <c r="T15" s="612">
        <f>+S15/P15-1</f>
        <v>3.7563591075085112E-2</v>
      </c>
      <c r="U15" s="103">
        <f>V15/U8</f>
        <v>0.20567050632341988</v>
      </c>
      <c r="V15" s="775">
        <v>187.459</v>
      </c>
      <c r="W15" s="612">
        <f>+V15/S15-1</f>
        <v>-4.6543919434413383E-2</v>
      </c>
      <c r="X15" s="103">
        <f>Y15/X8</f>
        <v>0.20579303688257763</v>
      </c>
      <c r="Y15" s="775">
        <v>180.804</v>
      </c>
      <c r="Z15" s="612">
        <f>+Y15/V15-1</f>
        <v>-3.5501096239711094E-2</v>
      </c>
      <c r="AA15" s="103">
        <f>AB15/AA8</f>
        <v>0.21050851005313154</v>
      </c>
      <c r="AB15" s="568">
        <v>172.982</v>
      </c>
      <c r="AC15" s="612">
        <f>+AB15/Y15-1</f>
        <v>-4.3262317205371548E-2</v>
      </c>
      <c r="AD15" s="103">
        <f>AE15/AD8</f>
        <v>0.19311917421709859</v>
      </c>
      <c r="AE15" s="2249">
        <v>165.911</v>
      </c>
      <c r="AF15" s="612">
        <f>+AE15/AB15-1</f>
        <v>-4.0877085477101671E-2</v>
      </c>
      <c r="AG15" s="2233">
        <v>0.19400000000000001</v>
      </c>
      <c r="AH15" s="565">
        <f>AG15*AG8</f>
        <v>167.61448931423999</v>
      </c>
      <c r="AI15" s="612">
        <f>+AH15/AE15-1</f>
        <v>1.0267488679110981E-2</v>
      </c>
      <c r="AJ15" s="370">
        <f>AE15-AB15</f>
        <v>-7.070999999999998</v>
      </c>
      <c r="AK15" s="99" t="str">
        <f>+SegqtrSales!CE284</f>
        <v>1Q12 PH</v>
      </c>
      <c r="AL15" s="99">
        <f>+SegqtrSales!CE286</f>
        <v>35</v>
      </c>
      <c r="AM15" s="99" t="s">
        <v>426</v>
      </c>
      <c r="AN15" s="99">
        <v>8.5</v>
      </c>
      <c r="AO15" s="99">
        <f t="shared" ref="AO15:AO24" si="1">+AN15/4</f>
        <v>2.125</v>
      </c>
    </row>
    <row r="16" spans="1:41">
      <c r="A16" s="23"/>
      <c r="B16" s="23" t="s">
        <v>118</v>
      </c>
      <c r="C16" s="93">
        <f>39.2%-C23</f>
        <v>0.159</v>
      </c>
      <c r="D16" s="383">
        <f>C16*C9</f>
        <v>155.94863100000001</v>
      </c>
      <c r="E16" s="23"/>
      <c r="F16" s="103">
        <f>G16/F9</f>
        <v>0.16987342827014362</v>
      </c>
      <c r="G16" s="569">
        <v>159</v>
      </c>
      <c r="H16" s="570">
        <f>+G16/D16-1</f>
        <v>1.9566500715225921E-2</v>
      </c>
      <c r="I16" s="103">
        <f>J16/I9</f>
        <v>0.14586443662584525</v>
      </c>
      <c r="J16" s="569">
        <f>220.056-48.4-4</f>
        <v>167.65600000000001</v>
      </c>
      <c r="K16" s="570">
        <f>+J16/G16-1</f>
        <v>5.4440251572327014E-2</v>
      </c>
      <c r="L16" s="103">
        <f>M16/L9</f>
        <v>0.13647334178729872</v>
      </c>
      <c r="M16" s="569">
        <v>181.34100000000001</v>
      </c>
      <c r="N16" s="612">
        <f>+M16/J16-1</f>
        <v>8.1625471202939393E-2</v>
      </c>
      <c r="O16" s="103">
        <f>P16/O9</f>
        <v>0.131673761057819</v>
      </c>
      <c r="P16" s="569">
        <f>+P15+(0.75*10/4)+2</f>
        <v>193.36699999999999</v>
      </c>
      <c r="Q16" s="612">
        <f>+P16/M16-1</f>
        <v>6.6317049095350633E-2</v>
      </c>
      <c r="R16" s="103">
        <f>S16/R9</f>
        <v>0.14820069015046142</v>
      </c>
      <c r="S16" s="569">
        <v>192.53299999999999</v>
      </c>
      <c r="T16" s="612">
        <f>+S16/P16-1</f>
        <v>-4.3130420392311075E-3</v>
      </c>
      <c r="U16" s="103">
        <f>V16/U9</f>
        <v>0.16525656874584652</v>
      </c>
      <c r="V16" s="569">
        <v>185.012</v>
      </c>
      <c r="W16" s="612">
        <f>+V16/S16-1</f>
        <v>-3.906343328156725E-2</v>
      </c>
      <c r="X16" s="103">
        <f>Y16/X9</f>
        <v>0.16889292228621747</v>
      </c>
      <c r="Y16" s="569">
        <v>187.96600000000001</v>
      </c>
      <c r="Z16" s="612">
        <f>+Y16/V16-1</f>
        <v>1.5966531900633463E-2</v>
      </c>
      <c r="AA16" s="103">
        <f>AB16/AA9</f>
        <v>0.18159563782188287</v>
      </c>
      <c r="AB16" s="569">
        <v>188.19900000000001</v>
      </c>
      <c r="AC16" s="612">
        <f>+AB16/Y16-1</f>
        <v>1.2395858825533512E-3</v>
      </c>
      <c r="AD16" s="103">
        <f>AE16/AD9</f>
        <v>0.13865053915742928</v>
      </c>
      <c r="AE16" s="2264">
        <v>165.43199999999999</v>
      </c>
      <c r="AF16" s="612">
        <f>+AE16/AB16-1</f>
        <v>-0.12097301260899385</v>
      </c>
      <c r="AG16" s="2233">
        <v>0.15</v>
      </c>
      <c r="AH16" s="770">
        <f>AG16*AG9</f>
        <v>166.90812757500001</v>
      </c>
      <c r="AI16" s="612">
        <f>+AH16/AE16-1</f>
        <v>8.9228660416365013E-3</v>
      </c>
      <c r="AJ16" s="370">
        <f>AE16-AB16</f>
        <v>-22.767000000000024</v>
      </c>
      <c r="AK16" s="99" t="str">
        <f>+SegqtrSales!CF284</f>
        <v>2Q12 PH</v>
      </c>
      <c r="AL16" s="99">
        <f>+SegqtrSales!CF286</f>
        <v>35</v>
      </c>
      <c r="AM16" s="99" t="s">
        <v>382</v>
      </c>
      <c r="AN16" s="99">
        <v>8.5</v>
      </c>
      <c r="AO16" s="99">
        <f t="shared" si="1"/>
        <v>2.125</v>
      </c>
    </row>
    <row r="17" spans="1:41">
      <c r="A17" s="23"/>
      <c r="B17" s="23"/>
      <c r="C17" s="93">
        <f>+D17/'qtrP&amp;L'!BH14</f>
        <v>0.15892292577302838</v>
      </c>
      <c r="D17" s="370">
        <f>SUM(D13:D16)</f>
        <v>553.69653199999993</v>
      </c>
      <c r="E17" s="23"/>
      <c r="F17" s="103">
        <f>+G17/SUM(F6:F9)</f>
        <v>0.2143084211874173</v>
      </c>
      <c r="G17" s="565">
        <f>SUM(G13:G16)</f>
        <v>627.62900000000002</v>
      </c>
      <c r="H17" s="101"/>
      <c r="I17" s="103">
        <f>+J17/SUM(I6:I9)</f>
        <v>0.18767225096114595</v>
      </c>
      <c r="J17" s="565">
        <f>SUM(J13:J16)</f>
        <v>650.99299999999994</v>
      </c>
      <c r="K17" s="101"/>
      <c r="L17" s="103">
        <f>+M17/SUM(L6:L9)</f>
        <v>0.16835960441148251</v>
      </c>
      <c r="M17" s="565">
        <f>SUM(M13:M16)</f>
        <v>700.04900000000009</v>
      </c>
      <c r="N17" s="612">
        <f>+M17/J17-1</f>
        <v>7.53556489854732E-2</v>
      </c>
      <c r="O17" s="103">
        <f>+P17/SUM(O6:O9)</f>
        <v>0.16569592345490436</v>
      </c>
      <c r="P17" s="565">
        <f>SUM(P13:P16)</f>
        <v>747.42199999999991</v>
      </c>
      <c r="Q17" s="612">
        <f>+P17/M17-1</f>
        <v>6.7670977317301872E-2</v>
      </c>
      <c r="R17" s="103">
        <f>+S17/SUM(R6:R9)</f>
        <v>0.18737097381838799</v>
      </c>
      <c r="S17" s="565">
        <f>SUM(S13:S16)</f>
        <v>771.38700000000006</v>
      </c>
      <c r="T17" s="612">
        <f>+S17/P17-1</f>
        <v>3.2063546430263212E-2</v>
      </c>
      <c r="U17" s="103">
        <f>+V17/SUM(U6:U9)</f>
        <v>0.20084721543363704</v>
      </c>
      <c r="V17" s="565">
        <f>SUM(V13:V16)</f>
        <v>751.97800000000007</v>
      </c>
      <c r="W17" s="612">
        <f>+V17/S17-1</f>
        <v>-2.5161170722348136E-2</v>
      </c>
      <c r="X17" s="103">
        <f>+Y17/SUM(X6:X9)</f>
        <v>0.20756903156865641</v>
      </c>
      <c r="Y17" s="565">
        <f>SUM(Y13:Y16)</f>
        <v>730.36900000000003</v>
      </c>
      <c r="Z17" s="612">
        <f>+Y17/V17-1</f>
        <v>-2.8736213027508839E-2</v>
      </c>
      <c r="AA17" s="103">
        <f>+AB17/SUM(AA6:AA9)</f>
        <v>0.21289280196228141</v>
      </c>
      <c r="AB17" s="565">
        <f>SUM(AB13:AB16)</f>
        <v>708.23900000000003</v>
      </c>
      <c r="AC17" s="612">
        <f>+AB17/Y17-1</f>
        <v>-3.0299752590813633E-2</v>
      </c>
      <c r="AD17" s="103">
        <f>+AE17/SUM(AD6:AD9)</f>
        <v>0.18896437989057147</v>
      </c>
      <c r="AE17" s="565">
        <f>SUM(AE13:AE16)</f>
        <v>659.99400000000003</v>
      </c>
      <c r="AF17" s="612">
        <f>+AE17/AB17-1</f>
        <v>-6.8119660171213403E-2</v>
      </c>
      <c r="AG17" s="2234">
        <f>+AH17/SUM(AG6:AG9)</f>
        <v>0.19103147437259968</v>
      </c>
      <c r="AH17" s="565">
        <f>SUM(AH13:AH16)</f>
        <v>670.11173650506998</v>
      </c>
      <c r="AI17" s="612">
        <f>+AH17/AE17-1</f>
        <v>1.5330043159589302E-2</v>
      </c>
      <c r="AJ17" s="23"/>
      <c r="AK17" s="99" t="str">
        <f>+SegqtrSales!CG284</f>
        <v>2Q12 PH</v>
      </c>
      <c r="AL17" s="99">
        <f>+SegqtrSales!CG286</f>
        <v>35</v>
      </c>
      <c r="AM17" s="99" t="s">
        <v>382</v>
      </c>
      <c r="AN17" s="99">
        <v>8.5</v>
      </c>
      <c r="AO17" s="99">
        <f t="shared" si="1"/>
        <v>2.125</v>
      </c>
    </row>
    <row r="18" spans="1:41">
      <c r="A18" s="23"/>
      <c r="B18" s="23"/>
      <c r="C18" s="98" t="s">
        <v>664</v>
      </c>
      <c r="D18" s="23"/>
      <c r="E18" s="23"/>
      <c r="F18" s="100"/>
      <c r="G18" s="565"/>
      <c r="H18" s="570"/>
      <c r="I18" s="100"/>
      <c r="J18" s="565"/>
      <c r="K18" s="570"/>
      <c r="L18" s="100"/>
      <c r="M18" s="565"/>
      <c r="N18" s="612"/>
      <c r="O18" s="611"/>
      <c r="P18" s="565"/>
      <c r="Q18" s="612"/>
      <c r="R18" s="644"/>
      <c r="S18" s="644"/>
      <c r="T18" s="612"/>
      <c r="U18" s="644"/>
      <c r="V18" s="644"/>
      <c r="W18" s="612"/>
      <c r="X18" s="644"/>
      <c r="Y18" s="644"/>
      <c r="Z18" s="612"/>
      <c r="AA18" s="644"/>
      <c r="AB18" s="644"/>
      <c r="AC18" s="612"/>
      <c r="AD18" s="644"/>
      <c r="AE18" s="2275"/>
      <c r="AF18" s="612"/>
      <c r="AG18" s="644"/>
      <c r="AH18" s="644"/>
      <c r="AI18" s="612"/>
      <c r="AJ18" s="23"/>
      <c r="AK18" s="99" t="str">
        <f>+SegqtrSales!CH284</f>
        <v>3Q12 PH</v>
      </c>
      <c r="AL18" s="99">
        <f>+SegqtrSales!CH286</f>
        <v>35</v>
      </c>
      <c r="AM18" s="99" t="s">
        <v>383</v>
      </c>
      <c r="AN18" s="99">
        <v>8.5</v>
      </c>
      <c r="AO18" s="99">
        <f t="shared" si="1"/>
        <v>2.125</v>
      </c>
    </row>
    <row r="19" spans="1:41">
      <c r="A19" s="23"/>
      <c r="B19" s="23"/>
      <c r="C19" s="98" t="s">
        <v>673</v>
      </c>
      <c r="D19" s="98" t="s">
        <v>674</v>
      </c>
      <c r="E19" s="23"/>
      <c r="F19" s="100" t="s">
        <v>673</v>
      </c>
      <c r="G19" s="565" t="s">
        <v>674</v>
      </c>
      <c r="H19" s="101"/>
      <c r="I19" s="100"/>
      <c r="J19" s="565"/>
      <c r="K19" s="101"/>
      <c r="L19" s="100"/>
      <c r="M19" s="565"/>
      <c r="N19" s="613"/>
      <c r="O19" s="100"/>
      <c r="P19" s="565"/>
      <c r="Q19" s="613"/>
      <c r="R19" s="645"/>
      <c r="S19" s="645"/>
      <c r="T19" s="613"/>
      <c r="U19" s="645"/>
      <c r="V19" s="645"/>
      <c r="W19" s="613"/>
      <c r="X19" s="645"/>
      <c r="Y19" s="645"/>
      <c r="Z19" s="613"/>
      <c r="AA19" s="645"/>
      <c r="AB19" s="645"/>
      <c r="AC19" s="613"/>
      <c r="AD19" s="645">
        <f>AA16-AD16</f>
        <v>4.294509866445359E-2</v>
      </c>
      <c r="AE19" s="645"/>
      <c r="AF19" s="613"/>
      <c r="AG19" s="2235"/>
      <c r="AH19" s="645"/>
      <c r="AI19" s="613"/>
      <c r="AJ19" s="23"/>
      <c r="AK19" s="99" t="str">
        <f>+SegqtrSales!CI284</f>
        <v>3Q12 PH</v>
      </c>
      <c r="AL19" s="99">
        <f>+SegqtrSales!CI286</f>
        <v>35</v>
      </c>
      <c r="AM19" s="99" t="s">
        <v>383</v>
      </c>
      <c r="AN19" s="99">
        <v>8.5</v>
      </c>
      <c r="AO19" s="99">
        <f t="shared" si="1"/>
        <v>2.125</v>
      </c>
    </row>
    <row r="20" spans="1:41">
      <c r="A20" s="23"/>
      <c r="B20" s="23" t="s">
        <v>115</v>
      </c>
      <c r="C20" s="195">
        <v>0.25</v>
      </c>
      <c r="D20" s="370">
        <f>C20*C6</f>
        <v>196.78475</v>
      </c>
      <c r="E20" s="93"/>
      <c r="F20" s="574">
        <f>G20/F6</f>
        <v>0.29300565536977607</v>
      </c>
      <c r="G20" s="568">
        <f>F28-G13</f>
        <v>176.31</v>
      </c>
      <c r="H20" s="570">
        <f>G20/D20-1</f>
        <v>-0.10404642636179884</v>
      </c>
      <c r="I20" s="103">
        <f>J20/I6</f>
        <v>0.2846043349558886</v>
      </c>
      <c r="J20" s="568">
        <f>398.431-202.679</f>
        <v>195.75199999999998</v>
      </c>
      <c r="K20" s="570">
        <f>J20/G20-1</f>
        <v>0.11027168056264514</v>
      </c>
      <c r="L20" s="103">
        <f>M20/L6</f>
        <v>0.27700275137030672</v>
      </c>
      <c r="M20" s="568">
        <v>231.761</v>
      </c>
      <c r="N20" s="612">
        <f>M20/J20-1</f>
        <v>0.1839521435285465</v>
      </c>
      <c r="O20" s="103">
        <f>P20/O6</f>
        <v>0.30012440052191774</v>
      </c>
      <c r="P20" s="568">
        <v>276.48</v>
      </c>
      <c r="Q20" s="612">
        <f>P20/M20-1</f>
        <v>0.19295308529045019</v>
      </c>
      <c r="R20" s="103">
        <f>S20/R6</f>
        <v>0.30917928535747025</v>
      </c>
      <c r="S20" s="568">
        <v>259.33</v>
      </c>
      <c r="T20" s="612">
        <f>S20/P20-1</f>
        <v>-6.2029803240740811E-2</v>
      </c>
      <c r="U20" s="103">
        <f>V20/U6</f>
        <v>0.27733248381621251</v>
      </c>
      <c r="V20" s="774">
        <v>228.08600000000001</v>
      </c>
      <c r="W20" s="612">
        <f>V20/S20-1</f>
        <v>-0.12047969768248934</v>
      </c>
      <c r="X20" s="103">
        <f>Y20/X6</f>
        <v>0.29012209939922923</v>
      </c>
      <c r="Y20" s="774">
        <v>205.81899999999999</v>
      </c>
      <c r="Z20" s="612">
        <f>Y20/V20-1</f>
        <v>-9.7625457064440702E-2</v>
      </c>
      <c r="AA20" s="103">
        <f>AB20/AA6</f>
        <v>0.28351833670565135</v>
      </c>
      <c r="AB20" s="774">
        <v>194.34700000000001</v>
      </c>
      <c r="AC20" s="612">
        <f>AB20/Y20-1</f>
        <v>-5.5738294326568405E-2</v>
      </c>
      <c r="AD20" s="103">
        <f>AE20/AD6</f>
        <v>0.29209997292387369</v>
      </c>
      <c r="AE20" s="774">
        <v>193.107</v>
      </c>
      <c r="AF20" s="612">
        <f>AE20/AB20-1</f>
        <v>-6.380340319119937E-3</v>
      </c>
      <c r="AG20" s="2233">
        <v>0.28000000000000003</v>
      </c>
      <c r="AH20" s="2059">
        <f t="shared" ref="AH20:AH21" si="2">+AG20*AG6</f>
        <v>195.7310684322</v>
      </c>
      <c r="AI20" s="612">
        <f>AH20/AE20-1</f>
        <v>1.3588675875032985E-2</v>
      </c>
      <c r="AJ20" s="230">
        <f>W20+Z20+AC20</f>
        <v>-0.27384344907349845</v>
      </c>
      <c r="AK20" s="99" t="str">
        <f>+SegqtrSales!CJ284</f>
        <v>4Q12PH</v>
      </c>
      <c r="AL20" s="99">
        <f>+SegqtrSales!CJ286</f>
        <v>35</v>
      </c>
      <c r="AM20" s="99" t="s">
        <v>383</v>
      </c>
      <c r="AN20" s="99">
        <v>8.5</v>
      </c>
      <c r="AO20" s="99">
        <f t="shared" si="1"/>
        <v>2.125</v>
      </c>
    </row>
    <row r="21" spans="1:41">
      <c r="A21" s="23"/>
      <c r="B21" s="23" t="s">
        <v>116</v>
      </c>
      <c r="C21" s="195">
        <v>0.28100000000000003</v>
      </c>
      <c r="D21" s="370">
        <f>C21*C7</f>
        <v>234.15673800000002</v>
      </c>
      <c r="E21" s="371">
        <f>F21*F8</f>
        <v>208.9559057658175</v>
      </c>
      <c r="F21" s="574">
        <f>G21/F7</f>
        <v>0.27724604179711593</v>
      </c>
      <c r="G21" s="568">
        <v>176.667</v>
      </c>
      <c r="H21" s="570">
        <f>G21/D21-1</f>
        <v>-0.24551818790711033</v>
      </c>
      <c r="I21" s="103">
        <f>J21/I7</f>
        <v>0.27176125438791737</v>
      </c>
      <c r="J21" s="568">
        <v>202.679</v>
      </c>
      <c r="K21" s="570">
        <f>J21/G21-1</f>
        <v>0.14723745804253197</v>
      </c>
      <c r="L21" s="103">
        <f>M21/L7</f>
        <v>0.27462822997874042</v>
      </c>
      <c r="M21" s="568">
        <v>251.76900000000001</v>
      </c>
      <c r="N21" s="612">
        <f>M21/J21-1</f>
        <v>0.24220565524795368</v>
      </c>
      <c r="O21" s="103">
        <f>P21/O7</f>
        <v>0.28670589978841859</v>
      </c>
      <c r="P21" s="568">
        <v>272.774</v>
      </c>
      <c r="Q21" s="612">
        <f>P21/M21-1</f>
        <v>8.3429651783976544E-2</v>
      </c>
      <c r="R21" s="103">
        <f>S21/R7</f>
        <v>0.29530886181423671</v>
      </c>
      <c r="S21" s="731">
        <v>279.27300000000002</v>
      </c>
      <c r="T21" s="612">
        <f>S21/P21-1</f>
        <v>2.3825584549847179E-2</v>
      </c>
      <c r="U21" s="103">
        <f>V21/U7</f>
        <v>0.26304590699580621</v>
      </c>
      <c r="V21" s="775">
        <v>234.27</v>
      </c>
      <c r="W21" s="612">
        <f>V21/S21-1</f>
        <v>-0.16114339732090111</v>
      </c>
      <c r="X21" s="103">
        <f>Y21/X7</f>
        <v>0.25353650722220322</v>
      </c>
      <c r="Y21" s="775">
        <v>207.33099999999999</v>
      </c>
      <c r="Z21" s="612">
        <f>Y21/V21-1</f>
        <v>-0.11499124941307048</v>
      </c>
      <c r="AA21" s="103">
        <f>AB21/AA7</f>
        <v>0.26894887379335003</v>
      </c>
      <c r="AB21" s="568">
        <v>210.63</v>
      </c>
      <c r="AC21" s="612">
        <f>AB21/Y21-1</f>
        <v>1.5911754633894715E-2</v>
      </c>
      <c r="AD21" s="103">
        <f>AE21/AD7</f>
        <v>0.26621379380255378</v>
      </c>
      <c r="AE21" s="568">
        <v>207.46600000000001</v>
      </c>
      <c r="AF21" s="612">
        <f>AE21/AB21-1</f>
        <v>-1.5021601861083367E-2</v>
      </c>
      <c r="AG21" s="2233">
        <v>0.252</v>
      </c>
      <c r="AH21" s="2059">
        <f t="shared" si="2"/>
        <v>209.69115719327999</v>
      </c>
      <c r="AI21" s="612">
        <f>AH21/AE21-1</f>
        <v>1.0725406540252225E-2</v>
      </c>
      <c r="AJ21" s="230">
        <f>W21+Z21+AC21</f>
        <v>-0.26022289210007687</v>
      </c>
      <c r="AK21" s="99" t="str">
        <f>+SegqtrSales!CK284</f>
        <v>4Q12 PH</v>
      </c>
      <c r="AL21" s="99">
        <f>+SegqtrSales!CK286</f>
        <v>35</v>
      </c>
      <c r="AM21" s="99" t="s">
        <v>384</v>
      </c>
      <c r="AN21" s="99">
        <v>8.5</v>
      </c>
      <c r="AO21" s="99">
        <f t="shared" si="1"/>
        <v>2.125</v>
      </c>
    </row>
    <row r="22" spans="1:41">
      <c r="A22" s="23"/>
      <c r="B22" s="23" t="s">
        <v>117</v>
      </c>
      <c r="C22" s="195">
        <v>0.25600000000000001</v>
      </c>
      <c r="D22" s="370">
        <f>C22*C8</f>
        <v>225.999616</v>
      </c>
      <c r="E22" s="372"/>
      <c r="F22" s="574">
        <f>G22/F8</f>
        <v>0.25242940011994419</v>
      </c>
      <c r="G22" s="568">
        <v>190.25200000000001</v>
      </c>
      <c r="H22" s="570">
        <f>G22/D22-1</f>
        <v>-0.15817556079387318</v>
      </c>
      <c r="I22" s="103">
        <f>J22/I8</f>
        <v>0.24843470937413212</v>
      </c>
      <c r="J22" s="568">
        <v>220.05799999999999</v>
      </c>
      <c r="K22" s="570">
        <f>J22/G22-1</f>
        <v>0.15666589575930856</v>
      </c>
      <c r="L22" s="103">
        <f>M22/L8</f>
        <v>0.26385594354634817</v>
      </c>
      <c r="M22" s="568">
        <v>283.87099999999998</v>
      </c>
      <c r="N22" s="612">
        <f>M22/J22-1</f>
        <v>0.28998264094011583</v>
      </c>
      <c r="O22" s="103">
        <f>P22/O8</f>
        <v>0.26285663476820825</v>
      </c>
      <c r="P22" s="568">
        <v>307.45</v>
      </c>
      <c r="Q22" s="612">
        <f>P22/M22-1</f>
        <v>8.3062376924729842E-2</v>
      </c>
      <c r="R22" s="103">
        <f>S22/R8</f>
        <v>0.27483201763681747</v>
      </c>
      <c r="S22" s="568">
        <v>283.98200000000003</v>
      </c>
      <c r="T22" s="612">
        <f>S22/P22-1</f>
        <v>-7.6331110749715325E-2</v>
      </c>
      <c r="U22" s="103">
        <f>V22/U8</f>
        <v>0.24547069349708653</v>
      </c>
      <c r="V22" s="774">
        <v>223.73500000000001</v>
      </c>
      <c r="W22" s="612">
        <f>V22/S22-1</f>
        <v>-0.21215077011923289</v>
      </c>
      <c r="X22" s="103">
        <f>Y22/X8</f>
        <v>0.24079415232900661</v>
      </c>
      <c r="Y22" s="775">
        <v>211.55500000000001</v>
      </c>
      <c r="Z22" s="612">
        <f>Y22/V22-1</f>
        <v>-5.4439403758911209E-2</v>
      </c>
      <c r="AA22" s="103">
        <f>AB22/AA8</f>
        <v>0.25997098817865633</v>
      </c>
      <c r="AB22" s="568">
        <v>213.62700000000001</v>
      </c>
      <c r="AC22" s="612">
        <f>AB22/Y22-1</f>
        <v>9.7941433669730404E-3</v>
      </c>
      <c r="AD22" s="103">
        <f>AE22/AD8</f>
        <v>0.24447685517138626</v>
      </c>
      <c r="AE22" s="2263">
        <v>210.03299999999999</v>
      </c>
      <c r="AF22" s="612">
        <f>AE22/AB22-1</f>
        <v>-1.6823716103301689E-2</v>
      </c>
      <c r="AG22" s="2058">
        <v>0.245</v>
      </c>
      <c r="AH22" s="2059">
        <f>+AG22*AG8</f>
        <v>211.67809217519999</v>
      </c>
      <c r="AI22" s="612">
        <f>AH22/AE22-1</f>
        <v>7.8325414349174061E-3</v>
      </c>
      <c r="AJ22" s="230">
        <f>W22+Z22+AC22</f>
        <v>-0.25679603051117106</v>
      </c>
      <c r="AK22" s="99" t="str">
        <f>SegqtrSales!CL284</f>
        <v>4Q12 PH</v>
      </c>
      <c r="AL22" s="99">
        <f>SegqtrSales!CL286</f>
        <v>35</v>
      </c>
      <c r="AM22" s="99" t="s">
        <v>547</v>
      </c>
      <c r="AN22" s="99">
        <v>8.5</v>
      </c>
      <c r="AO22" s="99">
        <f t="shared" si="1"/>
        <v>2.125</v>
      </c>
    </row>
    <row r="23" spans="1:41">
      <c r="A23" s="23"/>
      <c r="B23" s="23" t="s">
        <v>118</v>
      </c>
      <c r="C23" s="195">
        <v>0.23300000000000001</v>
      </c>
      <c r="D23" s="370">
        <f>C23*C9</f>
        <v>228.52849700000002</v>
      </c>
      <c r="E23" s="23"/>
      <c r="F23" s="574">
        <f>G23/F9</f>
        <v>0.23718176777340808</v>
      </c>
      <c r="G23" s="568">
        <v>222</v>
      </c>
      <c r="H23" s="570">
        <f>G23/D23-1</f>
        <v>-2.856754009107243E-2</v>
      </c>
      <c r="I23" s="103">
        <f>J23/I9</f>
        <v>0.23018524512004568</v>
      </c>
      <c r="J23" s="568">
        <v>264.57400000000001</v>
      </c>
      <c r="K23" s="570">
        <f>J23/G23-1</f>
        <v>0.19177477477477489</v>
      </c>
      <c r="L23" s="103">
        <f>M23/L9</f>
        <v>0.24019070339751572</v>
      </c>
      <c r="M23" s="568">
        <v>319.15699999999998</v>
      </c>
      <c r="N23" s="612">
        <f>M23/J23-1</f>
        <v>0.20630523029473791</v>
      </c>
      <c r="O23" s="103">
        <f>P23/O9</f>
        <v>0.26134960719249378</v>
      </c>
      <c r="P23" s="569">
        <f>P31-P16</f>
        <v>383.80000000000007</v>
      </c>
      <c r="Q23" s="612">
        <f>P23/M23-1</f>
        <v>0.20254294908148673</v>
      </c>
      <c r="R23" s="103">
        <f>S23/R9</f>
        <v>0.24060741861712814</v>
      </c>
      <c r="S23" s="569">
        <v>312.58199999999999</v>
      </c>
      <c r="T23" s="612">
        <f>S23/P23-1</f>
        <v>-0.18556018759770732</v>
      </c>
      <c r="U23" s="103">
        <f>V23/U9</f>
        <v>0.2292424415654945</v>
      </c>
      <c r="V23" s="569">
        <v>256.64699999999999</v>
      </c>
      <c r="W23" s="612">
        <f>V23/S23-1</f>
        <v>-0.17894504482023921</v>
      </c>
      <c r="X23" s="103">
        <f>Y23/X9</f>
        <v>0.21787084542603755</v>
      </c>
      <c r="Y23" s="569">
        <v>242.47499999999999</v>
      </c>
      <c r="Z23" s="612">
        <f>Y23/V23-1</f>
        <v>-5.5219815544307882E-2</v>
      </c>
      <c r="AA23" s="103">
        <f>AB23/AA9</f>
        <v>0.24278848241398041</v>
      </c>
      <c r="AB23" s="569">
        <v>251.61699999999999</v>
      </c>
      <c r="AC23" s="612">
        <f>AB23/Y23-1</f>
        <v>3.7702855964532489E-2</v>
      </c>
      <c r="AD23" s="103">
        <f>AE23/AD9</f>
        <v>0.22781978581210535</v>
      </c>
      <c r="AE23" s="2263">
        <v>271.82499999999999</v>
      </c>
      <c r="AF23" s="612">
        <f>AE23/AB23-1</f>
        <v>8.031253850097575E-2</v>
      </c>
      <c r="AG23" s="2058">
        <v>0.245</v>
      </c>
      <c r="AH23" s="2059">
        <f>+AG23*AG9</f>
        <v>272.61660837250002</v>
      </c>
      <c r="AI23" s="612">
        <f>AH23/AE23-1</f>
        <v>2.9121985560565111E-3</v>
      </c>
      <c r="AJ23" s="230">
        <f>W23+Z23+AC23</f>
        <v>-0.1964620044000146</v>
      </c>
      <c r="AK23" s="99" t="str">
        <f>SegqtrSales!CM284</f>
        <v>4Q12 PH</v>
      </c>
      <c r="AL23" s="99">
        <f>SegqtrSales!CM286</f>
        <v>35</v>
      </c>
      <c r="AM23" s="99" t="s">
        <v>547</v>
      </c>
      <c r="AN23" s="99">
        <v>8.5</v>
      </c>
      <c r="AO23" s="99">
        <f t="shared" si="1"/>
        <v>2.125</v>
      </c>
    </row>
    <row r="24" spans="1:41">
      <c r="A24" s="23"/>
      <c r="B24" s="23"/>
      <c r="C24" s="93">
        <f>+D24/SUM(C6:C9)</f>
        <v>0.25414899957147663</v>
      </c>
      <c r="D24" s="370">
        <f>SUM(D20:D23)</f>
        <v>885.46960100000001</v>
      </c>
      <c r="E24" s="23"/>
      <c r="F24" s="103">
        <f>+G24/SUM(F6:F9)</f>
        <v>0.26129292756839817</v>
      </c>
      <c r="G24" s="565">
        <f>SUM(G20:G23)</f>
        <v>765.22900000000004</v>
      </c>
      <c r="H24" s="101"/>
      <c r="I24" s="103">
        <f>+J24/SUM(I6:I9)</f>
        <v>0.25457481255636</v>
      </c>
      <c r="J24" s="565">
        <f>SUM(J20:J23)</f>
        <v>883.0630000000001</v>
      </c>
      <c r="K24" s="570">
        <f>J24/G24-1</f>
        <v>0.15398527760970904</v>
      </c>
      <c r="L24" s="103">
        <f>+M24/SUM(L6:L9)</f>
        <v>0.26131381524740638</v>
      </c>
      <c r="M24" s="565">
        <f>SUM(M20:M23)</f>
        <v>1086.558</v>
      </c>
      <c r="N24" s="612">
        <f>M24/J24-1</f>
        <v>0.23044222212911181</v>
      </c>
      <c r="O24" s="103">
        <f>+P24/SUM(O6:O9)</f>
        <v>0.27500723263364296</v>
      </c>
      <c r="P24" s="565">
        <f>SUM(P20:P23)</f>
        <v>1240.5039999999999</v>
      </c>
      <c r="Q24" s="612">
        <f>P24/M24-1</f>
        <v>0.14168226638614767</v>
      </c>
      <c r="R24" s="103">
        <f>+S24/SUM(R6:R9)</f>
        <v>0.27573364113797355</v>
      </c>
      <c r="S24" s="565">
        <f>SUM(S20:S23)</f>
        <v>1135.1669999999999</v>
      </c>
      <c r="T24" s="612">
        <f>S24/P24-1</f>
        <v>-8.491467983980705E-2</v>
      </c>
      <c r="U24" s="103">
        <f>+V24/SUM(U6:U9)</f>
        <v>0.25179766187770936</v>
      </c>
      <c r="V24" s="565">
        <f>SUM(V20:V23)</f>
        <v>942.73800000000006</v>
      </c>
      <c r="W24" s="612">
        <f>V24/S24-1</f>
        <v>-0.16951602715723757</v>
      </c>
      <c r="X24" s="103">
        <f>+Y24/SUM(X6:X9)</f>
        <v>0.24645037343549281</v>
      </c>
      <c r="Y24" s="565">
        <f>SUM(Y20:Y23)</f>
        <v>867.18</v>
      </c>
      <c r="Z24" s="612">
        <f>Y24/V24-1</f>
        <v>-8.0147400444238071E-2</v>
      </c>
      <c r="AA24" s="103">
        <f>+AB24/SUM(AA6:AA9)</f>
        <v>0.26158371258349017</v>
      </c>
      <c r="AB24" s="565">
        <f>SUM(AB20:AB23)</f>
        <v>870.221</v>
      </c>
      <c r="AC24" s="612">
        <f>AB24/Y24-1</f>
        <v>3.5067690675523178E-3</v>
      </c>
      <c r="AD24" s="103">
        <f>+AE24/SUM(AD6:AD9)</f>
        <v>0.25265082214568141</v>
      </c>
      <c r="AE24" s="565">
        <f>SUM(AE20:AE23)</f>
        <v>882.43100000000004</v>
      </c>
      <c r="AF24" s="612">
        <f>AE24/AB24-1</f>
        <v>1.4030918582750962E-2</v>
      </c>
      <c r="AG24" s="2234">
        <f>+AH24/SUM(AG6:AG9)</f>
        <v>0.25363521771392533</v>
      </c>
      <c r="AH24" s="565">
        <f>SUM(AH20:AH23)</f>
        <v>889.7169261731799</v>
      </c>
      <c r="AI24" s="612">
        <f>AH24/AE24-1</f>
        <v>8.2566525577409955E-3</v>
      </c>
      <c r="AJ24" s="230">
        <f>W24+Z24+AC24</f>
        <v>-0.24615665853392332</v>
      </c>
      <c r="AK24" s="99" t="str">
        <f>SegqtrSales!CN284</f>
        <v>4Q12 PH</v>
      </c>
      <c r="AL24" s="99">
        <f>SegqtrSales!CN286</f>
        <v>35</v>
      </c>
      <c r="AM24" s="99" t="s">
        <v>547</v>
      </c>
      <c r="AN24" s="99">
        <v>8.5</v>
      </c>
      <c r="AO24" s="99">
        <f t="shared" si="1"/>
        <v>2.125</v>
      </c>
    </row>
    <row r="25" spans="1:41">
      <c r="A25" s="23"/>
      <c r="B25" s="23"/>
      <c r="C25" s="23"/>
      <c r="D25" s="23"/>
      <c r="E25" s="23"/>
      <c r="F25" s="100"/>
      <c r="G25" s="565">
        <f>+G24+G17</f>
        <v>1392.8580000000002</v>
      </c>
      <c r="H25" s="570"/>
      <c r="I25" s="100"/>
      <c r="J25" s="565">
        <f>+J24+J17</f>
        <v>1534.056</v>
      </c>
      <c r="K25" s="570">
        <f>+J25/G25-1</f>
        <v>0.10137286069362417</v>
      </c>
      <c r="L25" s="100"/>
      <c r="M25" s="565">
        <f>+M24+M17</f>
        <v>1786.607</v>
      </c>
      <c r="N25" s="612">
        <f>+M25/J25-1</f>
        <v>0.16462958327466537</v>
      </c>
      <c r="O25" s="100"/>
      <c r="P25" s="565">
        <f>+P24+P17</f>
        <v>1987.9259999999999</v>
      </c>
      <c r="Q25" s="612">
        <f>+P25/M25-1</f>
        <v>0.11268230786065425</v>
      </c>
      <c r="R25" s="644"/>
      <c r="S25" s="565">
        <f>S24+S17</f>
        <v>1906.5540000000001</v>
      </c>
      <c r="T25" s="612">
        <f>+S25/P25-1</f>
        <v>-4.093311320441495E-2</v>
      </c>
      <c r="U25" s="644"/>
      <c r="V25" s="565">
        <f>V24+V17</f>
        <v>1694.7160000000001</v>
      </c>
      <c r="W25" s="612">
        <f>+V25/S25-1</f>
        <v>-0.11111041176908698</v>
      </c>
      <c r="X25" s="644"/>
      <c r="Y25" s="565">
        <f>Y24+Y17</f>
        <v>1597.549</v>
      </c>
      <c r="Z25" s="612">
        <f>+Y25/V25-1</f>
        <v>-5.7335270334380573E-2</v>
      </c>
      <c r="AA25" s="644"/>
      <c r="AB25" s="565">
        <f>AB24+AB17</f>
        <v>1578.46</v>
      </c>
      <c r="AC25" s="612">
        <f>+AB25/Y25-1</f>
        <v>-1.1948929266019315E-2</v>
      </c>
      <c r="AD25" s="644"/>
      <c r="AE25" s="565">
        <f>AE24+AE17</f>
        <v>1542.4250000000002</v>
      </c>
      <c r="AF25" s="612">
        <f>+AE25/AB25-1</f>
        <v>-2.2829213283833472E-2</v>
      </c>
      <c r="AG25" s="2236"/>
      <c r="AH25" s="565">
        <f>AH24+AH17</f>
        <v>1559.8286626782499</v>
      </c>
      <c r="AI25" s="612">
        <f>+AH25/AE25-1</f>
        <v>1.1283312108044008E-2</v>
      </c>
      <c r="AJ25" s="230"/>
      <c r="AK25" s="23"/>
      <c r="AL25" s="23"/>
      <c r="AM25" s="23"/>
      <c r="AN25" s="23"/>
      <c r="AO25" s="23"/>
    </row>
    <row r="26" spans="1:41">
      <c r="A26" s="23"/>
      <c r="B26" s="23"/>
      <c r="C26" s="23"/>
      <c r="D26" s="23"/>
      <c r="E26" s="23"/>
      <c r="F26" s="100"/>
      <c r="G26" s="27"/>
      <c r="H26" s="101"/>
      <c r="I26" s="100"/>
      <c r="J26" s="565"/>
      <c r="K26" s="101"/>
      <c r="L26" s="103"/>
      <c r="M26" s="27"/>
      <c r="N26" s="613"/>
      <c r="O26" s="103"/>
      <c r="P26" s="27"/>
      <c r="Q26" s="613"/>
      <c r="R26" s="645"/>
      <c r="S26" s="645"/>
      <c r="T26" s="613"/>
      <c r="U26" s="645"/>
      <c r="V26" s="645"/>
      <c r="W26" s="613"/>
      <c r="X26" s="645"/>
      <c r="Y26" s="645"/>
      <c r="Z26" s="613"/>
      <c r="AA26" s="645"/>
      <c r="AB26" s="645"/>
      <c r="AC26" s="613"/>
      <c r="AD26" s="645"/>
      <c r="AE26" s="645"/>
      <c r="AF26" s="613"/>
      <c r="AG26" s="2235"/>
      <c r="AH26" s="645"/>
      <c r="AI26" s="613"/>
      <c r="AJ26" s="370"/>
      <c r="AK26" s="370">
        <f>S20-Y20</f>
        <v>53.510999999999996</v>
      </c>
      <c r="AL26" s="23"/>
      <c r="AM26" s="23"/>
      <c r="AN26" s="23"/>
      <c r="AO26" s="23"/>
    </row>
    <row r="27" spans="1:41">
      <c r="A27" s="23"/>
      <c r="B27" s="23"/>
      <c r="C27" s="98" t="s">
        <v>665</v>
      </c>
      <c r="D27" s="23"/>
      <c r="E27" s="23"/>
      <c r="F27" s="100"/>
      <c r="G27" s="27"/>
      <c r="H27" s="101"/>
      <c r="I27" s="103"/>
      <c r="J27" s="27"/>
      <c r="K27" s="101"/>
      <c r="L27" s="100"/>
      <c r="M27" s="27"/>
      <c r="N27" s="613"/>
      <c r="O27" s="100"/>
      <c r="P27" s="27"/>
      <c r="Q27" s="613"/>
      <c r="R27" s="645"/>
      <c r="S27" s="645"/>
      <c r="T27" s="613"/>
      <c r="U27" s="645"/>
      <c r="V27" s="645"/>
      <c r="W27" s="613"/>
      <c r="X27" s="645"/>
      <c r="Y27" s="645"/>
      <c r="Z27" s="613"/>
      <c r="AA27" s="645"/>
      <c r="AB27" s="645"/>
      <c r="AC27" s="613"/>
      <c r="AD27" s="645"/>
      <c r="AE27" s="645"/>
      <c r="AF27" s="613"/>
      <c r="AG27" s="645"/>
      <c r="AH27" s="645"/>
      <c r="AI27" s="613"/>
      <c r="AJ27" s="370"/>
      <c r="AK27" s="370">
        <f>S21-Y21</f>
        <v>71.942000000000036</v>
      </c>
      <c r="AL27" s="23"/>
      <c r="AM27" s="23"/>
      <c r="AN27" s="23"/>
      <c r="AO27" s="23"/>
    </row>
    <row r="28" spans="1:41">
      <c r="A28" s="23"/>
      <c r="B28" s="23" t="s">
        <v>115</v>
      </c>
      <c r="C28" s="23"/>
      <c r="D28" s="370">
        <f>D13+D20</f>
        <v>326.66268500000001</v>
      </c>
      <c r="E28" s="23"/>
      <c r="F28" s="572">
        <v>330.31</v>
      </c>
      <c r="G28" s="565">
        <f>G13+G20</f>
        <v>330.31</v>
      </c>
      <c r="H28" s="570">
        <f>G28/D28-1</f>
        <v>1.1165386092384599E-2</v>
      </c>
      <c r="I28" s="103"/>
      <c r="J28" s="565">
        <f>J20+J13</f>
        <v>354.40899999999999</v>
      </c>
      <c r="K28" s="570">
        <f>J28/G28-1</f>
        <v>7.2958735733099189E-2</v>
      </c>
      <c r="L28" s="100"/>
      <c r="M28" s="565">
        <f>M20+M13</f>
        <v>399.101</v>
      </c>
      <c r="N28" s="612">
        <f>M28/J28-1</f>
        <v>0.12610289242090356</v>
      </c>
      <c r="O28" s="100"/>
      <c r="P28" s="565">
        <f>P20+P13</f>
        <v>455.73200000000003</v>
      </c>
      <c r="Q28" s="612">
        <f>P28/M28-1</f>
        <v>0.14189641218638904</v>
      </c>
      <c r="R28" s="644"/>
      <c r="S28" s="565">
        <f>S20+S13</f>
        <v>449.125</v>
      </c>
      <c r="T28" s="612">
        <f>S28/P28-1</f>
        <v>-1.4497555580911703E-2</v>
      </c>
      <c r="U28" s="644"/>
      <c r="V28" s="565">
        <f>V20+V13</f>
        <v>416.80700000000002</v>
      </c>
      <c r="W28" s="612">
        <f>V28/S28-1</f>
        <v>-7.1957695519064835E-2</v>
      </c>
      <c r="X28" s="644"/>
      <c r="Y28" s="565">
        <f>Y20+Y13</f>
        <v>386.95</v>
      </c>
      <c r="Z28" s="612">
        <f>Y28/V28-1</f>
        <v>-7.1632674115358008E-2</v>
      </c>
      <c r="AA28" s="644"/>
      <c r="AB28" s="565">
        <f>AB20+AB13</f>
        <v>369.11799999999999</v>
      </c>
      <c r="AC28" s="612">
        <f>AB28/Y28-1</f>
        <v>-4.608347331696605E-2</v>
      </c>
      <c r="AD28" s="644"/>
      <c r="AE28" s="565">
        <f>AE20+AE13</f>
        <v>359.92899999999997</v>
      </c>
      <c r="AF28" s="612">
        <f>AE28/AB28-1</f>
        <v>-2.4894478188546842E-2</v>
      </c>
      <c r="AG28" s="644"/>
      <c r="AH28" s="565">
        <f>AH20+AH13</f>
        <v>364.89863472002997</v>
      </c>
      <c r="AI28" s="612">
        <f>AH28/AE28-1</f>
        <v>1.3807263988258711E-2</v>
      </c>
      <c r="AJ28" s="93">
        <f>Z28+AC28</f>
        <v>-0.11771614743232406</v>
      </c>
      <c r="AK28" s="370">
        <f>S22-Y22</f>
        <v>72.427000000000021</v>
      </c>
      <c r="AL28" s="23"/>
      <c r="AM28" s="23"/>
      <c r="AN28" s="23"/>
      <c r="AO28" s="23"/>
    </row>
    <row r="29" spans="1:41">
      <c r="A29" s="23"/>
      <c r="B29" s="23" t="s">
        <v>116</v>
      </c>
      <c r="C29" s="23"/>
      <c r="D29" s="370">
        <f>D14+D21</f>
        <v>346.65196800000001</v>
      </c>
      <c r="E29" s="23"/>
      <c r="F29" s="572">
        <v>332.29599999999999</v>
      </c>
      <c r="G29" s="565">
        <f>G14+G21</f>
        <v>332.29599999999999</v>
      </c>
      <c r="H29" s="570">
        <f>G29/D29-1</f>
        <v>-4.1413202073614097E-2</v>
      </c>
      <c r="I29" s="103"/>
      <c r="J29" s="565">
        <f>J21+J14</f>
        <v>362.28200000000004</v>
      </c>
      <c r="K29" s="570">
        <f>J29/G29-1</f>
        <v>9.0238823217854147E-2</v>
      </c>
      <c r="L29" s="100"/>
      <c r="M29" s="565">
        <f>M21+M14</f>
        <v>425.32500000000005</v>
      </c>
      <c r="N29" s="612">
        <f>M29/J29-1</f>
        <v>0.17401637398490677</v>
      </c>
      <c r="O29" s="100"/>
      <c r="P29" s="565">
        <f>P21+P14</f>
        <v>458.08500000000004</v>
      </c>
      <c r="Q29" s="612">
        <f>P29/M29-1</f>
        <v>7.7023452653852909E-2</v>
      </c>
      <c r="R29" s="644"/>
      <c r="S29" s="565">
        <f>S21+S14</f>
        <v>471.72200000000004</v>
      </c>
      <c r="T29" s="612">
        <f>S29/P29-1</f>
        <v>2.9769584247465009E-2</v>
      </c>
      <c r="U29" s="644"/>
      <c r="V29" s="565">
        <f>V21+V14</f>
        <v>425.05600000000004</v>
      </c>
      <c r="W29" s="612">
        <f>V29/S29-1</f>
        <v>-9.8926910341260332E-2</v>
      </c>
      <c r="X29" s="644"/>
      <c r="Y29" s="565">
        <f>Y21+Y14</f>
        <v>387.79899999999998</v>
      </c>
      <c r="Z29" s="612">
        <f>Y29/V29-1</f>
        <v>-8.7651979974403549E-2</v>
      </c>
      <c r="AA29" s="644"/>
      <c r="AB29" s="565">
        <f>AB21+AB14</f>
        <v>382.91700000000003</v>
      </c>
      <c r="AC29" s="612">
        <f>AB29/Y29-1</f>
        <v>-1.2588995845785989E-2</v>
      </c>
      <c r="AD29" s="644"/>
      <c r="AE29" s="565">
        <f>AE21+AE14</f>
        <v>369.29500000000002</v>
      </c>
      <c r="AF29" s="612">
        <f>AE29/AB29-1</f>
        <v>-3.5574288945123933E-2</v>
      </c>
      <c r="AG29" s="644"/>
      <c r="AH29" s="565">
        <f>AH21+AH14</f>
        <v>376.11271052127995</v>
      </c>
      <c r="AI29" s="612">
        <f>AH29/AE29-1</f>
        <v>1.8461421143746604E-2</v>
      </c>
      <c r="AJ29" s="93">
        <f>Z29+AC29</f>
        <v>-0.10024097582018954</v>
      </c>
      <c r="AK29" s="370">
        <f>S23-Y23</f>
        <v>70.106999999999999</v>
      </c>
      <c r="AL29" s="23"/>
      <c r="AM29" s="23"/>
      <c r="AN29" s="23"/>
      <c r="AO29" s="23"/>
    </row>
    <row r="30" spans="1:41">
      <c r="A30" s="23"/>
      <c r="B30" s="23" t="s">
        <v>117</v>
      </c>
      <c r="C30" s="23"/>
      <c r="D30" s="370">
        <f>D15+D22</f>
        <v>381.37435199999999</v>
      </c>
      <c r="E30" s="23"/>
      <c r="F30" s="572">
        <v>349.36200000000002</v>
      </c>
      <c r="G30" s="565">
        <f>G15+G22</f>
        <v>349.25200000000001</v>
      </c>
      <c r="H30" s="570">
        <f>G30/D30-1</f>
        <v>-8.4227876970604409E-2</v>
      </c>
      <c r="I30" s="103"/>
      <c r="J30" s="565">
        <f>J22+J15</f>
        <v>385.13499999999999</v>
      </c>
      <c r="K30" s="570">
        <f>J30/G30-1</f>
        <v>0.10274243239838277</v>
      </c>
      <c r="L30" s="100"/>
      <c r="M30" s="565">
        <f>M22+M15</f>
        <v>461.68299999999999</v>
      </c>
      <c r="N30" s="612">
        <f>M30/J30-1</f>
        <v>0.19875628026536152</v>
      </c>
      <c r="O30" s="100"/>
      <c r="P30" s="565">
        <f>P22+P15</f>
        <v>496.94200000000001</v>
      </c>
      <c r="Q30" s="612">
        <f>P30/M30-1</f>
        <v>7.6370583279003146E-2</v>
      </c>
      <c r="R30" s="644"/>
      <c r="S30" s="565">
        <f>S22+S15</f>
        <v>480.59200000000004</v>
      </c>
      <c r="T30" s="612">
        <f>S30/P30-1</f>
        <v>-3.2901223885282271E-2</v>
      </c>
      <c r="U30" s="644"/>
      <c r="V30" s="565">
        <f>V22+V15</f>
        <v>411.19400000000002</v>
      </c>
      <c r="W30" s="612">
        <f>V30/S30-1</f>
        <v>-0.14440107201118624</v>
      </c>
      <c r="X30" s="644"/>
      <c r="Y30" s="565">
        <f>Y22+Y15</f>
        <v>392.35900000000004</v>
      </c>
      <c r="Z30" s="612">
        <f>Y30/V30-1</f>
        <v>-4.5805629459573782E-2</v>
      </c>
      <c r="AA30" s="644"/>
      <c r="AB30" s="565">
        <f>AB22+AB15</f>
        <v>386.60900000000004</v>
      </c>
      <c r="AC30" s="612">
        <f>AB30/Y30-1</f>
        <v>-1.4654946108028644E-2</v>
      </c>
      <c r="AD30" s="644"/>
      <c r="AE30" s="565">
        <f>AE22+AE15</f>
        <v>375.94399999999996</v>
      </c>
      <c r="AF30" s="612">
        <f>AE30/AB30-1</f>
        <v>-2.7586010672281502E-2</v>
      </c>
      <c r="AG30" s="644"/>
      <c r="AH30" s="565">
        <f>AH22+AH15</f>
        <v>379.29258148943995</v>
      </c>
      <c r="AI30" s="612">
        <f>AH30/AE30-1</f>
        <v>8.9071284272126405E-3</v>
      </c>
      <c r="AJ30" s="93">
        <f>Z30+AC30</f>
        <v>-6.0460575567602426E-2</v>
      </c>
      <c r="AK30" s="23"/>
      <c r="AL30" s="23"/>
      <c r="AM30" s="23"/>
      <c r="AN30" s="23"/>
      <c r="AO30" s="23"/>
    </row>
    <row r="31" spans="1:41">
      <c r="A31" s="23"/>
      <c r="B31" s="23" t="s">
        <v>118</v>
      </c>
      <c r="C31" s="23"/>
      <c r="D31" s="370">
        <f>D16+D23</f>
        <v>384.47712799999999</v>
      </c>
      <c r="E31" s="23"/>
      <c r="F31" s="573">
        <v>380.78300000000002</v>
      </c>
      <c r="G31" s="383">
        <f>G16+G23</f>
        <v>381</v>
      </c>
      <c r="H31" s="571">
        <f>G31/D31-1</f>
        <v>-9.0437837436196933E-3</v>
      </c>
      <c r="I31" s="567"/>
      <c r="J31" s="383">
        <f>J23+J16</f>
        <v>432.23</v>
      </c>
      <c r="K31" s="571">
        <f>J31/G31-1</f>
        <v>0.13446194225721797</v>
      </c>
      <c r="L31" s="567"/>
      <c r="M31" s="383">
        <f>M23+M16</f>
        <v>500.49799999999999</v>
      </c>
      <c r="N31" s="614">
        <f>M31/J31-1</f>
        <v>0.15794368738865883</v>
      </c>
      <c r="O31" s="567"/>
      <c r="P31" s="383">
        <v>577.16700000000003</v>
      </c>
      <c r="Q31" s="614">
        <f>P31/M31-1</f>
        <v>0.15318542731439488</v>
      </c>
      <c r="R31" s="646"/>
      <c r="S31" s="383">
        <f>S23+S16</f>
        <v>505.11500000000001</v>
      </c>
      <c r="T31" s="614">
        <f>S31/P31-1</f>
        <v>-0.12483735210086511</v>
      </c>
      <c r="U31" s="646"/>
      <c r="V31" s="383">
        <f>V23+V16</f>
        <v>441.65899999999999</v>
      </c>
      <c r="W31" s="614">
        <f>V31/S31-1</f>
        <v>-0.1256268374528573</v>
      </c>
      <c r="X31" s="646"/>
      <c r="Y31" s="383">
        <f>Y23+Y16</f>
        <v>430.44100000000003</v>
      </c>
      <c r="Z31" s="614">
        <f>Y31/V31-1</f>
        <v>-2.539968618323174E-2</v>
      </c>
      <c r="AA31" s="646"/>
      <c r="AB31" s="383">
        <f>AB23+AB16</f>
        <v>439.81600000000003</v>
      </c>
      <c r="AC31" s="614">
        <f>AB31/Y31-1</f>
        <v>2.1779988430470132E-2</v>
      </c>
      <c r="AD31" s="646"/>
      <c r="AE31" s="383">
        <f>AE23+AE16</f>
        <v>437.25699999999995</v>
      </c>
      <c r="AF31" s="614">
        <f>AE31/AB31-1</f>
        <v>-5.8183422158358811E-3</v>
      </c>
      <c r="AG31" s="646"/>
      <c r="AH31" s="383">
        <f>AH23+AH16</f>
        <v>439.52473594750006</v>
      </c>
      <c r="AI31" s="614">
        <f>AH31/AE31-1</f>
        <v>5.1862770578861017E-3</v>
      </c>
      <c r="AJ31" s="93">
        <f>Z31+AC31</f>
        <v>-3.6196977527616081E-3</v>
      </c>
      <c r="AK31" s="23"/>
      <c r="AL31" s="23"/>
      <c r="AM31" s="23"/>
      <c r="AN31" s="23"/>
      <c r="AO31" s="23"/>
    </row>
    <row r="32" spans="1:41">
      <c r="A32" s="23"/>
      <c r="B32" s="23"/>
      <c r="C32" s="23"/>
      <c r="D32" s="23"/>
      <c r="E32" s="23"/>
      <c r="F32" s="23"/>
      <c r="G32" s="23"/>
      <c r="H32" s="23"/>
      <c r="I32" s="23"/>
      <c r="J32" s="23"/>
      <c r="K32" s="23"/>
      <c r="L32" s="23"/>
      <c r="M32" s="23"/>
      <c r="N32" s="23"/>
      <c r="O32" s="23"/>
      <c r="P32" s="370"/>
      <c r="Q32" s="23"/>
      <c r="R32" s="23"/>
      <c r="S32" s="23"/>
      <c r="T32" s="23"/>
      <c r="U32" s="23"/>
      <c r="V32" s="23"/>
      <c r="W32" s="23"/>
      <c r="X32" s="23"/>
      <c r="Y32" s="23"/>
      <c r="Z32" s="23"/>
      <c r="AA32" s="23"/>
      <c r="AB32" s="23"/>
      <c r="AC32" s="23"/>
      <c r="AD32" s="23"/>
      <c r="AE32" s="23"/>
      <c r="AF32" s="23"/>
      <c r="AG32" s="23"/>
      <c r="AH32" s="23"/>
      <c r="AI32" s="23"/>
      <c r="AJ32" s="23"/>
      <c r="AK32" s="23"/>
      <c r="AL32" s="23"/>
    </row>
    <row r="33" spans="1:38" hidden="1" outlineLevel="1">
      <c r="A33" s="23"/>
      <c r="B33" s="23"/>
      <c r="C33" s="23" t="s">
        <v>671</v>
      </c>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row>
    <row r="34" spans="1:38" hidden="1" outlineLevel="1">
      <c r="A34" s="23"/>
      <c r="B34" s="23" t="s">
        <v>115</v>
      </c>
      <c r="C34" s="23">
        <f>'qtrP&amp;L'!BH30</f>
        <v>329.755</v>
      </c>
      <c r="D34" s="23"/>
      <c r="E34" s="23"/>
      <c r="F34" s="23">
        <f>'qtrP&amp;L'!BM30</f>
        <v>54.893481949515476</v>
      </c>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row>
    <row r="35" spans="1:38" hidden="1" outlineLevel="1">
      <c r="A35" s="23"/>
      <c r="B35" s="23" t="s">
        <v>116</v>
      </c>
      <c r="C35" s="23">
        <f>'qtrP&amp;L'!BH31</f>
        <v>348.02800000000002</v>
      </c>
      <c r="D35" s="23"/>
      <c r="E35" s="23"/>
      <c r="F35" s="23">
        <f>'qtrP&amp;L'!BM31</f>
        <v>52.147685026074157</v>
      </c>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row>
    <row r="36" spans="1:38" hidden="1" outlineLevel="1">
      <c r="A36" s="23"/>
      <c r="B36" s="23" t="s">
        <v>117</v>
      </c>
      <c r="C36" s="23">
        <f>'qtrP&amp;L'!BH32</f>
        <v>373.56299999999999</v>
      </c>
      <c r="D36" s="23"/>
      <c r="E36" s="23"/>
      <c r="F36" s="23">
        <f>'qtrP&amp;L'!BM32</f>
        <v>46.353909596064142</v>
      </c>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row>
    <row r="37" spans="1:38" hidden="1" outlineLevel="1">
      <c r="A37" s="23"/>
      <c r="B37" s="23" t="s">
        <v>118</v>
      </c>
      <c r="C37" s="23">
        <f>'qtrP&amp;L'!BH33</f>
        <v>385.017</v>
      </c>
      <c r="D37" s="23"/>
      <c r="E37" s="23"/>
      <c r="F37" s="23">
        <f>'qtrP&amp;L'!BM33</f>
        <v>40.682335620748496</v>
      </c>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row>
    <row r="38" spans="1:38" collapsed="1"/>
    <row r="39" spans="1:38">
      <c r="AG39" s="225">
        <v>0.245</v>
      </c>
      <c r="AH39" s="2222">
        <v>162.70959673881049</v>
      </c>
    </row>
    <row r="40" spans="1:38">
      <c r="AG40" s="225">
        <v>0.20799999999999999</v>
      </c>
      <c r="AH40" s="2222">
        <v>160.88964182121327</v>
      </c>
    </row>
    <row r="41" spans="1:38">
      <c r="AG41" s="225">
        <v>0.19500000000000001</v>
      </c>
      <c r="AH41" s="2222">
        <v>159.40849463169445</v>
      </c>
    </row>
    <row r="42" spans="1:38">
      <c r="AG42" s="225">
        <v>0.16500000000000001</v>
      </c>
      <c r="AH42" s="2222">
        <v>168.31020351752861</v>
      </c>
    </row>
    <row r="43" spans="1:38">
      <c r="AG43" s="225">
        <v>0.19886538335318496</v>
      </c>
      <c r="AH43" s="2222">
        <v>651.31793670924685</v>
      </c>
    </row>
    <row r="44" spans="1:38">
      <c r="AG44" s="225"/>
      <c r="AH44" s="225"/>
    </row>
    <row r="45" spans="1:38">
      <c r="AG45" s="225"/>
      <c r="AH45" s="225"/>
    </row>
    <row r="46" spans="1:38">
      <c r="AG46" s="225">
        <v>0.29199999999999998</v>
      </c>
      <c r="AH46" s="2222">
        <v>193.92327448054149</v>
      </c>
    </row>
    <row r="47" spans="1:38">
      <c r="AG47" s="225">
        <v>0.26600000000000001</v>
      </c>
      <c r="AH47" s="2222">
        <v>205.75309963674394</v>
      </c>
    </row>
    <row r="48" spans="1:38">
      <c r="AG48" s="225">
        <v>0.25</v>
      </c>
      <c r="AH48" s="2222">
        <v>204.3698649124288</v>
      </c>
    </row>
    <row r="49" spans="33:34">
      <c r="AG49" s="225">
        <v>0.23</v>
      </c>
      <c r="AH49" s="2222">
        <v>234.61422308503987</v>
      </c>
    </row>
    <row r="50" spans="33:34">
      <c r="AG50" s="225">
        <v>0.2560662387777321</v>
      </c>
      <c r="AH50" s="2222">
        <v>838.66046211475407</v>
      </c>
    </row>
    <row r="51" spans="33:34">
      <c r="AG51" s="225"/>
      <c r="AH51" s="2222">
        <v>1489.978398824001</v>
      </c>
    </row>
  </sheetData>
  <mergeCells count="10">
    <mergeCell ref="AG5:AI5"/>
    <mergeCell ref="AD5:AF5"/>
    <mergeCell ref="AA5:AC5"/>
    <mergeCell ref="X5:Z5"/>
    <mergeCell ref="F5:H5"/>
    <mergeCell ref="O5:Q5"/>
    <mergeCell ref="U5:W5"/>
    <mergeCell ref="R5:T5"/>
    <mergeCell ref="L5:N5"/>
    <mergeCell ref="I5:K5"/>
  </mergeCells>
  <phoneticPr fontId="59" type="noConversion"/>
  <pageMargins left="0.75" right="0.75" top="1" bottom="1" header="0.5" footer="0.5"/>
  <pageSetup scale="63" orientation="portrait" r:id="rId1"/>
  <headerFooter alignWithMargins="0"/>
  <colBreaks count="1" manualBreakCount="1">
    <brk id="23" max="1048575" man="1"/>
  </col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EC60"/>
  <sheetViews>
    <sheetView zoomScale="85" zoomScaleNormal="100" workbookViewId="0">
      <pane xSplit="2" ySplit="5" topLeftCell="CY6" activePane="bottomRight" state="frozen"/>
      <selection activeCell="P42" sqref="P42"/>
      <selection pane="topRight" activeCell="P42" sqref="P42"/>
      <selection pane="bottomLeft" activeCell="P42" sqref="P42"/>
      <selection pane="bottomRight" activeCell="CU32" sqref="CU32"/>
    </sheetView>
  </sheetViews>
  <sheetFormatPr defaultRowHeight="12.75" outlineLevelRow="1" outlineLevelCol="1"/>
  <cols>
    <col min="1" max="1" width="6.5703125" customWidth="1"/>
    <col min="2" max="2" width="5.7109375" customWidth="1"/>
    <col min="3" max="3" width="6" hidden="1" customWidth="1" outlineLevel="1"/>
    <col min="4" max="4" width="7" hidden="1" customWidth="1" outlineLevel="1"/>
    <col min="5" max="5" width="8.42578125" hidden="1" customWidth="1" outlineLevel="1"/>
    <col min="6" max="6" width="1" hidden="1" customWidth="1" outlineLevel="1"/>
    <col min="7" max="7" width="6" hidden="1" customWidth="1" outlineLevel="1"/>
    <col min="8" max="8" width="7" hidden="1" customWidth="1" outlineLevel="1"/>
    <col min="9" max="9" width="8.42578125" hidden="1" customWidth="1" outlineLevel="1"/>
    <col min="10" max="10" width="1" hidden="1" customWidth="1" outlineLevel="1"/>
    <col min="11" max="11" width="6" hidden="1" customWidth="1" outlineLevel="1"/>
    <col min="12" max="12" width="7" hidden="1" customWidth="1" outlineLevel="1"/>
    <col min="13" max="13" width="8.42578125" hidden="1" customWidth="1" outlineLevel="1"/>
    <col min="14" max="14" width="1" hidden="1" customWidth="1" outlineLevel="1"/>
    <col min="15" max="15" width="6" hidden="1" customWidth="1" outlineLevel="1"/>
    <col min="16" max="16" width="7" hidden="1" customWidth="1" outlineLevel="1"/>
    <col min="17" max="17" width="8.42578125" hidden="1" customWidth="1" outlineLevel="1"/>
    <col min="18" max="18" width="1" hidden="1" customWidth="1" outlineLevel="1"/>
    <col min="19" max="19" width="5.7109375" hidden="1" customWidth="1" outlineLevel="1"/>
    <col min="20" max="21" width="7.28515625" hidden="1" customWidth="1" outlineLevel="1"/>
    <col min="22" max="22" width="1.28515625" hidden="1" customWidth="1" outlineLevel="1"/>
    <col min="23" max="23" width="5.7109375" hidden="1" customWidth="1" outlineLevel="1"/>
    <col min="24" max="25" width="7.28515625" hidden="1" customWidth="1" outlineLevel="1"/>
    <col min="26" max="26" width="1.28515625" hidden="1" customWidth="1" outlineLevel="1"/>
    <col min="27" max="27" width="5.7109375" hidden="1" customWidth="1" outlineLevel="1"/>
    <col min="28" max="29" width="7.28515625" hidden="1" customWidth="1" outlineLevel="1"/>
    <col min="30" max="30" width="1.28515625" hidden="1" customWidth="1" outlineLevel="1"/>
    <col min="31" max="31" width="5.7109375" hidden="1" customWidth="1" outlineLevel="1"/>
    <col min="32" max="33" width="7.28515625" hidden="1" customWidth="1" outlineLevel="1"/>
    <col min="34" max="34" width="1.28515625" hidden="1" customWidth="1" outlineLevel="1"/>
    <col min="35" max="35" width="5.7109375" hidden="1" customWidth="1" outlineLevel="1"/>
    <col min="36" max="37" width="7.28515625" hidden="1" customWidth="1" outlineLevel="1"/>
    <col min="38" max="38" width="1.28515625" hidden="1" customWidth="1" outlineLevel="1"/>
    <col min="39" max="39" width="5.7109375" hidden="1" customWidth="1" outlineLevel="1"/>
    <col min="40" max="41" width="7.28515625" hidden="1" customWidth="1" outlineLevel="1"/>
    <col min="42" max="42" width="1.28515625" customWidth="1" collapsed="1"/>
    <col min="43" max="43" width="5.7109375" hidden="1" customWidth="1" outlineLevel="1"/>
    <col min="44" max="45" width="7.28515625" hidden="1" customWidth="1" outlineLevel="1"/>
    <col min="46" max="46" width="1.28515625" hidden="1" customWidth="1" outlineLevel="1"/>
    <col min="47" max="47" width="5.7109375" hidden="1" customWidth="1" outlineLevel="1"/>
    <col min="48" max="49" width="7.28515625" hidden="1" customWidth="1" outlineLevel="1"/>
    <col min="50" max="50" width="1.28515625" hidden="1" customWidth="1" outlineLevel="1"/>
    <col min="51" max="51" width="5.7109375" hidden="1" customWidth="1" outlineLevel="1"/>
    <col min="52" max="52" width="7.140625" hidden="1" customWidth="1" outlineLevel="1"/>
    <col min="53" max="53" width="12.140625" hidden="1" customWidth="1" outlineLevel="1"/>
    <col min="54" max="54" width="1.28515625" hidden="1" customWidth="1" outlineLevel="1"/>
    <col min="55" max="55" width="5.7109375" hidden="1" customWidth="1" outlineLevel="1"/>
    <col min="56" max="57" width="7.28515625" hidden="1" customWidth="1" outlineLevel="1"/>
    <col min="58" max="58" width="1.28515625" hidden="1" customWidth="1" outlineLevel="1"/>
    <col min="59" max="59" width="5.7109375" hidden="1" customWidth="1" outlineLevel="1"/>
    <col min="60" max="61" width="7.28515625" hidden="1" customWidth="1" outlineLevel="1"/>
    <col min="62" max="62" width="1.28515625" hidden="1" customWidth="1" outlineLevel="1"/>
    <col min="63" max="63" width="5.7109375" hidden="1" customWidth="1" outlineLevel="1"/>
    <col min="64" max="65" width="7.28515625" hidden="1" customWidth="1" outlineLevel="1"/>
    <col min="66" max="66" width="1.28515625" hidden="1" customWidth="1" outlineLevel="1"/>
    <col min="67" max="67" width="5.7109375" hidden="1" customWidth="1" outlineLevel="1"/>
    <col min="68" max="69" width="7.28515625" hidden="1" customWidth="1" outlineLevel="1"/>
    <col min="70" max="70" width="1.28515625" hidden="1" customWidth="1" outlineLevel="1"/>
    <col min="71" max="71" width="6.140625" hidden="1" customWidth="1" outlineLevel="1"/>
    <col min="72" max="73" width="7.28515625" hidden="1" customWidth="1" outlineLevel="1"/>
    <col min="74" max="74" width="0.7109375" hidden="1" customWidth="1" outlineLevel="1"/>
    <col min="75" max="75" width="6.140625" hidden="1" customWidth="1" outlineLevel="1"/>
    <col min="76" max="77" width="7.28515625" hidden="1" customWidth="1" outlineLevel="1"/>
    <col min="78" max="78" width="1.28515625" hidden="1" customWidth="1" outlineLevel="1"/>
    <col min="79" max="79" width="6.140625" hidden="1" customWidth="1" outlineLevel="1"/>
    <col min="80" max="81" width="7.28515625" hidden="1" customWidth="1" outlineLevel="1"/>
    <col min="82" max="82" width="1.5703125" hidden="1" customWidth="1" outlineLevel="1"/>
    <col min="83" max="83" width="6.140625" hidden="1" customWidth="1" outlineLevel="1"/>
    <col min="84" max="85" width="7.28515625" hidden="1" customWidth="1" outlineLevel="1"/>
    <col min="86" max="86" width="1.5703125" hidden="1" customWidth="1" outlineLevel="1"/>
    <col min="87" max="89" width="9.140625" hidden="1" customWidth="1" outlineLevel="1"/>
    <col min="90" max="90" width="1.5703125" hidden="1" customWidth="1" outlineLevel="1"/>
    <col min="91" max="92" width="9.140625" hidden="1" customWidth="1" outlineLevel="1"/>
    <col min="93" max="93" width="10" hidden="1" customWidth="1" outlineLevel="1"/>
    <col min="94" max="94" width="1.5703125" hidden="1" customWidth="1" outlineLevel="1"/>
    <col min="95" max="97" width="9.140625" hidden="1" customWidth="1" outlineLevel="1"/>
    <col min="98" max="98" width="1.5703125" hidden="1" customWidth="1" outlineLevel="1"/>
    <col min="99" max="101" width="9.140625" hidden="1" customWidth="1" outlineLevel="1"/>
    <col min="102" max="102" width="1.5703125" hidden="1" customWidth="1" outlineLevel="1"/>
    <col min="103" max="103" width="9.140625" collapsed="1"/>
    <col min="106" max="106" width="1.5703125" customWidth="1"/>
    <col min="110" max="110" width="1.5703125" customWidth="1"/>
    <col min="114" max="114" width="1.5703125" customWidth="1"/>
    <col min="118" max="118" width="1.5703125" customWidth="1"/>
    <col min="122" max="122" width="1.5703125" customWidth="1"/>
    <col min="126" max="126" width="1.5703125" customWidth="1"/>
    <col min="130" max="130" width="1.5703125" customWidth="1"/>
  </cols>
  <sheetData>
    <row r="1" spans="1:133">
      <c r="A1" s="133" t="str">
        <f>sumry!A1</f>
        <v>Abercrombie &amp; Fitch</v>
      </c>
      <c r="B1" s="140"/>
      <c r="C1" s="140"/>
      <c r="D1" s="140"/>
      <c r="E1" s="140"/>
      <c r="F1" s="140"/>
      <c r="G1" s="140"/>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9"/>
      <c r="AU1" s="140"/>
      <c r="AV1" s="140"/>
      <c r="AW1" s="140"/>
      <c r="AX1" s="149"/>
      <c r="AY1" s="140"/>
      <c r="AZ1" s="140"/>
      <c r="BA1" s="140"/>
      <c r="BB1" s="149"/>
      <c r="BC1" s="140"/>
      <c r="BD1" s="140"/>
      <c r="BE1" s="140"/>
      <c r="BF1" s="149"/>
      <c r="BG1" s="141"/>
      <c r="BH1" s="141"/>
      <c r="BI1" s="141"/>
      <c r="BJ1" s="149"/>
      <c r="BK1" s="141"/>
      <c r="BL1" s="141"/>
      <c r="BM1" s="141"/>
      <c r="BN1" s="149"/>
      <c r="BO1" s="141"/>
      <c r="BP1" s="141"/>
      <c r="BQ1" s="141"/>
      <c r="BR1" s="149"/>
      <c r="BS1" s="141"/>
      <c r="BT1" s="141"/>
      <c r="BU1" s="141"/>
      <c r="BV1" s="149"/>
      <c r="BW1" s="141"/>
      <c r="BX1" s="141"/>
      <c r="BY1" s="141"/>
      <c r="BZ1" s="149"/>
      <c r="CA1" s="141"/>
      <c r="CB1" s="141"/>
      <c r="CC1" s="141"/>
      <c r="CD1" s="141"/>
      <c r="CE1" s="141"/>
      <c r="CF1" s="141"/>
      <c r="CG1" s="141"/>
      <c r="CH1" s="141"/>
      <c r="CI1" s="141"/>
      <c r="CJ1" s="141"/>
      <c r="CK1" s="563"/>
      <c r="CL1" s="141"/>
      <c r="CM1" s="141"/>
      <c r="CN1" s="141"/>
      <c r="CO1" s="563"/>
      <c r="CP1" s="141"/>
      <c r="CQ1" s="141"/>
      <c r="CR1" s="141"/>
      <c r="CS1" s="141"/>
      <c r="CT1" s="141"/>
      <c r="CU1" s="141"/>
      <c r="CV1" s="141"/>
      <c r="CW1" s="141"/>
      <c r="CX1" s="141"/>
      <c r="CY1" s="141"/>
      <c r="CZ1" s="141"/>
      <c r="DA1" s="141"/>
    </row>
    <row r="2" spans="1:133">
      <c r="A2" s="216" t="s">
        <v>453</v>
      </c>
      <c r="B2" s="217"/>
      <c r="C2" s="217"/>
      <c r="D2" s="217"/>
      <c r="E2" s="217"/>
      <c r="F2" s="217"/>
      <c r="G2" s="217"/>
      <c r="H2" s="217"/>
      <c r="I2" s="217"/>
      <c r="J2" s="217"/>
      <c r="K2" s="217"/>
      <c r="L2" s="217"/>
      <c r="M2" s="217"/>
      <c r="N2" s="217"/>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c r="AN2" s="217"/>
      <c r="AO2" s="217"/>
      <c r="AP2" s="217"/>
      <c r="AQ2" s="217"/>
      <c r="AR2" s="217"/>
      <c r="AS2" s="217"/>
      <c r="AT2" s="218"/>
      <c r="AU2" s="217"/>
      <c r="AV2" s="217"/>
      <c r="AW2" s="217"/>
      <c r="AX2" s="218"/>
      <c r="AY2" s="217"/>
      <c r="AZ2" s="217"/>
      <c r="BA2" s="217"/>
      <c r="BB2" s="218"/>
      <c r="BC2" s="217"/>
      <c r="BD2" s="217"/>
      <c r="BE2" s="217"/>
      <c r="BF2" s="218"/>
      <c r="BG2" s="218"/>
      <c r="BH2" s="218"/>
      <c r="BI2" s="218"/>
      <c r="BJ2" s="218"/>
      <c r="BK2" s="218"/>
      <c r="BL2" s="218"/>
      <c r="BM2" s="218"/>
      <c r="BN2" s="218"/>
      <c r="BO2" s="218"/>
      <c r="BP2" s="218"/>
      <c r="BQ2" s="218"/>
      <c r="BR2" s="218"/>
      <c r="BS2" s="218"/>
      <c r="BT2" s="218"/>
      <c r="BU2" s="218"/>
      <c r="BV2" s="218"/>
      <c r="BW2" s="218"/>
      <c r="BX2" s="218"/>
      <c r="BY2" s="218"/>
      <c r="BZ2" s="218"/>
      <c r="CA2" s="218"/>
      <c r="CB2" s="218"/>
      <c r="CC2" s="218"/>
      <c r="CD2" s="218"/>
      <c r="CE2" s="218"/>
      <c r="CF2" s="218"/>
      <c r="CG2" s="218"/>
      <c r="CH2" s="218"/>
      <c r="CI2" s="218"/>
      <c r="CJ2" s="218"/>
      <c r="CK2" s="218"/>
      <c r="CL2" s="218"/>
      <c r="CM2" s="218"/>
      <c r="CN2" s="218"/>
      <c r="CO2" s="564"/>
      <c r="CP2" s="218"/>
      <c r="CQ2" s="218"/>
      <c r="CR2" s="218"/>
      <c r="CS2" s="218"/>
      <c r="CT2" s="218"/>
      <c r="CU2" s="218"/>
      <c r="CV2" s="218"/>
      <c r="CW2" s="218"/>
      <c r="CX2" s="218"/>
      <c r="CY2" s="218"/>
      <c r="CZ2" s="218"/>
      <c r="DA2" s="218"/>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row>
    <row r="3" spans="1:133">
      <c r="A3" s="142"/>
      <c r="B3" s="142"/>
      <c r="C3" s="142"/>
      <c r="D3" s="142"/>
      <c r="E3" s="142"/>
      <c r="F3" s="142"/>
      <c r="G3" s="142"/>
      <c r="H3" s="142"/>
      <c r="I3" s="142"/>
      <c r="J3" s="142"/>
      <c r="K3" s="142"/>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2"/>
      <c r="AT3" s="149"/>
      <c r="AU3" s="142"/>
      <c r="AV3" s="142"/>
      <c r="AW3" s="142"/>
      <c r="AX3" s="149"/>
      <c r="AY3" s="142"/>
      <c r="AZ3" s="142"/>
      <c r="BA3" s="142"/>
      <c r="BB3" s="149"/>
      <c r="BC3" s="142"/>
      <c r="BD3" s="142"/>
      <c r="BE3" s="142"/>
      <c r="BF3" s="149"/>
      <c r="BG3" s="141"/>
      <c r="BH3" s="141"/>
      <c r="BI3" s="141"/>
      <c r="BJ3" s="149"/>
      <c r="BK3" s="141"/>
      <c r="BL3" s="141"/>
      <c r="BM3" s="141"/>
      <c r="BN3" s="149"/>
      <c r="BO3" s="141"/>
      <c r="BP3" s="141"/>
      <c r="BQ3" s="141"/>
      <c r="BR3" s="149"/>
      <c r="BS3" s="141"/>
      <c r="BT3" s="141"/>
      <c r="BU3" s="141"/>
      <c r="BV3" s="149"/>
      <c r="BW3" s="141"/>
      <c r="BX3" s="141"/>
      <c r="BY3" s="141"/>
      <c r="BZ3" s="149"/>
      <c r="CA3" s="141"/>
      <c r="CB3" s="141"/>
      <c r="CC3" s="141"/>
      <c r="CD3" s="141"/>
      <c r="CE3" s="141"/>
      <c r="CF3" s="141"/>
      <c r="CG3" s="141"/>
      <c r="CH3" s="141"/>
      <c r="CI3" s="141"/>
      <c r="CJ3" s="141"/>
      <c r="CK3" s="141"/>
      <c r="CL3" s="141"/>
      <c r="CM3" s="141"/>
      <c r="CN3" s="141"/>
      <c r="CO3" s="141"/>
      <c r="CP3" s="141"/>
      <c r="CQ3" s="141"/>
      <c r="CR3" s="141"/>
      <c r="CS3" s="141"/>
      <c r="CT3" s="141"/>
      <c r="CU3" s="141"/>
      <c r="CV3" s="141"/>
      <c r="CW3" s="141"/>
      <c r="CX3" s="141"/>
      <c r="CY3" s="141"/>
      <c r="CZ3" s="141"/>
      <c r="DA3" s="141"/>
    </row>
    <row r="4" spans="1:133">
      <c r="A4" s="143" t="s">
        <v>454</v>
      </c>
      <c r="B4" s="144"/>
      <c r="C4" s="145" t="s">
        <v>455</v>
      </c>
      <c r="D4" s="146"/>
      <c r="E4" s="145"/>
      <c r="F4" s="144"/>
      <c r="G4" s="145" t="s">
        <v>456</v>
      </c>
      <c r="H4" s="146"/>
      <c r="I4" s="145"/>
      <c r="J4" s="144"/>
      <c r="K4" s="145" t="s">
        <v>457</v>
      </c>
      <c r="L4" s="146"/>
      <c r="M4" s="145"/>
      <c r="N4" s="144"/>
      <c r="O4" s="145" t="s">
        <v>458</v>
      </c>
      <c r="P4" s="146"/>
      <c r="Q4" s="145"/>
      <c r="R4" s="144"/>
      <c r="S4" s="145" t="s">
        <v>459</v>
      </c>
      <c r="T4" s="146"/>
      <c r="U4" s="145"/>
      <c r="V4" s="144"/>
      <c r="W4" s="144" t="s">
        <v>460</v>
      </c>
      <c r="X4" s="146"/>
      <c r="Y4" s="145"/>
      <c r="Z4" s="147"/>
      <c r="AA4" s="144" t="s">
        <v>461</v>
      </c>
      <c r="AB4" s="146"/>
      <c r="AC4" s="145"/>
      <c r="AD4" s="147"/>
      <c r="AE4" s="144" t="s">
        <v>462</v>
      </c>
      <c r="AF4" s="146"/>
      <c r="AG4" s="145"/>
      <c r="AH4" s="147"/>
      <c r="AI4" s="144" t="s">
        <v>463</v>
      </c>
      <c r="AJ4" s="146"/>
      <c r="AK4" s="145"/>
      <c r="AL4" s="147"/>
      <c r="AM4" s="144" t="s">
        <v>464</v>
      </c>
      <c r="AN4" s="146"/>
      <c r="AO4" s="145"/>
      <c r="AP4" s="147"/>
      <c r="AQ4" s="161" t="s">
        <v>465</v>
      </c>
      <c r="AR4" s="162"/>
      <c r="AS4" s="163"/>
      <c r="AT4" s="151"/>
      <c r="AU4" s="161" t="s">
        <v>599</v>
      </c>
      <c r="AV4" s="162"/>
      <c r="AW4" s="163"/>
      <c r="AX4" s="151"/>
      <c r="AY4" s="161" t="s">
        <v>693</v>
      </c>
      <c r="AZ4" s="162"/>
      <c r="BA4" s="163"/>
      <c r="BB4" s="151"/>
      <c r="BC4" s="161" t="s">
        <v>724</v>
      </c>
      <c r="BD4" s="162"/>
      <c r="BE4" s="163"/>
      <c r="BF4" s="151"/>
      <c r="BG4" s="161" t="s">
        <v>63</v>
      </c>
      <c r="BH4" s="162"/>
      <c r="BI4" s="163"/>
      <c r="BJ4" s="151"/>
      <c r="BK4" s="334">
        <v>2005</v>
      </c>
      <c r="BL4" s="162"/>
      <c r="BM4" s="163"/>
      <c r="BN4" s="151"/>
      <c r="BO4" s="334">
        <f>+BK4+1</f>
        <v>2006</v>
      </c>
      <c r="BP4" s="162"/>
      <c r="BQ4" s="163"/>
      <c r="BR4" s="151"/>
      <c r="BS4" s="334">
        <f>+BO4+1</f>
        <v>2007</v>
      </c>
      <c r="BT4" s="162"/>
      <c r="BU4" s="163"/>
      <c r="BV4" s="151"/>
      <c r="BW4" s="334">
        <f>+BS4+1</f>
        <v>2008</v>
      </c>
      <c r="BX4" s="162"/>
      <c r="BY4" s="163"/>
      <c r="BZ4" s="151"/>
      <c r="CA4" s="334">
        <f>+BW4+1</f>
        <v>2009</v>
      </c>
      <c r="CB4" s="162"/>
      <c r="CC4" s="163"/>
      <c r="CD4" s="148"/>
      <c r="CE4" s="334">
        <f>+CA4+1</f>
        <v>2010</v>
      </c>
      <c r="CF4" s="162"/>
      <c r="CG4" s="163"/>
      <c r="CH4" s="148"/>
      <c r="CI4" s="334">
        <f>+CE4+1</f>
        <v>2011</v>
      </c>
      <c r="CJ4" s="162"/>
      <c r="CK4" s="163"/>
      <c r="CL4" s="148"/>
      <c r="CM4" s="730">
        <f>+CI4+1</f>
        <v>2012</v>
      </c>
      <c r="CN4" s="162"/>
      <c r="CO4" s="163"/>
      <c r="CP4" s="148"/>
      <c r="CQ4" s="730">
        <f>+CM4+1</f>
        <v>2013</v>
      </c>
      <c r="CR4" s="162"/>
      <c r="CS4" s="163"/>
      <c r="CT4" s="148"/>
      <c r="CU4" s="730">
        <f>+CQ4+1</f>
        <v>2014</v>
      </c>
      <c r="CV4" s="162"/>
      <c r="CW4" s="163"/>
      <c r="CX4" s="148"/>
      <c r="CY4" s="730">
        <f>+CU4+1</f>
        <v>2015</v>
      </c>
      <c r="CZ4" s="162"/>
      <c r="DA4" s="163"/>
      <c r="DC4" s="730">
        <f>+CY4+1</f>
        <v>2016</v>
      </c>
      <c r="DD4" s="2064"/>
      <c r="DE4" s="2065"/>
      <c r="DG4" s="335">
        <f>+DC4+1</f>
        <v>2017</v>
      </c>
      <c r="DH4" s="2064"/>
      <c r="DI4" s="2065"/>
      <c r="DK4" s="335">
        <f>+DG4+1</f>
        <v>2018</v>
      </c>
      <c r="DL4" s="162"/>
      <c r="DM4" s="163"/>
      <c r="DO4" s="335">
        <f>+DK4+1</f>
        <v>2019</v>
      </c>
      <c r="DP4" s="162"/>
      <c r="DQ4" s="163"/>
      <c r="DS4" s="335">
        <f>+DO4+1</f>
        <v>2020</v>
      </c>
      <c r="DT4" s="162"/>
      <c r="DU4" s="163"/>
      <c r="DW4" s="335">
        <f>+DS4+1</f>
        <v>2021</v>
      </c>
      <c r="DX4" s="162"/>
      <c r="DY4" s="163"/>
      <c r="EA4" s="335">
        <f>+DW4+1</f>
        <v>2022</v>
      </c>
      <c r="EB4" s="162"/>
      <c r="EC4" s="163"/>
    </row>
    <row r="5" spans="1:133">
      <c r="A5" s="148"/>
      <c r="B5" s="152"/>
      <c r="C5" s="152" t="s">
        <v>466</v>
      </c>
      <c r="D5" s="153" t="s">
        <v>467</v>
      </c>
      <c r="E5" s="152" t="s">
        <v>468</v>
      </c>
      <c r="F5" s="152"/>
      <c r="G5" s="152" t="s">
        <v>466</v>
      </c>
      <c r="H5" s="153" t="s">
        <v>467</v>
      </c>
      <c r="I5" s="152" t="s">
        <v>468</v>
      </c>
      <c r="J5" s="152"/>
      <c r="K5" s="152" t="s">
        <v>466</v>
      </c>
      <c r="L5" s="153" t="s">
        <v>467</v>
      </c>
      <c r="M5" s="152" t="s">
        <v>468</v>
      </c>
      <c r="N5" s="152"/>
      <c r="O5" s="152" t="s">
        <v>466</v>
      </c>
      <c r="P5" s="153" t="s">
        <v>467</v>
      </c>
      <c r="Q5" s="152" t="s">
        <v>468</v>
      </c>
      <c r="R5" s="152"/>
      <c r="S5" s="152" t="s">
        <v>466</v>
      </c>
      <c r="T5" s="153" t="s">
        <v>467</v>
      </c>
      <c r="U5" s="152" t="s">
        <v>468</v>
      </c>
      <c r="V5" s="152"/>
      <c r="W5" s="152" t="s">
        <v>466</v>
      </c>
      <c r="X5" s="153" t="s">
        <v>467</v>
      </c>
      <c r="Y5" s="152" t="s">
        <v>468</v>
      </c>
      <c r="Z5" s="152"/>
      <c r="AA5" s="152" t="s">
        <v>466</v>
      </c>
      <c r="AB5" s="153" t="s">
        <v>467</v>
      </c>
      <c r="AC5" s="152" t="s">
        <v>468</v>
      </c>
      <c r="AD5" s="152"/>
      <c r="AE5" s="152" t="s">
        <v>466</v>
      </c>
      <c r="AF5" s="153" t="s">
        <v>467</v>
      </c>
      <c r="AG5" s="152" t="s">
        <v>468</v>
      </c>
      <c r="AH5" s="152"/>
      <c r="AI5" s="152" t="s">
        <v>466</v>
      </c>
      <c r="AJ5" s="153" t="s">
        <v>467</v>
      </c>
      <c r="AK5" s="152" t="s">
        <v>468</v>
      </c>
      <c r="AL5" s="152"/>
      <c r="AM5" s="152" t="s">
        <v>466</v>
      </c>
      <c r="AN5" s="153" t="s">
        <v>467</v>
      </c>
      <c r="AO5" s="152" t="s">
        <v>468</v>
      </c>
      <c r="AP5" s="152"/>
      <c r="AQ5" s="164" t="s">
        <v>466</v>
      </c>
      <c r="AR5" s="153" t="s">
        <v>467</v>
      </c>
      <c r="AS5" s="165" t="s">
        <v>468</v>
      </c>
      <c r="AT5" s="151"/>
      <c r="AU5" s="164" t="s">
        <v>466</v>
      </c>
      <c r="AV5" s="153" t="s">
        <v>467</v>
      </c>
      <c r="AW5" s="165" t="s">
        <v>468</v>
      </c>
      <c r="AX5" s="151"/>
      <c r="AY5" s="164" t="s">
        <v>466</v>
      </c>
      <c r="AZ5" s="153" t="s">
        <v>467</v>
      </c>
      <c r="BA5" s="165" t="s">
        <v>468</v>
      </c>
      <c r="BB5" s="151"/>
      <c r="BC5" s="164" t="s">
        <v>466</v>
      </c>
      <c r="BD5" s="153" t="s">
        <v>467</v>
      </c>
      <c r="BE5" s="165" t="s">
        <v>468</v>
      </c>
      <c r="BF5" s="151"/>
      <c r="BG5" s="164" t="s">
        <v>466</v>
      </c>
      <c r="BH5" s="153" t="s">
        <v>467</v>
      </c>
      <c r="BI5" s="165" t="s">
        <v>468</v>
      </c>
      <c r="BJ5" s="151"/>
      <c r="BK5" s="323" t="s">
        <v>466</v>
      </c>
      <c r="BL5" s="153" t="s">
        <v>467</v>
      </c>
      <c r="BM5" s="165" t="s">
        <v>468</v>
      </c>
      <c r="BN5" s="151"/>
      <c r="BO5" s="164" t="s">
        <v>466</v>
      </c>
      <c r="BP5" s="153" t="s">
        <v>467</v>
      </c>
      <c r="BQ5" s="165" t="s">
        <v>468</v>
      </c>
      <c r="BR5" s="151"/>
      <c r="BS5" s="164" t="s">
        <v>466</v>
      </c>
      <c r="BT5" s="153" t="s">
        <v>467</v>
      </c>
      <c r="BU5" s="165" t="s">
        <v>468</v>
      </c>
      <c r="BV5" s="151"/>
      <c r="BW5" s="164" t="s">
        <v>466</v>
      </c>
      <c r="BX5" s="153" t="s">
        <v>467</v>
      </c>
      <c r="BY5" s="165" t="s">
        <v>468</v>
      </c>
      <c r="BZ5" s="151"/>
      <c r="CA5" s="164" t="s">
        <v>466</v>
      </c>
      <c r="CB5" s="153" t="s">
        <v>467</v>
      </c>
      <c r="CC5" s="165" t="s">
        <v>468</v>
      </c>
      <c r="CD5" s="148"/>
      <c r="CE5" s="164" t="s">
        <v>466</v>
      </c>
      <c r="CF5" s="153" t="s">
        <v>467</v>
      </c>
      <c r="CG5" s="165" t="s">
        <v>468</v>
      </c>
      <c r="CH5" s="148"/>
      <c r="CI5" s="164" t="s">
        <v>466</v>
      </c>
      <c r="CJ5" s="153" t="s">
        <v>467</v>
      </c>
      <c r="CK5" s="165" t="s">
        <v>468</v>
      </c>
      <c r="CL5" s="148"/>
      <c r="CM5" s="164" t="s">
        <v>466</v>
      </c>
      <c r="CN5" s="153" t="s">
        <v>467</v>
      </c>
      <c r="CO5" s="165" t="s">
        <v>468</v>
      </c>
      <c r="CP5" s="148"/>
      <c r="CQ5" s="164" t="s">
        <v>466</v>
      </c>
      <c r="CR5" s="153" t="s">
        <v>467</v>
      </c>
      <c r="CS5" s="165" t="s">
        <v>468</v>
      </c>
      <c r="CT5" s="148"/>
      <c r="CU5" s="164" t="s">
        <v>466</v>
      </c>
      <c r="CV5" s="153" t="s">
        <v>467</v>
      </c>
      <c r="CW5" s="165" t="s">
        <v>468</v>
      </c>
      <c r="CX5" s="148"/>
      <c r="CY5" s="164" t="s">
        <v>466</v>
      </c>
      <c r="CZ5" s="153" t="s">
        <v>467</v>
      </c>
      <c r="DA5" s="165" t="s">
        <v>468</v>
      </c>
      <c r="DC5" s="164" t="s">
        <v>466</v>
      </c>
      <c r="DD5" s="153" t="s">
        <v>467</v>
      </c>
      <c r="DE5" s="165" t="s">
        <v>468</v>
      </c>
      <c r="DG5" s="164" t="s">
        <v>466</v>
      </c>
      <c r="DH5" s="153" t="s">
        <v>467</v>
      </c>
      <c r="DI5" s="165" t="s">
        <v>468</v>
      </c>
      <c r="DK5" s="164" t="s">
        <v>466</v>
      </c>
      <c r="DL5" s="153" t="s">
        <v>467</v>
      </c>
      <c r="DM5" s="165" t="s">
        <v>468</v>
      </c>
      <c r="DO5" s="164" t="s">
        <v>466</v>
      </c>
      <c r="DP5" s="153" t="s">
        <v>467</v>
      </c>
      <c r="DQ5" s="165" t="s">
        <v>468</v>
      </c>
      <c r="DS5" s="164" t="s">
        <v>466</v>
      </c>
      <c r="DT5" s="153" t="s">
        <v>467</v>
      </c>
      <c r="DU5" s="165" t="s">
        <v>468</v>
      </c>
      <c r="DW5" s="164" t="s">
        <v>466</v>
      </c>
      <c r="DX5" s="153" t="s">
        <v>467</v>
      </c>
      <c r="DY5" s="165" t="s">
        <v>468</v>
      </c>
      <c r="EA5" s="164" t="s">
        <v>466</v>
      </c>
      <c r="EB5" s="153" t="s">
        <v>467</v>
      </c>
      <c r="EC5" s="165" t="s">
        <v>468</v>
      </c>
    </row>
    <row r="6" spans="1:133">
      <c r="A6" s="148"/>
      <c r="B6" s="152"/>
      <c r="C6" s="152"/>
      <c r="D6" s="153"/>
      <c r="E6" s="152"/>
      <c r="F6" s="152"/>
      <c r="G6" s="152"/>
      <c r="H6" s="153"/>
      <c r="I6" s="152"/>
      <c r="J6" s="152"/>
      <c r="K6" s="152"/>
      <c r="L6" s="153"/>
      <c r="M6" s="152"/>
      <c r="N6" s="152"/>
      <c r="O6" s="152"/>
      <c r="P6" s="153"/>
      <c r="Q6" s="152"/>
      <c r="R6" s="152"/>
      <c r="S6" s="152"/>
      <c r="T6" s="153"/>
      <c r="U6" s="152"/>
      <c r="V6" s="152"/>
      <c r="W6" s="152"/>
      <c r="X6" s="153"/>
      <c r="Y6" s="152"/>
      <c r="Z6" s="152"/>
      <c r="AA6" s="152"/>
      <c r="AB6" s="153"/>
      <c r="AC6" s="152"/>
      <c r="AD6" s="152"/>
      <c r="AE6" s="152"/>
      <c r="AF6" s="153"/>
      <c r="AG6" s="156" t="s">
        <v>469</v>
      </c>
      <c r="AH6" s="152"/>
      <c r="AI6" s="152"/>
      <c r="AJ6" s="153"/>
      <c r="AK6" s="156" t="s">
        <v>469</v>
      </c>
      <c r="AL6" s="152"/>
      <c r="AM6" s="152"/>
      <c r="AN6" s="153"/>
      <c r="AO6" s="156" t="s">
        <v>469</v>
      </c>
      <c r="AP6" s="152"/>
      <c r="AQ6" s="164"/>
      <c r="AR6" s="153"/>
      <c r="AS6" s="166" t="s">
        <v>469</v>
      </c>
      <c r="AT6" s="151"/>
      <c r="AU6" s="164"/>
      <c r="AV6" s="153"/>
      <c r="AW6" s="166" t="s">
        <v>469</v>
      </c>
      <c r="AX6" s="151"/>
      <c r="AY6" s="164"/>
      <c r="AZ6" s="153"/>
      <c r="BA6" s="166" t="s">
        <v>469</v>
      </c>
      <c r="BB6" s="151"/>
      <c r="BC6" s="164"/>
      <c r="BD6" s="153"/>
      <c r="BE6" s="166" t="s">
        <v>469</v>
      </c>
      <c r="BF6" s="151"/>
      <c r="BG6" s="164"/>
      <c r="BH6" s="153"/>
      <c r="BI6" s="166" t="s">
        <v>469</v>
      </c>
      <c r="BJ6" s="151"/>
      <c r="BK6" s="164"/>
      <c r="BL6" s="153"/>
      <c r="BM6" s="166" t="s">
        <v>469</v>
      </c>
      <c r="BN6" s="151"/>
      <c r="BO6" s="164"/>
      <c r="BP6" s="153"/>
      <c r="BQ6" s="166" t="s">
        <v>469</v>
      </c>
      <c r="BR6" s="151"/>
      <c r="BS6" s="164"/>
      <c r="BT6" s="153"/>
      <c r="BU6" s="166" t="s">
        <v>469</v>
      </c>
      <c r="BV6" s="151"/>
      <c r="BW6" s="164"/>
      <c r="BX6" s="153"/>
      <c r="BY6" s="166" t="s">
        <v>469</v>
      </c>
      <c r="BZ6" s="151"/>
      <c r="CA6" s="164"/>
      <c r="CB6" s="153"/>
      <c r="CC6" s="166" t="s">
        <v>469</v>
      </c>
      <c r="CD6" s="148"/>
      <c r="CE6" s="164"/>
      <c r="CF6" s="153"/>
      <c r="CG6" s="166" t="s">
        <v>469</v>
      </c>
      <c r="CH6" s="148"/>
      <c r="CI6" s="164"/>
      <c r="CJ6" s="153"/>
      <c r="CK6" s="166" t="s">
        <v>469</v>
      </c>
      <c r="CL6" s="148"/>
      <c r="CM6" s="164"/>
      <c r="CN6" s="153"/>
      <c r="CO6" s="166" t="s">
        <v>469</v>
      </c>
      <c r="CP6" s="148"/>
      <c r="CQ6" s="164"/>
      <c r="CR6" s="153"/>
      <c r="CS6" s="166" t="s">
        <v>469</v>
      </c>
      <c r="CT6" s="148"/>
      <c r="CU6" s="164"/>
      <c r="CV6" s="153"/>
      <c r="CW6" s="166" t="s">
        <v>469</v>
      </c>
      <c r="CX6" s="148"/>
      <c r="CY6" s="164"/>
      <c r="CZ6" s="153"/>
      <c r="DA6" s="166" t="s">
        <v>469</v>
      </c>
      <c r="DC6" s="164"/>
      <c r="DD6" s="153"/>
      <c r="DE6" s="166" t="s">
        <v>469</v>
      </c>
      <c r="DG6" s="164"/>
      <c r="DH6" s="153"/>
      <c r="DI6" s="166" t="s">
        <v>469</v>
      </c>
      <c r="DK6" s="164"/>
      <c r="DL6" s="153"/>
      <c r="DM6" s="166" t="s">
        <v>469</v>
      </c>
      <c r="DO6" s="164"/>
      <c r="DP6" s="153"/>
      <c r="DQ6" s="166" t="s">
        <v>469</v>
      </c>
      <c r="DS6" s="164"/>
      <c r="DT6" s="153"/>
      <c r="DU6" s="166" t="s">
        <v>469</v>
      </c>
      <c r="DW6" s="164"/>
      <c r="DX6" s="153"/>
      <c r="DY6" s="166" t="s">
        <v>469</v>
      </c>
      <c r="EA6" s="164"/>
      <c r="EB6" s="153"/>
      <c r="EC6" s="166" t="s">
        <v>469</v>
      </c>
    </row>
    <row r="7" spans="1:133">
      <c r="A7" s="148"/>
      <c r="B7" s="152"/>
      <c r="C7" s="152"/>
      <c r="D7" s="153"/>
      <c r="E7" s="152"/>
      <c r="F7" s="152"/>
      <c r="G7" s="152"/>
      <c r="H7" s="153"/>
      <c r="I7" s="152"/>
      <c r="J7" s="152"/>
      <c r="K7" s="152"/>
      <c r="L7" s="153"/>
      <c r="M7" s="152"/>
      <c r="N7" s="152"/>
      <c r="O7" s="152"/>
      <c r="P7" s="153"/>
      <c r="Q7" s="152"/>
      <c r="R7" s="152"/>
      <c r="S7" s="152"/>
      <c r="T7" s="153"/>
      <c r="U7" s="152"/>
      <c r="V7" s="152"/>
      <c r="W7" s="152"/>
      <c r="X7" s="153"/>
      <c r="Y7" s="152"/>
      <c r="Z7" s="152"/>
      <c r="AA7" s="152"/>
      <c r="AB7" s="153"/>
      <c r="AC7" s="152"/>
      <c r="AD7" s="152"/>
      <c r="AE7" s="152"/>
      <c r="AF7" s="153"/>
      <c r="AG7" s="156"/>
      <c r="AH7" s="152"/>
      <c r="AI7" s="152"/>
      <c r="AJ7" s="153"/>
      <c r="AK7" s="156"/>
      <c r="AL7" s="152"/>
      <c r="AM7" s="152"/>
      <c r="AN7" s="153"/>
      <c r="AO7" s="156"/>
      <c r="AP7" s="152"/>
      <c r="AQ7" s="164"/>
      <c r="AR7" s="153"/>
      <c r="AS7" s="166"/>
      <c r="AT7" s="151"/>
      <c r="AU7" s="164"/>
      <c r="AV7" s="153"/>
      <c r="AW7" s="166"/>
      <c r="AX7" s="151"/>
      <c r="AY7" s="164"/>
      <c r="AZ7" s="153"/>
      <c r="BA7" s="166"/>
      <c r="BB7" s="151"/>
      <c r="BC7" s="164"/>
      <c r="BD7" s="153"/>
      <c r="BE7" s="166"/>
      <c r="BF7" s="151"/>
      <c r="BG7" s="164"/>
      <c r="BH7" s="153"/>
      <c r="BI7" s="166"/>
      <c r="BJ7" s="151"/>
      <c r="BK7" s="164"/>
      <c r="BL7" s="153"/>
      <c r="BM7" s="166"/>
      <c r="BN7" s="151"/>
      <c r="BO7" s="164"/>
      <c r="BP7" s="153"/>
      <c r="BQ7" s="166"/>
      <c r="BR7" s="151"/>
      <c r="BS7" s="164"/>
      <c r="BT7" s="153"/>
      <c r="BU7" s="166"/>
      <c r="BV7" s="151"/>
      <c r="BW7" s="164"/>
      <c r="BX7" s="153"/>
      <c r="BY7" s="166"/>
      <c r="BZ7" s="151"/>
      <c r="CA7" s="164"/>
      <c r="CB7" s="153"/>
      <c r="CC7" s="166"/>
      <c r="CD7" s="148"/>
      <c r="CE7" s="164"/>
      <c r="CF7" s="153"/>
      <c r="CG7" s="166"/>
      <c r="CH7" s="148"/>
      <c r="CI7" s="164"/>
      <c r="CJ7" s="153"/>
      <c r="CK7" s="166"/>
      <c r="CL7" s="148"/>
      <c r="CM7" s="164"/>
      <c r="CN7" s="153"/>
      <c r="CO7" s="166"/>
      <c r="CP7" s="148"/>
      <c r="CQ7" s="164"/>
      <c r="CR7" s="153"/>
      <c r="CS7" s="166"/>
      <c r="CT7" s="148"/>
      <c r="CU7" s="164"/>
      <c r="CV7" s="153"/>
      <c r="CW7" s="166"/>
      <c r="CX7" s="148"/>
      <c r="CY7" s="164"/>
      <c r="CZ7" s="153"/>
      <c r="DA7" s="166"/>
      <c r="DC7" s="164"/>
      <c r="DD7" s="153"/>
      <c r="DE7" s="166"/>
      <c r="DG7" s="164"/>
      <c r="DH7" s="153"/>
      <c r="DI7" s="166"/>
      <c r="DK7" s="164"/>
      <c r="DL7" s="153"/>
      <c r="DM7" s="166"/>
      <c r="DO7" s="164"/>
      <c r="DP7" s="153"/>
      <c r="DQ7" s="166"/>
      <c r="DS7" s="164"/>
      <c r="DT7" s="153"/>
      <c r="DU7" s="166"/>
      <c r="DW7" s="164"/>
      <c r="DX7" s="153"/>
      <c r="DY7" s="166"/>
      <c r="EA7" s="164"/>
      <c r="EB7" s="153"/>
      <c r="EC7" s="166"/>
    </row>
    <row r="8" spans="1:133">
      <c r="A8" s="150" t="s">
        <v>578</v>
      </c>
      <c r="B8" s="169"/>
      <c r="C8" s="169"/>
      <c r="D8" s="186"/>
      <c r="E8" s="181"/>
      <c r="F8" s="169"/>
      <c r="G8" s="169"/>
      <c r="H8" s="186"/>
      <c r="I8" s="181"/>
      <c r="J8" s="169"/>
      <c r="K8" s="169"/>
      <c r="L8" s="186"/>
      <c r="M8" s="181"/>
      <c r="N8" s="169"/>
      <c r="O8" s="169"/>
      <c r="P8" s="186"/>
      <c r="Q8" s="181"/>
      <c r="R8" s="169"/>
      <c r="S8" s="169"/>
      <c r="T8" s="186"/>
      <c r="U8" s="181"/>
      <c r="V8" s="169"/>
      <c r="W8" s="169"/>
      <c r="X8" s="186"/>
      <c r="Y8" s="181"/>
      <c r="Z8" s="181"/>
      <c r="AA8" s="169"/>
      <c r="AB8" s="186"/>
      <c r="AC8" s="181"/>
      <c r="AD8" s="181"/>
      <c r="AE8" s="181"/>
      <c r="AF8" s="181"/>
      <c r="AG8" s="181"/>
      <c r="AH8" s="181"/>
      <c r="AI8" s="181"/>
      <c r="AJ8" s="181"/>
      <c r="AK8" s="181"/>
      <c r="AL8" s="181"/>
      <c r="AM8" s="181"/>
      <c r="AN8" s="181"/>
      <c r="AO8" s="181"/>
      <c r="AP8" s="181"/>
      <c r="AQ8" s="180"/>
      <c r="AR8" s="181"/>
      <c r="AS8" s="182"/>
      <c r="AT8" s="151"/>
      <c r="AU8" s="180"/>
      <c r="AV8" s="181"/>
      <c r="AW8" s="182"/>
      <c r="AX8" s="151"/>
      <c r="AY8" s="180"/>
      <c r="AZ8" s="181"/>
      <c r="BA8" s="182"/>
      <c r="BB8" s="151"/>
      <c r="BC8" s="180"/>
      <c r="BD8" s="181"/>
      <c r="BE8" s="182"/>
      <c r="BF8" s="151"/>
      <c r="BG8" s="180"/>
      <c r="BH8" s="181"/>
      <c r="BI8" s="182"/>
      <c r="BJ8" s="151"/>
      <c r="BK8" s="180"/>
      <c r="BL8" s="181"/>
      <c r="BM8" s="182"/>
      <c r="BN8" s="151"/>
      <c r="BO8" s="180"/>
      <c r="BP8" s="181"/>
      <c r="BQ8" s="182"/>
      <c r="BR8" s="151"/>
      <c r="BS8" s="180"/>
      <c r="BT8" s="181"/>
      <c r="BU8" s="182"/>
      <c r="BV8" s="151"/>
      <c r="BW8" s="180"/>
      <c r="BX8" s="181"/>
      <c r="BY8" s="182"/>
      <c r="BZ8" s="151"/>
      <c r="CA8" s="180"/>
      <c r="CB8" s="181"/>
      <c r="CC8" s="182"/>
      <c r="CD8" s="148"/>
      <c r="CE8" s="180"/>
      <c r="CF8" s="181"/>
      <c r="CG8" s="182"/>
      <c r="CH8" s="148"/>
      <c r="CI8" s="180"/>
      <c r="CJ8" s="181"/>
      <c r="CK8" s="182"/>
      <c r="CL8" s="148"/>
      <c r="CM8" s="180"/>
      <c r="CN8" s="181"/>
      <c r="CO8" s="182"/>
      <c r="CP8" s="148"/>
      <c r="CQ8" s="180"/>
      <c r="CR8" s="181"/>
      <c r="CS8" s="182"/>
      <c r="CT8" s="148"/>
      <c r="CU8" s="180"/>
      <c r="CV8" s="181"/>
      <c r="CW8" s="182"/>
      <c r="CX8" s="148"/>
      <c r="CY8" s="180"/>
      <c r="CZ8" s="181"/>
      <c r="DA8" s="182"/>
      <c r="DC8" s="180"/>
      <c r="DD8" s="181"/>
      <c r="DE8" s="182"/>
      <c r="DG8" s="180"/>
      <c r="DH8" s="181"/>
      <c r="DI8" s="182"/>
      <c r="DK8" s="180"/>
      <c r="DL8" s="181"/>
      <c r="DM8" s="182"/>
      <c r="DO8" s="180"/>
      <c r="DP8" s="181"/>
      <c r="DQ8" s="182"/>
      <c r="DS8" s="180"/>
      <c r="DT8" s="181"/>
      <c r="DU8" s="182"/>
      <c r="DW8" s="180"/>
      <c r="DX8" s="181"/>
      <c r="DY8" s="182"/>
      <c r="EA8" s="180"/>
      <c r="EB8" s="181"/>
      <c r="EC8" s="182"/>
    </row>
    <row r="9" spans="1:133">
      <c r="A9" s="151" t="s">
        <v>470</v>
      </c>
      <c r="B9" s="169"/>
      <c r="C9" s="169">
        <v>26</v>
      </c>
      <c r="D9" s="169">
        <v>6384.6153846153848</v>
      </c>
      <c r="E9" s="169">
        <v>166</v>
      </c>
      <c r="F9" s="169"/>
      <c r="G9" s="169">
        <v>27</v>
      </c>
      <c r="H9" s="169">
        <v>7111.1111111111104</v>
      </c>
      <c r="I9" s="169">
        <v>192</v>
      </c>
      <c r="J9" s="169"/>
      <c r="K9" s="169">
        <v>36</v>
      </c>
      <c r="L9" s="169">
        <v>7972.2222222222226</v>
      </c>
      <c r="M9" s="169">
        <v>287</v>
      </c>
      <c r="N9" s="169"/>
      <c r="O9" s="169">
        <v>40</v>
      </c>
      <c r="P9" s="169">
        <v>8295.35</v>
      </c>
      <c r="Q9" s="169">
        <v>331.81399999999996</v>
      </c>
      <c r="R9" s="169"/>
      <c r="S9" s="169">
        <v>49</v>
      </c>
      <c r="T9" s="169">
        <f>IF(U9=0,0,(U9/S9*1000))</f>
        <v>8277.8367346938776</v>
      </c>
      <c r="U9" s="169">
        <f>Q14</f>
        <v>405.61399999999998</v>
      </c>
      <c r="V9" s="169"/>
      <c r="W9" s="169">
        <f>S14</f>
        <v>67</v>
      </c>
      <c r="X9" s="169">
        <f>IF(Y9=0,0,(Y9/W9*1000))</f>
        <v>8068.8656716417918</v>
      </c>
      <c r="Y9" s="169">
        <f>U14</f>
        <v>540.61400000000003</v>
      </c>
      <c r="Z9" s="169"/>
      <c r="AA9" s="169">
        <f>W14</f>
        <v>100</v>
      </c>
      <c r="AB9" s="169">
        <f>IF(AC9=0,0,(AC9/AA9*1000))</f>
        <v>9615.6400000000012</v>
      </c>
      <c r="AC9" s="169">
        <f>Y14</f>
        <v>961.56400000000008</v>
      </c>
      <c r="AD9" s="169"/>
      <c r="AE9" s="169">
        <v>127</v>
      </c>
      <c r="AF9" s="169">
        <f>IF(AG9=0,0,(AG9/AE9*1000))</f>
        <v>9675.3070866141734</v>
      </c>
      <c r="AG9" s="169">
        <f>AC14</f>
        <v>1228.7640000000001</v>
      </c>
      <c r="AH9" s="169"/>
      <c r="AI9" s="169">
        <f>AE14</f>
        <v>156</v>
      </c>
      <c r="AJ9" s="169">
        <f>IF(AK9=0,0,(AK9/AI9*1000))</f>
        <v>9754.8974358974374</v>
      </c>
      <c r="AK9" s="169">
        <f>AG14</f>
        <v>1521.7640000000001</v>
      </c>
      <c r="AL9" s="169"/>
      <c r="AM9" s="169">
        <f>AI14</f>
        <v>183</v>
      </c>
      <c r="AN9" s="169">
        <f>IF(AO9=0,0,(AO9/AM9*1000))</f>
        <v>9465.3770491803298</v>
      </c>
      <c r="AO9" s="169">
        <f>AK14</f>
        <v>1732.1640000000002</v>
      </c>
      <c r="AP9" s="169"/>
      <c r="AQ9" s="168">
        <f>AM14</f>
        <v>215</v>
      </c>
      <c r="AR9" s="169">
        <f>IF(AS9=0,0,(AS9/AQ9*1000))</f>
        <v>9357.2744186046511</v>
      </c>
      <c r="AS9" s="170">
        <f>AO14</f>
        <v>2011.8140000000001</v>
      </c>
      <c r="AT9" s="169"/>
      <c r="AU9" s="168">
        <f>AQ14</f>
        <v>265</v>
      </c>
      <c r="AV9" s="169">
        <f>IF(AW9=0,0,(AW9/AU9*1000))</f>
        <v>9149.6754716981141</v>
      </c>
      <c r="AW9" s="170">
        <f>AS14</f>
        <v>2424.6640000000002</v>
      </c>
      <c r="AX9" s="169"/>
      <c r="AY9" s="168">
        <f>AU14</f>
        <v>309</v>
      </c>
      <c r="AZ9" s="169">
        <f>IF(BA9=0,0,(BA9/AY9*1000))</f>
        <v>9028.8478964401293</v>
      </c>
      <c r="BA9" s="170">
        <f>AW14</f>
        <v>2789.9140000000002</v>
      </c>
      <c r="BB9" s="169"/>
      <c r="BC9" s="168">
        <f>AY14</f>
        <v>340</v>
      </c>
      <c r="BD9" s="169">
        <f>IF(BE9=0,0,(BE9/BC9*1000))</f>
        <v>8925.0411764705896</v>
      </c>
      <c r="BE9" s="170">
        <f>BA14</f>
        <v>3034.5140000000001</v>
      </c>
      <c r="BF9" s="169"/>
      <c r="BG9" s="168">
        <f>BC14</f>
        <v>357</v>
      </c>
      <c r="BH9" s="169">
        <f>IF(BI9=0,0,(BI9/BG9*1000))</f>
        <v>8827.4901960784318</v>
      </c>
      <c r="BI9" s="170">
        <f>BE14</f>
        <v>3151.4140000000002</v>
      </c>
      <c r="BJ9" s="169"/>
      <c r="BK9" s="168">
        <f>BG14</f>
        <v>357</v>
      </c>
      <c r="BL9" s="169">
        <f>IF(BM9=0,0,(BM9/BK9*1000))</f>
        <v>8789.9159663865557</v>
      </c>
      <c r="BM9" s="170">
        <f>BI14</f>
        <v>3138</v>
      </c>
      <c r="BN9" s="169"/>
      <c r="BO9" s="168">
        <f>BK14</f>
        <v>361</v>
      </c>
      <c r="BP9" s="169">
        <f>IF(BQ9=0,0,(BQ9/BO9*1000))</f>
        <v>8745.1523545706368</v>
      </c>
      <c r="BQ9" s="170">
        <f>BM14</f>
        <v>3157</v>
      </c>
      <c r="BR9" s="169"/>
      <c r="BS9" s="168">
        <f>BO14</f>
        <v>360</v>
      </c>
      <c r="BT9" s="169">
        <f>IF(BU9=0,0,(BU9/BS9*1000))</f>
        <v>8808.3333333333339</v>
      </c>
      <c r="BU9" s="170">
        <f>BQ14</f>
        <v>3171</v>
      </c>
      <c r="BV9" s="169"/>
      <c r="BW9" s="168">
        <f>BS14</f>
        <v>359</v>
      </c>
      <c r="BX9" s="169">
        <f>IF(BY9=0,0,(BY9/BW9*1000))</f>
        <v>8821.7270194986068</v>
      </c>
      <c r="BY9" s="170">
        <f>BU14</f>
        <v>3167</v>
      </c>
      <c r="BZ9" s="169"/>
      <c r="CA9" s="168">
        <f>BW14</f>
        <v>356</v>
      </c>
      <c r="CB9" s="169">
        <f>IF(CC9=0,0,(CC9/CA9*1000))</f>
        <v>8887.6404494382023</v>
      </c>
      <c r="CC9" s="170">
        <f>BY14</f>
        <v>3164</v>
      </c>
      <c r="CD9" s="148"/>
      <c r="CE9" s="168">
        <f>CA14</f>
        <v>346</v>
      </c>
      <c r="CF9" s="169">
        <f>IF(CG9=0,0,(CG9/CE9*1000))</f>
        <v>8987.8612716763018</v>
      </c>
      <c r="CG9" s="170">
        <f>CC14</f>
        <v>3109.8</v>
      </c>
      <c r="CH9" s="148"/>
      <c r="CI9" s="168">
        <f>CE14</f>
        <v>325</v>
      </c>
      <c r="CJ9" s="169">
        <f>IF(CK9=0,0,(CK9/CI9*1000))</f>
        <v>9093.0769230769238</v>
      </c>
      <c r="CK9" s="170">
        <f>CG14</f>
        <v>2955.25</v>
      </c>
      <c r="CL9" s="148"/>
      <c r="CM9" s="168">
        <f>CI14</f>
        <v>294</v>
      </c>
      <c r="CN9" s="169">
        <f>IF(CO9=0,0,(CO9/CM9*1000))</f>
        <v>9448.1292517006805</v>
      </c>
      <c r="CO9" s="170">
        <f>CK14</f>
        <v>2777.75</v>
      </c>
      <c r="CP9" s="148"/>
      <c r="CQ9" s="168">
        <f>CM14</f>
        <v>285</v>
      </c>
      <c r="CR9" s="169">
        <f>IF(CS9=0,0,(CS9/CQ9*1000))</f>
        <v>9665.0877192982443</v>
      </c>
      <c r="CS9" s="170">
        <f>CO14</f>
        <v>2754.5499999999997</v>
      </c>
      <c r="CT9" s="148"/>
      <c r="CU9" s="168">
        <f>CQ14</f>
        <v>275</v>
      </c>
      <c r="CV9" s="169">
        <f>IF(CW9=0,0,(CW9/CU9*1000))</f>
        <v>9737.2727272727261</v>
      </c>
      <c r="CW9" s="170">
        <f>CS14</f>
        <v>2677.7499999999995</v>
      </c>
      <c r="CX9" s="148"/>
      <c r="CY9" s="168">
        <v>393</v>
      </c>
      <c r="CZ9" s="169">
        <f>IF(DA9=0,0,(DA9/CY9*1000))</f>
        <v>6931.6793893129761</v>
      </c>
      <c r="DA9" s="170">
        <f>CW14</f>
        <v>2724.1499999999996</v>
      </c>
      <c r="DC9" s="168">
        <f>CY14</f>
        <v>379</v>
      </c>
      <c r="DD9" s="169">
        <f>IF(DE9=0,0,(DE9/DC9*1000))</f>
        <v>8491.4248021108178</v>
      </c>
      <c r="DE9" s="170">
        <f>DA14</f>
        <v>3218.25</v>
      </c>
      <c r="DG9" s="168">
        <f>DC14</f>
        <v>355</v>
      </c>
      <c r="DH9" s="169">
        <f>IF(DI9=0,0,(DI9/DG9*1000))</f>
        <v>8439.0140845070437</v>
      </c>
      <c r="DI9" s="170">
        <f>DE14</f>
        <v>2995.8500000000004</v>
      </c>
      <c r="DK9" s="168">
        <f>DG14</f>
        <v>330</v>
      </c>
      <c r="DL9" s="169">
        <f>IF(DM9=0,0,(DM9/DK9*1000))</f>
        <v>8472.121212121212</v>
      </c>
      <c r="DM9" s="170">
        <f>DI14</f>
        <v>2795.8</v>
      </c>
      <c r="DO9" s="168">
        <f>DK14</f>
        <v>308</v>
      </c>
      <c r="DP9" s="169">
        <f>IF(DQ9=0,0,(DQ9/DO9*1000))</f>
        <v>8541.2337662337668</v>
      </c>
      <c r="DQ9" s="170">
        <f>DM14</f>
        <v>2630.7000000000003</v>
      </c>
      <c r="DS9" s="168">
        <f>DO14</f>
        <v>281</v>
      </c>
      <c r="DT9" s="169">
        <f>IF(DU9=0,0,(DU9/DS9*1000))</f>
        <v>8516.3701067615675</v>
      </c>
      <c r="DU9" s="170">
        <f>DQ14</f>
        <v>2393.1000000000004</v>
      </c>
      <c r="DW9" s="168">
        <f>DS14</f>
        <v>264</v>
      </c>
      <c r="DX9" s="169">
        <f>IF(DY9=0,0,(DY9/DW9*1000))</f>
        <v>8498.1060606060619</v>
      </c>
      <c r="DY9" s="170">
        <f>DU14</f>
        <v>2243.5000000000005</v>
      </c>
      <c r="EA9" s="168">
        <f>DW14</f>
        <v>254</v>
      </c>
      <c r="EB9" s="169">
        <f>IF(EC9=0,0,(EC9/EA9*1000))</f>
        <v>8486.2204724409457</v>
      </c>
      <c r="EC9" s="170">
        <f>DY14</f>
        <v>2155.5000000000005</v>
      </c>
    </row>
    <row r="10" spans="1:133">
      <c r="A10" s="151" t="s">
        <v>565</v>
      </c>
      <c r="B10" s="169"/>
      <c r="C10" s="169">
        <v>5</v>
      </c>
      <c r="D10" s="169">
        <v>9475</v>
      </c>
      <c r="E10" s="169">
        <v>47.375</v>
      </c>
      <c r="F10" s="169"/>
      <c r="G10" s="169">
        <v>10</v>
      </c>
      <c r="H10" s="169">
        <v>10034.5</v>
      </c>
      <c r="I10" s="169">
        <v>100.345</v>
      </c>
      <c r="J10" s="169"/>
      <c r="K10" s="169">
        <v>5</v>
      </c>
      <c r="L10" s="169">
        <v>9600</v>
      </c>
      <c r="M10" s="169">
        <v>48</v>
      </c>
      <c r="N10" s="169"/>
      <c r="O10" s="169">
        <v>9</v>
      </c>
      <c r="P10" s="169">
        <v>8200</v>
      </c>
      <c r="Q10" s="169">
        <v>73.8</v>
      </c>
      <c r="R10" s="169"/>
      <c r="S10" s="169">
        <v>20</v>
      </c>
      <c r="T10" s="169">
        <v>7550</v>
      </c>
      <c r="U10" s="169">
        <f>S10*T10/1000</f>
        <v>151</v>
      </c>
      <c r="V10" s="169"/>
      <c r="W10" s="169">
        <v>33</v>
      </c>
      <c r="X10" s="169">
        <v>11000</v>
      </c>
      <c r="Y10" s="169">
        <f>W10*X10/1000</f>
        <v>363</v>
      </c>
      <c r="Z10" s="169"/>
      <c r="AA10" s="169">
        <v>29</v>
      </c>
      <c r="AB10" s="169">
        <v>9800</v>
      </c>
      <c r="AC10" s="169">
        <f>AA10*AB10/1000</f>
        <v>284.2</v>
      </c>
      <c r="AD10" s="169"/>
      <c r="AE10" s="169">
        <v>30</v>
      </c>
      <c r="AF10" s="169">
        <v>10150</v>
      </c>
      <c r="AG10" s="169">
        <f>AE10*AF10/1000</f>
        <v>304.5</v>
      </c>
      <c r="AH10" s="169"/>
      <c r="AI10" s="172">
        <v>28</v>
      </c>
      <c r="AJ10" s="172">
        <v>7800</v>
      </c>
      <c r="AK10" s="169">
        <f>AI10*AJ10/1000</f>
        <v>218.4</v>
      </c>
      <c r="AL10" s="172"/>
      <c r="AM10" s="187">
        <v>32</v>
      </c>
      <c r="AN10" s="187">
        <v>8650</v>
      </c>
      <c r="AO10" s="169">
        <f>AM10*AN10/1000</f>
        <v>276.8</v>
      </c>
      <c r="AP10" s="172"/>
      <c r="AQ10" s="171">
        <v>50</v>
      </c>
      <c r="AR10" s="172">
        <v>8200</v>
      </c>
      <c r="AS10" s="170">
        <f>AQ10*AR10/1000</f>
        <v>410</v>
      </c>
      <c r="AT10" s="151"/>
      <c r="AU10" s="171">
        <v>45</v>
      </c>
      <c r="AV10" s="172">
        <v>7990</v>
      </c>
      <c r="AW10" s="170">
        <f>AU10*AV10/1000</f>
        <v>359.55</v>
      </c>
      <c r="AX10" s="151"/>
      <c r="AY10" s="228">
        <v>33</v>
      </c>
      <c r="AZ10" s="172">
        <v>8000</v>
      </c>
      <c r="BA10" s="170">
        <f>AY10*AZ10/1000</f>
        <v>264</v>
      </c>
      <c r="BB10" s="151"/>
      <c r="BC10" s="171">
        <v>18</v>
      </c>
      <c r="BD10" s="172">
        <v>7100</v>
      </c>
      <c r="BE10" s="170">
        <f>BC10*BD10/1000</f>
        <v>127.8</v>
      </c>
      <c r="BF10" s="151"/>
      <c r="BG10" s="171">
        <v>14</v>
      </c>
      <c r="BH10" s="172">
        <v>8500</v>
      </c>
      <c r="BI10" s="170">
        <f>BG10*BH10/1000</f>
        <v>119</v>
      </c>
      <c r="BJ10" s="151"/>
      <c r="BK10" s="228">
        <v>15</v>
      </c>
      <c r="BL10" s="169">
        <f>+BM10/BK10*1000</f>
        <v>9733.3333333333321</v>
      </c>
      <c r="BM10" s="302">
        <v>146</v>
      </c>
      <c r="BN10" s="151"/>
      <c r="BO10" s="228">
        <v>8</v>
      </c>
      <c r="BP10" s="172">
        <v>8500</v>
      </c>
      <c r="BQ10" s="302">
        <v>66</v>
      </c>
      <c r="BR10" s="151"/>
      <c r="BS10" s="171">
        <v>6</v>
      </c>
      <c r="BT10" s="172">
        <v>8500</v>
      </c>
      <c r="BU10" s="261">
        <v>64</v>
      </c>
      <c r="BV10" s="151"/>
      <c r="BW10" s="171">
        <v>2</v>
      </c>
      <c r="BX10" s="172">
        <f>1000*26/2</f>
        <v>13000</v>
      </c>
      <c r="BY10" s="170">
        <f>BW10*BX10/1000</f>
        <v>26</v>
      </c>
      <c r="BZ10" s="151"/>
      <c r="CA10" s="171">
        <v>0</v>
      </c>
      <c r="CB10" s="172">
        <v>8860</v>
      </c>
      <c r="CC10" s="170">
        <f>CA10*CB10/1000</f>
        <v>0</v>
      </c>
      <c r="CD10" s="148"/>
      <c r="CE10" s="171">
        <f>3+1</f>
        <v>4</v>
      </c>
      <c r="CF10" s="172">
        <v>8800</v>
      </c>
      <c r="CG10" s="170">
        <f>CE10*CF10/1000</f>
        <v>35.200000000000003</v>
      </c>
      <c r="CH10" s="148"/>
      <c r="CI10" s="171">
        <v>0</v>
      </c>
      <c r="CJ10" s="172">
        <f>CF10</f>
        <v>8800</v>
      </c>
      <c r="CK10" s="170">
        <f>CI10*CJ10/1000</f>
        <v>0</v>
      </c>
      <c r="CL10" s="148"/>
      <c r="CM10" s="171">
        <v>4</v>
      </c>
      <c r="CN10" s="172">
        <f>CJ10</f>
        <v>8800</v>
      </c>
      <c r="CO10" s="170">
        <f>CM10*CN10/1000</f>
        <v>35.200000000000003</v>
      </c>
      <c r="CP10" s="148"/>
      <c r="CQ10" s="171">
        <v>4</v>
      </c>
      <c r="CR10" s="172">
        <f>CN10</f>
        <v>8800</v>
      </c>
      <c r="CS10" s="170">
        <f>CQ10*CR10/1000</f>
        <v>35.200000000000003</v>
      </c>
      <c r="CT10" s="148"/>
      <c r="CU10" s="171">
        <v>11</v>
      </c>
      <c r="CV10" s="172">
        <f>CR10</f>
        <v>8800</v>
      </c>
      <c r="CW10" s="170">
        <f>CU10*CV10/1000</f>
        <v>96.8</v>
      </c>
      <c r="CX10" s="148"/>
      <c r="CY10" s="171">
        <v>20</v>
      </c>
      <c r="CZ10" s="172">
        <f>CV10</f>
        <v>8800</v>
      </c>
      <c r="DA10" s="170">
        <f>CY10*CZ10/1000</f>
        <v>176</v>
      </c>
      <c r="DC10" s="171">
        <v>11</v>
      </c>
      <c r="DD10" s="172">
        <f>CZ10</f>
        <v>8800</v>
      </c>
      <c r="DE10" s="170">
        <f>DC10*DD10/1000</f>
        <v>96.8</v>
      </c>
      <c r="DG10" s="171">
        <v>3</v>
      </c>
      <c r="DH10" s="172">
        <f>DD10</f>
        <v>8800</v>
      </c>
      <c r="DI10" s="170">
        <f>DG10*DH10/1000</f>
        <v>26.4</v>
      </c>
      <c r="DK10" s="171">
        <v>8</v>
      </c>
      <c r="DL10" s="172">
        <f>DH10</f>
        <v>8800</v>
      </c>
      <c r="DM10" s="170">
        <f>DK10*DL10/1000</f>
        <v>70.400000000000006</v>
      </c>
      <c r="DO10" s="171">
        <v>3</v>
      </c>
      <c r="DP10" s="172">
        <f>DL10</f>
        <v>8800</v>
      </c>
      <c r="DQ10" s="170">
        <f>DO10*DP10/1000</f>
        <v>26.4</v>
      </c>
      <c r="DS10" s="171">
        <v>3</v>
      </c>
      <c r="DT10" s="172">
        <f>DP10</f>
        <v>8800</v>
      </c>
      <c r="DU10" s="170">
        <f>DS10*DT10/1000</f>
        <v>26.4</v>
      </c>
      <c r="DW10" s="171">
        <v>0</v>
      </c>
      <c r="DX10" s="172">
        <f>DT10</f>
        <v>8800</v>
      </c>
      <c r="DY10" s="170">
        <f>DW10*DX10/1000</f>
        <v>0</v>
      </c>
      <c r="EA10" s="171">
        <v>0</v>
      </c>
      <c r="EB10" s="172">
        <f>DX10</f>
        <v>8800</v>
      </c>
      <c r="EC10" s="170">
        <f>EA10*EB10/1000</f>
        <v>0</v>
      </c>
    </row>
    <row r="11" spans="1:133">
      <c r="A11" s="151" t="s">
        <v>711</v>
      </c>
      <c r="B11" s="169"/>
      <c r="C11" s="169"/>
      <c r="D11" s="169"/>
      <c r="E11" s="169"/>
      <c r="F11" s="169"/>
      <c r="G11" s="169"/>
      <c r="H11" s="169"/>
      <c r="I11" s="169"/>
      <c r="J11" s="169"/>
      <c r="K11" s="169"/>
      <c r="L11" s="169"/>
      <c r="M11" s="169"/>
      <c r="N11" s="169"/>
      <c r="O11" s="169"/>
      <c r="P11" s="169"/>
      <c r="Q11" s="169"/>
      <c r="R11" s="169"/>
      <c r="S11" s="169"/>
      <c r="T11" s="169"/>
      <c r="U11" s="169"/>
      <c r="V11" s="169"/>
      <c r="W11" s="169"/>
      <c r="X11" s="169"/>
      <c r="Y11" s="169"/>
      <c r="Z11" s="169"/>
      <c r="AA11" s="169"/>
      <c r="AB11" s="169"/>
      <c r="AC11" s="169"/>
      <c r="AD11" s="169"/>
      <c r="AE11" s="169"/>
      <c r="AF11" s="169"/>
      <c r="AG11" s="169"/>
      <c r="AH11" s="169"/>
      <c r="AI11" s="172"/>
      <c r="AJ11" s="172"/>
      <c r="AK11" s="169"/>
      <c r="AL11" s="172"/>
      <c r="AM11" s="187"/>
      <c r="AN11" s="187"/>
      <c r="AO11" s="169"/>
      <c r="AP11" s="172"/>
      <c r="AQ11" s="171"/>
      <c r="AR11" s="172"/>
      <c r="AS11" s="170"/>
      <c r="AT11" s="151"/>
      <c r="AU11" s="171"/>
      <c r="AV11" s="172"/>
      <c r="AW11" s="170"/>
      <c r="AX11" s="151"/>
      <c r="AY11" s="228"/>
      <c r="AZ11" s="172"/>
      <c r="BA11" s="170"/>
      <c r="BB11" s="151"/>
      <c r="BC11" s="171"/>
      <c r="BD11" s="172"/>
      <c r="BE11" s="170"/>
      <c r="BF11" s="151"/>
      <c r="BG11" s="171"/>
      <c r="BH11" s="172"/>
      <c r="BI11" s="170"/>
      <c r="BJ11" s="151"/>
      <c r="BK11" s="228"/>
      <c r="BL11" s="169"/>
      <c r="BM11" s="302"/>
      <c r="BN11" s="151"/>
      <c r="BO11" s="228"/>
      <c r="BP11" s="172"/>
      <c r="BQ11" s="302"/>
      <c r="BR11" s="151"/>
      <c r="BS11" s="171"/>
      <c r="BT11" s="172"/>
      <c r="BU11" s="261"/>
      <c r="BV11" s="151"/>
      <c r="BW11" s="171"/>
      <c r="BX11" s="172"/>
      <c r="BY11" s="170"/>
      <c r="BZ11" s="151"/>
      <c r="CA11" s="171">
        <v>2</v>
      </c>
      <c r="CB11" s="172">
        <v>27500</v>
      </c>
      <c r="CC11" s="170">
        <f>CA11*CB11/1000</f>
        <v>55</v>
      </c>
      <c r="CD11" s="148"/>
      <c r="CE11" s="171">
        <v>2</v>
      </c>
      <c r="CF11" s="172">
        <v>18500</v>
      </c>
      <c r="CG11" s="170">
        <f>CE11*CF11/1000</f>
        <v>37</v>
      </c>
      <c r="CH11" s="148"/>
      <c r="CI11" s="171">
        <v>5</v>
      </c>
      <c r="CJ11" s="172">
        <v>22100</v>
      </c>
      <c r="CK11" s="170">
        <f>CI11*CJ11/1000</f>
        <v>110.5</v>
      </c>
      <c r="CL11" s="148"/>
      <c r="CM11" s="171">
        <v>5</v>
      </c>
      <c r="CN11" s="172">
        <v>20000</v>
      </c>
      <c r="CO11" s="170">
        <f>CM11*CN11/1000</f>
        <v>100</v>
      </c>
      <c r="CP11" s="148"/>
      <c r="CQ11" s="171">
        <v>1</v>
      </c>
      <c r="CR11" s="172">
        <v>20000</v>
      </c>
      <c r="CS11" s="170">
        <f>CQ11*CR11/1000</f>
        <v>20</v>
      </c>
      <c r="CT11" s="148"/>
      <c r="CU11" s="171">
        <v>1</v>
      </c>
      <c r="CV11" s="172">
        <v>20000</v>
      </c>
      <c r="CW11" s="170">
        <f>CU11*CV11/1000</f>
        <v>20</v>
      </c>
      <c r="CX11" s="148"/>
      <c r="CY11" s="171">
        <v>0</v>
      </c>
      <c r="CZ11" s="172">
        <v>20000</v>
      </c>
      <c r="DA11" s="170">
        <f>CY11*CZ11/1000</f>
        <v>0</v>
      </c>
      <c r="DC11" s="171">
        <v>-1</v>
      </c>
      <c r="DD11" s="172">
        <v>20000</v>
      </c>
      <c r="DE11" s="170">
        <f>DC11*DD11/1000</f>
        <v>-20</v>
      </c>
      <c r="DG11" s="171">
        <v>0</v>
      </c>
      <c r="DH11" s="172">
        <v>20000</v>
      </c>
      <c r="DI11" s="170">
        <f>DG11*DH11/1000</f>
        <v>0</v>
      </c>
      <c r="DK11" s="171">
        <v>0</v>
      </c>
      <c r="DL11" s="172">
        <v>20000</v>
      </c>
      <c r="DM11" s="170">
        <f>DK11*DL11/1000</f>
        <v>0</v>
      </c>
      <c r="DO11" s="171">
        <v>0</v>
      </c>
      <c r="DP11" s="172">
        <v>20000</v>
      </c>
      <c r="DQ11" s="170">
        <f>DO11*DP11/1000</f>
        <v>0</v>
      </c>
      <c r="DS11" s="171">
        <v>0</v>
      </c>
      <c r="DT11" s="172">
        <v>20000</v>
      </c>
      <c r="DU11" s="170">
        <f>DS11*DT11/1000</f>
        <v>0</v>
      </c>
      <c r="DW11" s="171">
        <v>0</v>
      </c>
      <c r="DX11" s="172">
        <v>20000</v>
      </c>
      <c r="DY11" s="170">
        <f>DW11*DX11/1000</f>
        <v>0</v>
      </c>
      <c r="EA11" s="171">
        <v>0</v>
      </c>
      <c r="EB11" s="172">
        <v>20000</v>
      </c>
      <c r="EC11" s="170">
        <f>EA11*EB11/1000</f>
        <v>0</v>
      </c>
    </row>
    <row r="12" spans="1:133">
      <c r="A12" s="151" t="s">
        <v>566</v>
      </c>
      <c r="B12" s="169"/>
      <c r="C12" s="169">
        <v>0</v>
      </c>
      <c r="D12" s="169">
        <v>0</v>
      </c>
      <c r="E12" s="169">
        <v>0</v>
      </c>
      <c r="F12" s="169"/>
      <c r="G12" s="169">
        <v>0</v>
      </c>
      <c r="H12" s="169">
        <v>0</v>
      </c>
      <c r="I12" s="169">
        <v>0</v>
      </c>
      <c r="J12" s="169"/>
      <c r="K12" s="169">
        <v>3</v>
      </c>
      <c r="L12" s="169">
        <v>909</v>
      </c>
      <c r="M12" s="169">
        <v>2.7269999999999999</v>
      </c>
      <c r="N12" s="169"/>
      <c r="O12" s="169">
        <v>0</v>
      </c>
      <c r="P12" s="169">
        <v>0</v>
      </c>
      <c r="Q12" s="169">
        <v>0</v>
      </c>
      <c r="R12" s="169"/>
      <c r="S12" s="169">
        <v>3</v>
      </c>
      <c r="T12" s="169">
        <v>0</v>
      </c>
      <c r="U12" s="169">
        <f>T12*S12/1000</f>
        <v>0</v>
      </c>
      <c r="V12" s="169"/>
      <c r="W12" s="169">
        <v>19</v>
      </c>
      <c r="X12" s="169">
        <v>3050</v>
      </c>
      <c r="Y12" s="169">
        <f>X12*W12/1000</f>
        <v>57.95</v>
      </c>
      <c r="Z12" s="169"/>
      <c r="AA12" s="169">
        <v>1</v>
      </c>
      <c r="AB12" s="169">
        <v>0</v>
      </c>
      <c r="AC12" s="169">
        <f>AB12*AA12/1000</f>
        <v>0</v>
      </c>
      <c r="AD12" s="169"/>
      <c r="AE12" s="169">
        <v>0</v>
      </c>
      <c r="AF12" s="169">
        <v>4000</v>
      </c>
      <c r="AG12" s="169">
        <f>AF12*AE13/1000</f>
        <v>-4</v>
      </c>
      <c r="AH12" s="169"/>
      <c r="AI12" s="172">
        <v>0</v>
      </c>
      <c r="AJ12" s="172">
        <v>2850</v>
      </c>
      <c r="AK12" s="169">
        <f>AJ12*AI12/1000</f>
        <v>0</v>
      </c>
      <c r="AL12" s="169"/>
      <c r="AM12" s="187">
        <v>1</v>
      </c>
      <c r="AN12" s="187">
        <v>2850</v>
      </c>
      <c r="AO12" s="169">
        <f>AN12*AM12/1000</f>
        <v>2.85</v>
      </c>
      <c r="AP12" s="169"/>
      <c r="AQ12" s="171">
        <v>1</v>
      </c>
      <c r="AR12" s="172">
        <v>2850</v>
      </c>
      <c r="AS12" s="170">
        <f>AR12*AQ12/1000</f>
        <v>2.85</v>
      </c>
      <c r="AT12" s="151"/>
      <c r="AU12" s="171">
        <v>2</v>
      </c>
      <c r="AV12" s="172">
        <v>2850</v>
      </c>
      <c r="AW12" s="170">
        <f>AV12*AU12/1000</f>
        <v>5.7</v>
      </c>
      <c r="AX12" s="151"/>
      <c r="AY12" s="171">
        <v>0</v>
      </c>
      <c r="AZ12" s="172">
        <v>0</v>
      </c>
      <c r="BA12" s="170">
        <f>AZ12*AY12/1000</f>
        <v>0</v>
      </c>
      <c r="BB12" s="151"/>
      <c r="BC12" s="171">
        <v>2</v>
      </c>
      <c r="BD12" s="172">
        <v>550</v>
      </c>
      <c r="BE12" s="170">
        <f>BD12*BC12/1000</f>
        <v>1.1000000000000001</v>
      </c>
      <c r="BF12" s="151"/>
      <c r="BG12" s="171">
        <v>2</v>
      </c>
      <c r="BH12" s="172">
        <v>2850</v>
      </c>
      <c r="BI12" s="170">
        <f>BH12*BG12/1000</f>
        <v>5.7</v>
      </c>
      <c r="BJ12" s="151"/>
      <c r="BK12" s="171">
        <v>-1</v>
      </c>
      <c r="BL12" s="169"/>
      <c r="BM12" s="302">
        <v>-46</v>
      </c>
      <c r="BN12" s="151"/>
      <c r="BO12" s="171">
        <v>-2</v>
      </c>
      <c r="BP12" s="172">
        <v>2850</v>
      </c>
      <c r="BQ12" s="302">
        <v>3</v>
      </c>
      <c r="BR12" s="151"/>
      <c r="BS12" s="171">
        <v>-2</v>
      </c>
      <c r="BT12" s="172">
        <v>2850</v>
      </c>
      <c r="BU12" s="302">
        <v>-23</v>
      </c>
      <c r="BV12" s="151"/>
      <c r="BW12" s="171">
        <v>2</v>
      </c>
      <c r="BX12" s="172">
        <f>1000*28/2</f>
        <v>14000</v>
      </c>
      <c r="BY12" s="170">
        <f>BX12*BW12/1000</f>
        <v>28</v>
      </c>
      <c r="BZ12" s="151"/>
      <c r="CA12" s="171">
        <v>0</v>
      </c>
      <c r="CB12" s="172">
        <v>3000</v>
      </c>
      <c r="CC12" s="170">
        <f>CB12*CA12/1000</f>
        <v>0</v>
      </c>
      <c r="CD12" s="148"/>
      <c r="CE12" s="171">
        <v>0</v>
      </c>
      <c r="CF12" s="172">
        <v>2850</v>
      </c>
      <c r="CG12" s="170">
        <v>-4</v>
      </c>
      <c r="CH12" s="148"/>
      <c r="CI12" s="171">
        <v>0</v>
      </c>
      <c r="CJ12" s="172">
        <v>2850</v>
      </c>
      <c r="CK12" s="170">
        <f>CJ12*CI12/1000</f>
        <v>0</v>
      </c>
      <c r="CL12" s="148"/>
      <c r="CM12" s="171">
        <v>0</v>
      </c>
      <c r="CN12" s="172">
        <v>2850</v>
      </c>
      <c r="CO12" s="170">
        <f>CN12*CM12/1000</f>
        <v>0</v>
      </c>
      <c r="CP12" s="148"/>
      <c r="CQ12" s="171">
        <v>0</v>
      </c>
      <c r="CR12" s="172">
        <v>2850</v>
      </c>
      <c r="CS12" s="170">
        <f>CR12*CQ12/1000</f>
        <v>0</v>
      </c>
      <c r="CT12" s="148"/>
      <c r="CU12" s="171">
        <v>0</v>
      </c>
      <c r="CV12" s="172">
        <v>2850</v>
      </c>
      <c r="CW12" s="170">
        <f>CV12*CU12/1000</f>
        <v>0</v>
      </c>
      <c r="CX12" s="148"/>
      <c r="CY12" s="171">
        <v>0</v>
      </c>
      <c r="CZ12" s="172">
        <v>2850</v>
      </c>
      <c r="DA12" s="170">
        <f>CZ12*CY12/1000</f>
        <v>0</v>
      </c>
      <c r="DC12" s="171">
        <v>0</v>
      </c>
      <c r="DD12" s="172">
        <v>2850</v>
      </c>
      <c r="DE12" s="170">
        <f>DD12*DC12/1000</f>
        <v>0</v>
      </c>
      <c r="DG12" s="171">
        <v>7</v>
      </c>
      <c r="DH12" s="172">
        <v>2850</v>
      </c>
      <c r="DI12" s="170">
        <f>DH12*DG12/1000</f>
        <v>19.95</v>
      </c>
      <c r="DK12" s="171">
        <v>10</v>
      </c>
      <c r="DL12" s="172">
        <v>2850</v>
      </c>
      <c r="DM12" s="170">
        <f>DL12*DK12/1000</f>
        <v>28.5</v>
      </c>
      <c r="DO12" s="171">
        <v>0</v>
      </c>
      <c r="DP12" s="172">
        <v>2850</v>
      </c>
      <c r="DQ12" s="170">
        <f>DP12*DO12/1000</f>
        <v>0</v>
      </c>
      <c r="DS12" s="171">
        <v>0</v>
      </c>
      <c r="DT12" s="172">
        <v>2850</v>
      </c>
      <c r="DU12" s="170">
        <f>DT12*DS12/1000</f>
        <v>0</v>
      </c>
      <c r="DW12" s="171">
        <v>0</v>
      </c>
      <c r="DX12" s="172">
        <v>2850</v>
      </c>
      <c r="DY12" s="170">
        <f>DX12*DW12/1000</f>
        <v>0</v>
      </c>
      <c r="EA12" s="171">
        <v>0</v>
      </c>
      <c r="EB12" s="172">
        <v>2850</v>
      </c>
      <c r="EC12" s="170">
        <f>EB12*EA12/1000</f>
        <v>0</v>
      </c>
    </row>
    <row r="13" spans="1:133">
      <c r="A13" s="151" t="s">
        <v>567</v>
      </c>
      <c r="B13" s="169"/>
      <c r="C13" s="169">
        <v>-4</v>
      </c>
      <c r="D13" s="169">
        <v>5343.75</v>
      </c>
      <c r="E13" s="169">
        <v>-21.375</v>
      </c>
      <c r="F13" s="169"/>
      <c r="G13" s="169">
        <v>-1</v>
      </c>
      <c r="H13" s="169">
        <v>5345</v>
      </c>
      <c r="I13" s="169">
        <v>-5.3449999999999998</v>
      </c>
      <c r="J13" s="169"/>
      <c r="K13" s="169">
        <v>-1</v>
      </c>
      <c r="L13" s="169">
        <v>5913</v>
      </c>
      <c r="M13" s="169">
        <v>-5.9130000000000003</v>
      </c>
      <c r="N13" s="169"/>
      <c r="O13" s="169">
        <v>0</v>
      </c>
      <c r="P13" s="169">
        <v>5650</v>
      </c>
      <c r="Q13" s="169">
        <v>0</v>
      </c>
      <c r="R13" s="169"/>
      <c r="S13" s="169">
        <v>-2</v>
      </c>
      <c r="T13" s="169">
        <v>8000</v>
      </c>
      <c r="U13" s="169">
        <f>S13*T13/1000</f>
        <v>-16</v>
      </c>
      <c r="V13" s="169"/>
      <c r="W13" s="192">
        <v>0</v>
      </c>
      <c r="X13" s="169">
        <v>0</v>
      </c>
      <c r="Y13" s="169">
        <f>W13*X13/1000</f>
        <v>0</v>
      </c>
      <c r="Z13" s="169"/>
      <c r="AA13" s="169">
        <v>-2</v>
      </c>
      <c r="AB13" s="169">
        <v>8500</v>
      </c>
      <c r="AC13" s="169">
        <f>AA13*AB13/1000</f>
        <v>-17</v>
      </c>
      <c r="AD13" s="169"/>
      <c r="AE13" s="169">
        <v>-1</v>
      </c>
      <c r="AF13" s="169">
        <v>7500</v>
      </c>
      <c r="AG13" s="169">
        <f>AE13*AF13/1000</f>
        <v>-7.5</v>
      </c>
      <c r="AH13" s="169"/>
      <c r="AI13" s="172">
        <v>-1</v>
      </c>
      <c r="AJ13" s="172">
        <v>8000</v>
      </c>
      <c r="AK13" s="169">
        <f>AI13*AJ13/1000</f>
        <v>-8</v>
      </c>
      <c r="AL13" s="169"/>
      <c r="AM13" s="187">
        <v>0</v>
      </c>
      <c r="AN13" s="187">
        <v>0</v>
      </c>
      <c r="AO13" s="169">
        <f>AM13*AN13/1000</f>
        <v>0</v>
      </c>
      <c r="AP13" s="169"/>
      <c r="AQ13" s="171">
        <v>0</v>
      </c>
      <c r="AR13" s="172">
        <v>0</v>
      </c>
      <c r="AS13" s="170">
        <f>AQ13*AR13/1000</f>
        <v>0</v>
      </c>
      <c r="AT13" s="151"/>
      <c r="AU13" s="171">
        <v>-1</v>
      </c>
      <c r="AV13" s="172">
        <v>0</v>
      </c>
      <c r="AW13" s="170">
        <f>AU13*AV13/1000</f>
        <v>0</v>
      </c>
      <c r="AX13" s="151"/>
      <c r="AY13" s="228">
        <v>-2</v>
      </c>
      <c r="AZ13" s="172">
        <v>9700</v>
      </c>
      <c r="BA13" s="170">
        <f>AY13*AZ13/1000</f>
        <v>-19.399999999999999</v>
      </c>
      <c r="BB13" s="151"/>
      <c r="BC13" s="228">
        <v>-1</v>
      </c>
      <c r="BD13" s="172">
        <v>12000</v>
      </c>
      <c r="BE13" s="170">
        <f>BC13*BD13/1000</f>
        <v>-12</v>
      </c>
      <c r="BF13" s="151"/>
      <c r="BG13" s="171">
        <v>-14</v>
      </c>
      <c r="BH13" s="172">
        <v>9865.2857142857174</v>
      </c>
      <c r="BI13" s="170">
        <f>BG13*BH13/1000</f>
        <v>-138.11400000000006</v>
      </c>
      <c r="BJ13" s="151"/>
      <c r="BK13" s="228">
        <v>-10</v>
      </c>
      <c r="BL13" s="169">
        <f>+BM13/BK13*1000</f>
        <v>8100</v>
      </c>
      <c r="BM13" s="302">
        <v>-81</v>
      </c>
      <c r="BN13" s="151"/>
      <c r="BO13" s="228">
        <v>-7</v>
      </c>
      <c r="BP13" s="172">
        <v>8500</v>
      </c>
      <c r="BQ13" s="302">
        <v>-55</v>
      </c>
      <c r="BR13" s="151"/>
      <c r="BS13" s="171">
        <v>-5</v>
      </c>
      <c r="BT13" s="172">
        <v>8500</v>
      </c>
      <c r="BU13" s="302">
        <v>-45</v>
      </c>
      <c r="BV13" s="151"/>
      <c r="BW13" s="171">
        <v>-7</v>
      </c>
      <c r="BX13" s="172">
        <f>1000*57/7</f>
        <v>8142.8571428571431</v>
      </c>
      <c r="BY13" s="170">
        <f>BW13*BX13/1000</f>
        <v>-57</v>
      </c>
      <c r="BZ13" s="151"/>
      <c r="CA13" s="171">
        <f>-18+6</f>
        <v>-12</v>
      </c>
      <c r="CB13" s="172">
        <v>9100</v>
      </c>
      <c r="CC13" s="170">
        <f>CA13*CB13/1000</f>
        <v>-109.2</v>
      </c>
      <c r="CD13" s="148"/>
      <c r="CE13" s="171">
        <v>-27</v>
      </c>
      <c r="CF13" s="172">
        <v>8250</v>
      </c>
      <c r="CG13" s="170">
        <f>CE13*CF13/1000</f>
        <v>-222.75</v>
      </c>
      <c r="CH13" s="148"/>
      <c r="CI13" s="171">
        <v>-36</v>
      </c>
      <c r="CJ13" s="172">
        <v>8000</v>
      </c>
      <c r="CK13" s="170">
        <f>CI13*CJ13/1000</f>
        <v>-288</v>
      </c>
      <c r="CL13" s="148"/>
      <c r="CM13" s="171">
        <v>-18</v>
      </c>
      <c r="CN13" s="172">
        <v>8800</v>
      </c>
      <c r="CO13" s="170">
        <f>CM13*CN13/1000</f>
        <v>-158.4</v>
      </c>
      <c r="CP13" s="148"/>
      <c r="CQ13" s="171">
        <v>-15</v>
      </c>
      <c r="CR13" s="172">
        <v>8800</v>
      </c>
      <c r="CS13" s="170">
        <f>CQ13*CR13/1000</f>
        <v>-132</v>
      </c>
      <c r="CT13" s="148"/>
      <c r="CU13" s="171">
        <v>-8</v>
      </c>
      <c r="CV13" s="172">
        <v>8800</v>
      </c>
      <c r="CW13" s="170">
        <f>CU13*CV13/1000</f>
        <v>-70.400000000000006</v>
      </c>
      <c r="CX13" s="148"/>
      <c r="CY13" s="171">
        <v>-34</v>
      </c>
      <c r="CZ13" s="172">
        <v>8800</v>
      </c>
      <c r="DA13" s="170">
        <f>CY13*CZ13/1000</f>
        <v>-299.2</v>
      </c>
      <c r="DC13" s="171">
        <v>-34</v>
      </c>
      <c r="DD13" s="172">
        <v>8800</v>
      </c>
      <c r="DE13" s="170">
        <f>DC13*DD13/1000</f>
        <v>-299.2</v>
      </c>
      <c r="DG13" s="171">
        <v>-28</v>
      </c>
      <c r="DH13" s="172">
        <v>8800</v>
      </c>
      <c r="DI13" s="170">
        <f>DG13*DH13/1000</f>
        <v>-246.4</v>
      </c>
      <c r="DK13" s="171">
        <v>-30</v>
      </c>
      <c r="DL13" s="172">
        <v>8800</v>
      </c>
      <c r="DM13" s="170">
        <f>DK13*DL13/1000</f>
        <v>-264</v>
      </c>
      <c r="DO13" s="171">
        <v>-30</v>
      </c>
      <c r="DP13" s="172">
        <v>8800</v>
      </c>
      <c r="DQ13" s="170">
        <f>DO13*DP13/1000</f>
        <v>-264</v>
      </c>
      <c r="DS13" s="171">
        <v>-20</v>
      </c>
      <c r="DT13" s="172">
        <v>8800</v>
      </c>
      <c r="DU13" s="170">
        <f>DS13*DT13/1000</f>
        <v>-176</v>
      </c>
      <c r="DW13" s="171">
        <v>-10</v>
      </c>
      <c r="DX13" s="172">
        <v>8800</v>
      </c>
      <c r="DY13" s="170">
        <f>DW13*DX13/1000</f>
        <v>-88</v>
      </c>
      <c r="EA13" s="171">
        <v>-10</v>
      </c>
      <c r="EB13" s="172">
        <v>8800</v>
      </c>
      <c r="EC13" s="170">
        <f>EA13*EB13/1000</f>
        <v>-88</v>
      </c>
    </row>
    <row r="14" spans="1:133">
      <c r="A14" s="151" t="s">
        <v>568</v>
      </c>
      <c r="B14" s="169"/>
      <c r="C14" s="169">
        <v>27</v>
      </c>
      <c r="D14" s="169">
        <v>7111.1111111111104</v>
      </c>
      <c r="E14" s="169">
        <v>192</v>
      </c>
      <c r="F14" s="169"/>
      <c r="G14" s="169">
        <v>36</v>
      </c>
      <c r="H14" s="169">
        <v>7972.2222222222226</v>
      </c>
      <c r="I14" s="169">
        <v>287</v>
      </c>
      <c r="J14" s="169"/>
      <c r="K14" s="169">
        <v>40</v>
      </c>
      <c r="L14" s="169">
        <v>8295.35</v>
      </c>
      <c r="M14" s="169">
        <v>331.81399999999996</v>
      </c>
      <c r="N14" s="169"/>
      <c r="O14" s="169">
        <v>49</v>
      </c>
      <c r="P14" s="169">
        <v>8277.8367346938776</v>
      </c>
      <c r="Q14" s="169">
        <v>405.61399999999998</v>
      </c>
      <c r="R14" s="169"/>
      <c r="S14" s="169">
        <f>+S9+S10+S13</f>
        <v>67</v>
      </c>
      <c r="T14" s="169">
        <f>+U14/S14*1000</f>
        <v>8068.8656716417918</v>
      </c>
      <c r="U14" s="169">
        <f>SUM(U9:U13)</f>
        <v>540.61400000000003</v>
      </c>
      <c r="V14" s="169"/>
      <c r="W14" s="169">
        <f>+W9+W10+W13</f>
        <v>100</v>
      </c>
      <c r="X14" s="169">
        <f>+Y14/W14*1000</f>
        <v>9615.6400000000012</v>
      </c>
      <c r="Y14" s="169">
        <f>SUM(Y9:Y13)</f>
        <v>961.56400000000008</v>
      </c>
      <c r="Z14" s="169"/>
      <c r="AA14" s="169">
        <f>+AA9+AA10+AA13</f>
        <v>127</v>
      </c>
      <c r="AB14" s="169">
        <f>+AC14/AA14*1000</f>
        <v>9675.3070866141734</v>
      </c>
      <c r="AC14" s="169">
        <f>SUM(AC9:AC13)</f>
        <v>1228.7640000000001</v>
      </c>
      <c r="AD14" s="169"/>
      <c r="AE14" s="169">
        <f>+AE9+AE10+AE13</f>
        <v>156</v>
      </c>
      <c r="AF14" s="169">
        <f>+AG14/AE14*1000</f>
        <v>9754.8974358974374</v>
      </c>
      <c r="AG14" s="169">
        <f>SUM(AG9:AG13)</f>
        <v>1521.7640000000001</v>
      </c>
      <c r="AH14" s="169"/>
      <c r="AI14" s="169">
        <f>+AI9+AI10+AI13</f>
        <v>183</v>
      </c>
      <c r="AJ14" s="173">
        <f>+AK14/AI14*1000</f>
        <v>9465.3770491803298</v>
      </c>
      <c r="AK14" s="169">
        <f>SUM(AK9:AK13)</f>
        <v>1732.1640000000002</v>
      </c>
      <c r="AL14" s="169"/>
      <c r="AM14" s="169">
        <f>+AM9+AM10+AM13</f>
        <v>215</v>
      </c>
      <c r="AN14" s="173">
        <f>+AO14/AM14*1000</f>
        <v>9357.2744186046511</v>
      </c>
      <c r="AO14" s="169">
        <f>SUM(AO9:AO13)</f>
        <v>2011.8140000000001</v>
      </c>
      <c r="AP14" s="169"/>
      <c r="AQ14" s="168">
        <f>+AQ9+AQ10+AQ13</f>
        <v>265</v>
      </c>
      <c r="AR14" s="173">
        <f>+AS14/AQ14*1000</f>
        <v>9149.6754716981141</v>
      </c>
      <c r="AS14" s="174">
        <f>SUM(AS9:AS13)</f>
        <v>2424.6640000000002</v>
      </c>
      <c r="AT14" s="151"/>
      <c r="AU14" s="168">
        <f>+AU9+AU10+AU13</f>
        <v>309</v>
      </c>
      <c r="AV14" s="173">
        <f>+AW14/AU14*1000</f>
        <v>9028.8478964401293</v>
      </c>
      <c r="AW14" s="174">
        <f>SUM(AW9:AW13)</f>
        <v>2789.9140000000002</v>
      </c>
      <c r="AX14" s="151"/>
      <c r="AY14" s="168">
        <f>+AY9+AY10+AY13</f>
        <v>340</v>
      </c>
      <c r="AZ14" s="173">
        <f>+BA14/AY14*1000</f>
        <v>8925.0411764705896</v>
      </c>
      <c r="BA14" s="174">
        <f>SUM(BA9:BA13)</f>
        <v>3034.5140000000001</v>
      </c>
      <c r="BB14" s="151"/>
      <c r="BC14" s="168">
        <f>+BC9+BC10+BC13</f>
        <v>357</v>
      </c>
      <c r="BD14" s="173">
        <f>+BE14/BC14*1000</f>
        <v>8827.4901960784318</v>
      </c>
      <c r="BE14" s="174">
        <f>SUM(BE9:BE13)</f>
        <v>3151.4140000000002</v>
      </c>
      <c r="BF14" s="151"/>
      <c r="BG14" s="168">
        <f>+BG9+BG10+BG13</f>
        <v>357</v>
      </c>
      <c r="BH14" s="173">
        <f>+BI14/BG14*1000</f>
        <v>8789.9159663865557</v>
      </c>
      <c r="BI14" s="174">
        <f>SUM(BI9:BI13)</f>
        <v>3138</v>
      </c>
      <c r="BJ14" s="151"/>
      <c r="BK14" s="168">
        <f>+BK9+BK10+BK13+BK12</f>
        <v>361</v>
      </c>
      <c r="BL14" s="173">
        <f>+BM14/BK14*1000</f>
        <v>8745.1523545706368</v>
      </c>
      <c r="BM14" s="174">
        <f>SUM(BM9:BM13)</f>
        <v>3157</v>
      </c>
      <c r="BN14" s="151"/>
      <c r="BO14" s="168">
        <f>BO9+BO10+BO12+BO13</f>
        <v>360</v>
      </c>
      <c r="BP14" s="173">
        <f>+BQ14/BO14*1000</f>
        <v>8808.3333333333339</v>
      </c>
      <c r="BQ14" s="174">
        <f>SUM(BQ9:BQ13)</f>
        <v>3171</v>
      </c>
      <c r="BR14" s="151"/>
      <c r="BS14" s="168">
        <f>BS9+BS10+BS12+BS13</f>
        <v>359</v>
      </c>
      <c r="BT14" s="173">
        <f>+BU14/BS14*1000</f>
        <v>8821.7270194986068</v>
      </c>
      <c r="BU14" s="174">
        <f>SUM(BU9:BU13)</f>
        <v>3167</v>
      </c>
      <c r="BV14" s="151"/>
      <c r="BW14" s="168">
        <f>+BW9+BW10+BW13+BW12</f>
        <v>356</v>
      </c>
      <c r="BX14" s="173">
        <f>+BY14/BW14*1000</f>
        <v>8887.6404494382023</v>
      </c>
      <c r="BY14" s="174">
        <f>SUM(BY9:BY13)</f>
        <v>3164</v>
      </c>
      <c r="BZ14" s="151"/>
      <c r="CA14" s="168">
        <f>+CA9+CA10+CA13+CA11</f>
        <v>346</v>
      </c>
      <c r="CB14" s="173">
        <f>+CC14/CA14*1000</f>
        <v>8987.8612716763018</v>
      </c>
      <c r="CC14" s="174">
        <f>SUM(CC9:CC13)</f>
        <v>3109.8</v>
      </c>
      <c r="CD14" s="148"/>
      <c r="CE14" s="168">
        <f>+CE9+CE10+CE13+CE11</f>
        <v>325</v>
      </c>
      <c r="CF14" s="173">
        <f>+CG14/CE14*1000</f>
        <v>9093.0769230769238</v>
      </c>
      <c r="CG14" s="174">
        <f>SUM(CG9:CG13)</f>
        <v>2955.25</v>
      </c>
      <c r="CH14" s="148"/>
      <c r="CI14" s="168">
        <f>+CI9+CI10+CI13+CI11</f>
        <v>294</v>
      </c>
      <c r="CJ14" s="173">
        <f>+CK14/CI14*1000</f>
        <v>9448.1292517006805</v>
      </c>
      <c r="CK14" s="174">
        <f>SUM(CK9:CK13)</f>
        <v>2777.75</v>
      </c>
      <c r="CL14" s="148"/>
      <c r="CM14" s="168">
        <f>+CM9+CM10+CM13+CM11</f>
        <v>285</v>
      </c>
      <c r="CN14" s="173">
        <f>+CO14/CM14*1000</f>
        <v>9665.0877192982443</v>
      </c>
      <c r="CO14" s="174">
        <f>SUM(CO9:CO13)</f>
        <v>2754.5499999999997</v>
      </c>
      <c r="CP14" s="148"/>
      <c r="CQ14" s="168">
        <f>+CQ9+CQ10+CQ13+CQ11</f>
        <v>275</v>
      </c>
      <c r="CR14" s="173">
        <f>+CS14/CQ14*1000</f>
        <v>9737.2727272727261</v>
      </c>
      <c r="CS14" s="174">
        <f>SUM(CS9:CS13)</f>
        <v>2677.7499999999995</v>
      </c>
      <c r="CT14" s="148"/>
      <c r="CU14" s="168">
        <f>+CU9+CU10+CU13+CU11</f>
        <v>279</v>
      </c>
      <c r="CV14" s="173">
        <f>+CW14/CU14*1000</f>
        <v>9763.9784946236541</v>
      </c>
      <c r="CW14" s="174">
        <f>SUM(CW9:CW13)</f>
        <v>2724.1499999999996</v>
      </c>
      <c r="CX14" s="148"/>
      <c r="CY14" s="168">
        <f>+CY9+CY10+CY13+CY11</f>
        <v>379</v>
      </c>
      <c r="CZ14" s="173">
        <f>+DA14/CY14*1000</f>
        <v>8491.4248021108178</v>
      </c>
      <c r="DA14" s="174">
        <f>SUM(DA9:DA13)+CW23</f>
        <v>3218.25</v>
      </c>
      <c r="DC14" s="168">
        <f>+DC9+DC10+DC13+DC11</f>
        <v>355</v>
      </c>
      <c r="DD14" s="173">
        <f>+DE14/DC14*1000</f>
        <v>8439.0140845070437</v>
      </c>
      <c r="DE14" s="174">
        <f>SUM(DE9:DE13)</f>
        <v>2995.8500000000004</v>
      </c>
      <c r="DG14" s="168">
        <f>+DG9+DG10+DG13+DG11</f>
        <v>330</v>
      </c>
      <c r="DH14" s="173">
        <f>+DI14/DG14*1000</f>
        <v>8472.121212121212</v>
      </c>
      <c r="DI14" s="174">
        <f>SUM(DI9:DI13)</f>
        <v>2795.8</v>
      </c>
      <c r="DK14" s="168">
        <f>+DK9+DK10+DK13+DK11</f>
        <v>308</v>
      </c>
      <c r="DL14" s="173">
        <f>+DM14/DK14*1000</f>
        <v>8541.2337662337668</v>
      </c>
      <c r="DM14" s="174">
        <f>SUM(DM9:DM13)</f>
        <v>2630.7000000000003</v>
      </c>
      <c r="DO14" s="168">
        <f>+DO9+DO10+DO13+DO11</f>
        <v>281</v>
      </c>
      <c r="DP14" s="173">
        <f>+DQ14/DO14*1000</f>
        <v>8516.3701067615675</v>
      </c>
      <c r="DQ14" s="174">
        <f>SUM(DQ9:DQ13)</f>
        <v>2393.1000000000004</v>
      </c>
      <c r="DS14" s="168">
        <f>+DS9+DS10+DS13+DS11</f>
        <v>264</v>
      </c>
      <c r="DT14" s="173">
        <f>+DU14/DS14*1000</f>
        <v>8498.1060606060619</v>
      </c>
      <c r="DU14" s="174">
        <f>SUM(DU9:DU13)</f>
        <v>2243.5000000000005</v>
      </c>
      <c r="DW14" s="168">
        <f>+DW9+DW10+DW13+DW11</f>
        <v>254</v>
      </c>
      <c r="DX14" s="173">
        <f>+DY14/DW14*1000</f>
        <v>8486.2204724409457</v>
      </c>
      <c r="DY14" s="174">
        <f>SUM(DY9:DY13)</f>
        <v>2155.5000000000005</v>
      </c>
      <c r="EA14" s="168">
        <f>+EA9+EA10+EA13+EA11</f>
        <v>244</v>
      </c>
      <c r="EB14" s="173">
        <f>+EC14/EA14*1000</f>
        <v>8473.3606557377079</v>
      </c>
      <c r="EC14" s="174">
        <f>SUM(EC9:EC13)</f>
        <v>2067.5000000000005</v>
      </c>
    </row>
    <row r="15" spans="1:133">
      <c r="A15" s="151" t="s">
        <v>103</v>
      </c>
      <c r="B15" s="169"/>
      <c r="C15" s="169"/>
      <c r="D15" s="175"/>
      <c r="E15" s="175">
        <v>0.15662650602409639</v>
      </c>
      <c r="F15" s="169"/>
      <c r="G15" s="169"/>
      <c r="H15" s="175"/>
      <c r="I15" s="175">
        <v>0.49479166666666669</v>
      </c>
      <c r="J15" s="169"/>
      <c r="K15" s="169"/>
      <c r="L15" s="175"/>
      <c r="M15" s="175">
        <v>0.15614634146341452</v>
      </c>
      <c r="N15" s="169"/>
      <c r="O15" s="169"/>
      <c r="P15" s="175"/>
      <c r="Q15" s="175">
        <v>0.22241376192686269</v>
      </c>
      <c r="R15" s="169"/>
      <c r="S15" s="169"/>
      <c r="T15" s="175"/>
      <c r="U15" s="175">
        <f>(U14-U9)/U9</f>
        <v>0.33282874851459776</v>
      </c>
      <c r="V15" s="169"/>
      <c r="W15" s="169"/>
      <c r="X15" s="175"/>
      <c r="Y15" s="175">
        <f>(Y14-Y9)/Y9</f>
        <v>0.77865168123651995</v>
      </c>
      <c r="Z15" s="169"/>
      <c r="AA15" s="169"/>
      <c r="AB15" s="175"/>
      <c r="AC15" s="175">
        <f>(AC14-AC9)/AC9</f>
        <v>0.27788061949074633</v>
      </c>
      <c r="AD15" s="169"/>
      <c r="AE15" s="169"/>
      <c r="AF15" s="175"/>
      <c r="AG15" s="175">
        <f>(AG14-AG9)/AG9</f>
        <v>0.23845099628569846</v>
      </c>
      <c r="AH15" s="169"/>
      <c r="AI15" s="169"/>
      <c r="AJ15" s="175"/>
      <c r="AK15" s="188">
        <f>(AK14-AK9)/AK9</f>
        <v>0.13826059756966264</v>
      </c>
      <c r="AL15" s="169"/>
      <c r="AM15" s="169"/>
      <c r="AN15" s="175"/>
      <c r="AO15" s="188">
        <f>(AO14-AO9)/AO9</f>
        <v>0.16144545204726563</v>
      </c>
      <c r="AP15" s="169"/>
      <c r="AQ15" s="168"/>
      <c r="AR15" s="175"/>
      <c r="AS15" s="176">
        <f>(AS14-AS9)/AS9</f>
        <v>0.20521280794347793</v>
      </c>
      <c r="AT15" s="151"/>
      <c r="AU15" s="168"/>
      <c r="AV15" s="175"/>
      <c r="AW15" s="176">
        <f>(AW14-AW9)/AW9</f>
        <v>0.15063942880333109</v>
      </c>
      <c r="AX15" s="151"/>
      <c r="AY15" s="168"/>
      <c r="AZ15" s="175"/>
      <c r="BA15" s="176">
        <f>(BA14-BA9)/BA9</f>
        <v>8.7672953359852632E-2</v>
      </c>
      <c r="BB15" s="151"/>
      <c r="BC15" s="168"/>
      <c r="BD15" s="175"/>
      <c r="BE15" s="176">
        <f>(BE14-BE9)/BE9</f>
        <v>3.8523467019760033E-2</v>
      </c>
      <c r="BF15" s="151"/>
      <c r="BG15" s="168"/>
      <c r="BH15" s="175"/>
      <c r="BI15" s="176">
        <f>(BI14-BI9)/BI9</f>
        <v>-4.2565020019585537E-3</v>
      </c>
      <c r="BJ15" s="151"/>
      <c r="BK15" s="168"/>
      <c r="BL15" s="175"/>
      <c r="BM15" s="176">
        <f>(BM14-BM9)/BM9</f>
        <v>6.0548119821542384E-3</v>
      </c>
      <c r="BN15" s="151"/>
      <c r="BO15" s="168"/>
      <c r="BP15" s="175"/>
      <c r="BQ15" s="176">
        <f>(BQ14-BQ9)/BQ9</f>
        <v>4.434589800443459E-3</v>
      </c>
      <c r="BR15" s="151"/>
      <c r="BS15" s="168"/>
      <c r="BT15" s="175"/>
      <c r="BU15" s="176">
        <f>(BU14-BU9)/BU9</f>
        <v>-1.2614317250078839E-3</v>
      </c>
      <c r="BV15" s="151"/>
      <c r="BW15" s="168"/>
      <c r="BX15" s="175"/>
      <c r="BY15" s="176">
        <f>(BY14-BY9)/BY9</f>
        <v>-9.4726870855699403E-4</v>
      </c>
      <c r="BZ15" s="151"/>
      <c r="CA15" s="168"/>
      <c r="CB15" s="175"/>
      <c r="CC15" s="176">
        <f>(CC14-CC9)/CC9</f>
        <v>-1.713021491782548E-2</v>
      </c>
      <c r="CD15" s="148"/>
      <c r="CE15" s="168"/>
      <c r="CF15" s="175"/>
      <c r="CG15" s="176">
        <f>(CG14-CG9)/CG9</f>
        <v>-4.9697729757540735E-2</v>
      </c>
      <c r="CH15" s="148"/>
      <c r="CI15" s="168"/>
      <c r="CJ15" s="175"/>
      <c r="CK15" s="176">
        <f>(CK14-CK9)/CK9</f>
        <v>-6.0062600456814143E-2</v>
      </c>
      <c r="CL15" s="148"/>
      <c r="CM15" s="168"/>
      <c r="CN15" s="175"/>
      <c r="CO15" s="176">
        <f>(CO14-CO9)/CO9</f>
        <v>-8.3520835208353069E-3</v>
      </c>
      <c r="CP15" s="148"/>
      <c r="CQ15" s="168"/>
      <c r="CR15" s="175"/>
      <c r="CS15" s="176">
        <f>(CS14-CS9)/CS9</f>
        <v>-2.788114211032662E-2</v>
      </c>
      <c r="CT15" s="148"/>
      <c r="CU15" s="168"/>
      <c r="CV15" s="175"/>
      <c r="CW15" s="176">
        <f>(CW14-CW9)/CW9</f>
        <v>1.7327980580711454E-2</v>
      </c>
      <c r="CX15" s="148"/>
      <c r="CY15" s="168"/>
      <c r="CZ15" s="175"/>
      <c r="DA15" s="176">
        <f>(DA14-DA9)/DA9</f>
        <v>0.18137767744066974</v>
      </c>
      <c r="DC15" s="168"/>
      <c r="DD15" s="175"/>
      <c r="DE15" s="176">
        <f>(DE14-DE9)/DE9</f>
        <v>-6.9105880525130003E-2</v>
      </c>
      <c r="DG15" s="168"/>
      <c r="DH15" s="175"/>
      <c r="DI15" s="176">
        <f>(DI14-DI9)/DI9</f>
        <v>-6.6775706393844877E-2</v>
      </c>
      <c r="DK15" s="168"/>
      <c r="DL15" s="175"/>
      <c r="DM15" s="176">
        <f>(DM14-DM9)/DM9</f>
        <v>-5.9052865011803381E-2</v>
      </c>
      <c r="DO15" s="168"/>
      <c r="DP15" s="175"/>
      <c r="DQ15" s="176">
        <f>(DQ14-DQ9)/DQ9</f>
        <v>-9.0318166267533306E-2</v>
      </c>
      <c r="DS15" s="168"/>
      <c r="DT15" s="175"/>
      <c r="DU15" s="176">
        <f>(DU14-DU9)/DU9</f>
        <v>-6.2513058376164762E-2</v>
      </c>
      <c r="DW15" s="168"/>
      <c r="DX15" s="175"/>
      <c r="DY15" s="176">
        <f>(DY14-DY9)/DY9</f>
        <v>-3.9224426119901928E-2</v>
      </c>
      <c r="EA15" s="168"/>
      <c r="EB15" s="175"/>
      <c r="EC15" s="176">
        <f>(EC14-EC9)/EC9</f>
        <v>-4.0825794479239147E-2</v>
      </c>
    </row>
    <row r="16" spans="1:133">
      <c r="A16" s="151"/>
      <c r="B16" s="169"/>
      <c r="C16" s="169"/>
      <c r="D16" s="175"/>
      <c r="E16" s="175"/>
      <c r="F16" s="169"/>
      <c r="G16" s="169"/>
      <c r="H16" s="175"/>
      <c r="I16" s="175"/>
      <c r="J16" s="169"/>
      <c r="K16" s="169"/>
      <c r="L16" s="175"/>
      <c r="M16" s="175"/>
      <c r="N16" s="169"/>
      <c r="O16" s="169"/>
      <c r="P16" s="175"/>
      <c r="Q16" s="175"/>
      <c r="R16" s="169"/>
      <c r="S16" s="169"/>
      <c r="T16" s="175"/>
      <c r="U16" s="175"/>
      <c r="V16" s="169"/>
      <c r="W16" s="169"/>
      <c r="X16" s="175"/>
      <c r="Y16" s="175"/>
      <c r="Z16" s="169"/>
      <c r="AA16" s="169"/>
      <c r="AB16" s="175"/>
      <c r="AC16" s="175"/>
      <c r="AD16" s="169"/>
      <c r="AE16" s="169"/>
      <c r="AF16" s="175"/>
      <c r="AG16" s="175"/>
      <c r="AH16" s="169"/>
      <c r="AI16" s="169"/>
      <c r="AJ16" s="175"/>
      <c r="AK16" s="188"/>
      <c r="AL16" s="169"/>
      <c r="AM16" s="169"/>
      <c r="AN16" s="175"/>
      <c r="AO16" s="188"/>
      <c r="AP16" s="169"/>
      <c r="AQ16" s="168"/>
      <c r="AR16" s="175"/>
      <c r="AS16" s="176"/>
      <c r="AT16" s="151"/>
      <c r="AU16" s="168"/>
      <c r="AV16" s="175"/>
      <c r="AW16" s="176"/>
      <c r="AX16" s="151"/>
      <c r="AY16" s="168"/>
      <c r="AZ16" s="175"/>
      <c r="BA16" s="176"/>
      <c r="BB16" s="151"/>
      <c r="BC16" s="168"/>
      <c r="BD16" s="175"/>
      <c r="BE16" s="176"/>
      <c r="BF16" s="151"/>
      <c r="BG16" s="168"/>
      <c r="BH16" s="175"/>
      <c r="BI16" s="176"/>
      <c r="BJ16" s="151"/>
      <c r="BK16" s="168"/>
      <c r="BL16" s="175"/>
      <c r="BM16" s="176"/>
      <c r="BN16" s="151"/>
      <c r="BO16" s="168"/>
      <c r="BP16" s="175"/>
      <c r="BQ16" s="176"/>
      <c r="BR16" s="151"/>
      <c r="BS16" s="168"/>
      <c r="BT16" s="175"/>
      <c r="BU16" s="353"/>
      <c r="BV16" s="151"/>
      <c r="BW16" s="168"/>
      <c r="BX16" s="175"/>
      <c r="BY16" s="176"/>
      <c r="BZ16" s="151"/>
      <c r="CA16" s="168"/>
      <c r="CB16" s="175"/>
      <c r="CC16" s="176"/>
      <c r="CD16" s="148"/>
      <c r="CE16" s="168"/>
      <c r="CF16" s="175"/>
      <c r="CG16" s="176"/>
      <c r="CH16" s="148"/>
      <c r="CI16" s="168"/>
      <c r="CJ16" s="175"/>
      <c r="CK16" s="176"/>
      <c r="CL16" s="148"/>
      <c r="CM16" s="168"/>
      <c r="CN16" s="175"/>
      <c r="CO16" s="176"/>
      <c r="CP16" s="148"/>
      <c r="CQ16" s="168"/>
      <c r="CR16" s="175"/>
      <c r="CS16" s="176"/>
      <c r="CT16" s="148"/>
      <c r="CU16" s="168"/>
      <c r="CV16" s="175"/>
      <c r="CW16" s="176"/>
      <c r="CX16" s="148"/>
      <c r="CY16" s="168"/>
      <c r="CZ16" s="175"/>
      <c r="DA16" s="176"/>
      <c r="DC16" s="168"/>
      <c r="DD16" s="175"/>
      <c r="DE16" s="176"/>
      <c r="DG16" s="168"/>
      <c r="DH16" s="175"/>
      <c r="DI16" s="176"/>
      <c r="DK16" s="168"/>
      <c r="DL16" s="175"/>
      <c r="DM16" s="176"/>
      <c r="DO16" s="168"/>
      <c r="DP16" s="175"/>
      <c r="DQ16" s="176"/>
      <c r="DS16" s="168"/>
      <c r="DT16" s="175"/>
      <c r="DU16" s="176"/>
      <c r="DW16" s="168"/>
      <c r="DX16" s="175"/>
      <c r="DY16" s="176"/>
      <c r="EA16" s="168"/>
      <c r="EB16" s="175"/>
      <c r="EC16" s="176"/>
    </row>
    <row r="17" spans="1:133" outlineLevel="1">
      <c r="A17" s="151"/>
      <c r="B17" s="151"/>
      <c r="C17" s="151"/>
      <c r="D17" s="151"/>
      <c r="E17" s="151"/>
      <c r="F17" s="151"/>
      <c r="G17" s="151"/>
      <c r="H17" s="151"/>
      <c r="I17" s="151"/>
      <c r="J17" s="151"/>
      <c r="K17" s="151"/>
      <c r="L17" s="151"/>
      <c r="M17" s="151"/>
      <c r="N17" s="151"/>
      <c r="O17" s="151"/>
      <c r="P17" s="151"/>
      <c r="Q17" s="151"/>
      <c r="R17" s="151"/>
      <c r="S17" s="151"/>
      <c r="T17" s="151"/>
      <c r="U17" s="151"/>
      <c r="V17" s="151"/>
      <c r="W17" s="151"/>
      <c r="X17" s="151"/>
      <c r="Y17" s="151"/>
      <c r="Z17" s="151"/>
      <c r="AA17" s="151"/>
      <c r="AB17" s="151"/>
      <c r="AC17" s="151"/>
      <c r="AD17" s="151"/>
      <c r="AE17" s="151"/>
      <c r="AF17" s="151"/>
      <c r="AG17" s="151"/>
      <c r="AH17" s="151"/>
      <c r="AI17" s="151"/>
      <c r="AJ17" s="151"/>
      <c r="AK17" s="151"/>
      <c r="AL17" s="151"/>
      <c r="AM17" s="151"/>
      <c r="AN17" s="151"/>
      <c r="AO17" s="151"/>
      <c r="AP17" s="151"/>
      <c r="AQ17" s="177"/>
      <c r="AR17" s="151"/>
      <c r="AS17" s="178"/>
      <c r="AT17" s="151"/>
      <c r="AU17" s="177"/>
      <c r="AV17" s="151"/>
      <c r="AW17" s="178"/>
      <c r="AX17" s="151"/>
      <c r="AY17" s="177"/>
      <c r="AZ17" s="151"/>
      <c r="BA17" s="178"/>
      <c r="BB17" s="151"/>
      <c r="BC17" s="177"/>
      <c r="BD17" s="151"/>
      <c r="BE17" s="178"/>
      <c r="BF17" s="151"/>
      <c r="BG17" s="177"/>
      <c r="BH17" s="151"/>
      <c r="BI17" s="178"/>
      <c r="BJ17" s="151"/>
      <c r="BK17" s="177"/>
      <c r="BL17" s="151"/>
      <c r="BM17" s="178"/>
      <c r="BN17" s="151"/>
      <c r="BO17" s="177"/>
      <c r="BP17" s="151"/>
      <c r="BQ17" s="178"/>
      <c r="BR17" s="151"/>
      <c r="BS17" s="177"/>
      <c r="BT17" s="151"/>
      <c r="BU17" s="178"/>
      <c r="BV17" s="151"/>
      <c r="BW17" s="177"/>
      <c r="BX17" s="151"/>
      <c r="BY17" s="178"/>
      <c r="BZ17" s="151"/>
      <c r="CA17" s="177"/>
      <c r="CB17" s="151"/>
      <c r="CC17" s="178"/>
      <c r="CD17" s="148"/>
      <c r="CE17" s="177"/>
      <c r="CF17" s="151"/>
      <c r="CG17" s="178"/>
      <c r="CH17" s="148"/>
      <c r="CI17" s="177"/>
      <c r="CJ17" s="151"/>
      <c r="CK17" s="562"/>
      <c r="CL17" s="148"/>
      <c r="CM17" s="177"/>
      <c r="CN17" s="151"/>
      <c r="CO17" s="562"/>
      <c r="CP17" s="148"/>
      <c r="CQ17" s="177"/>
      <c r="CR17" s="151"/>
      <c r="CS17" s="178"/>
      <c r="CT17" s="148"/>
      <c r="CU17" s="177"/>
      <c r="CV17" s="151"/>
      <c r="CW17" s="178"/>
      <c r="CX17" s="148"/>
      <c r="CY17" s="177"/>
      <c r="CZ17" s="151"/>
      <c r="DA17" s="178"/>
      <c r="DC17" s="177"/>
      <c r="DD17" s="151"/>
      <c r="DE17" s="178"/>
      <c r="DG17" s="177"/>
      <c r="DH17" s="151"/>
      <c r="DI17" s="178"/>
      <c r="DK17" s="177"/>
      <c r="DL17" s="151"/>
      <c r="DM17" s="178"/>
      <c r="DO17" s="177"/>
      <c r="DP17" s="151"/>
      <c r="DQ17" s="178"/>
      <c r="DS17" s="177"/>
      <c r="DT17" s="151"/>
      <c r="DU17" s="178"/>
      <c r="DW17" s="177"/>
      <c r="DX17" s="151"/>
      <c r="DY17" s="178"/>
      <c r="EA17" s="177"/>
      <c r="EB17" s="151"/>
      <c r="EC17" s="178"/>
    </row>
    <row r="18" spans="1:133" outlineLevel="1">
      <c r="A18" s="150" t="s">
        <v>577</v>
      </c>
      <c r="B18" s="169"/>
      <c r="C18" s="169"/>
      <c r="D18" s="186"/>
      <c r="E18" s="181"/>
      <c r="F18" s="169"/>
      <c r="G18" s="169"/>
      <c r="H18" s="186"/>
      <c r="I18" s="181"/>
      <c r="J18" s="169"/>
      <c r="K18" s="169"/>
      <c r="L18" s="186"/>
      <c r="M18" s="181"/>
      <c r="N18" s="169"/>
      <c r="O18" s="169"/>
      <c r="P18" s="186"/>
      <c r="Q18" s="181"/>
      <c r="R18" s="169"/>
      <c r="S18" s="169"/>
      <c r="T18" s="186"/>
      <c r="U18" s="181"/>
      <c r="V18" s="169"/>
      <c r="W18" s="169"/>
      <c r="X18" s="186"/>
      <c r="Y18" s="181"/>
      <c r="Z18" s="181"/>
      <c r="AA18" s="169"/>
      <c r="AB18" s="186"/>
      <c r="AC18" s="181"/>
      <c r="AD18" s="181"/>
      <c r="AE18" s="181"/>
      <c r="AF18" s="181"/>
      <c r="AG18" s="181"/>
      <c r="AH18" s="181"/>
      <c r="AI18" s="181"/>
      <c r="AJ18" s="181"/>
      <c r="AK18" s="181"/>
      <c r="AL18" s="181"/>
      <c r="AM18" s="181"/>
      <c r="AN18" s="181"/>
      <c r="AO18" s="181"/>
      <c r="AP18" s="181"/>
      <c r="AQ18" s="180"/>
      <c r="AR18" s="181"/>
      <c r="AS18" s="182"/>
      <c r="AT18" s="151"/>
      <c r="AU18" s="180"/>
      <c r="AV18" s="181"/>
      <c r="AW18" s="182"/>
      <c r="AX18" s="151"/>
      <c r="AY18" s="180"/>
      <c r="AZ18" s="181"/>
      <c r="BA18" s="182"/>
      <c r="BB18" s="151"/>
      <c r="BC18" s="180"/>
      <c r="BD18" s="181"/>
      <c r="BE18" s="182"/>
      <c r="BF18" s="151"/>
      <c r="BG18" s="180"/>
      <c r="BH18" s="181"/>
      <c r="BI18" s="182"/>
      <c r="BJ18" s="151"/>
      <c r="BK18" s="180"/>
      <c r="BL18" s="181"/>
      <c r="BM18" s="182"/>
      <c r="BN18" s="151"/>
      <c r="BO18" s="180"/>
      <c r="BP18" s="181"/>
      <c r="BQ18" s="182"/>
      <c r="BR18" s="151"/>
      <c r="BS18" s="180"/>
      <c r="BT18" s="181"/>
      <c r="BU18" s="182"/>
      <c r="BV18" s="151"/>
      <c r="BW18" s="180"/>
      <c r="BX18" s="181"/>
      <c r="BY18" s="182"/>
      <c r="BZ18" s="151"/>
      <c r="CA18" s="180"/>
      <c r="CB18" s="181"/>
      <c r="CC18" s="182"/>
      <c r="CD18" s="148"/>
      <c r="CE18" s="180"/>
      <c r="CF18" s="181"/>
      <c r="CG18" s="182"/>
      <c r="CH18" s="148"/>
      <c r="CI18" s="180"/>
      <c r="CJ18" s="181"/>
      <c r="CK18" s="182"/>
      <c r="CL18" s="148"/>
      <c r="CM18" s="180"/>
      <c r="CN18" s="181"/>
      <c r="CO18" s="182"/>
      <c r="CP18" s="148"/>
      <c r="CQ18" s="180"/>
      <c r="CR18" s="181"/>
      <c r="CS18" s="182"/>
      <c r="CT18" s="148"/>
      <c r="CU18" s="180"/>
      <c r="CV18" s="181"/>
      <c r="CW18" s="182"/>
      <c r="CX18" s="148"/>
      <c r="CY18" s="180"/>
      <c r="CZ18" s="181"/>
      <c r="DA18" s="182"/>
      <c r="DC18" s="180"/>
      <c r="DD18" s="181"/>
      <c r="DE18" s="182"/>
      <c r="DG18" s="180"/>
      <c r="DH18" s="181"/>
      <c r="DI18" s="182"/>
      <c r="DK18" s="180"/>
      <c r="DL18" s="181"/>
      <c r="DM18" s="182"/>
      <c r="DO18" s="180"/>
      <c r="DP18" s="181"/>
      <c r="DQ18" s="182"/>
      <c r="DS18" s="180"/>
      <c r="DT18" s="181"/>
      <c r="DU18" s="182"/>
      <c r="DW18" s="180"/>
      <c r="DX18" s="181"/>
      <c r="DY18" s="182"/>
      <c r="EA18" s="180"/>
      <c r="EB18" s="181"/>
      <c r="EC18" s="182"/>
    </row>
    <row r="19" spans="1:133" outlineLevel="1">
      <c r="A19" s="151" t="s">
        <v>470</v>
      </c>
      <c r="B19" s="169"/>
      <c r="C19" s="169"/>
      <c r="D19" s="169"/>
      <c r="E19" s="169"/>
      <c r="F19" s="169"/>
      <c r="G19" s="169"/>
      <c r="H19" s="169"/>
      <c r="I19" s="169"/>
      <c r="J19" s="169"/>
      <c r="K19" s="169"/>
      <c r="L19" s="169"/>
      <c r="M19" s="169"/>
      <c r="N19" s="169"/>
      <c r="O19" s="169"/>
      <c r="P19" s="169"/>
      <c r="Q19" s="169"/>
      <c r="R19" s="169"/>
      <c r="S19" s="169"/>
      <c r="T19" s="169"/>
      <c r="U19" s="169"/>
      <c r="V19" s="169"/>
      <c r="W19" s="169"/>
      <c r="X19" s="169"/>
      <c r="Y19" s="169"/>
      <c r="Z19" s="169"/>
      <c r="AA19" s="169"/>
      <c r="AB19" s="169"/>
      <c r="AC19" s="169"/>
      <c r="AD19" s="169"/>
      <c r="AE19" s="169"/>
      <c r="AF19" s="169"/>
      <c r="AG19" s="169"/>
      <c r="AH19" s="169"/>
      <c r="AI19" s="189">
        <f>AE22</f>
        <v>0</v>
      </c>
      <c r="AJ19" s="173">
        <f>IF(AK19=0,0,(AK19/AI19*1000))</f>
        <v>0</v>
      </c>
      <c r="AK19" s="181">
        <f>AG22</f>
        <v>0</v>
      </c>
      <c r="AL19" s="169"/>
      <c r="AM19" s="189">
        <f>AI23</f>
        <v>13</v>
      </c>
      <c r="AN19" s="173">
        <f>IF(AO19=0,0,(AO19/AM19*1000))</f>
        <v>4500</v>
      </c>
      <c r="AO19" s="189">
        <f>AK23</f>
        <v>58.5</v>
      </c>
      <c r="AP19" s="169"/>
      <c r="AQ19" s="179">
        <f>AM23</f>
        <v>35</v>
      </c>
      <c r="AR19" s="173">
        <f>IF(AS19=0,0,(AS19/AQ19*1000))</f>
        <v>4625.7142857142853</v>
      </c>
      <c r="AS19" s="170">
        <f>AO23</f>
        <v>161.9</v>
      </c>
      <c r="AT19" s="151"/>
      <c r="AU19" s="179">
        <f>AQ23</f>
        <v>84</v>
      </c>
      <c r="AV19" s="173">
        <f>IF(AW19=0,0,(AW19/AU19*1000))</f>
        <v>4669.0476190476193</v>
      </c>
      <c r="AW19" s="170">
        <f>AS23</f>
        <v>392.20000000000005</v>
      </c>
      <c r="AX19" s="151"/>
      <c r="AY19" s="179">
        <f>AU23</f>
        <v>148</v>
      </c>
      <c r="AZ19" s="173">
        <f>IF(BA19=0,0,(BA19/AY19*1000))</f>
        <v>4574.3243243243242</v>
      </c>
      <c r="BA19" s="170">
        <f>AW23</f>
        <v>677</v>
      </c>
      <c r="BB19" s="151"/>
      <c r="BC19" s="179">
        <f>AY23</f>
        <v>164</v>
      </c>
      <c r="BD19" s="173">
        <f>IF(BE19=0,0,(BE19/BC19*1000))</f>
        <v>4432.9268292682927</v>
      </c>
      <c r="BE19" s="170">
        <f>+BA23</f>
        <v>727</v>
      </c>
      <c r="BF19" s="151"/>
      <c r="BG19" s="179">
        <f>BC23</f>
        <v>171</v>
      </c>
      <c r="BH19" s="173">
        <f>IF(BI19=0,0,(BI19/BG19*1000))</f>
        <v>4405.8479532163738</v>
      </c>
      <c r="BI19" s="170">
        <f>BE23</f>
        <v>753.4</v>
      </c>
      <c r="BJ19" s="151"/>
      <c r="BK19" s="179">
        <f>BG23</f>
        <v>171</v>
      </c>
      <c r="BL19" s="173">
        <f>IF(BM19=0,0,(BM19/BK19*1000))</f>
        <v>4397.6608187134498</v>
      </c>
      <c r="BM19" s="170">
        <f>BI23</f>
        <v>752</v>
      </c>
      <c r="BN19" s="151"/>
      <c r="BO19" s="179">
        <f>BK23</f>
        <v>164</v>
      </c>
      <c r="BP19" s="173">
        <f>IF(BQ19=0,0,(BQ19/BO19*1000))</f>
        <v>4365.8536585365855</v>
      </c>
      <c r="BQ19" s="170">
        <f>BM23</f>
        <v>716</v>
      </c>
      <c r="BR19" s="151"/>
      <c r="BS19" s="179">
        <f>BO23</f>
        <v>177</v>
      </c>
      <c r="BT19" s="173">
        <f>IF(BU19=0,0,(BU19/BS19*1000))</f>
        <v>4451.9774011299442</v>
      </c>
      <c r="BU19" s="170">
        <f>BQ23</f>
        <v>788</v>
      </c>
      <c r="BV19" s="151"/>
      <c r="BW19" s="179">
        <f>BS23</f>
        <v>201</v>
      </c>
      <c r="BX19" s="173">
        <f>IF(BY19=0,0,(BY19/BW19*1000))</f>
        <v>4562.1890547263683</v>
      </c>
      <c r="BY19" s="170">
        <f>BU23</f>
        <v>917</v>
      </c>
      <c r="BZ19" s="151"/>
      <c r="CA19" s="179">
        <f>BW23</f>
        <v>212</v>
      </c>
      <c r="CB19" s="173">
        <f>IF(CC19=0,0,(CC19/CA19*1000))</f>
        <v>4603.7735849056598</v>
      </c>
      <c r="CC19" s="170">
        <f>BY23</f>
        <v>976</v>
      </c>
      <c r="CD19" s="148"/>
      <c r="CE19" s="179">
        <f>CA23</f>
        <v>209</v>
      </c>
      <c r="CF19" s="173">
        <f>IF(CG19=0,0,(CG19/CE19*1000))</f>
        <v>4682.2966507177034</v>
      </c>
      <c r="CG19" s="170">
        <f>CC23</f>
        <v>978.6</v>
      </c>
      <c r="CH19" s="148"/>
      <c r="CI19" s="179">
        <f>CE23</f>
        <v>185</v>
      </c>
      <c r="CJ19" s="173">
        <f>IF(CK19=0,0,(CK19/CI19*1000))</f>
        <v>4750.2702702702709</v>
      </c>
      <c r="CK19" s="170">
        <f>CG23</f>
        <v>878.80000000000007</v>
      </c>
      <c r="CL19" s="148"/>
      <c r="CM19" s="179">
        <f>CI23</f>
        <v>156</v>
      </c>
      <c r="CN19" s="173">
        <f>IF(CO19=0,0,(CO19/CM19*1000))</f>
        <v>4966.666666666667</v>
      </c>
      <c r="CO19" s="170">
        <f>CK23</f>
        <v>774.80000000000007</v>
      </c>
      <c r="CP19" s="148"/>
      <c r="CQ19" s="179">
        <f>CM23</f>
        <v>147</v>
      </c>
      <c r="CR19" s="173">
        <f>IF(CS19=0,0,(CS19/CQ19*1000))</f>
        <v>5117.6870748299325</v>
      </c>
      <c r="CS19" s="170">
        <f>CO23</f>
        <v>752.30000000000007</v>
      </c>
      <c r="CT19" s="148"/>
      <c r="CU19" s="179">
        <f>CQ23</f>
        <v>136</v>
      </c>
      <c r="CV19" s="173">
        <f>IF(CW19=0,0,(CW19/CU19*1000))</f>
        <v>5167.6470588235297</v>
      </c>
      <c r="CW19" s="170">
        <f>CS23</f>
        <v>702.80000000000007</v>
      </c>
      <c r="CX19" s="148"/>
      <c r="CY19" s="179"/>
      <c r="CZ19" s="173"/>
      <c r="DA19" s="170"/>
      <c r="DC19" s="179"/>
      <c r="DD19" s="173"/>
      <c r="DE19" s="170"/>
      <c r="DG19" s="179"/>
      <c r="DH19" s="173"/>
      <c r="DI19" s="170"/>
      <c r="DK19" s="179"/>
      <c r="DL19" s="173"/>
      <c r="DM19" s="170"/>
      <c r="DO19" s="179"/>
      <c r="DP19" s="173"/>
      <c r="DQ19" s="170"/>
      <c r="DS19" s="179"/>
      <c r="DT19" s="173"/>
      <c r="DU19" s="170"/>
      <c r="DW19" s="179"/>
      <c r="DX19" s="173"/>
      <c r="DY19" s="170"/>
      <c r="EA19" s="179"/>
      <c r="EB19" s="173"/>
      <c r="EC19" s="170"/>
    </row>
    <row r="20" spans="1:133" outlineLevel="1">
      <c r="A20" s="151" t="s">
        <v>565</v>
      </c>
      <c r="B20" s="169"/>
      <c r="C20" s="169"/>
      <c r="D20" s="169"/>
      <c r="E20" s="169"/>
      <c r="F20" s="169"/>
      <c r="G20" s="169"/>
      <c r="H20" s="169"/>
      <c r="I20" s="169"/>
      <c r="J20" s="169"/>
      <c r="K20" s="169"/>
      <c r="L20" s="169"/>
      <c r="M20" s="169"/>
      <c r="N20" s="169"/>
      <c r="O20" s="169"/>
      <c r="P20" s="169"/>
      <c r="Q20" s="169"/>
      <c r="R20" s="169"/>
      <c r="S20" s="169"/>
      <c r="T20" s="169"/>
      <c r="U20" s="169"/>
      <c r="V20" s="169"/>
      <c r="W20" s="169"/>
      <c r="X20" s="169"/>
      <c r="Y20" s="169"/>
      <c r="Z20" s="169"/>
      <c r="AA20" s="169"/>
      <c r="AB20" s="169"/>
      <c r="AC20" s="169"/>
      <c r="AD20" s="169"/>
      <c r="AE20" s="169"/>
      <c r="AF20" s="169"/>
      <c r="AG20" s="169"/>
      <c r="AH20" s="169"/>
      <c r="AI20" s="172">
        <v>13</v>
      </c>
      <c r="AJ20" s="172">
        <v>4500</v>
      </c>
      <c r="AK20" s="169">
        <f>AI20*AJ20/1000</f>
        <v>58.5</v>
      </c>
      <c r="AL20" s="172"/>
      <c r="AM20" s="187">
        <v>22</v>
      </c>
      <c r="AN20" s="187">
        <v>4700</v>
      </c>
      <c r="AO20" s="169">
        <f>AM20*AN20/1000</f>
        <v>103.4</v>
      </c>
      <c r="AP20" s="172"/>
      <c r="AQ20" s="171">
        <v>49</v>
      </c>
      <c r="AR20" s="172">
        <v>4700</v>
      </c>
      <c r="AS20" s="170">
        <f>AQ20*AR20/1000</f>
        <v>230.3</v>
      </c>
      <c r="AT20" s="172"/>
      <c r="AU20" s="171">
        <v>64</v>
      </c>
      <c r="AV20" s="172">
        <v>4450</v>
      </c>
      <c r="AW20" s="170">
        <f>AU20*AV20/1000</f>
        <v>284.8</v>
      </c>
      <c r="AX20" s="172"/>
      <c r="AY20" s="171">
        <v>19</v>
      </c>
      <c r="AZ20" s="172">
        <v>4000</v>
      </c>
      <c r="BA20" s="170">
        <f>AY20*AZ20/1000</f>
        <v>76</v>
      </c>
      <c r="BB20" s="172"/>
      <c r="BC20" s="171">
        <v>9</v>
      </c>
      <c r="BD20" s="172">
        <v>4000</v>
      </c>
      <c r="BE20" s="170">
        <f>BC20*BD20/1000</f>
        <v>36</v>
      </c>
      <c r="BF20" s="172"/>
      <c r="BG20" s="171">
        <v>7</v>
      </c>
      <c r="BH20" s="172">
        <v>4000</v>
      </c>
      <c r="BI20" s="170">
        <f>BG20*BH20/1000</f>
        <v>28</v>
      </c>
      <c r="BJ20" s="172"/>
      <c r="BK20" s="171">
        <v>5</v>
      </c>
      <c r="BL20" s="169">
        <f>+BM20/BK20*1000</f>
        <v>4000</v>
      </c>
      <c r="BM20" s="302">
        <v>20</v>
      </c>
      <c r="BN20" s="172"/>
      <c r="BO20" s="228">
        <v>19</v>
      </c>
      <c r="BP20" s="172">
        <v>4000</v>
      </c>
      <c r="BQ20" s="302">
        <v>94</v>
      </c>
      <c r="BR20" s="172"/>
      <c r="BS20" s="171">
        <v>25</v>
      </c>
      <c r="BT20" s="172">
        <v>4200</v>
      </c>
      <c r="BU20" s="261">
        <v>126</v>
      </c>
      <c r="BV20" s="172"/>
      <c r="BW20" s="171">
        <v>12</v>
      </c>
      <c r="BX20" s="172">
        <f>1000*59/12</f>
        <v>4916.666666666667</v>
      </c>
      <c r="BY20" s="170">
        <f>BW20*BX20/1000</f>
        <v>59</v>
      </c>
      <c r="BZ20" s="172"/>
      <c r="CA20" s="171">
        <v>3</v>
      </c>
      <c r="CB20" s="172">
        <v>6000</v>
      </c>
      <c r="CC20" s="170">
        <f>CA20*CB20/1000</f>
        <v>18</v>
      </c>
      <c r="CD20" s="148"/>
      <c r="CE20" s="171">
        <v>3</v>
      </c>
      <c r="CF20" s="172">
        <v>6250</v>
      </c>
      <c r="CG20" s="170">
        <f>CE20*CF20/1000</f>
        <v>18.75</v>
      </c>
      <c r="CH20" s="148"/>
      <c r="CI20" s="171">
        <v>1</v>
      </c>
      <c r="CJ20" s="172">
        <v>8500</v>
      </c>
      <c r="CK20" s="170">
        <f>CI20*CJ20/1000</f>
        <v>8.5</v>
      </c>
      <c r="CL20" s="148"/>
      <c r="CM20" s="171">
        <v>4</v>
      </c>
      <c r="CN20" s="172">
        <v>9000</v>
      </c>
      <c r="CO20" s="170">
        <f>CM20*CN20/1000</f>
        <v>36</v>
      </c>
      <c r="CP20" s="148"/>
      <c r="CQ20" s="171">
        <v>0</v>
      </c>
      <c r="CR20" s="172">
        <v>4590</v>
      </c>
      <c r="CS20" s="170">
        <f>CQ20*CR20/1000</f>
        <v>0</v>
      </c>
      <c r="CT20" s="148"/>
      <c r="CU20" s="171">
        <v>0</v>
      </c>
      <c r="CV20" s="172">
        <v>4590</v>
      </c>
      <c r="CW20" s="170">
        <f>CU20*CV20/1000</f>
        <v>0</v>
      </c>
      <c r="CX20" s="148"/>
      <c r="CY20" s="171"/>
      <c r="CZ20" s="172"/>
      <c r="DA20" s="170"/>
      <c r="DC20" s="171"/>
      <c r="DD20" s="172"/>
      <c r="DE20" s="170"/>
      <c r="DG20" s="171"/>
      <c r="DH20" s="172"/>
      <c r="DI20" s="170"/>
      <c r="DK20" s="171"/>
      <c r="DL20" s="172"/>
      <c r="DM20" s="170"/>
      <c r="DO20" s="171"/>
      <c r="DP20" s="172"/>
      <c r="DQ20" s="170"/>
      <c r="DS20" s="171"/>
      <c r="DT20" s="172"/>
      <c r="DU20" s="170"/>
      <c r="DW20" s="171"/>
      <c r="DX20" s="172"/>
      <c r="DY20" s="170"/>
      <c r="EA20" s="171"/>
      <c r="EB20" s="172"/>
      <c r="EC20" s="170"/>
    </row>
    <row r="21" spans="1:133" outlineLevel="1">
      <c r="A21" s="151" t="s">
        <v>566</v>
      </c>
      <c r="B21" s="169"/>
      <c r="C21" s="169"/>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69"/>
      <c r="AB21" s="169"/>
      <c r="AC21" s="169"/>
      <c r="AD21" s="169"/>
      <c r="AE21" s="169"/>
      <c r="AF21" s="169"/>
      <c r="AG21" s="169"/>
      <c r="AH21" s="169"/>
      <c r="AI21" s="172">
        <v>0</v>
      </c>
      <c r="AJ21" s="172">
        <v>0</v>
      </c>
      <c r="AK21" s="169">
        <f>AI21*AJ21/1000</f>
        <v>0</v>
      </c>
      <c r="AL21" s="169"/>
      <c r="AM21" s="187">
        <v>0</v>
      </c>
      <c r="AN21" s="187">
        <v>0</v>
      </c>
      <c r="AO21" s="169">
        <f>AM21*AN21/1000</f>
        <v>0</v>
      </c>
      <c r="AP21" s="169"/>
      <c r="AQ21" s="171">
        <v>0</v>
      </c>
      <c r="AR21" s="172">
        <v>0</v>
      </c>
      <c r="AS21" s="170">
        <f>AQ21*AR21/1000</f>
        <v>0</v>
      </c>
      <c r="AT21" s="151"/>
      <c r="AU21" s="171">
        <v>0</v>
      </c>
      <c r="AV21" s="172">
        <v>0</v>
      </c>
      <c r="AW21" s="170">
        <f>AU21*AV21/1000</f>
        <v>0</v>
      </c>
      <c r="AX21" s="151"/>
      <c r="AY21" s="171">
        <v>0</v>
      </c>
      <c r="AZ21" s="172">
        <v>0</v>
      </c>
      <c r="BA21" s="170">
        <f>AY21*AZ21/1000</f>
        <v>0</v>
      </c>
      <c r="BB21" s="151"/>
      <c r="BC21" s="171">
        <v>0</v>
      </c>
      <c r="BD21" s="172">
        <v>0</v>
      </c>
      <c r="BE21" s="170">
        <f>BC21*BD21/1000</f>
        <v>0</v>
      </c>
      <c r="BF21" s="151"/>
      <c r="BG21" s="171">
        <v>0</v>
      </c>
      <c r="BH21" s="172">
        <v>0</v>
      </c>
      <c r="BI21" s="170">
        <f>BG21*BH21/1000</f>
        <v>0</v>
      </c>
      <c r="BJ21" s="151"/>
      <c r="BK21" s="171">
        <v>-1</v>
      </c>
      <c r="BL21" s="169">
        <f>+BM21/BK21*1000</f>
        <v>4000</v>
      </c>
      <c r="BM21" s="302">
        <v>-4</v>
      </c>
      <c r="BN21" s="151"/>
      <c r="BO21" s="171">
        <v>0</v>
      </c>
      <c r="BP21" s="172">
        <v>0</v>
      </c>
      <c r="BQ21" s="302">
        <f>BO21*BP21/1000</f>
        <v>0</v>
      </c>
      <c r="BR21" s="151"/>
      <c r="BS21" s="171">
        <v>-1</v>
      </c>
      <c r="BT21" s="172">
        <v>0</v>
      </c>
      <c r="BU21" s="261">
        <v>3</v>
      </c>
      <c r="BV21" s="151"/>
      <c r="BW21" s="171">
        <v>1</v>
      </c>
      <c r="BX21" s="172">
        <f>1000*7/1</f>
        <v>7000</v>
      </c>
      <c r="BY21" s="170">
        <f>BW21*BX21/1000</f>
        <v>7</v>
      </c>
      <c r="BZ21" s="151"/>
      <c r="CA21" s="171">
        <v>1</v>
      </c>
      <c r="CB21" s="172">
        <v>5600</v>
      </c>
      <c r="CC21" s="170">
        <f>CA21*CB21/1000</f>
        <v>5.6</v>
      </c>
      <c r="CD21" s="148"/>
      <c r="CE21" s="171">
        <v>0</v>
      </c>
      <c r="CF21" s="172">
        <v>0</v>
      </c>
      <c r="CG21" s="261">
        <v>7</v>
      </c>
      <c r="CH21" s="148"/>
      <c r="CI21" s="171">
        <v>0</v>
      </c>
      <c r="CJ21" s="172">
        <v>0</v>
      </c>
      <c r="CK21" s="170">
        <f>CI21*CJ21/1000</f>
        <v>0</v>
      </c>
      <c r="CL21" s="148"/>
      <c r="CM21" s="171">
        <v>0</v>
      </c>
      <c r="CN21" s="172">
        <v>0</v>
      </c>
      <c r="CO21" s="170">
        <f>CM21*CN21/1000</f>
        <v>0</v>
      </c>
      <c r="CP21" s="148"/>
      <c r="CQ21" s="171">
        <v>0</v>
      </c>
      <c r="CR21" s="172">
        <v>0</v>
      </c>
      <c r="CS21" s="170">
        <f>CQ21*CR21/1000</f>
        <v>0</v>
      </c>
      <c r="CT21" s="148"/>
      <c r="CU21" s="171">
        <v>0</v>
      </c>
      <c r="CV21" s="172">
        <v>0</v>
      </c>
      <c r="CW21" s="170">
        <f>CU21*CV21/1000</f>
        <v>0</v>
      </c>
      <c r="CX21" s="148"/>
      <c r="CY21" s="171"/>
      <c r="CZ21" s="172"/>
      <c r="DA21" s="170"/>
      <c r="DC21" s="171"/>
      <c r="DD21" s="172"/>
      <c r="DE21" s="170"/>
      <c r="DG21" s="171"/>
      <c r="DH21" s="172"/>
      <c r="DI21" s="170"/>
      <c r="DK21" s="171"/>
      <c r="DL21" s="172"/>
      <c r="DM21" s="170"/>
      <c r="DO21" s="171"/>
      <c r="DP21" s="172"/>
      <c r="DQ21" s="170"/>
      <c r="DS21" s="171"/>
      <c r="DT21" s="172"/>
      <c r="DU21" s="170"/>
      <c r="DW21" s="171"/>
      <c r="DX21" s="172"/>
      <c r="DY21" s="170"/>
      <c r="EA21" s="171"/>
      <c r="EB21" s="172"/>
      <c r="EC21" s="170"/>
    </row>
    <row r="22" spans="1:133" outlineLevel="1">
      <c r="A22" s="151" t="s">
        <v>567</v>
      </c>
      <c r="B22" s="169"/>
      <c r="C22" s="169"/>
      <c r="D22" s="169"/>
      <c r="E22" s="169"/>
      <c r="F22" s="169"/>
      <c r="G22" s="169"/>
      <c r="H22" s="169"/>
      <c r="I22" s="169"/>
      <c r="J22" s="169"/>
      <c r="K22" s="169"/>
      <c r="L22" s="169"/>
      <c r="M22" s="169"/>
      <c r="N22" s="169"/>
      <c r="O22" s="169"/>
      <c r="P22" s="169"/>
      <c r="Q22" s="169"/>
      <c r="R22" s="169"/>
      <c r="S22" s="169"/>
      <c r="T22" s="169"/>
      <c r="U22" s="169"/>
      <c r="V22" s="169"/>
      <c r="W22" s="169"/>
      <c r="X22" s="169"/>
      <c r="Y22" s="169"/>
      <c r="Z22" s="169"/>
      <c r="AA22" s="169"/>
      <c r="AB22" s="169"/>
      <c r="AC22" s="169"/>
      <c r="AD22" s="169"/>
      <c r="AE22" s="169"/>
      <c r="AF22" s="169"/>
      <c r="AG22" s="169"/>
      <c r="AH22" s="169"/>
      <c r="AI22" s="172">
        <v>0</v>
      </c>
      <c r="AJ22" s="172">
        <v>0</v>
      </c>
      <c r="AK22" s="169">
        <f>AI22*AJ22/1000</f>
        <v>0</v>
      </c>
      <c r="AL22" s="169"/>
      <c r="AM22" s="187">
        <v>0</v>
      </c>
      <c r="AN22" s="187">
        <v>0</v>
      </c>
      <c r="AO22" s="169">
        <f>AM22*AN22/1000</f>
        <v>0</v>
      </c>
      <c r="AP22" s="169"/>
      <c r="AQ22" s="171">
        <v>0</v>
      </c>
      <c r="AR22" s="172">
        <v>0</v>
      </c>
      <c r="AS22" s="170">
        <f>AQ22*AR22/1000</f>
        <v>0</v>
      </c>
      <c r="AT22" s="151"/>
      <c r="AU22" s="171">
        <v>0</v>
      </c>
      <c r="AV22" s="172">
        <v>0</v>
      </c>
      <c r="AW22" s="170">
        <f>AU22*AV22/1000</f>
        <v>0</v>
      </c>
      <c r="AX22" s="151"/>
      <c r="AY22" s="171">
        <v>-3</v>
      </c>
      <c r="AZ22" s="172">
        <v>-4700</v>
      </c>
      <c r="BA22" s="170">
        <f>AY22*AZ22/1000</f>
        <v>14.1</v>
      </c>
      <c r="BB22" s="151"/>
      <c r="BC22" s="228">
        <v>-2</v>
      </c>
      <c r="BD22" s="172">
        <v>4800</v>
      </c>
      <c r="BE22" s="170">
        <f>BC22*BD22/1000</f>
        <v>-9.6</v>
      </c>
      <c r="BF22" s="151"/>
      <c r="BG22" s="171">
        <v>-7</v>
      </c>
      <c r="BH22" s="262">
        <v>4200</v>
      </c>
      <c r="BI22" s="170">
        <f>BG22*BH22/1000</f>
        <v>-29.4</v>
      </c>
      <c r="BJ22" s="151"/>
      <c r="BK22" s="171">
        <v>-11</v>
      </c>
      <c r="BL22" s="169">
        <f>+BM22/BK22*1000</f>
        <v>4727.2727272727279</v>
      </c>
      <c r="BM22" s="302">
        <v>-52</v>
      </c>
      <c r="BN22" s="151"/>
      <c r="BO22" s="228">
        <v>-6</v>
      </c>
      <c r="BP22" s="172">
        <v>4000</v>
      </c>
      <c r="BQ22" s="302">
        <v>-22</v>
      </c>
      <c r="BR22" s="151"/>
      <c r="BS22" s="171">
        <v>0</v>
      </c>
      <c r="BT22" s="172">
        <v>0</v>
      </c>
      <c r="BU22" s="261">
        <v>0</v>
      </c>
      <c r="BV22" s="151"/>
      <c r="BW22" s="171">
        <v>-2</v>
      </c>
      <c r="BX22" s="172">
        <f>1000*7/2</f>
        <v>3500</v>
      </c>
      <c r="BY22" s="170">
        <f>BW22*BX22/1000</f>
        <v>-7</v>
      </c>
      <c r="BZ22" s="151"/>
      <c r="CA22" s="171">
        <f>-11+4</f>
        <v>-7</v>
      </c>
      <c r="CB22" s="172">
        <v>3000</v>
      </c>
      <c r="CC22" s="170">
        <f>CA22*CB22/1000</f>
        <v>-21</v>
      </c>
      <c r="CD22" s="148"/>
      <c r="CE22" s="171">
        <v>-27</v>
      </c>
      <c r="CF22" s="172">
        <v>4650</v>
      </c>
      <c r="CG22" s="170">
        <f>CE22*CF22/1000</f>
        <v>-125.55</v>
      </c>
      <c r="CH22" s="148"/>
      <c r="CI22" s="171">
        <v>-30</v>
      </c>
      <c r="CJ22" s="172">
        <v>3750</v>
      </c>
      <c r="CK22" s="170">
        <f>CI22*CJ22/1000</f>
        <v>-112.5</v>
      </c>
      <c r="CL22" s="148"/>
      <c r="CM22" s="171">
        <v>-13</v>
      </c>
      <c r="CN22" s="172">
        <v>4500</v>
      </c>
      <c r="CO22" s="170">
        <f>CM22*CN22/1000</f>
        <v>-58.5</v>
      </c>
      <c r="CP22" s="148"/>
      <c r="CQ22" s="171">
        <v>-11</v>
      </c>
      <c r="CR22" s="172">
        <v>4500</v>
      </c>
      <c r="CS22" s="170">
        <f>CQ22*CR22/1000</f>
        <v>-49.5</v>
      </c>
      <c r="CT22" s="148"/>
      <c r="CU22" s="171">
        <v>-19</v>
      </c>
      <c r="CV22" s="172">
        <v>4500</v>
      </c>
      <c r="CW22" s="170">
        <f>CU22*CV22/1000</f>
        <v>-85.5</v>
      </c>
      <c r="CX22" s="148"/>
      <c r="CY22" s="171"/>
      <c r="CZ22" s="172"/>
      <c r="DA22" s="170"/>
      <c r="DC22" s="171"/>
      <c r="DD22" s="172"/>
      <c r="DE22" s="170"/>
      <c r="DG22" s="171"/>
      <c r="DH22" s="172"/>
      <c r="DI22" s="170"/>
      <c r="DK22" s="171"/>
      <c r="DL22" s="172"/>
      <c r="DM22" s="170"/>
      <c r="DO22" s="171"/>
      <c r="DP22" s="172"/>
      <c r="DQ22" s="170"/>
      <c r="DS22" s="171"/>
      <c r="DT22" s="172"/>
      <c r="DU22" s="170"/>
      <c r="DW22" s="171"/>
      <c r="DX22" s="172"/>
      <c r="DY22" s="170"/>
      <c r="EA22" s="171"/>
      <c r="EB22" s="172"/>
      <c r="EC22" s="170"/>
    </row>
    <row r="23" spans="1:133" outlineLevel="1">
      <c r="A23" s="151" t="s">
        <v>568</v>
      </c>
      <c r="B23" s="169"/>
      <c r="C23" s="169"/>
      <c r="D23" s="169"/>
      <c r="E23" s="169"/>
      <c r="F23" s="169"/>
      <c r="G23" s="169"/>
      <c r="H23" s="169"/>
      <c r="I23" s="169"/>
      <c r="J23" s="169"/>
      <c r="K23" s="169"/>
      <c r="L23" s="169"/>
      <c r="M23" s="169"/>
      <c r="N23" s="169"/>
      <c r="O23" s="169"/>
      <c r="P23" s="169"/>
      <c r="Q23" s="169"/>
      <c r="R23" s="169"/>
      <c r="S23" s="169"/>
      <c r="T23" s="169"/>
      <c r="U23" s="169"/>
      <c r="V23" s="169"/>
      <c r="W23" s="169"/>
      <c r="X23" s="169"/>
      <c r="Y23" s="169"/>
      <c r="Z23" s="169"/>
      <c r="AA23" s="169"/>
      <c r="AB23" s="169"/>
      <c r="AC23" s="169"/>
      <c r="AD23" s="169"/>
      <c r="AE23" s="169"/>
      <c r="AF23" s="169"/>
      <c r="AG23" s="169"/>
      <c r="AH23" s="169"/>
      <c r="AI23" s="169">
        <f>+AI19+AI20+AI21</f>
        <v>13</v>
      </c>
      <c r="AJ23" s="173">
        <f>+AK23/AI23*1000</f>
        <v>4500</v>
      </c>
      <c r="AK23" s="169">
        <f>SUM(AK19:AK21)</f>
        <v>58.5</v>
      </c>
      <c r="AL23" s="169"/>
      <c r="AM23" s="169">
        <f>+AM19+AM20+AM21</f>
        <v>35</v>
      </c>
      <c r="AN23" s="173">
        <f>+AO23/AM23*1000</f>
        <v>4625.7142857142853</v>
      </c>
      <c r="AO23" s="169">
        <f>SUM(AO19:AO21)</f>
        <v>161.9</v>
      </c>
      <c r="AP23" s="169"/>
      <c r="AQ23" s="168">
        <f>+AQ19+AQ20+AQ22</f>
        <v>84</v>
      </c>
      <c r="AR23" s="173">
        <f>+AS23/AQ23*1000</f>
        <v>4669.0476190476193</v>
      </c>
      <c r="AS23" s="174">
        <f>SUM(AS19:AS22)</f>
        <v>392.20000000000005</v>
      </c>
      <c r="AT23" s="151"/>
      <c r="AU23" s="168">
        <f>+AU19+AU20+AU22</f>
        <v>148</v>
      </c>
      <c r="AV23" s="173">
        <f>+AW23/AU23*1000</f>
        <v>4574.3243243243242</v>
      </c>
      <c r="AW23" s="174">
        <f>SUM(AW19:AW22)</f>
        <v>677</v>
      </c>
      <c r="AX23" s="151"/>
      <c r="AY23" s="168">
        <f>+AY19+AY20+AY22</f>
        <v>164</v>
      </c>
      <c r="AZ23" s="173">
        <f>+BA23/AY23*1000</f>
        <v>4432.9268292682927</v>
      </c>
      <c r="BA23" s="229">
        <v>727</v>
      </c>
      <c r="BB23" s="151"/>
      <c r="BC23" s="168">
        <f>+BC19+BC20+BC22</f>
        <v>171</v>
      </c>
      <c r="BD23" s="173">
        <f>+BE23/BC23*1000</f>
        <v>4405.8479532163738</v>
      </c>
      <c r="BE23" s="174">
        <f>SUM(BE19:BE22)</f>
        <v>753.4</v>
      </c>
      <c r="BF23" s="151"/>
      <c r="BG23" s="168">
        <f>+BG19+BG20+BG22</f>
        <v>171</v>
      </c>
      <c r="BH23" s="173">
        <f>+BI23/BG23*1000</f>
        <v>4397.6608187134498</v>
      </c>
      <c r="BI23" s="174">
        <f>SUM(BI19:BI22)</f>
        <v>752</v>
      </c>
      <c r="BJ23" s="151"/>
      <c r="BK23" s="168">
        <f>+BK19+BK20+BK22+BK21</f>
        <v>164</v>
      </c>
      <c r="BL23" s="173">
        <f>+BM23/BK23*1000</f>
        <v>4365.8536585365855</v>
      </c>
      <c r="BM23" s="174">
        <f>SUM(BM19:BM22)</f>
        <v>716</v>
      </c>
      <c r="BN23" s="151"/>
      <c r="BO23" s="168">
        <f>BO19+BO20+BO21+BO22</f>
        <v>177</v>
      </c>
      <c r="BP23" s="173">
        <f>+BQ23/BO23*1000</f>
        <v>4451.9774011299442</v>
      </c>
      <c r="BQ23" s="174">
        <f>SUM(BQ19:BQ22)</f>
        <v>788</v>
      </c>
      <c r="BR23" s="151"/>
      <c r="BS23" s="168">
        <f>+BS19+BS20+BS22+BS21</f>
        <v>201</v>
      </c>
      <c r="BT23" s="173">
        <f>+BU23/BS23*1000</f>
        <v>4562.1890547263683</v>
      </c>
      <c r="BU23" s="174">
        <f>SUM(BU19:BU22)</f>
        <v>917</v>
      </c>
      <c r="BV23" s="151"/>
      <c r="BW23" s="168">
        <f>+BW19+BW20+BW22+BW21</f>
        <v>212</v>
      </c>
      <c r="BX23" s="173">
        <f>+BY23/BW23*1000</f>
        <v>4603.7735849056598</v>
      </c>
      <c r="BY23" s="174">
        <f>SUM(BY19:BY22)</f>
        <v>976</v>
      </c>
      <c r="BZ23" s="151"/>
      <c r="CA23" s="168">
        <f>+CA19+CA20+CA22+CA21</f>
        <v>209</v>
      </c>
      <c r="CB23" s="173">
        <f>+CC23/CA23*1000</f>
        <v>4682.2966507177034</v>
      </c>
      <c r="CC23" s="174">
        <f>SUM(CC19:CC22)</f>
        <v>978.6</v>
      </c>
      <c r="CD23" s="148"/>
      <c r="CE23" s="168">
        <f>+CE19+CE20+CE22+CE21</f>
        <v>185</v>
      </c>
      <c r="CF23" s="173">
        <f>+CG23/CE23*1000</f>
        <v>4750.2702702702709</v>
      </c>
      <c r="CG23" s="174">
        <f>SUM(CG19:CG22)</f>
        <v>878.80000000000007</v>
      </c>
      <c r="CH23" s="148"/>
      <c r="CI23" s="168">
        <f>+CI19+CI20+CI22+CI21</f>
        <v>156</v>
      </c>
      <c r="CJ23" s="173">
        <f>+CK23/CI23*1000</f>
        <v>4966.666666666667</v>
      </c>
      <c r="CK23" s="174">
        <f>SUM(CK19:CK22)</f>
        <v>774.80000000000007</v>
      </c>
      <c r="CL23" s="148"/>
      <c r="CM23" s="168">
        <f>+CM19+CM20+CM22+CM21</f>
        <v>147</v>
      </c>
      <c r="CN23" s="173">
        <f>+CO23/CM23*1000</f>
        <v>5117.6870748299325</v>
      </c>
      <c r="CO23" s="174">
        <f>SUM(CO19:CO22)</f>
        <v>752.30000000000007</v>
      </c>
      <c r="CP23" s="148"/>
      <c r="CQ23" s="168">
        <f>+CQ19+CQ20+CQ22+CQ21</f>
        <v>136</v>
      </c>
      <c r="CR23" s="173">
        <f>+CS23/CQ23*1000</f>
        <v>5167.6470588235297</v>
      </c>
      <c r="CS23" s="174">
        <f>SUM(CS19:CS22)</f>
        <v>702.80000000000007</v>
      </c>
      <c r="CT23" s="148"/>
      <c r="CU23" s="168">
        <f>+CU19+CU20+CU22+CU21</f>
        <v>117</v>
      </c>
      <c r="CV23" s="173">
        <f>+CW23/CU23*1000</f>
        <v>5276.0683760683769</v>
      </c>
      <c r="CW23" s="174">
        <f>SUM(CW19:CW22)</f>
        <v>617.30000000000007</v>
      </c>
      <c r="CX23" s="148"/>
      <c r="CY23" s="168"/>
      <c r="CZ23" s="173"/>
      <c r="DA23" s="174"/>
      <c r="DC23" s="168"/>
      <c r="DD23" s="173"/>
      <c r="DE23" s="174"/>
      <c r="DG23" s="168"/>
      <c r="DH23" s="173"/>
      <c r="DI23" s="174"/>
      <c r="DK23" s="168"/>
      <c r="DL23" s="173"/>
      <c r="DM23" s="174"/>
      <c r="DO23" s="168"/>
      <c r="DP23" s="173"/>
      <c r="DQ23" s="174"/>
      <c r="DS23" s="168"/>
      <c r="DT23" s="173"/>
      <c r="DU23" s="174"/>
      <c r="DW23" s="168"/>
      <c r="DX23" s="173"/>
      <c r="DY23" s="174"/>
      <c r="EA23" s="168"/>
      <c r="EB23" s="173"/>
      <c r="EC23" s="174"/>
    </row>
    <row r="24" spans="1:133" outlineLevel="1">
      <c r="A24" s="151" t="s">
        <v>103</v>
      </c>
      <c r="B24" s="169"/>
      <c r="C24" s="169"/>
      <c r="D24" s="175"/>
      <c r="E24" s="175"/>
      <c r="F24" s="169"/>
      <c r="G24" s="169"/>
      <c r="H24" s="175"/>
      <c r="I24" s="175"/>
      <c r="J24" s="169"/>
      <c r="K24" s="169"/>
      <c r="L24" s="175"/>
      <c r="M24" s="175"/>
      <c r="N24" s="169"/>
      <c r="O24" s="169"/>
      <c r="P24" s="175"/>
      <c r="Q24" s="175"/>
      <c r="R24" s="169"/>
      <c r="S24" s="169"/>
      <c r="T24" s="175"/>
      <c r="U24" s="175"/>
      <c r="V24" s="169"/>
      <c r="W24" s="169"/>
      <c r="X24" s="175"/>
      <c r="Y24" s="175"/>
      <c r="Z24" s="169"/>
      <c r="AA24" s="169"/>
      <c r="AB24" s="175"/>
      <c r="AC24" s="175"/>
      <c r="AD24" s="169"/>
      <c r="AE24" s="169"/>
      <c r="AF24" s="175"/>
      <c r="AG24" s="175"/>
      <c r="AH24" s="169"/>
      <c r="AI24" s="169"/>
      <c r="AJ24" s="175"/>
      <c r="AK24" s="169"/>
      <c r="AL24" s="169"/>
      <c r="AM24" s="169"/>
      <c r="AN24" s="175"/>
      <c r="AO24" s="188">
        <f>(AO23-AO19)/AO19</f>
        <v>1.7675213675213677</v>
      </c>
      <c r="AP24" s="169"/>
      <c r="AQ24" s="168"/>
      <c r="AR24" s="175"/>
      <c r="AS24" s="176">
        <f>(AS23-AS19)/AS19</f>
        <v>1.4224830142063003</v>
      </c>
      <c r="AT24" s="151"/>
      <c r="AU24" s="168"/>
      <c r="AV24" s="175"/>
      <c r="AW24" s="176">
        <f>(AW23-AW19)/AW19</f>
        <v>0.72616012238653727</v>
      </c>
      <c r="AX24" s="151"/>
      <c r="AY24" s="168"/>
      <c r="AZ24" s="175"/>
      <c r="BA24" s="176">
        <f>(BA23-BA19)/BA19</f>
        <v>7.3855243722304287E-2</v>
      </c>
      <c r="BB24" s="151"/>
      <c r="BC24" s="168"/>
      <c r="BD24" s="175"/>
      <c r="BE24" s="176">
        <f>(BE23-BE19)/BE19</f>
        <v>3.6313617606602441E-2</v>
      </c>
      <c r="BF24" s="151"/>
      <c r="BG24" s="168"/>
      <c r="BH24" s="175"/>
      <c r="BI24" s="176">
        <f>(BI23-BI19)/BI19</f>
        <v>-1.8582426333952446E-3</v>
      </c>
      <c r="BJ24" s="151"/>
      <c r="BK24" s="168"/>
      <c r="BL24" s="175"/>
      <c r="BM24" s="176">
        <f>(BM23-BM19)/BM19</f>
        <v>-4.7872340425531915E-2</v>
      </c>
      <c r="BN24" s="151"/>
      <c r="BO24" s="168"/>
      <c r="BP24" s="175"/>
      <c r="BQ24" s="176">
        <f>(BQ23-BQ19)/BQ19</f>
        <v>0.1005586592178771</v>
      </c>
      <c r="BR24" s="151"/>
      <c r="BS24" s="168"/>
      <c r="BT24" s="175"/>
      <c r="BU24" s="176">
        <f>(BU23-BU19)/BU19</f>
        <v>0.16370558375634517</v>
      </c>
      <c r="BV24" s="151"/>
      <c r="BW24" s="168"/>
      <c r="BX24" s="175"/>
      <c r="BY24" s="176">
        <f>(BY23-BY19)/BY19</f>
        <v>6.4340239912759001E-2</v>
      </c>
      <c r="BZ24" s="151"/>
      <c r="CA24" s="168"/>
      <c r="CB24" s="175"/>
      <c r="CC24" s="176">
        <f>(CC23-CC19)/CC19</f>
        <v>2.6639344262295315E-3</v>
      </c>
      <c r="CD24" s="148"/>
      <c r="CE24" s="168"/>
      <c r="CF24" s="175"/>
      <c r="CG24" s="176">
        <f>(CG23-CG19)/CG19</f>
        <v>-0.10198242387083584</v>
      </c>
      <c r="CH24" s="148"/>
      <c r="CI24" s="168"/>
      <c r="CJ24" s="175"/>
      <c r="CK24" s="176">
        <f>(CK23-CK19)/CK19</f>
        <v>-0.11834319526627218</v>
      </c>
      <c r="CL24" s="148"/>
      <c r="CM24" s="168"/>
      <c r="CN24" s="175"/>
      <c r="CO24" s="176">
        <f>(CO23-CO19)/CO19</f>
        <v>-2.9039752194114608E-2</v>
      </c>
      <c r="CP24" s="148"/>
      <c r="CQ24" s="168"/>
      <c r="CR24" s="175"/>
      <c r="CS24" s="176">
        <f>(CS23-CS19)/CS19</f>
        <v>-6.5798218795693197E-2</v>
      </c>
      <c r="CT24" s="148"/>
      <c r="CU24" s="168"/>
      <c r="CV24" s="175"/>
      <c r="CW24" s="176">
        <f>(CW23-CW19)/CW19</f>
        <v>-0.12165623221400113</v>
      </c>
      <c r="CX24" s="148"/>
      <c r="CY24" s="168"/>
      <c r="CZ24" s="175"/>
      <c r="DA24" s="176"/>
      <c r="DC24" s="168"/>
      <c r="DD24" s="175"/>
      <c r="DE24" s="176"/>
      <c r="DG24" s="168"/>
      <c r="DH24" s="175"/>
      <c r="DI24" s="176"/>
      <c r="DK24" s="168"/>
      <c r="DL24" s="175"/>
      <c r="DM24" s="176"/>
      <c r="DO24" s="168"/>
      <c r="DP24" s="175"/>
      <c r="DQ24" s="176"/>
      <c r="DS24" s="168"/>
      <c r="DT24" s="175"/>
      <c r="DU24" s="176"/>
      <c r="DW24" s="168"/>
      <c r="DX24" s="175"/>
      <c r="DY24" s="176"/>
      <c r="EA24" s="168"/>
      <c r="EB24" s="175"/>
      <c r="EC24" s="176"/>
    </row>
    <row r="25" spans="1:133" outlineLevel="1">
      <c r="A25" s="151"/>
      <c r="B25" s="169"/>
      <c r="C25" s="169"/>
      <c r="D25" s="175"/>
      <c r="E25" s="175"/>
      <c r="F25" s="169"/>
      <c r="G25" s="169"/>
      <c r="H25" s="175"/>
      <c r="I25" s="175"/>
      <c r="J25" s="169"/>
      <c r="K25" s="169"/>
      <c r="L25" s="175"/>
      <c r="M25" s="175"/>
      <c r="N25" s="169"/>
      <c r="O25" s="169"/>
      <c r="P25" s="175"/>
      <c r="Q25" s="175"/>
      <c r="R25" s="169"/>
      <c r="S25" s="169"/>
      <c r="T25" s="175"/>
      <c r="U25" s="175"/>
      <c r="V25" s="169"/>
      <c r="W25" s="169"/>
      <c r="X25" s="175"/>
      <c r="Y25" s="175"/>
      <c r="Z25" s="169"/>
      <c r="AA25" s="169"/>
      <c r="AB25" s="175"/>
      <c r="AC25" s="175"/>
      <c r="AD25" s="169"/>
      <c r="AE25" s="169"/>
      <c r="AF25" s="175"/>
      <c r="AG25" s="175"/>
      <c r="AH25" s="169"/>
      <c r="AI25" s="169"/>
      <c r="AJ25" s="175"/>
      <c r="AK25" s="169"/>
      <c r="AL25" s="169"/>
      <c r="AM25" s="169"/>
      <c r="AN25" s="175"/>
      <c r="AO25" s="188"/>
      <c r="AP25" s="169"/>
      <c r="AQ25" s="168"/>
      <c r="AR25" s="175"/>
      <c r="AS25" s="176"/>
      <c r="AT25" s="151"/>
      <c r="AU25" s="168"/>
      <c r="AV25" s="175"/>
      <c r="AW25" s="176"/>
      <c r="AX25" s="151"/>
      <c r="AY25" s="168"/>
      <c r="AZ25" s="175"/>
      <c r="BA25" s="176"/>
      <c r="BB25" s="151"/>
      <c r="BC25" s="168"/>
      <c r="BD25" s="175"/>
      <c r="BE25" s="176"/>
      <c r="BF25" s="151"/>
      <c r="BG25" s="168"/>
      <c r="BH25" s="175"/>
      <c r="BI25" s="176"/>
      <c r="BJ25" s="151"/>
      <c r="BK25" s="168"/>
      <c r="BL25" s="175"/>
      <c r="BM25" s="176"/>
      <c r="BN25" s="151"/>
      <c r="BO25" s="168"/>
      <c r="BP25" s="175"/>
      <c r="BQ25" s="176"/>
      <c r="BR25" s="151"/>
      <c r="BS25" s="168"/>
      <c r="BT25" s="175"/>
      <c r="BU25" s="176"/>
      <c r="BV25" s="151"/>
      <c r="BW25" s="168"/>
      <c r="BX25" s="175"/>
      <c r="BY25" s="176"/>
      <c r="BZ25" s="151"/>
      <c r="CA25" s="168"/>
      <c r="CB25" s="355"/>
      <c r="CC25" s="176"/>
      <c r="CD25" s="148"/>
      <c r="CE25" s="168"/>
      <c r="CF25" s="175"/>
      <c r="CG25" s="176"/>
      <c r="CH25" s="148"/>
      <c r="CI25" s="168"/>
      <c r="CJ25" s="175"/>
      <c r="CK25" s="176"/>
      <c r="CL25" s="148"/>
      <c r="CM25" s="168"/>
      <c r="CN25" s="175"/>
      <c r="CO25" s="176"/>
      <c r="CP25" s="148"/>
      <c r="CQ25" s="168"/>
      <c r="CR25" s="175"/>
      <c r="CS25" s="176"/>
      <c r="CT25" s="148"/>
      <c r="CU25" s="168"/>
      <c r="CV25" s="175"/>
      <c r="CW25" s="176"/>
      <c r="CX25" s="148"/>
      <c r="CY25" s="168"/>
      <c r="CZ25" s="175"/>
      <c r="DA25" s="176"/>
      <c r="DC25" s="168"/>
      <c r="DD25" s="175"/>
      <c r="DE25" s="176"/>
      <c r="DG25" s="168"/>
      <c r="DH25" s="175"/>
      <c r="DI25" s="176"/>
      <c r="DK25" s="168"/>
      <c r="DL25" s="175"/>
      <c r="DM25" s="176"/>
      <c r="DO25" s="168"/>
      <c r="DP25" s="175"/>
      <c r="DQ25" s="176"/>
      <c r="DS25" s="168"/>
      <c r="DT25" s="175"/>
      <c r="DU25" s="176"/>
      <c r="DW25" s="168"/>
      <c r="DX25" s="175"/>
      <c r="DY25" s="176"/>
      <c r="EA25" s="168"/>
      <c r="EB25" s="175"/>
      <c r="EC25" s="176"/>
    </row>
    <row r="26" spans="1:133">
      <c r="A26" s="151"/>
      <c r="B26" s="169"/>
      <c r="C26" s="169"/>
      <c r="D26" s="175"/>
      <c r="E26" s="175"/>
      <c r="F26" s="169"/>
      <c r="G26" s="169"/>
      <c r="H26" s="175"/>
      <c r="I26" s="175"/>
      <c r="J26" s="169"/>
      <c r="K26" s="169"/>
      <c r="L26" s="175"/>
      <c r="M26" s="175"/>
      <c r="N26" s="169"/>
      <c r="O26" s="169"/>
      <c r="P26" s="175"/>
      <c r="Q26" s="175"/>
      <c r="R26" s="169"/>
      <c r="S26" s="169"/>
      <c r="T26" s="175"/>
      <c r="U26" s="175"/>
      <c r="V26" s="169"/>
      <c r="W26" s="169"/>
      <c r="X26" s="175"/>
      <c r="Y26" s="175"/>
      <c r="Z26" s="169"/>
      <c r="AA26" s="169"/>
      <c r="AB26" s="175"/>
      <c r="AC26" s="175"/>
      <c r="AD26" s="169"/>
      <c r="AE26" s="169"/>
      <c r="AF26" s="175"/>
      <c r="AG26" s="175"/>
      <c r="AH26" s="169"/>
      <c r="AI26" s="169"/>
      <c r="AJ26" s="175"/>
      <c r="AK26" s="169"/>
      <c r="AL26" s="169"/>
      <c r="AM26" s="169"/>
      <c r="AN26" s="175"/>
      <c r="AO26" s="188"/>
      <c r="AP26" s="169"/>
      <c r="AQ26" s="168"/>
      <c r="AR26" s="175"/>
      <c r="AS26" s="176"/>
      <c r="AT26" s="151"/>
      <c r="AU26" s="168"/>
      <c r="AV26" s="175"/>
      <c r="AW26" s="176"/>
      <c r="AX26" s="151"/>
      <c r="AY26" s="168"/>
      <c r="AZ26" s="175"/>
      <c r="BA26" s="176"/>
      <c r="BB26" s="151"/>
      <c r="BC26" s="168"/>
      <c r="BD26" s="175"/>
      <c r="BE26" s="176"/>
      <c r="BF26" s="151"/>
      <c r="BG26" s="168"/>
      <c r="BH26" s="175"/>
      <c r="BI26" s="176"/>
      <c r="BJ26" s="151"/>
      <c r="BK26" s="168"/>
      <c r="BL26" s="175"/>
      <c r="BM26" s="176"/>
      <c r="BN26" s="151"/>
      <c r="BO26" s="168"/>
      <c r="BP26" s="175"/>
      <c r="BQ26" s="176"/>
      <c r="BR26" s="151"/>
      <c r="BS26" s="168"/>
      <c r="BT26" s="175"/>
      <c r="BU26" s="176"/>
      <c r="BV26" s="151"/>
      <c r="BW26" s="168"/>
      <c r="BX26" s="175"/>
      <c r="BY26" s="176"/>
      <c r="BZ26" s="151"/>
      <c r="CA26" s="168"/>
      <c r="CB26" s="175"/>
      <c r="CC26" s="176"/>
      <c r="CD26" s="148"/>
      <c r="CE26" s="168"/>
      <c r="CF26" s="175"/>
      <c r="CG26" s="176"/>
      <c r="CH26" s="148"/>
      <c r="CI26" s="168"/>
      <c r="CJ26" s="175"/>
      <c r="CK26" s="562"/>
      <c r="CL26" s="148"/>
      <c r="CM26" s="168"/>
      <c r="CN26" s="175"/>
      <c r="CO26" s="562"/>
      <c r="CP26" s="148"/>
      <c r="CQ26" s="168"/>
      <c r="CR26" s="175"/>
      <c r="CS26" s="176"/>
      <c r="CT26" s="148"/>
      <c r="CU26" s="168"/>
      <c r="CV26" s="175"/>
      <c r="CW26" s="176"/>
      <c r="CX26" s="148"/>
      <c r="CY26" s="168"/>
      <c r="CZ26" s="175"/>
      <c r="DA26" s="176"/>
      <c r="DC26" s="168"/>
      <c r="DD26" s="175"/>
      <c r="DE26" s="176"/>
      <c r="DG26" s="168"/>
      <c r="DH26" s="175"/>
      <c r="DI26" s="176"/>
      <c r="DK26" s="168"/>
      <c r="DL26" s="175"/>
      <c r="DM26" s="176"/>
      <c r="DO26" s="168"/>
      <c r="DP26" s="175"/>
      <c r="DQ26" s="176"/>
      <c r="DS26" s="168"/>
      <c r="DT26" s="175"/>
      <c r="DU26" s="176"/>
      <c r="DW26" s="168"/>
      <c r="DX26" s="175"/>
      <c r="DY26" s="176"/>
      <c r="EA26" s="168"/>
      <c r="EB26" s="175"/>
      <c r="EC26" s="176"/>
    </row>
    <row r="27" spans="1:133">
      <c r="A27" s="150" t="s">
        <v>569</v>
      </c>
      <c r="B27" s="169"/>
      <c r="C27" s="169"/>
      <c r="D27" s="186"/>
      <c r="E27" s="181"/>
      <c r="F27" s="169"/>
      <c r="G27" s="169"/>
      <c r="H27" s="186"/>
      <c r="I27" s="181"/>
      <c r="J27" s="169"/>
      <c r="K27" s="169"/>
      <c r="L27" s="186"/>
      <c r="M27" s="181"/>
      <c r="N27" s="169"/>
      <c r="O27" s="169"/>
      <c r="P27" s="186"/>
      <c r="Q27" s="181"/>
      <c r="R27" s="169"/>
      <c r="S27" s="169"/>
      <c r="T27" s="186"/>
      <c r="U27" s="181"/>
      <c r="V27" s="169"/>
      <c r="W27" s="169"/>
      <c r="X27" s="186"/>
      <c r="Y27" s="181"/>
      <c r="Z27" s="181"/>
      <c r="AA27" s="169"/>
      <c r="AB27" s="186"/>
      <c r="AC27" s="181"/>
      <c r="AD27" s="181"/>
      <c r="AE27" s="181"/>
      <c r="AF27" s="181"/>
      <c r="AG27" s="181"/>
      <c r="AH27" s="181"/>
      <c r="AI27" s="181"/>
      <c r="AJ27" s="181"/>
      <c r="AK27" s="181"/>
      <c r="AL27" s="181"/>
      <c r="AM27" s="181"/>
      <c r="AN27" s="181"/>
      <c r="AO27" s="181"/>
      <c r="AP27" s="181"/>
      <c r="AQ27" s="180"/>
      <c r="AR27" s="181"/>
      <c r="AS27" s="182"/>
      <c r="AT27" s="151"/>
      <c r="AU27" s="180"/>
      <c r="AV27" s="181"/>
      <c r="AW27" s="182"/>
      <c r="AX27" s="151"/>
      <c r="AY27" s="180"/>
      <c r="AZ27" s="181"/>
      <c r="BA27" s="182"/>
      <c r="BB27" s="151"/>
      <c r="BC27" s="180"/>
      <c r="BD27" s="181"/>
      <c r="BE27" s="182"/>
      <c r="BF27" s="151"/>
      <c r="BG27" s="180"/>
      <c r="BH27" s="181"/>
      <c r="BI27" s="182"/>
      <c r="BJ27" s="151"/>
      <c r="BK27" s="180"/>
      <c r="BL27" s="181"/>
      <c r="BM27" s="182"/>
      <c r="BN27" s="151"/>
      <c r="BO27" s="180"/>
      <c r="BP27" s="181"/>
      <c r="BQ27" s="182"/>
      <c r="BR27" s="151"/>
      <c r="BS27" s="180"/>
      <c r="BT27" s="181"/>
      <c r="BU27" s="182"/>
      <c r="BV27" s="151"/>
      <c r="BW27" s="180"/>
      <c r="BX27" s="181"/>
      <c r="BY27" s="182"/>
      <c r="BZ27" s="151"/>
      <c r="CA27" s="180"/>
      <c r="CB27" s="181"/>
      <c r="CC27" s="182"/>
      <c r="CD27" s="148"/>
      <c r="CE27" s="180"/>
      <c r="CF27" s="181"/>
      <c r="CG27" s="182"/>
      <c r="CH27" s="148"/>
      <c r="CI27" s="180"/>
      <c r="CJ27" s="181"/>
      <c r="CK27" s="182"/>
      <c r="CL27" s="148"/>
      <c r="CM27" s="180"/>
      <c r="CN27" s="181"/>
      <c r="CO27" s="182"/>
      <c r="CP27" s="148"/>
      <c r="CQ27" s="180"/>
      <c r="CR27" s="181"/>
      <c r="CS27" s="182"/>
      <c r="CT27" s="148"/>
      <c r="CU27" s="180"/>
      <c r="CV27" s="181"/>
      <c r="CW27" s="182"/>
      <c r="CX27" s="148"/>
      <c r="CY27" s="180"/>
      <c r="CZ27" s="181"/>
      <c r="DA27" s="182"/>
      <c r="DC27" s="180"/>
      <c r="DD27" s="181"/>
      <c r="DE27" s="182"/>
      <c r="DG27" s="180"/>
      <c r="DH27" s="181"/>
      <c r="DI27" s="182"/>
      <c r="DK27" s="180"/>
      <c r="DL27" s="181"/>
      <c r="DM27" s="182"/>
      <c r="DO27" s="180"/>
      <c r="DP27" s="181"/>
      <c r="DQ27" s="182"/>
      <c r="DS27" s="180"/>
      <c r="DT27" s="181"/>
      <c r="DU27" s="182"/>
      <c r="DW27" s="180"/>
      <c r="DX27" s="181"/>
      <c r="DY27" s="182"/>
      <c r="EA27" s="180"/>
      <c r="EB27" s="181"/>
      <c r="EC27" s="182"/>
    </row>
    <row r="28" spans="1:133">
      <c r="A28" s="151" t="s">
        <v>470</v>
      </c>
      <c r="B28" s="169"/>
      <c r="C28" s="169"/>
      <c r="D28" s="175"/>
      <c r="E28" s="175"/>
      <c r="F28" s="169"/>
      <c r="G28" s="169"/>
      <c r="H28" s="175"/>
      <c r="I28" s="175"/>
      <c r="J28" s="169"/>
      <c r="K28" s="169"/>
      <c r="L28" s="175"/>
      <c r="M28" s="175"/>
      <c r="N28" s="169"/>
      <c r="O28" s="169"/>
      <c r="P28" s="175"/>
      <c r="Q28" s="175"/>
      <c r="R28" s="169"/>
      <c r="S28" s="169"/>
      <c r="T28" s="175"/>
      <c r="U28" s="175"/>
      <c r="V28" s="169"/>
      <c r="W28" s="169"/>
      <c r="X28" s="175"/>
      <c r="Y28" s="175"/>
      <c r="Z28" s="169"/>
      <c r="AA28" s="169"/>
      <c r="AB28" s="175"/>
      <c r="AC28" s="175"/>
      <c r="AD28" s="169"/>
      <c r="AE28" s="169"/>
      <c r="AF28" s="175"/>
      <c r="AG28" s="175"/>
      <c r="AH28" s="169"/>
      <c r="AI28" s="169"/>
      <c r="AJ28" s="175"/>
      <c r="AK28" s="169"/>
      <c r="AL28" s="169"/>
      <c r="AM28" s="169"/>
      <c r="AN28" s="175"/>
      <c r="AO28" s="188"/>
      <c r="AP28" s="169"/>
      <c r="AQ28" s="168">
        <v>0</v>
      </c>
      <c r="AR28" s="175"/>
      <c r="AS28" s="176"/>
      <c r="AT28" s="151"/>
      <c r="AU28" s="168">
        <f>AQ33</f>
        <v>5</v>
      </c>
      <c r="AV28" s="173">
        <f>IF(AW28=0,0,(AW28/AU28*1000))</f>
        <v>6500</v>
      </c>
      <c r="AW28" s="170">
        <f>AS33</f>
        <v>32.5</v>
      </c>
      <c r="AX28" s="151"/>
      <c r="AY28" s="168">
        <f>AU33</f>
        <v>34</v>
      </c>
      <c r="AZ28" s="173">
        <f>IF(BA28=0,0,(BA28/AY28*1000))</f>
        <v>6073.5294117647054</v>
      </c>
      <c r="BA28" s="170">
        <f>AW33</f>
        <v>206.5</v>
      </c>
      <c r="BB28" s="151"/>
      <c r="BC28" s="168">
        <f>AY33</f>
        <v>93</v>
      </c>
      <c r="BD28" s="173">
        <f>IF(BE28=0,0,(BE28/BC28*1000))</f>
        <v>6397.8494623655906</v>
      </c>
      <c r="BE28" s="170">
        <f>+BA33</f>
        <v>595</v>
      </c>
      <c r="BF28" s="151"/>
      <c r="BG28" s="168">
        <f>BC33</f>
        <v>172</v>
      </c>
      <c r="BH28" s="173">
        <f>IF(BI28=0,0,(BI28/BG28*1000))</f>
        <v>6459.302325581396</v>
      </c>
      <c r="BI28" s="170">
        <f>BE33</f>
        <v>1111</v>
      </c>
      <c r="BJ28" s="151"/>
      <c r="BK28" s="168">
        <f>BG33</f>
        <v>256</v>
      </c>
      <c r="BL28" s="173">
        <f>IF(BM28=0,0,(BM28/BK28*1000))</f>
        <v>6495.953125</v>
      </c>
      <c r="BM28" s="170">
        <f>BI33</f>
        <v>1662.9639999999999</v>
      </c>
      <c r="BN28" s="151"/>
      <c r="BO28" s="168">
        <f>BK33</f>
        <v>318</v>
      </c>
      <c r="BP28" s="173">
        <f>IF(BQ28=0,0,(BQ28/BO28*1000))</f>
        <v>6550.201257861635</v>
      </c>
      <c r="BQ28" s="170">
        <f>BM33</f>
        <v>2082.9639999999999</v>
      </c>
      <c r="BR28" s="151"/>
      <c r="BS28" s="168">
        <f>BO33</f>
        <v>393</v>
      </c>
      <c r="BT28" s="173">
        <f>IF(BU28=0,0,(BU28/BS28*1000))</f>
        <v>6625.8625954198469</v>
      </c>
      <c r="BU28" s="170">
        <f>BQ33</f>
        <v>2603.9639999999999</v>
      </c>
      <c r="BV28" s="151"/>
      <c r="BW28" s="168">
        <f>BS33</f>
        <v>450</v>
      </c>
      <c r="BX28" s="173">
        <f>IF(BY28=0,0,(BY28/BW28*1000))</f>
        <v>6699.92</v>
      </c>
      <c r="BY28" s="170">
        <f>BU33</f>
        <v>3014.9639999999999</v>
      </c>
      <c r="BZ28" s="151"/>
      <c r="CA28" s="168">
        <f>BW33</f>
        <v>515</v>
      </c>
      <c r="CB28" s="173">
        <f>IF(CC28=0,0,(CC28/CA28*1000))</f>
        <v>6745.5611650485434</v>
      </c>
      <c r="CC28" s="170">
        <f>BY33</f>
        <v>3473.9639999999999</v>
      </c>
      <c r="CD28" s="148"/>
      <c r="CE28" s="168">
        <f>CA33</f>
        <v>525</v>
      </c>
      <c r="CF28" s="173">
        <f>IF(CG28=0,0,(CG28/CE28*1000))</f>
        <v>6852.3123809523813</v>
      </c>
      <c r="CG28" s="170">
        <f>CC33</f>
        <v>3597.4639999999999</v>
      </c>
      <c r="CH28" s="148"/>
      <c r="CI28" s="168">
        <f>CE33</f>
        <v>540</v>
      </c>
      <c r="CJ28" s="173">
        <f>IF(CK28=0,0,(CK28/CI28*1000))</f>
        <v>6924.9333333333334</v>
      </c>
      <c r="CK28" s="170">
        <f>CG33</f>
        <v>3739.4639999999999</v>
      </c>
      <c r="CL28" s="148"/>
      <c r="CM28" s="168">
        <f>CI33</f>
        <v>570</v>
      </c>
      <c r="CN28" s="173">
        <f>IF(CO28=0,0,(CO28/CM28*1000))</f>
        <v>7029.2350877192976</v>
      </c>
      <c r="CO28" s="170">
        <f>CK33</f>
        <v>4006.6639999999998</v>
      </c>
      <c r="CP28" s="148"/>
      <c r="CQ28" s="168">
        <f>CM33</f>
        <v>585</v>
      </c>
      <c r="CR28" s="173">
        <f>IF(CS28=0,0,(CS28/CQ28*1000))</f>
        <v>7125.9213675213668</v>
      </c>
      <c r="CS28" s="170">
        <f>CO33</f>
        <v>4168.6639999999998</v>
      </c>
      <c r="CT28" s="148"/>
      <c r="CU28" s="168">
        <f>CQ33</f>
        <v>587</v>
      </c>
      <c r="CV28" s="173">
        <f>IF(CW28=0,0,(CW28/CU28*1000))</f>
        <v>7216.1226575809187</v>
      </c>
      <c r="CW28" s="170">
        <f>CS33</f>
        <v>4235.8639999999996</v>
      </c>
      <c r="CX28" s="148"/>
      <c r="CY28" s="168">
        <f>CU33</f>
        <v>568</v>
      </c>
      <c r="CZ28" s="173">
        <f>IF(DA28=0,0,(DA28/CY28*1000))</f>
        <v>7294.8309859154924</v>
      </c>
      <c r="DA28" s="170">
        <f>CW33</f>
        <v>4143.4639999999999</v>
      </c>
      <c r="DC28" s="168">
        <f>CY33</f>
        <v>553</v>
      </c>
      <c r="DD28" s="173">
        <f>IF(DE28=0,0,(DE28/DC28*1000))</f>
        <v>7366.1193490054247</v>
      </c>
      <c r="DE28" s="170">
        <f>DA33</f>
        <v>4073.4639999999999</v>
      </c>
      <c r="DG28" s="168">
        <f>DC33</f>
        <v>543</v>
      </c>
      <c r="DH28" s="173">
        <f>IF(DI28=0,0,(DI28/DG28*1000))</f>
        <v>7424.427255985267</v>
      </c>
      <c r="DI28" s="170">
        <f>DE33</f>
        <v>4031.4639999999999</v>
      </c>
      <c r="DK28" s="168">
        <f>DG33</f>
        <v>538</v>
      </c>
      <c r="DL28" s="173">
        <f>IF(DM28=0,0,(DM28/DK28*1000))</f>
        <v>7459.9702602230491</v>
      </c>
      <c r="DM28" s="170">
        <f>DI33</f>
        <v>4013.4639999999999</v>
      </c>
      <c r="DO28" s="168">
        <f>DK33</f>
        <v>526</v>
      </c>
      <c r="DP28" s="173">
        <f>IF(DQ28=0,0,(DQ28/DO28*1000))</f>
        <v>7542.7072243346011</v>
      </c>
      <c r="DQ28" s="170">
        <f>DM33</f>
        <v>3967.4639999999999</v>
      </c>
      <c r="DS28" s="168">
        <f>DO33</f>
        <v>507</v>
      </c>
      <c r="DT28" s="173">
        <f>IF(DU28=0,0,(DU28/DS28*1000))</f>
        <v>7604.4654832347142</v>
      </c>
      <c r="DU28" s="170">
        <f>DQ33</f>
        <v>3855.4639999999999</v>
      </c>
      <c r="DW28" s="168">
        <f>DS33</f>
        <v>488</v>
      </c>
      <c r="DX28" s="173">
        <f>IF(DY28=0,0,(DY28/DW28*1000))</f>
        <v>7671.0327868852464</v>
      </c>
      <c r="DY28" s="170">
        <f>DU33</f>
        <v>3743.4639999999999</v>
      </c>
      <c r="EA28" s="168">
        <f>DW33</f>
        <v>474</v>
      </c>
      <c r="EB28" s="173">
        <f>IF(EC28=0,0,(EC28/EA28*1000))</f>
        <v>7724.6075949367087</v>
      </c>
      <c r="EC28" s="170">
        <f>DY33</f>
        <v>3661.4639999999999</v>
      </c>
    </row>
    <row r="29" spans="1:133">
      <c r="A29" s="151" t="s">
        <v>565</v>
      </c>
      <c r="B29" s="169"/>
      <c r="C29" s="169"/>
      <c r="D29" s="175"/>
      <c r="E29" s="175"/>
      <c r="F29" s="169"/>
      <c r="G29" s="169"/>
      <c r="H29" s="175"/>
      <c r="I29" s="175"/>
      <c r="J29" s="169"/>
      <c r="K29" s="169"/>
      <c r="L29" s="175"/>
      <c r="M29" s="175"/>
      <c r="N29" s="169"/>
      <c r="O29" s="169"/>
      <c r="P29" s="175"/>
      <c r="Q29" s="175"/>
      <c r="R29" s="169"/>
      <c r="S29" s="169"/>
      <c r="T29" s="175"/>
      <c r="U29" s="175"/>
      <c r="V29" s="169"/>
      <c r="W29" s="169"/>
      <c r="X29" s="175"/>
      <c r="Y29" s="175"/>
      <c r="Z29" s="169"/>
      <c r="AA29" s="169"/>
      <c r="AB29" s="175"/>
      <c r="AC29" s="175"/>
      <c r="AD29" s="169"/>
      <c r="AE29" s="169"/>
      <c r="AF29" s="175"/>
      <c r="AG29" s="175"/>
      <c r="AH29" s="169"/>
      <c r="AI29" s="169"/>
      <c r="AJ29" s="175"/>
      <c r="AK29" s="169"/>
      <c r="AL29" s="169"/>
      <c r="AM29" s="169"/>
      <c r="AN29" s="175"/>
      <c r="AO29" s="188"/>
      <c r="AP29" s="169"/>
      <c r="AQ29" s="168">
        <v>5</v>
      </c>
      <c r="AR29" s="172">
        <v>6500</v>
      </c>
      <c r="AS29" s="170">
        <f>AQ29*AR29/1000</f>
        <v>32.5</v>
      </c>
      <c r="AT29" s="151"/>
      <c r="AU29" s="219">
        <v>29</v>
      </c>
      <c r="AV29" s="172">
        <v>6000</v>
      </c>
      <c r="AW29" s="170">
        <f>AU29*AV29/1000</f>
        <v>174</v>
      </c>
      <c r="AX29" s="151"/>
      <c r="AY29" s="219">
        <v>60</v>
      </c>
      <c r="AZ29" s="172">
        <v>6500</v>
      </c>
      <c r="BA29" s="170">
        <f>AY29*AZ29/1000</f>
        <v>390</v>
      </c>
      <c r="BB29" s="151"/>
      <c r="BC29" s="219">
        <v>79</v>
      </c>
      <c r="BD29" s="172">
        <v>6531.6455696202538</v>
      </c>
      <c r="BE29" s="170">
        <f>BC29*BD29/1000</f>
        <v>516.00000000000011</v>
      </c>
      <c r="BF29" s="151"/>
      <c r="BG29" s="219">
        <v>84</v>
      </c>
      <c r="BH29" s="262">
        <v>6571</v>
      </c>
      <c r="BI29" s="170">
        <f>BG29*BH29/1000</f>
        <v>551.96400000000006</v>
      </c>
      <c r="BJ29" s="151"/>
      <c r="BK29" s="219">
        <v>57</v>
      </c>
      <c r="BL29" s="169">
        <f>+BM29/BK29*1000</f>
        <v>6824.5614035087719</v>
      </c>
      <c r="BM29" s="302">
        <v>389</v>
      </c>
      <c r="BN29" s="151"/>
      <c r="BO29" s="228">
        <v>70</v>
      </c>
      <c r="BP29" s="172">
        <v>6500</v>
      </c>
      <c r="BQ29" s="302">
        <v>482</v>
      </c>
      <c r="BR29" s="151"/>
      <c r="BS29" s="219">
        <v>58</v>
      </c>
      <c r="BT29" s="172">
        <v>6700</v>
      </c>
      <c r="BU29" s="261">
        <v>418</v>
      </c>
      <c r="BV29" s="151"/>
      <c r="BW29" s="219">
        <v>66</v>
      </c>
      <c r="BX29" s="172">
        <f>1000*446/66</f>
        <v>6757.575757575758</v>
      </c>
      <c r="BY29" s="170">
        <f>BW29*BX29/1000</f>
        <v>446</v>
      </c>
      <c r="BZ29" s="151"/>
      <c r="CA29" s="219">
        <f>7+4+2</f>
        <v>13</v>
      </c>
      <c r="CB29" s="172">
        <v>8700</v>
      </c>
      <c r="CC29" s="170">
        <f>CA29*CB29/1000</f>
        <v>113.1</v>
      </c>
      <c r="CD29" s="148"/>
      <c r="CE29" s="185">
        <v>24</v>
      </c>
      <c r="CF29" s="262">
        <v>8250</v>
      </c>
      <c r="CG29" s="170">
        <f>CE29*CF29/1000</f>
        <v>198</v>
      </c>
      <c r="CH29" s="148"/>
      <c r="CI29" s="185">
        <v>38</v>
      </c>
      <c r="CJ29" s="172">
        <v>8400</v>
      </c>
      <c r="CK29" s="170">
        <f>CI29*CJ29/1000</f>
        <v>319.2</v>
      </c>
      <c r="CL29" s="148"/>
      <c r="CM29" s="185">
        <v>30</v>
      </c>
      <c r="CN29" s="172">
        <f>CJ29</f>
        <v>8400</v>
      </c>
      <c r="CO29" s="170">
        <f>CM29*CN29/1000</f>
        <v>252</v>
      </c>
      <c r="CP29" s="148"/>
      <c r="CQ29" s="219">
        <v>23</v>
      </c>
      <c r="CR29" s="172">
        <f>CN29</f>
        <v>8400</v>
      </c>
      <c r="CS29" s="170">
        <f>CQ29*CR29/1000</f>
        <v>193.2</v>
      </c>
      <c r="CT29" s="148"/>
      <c r="CU29" s="219">
        <v>9</v>
      </c>
      <c r="CV29" s="172">
        <f>CR29</f>
        <v>8400</v>
      </c>
      <c r="CW29" s="170">
        <f>CU29*CV29/1000</f>
        <v>75.599999999999994</v>
      </c>
      <c r="CX29" s="148"/>
      <c r="CY29" s="219">
        <v>10</v>
      </c>
      <c r="CZ29" s="172">
        <v>8000</v>
      </c>
      <c r="DA29" s="170">
        <f>CY29*CZ29/1000</f>
        <v>80</v>
      </c>
      <c r="DC29" s="185">
        <v>9</v>
      </c>
      <c r="DD29" s="172">
        <f>CZ29</f>
        <v>8000</v>
      </c>
      <c r="DE29" s="170">
        <f>DC29*DD29/1000</f>
        <v>72</v>
      </c>
      <c r="DG29" s="185">
        <v>6</v>
      </c>
      <c r="DH29" s="172">
        <f>DD29</f>
        <v>8000</v>
      </c>
      <c r="DI29" s="170">
        <f>DG29*DH29/1000</f>
        <v>48</v>
      </c>
      <c r="DK29" s="185">
        <v>13</v>
      </c>
      <c r="DL29" s="172">
        <f>DH29</f>
        <v>8000</v>
      </c>
      <c r="DM29" s="170">
        <f>DK29*DL29/1000</f>
        <v>104</v>
      </c>
      <c r="DO29" s="185">
        <v>1</v>
      </c>
      <c r="DP29" s="172">
        <f>DL29</f>
        <v>8000</v>
      </c>
      <c r="DQ29" s="170">
        <f>DO29*DP29/1000</f>
        <v>8</v>
      </c>
      <c r="DS29" s="185">
        <v>1</v>
      </c>
      <c r="DT29" s="172">
        <f>DP29</f>
        <v>8000</v>
      </c>
      <c r="DU29" s="170">
        <f>DS29*DT29/1000</f>
        <v>8</v>
      </c>
      <c r="DW29" s="185">
        <v>1</v>
      </c>
      <c r="DX29" s="172">
        <f>DT29</f>
        <v>8000</v>
      </c>
      <c r="DY29" s="170">
        <f>DW29*DX29/1000</f>
        <v>8</v>
      </c>
      <c r="EA29" s="185">
        <v>1</v>
      </c>
      <c r="EB29" s="172">
        <f>DX29</f>
        <v>8000</v>
      </c>
      <c r="EC29" s="170">
        <f>EA29*EB29/1000</f>
        <v>8</v>
      </c>
    </row>
    <row r="30" spans="1:133">
      <c r="A30" s="151" t="s">
        <v>711</v>
      </c>
      <c r="B30" s="169"/>
      <c r="C30" s="169"/>
      <c r="D30" s="175"/>
      <c r="E30" s="175"/>
      <c r="F30" s="169"/>
      <c r="G30" s="169"/>
      <c r="H30" s="175"/>
      <c r="I30" s="175"/>
      <c r="J30" s="169"/>
      <c r="K30" s="169"/>
      <c r="L30" s="175"/>
      <c r="M30" s="175"/>
      <c r="N30" s="169"/>
      <c r="O30" s="169"/>
      <c r="P30" s="175"/>
      <c r="Q30" s="175"/>
      <c r="R30" s="169"/>
      <c r="S30" s="169"/>
      <c r="T30" s="175"/>
      <c r="U30" s="175"/>
      <c r="V30" s="169"/>
      <c r="W30" s="169"/>
      <c r="X30" s="175"/>
      <c r="Y30" s="175"/>
      <c r="Z30" s="169"/>
      <c r="AA30" s="169"/>
      <c r="AB30" s="175"/>
      <c r="AC30" s="175"/>
      <c r="AD30" s="169"/>
      <c r="AE30" s="169"/>
      <c r="AF30" s="175"/>
      <c r="AG30" s="175"/>
      <c r="AH30" s="169"/>
      <c r="AI30" s="169"/>
      <c r="AJ30" s="175"/>
      <c r="AK30" s="169"/>
      <c r="AL30" s="169"/>
      <c r="AM30" s="169"/>
      <c r="AN30" s="175"/>
      <c r="AO30" s="188"/>
      <c r="AP30" s="169"/>
      <c r="AQ30" s="168"/>
      <c r="AR30" s="172"/>
      <c r="AS30" s="170"/>
      <c r="AT30" s="151"/>
      <c r="AU30" s="219"/>
      <c r="AV30" s="172"/>
      <c r="AW30" s="170"/>
      <c r="AX30" s="151"/>
      <c r="AY30" s="219"/>
      <c r="AZ30" s="172"/>
      <c r="BA30" s="170"/>
      <c r="BB30" s="151"/>
      <c r="BC30" s="219"/>
      <c r="BD30" s="172"/>
      <c r="BE30" s="170"/>
      <c r="BF30" s="151"/>
      <c r="BG30" s="219"/>
      <c r="BH30" s="262"/>
      <c r="BI30" s="170"/>
      <c r="BJ30" s="151"/>
      <c r="BK30" s="219"/>
      <c r="BL30" s="169"/>
      <c r="BM30" s="302"/>
      <c r="BN30" s="151"/>
      <c r="BO30" s="228"/>
      <c r="BP30" s="172"/>
      <c r="BQ30" s="302"/>
      <c r="BR30" s="151"/>
      <c r="BS30" s="219"/>
      <c r="BT30" s="172"/>
      <c r="BU30" s="261"/>
      <c r="BV30" s="151"/>
      <c r="BW30" s="219"/>
      <c r="BX30" s="172"/>
      <c r="BY30" s="170"/>
      <c r="BZ30" s="151"/>
      <c r="CA30" s="219">
        <v>1</v>
      </c>
      <c r="CB30" s="172">
        <f>SegqtrSales!BR287*1000</f>
        <v>39000</v>
      </c>
      <c r="CC30" s="170">
        <f>CA30*CB30/1000</f>
        <v>39</v>
      </c>
      <c r="CD30" s="148"/>
      <c r="CE30" s="185">
        <v>1</v>
      </c>
      <c r="CF30" s="262">
        <f>SegqtrSales!BS287*1000</f>
        <v>12000</v>
      </c>
      <c r="CG30" s="170">
        <f>CE30*CF30/1000</f>
        <v>12</v>
      </c>
      <c r="CH30" s="148"/>
      <c r="CI30" s="185"/>
      <c r="CJ30" s="172"/>
      <c r="CK30" s="170"/>
      <c r="CL30" s="148"/>
      <c r="CM30" s="185"/>
      <c r="CN30" s="172"/>
      <c r="CO30" s="170"/>
      <c r="CP30" s="148"/>
      <c r="CQ30" s="185"/>
      <c r="CR30" s="172"/>
      <c r="CS30" s="170"/>
      <c r="CT30" s="148"/>
      <c r="CU30" s="185"/>
      <c r="CV30" s="172"/>
      <c r="CW30" s="170"/>
      <c r="CX30" s="148"/>
      <c r="CY30" s="185"/>
      <c r="CZ30" s="172"/>
      <c r="DA30" s="170"/>
      <c r="DC30" s="185"/>
      <c r="DD30" s="172"/>
      <c r="DE30" s="170"/>
      <c r="DG30" s="185"/>
      <c r="DH30" s="172"/>
      <c r="DI30" s="170"/>
      <c r="DK30" s="185"/>
      <c r="DL30" s="172"/>
      <c r="DM30" s="170"/>
      <c r="DO30" s="185"/>
      <c r="DP30" s="172"/>
      <c r="DQ30" s="170"/>
      <c r="DS30" s="185"/>
      <c r="DT30" s="172"/>
      <c r="DU30" s="170"/>
      <c r="DW30" s="185"/>
      <c r="DX30" s="172"/>
      <c r="DY30" s="170"/>
      <c r="EA30" s="185"/>
      <c r="EB30" s="172"/>
      <c r="EC30" s="170"/>
    </row>
    <row r="31" spans="1:133">
      <c r="A31" s="151" t="s">
        <v>566</v>
      </c>
      <c r="B31" s="169"/>
      <c r="C31" s="169"/>
      <c r="D31" s="175"/>
      <c r="E31" s="175"/>
      <c r="F31" s="169"/>
      <c r="G31" s="169"/>
      <c r="H31" s="175"/>
      <c r="I31" s="175"/>
      <c r="J31" s="169"/>
      <c r="K31" s="169"/>
      <c r="L31" s="175"/>
      <c r="M31" s="175"/>
      <c r="N31" s="169"/>
      <c r="O31" s="169"/>
      <c r="P31" s="175"/>
      <c r="Q31" s="175"/>
      <c r="R31" s="169"/>
      <c r="S31" s="169"/>
      <c r="T31" s="175"/>
      <c r="U31" s="175"/>
      <c r="V31" s="169"/>
      <c r="W31" s="169"/>
      <c r="X31" s="175"/>
      <c r="Y31" s="175"/>
      <c r="Z31" s="169"/>
      <c r="AA31" s="169"/>
      <c r="AB31" s="175"/>
      <c r="AC31" s="175"/>
      <c r="AD31" s="169"/>
      <c r="AE31" s="169"/>
      <c r="AF31" s="175"/>
      <c r="AG31" s="175"/>
      <c r="AH31" s="169"/>
      <c r="AI31" s="169"/>
      <c r="AJ31" s="175"/>
      <c r="AK31" s="169"/>
      <c r="AL31" s="169"/>
      <c r="AM31" s="169"/>
      <c r="AN31" s="175"/>
      <c r="AO31" s="188"/>
      <c r="AP31" s="169"/>
      <c r="AQ31" s="168">
        <v>0</v>
      </c>
      <c r="AR31" s="169">
        <v>0</v>
      </c>
      <c r="AS31" s="174">
        <f>AQ31*AR31/1000</f>
        <v>0</v>
      </c>
      <c r="AT31" s="151"/>
      <c r="AU31" s="168">
        <v>0</v>
      </c>
      <c r="AV31" s="169">
        <v>0</v>
      </c>
      <c r="AW31" s="170">
        <f>AU31*AV31/1000</f>
        <v>0</v>
      </c>
      <c r="AX31" s="151"/>
      <c r="AY31" s="168">
        <v>0</v>
      </c>
      <c r="AZ31" s="169">
        <v>0</v>
      </c>
      <c r="BA31" s="170">
        <f>AY31*AZ31/1000</f>
        <v>0</v>
      </c>
      <c r="BB31" s="151"/>
      <c r="BC31" s="168">
        <v>0</v>
      </c>
      <c r="BD31" s="169">
        <v>0</v>
      </c>
      <c r="BE31" s="170">
        <f>BC31*BD31/1000</f>
        <v>0</v>
      </c>
      <c r="BF31" s="151"/>
      <c r="BG31" s="168">
        <v>0</v>
      </c>
      <c r="BH31" s="169">
        <v>0</v>
      </c>
      <c r="BI31" s="170">
        <f>BG31*BH31/1000</f>
        <v>0</v>
      </c>
      <c r="BJ31" s="151"/>
      <c r="BK31" s="168">
        <v>6</v>
      </c>
      <c r="BL31" s="169">
        <f>+BM31/BK31*1000</f>
        <v>6333.333333333333</v>
      </c>
      <c r="BM31" s="302">
        <v>38</v>
      </c>
      <c r="BN31" s="151"/>
      <c r="BO31" s="171">
        <v>5</v>
      </c>
      <c r="BP31" s="169">
        <v>0</v>
      </c>
      <c r="BQ31" s="302">
        <v>39</v>
      </c>
      <c r="BR31" s="151"/>
      <c r="BS31" s="168">
        <v>0</v>
      </c>
      <c r="BT31" s="169">
        <v>0</v>
      </c>
      <c r="BU31" s="261">
        <f>BS31*BT31/1000</f>
        <v>0</v>
      </c>
      <c r="BV31" s="151"/>
      <c r="BW31" s="168">
        <v>0</v>
      </c>
      <c r="BX31" s="169">
        <f>1000*19/1</f>
        <v>19000</v>
      </c>
      <c r="BY31" s="170">
        <v>19</v>
      </c>
      <c r="BZ31" s="151"/>
      <c r="CA31" s="168">
        <v>0</v>
      </c>
      <c r="CB31" s="169">
        <v>0</v>
      </c>
      <c r="CC31" s="261">
        <v>-2</v>
      </c>
      <c r="CD31" s="148"/>
      <c r="CE31" s="171">
        <v>0</v>
      </c>
      <c r="CF31" s="262">
        <v>0</v>
      </c>
      <c r="CG31" s="170">
        <v>-3</v>
      </c>
      <c r="CH31" s="148"/>
      <c r="CI31" s="168">
        <v>0</v>
      </c>
      <c r="CJ31" s="169">
        <v>0</v>
      </c>
      <c r="CK31" s="170">
        <f>CI31*CJ31/1000</f>
        <v>0</v>
      </c>
      <c r="CL31" s="148"/>
      <c r="CM31" s="168">
        <v>0</v>
      </c>
      <c r="CN31" s="169">
        <v>0</v>
      </c>
      <c r="CO31" s="170">
        <f>CM31*CN31/1000</f>
        <v>0</v>
      </c>
      <c r="CP31" s="148"/>
      <c r="CQ31" s="168">
        <v>0</v>
      </c>
      <c r="CR31" s="169">
        <v>0</v>
      </c>
      <c r="CS31" s="170">
        <f>CQ31*CR31/1000</f>
        <v>0</v>
      </c>
      <c r="CT31" s="148"/>
      <c r="CU31" s="168">
        <v>0</v>
      </c>
      <c r="CV31" s="169">
        <v>0</v>
      </c>
      <c r="CW31" s="170">
        <f>CU31*CV31/1000</f>
        <v>0</v>
      </c>
      <c r="CX31" s="148"/>
      <c r="CY31" s="168">
        <v>0</v>
      </c>
      <c r="CZ31" s="169">
        <v>0</v>
      </c>
      <c r="DA31" s="170">
        <f>CY31*CZ31/1000</f>
        <v>0</v>
      </c>
      <c r="DC31" s="168">
        <v>0</v>
      </c>
      <c r="DD31" s="169">
        <v>0</v>
      </c>
      <c r="DE31" s="170">
        <f>DC31*DD31/1000</f>
        <v>0</v>
      </c>
      <c r="DG31" s="168">
        <v>35</v>
      </c>
      <c r="DH31" s="169">
        <v>0</v>
      </c>
      <c r="DI31" s="170">
        <f>DG31*DH31/1000</f>
        <v>0</v>
      </c>
      <c r="DK31" s="168">
        <v>40</v>
      </c>
      <c r="DL31" s="169">
        <v>0</v>
      </c>
      <c r="DM31" s="170">
        <f>DK31*DL31/1000</f>
        <v>0</v>
      </c>
      <c r="DO31" s="168">
        <v>0</v>
      </c>
      <c r="DP31" s="169">
        <v>0</v>
      </c>
      <c r="DQ31" s="170">
        <f>DO31*DP31/1000</f>
        <v>0</v>
      </c>
      <c r="DS31" s="168">
        <v>0</v>
      </c>
      <c r="DT31" s="169">
        <v>0</v>
      </c>
      <c r="DU31" s="170">
        <f>DS31*DT31/1000</f>
        <v>0</v>
      </c>
      <c r="DW31" s="168">
        <v>0</v>
      </c>
      <c r="DX31" s="169">
        <v>0</v>
      </c>
      <c r="DY31" s="170">
        <f>DW31*DX31/1000</f>
        <v>0</v>
      </c>
      <c r="EA31" s="168">
        <v>0</v>
      </c>
      <c r="EB31" s="169">
        <v>0</v>
      </c>
      <c r="EC31" s="170">
        <f>EA31*EB31/1000</f>
        <v>0</v>
      </c>
    </row>
    <row r="32" spans="1:133">
      <c r="A32" s="151" t="s">
        <v>567</v>
      </c>
      <c r="B32" s="169"/>
      <c r="C32" s="169"/>
      <c r="D32" s="175"/>
      <c r="E32" s="175"/>
      <c r="F32" s="169"/>
      <c r="G32" s="169"/>
      <c r="H32" s="175"/>
      <c r="I32" s="175"/>
      <c r="J32" s="169"/>
      <c r="K32" s="169"/>
      <c r="L32" s="175"/>
      <c r="M32" s="175"/>
      <c r="N32" s="169"/>
      <c r="O32" s="169"/>
      <c r="P32" s="175"/>
      <c r="Q32" s="175"/>
      <c r="R32" s="169"/>
      <c r="S32" s="169"/>
      <c r="T32" s="175"/>
      <c r="U32" s="175"/>
      <c r="V32" s="169"/>
      <c r="W32" s="169"/>
      <c r="X32" s="175"/>
      <c r="Y32" s="175"/>
      <c r="Z32" s="169"/>
      <c r="AA32" s="169"/>
      <c r="AB32" s="175"/>
      <c r="AC32" s="175"/>
      <c r="AD32" s="169"/>
      <c r="AE32" s="169"/>
      <c r="AF32" s="175"/>
      <c r="AG32" s="175"/>
      <c r="AH32" s="169"/>
      <c r="AI32" s="169"/>
      <c r="AJ32" s="175"/>
      <c r="AK32" s="169"/>
      <c r="AL32" s="169"/>
      <c r="AM32" s="169"/>
      <c r="AN32" s="175"/>
      <c r="AO32" s="188"/>
      <c r="AP32" s="169"/>
      <c r="AQ32" s="168">
        <v>0</v>
      </c>
      <c r="AR32" s="169">
        <v>0</v>
      </c>
      <c r="AS32" s="174">
        <f>AQ32*AR32/1000</f>
        <v>0</v>
      </c>
      <c r="AT32" s="151"/>
      <c r="AU32" s="168">
        <v>0</v>
      </c>
      <c r="AV32" s="169">
        <v>0</v>
      </c>
      <c r="AW32" s="170">
        <f>AU32*AV32/1000</f>
        <v>0</v>
      </c>
      <c r="AX32" s="151"/>
      <c r="AY32" s="171">
        <v>-1</v>
      </c>
      <c r="AZ32" s="172">
        <v>6000</v>
      </c>
      <c r="BA32" s="170">
        <f>AY32*AZ32/1000</f>
        <v>-6</v>
      </c>
      <c r="BB32" s="151"/>
      <c r="BC32" s="168">
        <v>0</v>
      </c>
      <c r="BD32" s="169">
        <v>0</v>
      </c>
      <c r="BE32" s="170">
        <f>BC32*BD32/1000</f>
        <v>0</v>
      </c>
      <c r="BF32" s="151"/>
      <c r="BG32" s="168">
        <v>0</v>
      </c>
      <c r="BH32" s="169">
        <v>0</v>
      </c>
      <c r="BI32" s="170">
        <f>BG32*BH32/1000</f>
        <v>0</v>
      </c>
      <c r="BJ32" s="151"/>
      <c r="BK32" s="168">
        <v>-1</v>
      </c>
      <c r="BL32" s="169">
        <f>+BM32/BK32*1000</f>
        <v>7000</v>
      </c>
      <c r="BM32" s="302">
        <v>-7</v>
      </c>
      <c r="BN32" s="151"/>
      <c r="BO32" s="228">
        <v>0</v>
      </c>
      <c r="BP32" s="169">
        <v>0</v>
      </c>
      <c r="BQ32" s="302">
        <f>BO32*BP32/1000</f>
        <v>0</v>
      </c>
      <c r="BR32" s="151"/>
      <c r="BS32" s="219">
        <v>-1</v>
      </c>
      <c r="BT32" s="169">
        <v>0</v>
      </c>
      <c r="BU32" s="302">
        <v>-7</v>
      </c>
      <c r="BV32" s="151"/>
      <c r="BW32" s="168">
        <v>-1</v>
      </c>
      <c r="BX32" s="169">
        <f>1000*6/1</f>
        <v>6000</v>
      </c>
      <c r="BY32" s="170">
        <f>BW32*BX32/1000</f>
        <v>-6</v>
      </c>
      <c r="BZ32" s="151"/>
      <c r="CA32" s="168">
        <f>-22+18</f>
        <v>-4</v>
      </c>
      <c r="CB32" s="262">
        <v>6650</v>
      </c>
      <c r="CC32" s="170">
        <f>CA32*CB32/1000</f>
        <v>-26.6</v>
      </c>
      <c r="CD32" s="148"/>
      <c r="CE32" s="171">
        <v>-10</v>
      </c>
      <c r="CF32" s="262">
        <v>6500</v>
      </c>
      <c r="CG32" s="170">
        <f>CE32*CF32/1000</f>
        <v>-65</v>
      </c>
      <c r="CH32" s="148"/>
      <c r="CI32" s="171">
        <v>-8</v>
      </c>
      <c r="CJ32" s="172">
        <v>6500</v>
      </c>
      <c r="CK32" s="170">
        <f>CI32*CJ32/1000</f>
        <v>-52</v>
      </c>
      <c r="CL32" s="148"/>
      <c r="CM32" s="171">
        <v>-15</v>
      </c>
      <c r="CN32" s="169">
        <v>6000</v>
      </c>
      <c r="CO32" s="170">
        <f>CM32*CN32/1000</f>
        <v>-90</v>
      </c>
      <c r="CP32" s="148"/>
      <c r="CQ32" s="171">
        <v>-21</v>
      </c>
      <c r="CR32" s="169">
        <v>6000</v>
      </c>
      <c r="CS32" s="170">
        <f>CQ32*CR32/1000</f>
        <v>-126</v>
      </c>
      <c r="CT32" s="148"/>
      <c r="CU32" s="171">
        <v>-28</v>
      </c>
      <c r="CV32" s="169">
        <v>6000</v>
      </c>
      <c r="CW32" s="170">
        <f>CU32*CV32/1000</f>
        <v>-168</v>
      </c>
      <c r="CX32" s="148"/>
      <c r="CY32" s="171">
        <v>-25</v>
      </c>
      <c r="CZ32" s="169">
        <v>6000</v>
      </c>
      <c r="DA32" s="170">
        <f>CY32*CZ32/1000</f>
        <v>-150</v>
      </c>
      <c r="DC32" s="171">
        <v>-19</v>
      </c>
      <c r="DD32" s="169">
        <v>6000</v>
      </c>
      <c r="DE32" s="170">
        <f>DC32*DD32/1000</f>
        <v>-114</v>
      </c>
      <c r="DG32" s="171">
        <v>-11</v>
      </c>
      <c r="DH32" s="169">
        <v>6000</v>
      </c>
      <c r="DI32" s="170">
        <f>DG32*DH32/1000</f>
        <v>-66</v>
      </c>
      <c r="DK32" s="171">
        <v>-25</v>
      </c>
      <c r="DL32" s="169">
        <v>6000</v>
      </c>
      <c r="DM32" s="170">
        <f>DK32*DL32/1000</f>
        <v>-150</v>
      </c>
      <c r="DO32" s="171">
        <v>-20</v>
      </c>
      <c r="DP32" s="169">
        <v>6000</v>
      </c>
      <c r="DQ32" s="170">
        <f>DO32*DP32/1000</f>
        <v>-120</v>
      </c>
      <c r="DS32" s="171">
        <v>-20</v>
      </c>
      <c r="DT32" s="169">
        <v>6000</v>
      </c>
      <c r="DU32" s="170">
        <f>DS32*DT32/1000</f>
        <v>-120</v>
      </c>
      <c r="DW32" s="171">
        <v>-15</v>
      </c>
      <c r="DX32" s="169">
        <v>6000</v>
      </c>
      <c r="DY32" s="170">
        <f>DW32*DX32/1000</f>
        <v>-90</v>
      </c>
      <c r="EA32" s="171">
        <v>-15</v>
      </c>
      <c r="EB32" s="169">
        <v>6000</v>
      </c>
      <c r="EC32" s="170">
        <f>EA32*EB32/1000</f>
        <v>-90</v>
      </c>
    </row>
    <row r="33" spans="1:133">
      <c r="A33" s="151" t="s">
        <v>568</v>
      </c>
      <c r="B33" s="169"/>
      <c r="C33" s="169"/>
      <c r="D33" s="175"/>
      <c r="E33" s="175"/>
      <c r="F33" s="169"/>
      <c r="G33" s="169"/>
      <c r="H33" s="175"/>
      <c r="I33" s="175"/>
      <c r="J33" s="169"/>
      <c r="K33" s="169"/>
      <c r="L33" s="175"/>
      <c r="M33" s="175"/>
      <c r="N33" s="169"/>
      <c r="O33" s="169"/>
      <c r="P33" s="175"/>
      <c r="Q33" s="175"/>
      <c r="R33" s="169"/>
      <c r="S33" s="169"/>
      <c r="T33" s="175"/>
      <c r="U33" s="175"/>
      <c r="V33" s="169"/>
      <c r="W33" s="169"/>
      <c r="X33" s="175"/>
      <c r="Y33" s="175"/>
      <c r="Z33" s="169"/>
      <c r="AA33" s="169"/>
      <c r="AB33" s="175"/>
      <c r="AC33" s="175"/>
      <c r="AD33" s="169"/>
      <c r="AE33" s="169"/>
      <c r="AF33" s="175"/>
      <c r="AG33" s="175"/>
      <c r="AH33" s="169"/>
      <c r="AI33" s="169"/>
      <c r="AJ33" s="175"/>
      <c r="AK33" s="169"/>
      <c r="AL33" s="169"/>
      <c r="AM33" s="169"/>
      <c r="AN33" s="175"/>
      <c r="AO33" s="188"/>
      <c r="AP33" s="169"/>
      <c r="AQ33" s="168">
        <f>+AQ28+AQ29+AQ32</f>
        <v>5</v>
      </c>
      <c r="AR33" s="173">
        <f>+AS33/AQ33*1000</f>
        <v>6500</v>
      </c>
      <c r="AS33" s="174">
        <f>SUM(AS28:AS32)</f>
        <v>32.5</v>
      </c>
      <c r="AT33" s="174"/>
      <c r="AU33" s="168">
        <f>+AU28+AU29+AU32</f>
        <v>34</v>
      </c>
      <c r="AV33" s="173">
        <f>+AW33/AU33*1000</f>
        <v>6073.5294117647054</v>
      </c>
      <c r="AW33" s="174">
        <f>SUM(AW28:AW32)</f>
        <v>206.5</v>
      </c>
      <c r="AX33" s="151"/>
      <c r="AY33" s="168">
        <f>+AY28+AY29+AY32</f>
        <v>93</v>
      </c>
      <c r="AZ33" s="173">
        <f>+BA33/AY33*1000</f>
        <v>6397.8494623655906</v>
      </c>
      <c r="BA33" s="229">
        <v>595</v>
      </c>
      <c r="BB33" s="151"/>
      <c r="BC33" s="168">
        <f>+BC28+BC29+BC32</f>
        <v>172</v>
      </c>
      <c r="BD33" s="173">
        <f>+BE33/BC33*1000</f>
        <v>6459.302325581396</v>
      </c>
      <c r="BE33" s="174">
        <f>SUM(BE28:BE32)</f>
        <v>1111</v>
      </c>
      <c r="BF33" s="151"/>
      <c r="BG33" s="168">
        <f>+BG28+BG29+BG32</f>
        <v>256</v>
      </c>
      <c r="BH33" s="173">
        <f>+BI33/BG33*1000</f>
        <v>6495.953125</v>
      </c>
      <c r="BI33" s="174">
        <f>SUM(BI28:BI32)</f>
        <v>1662.9639999999999</v>
      </c>
      <c r="BJ33" s="151"/>
      <c r="BK33" s="168">
        <f>+BK28+BK29+BK32+BK31</f>
        <v>318</v>
      </c>
      <c r="BL33" s="173">
        <f>+BM33/BK33*1000</f>
        <v>6550.201257861635</v>
      </c>
      <c r="BM33" s="174">
        <f>SUM(BM28:BM32)</f>
        <v>2082.9639999999999</v>
      </c>
      <c r="BN33" s="151"/>
      <c r="BO33" s="168">
        <f>+BO28+BO29+BO32+BO31</f>
        <v>393</v>
      </c>
      <c r="BP33" s="173">
        <f>+BQ33/BO33*1000</f>
        <v>6625.8625954198469</v>
      </c>
      <c r="BQ33" s="174">
        <f>SUM(BQ28:BQ32)</f>
        <v>2603.9639999999999</v>
      </c>
      <c r="BR33" s="151"/>
      <c r="BS33" s="168">
        <f>BS28+BS29+BS31+BS32</f>
        <v>450</v>
      </c>
      <c r="BT33" s="173">
        <f>+BU33/BS33*1000</f>
        <v>6699.92</v>
      </c>
      <c r="BU33" s="174">
        <f>SUM(BU28:BU32)</f>
        <v>3014.9639999999999</v>
      </c>
      <c r="BV33" s="151"/>
      <c r="BW33" s="168">
        <f>+BW28+BW29+BW32+BW31</f>
        <v>515</v>
      </c>
      <c r="BX33" s="173">
        <f>+BY33/BW33*1000</f>
        <v>6745.5611650485434</v>
      </c>
      <c r="BY33" s="174">
        <f>SUM(BY28:BY32)</f>
        <v>3473.9639999999999</v>
      </c>
      <c r="BZ33" s="151"/>
      <c r="CA33" s="168">
        <f>+CA28+CA29+CA32+CA30</f>
        <v>525</v>
      </c>
      <c r="CB33" s="173">
        <f>+CC33/CA33*1000</f>
        <v>6852.3123809523813</v>
      </c>
      <c r="CC33" s="174">
        <f>SUM(CC28:CC32)</f>
        <v>3597.4639999999999</v>
      </c>
      <c r="CD33" s="148"/>
      <c r="CE33" s="168">
        <f>+CE28+CE29+CE32+CE30</f>
        <v>540</v>
      </c>
      <c r="CF33" s="173">
        <f>+CG33/CE33*1000</f>
        <v>6924.9333333333334</v>
      </c>
      <c r="CG33" s="174">
        <f>SUM(CG28:CG32)</f>
        <v>3739.4639999999999</v>
      </c>
      <c r="CH33" s="148"/>
      <c r="CI33" s="168">
        <f>+CI28+CI29+CI32+CI30</f>
        <v>570</v>
      </c>
      <c r="CJ33" s="173">
        <f>+CK33/CI33*1000</f>
        <v>7029.2350877192976</v>
      </c>
      <c r="CK33" s="174">
        <f>SUM(CK28:CK32)</f>
        <v>4006.6639999999998</v>
      </c>
      <c r="CL33" s="148"/>
      <c r="CM33" s="168">
        <f>+CM28+CM29+CM32+CM30</f>
        <v>585</v>
      </c>
      <c r="CN33" s="173">
        <f>+CO33/CM33*1000</f>
        <v>7125.9213675213668</v>
      </c>
      <c r="CO33" s="174">
        <f>SUM(CO28:CO32)</f>
        <v>4168.6639999999998</v>
      </c>
      <c r="CP33" s="148"/>
      <c r="CQ33" s="168">
        <f>+CQ28+CQ29+CQ32+CQ30</f>
        <v>587</v>
      </c>
      <c r="CR33" s="173">
        <f>+CS33/CQ33*1000</f>
        <v>7216.1226575809187</v>
      </c>
      <c r="CS33" s="174">
        <f>SUM(CS28:CS32)</f>
        <v>4235.8639999999996</v>
      </c>
      <c r="CT33" s="148"/>
      <c r="CU33" s="168">
        <f>+CU28+CU29+CU32+CU30</f>
        <v>568</v>
      </c>
      <c r="CV33" s="173">
        <f>+CW33/CU33*1000</f>
        <v>7294.8309859154924</v>
      </c>
      <c r="CW33" s="174">
        <f>SUM(CW28:CW32)</f>
        <v>4143.4639999999999</v>
      </c>
      <c r="CX33" s="148"/>
      <c r="CY33" s="168">
        <f>+CY28+CY29+CY32+CY30</f>
        <v>553</v>
      </c>
      <c r="CZ33" s="173">
        <f>+DA33/CY33*1000</f>
        <v>7366.1193490054247</v>
      </c>
      <c r="DA33" s="174">
        <f>SUM(DA28:DA32)</f>
        <v>4073.4639999999999</v>
      </c>
      <c r="DC33" s="168">
        <f>+DC28+DC29+DC32+DC30</f>
        <v>543</v>
      </c>
      <c r="DD33" s="173">
        <f>+DE33/DC33*1000</f>
        <v>7424.427255985267</v>
      </c>
      <c r="DE33" s="174">
        <f>SUM(DE28:DE32)</f>
        <v>4031.4639999999999</v>
      </c>
      <c r="DG33" s="168">
        <f>+DG28+DG29+DG32+DG30</f>
        <v>538</v>
      </c>
      <c r="DH33" s="173">
        <f>+DI33/DG33*1000</f>
        <v>7459.9702602230491</v>
      </c>
      <c r="DI33" s="174">
        <f>SUM(DI28:DI32)</f>
        <v>4013.4639999999999</v>
      </c>
      <c r="DK33" s="168">
        <f>+DK28+DK29+DK32+DK30</f>
        <v>526</v>
      </c>
      <c r="DL33" s="173">
        <f>+DM33/DK33*1000</f>
        <v>7542.7072243346011</v>
      </c>
      <c r="DM33" s="174">
        <f>SUM(DM28:DM32)</f>
        <v>3967.4639999999999</v>
      </c>
      <c r="DO33" s="168">
        <f>+DO28+DO29+DO32+DO30</f>
        <v>507</v>
      </c>
      <c r="DP33" s="173">
        <f>+DQ33/DO33*1000</f>
        <v>7604.4654832347142</v>
      </c>
      <c r="DQ33" s="174">
        <f>SUM(DQ28:DQ32)</f>
        <v>3855.4639999999999</v>
      </c>
      <c r="DS33" s="168">
        <f>+DS28+DS29+DS32+DS30</f>
        <v>488</v>
      </c>
      <c r="DT33" s="173">
        <f>+DU33/DS33*1000</f>
        <v>7671.0327868852464</v>
      </c>
      <c r="DU33" s="174">
        <f>SUM(DU28:DU32)</f>
        <v>3743.4639999999999</v>
      </c>
      <c r="DW33" s="168">
        <f>+DW28+DW29+DW32+DW30</f>
        <v>474</v>
      </c>
      <c r="DX33" s="173">
        <f>+DY33/DW33*1000</f>
        <v>7724.6075949367087</v>
      </c>
      <c r="DY33" s="174">
        <f>SUM(DY28:DY32)</f>
        <v>3661.4639999999999</v>
      </c>
      <c r="EA33" s="168">
        <f>+EA28+EA29+EA32+EA30</f>
        <v>460</v>
      </c>
      <c r="EB33" s="173">
        <f>+EC33/EA33*1000</f>
        <v>7781.4434782608696</v>
      </c>
      <c r="EC33" s="174">
        <f>SUM(EC28:EC32)</f>
        <v>3579.4639999999999</v>
      </c>
    </row>
    <row r="34" spans="1:133">
      <c r="A34" s="151" t="s">
        <v>103</v>
      </c>
      <c r="B34" s="181"/>
      <c r="C34" s="169"/>
      <c r="D34" s="169"/>
      <c r="E34" s="186"/>
      <c r="F34" s="181"/>
      <c r="G34" s="169"/>
      <c r="H34" s="169"/>
      <c r="I34" s="186"/>
      <c r="J34" s="181"/>
      <c r="K34" s="169"/>
      <c r="L34" s="169"/>
      <c r="M34" s="186"/>
      <c r="N34" s="181"/>
      <c r="O34" s="169"/>
      <c r="P34" s="169"/>
      <c r="Q34" s="186"/>
      <c r="R34" s="181"/>
      <c r="S34" s="169"/>
      <c r="T34" s="169"/>
      <c r="U34" s="186"/>
      <c r="V34" s="181"/>
      <c r="W34" s="169"/>
      <c r="X34" s="169"/>
      <c r="Y34" s="186"/>
      <c r="Z34" s="181"/>
      <c r="AA34" s="169"/>
      <c r="AB34" s="169"/>
      <c r="AC34" s="186"/>
      <c r="AD34" s="181"/>
      <c r="AE34" s="181"/>
      <c r="AF34" s="181"/>
      <c r="AG34" s="181"/>
      <c r="AH34" s="181"/>
      <c r="AI34" s="181"/>
      <c r="AJ34" s="181"/>
      <c r="AK34" s="181"/>
      <c r="AL34" s="181"/>
      <c r="AM34" s="181"/>
      <c r="AN34" s="181"/>
      <c r="AO34" s="181"/>
      <c r="AP34" s="181"/>
      <c r="AQ34" s="180"/>
      <c r="AR34" s="181"/>
      <c r="AS34" s="182"/>
      <c r="AT34" s="151"/>
      <c r="AU34" s="180"/>
      <c r="AV34" s="181"/>
      <c r="AW34" s="176">
        <f>(AW33-AW28)/AW28</f>
        <v>5.3538461538461535</v>
      </c>
      <c r="AX34" s="151"/>
      <c r="AY34" s="180"/>
      <c r="AZ34" s="181"/>
      <c r="BA34" s="176">
        <f>(BA33-BA28)/BA28</f>
        <v>1.8813559322033899</v>
      </c>
      <c r="BB34" s="151"/>
      <c r="BC34" s="180"/>
      <c r="BD34" s="181"/>
      <c r="BE34" s="176">
        <f>(BE33-BE28)/BE28</f>
        <v>0.86722689075630255</v>
      </c>
      <c r="BF34" s="151"/>
      <c r="BG34" s="180"/>
      <c r="BH34" s="181"/>
      <c r="BI34" s="176">
        <f>(BI33-BI28)/BI28</f>
        <v>0.49681728172817274</v>
      </c>
      <c r="BJ34" s="151"/>
      <c r="BK34" s="180"/>
      <c r="BL34" s="181"/>
      <c r="BM34" s="176">
        <f>(BM33-BM28)/BM28</f>
        <v>0.2525610897169151</v>
      </c>
      <c r="BN34" s="151"/>
      <c r="BO34" s="180"/>
      <c r="BP34" s="181"/>
      <c r="BQ34" s="176">
        <f>(BQ33-BQ28)/BQ28</f>
        <v>0.25012434204335743</v>
      </c>
      <c r="BR34" s="151"/>
      <c r="BS34" s="180"/>
      <c r="BT34" s="181"/>
      <c r="BU34" s="176">
        <f>(BU33-BU28)/BU28</f>
        <v>0.15783628345092329</v>
      </c>
      <c r="BV34" s="151"/>
      <c r="BW34" s="180"/>
      <c r="BX34" s="181"/>
      <c r="BY34" s="176">
        <f>(BY33-BY28)/BY28</f>
        <v>0.152240623768642</v>
      </c>
      <c r="BZ34" s="151"/>
      <c r="CA34" s="180"/>
      <c r="CB34" s="181"/>
      <c r="CC34" s="176">
        <f>(CC33-CC28)/CC28</f>
        <v>3.5550166898678286E-2</v>
      </c>
      <c r="CD34" s="148"/>
      <c r="CE34" s="180"/>
      <c r="CF34" s="181"/>
      <c r="CG34" s="176">
        <f>(CG33-CG28)/CG28</f>
        <v>3.9472250451985068E-2</v>
      </c>
      <c r="CH34" s="148"/>
      <c r="CI34" s="180"/>
      <c r="CJ34" s="181"/>
      <c r="CK34" s="176">
        <f>(CK33-CK28)/CK28</f>
        <v>7.1454090746695204E-2</v>
      </c>
      <c r="CL34" s="148"/>
      <c r="CM34" s="180"/>
      <c r="CN34" s="181"/>
      <c r="CO34" s="176">
        <f>(CO33-CO28)/CO28</f>
        <v>4.0432639223054394E-2</v>
      </c>
      <c r="CP34" s="148"/>
      <c r="CQ34" s="180"/>
      <c r="CR34" s="181"/>
      <c r="CS34" s="176">
        <f>(CS33-CS28)/CS28</f>
        <v>1.6120272586133067E-2</v>
      </c>
      <c r="CT34" s="148"/>
      <c r="CU34" s="180"/>
      <c r="CV34" s="181"/>
      <c r="CW34" s="176">
        <f>(CW33-CW28)/CW28</f>
        <v>-2.1813731507904797E-2</v>
      </c>
      <c r="CX34" s="148"/>
      <c r="CY34" s="180"/>
      <c r="CZ34" s="181"/>
      <c r="DA34" s="176">
        <f>(DA33-DA28)/DA28</f>
        <v>-1.6894077033129767E-2</v>
      </c>
      <c r="DC34" s="180"/>
      <c r="DD34" s="181"/>
      <c r="DE34" s="176">
        <f>(DE33-DE28)/DE28</f>
        <v>-1.0310634879797637E-2</v>
      </c>
      <c r="DG34" s="180"/>
      <c r="DH34" s="181"/>
      <c r="DI34" s="176">
        <f>(DI33-DI28)/DI28</f>
        <v>-4.4648792597428624E-3</v>
      </c>
      <c r="DK34" s="180"/>
      <c r="DL34" s="181"/>
      <c r="DM34" s="176">
        <f>(DM33-DM28)/DM28</f>
        <v>-1.1461420857394012E-2</v>
      </c>
      <c r="DO34" s="180"/>
      <c r="DP34" s="181"/>
      <c r="DQ34" s="176">
        <f>(DQ33-DQ28)/DQ28</f>
        <v>-2.8229619726858265E-2</v>
      </c>
      <c r="DS34" s="180"/>
      <c r="DT34" s="181"/>
      <c r="DU34" s="176">
        <f>(DU33-DU28)/DU28</f>
        <v>-2.9049681179749053E-2</v>
      </c>
      <c r="DW34" s="180"/>
      <c r="DX34" s="181"/>
      <c r="DY34" s="176">
        <f>(DY33-DY28)/DY28</f>
        <v>-2.1904845351791817E-2</v>
      </c>
      <c r="EA34" s="180"/>
      <c r="EB34" s="181"/>
      <c r="EC34" s="176">
        <f>(EC33-EC28)/EC28</f>
        <v>-2.2395413419331722E-2</v>
      </c>
    </row>
    <row r="35" spans="1:133" outlineLevel="1">
      <c r="A35" s="151"/>
      <c r="B35" s="181"/>
      <c r="C35" s="169"/>
      <c r="D35" s="169"/>
      <c r="E35" s="186"/>
      <c r="F35" s="181"/>
      <c r="G35" s="169"/>
      <c r="H35" s="169"/>
      <c r="I35" s="186"/>
      <c r="J35" s="181"/>
      <c r="K35" s="169"/>
      <c r="L35" s="169"/>
      <c r="M35" s="186"/>
      <c r="N35" s="181"/>
      <c r="O35" s="169"/>
      <c r="P35" s="169"/>
      <c r="Q35" s="186"/>
      <c r="R35" s="181"/>
      <c r="S35" s="169"/>
      <c r="T35" s="169"/>
      <c r="U35" s="186"/>
      <c r="V35" s="181"/>
      <c r="W35" s="169"/>
      <c r="X35" s="169"/>
      <c r="Y35" s="186"/>
      <c r="Z35" s="181"/>
      <c r="AA35" s="169"/>
      <c r="AB35" s="169"/>
      <c r="AC35" s="186"/>
      <c r="AD35" s="181"/>
      <c r="AE35" s="181"/>
      <c r="AF35" s="181"/>
      <c r="AG35" s="181"/>
      <c r="AH35" s="181"/>
      <c r="AI35" s="181"/>
      <c r="AJ35" s="181"/>
      <c r="AK35" s="181"/>
      <c r="AL35" s="181"/>
      <c r="AM35" s="181"/>
      <c r="AN35" s="181"/>
      <c r="AO35" s="181"/>
      <c r="AP35" s="181"/>
      <c r="AQ35" s="180"/>
      <c r="AR35" s="181"/>
      <c r="AS35" s="182"/>
      <c r="AT35" s="151"/>
      <c r="AU35" s="180"/>
      <c r="AV35" s="181"/>
      <c r="AW35" s="176"/>
      <c r="AX35" s="151"/>
      <c r="AY35" s="180"/>
      <c r="AZ35" s="181"/>
      <c r="BA35" s="176"/>
      <c r="BB35" s="151"/>
      <c r="BC35" s="180"/>
      <c r="BD35" s="181"/>
      <c r="BE35" s="176"/>
      <c r="BF35" s="151"/>
      <c r="BG35" s="180"/>
      <c r="BH35" s="181"/>
      <c r="BI35" s="176"/>
      <c r="BJ35" s="151"/>
      <c r="BK35" s="180"/>
      <c r="BL35" s="181"/>
      <c r="BM35" s="176"/>
      <c r="BN35" s="151"/>
      <c r="BO35" s="180"/>
      <c r="BP35" s="181"/>
      <c r="BQ35" s="176"/>
      <c r="BR35" s="151"/>
      <c r="BS35" s="180"/>
      <c r="BT35" s="181"/>
      <c r="BU35" s="176"/>
      <c r="BV35" s="151"/>
      <c r="BW35" s="180"/>
      <c r="BX35" s="181"/>
      <c r="BY35" s="176"/>
      <c r="BZ35" s="151"/>
      <c r="CA35" s="180"/>
      <c r="CB35" s="181"/>
      <c r="CC35" s="176"/>
      <c r="CD35" s="148"/>
      <c r="CE35" s="180"/>
      <c r="CF35" s="181"/>
      <c r="CG35" s="176"/>
      <c r="CH35" s="148"/>
      <c r="CI35" s="180"/>
      <c r="CJ35" s="181"/>
      <c r="CK35" s="176"/>
      <c r="CL35" s="148"/>
      <c r="CM35" s="180"/>
      <c r="CN35" s="181"/>
      <c r="CO35" s="176"/>
      <c r="CP35" s="148"/>
      <c r="CQ35" s="180"/>
      <c r="CR35" s="181"/>
      <c r="CS35" s="176"/>
      <c r="CT35" s="148"/>
      <c r="CU35" s="180"/>
      <c r="CV35" s="181"/>
      <c r="CW35" s="176"/>
      <c r="CX35" s="148"/>
      <c r="CY35" s="180"/>
      <c r="CZ35" s="181"/>
      <c r="DA35" s="176"/>
      <c r="DC35" s="180"/>
      <c r="DD35" s="181"/>
      <c r="DE35" s="176"/>
      <c r="DG35" s="180"/>
      <c r="DH35" s="181"/>
      <c r="DI35" s="176"/>
      <c r="DK35" s="180"/>
      <c r="DL35" s="181"/>
      <c r="DM35" s="176"/>
      <c r="DO35" s="180"/>
      <c r="DP35" s="181"/>
      <c r="DQ35" s="176"/>
      <c r="DS35" s="180"/>
      <c r="DT35" s="181"/>
      <c r="DU35" s="176"/>
      <c r="DW35" s="180"/>
      <c r="DX35" s="181"/>
      <c r="DY35" s="176"/>
      <c r="EA35" s="180"/>
      <c r="EB35" s="181"/>
      <c r="EC35" s="176"/>
    </row>
    <row r="36" spans="1:133" outlineLevel="1">
      <c r="A36" s="151"/>
      <c r="B36" s="181"/>
      <c r="C36" s="169"/>
      <c r="D36" s="169"/>
      <c r="E36" s="186"/>
      <c r="F36" s="181"/>
      <c r="G36" s="169"/>
      <c r="H36" s="169"/>
      <c r="I36" s="186"/>
      <c r="J36" s="181"/>
      <c r="K36" s="169"/>
      <c r="L36" s="169"/>
      <c r="M36" s="186"/>
      <c r="N36" s="181"/>
      <c r="O36" s="169"/>
      <c r="P36" s="169"/>
      <c r="Q36" s="186"/>
      <c r="R36" s="181"/>
      <c r="S36" s="169"/>
      <c r="T36" s="169"/>
      <c r="U36" s="186"/>
      <c r="V36" s="181"/>
      <c r="W36" s="169"/>
      <c r="X36" s="169"/>
      <c r="Y36" s="186"/>
      <c r="Z36" s="181"/>
      <c r="AA36" s="169"/>
      <c r="AB36" s="169"/>
      <c r="AC36" s="186"/>
      <c r="AD36" s="181"/>
      <c r="AE36" s="181"/>
      <c r="AF36" s="181"/>
      <c r="AG36" s="181"/>
      <c r="AH36" s="181"/>
      <c r="AI36" s="181"/>
      <c r="AJ36" s="181"/>
      <c r="AK36" s="181"/>
      <c r="AL36" s="181"/>
      <c r="AM36" s="181"/>
      <c r="AN36" s="181"/>
      <c r="AO36" s="181"/>
      <c r="AP36" s="181"/>
      <c r="AQ36" s="180"/>
      <c r="AR36" s="181"/>
      <c r="AS36" s="182"/>
      <c r="AT36" s="151"/>
      <c r="AU36" s="180"/>
      <c r="AV36" s="181"/>
      <c r="AW36" s="176"/>
      <c r="AX36" s="151"/>
      <c r="AY36" s="180"/>
      <c r="AZ36" s="181"/>
      <c r="BA36" s="176"/>
      <c r="BB36" s="151"/>
      <c r="BC36" s="180"/>
      <c r="BD36" s="181"/>
      <c r="BE36" s="176"/>
      <c r="BF36" s="151"/>
      <c r="BG36" s="180"/>
      <c r="BH36" s="181"/>
      <c r="BI36" s="176"/>
      <c r="BJ36" s="151"/>
      <c r="BK36" s="180"/>
      <c r="BL36" s="181"/>
      <c r="BM36" s="176"/>
      <c r="BN36" s="151"/>
      <c r="BO36" s="180"/>
      <c r="BP36" s="181"/>
      <c r="BQ36" s="176"/>
      <c r="BR36" s="151"/>
      <c r="BS36" s="180"/>
      <c r="BT36" s="181"/>
      <c r="BU36" s="176"/>
      <c r="BV36" s="151"/>
      <c r="BW36" s="180"/>
      <c r="BX36" s="181"/>
      <c r="BY36" s="176"/>
      <c r="BZ36" s="151"/>
      <c r="CA36" s="180"/>
      <c r="CB36" s="181"/>
      <c r="CC36" s="176"/>
      <c r="CD36" s="148"/>
      <c r="CE36" s="180"/>
      <c r="CF36" s="181"/>
      <c r="CG36" s="176"/>
      <c r="CH36" s="148"/>
      <c r="CI36" s="180"/>
      <c r="CJ36" s="181"/>
      <c r="CK36" s="562"/>
      <c r="CL36" s="148"/>
      <c r="CM36" s="180"/>
      <c r="CN36" s="181"/>
      <c r="CO36" s="562"/>
      <c r="CP36" s="148"/>
      <c r="CQ36" s="180"/>
      <c r="CR36" s="181"/>
      <c r="CS36" s="176"/>
      <c r="CT36" s="148"/>
      <c r="CU36" s="180"/>
      <c r="CV36" s="181"/>
      <c r="CW36" s="176"/>
      <c r="CX36" s="148"/>
      <c r="CY36" s="180"/>
      <c r="CZ36" s="181"/>
      <c r="DA36" s="176"/>
      <c r="DC36" s="180"/>
      <c r="DD36" s="181"/>
      <c r="DE36" s="176"/>
      <c r="DG36" s="180"/>
      <c r="DH36" s="181"/>
      <c r="DI36" s="176"/>
      <c r="DK36" s="180"/>
      <c r="DL36" s="181"/>
      <c r="DM36" s="176"/>
      <c r="DO36" s="180"/>
      <c r="DP36" s="181"/>
      <c r="DQ36" s="176"/>
      <c r="DS36" s="180"/>
      <c r="DT36" s="181"/>
      <c r="DU36" s="176"/>
      <c r="DW36" s="180"/>
      <c r="DX36" s="181"/>
      <c r="DY36" s="176"/>
      <c r="EA36" s="180"/>
      <c r="EB36" s="181"/>
      <c r="EC36" s="176"/>
    </row>
    <row r="37" spans="1:133" outlineLevel="1">
      <c r="A37" s="150" t="s">
        <v>47</v>
      </c>
      <c r="B37" s="169"/>
      <c r="C37" s="169"/>
      <c r="D37" s="186"/>
      <c r="E37" s="181"/>
      <c r="F37" s="169"/>
      <c r="G37" s="169"/>
      <c r="H37" s="186"/>
      <c r="I37" s="181"/>
      <c r="J37" s="169"/>
      <c r="K37" s="169"/>
      <c r="L37" s="186"/>
      <c r="M37" s="181"/>
      <c r="N37" s="169"/>
      <c r="O37" s="169"/>
      <c r="P37" s="186"/>
      <c r="Q37" s="181"/>
      <c r="R37" s="169"/>
      <c r="S37" s="169"/>
      <c r="T37" s="186"/>
      <c r="U37" s="181"/>
      <c r="V37" s="169"/>
      <c r="W37" s="169"/>
      <c r="X37" s="186"/>
      <c r="Y37" s="181"/>
      <c r="Z37" s="181"/>
      <c r="AA37" s="169"/>
      <c r="AB37" s="186"/>
      <c r="AC37" s="181"/>
      <c r="AD37" s="181"/>
      <c r="AE37" s="181"/>
      <c r="AF37" s="181"/>
      <c r="AG37" s="181"/>
      <c r="AH37" s="181"/>
      <c r="AI37" s="181"/>
      <c r="AJ37" s="181"/>
      <c r="AK37" s="181"/>
      <c r="AL37" s="181"/>
      <c r="AM37" s="181"/>
      <c r="AN37" s="181"/>
      <c r="AO37" s="181"/>
      <c r="AP37" s="181"/>
      <c r="AQ37" s="180"/>
      <c r="AR37" s="181"/>
      <c r="AS37" s="182"/>
      <c r="AT37" s="151"/>
      <c r="AU37" s="180"/>
      <c r="AV37" s="181"/>
      <c r="AW37" s="182"/>
      <c r="AX37" s="151"/>
      <c r="AY37" s="180"/>
      <c r="AZ37" s="181"/>
      <c r="BA37" s="182"/>
      <c r="BB37" s="151"/>
      <c r="BC37" s="180"/>
      <c r="BD37" s="181"/>
      <c r="BE37" s="182"/>
      <c r="BF37" s="151"/>
      <c r="BG37" s="180"/>
      <c r="BH37" s="181"/>
      <c r="BI37" s="182"/>
      <c r="BJ37" s="151"/>
      <c r="BK37" s="180"/>
      <c r="BL37" s="181"/>
      <c r="BM37" s="182"/>
      <c r="BN37" s="151"/>
      <c r="BO37" s="180"/>
      <c r="BP37" s="181"/>
      <c r="BQ37" s="182"/>
      <c r="BR37" s="151"/>
      <c r="BS37" s="180"/>
      <c r="BT37" s="181"/>
      <c r="BU37" s="182"/>
      <c r="BV37" s="151"/>
      <c r="BW37" s="180"/>
      <c r="BX37" s="181"/>
      <c r="BY37" s="182"/>
      <c r="BZ37" s="151"/>
      <c r="CA37" s="180"/>
      <c r="CB37" s="181"/>
      <c r="CC37" s="182"/>
      <c r="CD37" s="148"/>
      <c r="CE37" s="180"/>
      <c r="CF37" s="181"/>
      <c r="CG37" s="182"/>
      <c r="CH37" s="148"/>
      <c r="CI37" s="180"/>
      <c r="CJ37" s="181"/>
      <c r="CK37" s="182"/>
      <c r="CL37" s="148"/>
      <c r="CM37" s="180"/>
      <c r="CN37" s="181"/>
      <c r="CO37" s="182"/>
      <c r="CP37" s="148"/>
      <c r="CQ37" s="180"/>
      <c r="CR37" s="181"/>
      <c r="CS37" s="182"/>
      <c r="CT37" s="148"/>
      <c r="CU37" s="180"/>
      <c r="CV37" s="181"/>
      <c r="CW37" s="182"/>
      <c r="CX37" s="148"/>
      <c r="CY37" s="180"/>
      <c r="CZ37" s="181"/>
      <c r="DA37" s="182"/>
      <c r="DC37" s="180"/>
      <c r="DD37" s="181"/>
      <c r="DE37" s="182"/>
      <c r="DG37" s="180"/>
      <c r="DH37" s="181"/>
      <c r="DI37" s="182"/>
      <c r="DK37" s="180"/>
      <c r="DL37" s="181"/>
      <c r="DM37" s="182"/>
      <c r="DO37" s="180"/>
      <c r="DP37" s="181"/>
      <c r="DQ37" s="182"/>
      <c r="DS37" s="180"/>
      <c r="DT37" s="181"/>
      <c r="DU37" s="182"/>
      <c r="DW37" s="180"/>
      <c r="DX37" s="181"/>
      <c r="DY37" s="182"/>
      <c r="EA37" s="180"/>
      <c r="EB37" s="181"/>
      <c r="EC37" s="182"/>
    </row>
    <row r="38" spans="1:133" outlineLevel="1">
      <c r="A38" s="151" t="s">
        <v>470</v>
      </c>
      <c r="B38" s="169"/>
      <c r="C38" s="169"/>
      <c r="D38" s="175"/>
      <c r="E38" s="175"/>
      <c r="F38" s="169"/>
      <c r="G38" s="169"/>
      <c r="H38" s="175"/>
      <c r="I38" s="175"/>
      <c r="J38" s="169"/>
      <c r="K38" s="169"/>
      <c r="L38" s="175"/>
      <c r="M38" s="175"/>
      <c r="N38" s="169"/>
      <c r="O38" s="169"/>
      <c r="P38" s="175"/>
      <c r="Q38" s="175"/>
      <c r="R38" s="169"/>
      <c r="S38" s="169"/>
      <c r="T38" s="175"/>
      <c r="U38" s="175"/>
      <c r="V38" s="169"/>
      <c r="W38" s="169"/>
      <c r="X38" s="175"/>
      <c r="Y38" s="175"/>
      <c r="Z38" s="169"/>
      <c r="AA38" s="169"/>
      <c r="AB38" s="175"/>
      <c r="AC38" s="175"/>
      <c r="AD38" s="169"/>
      <c r="AE38" s="169"/>
      <c r="AF38" s="175"/>
      <c r="AG38" s="175"/>
      <c r="AH38" s="169"/>
      <c r="AI38" s="169"/>
      <c r="AJ38" s="175"/>
      <c r="AK38" s="169"/>
      <c r="AL38" s="169"/>
      <c r="AM38" s="169"/>
      <c r="AN38" s="175"/>
      <c r="AO38" s="188"/>
      <c r="AP38" s="169"/>
      <c r="AQ38" s="168"/>
      <c r="AR38" s="175"/>
      <c r="AS38" s="176"/>
      <c r="AT38" s="151"/>
      <c r="AU38" s="168"/>
      <c r="AV38" s="173"/>
      <c r="AW38" s="170"/>
      <c r="AX38" s="151"/>
      <c r="AY38" s="168"/>
      <c r="AZ38" s="173"/>
      <c r="BA38" s="170"/>
      <c r="BB38" s="151"/>
      <c r="BC38" s="168"/>
      <c r="BD38" s="173"/>
      <c r="BE38" s="170"/>
      <c r="BF38" s="151"/>
      <c r="BG38" s="168">
        <v>0</v>
      </c>
      <c r="BH38" s="175"/>
      <c r="BI38" s="170">
        <v>0</v>
      </c>
      <c r="BJ38" s="151"/>
      <c r="BK38" s="168">
        <f>BG42</f>
        <v>4</v>
      </c>
      <c r="BL38" s="173">
        <f>IF(BM38=0,0,(BM38/BK38*1000))</f>
        <v>9350</v>
      </c>
      <c r="BM38" s="170">
        <f>BI42</f>
        <v>37.4</v>
      </c>
      <c r="BN38" s="151"/>
      <c r="BO38" s="168">
        <f>BK42</f>
        <v>8</v>
      </c>
      <c r="BP38" s="303">
        <v>8625</v>
      </c>
      <c r="BQ38" s="170">
        <f>BM42</f>
        <v>69.400000000000006</v>
      </c>
      <c r="BR38" s="151"/>
      <c r="BS38" s="168">
        <f>BO42</f>
        <v>14</v>
      </c>
      <c r="BT38" s="173">
        <f>IF(BU38=0,0,(BU38/BS38*1000))</f>
        <v>9314.2857142857156</v>
      </c>
      <c r="BU38" s="170">
        <f>BQ42</f>
        <v>130.4</v>
      </c>
      <c r="BV38" s="151"/>
      <c r="BW38" s="168">
        <f>BS42</f>
        <v>22</v>
      </c>
      <c r="BX38" s="173">
        <f>IF(BY38=0,0,(BY38/BW38*1000))</f>
        <v>9290.9090909090919</v>
      </c>
      <c r="BY38" s="170">
        <f>BU42</f>
        <v>204.4</v>
      </c>
      <c r="BZ38" s="151"/>
      <c r="CA38" s="168">
        <f>BW42</f>
        <v>28</v>
      </c>
      <c r="CB38" s="173">
        <f>IF(CC38=0,0,(CC38/CA38*1000))</f>
        <v>9371.4285714285706</v>
      </c>
      <c r="CC38" s="170">
        <f>BY42</f>
        <v>262.39999999999998</v>
      </c>
      <c r="CD38" s="148"/>
      <c r="CE38" s="168"/>
      <c r="CF38" s="173"/>
      <c r="CG38" s="170">
        <f>CC42</f>
        <v>0.31999999999999318</v>
      </c>
      <c r="CH38" s="148"/>
      <c r="CI38" s="168"/>
      <c r="CJ38" s="173"/>
      <c r="CK38" s="170">
        <f>CG42</f>
        <v>0.31999999999999318</v>
      </c>
      <c r="CL38" s="148"/>
      <c r="CM38" s="168"/>
      <c r="CN38" s="173"/>
      <c r="CO38" s="170">
        <f>CK42</f>
        <v>0.31999999999999318</v>
      </c>
      <c r="CP38" s="148"/>
      <c r="CQ38" s="168"/>
      <c r="CR38" s="173"/>
      <c r="CS38" s="170">
        <f>CO42</f>
        <v>0.31999999999999318</v>
      </c>
      <c r="CT38" s="148"/>
      <c r="CU38" s="168"/>
      <c r="CV38" s="173"/>
      <c r="CW38" s="170">
        <f>CS42</f>
        <v>0.31999999999999318</v>
      </c>
      <c r="CX38" s="148"/>
      <c r="CY38" s="168"/>
      <c r="CZ38" s="173"/>
      <c r="DA38" s="170">
        <f>CW42</f>
        <v>0.31999999999999318</v>
      </c>
      <c r="DC38" s="168"/>
      <c r="DD38" s="173"/>
      <c r="DE38" s="170">
        <f>DA42</f>
        <v>0.31999999999999318</v>
      </c>
      <c r="DG38" s="168"/>
      <c r="DH38" s="173"/>
      <c r="DI38" s="170">
        <f>DE42</f>
        <v>0.31999999999999318</v>
      </c>
      <c r="DK38" s="168"/>
      <c r="DL38" s="173"/>
      <c r="DM38" s="170">
        <f>DI42</f>
        <v>0.31999999999999318</v>
      </c>
      <c r="DO38" s="168"/>
      <c r="DP38" s="173"/>
      <c r="DQ38" s="170">
        <f>DM42</f>
        <v>0.31999999999999318</v>
      </c>
      <c r="DS38" s="168"/>
      <c r="DT38" s="173"/>
      <c r="DU38" s="170">
        <f>DQ42</f>
        <v>0.31999999999999318</v>
      </c>
      <c r="DW38" s="168"/>
      <c r="DX38" s="173"/>
      <c r="DY38" s="170">
        <f>DU42</f>
        <v>0.31999999999999318</v>
      </c>
      <c r="EA38" s="168"/>
      <c r="EB38" s="173"/>
      <c r="EC38" s="170">
        <f>DY42</f>
        <v>0.31999999999999318</v>
      </c>
    </row>
    <row r="39" spans="1:133" outlineLevel="1">
      <c r="A39" s="151" t="s">
        <v>565</v>
      </c>
      <c r="B39" s="169"/>
      <c r="C39" s="169"/>
      <c r="D39" s="175"/>
      <c r="E39" s="175"/>
      <c r="F39" s="169"/>
      <c r="G39" s="169"/>
      <c r="H39" s="175"/>
      <c r="I39" s="175"/>
      <c r="J39" s="169"/>
      <c r="K39" s="169"/>
      <c r="L39" s="175"/>
      <c r="M39" s="175"/>
      <c r="N39" s="169"/>
      <c r="O39" s="169"/>
      <c r="P39" s="175"/>
      <c r="Q39" s="175"/>
      <c r="R39" s="169"/>
      <c r="S39" s="169"/>
      <c r="T39" s="175"/>
      <c r="U39" s="175"/>
      <c r="V39" s="169"/>
      <c r="W39" s="169"/>
      <c r="X39" s="175"/>
      <c r="Y39" s="175"/>
      <c r="Z39" s="169"/>
      <c r="AA39" s="169"/>
      <c r="AB39" s="175"/>
      <c r="AC39" s="175"/>
      <c r="AD39" s="169"/>
      <c r="AE39" s="169"/>
      <c r="AF39" s="175"/>
      <c r="AG39" s="175"/>
      <c r="AH39" s="169"/>
      <c r="AI39" s="169"/>
      <c r="AJ39" s="175"/>
      <c r="AK39" s="169"/>
      <c r="AL39" s="169"/>
      <c r="AM39" s="169"/>
      <c r="AN39" s="175"/>
      <c r="AO39" s="188"/>
      <c r="AP39" s="169"/>
      <c r="AQ39" s="168"/>
      <c r="AR39" s="172"/>
      <c r="AS39" s="170"/>
      <c r="AT39" s="151"/>
      <c r="AU39" s="219"/>
      <c r="AV39" s="172"/>
      <c r="AW39" s="170"/>
      <c r="AX39" s="151"/>
      <c r="AY39" s="219"/>
      <c r="AZ39" s="172"/>
      <c r="BA39" s="170"/>
      <c r="BB39" s="151"/>
      <c r="BC39" s="219"/>
      <c r="BD39" s="172"/>
      <c r="BE39" s="170"/>
      <c r="BF39" s="151"/>
      <c r="BG39" s="259">
        <v>4</v>
      </c>
      <c r="BH39" s="169">
        <f>BI39/BG39*1000</f>
        <v>9350</v>
      </c>
      <c r="BI39" s="261">
        <v>37.4</v>
      </c>
      <c r="BJ39" s="151"/>
      <c r="BK39" s="219">
        <v>4</v>
      </c>
      <c r="BL39" s="169">
        <f>+BM39/BK39*1000</f>
        <v>8000</v>
      </c>
      <c r="BM39" s="261">
        <v>32</v>
      </c>
      <c r="BN39" s="151"/>
      <c r="BO39" s="228">
        <v>7</v>
      </c>
      <c r="BP39" s="172">
        <f>+BL39</f>
        <v>8000</v>
      </c>
      <c r="BQ39" s="302">
        <v>70</v>
      </c>
      <c r="BR39" s="151"/>
      <c r="BS39" s="219">
        <v>7</v>
      </c>
      <c r="BT39" s="172">
        <v>8500</v>
      </c>
      <c r="BU39" s="261">
        <v>65</v>
      </c>
      <c r="BV39" s="151"/>
      <c r="BW39" s="219">
        <v>6</v>
      </c>
      <c r="BX39" s="172">
        <f>1000*58/6</f>
        <v>9666.6666666666661</v>
      </c>
      <c r="BY39" s="170">
        <f>BW39*BX39/1000</f>
        <v>58</v>
      </c>
      <c r="BZ39" s="151"/>
      <c r="CA39" s="185">
        <v>0</v>
      </c>
      <c r="CB39" s="172">
        <v>9400</v>
      </c>
      <c r="CC39" s="170">
        <f>CA39*CB39/1000</f>
        <v>0</v>
      </c>
      <c r="CD39" s="148"/>
      <c r="CE39" s="185"/>
      <c r="CF39" s="172"/>
      <c r="CG39" s="170">
        <f>CE39*CF39/1000</f>
        <v>0</v>
      </c>
      <c r="CH39" s="148"/>
      <c r="CI39" s="185"/>
      <c r="CJ39" s="172"/>
      <c r="CK39" s="170">
        <f>CI39*CJ39/1000</f>
        <v>0</v>
      </c>
      <c r="CL39" s="148"/>
      <c r="CM39" s="185"/>
      <c r="CN39" s="172"/>
      <c r="CO39" s="170">
        <f>CM39*CN39/1000</f>
        <v>0</v>
      </c>
      <c r="CP39" s="148"/>
      <c r="CQ39" s="185"/>
      <c r="CR39" s="172"/>
      <c r="CS39" s="170">
        <f>CQ39*CR39/1000</f>
        <v>0</v>
      </c>
      <c r="CT39" s="148"/>
      <c r="CU39" s="185"/>
      <c r="CV39" s="172"/>
      <c r="CW39" s="170">
        <f>CU39*CV39/1000</f>
        <v>0</v>
      </c>
      <c r="CX39" s="148"/>
      <c r="CY39" s="185"/>
      <c r="CZ39" s="172"/>
      <c r="DA39" s="170">
        <f>CY39*CZ39/1000</f>
        <v>0</v>
      </c>
      <c r="DC39" s="185"/>
      <c r="DD39" s="172"/>
      <c r="DE39" s="170">
        <f>DC39*DD39/1000</f>
        <v>0</v>
      </c>
      <c r="DG39" s="185"/>
      <c r="DH39" s="172"/>
      <c r="DI39" s="170">
        <f>DG39*DH39/1000</f>
        <v>0</v>
      </c>
      <c r="DK39" s="185"/>
      <c r="DL39" s="172"/>
      <c r="DM39" s="170">
        <f>DK39*DL39/1000</f>
        <v>0</v>
      </c>
      <c r="DO39" s="185"/>
      <c r="DP39" s="172"/>
      <c r="DQ39" s="170">
        <f>DO39*DP39/1000</f>
        <v>0</v>
      </c>
      <c r="DS39" s="185"/>
      <c r="DT39" s="172"/>
      <c r="DU39" s="170">
        <f>DS39*DT39/1000</f>
        <v>0</v>
      </c>
      <c r="DW39" s="185"/>
      <c r="DX39" s="172"/>
      <c r="DY39" s="170">
        <f>DW39*DX39/1000</f>
        <v>0</v>
      </c>
      <c r="EA39" s="185"/>
      <c r="EB39" s="172"/>
      <c r="EC39" s="170">
        <f>EA39*EB39/1000</f>
        <v>0</v>
      </c>
    </row>
    <row r="40" spans="1:133" outlineLevel="1">
      <c r="A40" s="151" t="s">
        <v>566</v>
      </c>
      <c r="B40" s="169"/>
      <c r="C40" s="169"/>
      <c r="D40" s="175"/>
      <c r="E40" s="175"/>
      <c r="F40" s="169"/>
      <c r="G40" s="169"/>
      <c r="H40" s="175"/>
      <c r="I40" s="175"/>
      <c r="J40" s="169"/>
      <c r="K40" s="169"/>
      <c r="L40" s="175"/>
      <c r="M40" s="175"/>
      <c r="N40" s="169"/>
      <c r="O40" s="169"/>
      <c r="P40" s="175"/>
      <c r="Q40" s="175"/>
      <c r="R40" s="169"/>
      <c r="S40" s="169"/>
      <c r="T40" s="175"/>
      <c r="U40" s="175"/>
      <c r="V40" s="169"/>
      <c r="W40" s="169"/>
      <c r="X40" s="175"/>
      <c r="Y40" s="175"/>
      <c r="Z40" s="169"/>
      <c r="AA40" s="169"/>
      <c r="AB40" s="175"/>
      <c r="AC40" s="175"/>
      <c r="AD40" s="169"/>
      <c r="AE40" s="169"/>
      <c r="AF40" s="175"/>
      <c r="AG40" s="175"/>
      <c r="AH40" s="169"/>
      <c r="AI40" s="169"/>
      <c r="AJ40" s="175"/>
      <c r="AK40" s="169"/>
      <c r="AL40" s="169"/>
      <c r="AM40" s="169"/>
      <c r="AN40" s="175"/>
      <c r="AO40" s="188"/>
      <c r="AP40" s="169"/>
      <c r="AQ40" s="168"/>
      <c r="AR40" s="169"/>
      <c r="AS40" s="174"/>
      <c r="AT40" s="151"/>
      <c r="AU40" s="168"/>
      <c r="AV40" s="169"/>
      <c r="AW40" s="170"/>
      <c r="AX40" s="151"/>
      <c r="AY40" s="168"/>
      <c r="AZ40" s="169"/>
      <c r="BA40" s="170"/>
      <c r="BB40" s="151"/>
      <c r="BC40" s="168"/>
      <c r="BD40" s="169"/>
      <c r="BE40" s="170"/>
      <c r="BF40" s="151"/>
      <c r="BG40" s="168">
        <v>0</v>
      </c>
      <c r="BH40" s="169">
        <v>0</v>
      </c>
      <c r="BI40" s="174">
        <f>BG40*BH40/1000</f>
        <v>0</v>
      </c>
      <c r="BJ40" s="151"/>
      <c r="BK40" s="168">
        <v>0</v>
      </c>
      <c r="BL40" s="169">
        <v>0</v>
      </c>
      <c r="BM40" s="261">
        <f>BK40*BL40/1000</f>
        <v>0</v>
      </c>
      <c r="BN40" s="151"/>
      <c r="BO40" s="171">
        <v>-1</v>
      </c>
      <c r="BP40" s="169">
        <v>0</v>
      </c>
      <c r="BQ40" s="302">
        <v>-9</v>
      </c>
      <c r="BR40" s="151"/>
      <c r="BS40" s="219">
        <v>1</v>
      </c>
      <c r="BT40" s="169">
        <v>0</v>
      </c>
      <c r="BU40" s="261">
        <v>9</v>
      </c>
      <c r="BV40" s="151"/>
      <c r="BW40" s="168">
        <v>0</v>
      </c>
      <c r="BX40" s="169">
        <v>9400</v>
      </c>
      <c r="BY40" s="170">
        <f>BW40*BX40/1000</f>
        <v>0</v>
      </c>
      <c r="BZ40" s="151"/>
      <c r="CA40" s="168">
        <v>0</v>
      </c>
      <c r="CB40" s="169">
        <v>0</v>
      </c>
      <c r="CC40" s="170">
        <f>CA40*CB40/1000</f>
        <v>0</v>
      </c>
      <c r="CD40" s="148"/>
      <c r="CE40" s="168"/>
      <c r="CF40" s="169"/>
      <c r="CG40" s="170">
        <f>CE40*CF40/1000</f>
        <v>0</v>
      </c>
      <c r="CH40" s="148"/>
      <c r="CI40" s="168"/>
      <c r="CJ40" s="169"/>
      <c r="CK40" s="170">
        <f>CI40*CJ40/1000</f>
        <v>0</v>
      </c>
      <c r="CL40" s="148"/>
      <c r="CM40" s="168"/>
      <c r="CN40" s="169"/>
      <c r="CO40" s="170">
        <f>CM40*CN40/1000</f>
        <v>0</v>
      </c>
      <c r="CP40" s="148"/>
      <c r="CQ40" s="168"/>
      <c r="CR40" s="169"/>
      <c r="CS40" s="170">
        <f>CQ40*CR40/1000</f>
        <v>0</v>
      </c>
      <c r="CT40" s="148"/>
      <c r="CU40" s="168"/>
      <c r="CV40" s="169"/>
      <c r="CW40" s="170">
        <f>CU40*CV40/1000</f>
        <v>0</v>
      </c>
      <c r="CX40" s="148"/>
      <c r="CY40" s="168"/>
      <c r="CZ40" s="169"/>
      <c r="DA40" s="170">
        <f>CY40*CZ40/1000</f>
        <v>0</v>
      </c>
      <c r="DC40" s="168"/>
      <c r="DD40" s="169"/>
      <c r="DE40" s="170">
        <f>DC40*DD40/1000</f>
        <v>0</v>
      </c>
      <c r="DG40" s="168"/>
      <c r="DH40" s="169"/>
      <c r="DI40" s="170">
        <f>DG40*DH40/1000</f>
        <v>0</v>
      </c>
      <c r="DK40" s="168"/>
      <c r="DL40" s="169"/>
      <c r="DM40" s="170">
        <f>DK40*DL40/1000</f>
        <v>0</v>
      </c>
      <c r="DO40" s="168"/>
      <c r="DP40" s="169"/>
      <c r="DQ40" s="170">
        <f>DO40*DP40/1000</f>
        <v>0</v>
      </c>
      <c r="DS40" s="168"/>
      <c r="DT40" s="169"/>
      <c r="DU40" s="170">
        <f>DS40*DT40/1000</f>
        <v>0</v>
      </c>
      <c r="DW40" s="168"/>
      <c r="DX40" s="169"/>
      <c r="DY40" s="170">
        <f>DW40*DX40/1000</f>
        <v>0</v>
      </c>
      <c r="EA40" s="168"/>
      <c r="EB40" s="169"/>
      <c r="EC40" s="170">
        <f>EA40*EB40/1000</f>
        <v>0</v>
      </c>
    </row>
    <row r="41" spans="1:133" outlineLevel="1">
      <c r="A41" s="151" t="s">
        <v>567</v>
      </c>
      <c r="B41" s="169"/>
      <c r="C41" s="169"/>
      <c r="D41" s="175"/>
      <c r="E41" s="175"/>
      <c r="F41" s="169"/>
      <c r="G41" s="169"/>
      <c r="H41" s="175"/>
      <c r="I41" s="175"/>
      <c r="J41" s="169"/>
      <c r="K41" s="169"/>
      <c r="L41" s="175"/>
      <c r="M41" s="175"/>
      <c r="N41" s="169"/>
      <c r="O41" s="169"/>
      <c r="P41" s="175"/>
      <c r="Q41" s="175"/>
      <c r="R41" s="169"/>
      <c r="S41" s="169"/>
      <c r="T41" s="175"/>
      <c r="U41" s="175"/>
      <c r="V41" s="169"/>
      <c r="W41" s="169"/>
      <c r="X41" s="175"/>
      <c r="Y41" s="175"/>
      <c r="Z41" s="169"/>
      <c r="AA41" s="169"/>
      <c r="AB41" s="175"/>
      <c r="AC41" s="175"/>
      <c r="AD41" s="169"/>
      <c r="AE41" s="169"/>
      <c r="AF41" s="175"/>
      <c r="AG41" s="175"/>
      <c r="AH41" s="169"/>
      <c r="AI41" s="169"/>
      <c r="AJ41" s="175"/>
      <c r="AK41" s="169"/>
      <c r="AL41" s="169"/>
      <c r="AM41" s="169"/>
      <c r="AN41" s="175"/>
      <c r="AO41" s="188"/>
      <c r="AP41" s="169"/>
      <c r="AQ41" s="168"/>
      <c r="AR41" s="169"/>
      <c r="AS41" s="174"/>
      <c r="AT41" s="151"/>
      <c r="AU41" s="168"/>
      <c r="AV41" s="169"/>
      <c r="AW41" s="170"/>
      <c r="AX41" s="151"/>
      <c r="AY41" s="171"/>
      <c r="AZ41" s="172"/>
      <c r="BA41" s="170"/>
      <c r="BB41" s="151"/>
      <c r="BC41" s="168"/>
      <c r="BD41" s="169"/>
      <c r="BE41" s="170"/>
      <c r="BF41" s="151"/>
      <c r="BG41" s="168">
        <v>0</v>
      </c>
      <c r="BH41" s="169">
        <v>0</v>
      </c>
      <c r="BI41" s="174">
        <f>BG41*BH41/1000</f>
        <v>0</v>
      </c>
      <c r="BJ41" s="151"/>
      <c r="BK41" s="168">
        <v>0</v>
      </c>
      <c r="BL41" s="169">
        <v>0</v>
      </c>
      <c r="BM41" s="261">
        <f>BK41*BL41/1000</f>
        <v>0</v>
      </c>
      <c r="BN41" s="151"/>
      <c r="BO41" s="228">
        <v>0</v>
      </c>
      <c r="BP41" s="169">
        <v>0</v>
      </c>
      <c r="BQ41" s="302">
        <f>BO41*BP41/1000</f>
        <v>0</v>
      </c>
      <c r="BR41" s="151"/>
      <c r="BS41" s="168">
        <v>0</v>
      </c>
      <c r="BT41" s="169">
        <v>0</v>
      </c>
      <c r="BU41" s="261">
        <f>BS41*BT41/1000</f>
        <v>0</v>
      </c>
      <c r="BV41" s="151"/>
      <c r="BW41" s="168">
        <v>0</v>
      </c>
      <c r="BX41" s="169">
        <v>9400</v>
      </c>
      <c r="BY41" s="170">
        <f>BW41*BX41/1000</f>
        <v>0</v>
      </c>
      <c r="BZ41" s="151"/>
      <c r="CA41" s="168">
        <v>-28</v>
      </c>
      <c r="CB41" s="169">
        <v>9360</v>
      </c>
      <c r="CC41" s="170">
        <f>CA41*CB41/1000</f>
        <v>-262.08</v>
      </c>
      <c r="CD41" s="148"/>
      <c r="CE41" s="168"/>
      <c r="CF41" s="169"/>
      <c r="CG41" s="170">
        <f>CE41*CF41/1000</f>
        <v>0</v>
      </c>
      <c r="CH41" s="148"/>
      <c r="CI41" s="168"/>
      <c r="CJ41" s="169"/>
      <c r="CK41" s="170">
        <f>CI41*CJ41/1000</f>
        <v>0</v>
      </c>
      <c r="CL41" s="148"/>
      <c r="CM41" s="168"/>
      <c r="CN41" s="169"/>
      <c r="CO41" s="170">
        <f>CM41*CN41/1000</f>
        <v>0</v>
      </c>
      <c r="CP41" s="148"/>
      <c r="CQ41" s="168"/>
      <c r="CR41" s="169"/>
      <c r="CS41" s="170">
        <f>CQ41*CR41/1000</f>
        <v>0</v>
      </c>
      <c r="CT41" s="148"/>
      <c r="CU41" s="168"/>
      <c r="CV41" s="169"/>
      <c r="CW41" s="170">
        <f>CU41*CV41/1000</f>
        <v>0</v>
      </c>
      <c r="CX41" s="148"/>
      <c r="CY41" s="168"/>
      <c r="CZ41" s="169"/>
      <c r="DA41" s="170">
        <f>CY41*CZ41/1000</f>
        <v>0</v>
      </c>
      <c r="DC41" s="168"/>
      <c r="DD41" s="169"/>
      <c r="DE41" s="170">
        <f>DC41*DD41/1000</f>
        <v>0</v>
      </c>
      <c r="DG41" s="168"/>
      <c r="DH41" s="169"/>
      <c r="DI41" s="170">
        <f>DG41*DH41/1000</f>
        <v>0</v>
      </c>
      <c r="DK41" s="168"/>
      <c r="DL41" s="169"/>
      <c r="DM41" s="170">
        <f>DK41*DL41/1000</f>
        <v>0</v>
      </c>
      <c r="DO41" s="168"/>
      <c r="DP41" s="169"/>
      <c r="DQ41" s="170">
        <f>DO41*DP41/1000</f>
        <v>0</v>
      </c>
      <c r="DS41" s="168"/>
      <c r="DT41" s="169"/>
      <c r="DU41" s="170">
        <f>DS41*DT41/1000</f>
        <v>0</v>
      </c>
      <c r="DW41" s="168"/>
      <c r="DX41" s="169"/>
      <c r="DY41" s="170">
        <f>DW41*DX41/1000</f>
        <v>0</v>
      </c>
      <c r="EA41" s="168"/>
      <c r="EB41" s="169"/>
      <c r="EC41" s="170">
        <f>EA41*EB41/1000</f>
        <v>0</v>
      </c>
    </row>
    <row r="42" spans="1:133" outlineLevel="1">
      <c r="A42" s="151" t="s">
        <v>568</v>
      </c>
      <c r="B42" s="169"/>
      <c r="C42" s="169"/>
      <c r="D42" s="175"/>
      <c r="E42" s="175"/>
      <c r="F42" s="169"/>
      <c r="G42" s="169"/>
      <c r="H42" s="175"/>
      <c r="I42" s="175"/>
      <c r="J42" s="169"/>
      <c r="K42" s="169"/>
      <c r="L42" s="175"/>
      <c r="M42" s="175"/>
      <c r="N42" s="169"/>
      <c r="O42" s="169"/>
      <c r="P42" s="175"/>
      <c r="Q42" s="175"/>
      <c r="R42" s="169"/>
      <c r="S42" s="169"/>
      <c r="T42" s="175"/>
      <c r="U42" s="175"/>
      <c r="V42" s="169"/>
      <c r="W42" s="169"/>
      <c r="X42" s="175"/>
      <c r="Y42" s="175"/>
      <c r="Z42" s="169"/>
      <c r="AA42" s="169"/>
      <c r="AB42" s="175"/>
      <c r="AC42" s="175"/>
      <c r="AD42" s="169"/>
      <c r="AE42" s="169"/>
      <c r="AF42" s="175"/>
      <c r="AG42" s="175"/>
      <c r="AH42" s="169"/>
      <c r="AI42" s="169"/>
      <c r="AJ42" s="175"/>
      <c r="AK42" s="169"/>
      <c r="AL42" s="169"/>
      <c r="AM42" s="169"/>
      <c r="AN42" s="175"/>
      <c r="AO42" s="188"/>
      <c r="AP42" s="169"/>
      <c r="AQ42" s="168"/>
      <c r="AR42" s="173"/>
      <c r="AS42" s="174"/>
      <c r="AT42" s="174"/>
      <c r="AU42" s="168"/>
      <c r="AV42" s="173"/>
      <c r="AW42" s="174"/>
      <c r="AX42" s="151"/>
      <c r="AY42" s="168"/>
      <c r="AZ42" s="173"/>
      <c r="BA42" s="229"/>
      <c r="BB42" s="151"/>
      <c r="BC42" s="168"/>
      <c r="BD42" s="173"/>
      <c r="BE42" s="174"/>
      <c r="BF42" s="151"/>
      <c r="BG42" s="168">
        <f>+BG38+BG39+BG41</f>
        <v>4</v>
      </c>
      <c r="BH42" s="173">
        <f>+BI42/BG42*1000</f>
        <v>9350</v>
      </c>
      <c r="BI42" s="174">
        <f>SUM(BI38:BI41)</f>
        <v>37.4</v>
      </c>
      <c r="BJ42" s="151"/>
      <c r="BK42" s="168">
        <f>+BK38+BK39+BK41</f>
        <v>8</v>
      </c>
      <c r="BL42" s="303">
        <v>8625</v>
      </c>
      <c r="BM42" s="174">
        <f>SUM(BM38:BM40)</f>
        <v>69.400000000000006</v>
      </c>
      <c r="BN42" s="151"/>
      <c r="BO42" s="168">
        <f>+BO38+BO39+BO41+BO40</f>
        <v>14</v>
      </c>
      <c r="BP42" s="173">
        <f>+BQ42/BO42*1000</f>
        <v>9314.2857142857156</v>
      </c>
      <c r="BQ42" s="174">
        <f>SUM(BQ38:BQ40)</f>
        <v>130.4</v>
      </c>
      <c r="BR42" s="151"/>
      <c r="BS42" s="168">
        <f>+BS38+BS39+BS41+BS40</f>
        <v>22</v>
      </c>
      <c r="BT42" s="173">
        <f>+BU42/BS42*1000</f>
        <v>9290.9090909090919</v>
      </c>
      <c r="BU42" s="174">
        <f>SUM(BU38:BU40)</f>
        <v>204.4</v>
      </c>
      <c r="BV42" s="151"/>
      <c r="BW42" s="168">
        <f>+BW38+BW39+BW41</f>
        <v>28</v>
      </c>
      <c r="BX42" s="173">
        <f>+BY42/BW42*1000</f>
        <v>9371.4285714285706</v>
      </c>
      <c r="BY42" s="174">
        <f>SUM(BY38:BY40)</f>
        <v>262.39999999999998</v>
      </c>
      <c r="BZ42" s="151"/>
      <c r="CA42" s="168">
        <f>+CA38+CA39+CA41</f>
        <v>0</v>
      </c>
      <c r="CB42" s="303">
        <v>0</v>
      </c>
      <c r="CC42" s="174">
        <f>SUM(CC38:CC41)</f>
        <v>0.31999999999999318</v>
      </c>
      <c r="CD42" s="148"/>
      <c r="CE42" s="168"/>
      <c r="CF42" s="173"/>
      <c r="CG42" s="174">
        <f>SUM(CG38:CG40)</f>
        <v>0.31999999999999318</v>
      </c>
      <c r="CH42" s="148"/>
      <c r="CI42" s="168"/>
      <c r="CJ42" s="173"/>
      <c r="CK42" s="174">
        <f>SUM(CK38:CK40)</f>
        <v>0.31999999999999318</v>
      </c>
      <c r="CL42" s="148"/>
      <c r="CM42" s="168"/>
      <c r="CN42" s="173"/>
      <c r="CO42" s="174">
        <f>SUM(CO38:CO40)</f>
        <v>0.31999999999999318</v>
      </c>
      <c r="CP42" s="148"/>
      <c r="CQ42" s="168"/>
      <c r="CR42" s="173"/>
      <c r="CS42" s="174">
        <f>SUM(CS38:CS40)</f>
        <v>0.31999999999999318</v>
      </c>
      <c r="CT42" s="148"/>
      <c r="CU42" s="168"/>
      <c r="CV42" s="173"/>
      <c r="CW42" s="174">
        <f>SUM(CW38:CW40)</f>
        <v>0.31999999999999318</v>
      </c>
      <c r="CX42" s="148"/>
      <c r="CY42" s="168"/>
      <c r="CZ42" s="173"/>
      <c r="DA42" s="174">
        <f>SUM(DA38:DA40)</f>
        <v>0.31999999999999318</v>
      </c>
      <c r="DC42" s="168"/>
      <c r="DD42" s="173"/>
      <c r="DE42" s="174">
        <f>SUM(DE38:DE40)</f>
        <v>0.31999999999999318</v>
      </c>
      <c r="DG42" s="168"/>
      <c r="DH42" s="173"/>
      <c r="DI42" s="174">
        <f>SUM(DI38:DI40)</f>
        <v>0.31999999999999318</v>
      </c>
      <c r="DK42" s="168"/>
      <c r="DL42" s="173"/>
      <c r="DM42" s="174">
        <f>SUM(DM38:DM40)</f>
        <v>0.31999999999999318</v>
      </c>
      <c r="DO42" s="168"/>
      <c r="DP42" s="173"/>
      <c r="DQ42" s="174">
        <f>SUM(DQ38:DQ40)</f>
        <v>0.31999999999999318</v>
      </c>
      <c r="DS42" s="168"/>
      <c r="DT42" s="173"/>
      <c r="DU42" s="174">
        <f>SUM(DU38:DU40)</f>
        <v>0.31999999999999318</v>
      </c>
      <c r="DW42" s="168"/>
      <c r="DX42" s="173"/>
      <c r="DY42" s="174">
        <f>SUM(DY38:DY40)</f>
        <v>0.31999999999999318</v>
      </c>
      <c r="EA42" s="168"/>
      <c r="EB42" s="173"/>
      <c r="EC42" s="174">
        <f>SUM(EC38:EC40)</f>
        <v>0.31999999999999318</v>
      </c>
    </row>
    <row r="43" spans="1:133" outlineLevel="1">
      <c r="A43" s="151" t="s">
        <v>103</v>
      </c>
      <c r="B43" s="181"/>
      <c r="C43" s="169"/>
      <c r="D43" s="169"/>
      <c r="E43" s="186"/>
      <c r="F43" s="181"/>
      <c r="G43" s="169"/>
      <c r="H43" s="169"/>
      <c r="I43" s="186"/>
      <c r="J43" s="181"/>
      <c r="K43" s="169"/>
      <c r="L43" s="169"/>
      <c r="M43" s="186"/>
      <c r="N43" s="181"/>
      <c r="O43" s="169"/>
      <c r="P43" s="169"/>
      <c r="Q43" s="186"/>
      <c r="R43" s="181"/>
      <c r="S43" s="169"/>
      <c r="T43" s="169"/>
      <c r="U43" s="186"/>
      <c r="V43" s="181"/>
      <c r="W43" s="169"/>
      <c r="X43" s="169"/>
      <c r="Y43" s="186"/>
      <c r="Z43" s="181"/>
      <c r="AA43" s="169"/>
      <c r="AB43" s="169"/>
      <c r="AC43" s="186"/>
      <c r="AD43" s="181"/>
      <c r="AE43" s="181"/>
      <c r="AF43" s="181"/>
      <c r="AG43" s="181"/>
      <c r="AH43" s="181"/>
      <c r="AI43" s="181"/>
      <c r="AJ43" s="181"/>
      <c r="AK43" s="181"/>
      <c r="AL43" s="181"/>
      <c r="AM43" s="181"/>
      <c r="AN43" s="181"/>
      <c r="AO43" s="181"/>
      <c r="AP43" s="181"/>
      <c r="AQ43" s="180"/>
      <c r="AR43" s="181"/>
      <c r="AS43" s="182"/>
      <c r="AT43" s="151"/>
      <c r="AU43" s="180"/>
      <c r="AV43" s="181"/>
      <c r="AW43" s="176"/>
      <c r="AX43" s="151"/>
      <c r="AY43" s="180"/>
      <c r="AZ43" s="181"/>
      <c r="BA43" s="176"/>
      <c r="BB43" s="151"/>
      <c r="BC43" s="180"/>
      <c r="BD43" s="181"/>
      <c r="BE43" s="176"/>
      <c r="BF43" s="151"/>
      <c r="BG43" s="180"/>
      <c r="BH43" s="181"/>
      <c r="BI43" s="176"/>
      <c r="BJ43" s="151"/>
      <c r="BK43" s="180"/>
      <c r="BL43" s="181"/>
      <c r="BM43" s="176">
        <f>(BM42-BM38)/BM38</f>
        <v>0.85561497326203229</v>
      </c>
      <c r="BN43" s="151"/>
      <c r="BO43" s="180"/>
      <c r="BP43" s="181"/>
      <c r="BQ43" s="176">
        <f>(BQ42-BQ38)/BQ38</f>
        <v>0.87896253602305463</v>
      </c>
      <c r="BR43" s="151"/>
      <c r="BS43" s="180"/>
      <c r="BT43" s="181"/>
      <c r="BU43" s="176">
        <f>(BU42-BU38)/BU38</f>
        <v>0.56748466257668706</v>
      </c>
      <c r="BV43" s="151"/>
      <c r="BW43" s="180"/>
      <c r="BX43" s="181"/>
      <c r="BY43" s="176">
        <f>(BY42-BY38)/BY38</f>
        <v>0.28375733855185897</v>
      </c>
      <c r="BZ43" s="151"/>
      <c r="CA43" s="180"/>
      <c r="CB43" s="181"/>
      <c r="CC43" s="176">
        <f>(CC42-CC38)/CC38</f>
        <v>-0.99878048780487805</v>
      </c>
      <c r="CD43" s="148"/>
      <c r="CE43" s="180"/>
      <c r="CF43" s="181"/>
      <c r="CG43" s="176">
        <f>(CG42-CG38)/CG38</f>
        <v>0</v>
      </c>
      <c r="CH43" s="148"/>
      <c r="CI43" s="180"/>
      <c r="CJ43" s="181"/>
      <c r="CK43" s="176">
        <f>(CK42-CK38)/CK38</f>
        <v>0</v>
      </c>
      <c r="CL43" s="148"/>
      <c r="CM43" s="180"/>
      <c r="CN43" s="181"/>
      <c r="CO43" s="176">
        <f>(CO42-CO38)/CO38</f>
        <v>0</v>
      </c>
      <c r="CP43" s="148"/>
      <c r="CQ43" s="180"/>
      <c r="CR43" s="181"/>
      <c r="CS43" s="176">
        <f>(CS42-CS38)/CS38</f>
        <v>0</v>
      </c>
      <c r="CT43" s="148"/>
      <c r="CU43" s="180"/>
      <c r="CV43" s="181"/>
      <c r="CW43" s="176">
        <f>(CW42-CW38)/CW38</f>
        <v>0</v>
      </c>
      <c r="CX43" s="148"/>
      <c r="CY43" s="180"/>
      <c r="CZ43" s="181"/>
      <c r="DA43" s="176">
        <f>(DA42-DA38)/DA38</f>
        <v>0</v>
      </c>
      <c r="DC43" s="180"/>
      <c r="DD43" s="181"/>
      <c r="DE43" s="176">
        <f>(DE42-DE38)/DE38</f>
        <v>0</v>
      </c>
      <c r="DG43" s="180"/>
      <c r="DH43" s="181"/>
      <c r="DI43" s="176">
        <f>(DI42-DI38)/DI38</f>
        <v>0</v>
      </c>
      <c r="DK43" s="180"/>
      <c r="DL43" s="181"/>
      <c r="DM43" s="176">
        <f>(DM42-DM38)/DM38</f>
        <v>0</v>
      </c>
      <c r="DO43" s="180"/>
      <c r="DP43" s="181"/>
      <c r="DQ43" s="176">
        <f>(DQ42-DQ38)/DQ38</f>
        <v>0</v>
      </c>
      <c r="DS43" s="180"/>
      <c r="DT43" s="181"/>
      <c r="DU43" s="176">
        <f>(DU42-DU38)/DU38</f>
        <v>0</v>
      </c>
      <c r="DW43" s="180"/>
      <c r="DX43" s="181"/>
      <c r="DY43" s="176">
        <f>(DY42-DY38)/DY38</f>
        <v>0</v>
      </c>
      <c r="EA43" s="180"/>
      <c r="EB43" s="181"/>
      <c r="EC43" s="176">
        <f>(EC42-EC38)/EC38</f>
        <v>0</v>
      </c>
    </row>
    <row r="44" spans="1:133" outlineLevel="1">
      <c r="A44" s="151"/>
      <c r="B44" s="181"/>
      <c r="C44" s="169"/>
      <c r="D44" s="169"/>
      <c r="E44" s="186"/>
      <c r="F44" s="181"/>
      <c r="G44" s="169"/>
      <c r="H44" s="169"/>
      <c r="I44" s="186"/>
      <c r="J44" s="181"/>
      <c r="K44" s="169"/>
      <c r="L44" s="169"/>
      <c r="M44" s="186"/>
      <c r="N44" s="181"/>
      <c r="O44" s="169"/>
      <c r="P44" s="169"/>
      <c r="Q44" s="186"/>
      <c r="R44" s="181"/>
      <c r="S44" s="169"/>
      <c r="T44" s="169"/>
      <c r="U44" s="186"/>
      <c r="V44" s="181"/>
      <c r="W44" s="169"/>
      <c r="X44" s="169"/>
      <c r="Y44" s="186"/>
      <c r="Z44" s="181"/>
      <c r="AA44" s="169"/>
      <c r="AB44" s="169"/>
      <c r="AC44" s="186"/>
      <c r="AD44" s="181"/>
      <c r="AE44" s="181"/>
      <c r="AF44" s="181"/>
      <c r="AG44" s="181"/>
      <c r="AH44" s="181"/>
      <c r="AI44" s="181"/>
      <c r="AJ44" s="181"/>
      <c r="AK44" s="181"/>
      <c r="AL44" s="181"/>
      <c r="AM44" s="181"/>
      <c r="AN44" s="181"/>
      <c r="AO44" s="181"/>
      <c r="AP44" s="181"/>
      <c r="AQ44" s="180"/>
      <c r="AR44" s="181"/>
      <c r="AS44" s="182"/>
      <c r="AT44" s="151"/>
      <c r="AU44" s="180"/>
      <c r="AV44" s="181"/>
      <c r="AW44" s="182"/>
      <c r="AX44" s="151"/>
      <c r="AY44" s="180"/>
      <c r="AZ44" s="181"/>
      <c r="BA44" s="182"/>
      <c r="BB44" s="151"/>
      <c r="BC44" s="180"/>
      <c r="BD44" s="181"/>
      <c r="BE44" s="182"/>
      <c r="BF44" s="151"/>
      <c r="BG44" s="180"/>
      <c r="BH44" s="181"/>
      <c r="BI44" s="182"/>
      <c r="BJ44" s="151"/>
      <c r="BK44" s="180"/>
      <c r="BL44" s="181"/>
      <c r="BM44" s="182"/>
      <c r="BN44" s="151"/>
      <c r="BO44" s="180"/>
      <c r="BP44" s="181"/>
      <c r="BQ44" s="182"/>
      <c r="BR44" s="151"/>
      <c r="BS44" s="180"/>
      <c r="BT44" s="181"/>
      <c r="BU44" s="182"/>
      <c r="BV44" s="151"/>
      <c r="BW44" s="180"/>
      <c r="BX44" s="181"/>
      <c r="BY44" s="182"/>
      <c r="BZ44" s="151"/>
      <c r="CA44" s="180"/>
      <c r="CB44" s="181"/>
      <c r="CC44" s="182"/>
      <c r="CD44" s="148"/>
      <c r="CE44" s="180"/>
      <c r="CF44" s="181"/>
      <c r="CG44" s="182"/>
      <c r="CH44" s="148"/>
      <c r="CI44" s="180"/>
      <c r="CJ44" s="181"/>
      <c r="CK44" s="182"/>
      <c r="CL44" s="148"/>
      <c r="CM44" s="180"/>
      <c r="CN44" s="181"/>
      <c r="CO44" s="182"/>
      <c r="CP44" s="148"/>
      <c r="CQ44" s="180"/>
      <c r="CR44" s="181"/>
      <c r="CS44" s="182"/>
      <c r="CT44" s="148"/>
      <c r="CU44" s="180"/>
      <c r="CV44" s="181"/>
      <c r="CW44" s="182"/>
      <c r="CX44" s="148"/>
      <c r="CY44" s="180"/>
      <c r="CZ44" s="181"/>
      <c r="DA44" s="182"/>
      <c r="DC44" s="180"/>
      <c r="DD44" s="181"/>
      <c r="DE44" s="182"/>
      <c r="DG44" s="180"/>
      <c r="DH44" s="181"/>
      <c r="DI44" s="182"/>
      <c r="DK44" s="180"/>
      <c r="DL44" s="181"/>
      <c r="DM44" s="182"/>
      <c r="DO44" s="180"/>
      <c r="DP44" s="181"/>
      <c r="DQ44" s="182"/>
      <c r="DS44" s="180"/>
      <c r="DT44" s="181"/>
      <c r="DU44" s="182"/>
      <c r="DW44" s="180"/>
      <c r="DX44" s="181"/>
      <c r="DY44" s="182"/>
      <c r="EA44" s="180"/>
      <c r="EB44" s="181"/>
      <c r="EC44" s="182"/>
    </row>
    <row r="45" spans="1:133" outlineLevel="1">
      <c r="A45" s="343" t="s">
        <v>432</v>
      </c>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c r="AD45" s="155"/>
      <c r="AE45" s="155"/>
      <c r="AF45" s="155"/>
      <c r="AG45" s="155"/>
      <c r="AH45" s="155"/>
      <c r="AI45" s="155"/>
      <c r="AJ45" s="155"/>
      <c r="AK45" s="155"/>
      <c r="AL45" s="155"/>
      <c r="AM45" s="155"/>
      <c r="AN45" s="155"/>
      <c r="AO45" s="155"/>
      <c r="AP45" s="155"/>
      <c r="AQ45" s="180"/>
      <c r="AR45" s="181"/>
      <c r="AS45" s="182"/>
      <c r="AT45" s="151"/>
      <c r="AU45" s="180"/>
      <c r="AV45" s="181"/>
      <c r="AW45" s="182"/>
      <c r="AX45" s="151"/>
      <c r="AY45" s="180"/>
      <c r="AZ45" s="181"/>
      <c r="BA45" s="182"/>
      <c r="BB45" s="151"/>
      <c r="BC45" s="180"/>
      <c r="BD45" s="181"/>
      <c r="BE45" s="182"/>
      <c r="BF45" s="151"/>
      <c r="BG45" s="180"/>
      <c r="BH45" s="181"/>
      <c r="BI45" s="182"/>
      <c r="BJ45" s="151"/>
      <c r="BK45" s="180"/>
      <c r="BL45" s="181"/>
      <c r="BM45" s="182"/>
      <c r="BN45" s="151"/>
      <c r="BO45" s="180"/>
      <c r="BP45" s="181"/>
      <c r="BQ45" s="182"/>
      <c r="BR45" s="151"/>
      <c r="BS45" s="177"/>
      <c r="BT45" s="151"/>
      <c r="BU45" s="178"/>
      <c r="BV45" s="151"/>
      <c r="BW45" s="177"/>
      <c r="BX45" s="151"/>
      <c r="BY45" s="178"/>
      <c r="BZ45" s="151"/>
      <c r="CA45" s="177"/>
      <c r="CB45" s="151"/>
      <c r="CC45" s="178"/>
      <c r="CD45" s="151"/>
      <c r="CE45" s="177"/>
      <c r="CF45" s="151"/>
      <c r="CG45" s="178"/>
      <c r="CH45" s="151"/>
      <c r="CI45" s="177"/>
      <c r="CJ45" s="151"/>
      <c r="CK45" s="178"/>
      <c r="CL45" s="151"/>
      <c r="CM45" s="177"/>
      <c r="CN45" s="151"/>
      <c r="CO45" s="178"/>
      <c r="CP45" s="151"/>
      <c r="CQ45" s="177"/>
      <c r="CR45" s="151"/>
      <c r="CS45" s="178"/>
      <c r="CT45" s="151"/>
      <c r="CU45" s="177"/>
      <c r="CV45" s="151"/>
      <c r="CW45" s="178"/>
      <c r="CX45" s="151"/>
      <c r="CY45" s="177"/>
      <c r="CZ45" s="151"/>
      <c r="DA45" s="178"/>
      <c r="DC45" s="177"/>
      <c r="DD45" s="151"/>
      <c r="DE45" s="178"/>
      <c r="DG45" s="177"/>
      <c r="DH45" s="151"/>
      <c r="DI45" s="178"/>
      <c r="DK45" s="177"/>
      <c r="DL45" s="151"/>
      <c r="DM45" s="178"/>
      <c r="DO45" s="177"/>
      <c r="DP45" s="151"/>
      <c r="DQ45" s="178"/>
      <c r="DS45" s="177"/>
      <c r="DT45" s="151"/>
      <c r="DU45" s="178"/>
      <c r="DW45" s="177"/>
      <c r="DX45" s="151"/>
      <c r="DY45" s="178"/>
      <c r="EA45" s="177"/>
      <c r="EB45" s="151"/>
      <c r="EC45" s="178"/>
    </row>
    <row r="46" spans="1:133" outlineLevel="1">
      <c r="A46" s="151" t="s">
        <v>470</v>
      </c>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c r="AD46" s="155"/>
      <c r="AE46" s="155"/>
      <c r="AF46" s="155"/>
      <c r="AG46" s="155"/>
      <c r="AH46" s="155"/>
      <c r="AI46" s="155"/>
      <c r="AJ46" s="155"/>
      <c r="AK46" s="155"/>
      <c r="AL46" s="155"/>
      <c r="AM46" s="155"/>
      <c r="AN46" s="155"/>
      <c r="AO46" s="155"/>
      <c r="AP46" s="155"/>
      <c r="AQ46" s="180"/>
      <c r="AR46" s="181"/>
      <c r="AS46" s="182"/>
      <c r="AT46" s="151"/>
      <c r="AU46" s="180"/>
      <c r="AV46" s="181"/>
      <c r="AW46" s="182"/>
      <c r="AX46" s="151"/>
      <c r="AY46" s="180"/>
      <c r="AZ46" s="181"/>
      <c r="BA46" s="182"/>
      <c r="BB46" s="151"/>
      <c r="BC46" s="180"/>
      <c r="BD46" s="181"/>
      <c r="BE46" s="182"/>
      <c r="BF46" s="151"/>
      <c r="BG46" s="180"/>
      <c r="BH46" s="181"/>
      <c r="BI46" s="182"/>
      <c r="BJ46" s="151"/>
      <c r="BK46" s="180"/>
      <c r="BL46" s="181"/>
      <c r="BM46" s="182"/>
      <c r="BN46" s="151"/>
      <c r="BO46" s="180"/>
      <c r="BP46" s="181"/>
      <c r="BQ46" s="182"/>
      <c r="BR46" s="151"/>
      <c r="BS46" s="177">
        <v>0</v>
      </c>
      <c r="BT46" s="173">
        <f>IF(BU46=0,0,(BU46/BS46*1000))</f>
        <v>0</v>
      </c>
      <c r="BU46" s="170">
        <f>BQ50</f>
        <v>0</v>
      </c>
      <c r="BV46" s="151"/>
      <c r="BW46" s="168">
        <f>BS50</f>
        <v>3</v>
      </c>
      <c r="BX46" s="169">
        <f>IF(BY46=0,0,(BY46/BW46*1000))</f>
        <v>11333.333333333334</v>
      </c>
      <c r="BY46" s="170">
        <f>BU50</f>
        <v>34</v>
      </c>
      <c r="BZ46" s="151"/>
      <c r="CA46" s="168">
        <f>BW50</f>
        <v>14</v>
      </c>
      <c r="CB46" s="169">
        <f>IF(CC46=0,0,(CC46/CA46*1000))</f>
        <v>10428.571428571429</v>
      </c>
      <c r="CC46" s="170">
        <f>BY50</f>
        <v>146</v>
      </c>
      <c r="CD46" s="151"/>
      <c r="CE46" s="168">
        <f>CA50</f>
        <v>16</v>
      </c>
      <c r="CF46" s="173">
        <f>IF(CG46=0,0,(CG46/CE46*1000))</f>
        <v>10062.5</v>
      </c>
      <c r="CG46" s="170">
        <f>CC50</f>
        <v>161</v>
      </c>
      <c r="CH46" s="151"/>
      <c r="CI46" s="168">
        <f>CE50+1</f>
        <v>20</v>
      </c>
      <c r="CJ46" s="173">
        <f>IF(CK46=0,0,(CK46/CI46*1000))</f>
        <v>9150</v>
      </c>
      <c r="CK46" s="170">
        <f>CG50</f>
        <v>183</v>
      </c>
      <c r="CL46" s="151"/>
      <c r="CM46" s="168">
        <f>CI50</f>
        <v>20</v>
      </c>
      <c r="CN46" s="173">
        <f>IF(CO46=0,0,(CO46/CM46*1000))</f>
        <v>9150</v>
      </c>
      <c r="CO46" s="170">
        <f>CK50</f>
        <v>183</v>
      </c>
      <c r="CP46" s="151"/>
      <c r="CQ46" s="168">
        <f>CM50</f>
        <v>23</v>
      </c>
      <c r="CR46" s="173">
        <f>IF(CS46=0,0,(CS46/CQ46*1000))</f>
        <v>8826.0869565217381</v>
      </c>
      <c r="CS46" s="170">
        <f>CO50</f>
        <v>203</v>
      </c>
      <c r="CT46" s="151"/>
      <c r="CU46" s="168">
        <f>CQ50</f>
        <v>7</v>
      </c>
      <c r="CV46" s="173">
        <f>IF(CW46=0,0,(CW46/CU46*1000))</f>
        <v>29000</v>
      </c>
      <c r="CW46" s="170">
        <f>CS50</f>
        <v>203</v>
      </c>
      <c r="CX46" s="151"/>
      <c r="CY46" s="168">
        <f>CU50</f>
        <v>0</v>
      </c>
      <c r="CZ46" s="173" t="s">
        <v>251</v>
      </c>
      <c r="DA46" s="170">
        <f>CW50</f>
        <v>203</v>
      </c>
      <c r="DC46" s="168">
        <f>CY50</f>
        <v>0</v>
      </c>
      <c r="DD46" s="173" t="s">
        <v>251</v>
      </c>
      <c r="DE46" s="170">
        <f>DA50</f>
        <v>203</v>
      </c>
      <c r="DG46" s="168">
        <f>DC50</f>
        <v>0</v>
      </c>
      <c r="DH46" s="173" t="s">
        <v>251</v>
      </c>
      <c r="DI46" s="170">
        <f>DE50</f>
        <v>203</v>
      </c>
      <c r="DK46" s="168">
        <f>DG50</f>
        <v>0</v>
      </c>
      <c r="DL46" s="173" t="s">
        <v>251</v>
      </c>
      <c r="DM46" s="170">
        <f>DI50</f>
        <v>203</v>
      </c>
      <c r="DO46" s="168">
        <f>DK50</f>
        <v>0</v>
      </c>
      <c r="DP46" s="173" t="s">
        <v>251</v>
      </c>
      <c r="DQ46" s="170">
        <f>DM50</f>
        <v>203</v>
      </c>
      <c r="DS46" s="168">
        <f>DO50</f>
        <v>0</v>
      </c>
      <c r="DT46" s="173" t="s">
        <v>251</v>
      </c>
      <c r="DU46" s="170">
        <f>DQ50</f>
        <v>203</v>
      </c>
      <c r="DW46" s="168">
        <f>DS50</f>
        <v>0</v>
      </c>
      <c r="DX46" s="173" t="s">
        <v>251</v>
      </c>
      <c r="DY46" s="170">
        <f>DU50</f>
        <v>203</v>
      </c>
      <c r="EA46" s="168">
        <f>DW50</f>
        <v>0</v>
      </c>
      <c r="EB46" s="173" t="s">
        <v>251</v>
      </c>
      <c r="EC46" s="170">
        <f>DY50</f>
        <v>203</v>
      </c>
    </row>
    <row r="47" spans="1:133" outlineLevel="1">
      <c r="A47" s="151" t="s">
        <v>565</v>
      </c>
      <c r="B47" s="155"/>
      <c r="C47" s="15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c r="AD47" s="155"/>
      <c r="AE47" s="155"/>
      <c r="AF47" s="155"/>
      <c r="AG47" s="155"/>
      <c r="AH47" s="155"/>
      <c r="AI47" s="155"/>
      <c r="AJ47" s="155"/>
      <c r="AK47" s="155"/>
      <c r="AL47" s="155"/>
      <c r="AM47" s="155"/>
      <c r="AN47" s="155"/>
      <c r="AO47" s="155"/>
      <c r="AP47" s="155"/>
      <c r="AQ47" s="180"/>
      <c r="AR47" s="181"/>
      <c r="AS47" s="182"/>
      <c r="AT47" s="151"/>
      <c r="AU47" s="180"/>
      <c r="AV47" s="181"/>
      <c r="AW47" s="182"/>
      <c r="AX47" s="151"/>
      <c r="AY47" s="180"/>
      <c r="AZ47" s="181"/>
      <c r="BA47" s="182"/>
      <c r="BB47" s="151"/>
      <c r="BC47" s="180"/>
      <c r="BD47" s="181"/>
      <c r="BE47" s="182"/>
      <c r="BF47" s="151"/>
      <c r="BG47" s="180"/>
      <c r="BH47" s="181"/>
      <c r="BI47" s="182"/>
      <c r="BJ47" s="151"/>
      <c r="BK47" s="180"/>
      <c r="BL47" s="181"/>
      <c r="BM47" s="182"/>
      <c r="BN47" s="151"/>
      <c r="BO47" s="180"/>
      <c r="BP47" s="181"/>
      <c r="BQ47" s="182"/>
      <c r="BR47" s="151"/>
      <c r="BS47" s="342">
        <v>3</v>
      </c>
      <c r="BT47" s="172">
        <v>11000</v>
      </c>
      <c r="BU47" s="261">
        <v>34</v>
      </c>
      <c r="BV47" s="151"/>
      <c r="BW47" s="342">
        <v>11</v>
      </c>
      <c r="BX47" s="172">
        <f>1000*112/11</f>
        <v>10181.818181818182</v>
      </c>
      <c r="BY47" s="170">
        <f>BW47*BX47/1000</f>
        <v>112</v>
      </c>
      <c r="BZ47" s="151"/>
      <c r="CA47" s="342">
        <v>2</v>
      </c>
      <c r="CB47" s="172">
        <v>7500</v>
      </c>
      <c r="CC47" s="170">
        <f>CA47*CB47/1000</f>
        <v>15</v>
      </c>
      <c r="CD47" s="151"/>
      <c r="CE47" s="342">
        <f>2+1</f>
        <v>3</v>
      </c>
      <c r="CF47" s="172">
        <v>4000</v>
      </c>
      <c r="CG47" s="261">
        <f>CE47*CF47/1000</f>
        <v>12</v>
      </c>
      <c r="CH47" s="151"/>
      <c r="CI47" s="342">
        <v>0</v>
      </c>
      <c r="CJ47" s="172">
        <v>8000</v>
      </c>
      <c r="CK47" s="170">
        <f>CI47*CJ47/1000</f>
        <v>0</v>
      </c>
      <c r="CL47" s="151"/>
      <c r="CM47" s="342">
        <v>4</v>
      </c>
      <c r="CN47" s="172">
        <v>5000</v>
      </c>
      <c r="CO47" s="170">
        <f>CM47*CN47/1000</f>
        <v>20</v>
      </c>
      <c r="CP47" s="151"/>
      <c r="CQ47" s="342">
        <v>0</v>
      </c>
      <c r="CR47" s="172">
        <v>5000</v>
      </c>
      <c r="CS47" s="170">
        <f>CQ47*CR47/1000</f>
        <v>0</v>
      </c>
      <c r="CT47" s="151"/>
      <c r="CU47" s="342">
        <v>0</v>
      </c>
      <c r="CV47" s="172">
        <v>5000</v>
      </c>
      <c r="CW47" s="170">
        <f>CU47*CV47/1000</f>
        <v>0</v>
      </c>
      <c r="CX47" s="151"/>
      <c r="CY47" s="342">
        <v>0</v>
      </c>
      <c r="CZ47" s="172">
        <v>5000</v>
      </c>
      <c r="DA47" s="170">
        <f>CY47*CZ47/1000</f>
        <v>0</v>
      </c>
      <c r="DC47" s="342">
        <v>0</v>
      </c>
      <c r="DD47" s="172">
        <v>5000</v>
      </c>
      <c r="DE47" s="170">
        <f>DC47*DD47/1000</f>
        <v>0</v>
      </c>
      <c r="DG47" s="342">
        <v>0</v>
      </c>
      <c r="DH47" s="172">
        <v>5000</v>
      </c>
      <c r="DI47" s="170">
        <f>DG47*DH47/1000</f>
        <v>0</v>
      </c>
      <c r="DK47" s="342">
        <v>0</v>
      </c>
      <c r="DL47" s="172">
        <v>5000</v>
      </c>
      <c r="DM47" s="170">
        <f>DK47*DL47/1000</f>
        <v>0</v>
      </c>
      <c r="DO47" s="342">
        <v>0</v>
      </c>
      <c r="DP47" s="172">
        <v>5000</v>
      </c>
      <c r="DQ47" s="170">
        <f>DO47*DP47/1000</f>
        <v>0</v>
      </c>
      <c r="DS47" s="342">
        <v>0</v>
      </c>
      <c r="DT47" s="172">
        <v>5000</v>
      </c>
      <c r="DU47" s="170">
        <f>DS47*DT47/1000</f>
        <v>0</v>
      </c>
      <c r="DW47" s="342">
        <v>0</v>
      </c>
      <c r="DX47" s="172">
        <v>5000</v>
      </c>
      <c r="DY47" s="170">
        <f>DW47*DX47/1000</f>
        <v>0</v>
      </c>
      <c r="EA47" s="342">
        <v>0</v>
      </c>
      <c r="EB47" s="172">
        <v>5000</v>
      </c>
      <c r="EC47" s="170">
        <f>EA47*EB47/1000</f>
        <v>0</v>
      </c>
    </row>
    <row r="48" spans="1:133" outlineLevel="1">
      <c r="A48" s="148" t="s">
        <v>566</v>
      </c>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55"/>
      <c r="AK48" s="155"/>
      <c r="AL48" s="155"/>
      <c r="AM48" s="155"/>
      <c r="AN48" s="155"/>
      <c r="AO48" s="155"/>
      <c r="AP48" s="155"/>
      <c r="AQ48" s="180"/>
      <c r="AR48" s="181"/>
      <c r="AS48" s="182"/>
      <c r="AT48" s="151"/>
      <c r="AU48" s="180"/>
      <c r="AV48" s="181"/>
      <c r="AW48" s="182"/>
      <c r="AX48" s="151"/>
      <c r="AY48" s="180"/>
      <c r="AZ48" s="181"/>
      <c r="BA48" s="182"/>
      <c r="BB48" s="151"/>
      <c r="BC48" s="180"/>
      <c r="BD48" s="181"/>
      <c r="BE48" s="182"/>
      <c r="BF48" s="151"/>
      <c r="BG48" s="180"/>
      <c r="BH48" s="181"/>
      <c r="BI48" s="182"/>
      <c r="BJ48" s="151"/>
      <c r="BK48" s="180"/>
      <c r="BL48" s="181"/>
      <c r="BM48" s="182"/>
      <c r="BN48" s="151"/>
      <c r="BO48" s="180"/>
      <c r="BP48" s="181"/>
      <c r="BQ48" s="182"/>
      <c r="BR48" s="151"/>
      <c r="BS48" s="177"/>
      <c r="BT48" s="169">
        <v>0</v>
      </c>
      <c r="BU48" s="261">
        <f>BS48*BT48/1000</f>
        <v>0</v>
      </c>
      <c r="BV48" s="151"/>
      <c r="BW48" s="177"/>
      <c r="BX48" s="169">
        <v>0</v>
      </c>
      <c r="BY48" s="170">
        <f>BW48*BX48/1000</f>
        <v>0</v>
      </c>
      <c r="BZ48" s="151"/>
      <c r="CA48" s="177"/>
      <c r="CB48" s="169">
        <v>0</v>
      </c>
      <c r="CC48" s="170">
        <f>CA48*CB48/1000</f>
        <v>0</v>
      </c>
      <c r="CD48" s="151"/>
      <c r="CE48" s="177"/>
      <c r="CF48" s="169">
        <v>0</v>
      </c>
      <c r="CG48" s="261">
        <v>10</v>
      </c>
      <c r="CH48" s="151"/>
      <c r="CI48" s="177"/>
      <c r="CJ48" s="169">
        <v>0</v>
      </c>
      <c r="CK48" s="170">
        <f>CI48*CJ48/1000</f>
        <v>0</v>
      </c>
      <c r="CL48" s="151"/>
      <c r="CM48" s="177"/>
      <c r="CN48" s="169">
        <v>0</v>
      </c>
      <c r="CO48" s="170">
        <f>CM48*CN48/1000</f>
        <v>0</v>
      </c>
      <c r="CP48" s="151"/>
      <c r="CQ48" s="177"/>
      <c r="CR48" s="169">
        <v>0</v>
      </c>
      <c r="CS48" s="170">
        <f>CQ48*CR48/1000</f>
        <v>0</v>
      </c>
      <c r="CT48" s="151"/>
      <c r="CU48" s="177"/>
      <c r="CV48" s="169">
        <v>0</v>
      </c>
      <c r="CW48" s="170">
        <f>CU48*CV48/1000</f>
        <v>0</v>
      </c>
      <c r="CX48" s="151"/>
      <c r="CY48" s="177"/>
      <c r="CZ48" s="169">
        <v>0</v>
      </c>
      <c r="DA48" s="170">
        <f>CY48*CZ48/1000</f>
        <v>0</v>
      </c>
      <c r="DC48" s="177"/>
      <c r="DD48" s="169">
        <v>0</v>
      </c>
      <c r="DE48" s="170">
        <f>DC48*DD48/1000</f>
        <v>0</v>
      </c>
      <c r="DG48" s="177"/>
      <c r="DH48" s="169">
        <v>0</v>
      </c>
      <c r="DI48" s="170">
        <f>DG48*DH48/1000</f>
        <v>0</v>
      </c>
      <c r="DK48" s="177"/>
      <c r="DL48" s="169">
        <v>0</v>
      </c>
      <c r="DM48" s="170">
        <f>DK48*DL48/1000</f>
        <v>0</v>
      </c>
      <c r="DO48" s="177"/>
      <c r="DP48" s="169">
        <v>0</v>
      </c>
      <c r="DQ48" s="170">
        <f>DO48*DP48/1000</f>
        <v>0</v>
      </c>
      <c r="DS48" s="177"/>
      <c r="DT48" s="169">
        <v>0</v>
      </c>
      <c r="DU48" s="170">
        <f>DS48*DT48/1000</f>
        <v>0</v>
      </c>
      <c r="DW48" s="177"/>
      <c r="DX48" s="169">
        <v>0</v>
      </c>
      <c r="DY48" s="170">
        <f>DW48*DX48/1000</f>
        <v>0</v>
      </c>
      <c r="EA48" s="177"/>
      <c r="EB48" s="169">
        <v>0</v>
      </c>
      <c r="EC48" s="170">
        <f>EA48*EB48/1000</f>
        <v>0</v>
      </c>
    </row>
    <row r="49" spans="1:133" outlineLevel="1">
      <c r="A49" s="148" t="s">
        <v>567</v>
      </c>
      <c r="B49" s="155"/>
      <c r="C49" s="15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155"/>
      <c r="AB49" s="155"/>
      <c r="AC49" s="155"/>
      <c r="AD49" s="155"/>
      <c r="AE49" s="155"/>
      <c r="AF49" s="155"/>
      <c r="AG49" s="155"/>
      <c r="AH49" s="155"/>
      <c r="AI49" s="155"/>
      <c r="AJ49" s="155"/>
      <c r="AK49" s="155"/>
      <c r="AL49" s="155"/>
      <c r="AM49" s="155"/>
      <c r="AN49" s="155"/>
      <c r="AO49" s="155"/>
      <c r="AP49" s="155"/>
      <c r="AQ49" s="180"/>
      <c r="AR49" s="181"/>
      <c r="AS49" s="182"/>
      <c r="AT49" s="151"/>
      <c r="AU49" s="180"/>
      <c r="AV49" s="181"/>
      <c r="AW49" s="182"/>
      <c r="AX49" s="151"/>
      <c r="AY49" s="180"/>
      <c r="AZ49" s="181"/>
      <c r="BA49" s="182"/>
      <c r="BB49" s="151"/>
      <c r="BC49" s="180"/>
      <c r="BD49" s="181"/>
      <c r="BE49" s="182"/>
      <c r="BF49" s="151"/>
      <c r="BG49" s="180"/>
      <c r="BH49" s="181"/>
      <c r="BI49" s="182"/>
      <c r="BJ49" s="151"/>
      <c r="BK49" s="180"/>
      <c r="BL49" s="181"/>
      <c r="BM49" s="182"/>
      <c r="BN49" s="151"/>
      <c r="BO49" s="180"/>
      <c r="BP49" s="181"/>
      <c r="BQ49" s="182"/>
      <c r="BR49" s="151"/>
      <c r="BS49" s="177"/>
      <c r="BT49" s="169">
        <v>0</v>
      </c>
      <c r="BU49" s="261">
        <f>BS49*BT49/1000</f>
        <v>0</v>
      </c>
      <c r="BV49" s="151"/>
      <c r="BW49" s="177"/>
      <c r="BX49" s="169">
        <v>0</v>
      </c>
      <c r="BY49" s="170">
        <f>BW49*BX49/1000</f>
        <v>0</v>
      </c>
      <c r="BZ49" s="151"/>
      <c r="CA49" s="177"/>
      <c r="CB49" s="169">
        <v>0</v>
      </c>
      <c r="CC49" s="170">
        <f>CA49*CB49/1000</f>
        <v>0</v>
      </c>
      <c r="CD49" s="151"/>
      <c r="CE49" s="177"/>
      <c r="CF49" s="169">
        <v>0</v>
      </c>
      <c r="CG49" s="170">
        <f>CE49*CF49/1000</f>
        <v>0</v>
      </c>
      <c r="CH49" s="151"/>
      <c r="CI49" s="177"/>
      <c r="CJ49" s="169">
        <v>0</v>
      </c>
      <c r="CK49" s="170">
        <f>CI49*CJ49/1000</f>
        <v>0</v>
      </c>
      <c r="CL49" s="151"/>
      <c r="CM49" s="342">
        <v>-1</v>
      </c>
      <c r="CN49" s="169">
        <v>0</v>
      </c>
      <c r="CO49" s="170">
        <f>CM49*CN49/1000</f>
        <v>0</v>
      </c>
      <c r="CP49" s="151"/>
      <c r="CQ49" s="342">
        <v>-16</v>
      </c>
      <c r="CR49" s="169">
        <v>0</v>
      </c>
      <c r="CS49" s="170">
        <f>CQ49*CR49/1000</f>
        <v>0</v>
      </c>
      <c r="CT49" s="151"/>
      <c r="CU49" s="177">
        <v>-7</v>
      </c>
      <c r="CV49" s="169">
        <v>0</v>
      </c>
      <c r="CW49" s="170">
        <f>CU49*CV49/1000</f>
        <v>0</v>
      </c>
      <c r="CX49" s="151"/>
      <c r="CY49" s="177"/>
      <c r="CZ49" s="169">
        <v>0</v>
      </c>
      <c r="DA49" s="170">
        <f>CY49*CZ49/1000</f>
        <v>0</v>
      </c>
      <c r="DC49" s="177"/>
      <c r="DD49" s="169">
        <v>0</v>
      </c>
      <c r="DE49" s="170">
        <f>DC49*DD49/1000</f>
        <v>0</v>
      </c>
      <c r="DG49" s="177"/>
      <c r="DH49" s="169">
        <v>0</v>
      </c>
      <c r="DI49" s="170">
        <f>DG49*DH49/1000</f>
        <v>0</v>
      </c>
      <c r="DK49" s="177"/>
      <c r="DL49" s="169">
        <v>0</v>
      </c>
      <c r="DM49" s="170">
        <f>DK49*DL49/1000</f>
        <v>0</v>
      </c>
      <c r="DO49" s="177"/>
      <c r="DP49" s="169">
        <v>0</v>
      </c>
      <c r="DQ49" s="170">
        <f>DO49*DP49/1000</f>
        <v>0</v>
      </c>
      <c r="DS49" s="177"/>
      <c r="DT49" s="169">
        <v>0</v>
      </c>
      <c r="DU49" s="170">
        <f>DS49*DT49/1000</f>
        <v>0</v>
      </c>
      <c r="DW49" s="177"/>
      <c r="DX49" s="169">
        <v>0</v>
      </c>
      <c r="DY49" s="170">
        <f>DW49*DX49/1000</f>
        <v>0</v>
      </c>
      <c r="EA49" s="177"/>
      <c r="EB49" s="169">
        <v>0</v>
      </c>
      <c r="EC49" s="170">
        <f>EA49*EB49/1000</f>
        <v>0</v>
      </c>
    </row>
    <row r="50" spans="1:133" outlineLevel="1">
      <c r="A50" s="148" t="s">
        <v>568</v>
      </c>
      <c r="B50" s="155"/>
      <c r="C50" s="155"/>
      <c r="D50" s="155"/>
      <c r="E50" s="155"/>
      <c r="F50" s="155"/>
      <c r="G50" s="155"/>
      <c r="H50" s="155"/>
      <c r="I50" s="155"/>
      <c r="J50" s="155"/>
      <c r="K50" s="155"/>
      <c r="L50" s="155"/>
      <c r="M50" s="155"/>
      <c r="N50" s="155"/>
      <c r="O50" s="155"/>
      <c r="P50" s="155"/>
      <c r="Q50" s="155"/>
      <c r="R50" s="155"/>
      <c r="S50" s="155"/>
      <c r="T50" s="155"/>
      <c r="U50" s="155"/>
      <c r="V50" s="155"/>
      <c r="W50" s="155"/>
      <c r="X50" s="155"/>
      <c r="Y50" s="155"/>
      <c r="Z50" s="155"/>
      <c r="AA50" s="155"/>
      <c r="AB50" s="155"/>
      <c r="AC50" s="155"/>
      <c r="AD50" s="155"/>
      <c r="AE50" s="155"/>
      <c r="AF50" s="155"/>
      <c r="AG50" s="155"/>
      <c r="AH50" s="155"/>
      <c r="AI50" s="155"/>
      <c r="AJ50" s="155"/>
      <c r="AK50" s="155"/>
      <c r="AL50" s="155"/>
      <c r="AM50" s="155"/>
      <c r="AN50" s="155"/>
      <c r="AO50" s="155"/>
      <c r="AP50" s="155"/>
      <c r="AQ50" s="180"/>
      <c r="AR50" s="181"/>
      <c r="AS50" s="182"/>
      <c r="AT50" s="151"/>
      <c r="AU50" s="180"/>
      <c r="AV50" s="181"/>
      <c r="AW50" s="182"/>
      <c r="AX50" s="151"/>
      <c r="AY50" s="180"/>
      <c r="AZ50" s="181"/>
      <c r="BA50" s="182"/>
      <c r="BB50" s="151"/>
      <c r="BC50" s="180"/>
      <c r="BD50" s="181"/>
      <c r="BE50" s="182"/>
      <c r="BF50" s="151"/>
      <c r="BG50" s="180"/>
      <c r="BH50" s="181"/>
      <c r="BI50" s="182"/>
      <c r="BJ50" s="151"/>
      <c r="BK50" s="180"/>
      <c r="BL50" s="181"/>
      <c r="BM50" s="182"/>
      <c r="BN50" s="151"/>
      <c r="BO50" s="180"/>
      <c r="BP50" s="181"/>
      <c r="BQ50" s="182"/>
      <c r="BR50" s="151"/>
      <c r="BS50" s="177">
        <f>BS46+BS47-BS49</f>
        <v>3</v>
      </c>
      <c r="BT50" s="173">
        <f>+BU50/BS50*1000</f>
        <v>11333.333333333334</v>
      </c>
      <c r="BU50" s="174">
        <f>SUM(BU46:BU48)</f>
        <v>34</v>
      </c>
      <c r="BV50" s="151"/>
      <c r="BW50" s="177">
        <f>BW46+BW47-BW49</f>
        <v>14</v>
      </c>
      <c r="BX50" s="173">
        <f>+BY50/BW50*1000</f>
        <v>10428.571428571429</v>
      </c>
      <c r="BY50" s="174">
        <f>SUM(BY46:BY48)</f>
        <v>146</v>
      </c>
      <c r="BZ50" s="151"/>
      <c r="CA50" s="177">
        <f>CA46+CA47-CA49</f>
        <v>16</v>
      </c>
      <c r="CB50" s="173">
        <f>+CC50/CA50*1000</f>
        <v>10062.5</v>
      </c>
      <c r="CC50" s="174">
        <f>SUM(CC46:CC48)</f>
        <v>161</v>
      </c>
      <c r="CD50" s="151"/>
      <c r="CE50" s="177">
        <f>CE46+CE47-CE49</f>
        <v>19</v>
      </c>
      <c r="CF50" s="173">
        <f>+CG50/CE50*1000</f>
        <v>9631.5789473684217</v>
      </c>
      <c r="CG50" s="174">
        <f>SUM(CG46:CG48)</f>
        <v>183</v>
      </c>
      <c r="CH50" s="151"/>
      <c r="CI50" s="177">
        <f>CI46+CI47-CI49</f>
        <v>20</v>
      </c>
      <c r="CJ50" s="173">
        <f>+CK50/CI50*1000</f>
        <v>9150</v>
      </c>
      <c r="CK50" s="174">
        <f>SUM(CK46:CK48)</f>
        <v>183</v>
      </c>
      <c r="CL50" s="151"/>
      <c r="CM50" s="648">
        <f>CM46+CM47+CM49</f>
        <v>23</v>
      </c>
      <c r="CN50" s="173">
        <f>+CO50/CM50*1000</f>
        <v>8826.0869565217381</v>
      </c>
      <c r="CO50" s="174">
        <f>SUM(CO46:CO48)</f>
        <v>203</v>
      </c>
      <c r="CP50" s="151"/>
      <c r="CQ50" s="648">
        <f>CQ46+CQ47+CQ49</f>
        <v>7</v>
      </c>
      <c r="CR50" s="173">
        <f>+CS50/CQ50*1000</f>
        <v>29000</v>
      </c>
      <c r="CS50" s="174">
        <f>SUM(CS46:CS48)</f>
        <v>203</v>
      </c>
      <c r="CT50" s="151"/>
      <c r="CU50" s="648">
        <f>CU46+CU47+CU49</f>
        <v>0</v>
      </c>
      <c r="CV50" s="173" t="s">
        <v>251</v>
      </c>
      <c r="CW50" s="174">
        <f>SUM(CW46:CW48)</f>
        <v>203</v>
      </c>
      <c r="CX50" s="151"/>
      <c r="CY50" s="177">
        <f>CY46+CY47-CY49</f>
        <v>0</v>
      </c>
      <c r="CZ50" s="173" t="s">
        <v>251</v>
      </c>
      <c r="DA50" s="174">
        <f>SUM(DA46:DA48)</f>
        <v>203</v>
      </c>
      <c r="DC50" s="648">
        <f>DC46+DC47-DC49</f>
        <v>0</v>
      </c>
      <c r="DD50" s="173" t="s">
        <v>251</v>
      </c>
      <c r="DE50" s="174">
        <f>SUM(DE46:DE48)</f>
        <v>203</v>
      </c>
      <c r="DG50" s="648">
        <f>DG46+DG47-DG49</f>
        <v>0</v>
      </c>
      <c r="DH50" s="173" t="s">
        <v>251</v>
      </c>
      <c r="DI50" s="174">
        <f>SUM(DI46:DI48)</f>
        <v>203</v>
      </c>
      <c r="DK50" s="648">
        <f>DK46+DK47-DK49</f>
        <v>0</v>
      </c>
      <c r="DL50" s="173" t="s">
        <v>251</v>
      </c>
      <c r="DM50" s="174">
        <f>SUM(DM46:DM48)</f>
        <v>203</v>
      </c>
      <c r="DO50" s="648">
        <f>DO46+DO47-DO49</f>
        <v>0</v>
      </c>
      <c r="DP50" s="173" t="s">
        <v>251</v>
      </c>
      <c r="DQ50" s="174">
        <f>SUM(DQ46:DQ48)</f>
        <v>203</v>
      </c>
      <c r="DS50" s="648">
        <f>DS46+DS47-DS49</f>
        <v>0</v>
      </c>
      <c r="DT50" s="173" t="s">
        <v>251</v>
      </c>
      <c r="DU50" s="174">
        <f>SUM(DU46:DU48)</f>
        <v>203</v>
      </c>
      <c r="DW50" s="648">
        <f>DW46+DW47-DW49</f>
        <v>0</v>
      </c>
      <c r="DX50" s="173" t="s">
        <v>251</v>
      </c>
      <c r="DY50" s="174">
        <f>SUM(DY46:DY48)</f>
        <v>203</v>
      </c>
      <c r="EA50" s="648">
        <f>EA46+EA47-EA49</f>
        <v>0</v>
      </c>
      <c r="EB50" s="173" t="s">
        <v>251</v>
      </c>
      <c r="EC50" s="174">
        <f>SUM(EC46:EC48)</f>
        <v>203</v>
      </c>
    </row>
    <row r="51" spans="1:133">
      <c r="A51" s="151"/>
      <c r="B51" s="181"/>
      <c r="C51" s="169"/>
      <c r="D51" s="169"/>
      <c r="E51" s="186"/>
      <c r="F51" s="181"/>
      <c r="G51" s="169"/>
      <c r="H51" s="169"/>
      <c r="I51" s="186"/>
      <c r="J51" s="181"/>
      <c r="K51" s="169"/>
      <c r="L51" s="169"/>
      <c r="M51" s="186"/>
      <c r="N51" s="181"/>
      <c r="O51" s="169"/>
      <c r="P51" s="169"/>
      <c r="Q51" s="186"/>
      <c r="R51" s="181"/>
      <c r="S51" s="169"/>
      <c r="T51" s="169"/>
      <c r="U51" s="186"/>
      <c r="V51" s="181"/>
      <c r="W51" s="169"/>
      <c r="X51" s="169"/>
      <c r="Y51" s="186"/>
      <c r="Z51" s="181"/>
      <c r="AA51" s="169"/>
      <c r="AB51" s="169"/>
      <c r="AC51" s="186"/>
      <c r="AD51" s="181"/>
      <c r="AE51" s="181"/>
      <c r="AF51" s="181"/>
      <c r="AG51" s="181"/>
      <c r="AH51" s="181"/>
      <c r="AI51" s="181"/>
      <c r="AJ51" s="181"/>
      <c r="AK51" s="181"/>
      <c r="AL51" s="181"/>
      <c r="AM51" s="181"/>
      <c r="AN51" s="181"/>
      <c r="AO51" s="181"/>
      <c r="AP51" s="181"/>
      <c r="AQ51" s="180"/>
      <c r="AR51" s="181"/>
      <c r="AS51" s="182"/>
      <c r="AT51" s="151"/>
      <c r="AU51" s="180"/>
      <c r="AV51" s="181"/>
      <c r="AW51" s="182"/>
      <c r="AX51" s="151"/>
      <c r="AY51" s="180"/>
      <c r="AZ51" s="181"/>
      <c r="BA51" s="182"/>
      <c r="BB51" s="151"/>
      <c r="BC51" s="180"/>
      <c r="BD51" s="181"/>
      <c r="BE51" s="182"/>
      <c r="BF51" s="151"/>
      <c r="BG51" s="180"/>
      <c r="BH51" s="181"/>
      <c r="BI51" s="182"/>
      <c r="BJ51" s="151"/>
      <c r="BK51" s="180"/>
      <c r="BL51" s="181"/>
      <c r="BM51" s="182"/>
      <c r="BN51" s="151"/>
      <c r="BO51" s="180"/>
      <c r="BP51" s="181"/>
      <c r="BQ51" s="182"/>
      <c r="BR51" s="151"/>
      <c r="BS51" s="180"/>
      <c r="BT51" s="181"/>
      <c r="BU51" s="182"/>
      <c r="BV51" s="151"/>
      <c r="BW51" s="180"/>
      <c r="BX51" s="181"/>
      <c r="BY51" s="182"/>
      <c r="BZ51" s="151"/>
      <c r="CA51" s="180"/>
      <c r="CB51" s="181"/>
      <c r="CC51" s="182"/>
      <c r="CD51" s="148"/>
      <c r="CE51" s="180"/>
      <c r="CF51" s="181"/>
      <c r="CG51" s="182"/>
      <c r="CH51" s="148"/>
      <c r="CI51" s="180"/>
      <c r="CJ51" s="181"/>
      <c r="CK51" s="182"/>
      <c r="CL51" s="148"/>
      <c r="CM51" s="180"/>
      <c r="CN51" s="181"/>
      <c r="CO51" s="182"/>
      <c r="CP51" s="148"/>
      <c r="CQ51" s="180"/>
      <c r="CR51" s="181"/>
      <c r="CS51" s="182"/>
      <c r="CT51" s="148"/>
      <c r="CU51" s="180"/>
      <c r="CV51" s="181"/>
      <c r="CW51" s="182"/>
      <c r="CX51" s="148"/>
      <c r="CY51" s="180"/>
      <c r="CZ51" s="181"/>
      <c r="DA51" s="182"/>
      <c r="DC51" s="180"/>
      <c r="DD51" s="181"/>
      <c r="DE51" s="182"/>
      <c r="DG51" s="180"/>
      <c r="DH51" s="181"/>
      <c r="DI51" s="182"/>
      <c r="DK51" s="180"/>
      <c r="DL51" s="181"/>
      <c r="DM51" s="182"/>
      <c r="DO51" s="180"/>
      <c r="DP51" s="181"/>
      <c r="DQ51" s="182"/>
      <c r="DS51" s="180"/>
      <c r="DT51" s="181"/>
      <c r="DU51" s="182"/>
      <c r="DW51" s="180"/>
      <c r="DX51" s="181"/>
      <c r="DY51" s="182"/>
      <c r="EA51" s="180"/>
      <c r="EB51" s="181"/>
      <c r="EC51" s="182"/>
    </row>
    <row r="52" spans="1:133">
      <c r="A52" s="150" t="s">
        <v>579</v>
      </c>
      <c r="B52" s="169"/>
      <c r="C52" s="148"/>
      <c r="D52" s="148"/>
      <c r="E52" s="148"/>
      <c r="F52" s="148"/>
      <c r="G52" s="148"/>
      <c r="H52" s="148"/>
      <c r="I52" s="148"/>
      <c r="J52" s="148"/>
      <c r="K52" s="148"/>
      <c r="L52" s="148"/>
      <c r="M52" s="148"/>
      <c r="N52" s="148"/>
      <c r="O52" s="148"/>
      <c r="P52" s="148"/>
      <c r="Q52" s="148"/>
      <c r="R52" s="169"/>
      <c r="S52" s="169"/>
      <c r="T52" s="186"/>
      <c r="U52" s="181"/>
      <c r="V52" s="169"/>
      <c r="W52" s="169"/>
      <c r="X52" s="186"/>
      <c r="Y52" s="181"/>
      <c r="Z52" s="181"/>
      <c r="AA52" s="169"/>
      <c r="AB52" s="186"/>
      <c r="AC52" s="181"/>
      <c r="AD52" s="181"/>
      <c r="AE52" s="181"/>
      <c r="AF52" s="181"/>
      <c r="AG52" s="181"/>
      <c r="AH52" s="181"/>
      <c r="AI52" s="181"/>
      <c r="AJ52" s="181"/>
      <c r="AK52" s="181"/>
      <c r="AL52" s="181"/>
      <c r="AM52" s="181"/>
      <c r="AN52" s="181"/>
      <c r="AO52" s="181"/>
      <c r="AP52" s="181"/>
      <c r="AQ52" s="180"/>
      <c r="AR52" s="181"/>
      <c r="AS52" s="182"/>
      <c r="AT52" s="151"/>
      <c r="AU52" s="180"/>
      <c r="AV52" s="181"/>
      <c r="AW52" s="182"/>
      <c r="AX52" s="151"/>
      <c r="AY52" s="180"/>
      <c r="AZ52" s="181"/>
      <c r="BA52" s="182"/>
      <c r="BB52" s="151"/>
      <c r="BC52" s="180"/>
      <c r="BD52" s="181"/>
      <c r="BE52" s="182"/>
      <c r="BF52" s="151"/>
      <c r="BG52" s="180"/>
      <c r="BH52" s="181"/>
      <c r="BI52" s="182"/>
      <c r="BJ52" s="151"/>
      <c r="BK52" s="180"/>
      <c r="BL52" s="181"/>
      <c r="BM52" s="182"/>
      <c r="BN52" s="151"/>
      <c r="BO52" s="180"/>
      <c r="BP52" s="181"/>
      <c r="BQ52" s="182"/>
      <c r="BR52" s="151"/>
      <c r="BS52" s="180"/>
      <c r="BT52" s="181"/>
      <c r="BU52" s="182"/>
      <c r="BV52" s="151"/>
      <c r="BW52" s="180"/>
      <c r="BX52" s="181"/>
      <c r="BY52" s="182"/>
      <c r="BZ52" s="151"/>
      <c r="CA52" s="180"/>
      <c r="CB52" s="181"/>
      <c r="CC52" s="182"/>
      <c r="CD52" s="148"/>
      <c r="CE52" s="180"/>
      <c r="CF52" s="181"/>
      <c r="CG52" s="182"/>
      <c r="CH52" s="148"/>
      <c r="CI52" s="180"/>
      <c r="CJ52" s="181"/>
      <c r="CK52" s="182"/>
      <c r="CL52" s="148"/>
      <c r="CM52" s="180"/>
      <c r="CN52" s="181"/>
      <c r="CO52" s="182"/>
      <c r="CP52" s="148"/>
      <c r="CQ52" s="180"/>
      <c r="CR52" s="181"/>
      <c r="CS52" s="182"/>
      <c r="CT52" s="148"/>
      <c r="CU52" s="180"/>
      <c r="CV52" s="181"/>
      <c r="CW52" s="182"/>
      <c r="CX52" s="148"/>
      <c r="CY52" s="180"/>
      <c r="CZ52" s="181"/>
      <c r="DA52" s="182"/>
      <c r="DC52" s="180"/>
      <c r="DD52" s="181"/>
      <c r="DE52" s="182"/>
      <c r="DG52" s="180"/>
      <c r="DH52" s="181"/>
      <c r="DI52" s="182"/>
      <c r="DK52" s="180"/>
      <c r="DL52" s="181"/>
      <c r="DM52" s="182"/>
      <c r="DO52" s="180"/>
      <c r="DP52" s="181"/>
      <c r="DQ52" s="182"/>
      <c r="DS52" s="180"/>
      <c r="DT52" s="181"/>
      <c r="DU52" s="182"/>
      <c r="DW52" s="180"/>
      <c r="DX52" s="181"/>
      <c r="DY52" s="182"/>
      <c r="EA52" s="180"/>
      <c r="EB52" s="181"/>
      <c r="EC52" s="182"/>
    </row>
    <row r="53" spans="1:133">
      <c r="A53" s="151" t="s">
        <v>470</v>
      </c>
      <c r="B53" s="181"/>
      <c r="C53" s="169">
        <v>26</v>
      </c>
      <c r="D53" s="186">
        <v>6384.6153846153848</v>
      </c>
      <c r="E53" s="181">
        <v>166</v>
      </c>
      <c r="F53" s="169"/>
      <c r="G53" s="169">
        <v>27</v>
      </c>
      <c r="H53" s="186">
        <v>7111.1111111111104</v>
      </c>
      <c r="I53" s="181">
        <v>192</v>
      </c>
      <c r="J53" s="169"/>
      <c r="K53" s="169">
        <v>36</v>
      </c>
      <c r="L53" s="186">
        <v>7972.2222222222226</v>
      </c>
      <c r="M53" s="181">
        <v>287</v>
      </c>
      <c r="N53" s="169"/>
      <c r="O53" s="169">
        <v>40</v>
      </c>
      <c r="P53" s="186">
        <v>8295.35</v>
      </c>
      <c r="Q53" s="181">
        <v>331.81399999999996</v>
      </c>
      <c r="R53" s="169"/>
      <c r="S53" s="169">
        <v>49</v>
      </c>
      <c r="T53" s="169">
        <f>IF(U53=0,0,(U53/S53*1000))</f>
        <v>8277.8367346938776</v>
      </c>
      <c r="U53" s="169">
        <f>Q57</f>
        <v>405.61399999999998</v>
      </c>
      <c r="V53" s="169"/>
      <c r="W53" s="169">
        <f>S57</f>
        <v>67</v>
      </c>
      <c r="X53" s="169">
        <f>IF(Y53=0,0,(Y53/W53*1000))</f>
        <v>8068.8656716417918</v>
      </c>
      <c r="Y53" s="169">
        <f>U57</f>
        <v>540.61400000000003</v>
      </c>
      <c r="Z53" s="169"/>
      <c r="AA53" s="169">
        <f>W57</f>
        <v>100</v>
      </c>
      <c r="AB53" s="169">
        <f>IF(AC53=0,0,(AC53/AA53*1000))</f>
        <v>9615.6400000000012</v>
      </c>
      <c r="AC53" s="169">
        <f>Y57</f>
        <v>961.56400000000008</v>
      </c>
      <c r="AD53" s="181"/>
      <c r="AE53" s="181">
        <f>AE9+AE19</f>
        <v>127</v>
      </c>
      <c r="AF53" s="169">
        <f>AF9+AF19</f>
        <v>9675.3070866141734</v>
      </c>
      <c r="AG53" s="169">
        <f>AG9+AG19</f>
        <v>1228.7640000000001</v>
      </c>
      <c r="AH53" s="181"/>
      <c r="AI53" s="181">
        <f>AI9+AI20</f>
        <v>169</v>
      </c>
      <c r="AJ53" s="169">
        <f>IF(AK53=0,0,(AK53/AI53*1000))</f>
        <v>7301.7751479289946</v>
      </c>
      <c r="AK53" s="169">
        <v>1234</v>
      </c>
      <c r="AL53" s="181"/>
      <c r="AM53" s="181">
        <f>AM9+AM20</f>
        <v>205</v>
      </c>
      <c r="AN53" s="169">
        <f>IF(AO53=0,0,(AO53/AM53*1000))</f>
        <v>8734.9463414634174</v>
      </c>
      <c r="AO53" s="169">
        <f>AO9+AO19</f>
        <v>1790.6640000000002</v>
      </c>
      <c r="AP53" s="181"/>
      <c r="AQ53" s="180">
        <f>AQ9+AQ20</f>
        <v>264</v>
      </c>
      <c r="AR53" s="169">
        <f>IF(AS53=0,0,(AS53/AQ53*1000))</f>
        <v>8233.7651515151501</v>
      </c>
      <c r="AS53" s="174">
        <f>AS9+AS19+AS28</f>
        <v>2173.7139999999999</v>
      </c>
      <c r="AT53" s="181"/>
      <c r="AU53" s="180">
        <f>AU9+AU19+AU28</f>
        <v>354</v>
      </c>
      <c r="AV53" s="169">
        <f>IF(AW53=0,0,(AW53/AU53*1000))</f>
        <v>8049.0508474576291</v>
      </c>
      <c r="AW53" s="174">
        <f>AW9+AW19+AW28</f>
        <v>2849.3640000000005</v>
      </c>
      <c r="AX53" s="181"/>
      <c r="AY53" s="180">
        <f>AY9+AY19+AY28</f>
        <v>491</v>
      </c>
      <c r="AZ53" s="169">
        <f>IF(BA53=0,0,(BA53/AY53*1000))</f>
        <v>7481.4949083503061</v>
      </c>
      <c r="BA53" s="174">
        <f>BA9+BA19+BA28</f>
        <v>3673.4140000000002</v>
      </c>
      <c r="BB53" s="181"/>
      <c r="BC53" s="180">
        <f>BC9+BC19+BC28</f>
        <v>597</v>
      </c>
      <c r="BD53" s="169">
        <f>IF(BE53=0,0,(BE53/BC53*1000))</f>
        <v>7299.0184254606365</v>
      </c>
      <c r="BE53" s="174">
        <f>+BA57</f>
        <v>4357.5140000000001</v>
      </c>
      <c r="BF53" s="181"/>
      <c r="BG53" s="168">
        <f>BG9+BG19+BG28+BG38</f>
        <v>700</v>
      </c>
      <c r="BH53" s="169">
        <f>IF(BI53=0,0,(BI53/BG53*1000))</f>
        <v>7165.448571428572</v>
      </c>
      <c r="BI53" s="174">
        <f>BI9+BI19+BI28+BI38</f>
        <v>5015.8140000000003</v>
      </c>
      <c r="BJ53" s="181"/>
      <c r="BK53" s="168">
        <f>BK9+BK19+BK28+BK38</f>
        <v>788</v>
      </c>
      <c r="BL53" s="169">
        <f>IF(BM53=0,0,(BM53/BK53*1000))</f>
        <v>7094.3705583756346</v>
      </c>
      <c r="BM53" s="174">
        <f>BM9+BM19+BM28+BM38</f>
        <v>5590.3639999999996</v>
      </c>
      <c r="BN53" s="181"/>
      <c r="BO53" s="168">
        <f>BO9+BO19+BO28+BO38</f>
        <v>851</v>
      </c>
      <c r="BP53" s="169">
        <f>IF(BQ53=0,0,(BQ53/BO53*1000))</f>
        <v>7080.3337250293762</v>
      </c>
      <c r="BQ53" s="174">
        <f>BQ9+BQ19+BQ28+BQ38</f>
        <v>6025.3639999999996</v>
      </c>
      <c r="BR53" s="181"/>
      <c r="BS53" s="168">
        <f>BS9+BS19+BS28+BS38+BS46</f>
        <v>944</v>
      </c>
      <c r="BT53" s="169">
        <f>IF(BU53=0,0,(BU53/BS53*1000))</f>
        <v>7090.4279661016944</v>
      </c>
      <c r="BU53" s="174">
        <f>BU9+BU19+BU28+BU38</f>
        <v>6693.3639999999996</v>
      </c>
      <c r="BV53" s="181"/>
      <c r="BW53" s="168">
        <f>BW9+BW19+BW28+BW38+BW46</f>
        <v>1035</v>
      </c>
      <c r="BX53" s="169">
        <f>IF(BY53=0,0,(BY53/BW53*1000))</f>
        <v>7089.2405797101437</v>
      </c>
      <c r="BY53" s="174">
        <f>BU57</f>
        <v>7337.3639999999996</v>
      </c>
      <c r="BZ53" s="181"/>
      <c r="CA53" s="168">
        <f>CA9+CA19+CA28+CA38+CA46</f>
        <v>1125</v>
      </c>
      <c r="CB53" s="169">
        <f>IF(CC53=0,0,(CC53/CA53*1000))</f>
        <v>7130.9902222222217</v>
      </c>
      <c r="CC53" s="174">
        <f>CC9+CC19+CC28+CC38+CC46</f>
        <v>8022.3639999999996</v>
      </c>
      <c r="CD53" s="148"/>
      <c r="CE53" s="168">
        <f>CE9+CE19+CE28+CE38+CE46</f>
        <v>1096</v>
      </c>
      <c r="CF53" s="169">
        <f>IF(CG53=0,0,(CG53/CE53*1000))</f>
        <v>7159.8394160583939</v>
      </c>
      <c r="CG53" s="174">
        <f>CG9+CG19+CG28+CG38+CG46</f>
        <v>7847.1839999999993</v>
      </c>
      <c r="CH53" s="148"/>
      <c r="CI53" s="168">
        <f>CI9+CI19+CI28+CI38+CI46</f>
        <v>1070</v>
      </c>
      <c r="CJ53" s="169">
        <f>IF(CK53=0,0,(CK53/CI53*1000))</f>
        <v>7078.349532710281</v>
      </c>
      <c r="CK53" s="174">
        <f>CK9+CK19+CK28+CK38</f>
        <v>7573.8339999999998</v>
      </c>
      <c r="CL53" s="148"/>
      <c r="CM53" s="168">
        <f>CM9+CM19+CM28+CM38+CM46</f>
        <v>1040</v>
      </c>
      <c r="CN53" s="169">
        <f>IF(CO53=0,0,(CO53/CM53*1000))</f>
        <v>7268.7826923076918</v>
      </c>
      <c r="CO53" s="174">
        <f>CO9+CO19+CO28+CO38</f>
        <v>7559.5339999999997</v>
      </c>
      <c r="CP53" s="148"/>
      <c r="CQ53" s="168">
        <f>CQ9+CQ19+CQ28+CQ38+CQ46</f>
        <v>1040</v>
      </c>
      <c r="CR53" s="169">
        <f>IF(CS53=0,0,(CS53/CQ53*1000))</f>
        <v>7380.6096153846138</v>
      </c>
      <c r="CS53" s="174">
        <f>CS9+CS19+CS28+CS38</f>
        <v>7675.8339999999989</v>
      </c>
      <c r="CT53" s="148"/>
      <c r="CU53" s="168">
        <f>CU9+CU19+CU28+CU38+CU46</f>
        <v>1005</v>
      </c>
      <c r="CV53" s="169">
        <f>IF(CW53=0,0,(CW53/CU53*1000))</f>
        <v>7578.8398009950233</v>
      </c>
      <c r="CW53" s="174">
        <f>CW9+CW19+CW28+CW38</f>
        <v>7616.7339999999986</v>
      </c>
      <c r="CX53" s="148"/>
      <c r="CY53" s="168">
        <f>CY9+CY19+CY28+CY38+CY46</f>
        <v>961</v>
      </c>
      <c r="CZ53" s="169">
        <f>IF(DA53=0,0,(DA53/CY53*1000))</f>
        <v>7146.6534859521325</v>
      </c>
      <c r="DA53" s="174">
        <f>DA9+DA19+DA28+DA38</f>
        <v>6867.9339999999993</v>
      </c>
      <c r="DC53" s="168">
        <f>DC9+DC19+DC28+DC38+DC46</f>
        <v>932</v>
      </c>
      <c r="DD53" s="169">
        <f>IF(DE53=0,0,(DE53/DC53*1000))</f>
        <v>7824.0708154506437</v>
      </c>
      <c r="DE53" s="174">
        <f>DE9+DE19+DE28+DE38</f>
        <v>7292.0339999999997</v>
      </c>
      <c r="DG53" s="168">
        <f>DG9+DG19+DG28+DG38+DG46</f>
        <v>898</v>
      </c>
      <c r="DH53" s="169">
        <f>IF(DI53=0,0,(DI53/DG53*1000))</f>
        <v>7825.873051224944</v>
      </c>
      <c r="DI53" s="174">
        <f>DI9+DI19+DI28+DI38</f>
        <v>7027.634</v>
      </c>
      <c r="DK53" s="168">
        <f>DK9+DK19+DK28+DK38+DK46</f>
        <v>868</v>
      </c>
      <c r="DL53" s="169">
        <f>IF(DM53=0,0,(DM53/DK53*1000))</f>
        <v>7845.1428571428569</v>
      </c>
      <c r="DM53" s="174">
        <f>DM9+DM19+DM28+DM38</f>
        <v>6809.5839999999998</v>
      </c>
      <c r="DO53" s="168">
        <f>DO9+DO19+DO28+DO38+DO46</f>
        <v>834</v>
      </c>
      <c r="DP53" s="169">
        <f>IF(DQ53=0,0,(DQ53/DO53*1000))</f>
        <v>7911.851318944844</v>
      </c>
      <c r="DQ53" s="174">
        <f>DQ9+DQ19+DQ28+DQ38</f>
        <v>6598.4840000000004</v>
      </c>
      <c r="DS53" s="168">
        <f>DS9+DS19+DS28+DS38+DS46</f>
        <v>788</v>
      </c>
      <c r="DT53" s="169">
        <f>IF(DU53=0,0,(DU53/DS53*1000))</f>
        <v>7930.0558375634519</v>
      </c>
      <c r="DU53" s="174">
        <f>DU9+DU19+DU28+DU38</f>
        <v>6248.884</v>
      </c>
      <c r="DW53" s="168">
        <f>DW9+DW19+DW28+DW38+DW46</f>
        <v>752</v>
      </c>
      <c r="DX53" s="169">
        <f>IF(DY53=0,0,(DY53/DW53*1000))</f>
        <v>7961.8138297872338</v>
      </c>
      <c r="DY53" s="174">
        <f>DY9+DY19+DY28+DY38</f>
        <v>5987.2839999999997</v>
      </c>
      <c r="EA53" s="168">
        <f>EA9+EA19+EA28+EA38+EA46</f>
        <v>728</v>
      </c>
      <c r="EB53" s="169">
        <f>IF(EC53=0,0,(EC53/EA53*1000))</f>
        <v>7990.7747252747249</v>
      </c>
      <c r="EC53" s="174">
        <f>EC9+EC19+EC28+EC38</f>
        <v>5817.2839999999997</v>
      </c>
    </row>
    <row r="54" spans="1:133">
      <c r="A54" s="151" t="s">
        <v>565</v>
      </c>
      <c r="B54" s="181"/>
      <c r="C54" s="169">
        <v>5</v>
      </c>
      <c r="D54" s="169">
        <v>9475</v>
      </c>
      <c r="E54" s="169">
        <v>47.375</v>
      </c>
      <c r="F54" s="169"/>
      <c r="G54" s="169">
        <v>10</v>
      </c>
      <c r="H54" s="169">
        <v>10034.5</v>
      </c>
      <c r="I54" s="169">
        <v>100.345</v>
      </c>
      <c r="J54" s="169"/>
      <c r="K54" s="169">
        <v>5</v>
      </c>
      <c r="L54" s="169">
        <v>9600</v>
      </c>
      <c r="M54" s="169">
        <v>48</v>
      </c>
      <c r="N54" s="169"/>
      <c r="O54" s="169">
        <v>9</v>
      </c>
      <c r="P54" s="169">
        <v>8200</v>
      </c>
      <c r="Q54" s="169">
        <v>73.8</v>
      </c>
      <c r="R54" s="169"/>
      <c r="S54" s="169">
        <v>20</v>
      </c>
      <c r="T54" s="169">
        <v>7550</v>
      </c>
      <c r="U54" s="169">
        <f>S54*T54/1000</f>
        <v>151</v>
      </c>
      <c r="V54" s="169"/>
      <c r="W54" s="169">
        <v>33</v>
      </c>
      <c r="X54" s="169">
        <v>11000</v>
      </c>
      <c r="Y54" s="169">
        <f>W54*X54/1000</f>
        <v>363</v>
      </c>
      <c r="Z54" s="169"/>
      <c r="AA54" s="169">
        <v>29</v>
      </c>
      <c r="AB54" s="169">
        <v>9800</v>
      </c>
      <c r="AC54" s="169">
        <f>AA54*AB54/1000</f>
        <v>284.2</v>
      </c>
      <c r="AD54" s="181"/>
      <c r="AE54" s="181">
        <f>AE10+AE20</f>
        <v>30</v>
      </c>
      <c r="AF54" s="169">
        <f>+AG54/AE54*1000</f>
        <v>10150</v>
      </c>
      <c r="AG54" s="169">
        <f>AG10+AG20</f>
        <v>304.5</v>
      </c>
      <c r="AH54" s="181"/>
      <c r="AI54" s="181">
        <f>AI10+AI20</f>
        <v>41</v>
      </c>
      <c r="AJ54" s="169">
        <f>+AK54/AI54*1000</f>
        <v>6753.6585365853653</v>
      </c>
      <c r="AK54" s="190">
        <f>AK10+AK20</f>
        <v>276.89999999999998</v>
      </c>
      <c r="AL54" s="181"/>
      <c r="AM54" s="181">
        <f>AM10+AM20</f>
        <v>54</v>
      </c>
      <c r="AN54" s="169">
        <f>+AO54/AM54*1000</f>
        <v>7040.7407407407409</v>
      </c>
      <c r="AO54" s="190">
        <f>AO10+AO20</f>
        <v>380.20000000000005</v>
      </c>
      <c r="AP54" s="181"/>
      <c r="AQ54" s="180">
        <f>AQ10+AQ20+AQ29</f>
        <v>104</v>
      </c>
      <c r="AR54" s="169">
        <f>+AS54/AQ54*1000</f>
        <v>6469.2307692307686</v>
      </c>
      <c r="AS54" s="183">
        <f>AS10+AS20+AS29</f>
        <v>672.8</v>
      </c>
      <c r="AT54" s="181"/>
      <c r="AU54" s="180">
        <f>AU10+AU20+AU29</f>
        <v>138</v>
      </c>
      <c r="AV54" s="169">
        <f>+AW54/AU54*1000</f>
        <v>5930.072463768116</v>
      </c>
      <c r="AW54" s="183">
        <f>AW10+AW20+AW29</f>
        <v>818.35</v>
      </c>
      <c r="AX54" s="181"/>
      <c r="AY54" s="180">
        <f>AY10+AY20+AY29</f>
        <v>112</v>
      </c>
      <c r="AZ54" s="169">
        <f>+BA54/AY54*1000</f>
        <v>6517.8571428571431</v>
      </c>
      <c r="BA54" s="183">
        <f>BA10+BA20+BA29</f>
        <v>730</v>
      </c>
      <c r="BB54" s="181"/>
      <c r="BC54" s="180">
        <f>BC10+BC20+BC29</f>
        <v>106</v>
      </c>
      <c r="BD54" s="169">
        <f>+BE54/BC54*1000</f>
        <v>6413.2075471698136</v>
      </c>
      <c r="BE54" s="183">
        <f>BE10+BE20+BE29</f>
        <v>679.80000000000018</v>
      </c>
      <c r="BF54" s="181"/>
      <c r="BG54" s="168">
        <f>BG10+BG20+BG29+BG39</f>
        <v>109</v>
      </c>
      <c r="BH54" s="169">
        <f>+BI54/BG54*1000</f>
        <v>6755.6330275229366</v>
      </c>
      <c r="BI54" s="183">
        <f>BI10+BI20+BI29+BI39</f>
        <v>736.36400000000003</v>
      </c>
      <c r="BJ54" s="181"/>
      <c r="BK54" s="168">
        <f>BK10+BK20+BK29+BK39</f>
        <v>81</v>
      </c>
      <c r="BL54" s="169">
        <f>+BM54/BK54*1000</f>
        <v>7246.9135802469136</v>
      </c>
      <c r="BM54" s="183">
        <f>BM10+BM20+BM29+BM39</f>
        <v>587</v>
      </c>
      <c r="BN54" s="181"/>
      <c r="BO54" s="168">
        <f>BO10+BO20+BO29+BO39</f>
        <v>104</v>
      </c>
      <c r="BP54" s="169">
        <f>+BQ54/BO54*1000</f>
        <v>6846.1538461538457</v>
      </c>
      <c r="BQ54" s="183">
        <f>BQ10+BQ20+BQ29+BQ39</f>
        <v>712</v>
      </c>
      <c r="BR54" s="181"/>
      <c r="BS54" s="168">
        <f>BS10+BS20+BS29+BS39+BS47</f>
        <v>99</v>
      </c>
      <c r="BT54" s="169">
        <f>+BU54/BS54*1000</f>
        <v>7141.4141414141413</v>
      </c>
      <c r="BU54" s="183">
        <f>BU10+BU20+BU29+BU39+BU47</f>
        <v>707</v>
      </c>
      <c r="BV54" s="181"/>
      <c r="BW54" s="168">
        <f>BW10+BW20+BW29+BW39+BW47</f>
        <v>97</v>
      </c>
      <c r="BX54" s="169">
        <f>+BY54/BW54*1000</f>
        <v>7226.8041237113403</v>
      </c>
      <c r="BY54" s="183">
        <f>BY10+BY20+BY29+BY39+BY47</f>
        <v>701</v>
      </c>
      <c r="BZ54" s="181"/>
      <c r="CA54" s="168">
        <f>CA10+CA11+CA20+CA29+CA39+CA47+CA30</f>
        <v>21</v>
      </c>
      <c r="CB54" s="169">
        <f>+CC54/CA54*1000</f>
        <v>6957.1428571428569</v>
      </c>
      <c r="CC54" s="183">
        <f>CC10+CC20+CC29+CC39+CC47</f>
        <v>146.1</v>
      </c>
      <c r="CD54" s="148"/>
      <c r="CE54" s="168">
        <f>CE10+CE11+CE20+CE29+CE39+CE47</f>
        <v>36</v>
      </c>
      <c r="CF54" s="169">
        <f>+CG54/CE54*1000</f>
        <v>7331.9444444444443</v>
      </c>
      <c r="CG54" s="183">
        <f>CG10+CG20+CG29+CG39+CG47</f>
        <v>263.95</v>
      </c>
      <c r="CH54" s="148"/>
      <c r="CI54" s="168">
        <f>CI10+CI11+CI20+CI29+CI39+CI47</f>
        <v>44</v>
      </c>
      <c r="CJ54" s="169">
        <f>+CK54/CI54*1000</f>
        <v>7447.7272727272721</v>
      </c>
      <c r="CK54" s="183">
        <f>CK10+CK20+CK29+CK39+CK47</f>
        <v>327.7</v>
      </c>
      <c r="CL54" s="148"/>
      <c r="CM54" s="168">
        <f>CM10+CM11+CM20+CM29+CM39+CM47</f>
        <v>47</v>
      </c>
      <c r="CN54" s="169">
        <f>+CO54/CM54*1000</f>
        <v>7302.1276595744675</v>
      </c>
      <c r="CO54" s="183">
        <f>CO10+CO20+CO29+CO39+CO47</f>
        <v>343.2</v>
      </c>
      <c r="CP54" s="148"/>
      <c r="CQ54" s="168">
        <f>CQ10+CQ11+CQ20+CQ29+CQ39+CQ47</f>
        <v>28</v>
      </c>
      <c r="CR54" s="169">
        <f>+CS54/CQ54*1000</f>
        <v>8157.1428571428569</v>
      </c>
      <c r="CS54" s="183">
        <f>CS10+CS20+CS29+CS39+CS47</f>
        <v>228.39999999999998</v>
      </c>
      <c r="CT54" s="148"/>
      <c r="CU54" s="168">
        <f>CU10+CU11+CU20+CU29+CU39+CU47</f>
        <v>21</v>
      </c>
      <c r="CV54" s="169">
        <f>+CW54/CU54*1000</f>
        <v>8209.5238095238092</v>
      </c>
      <c r="CW54" s="183">
        <f>CW10+CW20+CW29+CW39+CW47</f>
        <v>172.39999999999998</v>
      </c>
      <c r="CX54" s="148"/>
      <c r="CY54" s="168">
        <f>CY10+CY11+CY20+CY29+CY39+CY47</f>
        <v>30</v>
      </c>
      <c r="CZ54" s="169">
        <f>+DA54/CY54*1000</f>
        <v>8533.3333333333339</v>
      </c>
      <c r="DA54" s="183">
        <f>DA10+DA20+DA29+DA39+DA47</f>
        <v>256</v>
      </c>
      <c r="DC54" s="168">
        <f>DC10+DC11+DC20+DC29+DC39+DC47</f>
        <v>19</v>
      </c>
      <c r="DD54" s="169">
        <f>+DE54/DC54*1000</f>
        <v>8884.21052631579</v>
      </c>
      <c r="DE54" s="183">
        <f>DE10+DE20+DE29+DE39+DE47</f>
        <v>168.8</v>
      </c>
      <c r="DG54" s="168">
        <f>DG10+DG11+DG20+DG29+DG39+DG47</f>
        <v>9</v>
      </c>
      <c r="DH54" s="169">
        <f>+DI54/DG54*1000</f>
        <v>8266.6666666666679</v>
      </c>
      <c r="DI54" s="183">
        <f>DI10+DI20+DI29+DI39+DI47</f>
        <v>74.400000000000006</v>
      </c>
      <c r="DK54" s="168">
        <f>DK10+DK11+DK20+DK29+DK39+DK47</f>
        <v>21</v>
      </c>
      <c r="DL54" s="169">
        <f>+DM54/DK54*1000</f>
        <v>8304.7619047619046</v>
      </c>
      <c r="DM54" s="183">
        <f>DM10+DM20+DM29+DM39+DM47</f>
        <v>174.4</v>
      </c>
      <c r="DO54" s="168">
        <f>DO10+DO11+DO20+DO29+DO39+DO47</f>
        <v>4</v>
      </c>
      <c r="DP54" s="169">
        <f>+DQ54/DO54*1000</f>
        <v>8600</v>
      </c>
      <c r="DQ54" s="183">
        <f>DQ10+DQ20+DQ29+DQ39+DQ47</f>
        <v>34.4</v>
      </c>
      <c r="DS54" s="168">
        <f>DS10+DS11+DS20+DS29+DS39+DS47</f>
        <v>4</v>
      </c>
      <c r="DT54" s="169">
        <f>+DU54/DS54*1000</f>
        <v>8600</v>
      </c>
      <c r="DU54" s="183">
        <f>DU10+DU20+DU29+DU39+DU47</f>
        <v>34.4</v>
      </c>
      <c r="DW54" s="168">
        <f>DW10+DW11+DW20+DW29+DW39+DW47</f>
        <v>1</v>
      </c>
      <c r="DX54" s="169">
        <f>+DY54/DW54*1000</f>
        <v>8000</v>
      </c>
      <c r="DY54" s="183">
        <f>DY10+DY20+DY29+DY39+DY47</f>
        <v>8</v>
      </c>
      <c r="EA54" s="168">
        <f>EA10+EA11+EA20+EA29+EA39+EA47</f>
        <v>1</v>
      </c>
      <c r="EB54" s="169">
        <f>+EC54/EA54*1000</f>
        <v>8000</v>
      </c>
      <c r="EC54" s="183">
        <f>EC10+EC20+EC29+EC39+EC47</f>
        <v>8</v>
      </c>
    </row>
    <row r="55" spans="1:133">
      <c r="A55" s="148" t="s">
        <v>566</v>
      </c>
      <c r="B55" s="155"/>
      <c r="C55" s="169">
        <v>0</v>
      </c>
      <c r="D55" s="169">
        <v>0</v>
      </c>
      <c r="E55" s="169">
        <v>0</v>
      </c>
      <c r="F55" s="169"/>
      <c r="G55" s="169">
        <v>0</v>
      </c>
      <c r="H55" s="169">
        <v>0</v>
      </c>
      <c r="I55" s="169">
        <v>0</v>
      </c>
      <c r="J55" s="169"/>
      <c r="K55" s="169">
        <v>3</v>
      </c>
      <c r="L55" s="169">
        <v>909</v>
      </c>
      <c r="M55" s="169">
        <v>2.7269999999999999</v>
      </c>
      <c r="N55" s="169"/>
      <c r="O55" s="169">
        <v>0</v>
      </c>
      <c r="P55" s="169">
        <v>0</v>
      </c>
      <c r="Q55" s="169">
        <v>0</v>
      </c>
      <c r="R55" s="154"/>
      <c r="S55" s="154">
        <v>3</v>
      </c>
      <c r="T55" s="154">
        <v>0</v>
      </c>
      <c r="U55" s="154">
        <f>T55*S55/1000</f>
        <v>0</v>
      </c>
      <c r="V55" s="154"/>
      <c r="W55" s="154">
        <v>19</v>
      </c>
      <c r="X55" s="154">
        <v>3050</v>
      </c>
      <c r="Y55" s="154">
        <f>X55*W55/1000</f>
        <v>57.95</v>
      </c>
      <c r="Z55" s="154"/>
      <c r="AA55" s="154">
        <v>1</v>
      </c>
      <c r="AB55" s="154">
        <v>0</v>
      </c>
      <c r="AC55" s="154">
        <f>AB55*AA55/1000</f>
        <v>0</v>
      </c>
      <c r="AD55" s="155"/>
      <c r="AE55" s="155">
        <f>AE12+AE21</f>
        <v>0</v>
      </c>
      <c r="AF55" s="155"/>
      <c r="AG55" s="154">
        <f>AG12+AG21</f>
        <v>-4</v>
      </c>
      <c r="AH55" s="155"/>
      <c r="AI55" s="155">
        <f>AI12+AI21</f>
        <v>0</v>
      </c>
      <c r="AJ55" s="155"/>
      <c r="AK55" s="154">
        <f>AK12+AK21</f>
        <v>0</v>
      </c>
      <c r="AL55" s="155"/>
      <c r="AM55" s="155">
        <f>AM12+AM21</f>
        <v>1</v>
      </c>
      <c r="AN55" s="155"/>
      <c r="AO55" s="154">
        <f>AO12+AO21</f>
        <v>2.85</v>
      </c>
      <c r="AP55" s="155"/>
      <c r="AQ55" s="180">
        <f>AQ12+AQ21+AQ31</f>
        <v>1</v>
      </c>
      <c r="AR55" s="181"/>
      <c r="AS55" s="174">
        <f>AS12+AS21+AS31</f>
        <v>2.85</v>
      </c>
      <c r="AT55" s="181"/>
      <c r="AU55" s="180">
        <f>AU12+AU21+AU31</f>
        <v>2</v>
      </c>
      <c r="AV55" s="181"/>
      <c r="AW55" s="174">
        <f>AW12+AW21+AW31</f>
        <v>5.7</v>
      </c>
      <c r="AX55" s="181"/>
      <c r="AY55" s="180">
        <f>AY12+AY21+AY31</f>
        <v>0</v>
      </c>
      <c r="AZ55" s="181"/>
      <c r="BA55" s="174">
        <f>BA12+BA21+BA31</f>
        <v>0</v>
      </c>
      <c r="BB55" s="181"/>
      <c r="BC55" s="180">
        <f>BC12+BC21+BC31</f>
        <v>2</v>
      </c>
      <c r="BD55" s="181"/>
      <c r="BE55" s="174">
        <f>BE12+BE21+BE31</f>
        <v>1.1000000000000001</v>
      </c>
      <c r="BF55" s="181"/>
      <c r="BG55" s="168">
        <f>BG12+BG21+BG31+BG40</f>
        <v>2</v>
      </c>
      <c r="BH55" s="181"/>
      <c r="BI55" s="174">
        <f>BI12+BI21+BI31+BI40</f>
        <v>5.7</v>
      </c>
      <c r="BJ55" s="181"/>
      <c r="BK55" s="168">
        <f>BK12+BK21+BK31+BK40</f>
        <v>4</v>
      </c>
      <c r="BL55" s="181"/>
      <c r="BM55" s="174">
        <f>BM12+BM21+BM31+BM40</f>
        <v>-12</v>
      </c>
      <c r="BN55" s="181"/>
      <c r="BO55" s="168">
        <f>BO12+BO21+BO31+BO40</f>
        <v>2</v>
      </c>
      <c r="BP55" s="181"/>
      <c r="BQ55" s="174">
        <f>BQ12+BQ21+BQ31+BQ40</f>
        <v>33</v>
      </c>
      <c r="BR55" s="181"/>
      <c r="BS55" s="168">
        <f>BS12+BS21+BS31+BS40</f>
        <v>-2</v>
      </c>
      <c r="BT55" s="181"/>
      <c r="BU55" s="174">
        <f>BU12+BU21+BU31+BU40</f>
        <v>-11</v>
      </c>
      <c r="BV55" s="181"/>
      <c r="BW55" s="168">
        <f>BW12+BW21+BW31+BW40</f>
        <v>3</v>
      </c>
      <c r="BX55" s="181"/>
      <c r="BY55" s="174">
        <f>BY12+BY21+BY31+BY40</f>
        <v>54</v>
      </c>
      <c r="BZ55" s="181"/>
      <c r="CA55" s="168">
        <f>CA12+CA21+CA31+CA40</f>
        <v>1</v>
      </c>
      <c r="CB55" s="181"/>
      <c r="CC55" s="174">
        <f>CC12+CC21+CC31+CC40</f>
        <v>3.5999999999999996</v>
      </c>
      <c r="CD55" s="148"/>
      <c r="CE55" s="168">
        <f>CE12+CE21+CE31+CE40</f>
        <v>0</v>
      </c>
      <c r="CF55" s="181"/>
      <c r="CG55" s="174">
        <f>CG12+CG21+CG31+CG40+CG48</f>
        <v>10</v>
      </c>
      <c r="CH55" s="148"/>
      <c r="CI55" s="168">
        <f>CI12+CI21+CI31+CI40</f>
        <v>0</v>
      </c>
      <c r="CJ55" s="181"/>
      <c r="CK55" s="174">
        <f>CK12+CK21+CK31+CK40</f>
        <v>0</v>
      </c>
      <c r="CL55" s="148"/>
      <c r="CM55" s="168">
        <f>CM12+CM21+CM31+CM40</f>
        <v>0</v>
      </c>
      <c r="CN55" s="181"/>
      <c r="CO55" s="174">
        <f>CO12+CO21+CO31+CO40</f>
        <v>0</v>
      </c>
      <c r="CP55" s="148"/>
      <c r="CQ55" s="168">
        <f>CQ12+CQ21+CQ31+CQ40</f>
        <v>0</v>
      </c>
      <c r="CR55" s="181"/>
      <c r="CS55" s="174">
        <f>CS12+CS21+CS31+CS40</f>
        <v>0</v>
      </c>
      <c r="CT55" s="148"/>
      <c r="CU55" s="168">
        <f>CU12+CU21+CU31+CU40</f>
        <v>0</v>
      </c>
      <c r="CV55" s="181"/>
      <c r="CW55" s="174">
        <f>CW12+CW21+CW31+CW40</f>
        <v>0</v>
      </c>
      <c r="CX55" s="148"/>
      <c r="CY55" s="168">
        <f>CY12+CY21+CY31+CY40</f>
        <v>0</v>
      </c>
      <c r="CZ55" s="181"/>
      <c r="DA55" s="174">
        <f>DA12+DA21+DA31+DA40</f>
        <v>0</v>
      </c>
      <c r="DC55" s="168">
        <f>DC12+DC21+DC31+DC40</f>
        <v>0</v>
      </c>
      <c r="DD55" s="181"/>
      <c r="DE55" s="174">
        <f>DE12+DE21+DE31+DE40</f>
        <v>0</v>
      </c>
      <c r="DG55" s="168">
        <f>DG12+DG21+DG31+DG40</f>
        <v>42</v>
      </c>
      <c r="DH55" s="181"/>
      <c r="DI55" s="174">
        <f>DI12+DI21+DI31+DI40</f>
        <v>19.95</v>
      </c>
      <c r="DK55" s="168">
        <f>DK12+DK21+DK31+DK40</f>
        <v>50</v>
      </c>
      <c r="DL55" s="181"/>
      <c r="DM55" s="174">
        <f>DM12+DM21+DM31+DM40</f>
        <v>28.5</v>
      </c>
      <c r="DO55" s="168">
        <f>DO12+DO21+DO31+DO40</f>
        <v>0</v>
      </c>
      <c r="DP55" s="181"/>
      <c r="DQ55" s="174">
        <f>DQ12+DQ21+DQ31+DQ40</f>
        <v>0</v>
      </c>
      <c r="DS55" s="168">
        <f>DS12+DS21+DS31+DS40</f>
        <v>0</v>
      </c>
      <c r="DT55" s="181"/>
      <c r="DU55" s="174">
        <f>DU12+DU21+DU31+DU40</f>
        <v>0</v>
      </c>
      <c r="DW55" s="168">
        <f>DW12+DW21+DW31+DW40</f>
        <v>0</v>
      </c>
      <c r="DX55" s="181"/>
      <c r="DY55" s="174">
        <f>DY12+DY21+DY31+DY40</f>
        <v>0</v>
      </c>
      <c r="EA55" s="168">
        <f>EA12+EA21+EA31+EA40</f>
        <v>0</v>
      </c>
      <c r="EB55" s="181"/>
      <c r="EC55" s="174">
        <f>EC12+EC21+EC31+EC40</f>
        <v>0</v>
      </c>
    </row>
    <row r="56" spans="1:133">
      <c r="A56" s="148" t="s">
        <v>567</v>
      </c>
      <c r="B56" s="155"/>
      <c r="C56" s="154">
        <v>-4</v>
      </c>
      <c r="D56" s="154">
        <v>5343.75</v>
      </c>
      <c r="E56" s="154">
        <v>-21.375</v>
      </c>
      <c r="F56" s="154"/>
      <c r="G56" s="154">
        <v>-1</v>
      </c>
      <c r="H56" s="154">
        <v>5345</v>
      </c>
      <c r="I56" s="154">
        <v>-5.3449999999999998</v>
      </c>
      <c r="J56" s="154"/>
      <c r="K56" s="154">
        <v>-1</v>
      </c>
      <c r="L56" s="154">
        <v>5913</v>
      </c>
      <c r="M56" s="154">
        <v>-5.9130000000000003</v>
      </c>
      <c r="N56" s="154"/>
      <c r="O56" s="154">
        <v>0</v>
      </c>
      <c r="P56" s="154">
        <v>5650</v>
      </c>
      <c r="Q56" s="154">
        <v>0</v>
      </c>
      <c r="R56" s="154"/>
      <c r="S56" s="154">
        <v>-2</v>
      </c>
      <c r="T56" s="154">
        <v>8000</v>
      </c>
      <c r="U56" s="154">
        <f>S56*T56/1000</f>
        <v>-16</v>
      </c>
      <c r="V56" s="154"/>
      <c r="W56" s="154">
        <v>0</v>
      </c>
      <c r="X56" s="154">
        <v>0</v>
      </c>
      <c r="Y56" s="154">
        <f>W56*X56/1000</f>
        <v>0</v>
      </c>
      <c r="Z56" s="154"/>
      <c r="AA56" s="154">
        <v>-2</v>
      </c>
      <c r="AB56" s="154">
        <v>8500</v>
      </c>
      <c r="AC56" s="154">
        <f>AA56*AB56/1000</f>
        <v>-17</v>
      </c>
      <c r="AD56" s="155"/>
      <c r="AE56" s="154">
        <f>AE13+AE22</f>
        <v>-1</v>
      </c>
      <c r="AF56" s="155"/>
      <c r="AG56" s="154">
        <f>AG13+AG22</f>
        <v>-7.5</v>
      </c>
      <c r="AH56" s="155"/>
      <c r="AI56" s="154">
        <f>AI13+AI22</f>
        <v>-1</v>
      </c>
      <c r="AJ56" s="155"/>
      <c r="AK56" s="154">
        <f>AK13+AK22</f>
        <v>-8</v>
      </c>
      <c r="AL56" s="155"/>
      <c r="AM56" s="154">
        <f>AM13+AM22</f>
        <v>0</v>
      </c>
      <c r="AN56" s="155"/>
      <c r="AO56" s="154">
        <f>AO13+AO22</f>
        <v>0</v>
      </c>
      <c r="AP56" s="155"/>
      <c r="AQ56" s="168">
        <f>AQ13+AQ22+AQ32</f>
        <v>0</v>
      </c>
      <c r="AR56" s="181"/>
      <c r="AS56" s="174">
        <f>AS13+AS22+AS32</f>
        <v>0</v>
      </c>
      <c r="AT56" s="181"/>
      <c r="AU56" s="168">
        <f>AU13+AU22+AU32</f>
        <v>-1</v>
      </c>
      <c r="AV56" s="181"/>
      <c r="AW56" s="174">
        <f>AW13+AW22+AW32</f>
        <v>0</v>
      </c>
      <c r="AX56" s="181"/>
      <c r="AY56" s="168">
        <f>AY13+AY22+AY32</f>
        <v>-6</v>
      </c>
      <c r="AZ56" s="181"/>
      <c r="BA56" s="174">
        <f>BA13+BA22+BA32</f>
        <v>-11.299999999999999</v>
      </c>
      <c r="BB56" s="181"/>
      <c r="BC56" s="168">
        <f>BC13+BC22+BC32</f>
        <v>-3</v>
      </c>
      <c r="BD56" s="181"/>
      <c r="BE56" s="174">
        <f>BE13+BE22+BE32</f>
        <v>-21.6</v>
      </c>
      <c r="BF56" s="181"/>
      <c r="BG56" s="168">
        <f>BG13+BG22+BG32+BG41</f>
        <v>-21</v>
      </c>
      <c r="BH56" s="181"/>
      <c r="BI56" s="174">
        <f>BI13+BI22+BI32+BI41</f>
        <v>-167.51400000000007</v>
      </c>
      <c r="BJ56" s="181"/>
      <c r="BK56" s="168">
        <f>BK13+BK22+BK32+BK41</f>
        <v>-22</v>
      </c>
      <c r="BL56" s="181"/>
      <c r="BM56" s="174">
        <f>BM13+BM22+BM32+BM41</f>
        <v>-140</v>
      </c>
      <c r="BN56" s="181"/>
      <c r="BO56" s="168">
        <f>BO13+BO22+BO32+BO41</f>
        <v>-13</v>
      </c>
      <c r="BP56" s="181"/>
      <c r="BQ56" s="174">
        <f>BQ13+BQ22+BQ32+BQ41</f>
        <v>-77</v>
      </c>
      <c r="BR56" s="181"/>
      <c r="BS56" s="168">
        <f>BS13+BS22+BS32+BS41</f>
        <v>-6</v>
      </c>
      <c r="BT56" s="181"/>
      <c r="BU56" s="174">
        <f>BU13+BU22+BU32+BU41</f>
        <v>-52</v>
      </c>
      <c r="BV56" s="181"/>
      <c r="BW56" s="168">
        <f>BW13+BW22+BW32+BW41</f>
        <v>-10</v>
      </c>
      <c r="BX56" s="181"/>
      <c r="BY56" s="174">
        <f>BY13+BY22+BY32+BY41</f>
        <v>-70</v>
      </c>
      <c r="BZ56" s="181"/>
      <c r="CA56" s="168">
        <f>CA13+CA22+CA32+CA41</f>
        <v>-51</v>
      </c>
      <c r="CB56" s="181"/>
      <c r="CC56" s="174">
        <f>CC13+CC22+CC32+CC41</f>
        <v>-418.88</v>
      </c>
      <c r="CD56" s="148"/>
      <c r="CE56" s="168">
        <f>CE13+CE22+CE32+CE41</f>
        <v>-64</v>
      </c>
      <c r="CF56" s="181"/>
      <c r="CG56" s="174">
        <f>CG13+CG22+CG32+CG41</f>
        <v>-413.3</v>
      </c>
      <c r="CH56" s="148"/>
      <c r="CI56" s="168">
        <f>CI13+CI22+CI32+CI41</f>
        <v>-74</v>
      </c>
      <c r="CJ56" s="181"/>
      <c r="CK56" s="174">
        <f>CK13+CK22+CK32+CK41</f>
        <v>-452.5</v>
      </c>
      <c r="CL56" s="148"/>
      <c r="CM56" s="168">
        <f>CM13+CM22+CM32+CM49</f>
        <v>-47</v>
      </c>
      <c r="CN56" s="181"/>
      <c r="CO56" s="174">
        <f>CO13+CO22+CO32+CO41</f>
        <v>-306.89999999999998</v>
      </c>
      <c r="CP56" s="148"/>
      <c r="CQ56" s="168">
        <f>CQ13+CQ22+CQ32+CQ41+CQ49</f>
        <v>-63</v>
      </c>
      <c r="CR56" s="181"/>
      <c r="CS56" s="174">
        <f>CS13+CS22+CS32+CS41</f>
        <v>-307.5</v>
      </c>
      <c r="CT56" s="148"/>
      <c r="CU56" s="168">
        <f>CU13+CU22+CU32+CU41</f>
        <v>-55</v>
      </c>
      <c r="CV56" s="181"/>
      <c r="CW56" s="174">
        <f>CW13+CW22+CW32+CW41</f>
        <v>-323.89999999999998</v>
      </c>
      <c r="CX56" s="148"/>
      <c r="CY56" s="168">
        <f>CY13+CY22+CY32+CY41</f>
        <v>-59</v>
      </c>
      <c r="CZ56" s="181"/>
      <c r="DA56" s="174">
        <f>DA13+DA22+DA32+DA41</f>
        <v>-449.2</v>
      </c>
      <c r="DC56" s="168">
        <f>DC13+DC22+DC32+DC41</f>
        <v>-53</v>
      </c>
      <c r="DD56" s="181"/>
      <c r="DE56" s="174">
        <f>DE13+DE22+DE32+DE41</f>
        <v>-413.2</v>
      </c>
      <c r="DG56" s="168">
        <f>DG13+DG22+DG32+DG41</f>
        <v>-39</v>
      </c>
      <c r="DH56" s="181"/>
      <c r="DI56" s="174">
        <f>DI13+DI22+DI32+DI41</f>
        <v>-312.39999999999998</v>
      </c>
      <c r="DK56" s="168">
        <f>DK13+DK22+DK32+DK41</f>
        <v>-55</v>
      </c>
      <c r="DL56" s="181"/>
      <c r="DM56" s="174">
        <f>DM13+DM22+DM32+DM41</f>
        <v>-414</v>
      </c>
      <c r="DO56" s="168">
        <f>DO13+DO22+DO32+DO41</f>
        <v>-50</v>
      </c>
      <c r="DP56" s="181"/>
      <c r="DQ56" s="174">
        <f>DQ13+DQ22+DQ32+DQ41</f>
        <v>-384</v>
      </c>
      <c r="DS56" s="168">
        <f>DS13+DS22+DS32+DS41</f>
        <v>-40</v>
      </c>
      <c r="DT56" s="181"/>
      <c r="DU56" s="174">
        <f>DU13+DU22+DU32+DU41</f>
        <v>-296</v>
      </c>
      <c r="DW56" s="168">
        <f>DW13+DW22+DW32+DW41</f>
        <v>-25</v>
      </c>
      <c r="DX56" s="181"/>
      <c r="DY56" s="174">
        <f>DY13+DY22+DY32+DY41</f>
        <v>-178</v>
      </c>
      <c r="EA56" s="168">
        <f>EA13+EA22+EA32+EA41</f>
        <v>-25</v>
      </c>
      <c r="EB56" s="181"/>
      <c r="EC56" s="174">
        <f>EC13+EC22+EC32+EC41</f>
        <v>-178</v>
      </c>
    </row>
    <row r="57" spans="1:133">
      <c r="A57" s="148" t="s">
        <v>568</v>
      </c>
      <c r="B57" s="155"/>
      <c r="C57" s="154">
        <v>27</v>
      </c>
      <c r="D57" s="154">
        <v>7111.1111111111104</v>
      </c>
      <c r="E57" s="154">
        <v>192</v>
      </c>
      <c r="F57" s="154"/>
      <c r="G57" s="154">
        <v>36</v>
      </c>
      <c r="H57" s="154">
        <v>7972.2222222222226</v>
      </c>
      <c r="I57" s="154">
        <v>287</v>
      </c>
      <c r="J57" s="154"/>
      <c r="K57" s="154">
        <v>40</v>
      </c>
      <c r="L57" s="154">
        <v>8295.35</v>
      </c>
      <c r="M57" s="154">
        <v>331.81399999999996</v>
      </c>
      <c r="N57" s="154"/>
      <c r="O57" s="154">
        <v>49</v>
      </c>
      <c r="P57" s="154">
        <v>8277.8367346938776</v>
      </c>
      <c r="Q57" s="154">
        <v>405.61399999999998</v>
      </c>
      <c r="R57" s="154"/>
      <c r="S57" s="154">
        <f>+S53+S54+S56</f>
        <v>67</v>
      </c>
      <c r="T57" s="154">
        <f>+U57/S57*1000</f>
        <v>8068.8656716417918</v>
      </c>
      <c r="U57" s="154">
        <f>SUM(U53:U56)</f>
        <v>540.61400000000003</v>
      </c>
      <c r="V57" s="154"/>
      <c r="W57" s="154">
        <f>+W53+W54+W56</f>
        <v>100</v>
      </c>
      <c r="X57" s="154">
        <f>+Y57/W57*1000</f>
        <v>9615.6400000000012</v>
      </c>
      <c r="Y57" s="154">
        <f>SUM(Y53:Y56)</f>
        <v>961.56400000000008</v>
      </c>
      <c r="Z57" s="154"/>
      <c r="AA57" s="154">
        <f>+AA53+AA54+AA56</f>
        <v>127</v>
      </c>
      <c r="AB57" s="154">
        <f>+AC57/AA57*1000</f>
        <v>9675.3070866141734</v>
      </c>
      <c r="AC57" s="154">
        <f>SUM(AC53:AC56)</f>
        <v>1228.7640000000001</v>
      </c>
      <c r="AD57" s="155"/>
      <c r="AE57" s="155">
        <f>AE14+AE23</f>
        <v>156</v>
      </c>
      <c r="AF57" s="154">
        <f>AF14+AF23</f>
        <v>9754.8974358974374</v>
      </c>
      <c r="AG57" s="154">
        <f>AG14+AG23</f>
        <v>1521.7640000000001</v>
      </c>
      <c r="AH57" s="155"/>
      <c r="AI57" s="155">
        <f>AI14+AI23</f>
        <v>196</v>
      </c>
      <c r="AJ57" s="159">
        <f>+AK57/AI57*1000</f>
        <v>9136.0408163265311</v>
      </c>
      <c r="AK57" s="154">
        <f>AK14+AK23</f>
        <v>1790.6640000000002</v>
      </c>
      <c r="AL57" s="155"/>
      <c r="AM57" s="155">
        <f>AM14+AM23</f>
        <v>250</v>
      </c>
      <c r="AN57" s="159">
        <f>+AO57/AM57*1000</f>
        <v>8694.8559999999998</v>
      </c>
      <c r="AO57" s="154">
        <f>AO14+AO23</f>
        <v>2173.7139999999999</v>
      </c>
      <c r="AP57" s="155"/>
      <c r="AQ57" s="180">
        <f>AQ14+AQ23+AQ33</f>
        <v>354</v>
      </c>
      <c r="AR57" s="173">
        <f>+AS57/AQ57*1000</f>
        <v>8049.0508474576291</v>
      </c>
      <c r="AS57" s="174">
        <f>AS14+AS23+AS33</f>
        <v>2849.3640000000005</v>
      </c>
      <c r="AT57" s="181"/>
      <c r="AU57" s="180">
        <f>AU14+AU23+AU33</f>
        <v>491</v>
      </c>
      <c r="AV57" s="173">
        <f>+AW57/AU57*1000</f>
        <v>7481.4949083503061</v>
      </c>
      <c r="AW57" s="174">
        <f>AW14+AW23+AW33</f>
        <v>3673.4140000000002</v>
      </c>
      <c r="AX57" s="181"/>
      <c r="AY57" s="180">
        <f>AY14+AY23+AY33</f>
        <v>597</v>
      </c>
      <c r="AZ57" s="173">
        <f>+BA57/AY57*1000</f>
        <v>7299.0184254606365</v>
      </c>
      <c r="BA57" s="174">
        <f>+BA14+BA23+BA33+1</f>
        <v>4357.5140000000001</v>
      </c>
      <c r="BB57" s="181"/>
      <c r="BC57" s="180">
        <f>BC14+BC23+BC33</f>
        <v>700</v>
      </c>
      <c r="BD57" s="173">
        <f>+BE57/BC57*1000</f>
        <v>7165.448571428572</v>
      </c>
      <c r="BE57" s="174">
        <f>BE14+BE23+BE33</f>
        <v>5015.8140000000003</v>
      </c>
      <c r="BF57" s="181"/>
      <c r="BG57" s="168">
        <f>BG14+BG23+BG33+BG42</f>
        <v>788</v>
      </c>
      <c r="BH57" s="173">
        <f>+BI57/BG57*1000</f>
        <v>7094.3705583756346</v>
      </c>
      <c r="BI57" s="174">
        <f>BI14+BI23+BI33+BI42</f>
        <v>5590.3639999999996</v>
      </c>
      <c r="BJ57" s="181"/>
      <c r="BK57" s="168">
        <f>BK14+BK23+BK33+BK42</f>
        <v>851</v>
      </c>
      <c r="BL57" s="173">
        <f>+BM57/BK57*1000</f>
        <v>7080.3337250293762</v>
      </c>
      <c r="BM57" s="174">
        <f>BM14+BM23+BM33+BM42</f>
        <v>6025.3639999999996</v>
      </c>
      <c r="BN57" s="181"/>
      <c r="BO57" s="168">
        <f>BO14+BO23+BO33+BO42</f>
        <v>944</v>
      </c>
      <c r="BP57" s="173">
        <f>+BQ57/BO57*1000</f>
        <v>7090.4279661016944</v>
      </c>
      <c r="BQ57" s="174">
        <f>BQ14+BQ23+BQ33+BQ42</f>
        <v>6693.3639999999996</v>
      </c>
      <c r="BR57" s="181"/>
      <c r="BS57" s="168">
        <f>BS14+BS23+BS33+BS42+BS50</f>
        <v>1035</v>
      </c>
      <c r="BT57" s="173">
        <f>+BU57/BS57*1000</f>
        <v>7089.2405797101437</v>
      </c>
      <c r="BU57" s="174">
        <f>BU14+BU23+BU33+BU42+BU50</f>
        <v>7337.3639999999996</v>
      </c>
      <c r="BV57" s="181"/>
      <c r="BW57" s="168">
        <f>BW14+BW23+BW33+BW42+BW50</f>
        <v>1125</v>
      </c>
      <c r="BX57" s="173">
        <f>+BY57/BW57*1000</f>
        <v>7130.9902222222217</v>
      </c>
      <c r="BY57" s="174">
        <f>BY14+BY23+BY33+BY42+BY50</f>
        <v>8022.3639999999996</v>
      </c>
      <c r="BZ57" s="181"/>
      <c r="CA57" s="168">
        <f>CA14+CA23+CA33+CA42+CA50</f>
        <v>1096</v>
      </c>
      <c r="CB57" s="173">
        <f>+CC57/CA57*1000</f>
        <v>7159.8394160583939</v>
      </c>
      <c r="CC57" s="174">
        <f>CC14+CC23+CC33+CC42+CC50</f>
        <v>7847.1839999999993</v>
      </c>
      <c r="CD57" s="148"/>
      <c r="CE57" s="168">
        <f>CE14+CE23+CE33+CE42+CE50</f>
        <v>1069</v>
      </c>
      <c r="CF57" s="173">
        <f>+CG57/CE57*1000</f>
        <v>7256.1590271281566</v>
      </c>
      <c r="CG57" s="174">
        <f>CG14+CG23+CG33+CG42+CG50</f>
        <v>7756.8339999999998</v>
      </c>
      <c r="CH57" s="148"/>
      <c r="CI57" s="168">
        <f>CI14+CI23+CI33+CI42+CI50</f>
        <v>1040</v>
      </c>
      <c r="CJ57" s="173">
        <f>+CK57/CI57*1000</f>
        <v>7444.7442307692309</v>
      </c>
      <c r="CK57" s="174">
        <f>CK14+CK23+CK33+CK42+CK50</f>
        <v>7742.5339999999997</v>
      </c>
      <c r="CL57" s="148"/>
      <c r="CM57" s="168">
        <f>CM14+CM23+CM33+CM42+CM50</f>
        <v>1040</v>
      </c>
      <c r="CN57" s="173">
        <f>+CO57/CM57*1000</f>
        <v>7575.8019230769214</v>
      </c>
      <c r="CO57" s="174">
        <f>CO14+CO23+CO33+CO42+CO50</f>
        <v>7878.8339999999989</v>
      </c>
      <c r="CP57" s="148"/>
      <c r="CQ57" s="168">
        <f>CQ14+CQ23+CQ33+CQ42+CQ50</f>
        <v>1005</v>
      </c>
      <c r="CR57" s="173">
        <f>+CS57/CQ57*1000</f>
        <v>7780.8298507462669</v>
      </c>
      <c r="CS57" s="174">
        <f>CS14+CS23+CS33+CS42+CS50</f>
        <v>7819.7339999999986</v>
      </c>
      <c r="CT57" s="148"/>
      <c r="CU57" s="168">
        <f>CU14+CU23+CU33+CU42+CU50</f>
        <v>964</v>
      </c>
      <c r="CV57" s="173">
        <f>+CW57/CU57*1000</f>
        <v>7975.3464730290452</v>
      </c>
      <c r="CW57" s="174">
        <f>CW14+CW23+CW33+CW42+CW50</f>
        <v>7688.2339999999995</v>
      </c>
      <c r="CX57" s="148"/>
      <c r="CY57" s="168">
        <f>CY14+CY23+CY33+CY42+CY50</f>
        <v>932</v>
      </c>
      <c r="CZ57" s="173">
        <f>+DA57/CY57*1000</f>
        <v>8041.8819742489268</v>
      </c>
      <c r="DA57" s="174">
        <f>DA14+DA23+DA33+DA42+DA50</f>
        <v>7495.0339999999997</v>
      </c>
      <c r="DC57" s="168">
        <f>DC14+DC23+DC33+DC42+DC50</f>
        <v>898</v>
      </c>
      <c r="DD57" s="173">
        <f>+DE57/DC57*1000</f>
        <v>8051.9309576837404</v>
      </c>
      <c r="DE57" s="174">
        <f>DE14+DE23+DE33+DE42+DE50</f>
        <v>7230.634</v>
      </c>
      <c r="DG57" s="168">
        <f>DG14+DG23+DG33+DG42+DG50</f>
        <v>868</v>
      </c>
      <c r="DH57" s="173">
        <f>+DI57/DG57*1000</f>
        <v>8079.0138248847934</v>
      </c>
      <c r="DI57" s="174">
        <f>DI14+DI23+DI33+DI42+DI50</f>
        <v>7012.5839999999998</v>
      </c>
      <c r="DK57" s="168">
        <f>DK14+DK23+DK33+DK42+DK50</f>
        <v>834</v>
      </c>
      <c r="DL57" s="173">
        <f>+DM57/DK57*1000</f>
        <v>8155.2565947242219</v>
      </c>
      <c r="DM57" s="174">
        <f>DM14+DM23+DM33+DM42+DM50</f>
        <v>6801.4840000000004</v>
      </c>
      <c r="DO57" s="168">
        <f>DO14+DO23+DO33+DO42+DO50</f>
        <v>788</v>
      </c>
      <c r="DP57" s="173">
        <f>+DQ57/DO57*1000</f>
        <v>8187.6700507614205</v>
      </c>
      <c r="DQ57" s="174">
        <f>DQ14+DQ23+DQ33+DQ42+DQ50</f>
        <v>6451.884</v>
      </c>
      <c r="DS57" s="168">
        <f>DS14+DS23+DS33+DS42+DS50</f>
        <v>752</v>
      </c>
      <c r="DT57" s="173">
        <f>+DU57/DS57*1000</f>
        <v>8231.760638297872</v>
      </c>
      <c r="DU57" s="174">
        <f>DU14+DU23+DU33+DU42+DU50</f>
        <v>6190.2839999999997</v>
      </c>
      <c r="DW57" s="168">
        <f>DW14+DW23+DW33+DW42+DW50</f>
        <v>728</v>
      </c>
      <c r="DX57" s="173">
        <f>+DY57/DW57*1000</f>
        <v>8269.6208791208792</v>
      </c>
      <c r="DY57" s="174">
        <f>DY14+DY23+DY33+DY42+DY50</f>
        <v>6020.2839999999997</v>
      </c>
      <c r="EA57" s="168">
        <f>EA14+EA23+EA33+EA42+EA50</f>
        <v>704</v>
      </c>
      <c r="EB57" s="173">
        <f>+EC57/EA57*1000</f>
        <v>8310.0624999999982</v>
      </c>
      <c r="EC57" s="174">
        <f>EC14+EC23+EC33+EC42+EC50</f>
        <v>5850.2839999999997</v>
      </c>
    </row>
    <row r="58" spans="1:133">
      <c r="A58" s="148" t="s">
        <v>103</v>
      </c>
      <c r="B58" s="155"/>
      <c r="C58" s="154"/>
      <c r="D58" s="158"/>
      <c r="E58" s="158">
        <v>0.15662650602409639</v>
      </c>
      <c r="F58" s="154"/>
      <c r="G58" s="154"/>
      <c r="H58" s="158"/>
      <c r="I58" s="158">
        <v>0.49479166666666669</v>
      </c>
      <c r="J58" s="154"/>
      <c r="K58" s="154"/>
      <c r="L58" s="158"/>
      <c r="M58" s="158">
        <v>0.15614634146341452</v>
      </c>
      <c r="N58" s="154"/>
      <c r="O58" s="154"/>
      <c r="P58" s="158"/>
      <c r="Q58" s="158">
        <v>0.22241376192686269</v>
      </c>
      <c r="R58" s="155"/>
      <c r="S58" s="154"/>
      <c r="T58" s="158"/>
      <c r="U58" s="158">
        <f>(U57-U53)/U53</f>
        <v>0.33282874851459776</v>
      </c>
      <c r="V58" s="154"/>
      <c r="W58" s="154"/>
      <c r="X58" s="158"/>
      <c r="Y58" s="158">
        <f>(Y57-Y53)/Y53</f>
        <v>0.77865168123651995</v>
      </c>
      <c r="Z58" s="154"/>
      <c r="AA58" s="154"/>
      <c r="AB58" s="158"/>
      <c r="AC58" s="158">
        <f>(AC57-AC53)/AC53</f>
        <v>0.27788061949074633</v>
      </c>
      <c r="AD58" s="155"/>
      <c r="AE58" s="155"/>
      <c r="AF58" s="155"/>
      <c r="AG58" s="160">
        <f>(AG57-AG53)/AG53</f>
        <v>0.23845099628569846</v>
      </c>
      <c r="AH58" s="155"/>
      <c r="AI58" s="155"/>
      <c r="AJ58" s="155"/>
      <c r="AK58" s="160">
        <f>(AK57-AK53)/AK53</f>
        <v>0.45110534846029193</v>
      </c>
      <c r="AL58" s="155"/>
      <c r="AM58" s="155"/>
      <c r="AN58" s="155"/>
      <c r="AO58" s="160">
        <f>(AO57-AO53)/AO53</f>
        <v>0.21391506167544536</v>
      </c>
      <c r="AP58" s="155"/>
      <c r="AQ58" s="167"/>
      <c r="AR58" s="157"/>
      <c r="AS58" s="184">
        <f>(AS57-AS53)/AS53</f>
        <v>0.31082745936217948</v>
      </c>
      <c r="AT58" s="181"/>
      <c r="AU58" s="167"/>
      <c r="AV58" s="157"/>
      <c r="AW58" s="184">
        <f>(AW57-AW53)/AW53</f>
        <v>0.28920488923142135</v>
      </c>
      <c r="AX58" s="181"/>
      <c r="AY58" s="167"/>
      <c r="AZ58" s="157"/>
      <c r="BA58" s="184">
        <f>(BA57-BA53)/BA53</f>
        <v>0.18623003015723244</v>
      </c>
      <c r="BB58" s="181"/>
      <c r="BC58" s="167"/>
      <c r="BD58" s="157"/>
      <c r="BE58" s="184">
        <f>(BE57-BE53)/BE53</f>
        <v>0.1510723775069914</v>
      </c>
      <c r="BF58" s="181"/>
      <c r="BG58" s="167"/>
      <c r="BH58" s="157"/>
      <c r="BI58" s="184">
        <f>(BI57-BI53)/BI53</f>
        <v>0.11454770850753222</v>
      </c>
      <c r="BJ58" s="181"/>
      <c r="BK58" s="167"/>
      <c r="BL58" s="157"/>
      <c r="BM58" s="184">
        <f>(BM57-BM53)/BM53</f>
        <v>7.7812464447753318E-2</v>
      </c>
      <c r="BN58" s="181"/>
      <c r="BO58" s="167"/>
      <c r="BP58" s="157"/>
      <c r="BQ58" s="184">
        <f>(BQ57-BQ53)/BQ53</f>
        <v>0.11086467141238272</v>
      </c>
      <c r="BR58" s="181"/>
      <c r="BS58" s="167"/>
      <c r="BT58" s="157"/>
      <c r="BU58" s="184">
        <f>(BU57-BU53)/BU53</f>
        <v>9.6214698617914707E-2</v>
      </c>
      <c r="BV58" s="181"/>
      <c r="BW58" s="167"/>
      <c r="BX58" s="157"/>
      <c r="BY58" s="184">
        <f>(BY57-BY53)/BY53</f>
        <v>9.3357778079430159E-2</v>
      </c>
      <c r="BZ58" s="181"/>
      <c r="CA58" s="167"/>
      <c r="CB58" s="157"/>
      <c r="CC58" s="184">
        <f>(CC57-CC53)/CC53</f>
        <v>-2.1836456186730035E-2</v>
      </c>
      <c r="CD58" s="148"/>
      <c r="CE58" s="167"/>
      <c r="CF58" s="157"/>
      <c r="CG58" s="184">
        <f>(CG57-CG53)/CG53</f>
        <v>-1.1513684399397218E-2</v>
      </c>
      <c r="CH58" s="148"/>
      <c r="CI58" s="167"/>
      <c r="CJ58" s="157"/>
      <c r="CK58" s="184">
        <f>(CK57-CK53)/CK53</f>
        <v>2.2274055650018183E-2</v>
      </c>
      <c r="CL58" s="148"/>
      <c r="CM58" s="167"/>
      <c r="CN58" s="157"/>
      <c r="CO58" s="184">
        <f>(CO57-CO53)/CO53</f>
        <v>4.2238053297994203E-2</v>
      </c>
      <c r="CP58" s="148"/>
      <c r="CQ58" s="167"/>
      <c r="CR58" s="157"/>
      <c r="CS58" s="184">
        <f>(CS57-CS53)/CS53</f>
        <v>1.8747148518323827E-2</v>
      </c>
      <c r="CT58" s="148"/>
      <c r="CU58" s="167"/>
      <c r="CV58" s="157"/>
      <c r="CW58" s="184">
        <f>(CW57-CW53)/CW53</f>
        <v>9.3872255483782047E-3</v>
      </c>
      <c r="CX58" s="148"/>
      <c r="CY58" s="167"/>
      <c r="CZ58" s="157"/>
      <c r="DA58" s="184">
        <f>(DA57-DA53)/DA53</f>
        <v>9.1308390558208691E-2</v>
      </c>
      <c r="DC58" s="167"/>
      <c r="DD58" s="157"/>
      <c r="DE58" s="184">
        <f>(DE57-DE53)/DE53</f>
        <v>-8.4201472456107082E-3</v>
      </c>
      <c r="DG58" s="167"/>
      <c r="DH58" s="157"/>
      <c r="DI58" s="184">
        <f>(DI57-DI53)/DI53</f>
        <v>-2.1415457890949048E-3</v>
      </c>
      <c r="DK58" s="167"/>
      <c r="DL58" s="157"/>
      <c r="DM58" s="184">
        <f>(DM57-DM53)/DM53</f>
        <v>-1.1894999753288094E-3</v>
      </c>
      <c r="DO58" s="167"/>
      <c r="DP58" s="157"/>
      <c r="DQ58" s="184">
        <f>(DQ57-DQ53)/DQ53</f>
        <v>-2.2217224441250499E-2</v>
      </c>
      <c r="DS58" s="167"/>
      <c r="DT58" s="157"/>
      <c r="DU58" s="184">
        <f>(DU57-DU53)/DU53</f>
        <v>-9.3776744775547708E-3</v>
      </c>
      <c r="DW58" s="167"/>
      <c r="DX58" s="157"/>
      <c r="DY58" s="184">
        <f>(DY57-DY53)/DY53</f>
        <v>5.5116810894555862E-3</v>
      </c>
      <c r="EA58" s="167"/>
      <c r="EB58" s="157"/>
      <c r="EC58" s="184">
        <f>(EC57-EC53)/EC53</f>
        <v>5.6727503762924424E-3</v>
      </c>
    </row>
    <row r="60" spans="1:133">
      <c r="DC60" s="223"/>
      <c r="DG60" s="223"/>
    </row>
  </sheetData>
  <phoneticPr fontId="0" type="noConversion"/>
  <pageMargins left="0.25" right="0.25" top="0.5" bottom="1" header="0.5" footer="0.5"/>
  <pageSetup scale="72" orientation="landscape" horizontalDpi="4294967292" r:id="rId1"/>
  <headerFooter alignWithMargins="0">
    <oddFooter>&amp;R&amp;8&amp;D/&amp;T
&amp;F/&amp;A</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BV101"/>
  <sheetViews>
    <sheetView zoomScale="85" zoomScaleNormal="85" workbookViewId="0">
      <pane xSplit="14" ySplit="6" topLeftCell="AO7" activePane="bottomRight" state="frozen"/>
      <selection activeCell="P42" sqref="P42"/>
      <selection pane="topRight" activeCell="P42" sqref="P42"/>
      <selection pane="bottomLeft" activeCell="P42" sqref="P42"/>
      <selection pane="bottomRight" activeCell="BA55" sqref="BA55"/>
    </sheetView>
  </sheetViews>
  <sheetFormatPr defaultRowHeight="12.75" outlineLevelRow="1" outlineLevelCol="5"/>
  <cols>
    <col min="1" max="1" width="1.85546875" style="22" customWidth="1"/>
    <col min="2" max="2" width="4" style="22" customWidth="1"/>
    <col min="3" max="3" width="24.28515625" style="22" customWidth="1"/>
    <col min="4" max="4" width="1.140625" style="22" customWidth="1"/>
    <col min="5" max="5" width="9.140625" style="22" hidden="1" customWidth="1" outlineLevel="1"/>
    <col min="6" max="6" width="2.42578125" style="22" hidden="1" customWidth="1" outlineLevel="1"/>
    <col min="7" max="7" width="9.140625" style="22" hidden="1" customWidth="1" outlineLevel="1"/>
    <col min="8" max="8" width="2.42578125" style="22" hidden="1" customWidth="1" outlineLevel="1"/>
    <col min="9" max="9" width="9.140625" style="22" hidden="1" customWidth="1" outlineLevel="1"/>
    <col min="10" max="10" width="2.42578125" style="22" hidden="1" customWidth="1" outlineLevel="1"/>
    <col min="11" max="11" width="9.140625" style="22" hidden="1" customWidth="1" outlineLevel="1"/>
    <col min="12" max="12" width="2.42578125" style="22" hidden="1" customWidth="1" outlineLevel="1"/>
    <col min="13" max="13" width="9.140625" style="22" hidden="1" customWidth="1" outlineLevel="1"/>
    <col min="14" max="14" width="2.28515625" style="22" hidden="1" customWidth="1" outlineLevel="1"/>
    <col min="15" max="15" width="8.140625" style="22" hidden="1" customWidth="1" outlineLevel="1" collapsed="1"/>
    <col min="16" max="16" width="0.85546875" style="22" hidden="1" customWidth="1" outlineLevel="1"/>
    <col min="17" max="17" width="8.140625" style="22" hidden="1" customWidth="1" outlineLevel="1"/>
    <col min="18" max="18" width="1" style="22" hidden="1" customWidth="1" outlineLevel="1"/>
    <col min="19" max="19" width="8.140625" style="22" hidden="1" customWidth="1" outlineLevel="1"/>
    <col min="20" max="20" width="0.85546875" style="22" hidden="1" customWidth="1" outlineLevel="1"/>
    <col min="21" max="21" width="8.140625" style="22" hidden="1" customWidth="1" outlineLevel="1"/>
    <col min="22" max="22" width="0.85546875" style="22" hidden="1" customWidth="1" outlineLevel="1"/>
    <col min="23" max="23" width="8.140625" style="22" hidden="1" customWidth="1" outlineLevel="1"/>
    <col min="24" max="24" width="1" style="22" hidden="1" customWidth="1" outlineLevel="1"/>
    <col min="25" max="25" width="8.140625" style="22" hidden="1" customWidth="1" outlineLevel="1"/>
    <col min="26" max="26" width="1" style="22" hidden="1" customWidth="1" outlineLevel="1"/>
    <col min="27" max="27" width="8.140625" style="22" hidden="1" customWidth="1" outlineLevel="1"/>
    <col min="28" max="28" width="1" style="22" hidden="1" customWidth="1" outlineLevel="1"/>
    <col min="29" max="29" width="8.140625" style="114" hidden="1" customWidth="1" outlineLevel="1"/>
    <col min="30" max="30" width="0.85546875" style="114" hidden="1" customWidth="1" outlineLevel="1"/>
    <col min="31" max="31" width="8.140625" style="114" hidden="1" customWidth="1" outlineLevel="1"/>
    <col min="32" max="32" width="0.85546875" style="114" hidden="1" customWidth="1" outlineLevel="5"/>
    <col min="33" max="33" width="9.140625" style="114" hidden="1" customWidth="1" outlineLevel="1"/>
    <col min="34" max="34" width="1.5703125" style="114" hidden="1" customWidth="1" outlineLevel="1"/>
    <col min="35" max="35" width="9.140625" style="114" hidden="1" customWidth="1" outlineLevel="1"/>
    <col min="36" max="36" width="1.42578125" style="114" hidden="1" customWidth="1" outlineLevel="1"/>
    <col min="37" max="37" width="9" style="114" hidden="1" customWidth="1" outlineLevel="1"/>
    <col min="38" max="38" width="1.42578125" style="22" hidden="1" customWidth="1" outlineLevel="1"/>
    <col min="39" max="39" width="9.28515625" style="22" hidden="1" customWidth="1" outlineLevel="1" collapsed="1"/>
    <col min="40" max="40" width="1.42578125" style="22" hidden="1" customWidth="1" outlineLevel="1"/>
    <col min="41" max="41" width="8.85546875" style="22" customWidth="1" collapsed="1"/>
    <col min="42" max="42" width="1.42578125" style="22" customWidth="1"/>
    <col min="43" max="43" width="9.28515625" style="22" customWidth="1"/>
    <col min="44" max="44" width="1.42578125" style="22" customWidth="1"/>
    <col min="45" max="45" width="9" style="22" customWidth="1"/>
    <col min="46" max="46" width="1.42578125" style="22" customWidth="1"/>
    <col min="47" max="47" width="8.85546875" style="22" customWidth="1"/>
    <col min="48" max="48" width="1.42578125" style="22" customWidth="1"/>
    <col min="49" max="49" width="8.85546875" style="22" customWidth="1"/>
    <col min="50" max="50" width="1.28515625" style="22" customWidth="1"/>
    <col min="51" max="51" width="9" style="22" customWidth="1"/>
    <col min="52" max="52" width="1.28515625" style="22" customWidth="1"/>
    <col min="53" max="53" width="8.85546875" style="22" customWidth="1"/>
    <col min="54" max="54" width="1.28515625" style="22" customWidth="1"/>
    <col min="55" max="55" width="9.140625" style="22" customWidth="1"/>
    <col min="56" max="56" width="1.5703125" style="22" customWidth="1"/>
    <col min="57" max="57" width="9.85546875" style="22" customWidth="1"/>
    <col min="58" max="58" width="1.5703125" style="22" customWidth="1"/>
    <col min="59" max="59" width="9.85546875" style="22" customWidth="1"/>
    <col min="60" max="60" width="1.5703125" style="22" hidden="1" customWidth="1" outlineLevel="1"/>
    <col min="61" max="61" width="9.85546875" style="22" hidden="1" customWidth="1" outlineLevel="1"/>
    <col min="62" max="62" width="9.140625" style="22" hidden="1" customWidth="1" outlineLevel="1"/>
    <col min="63" max="63" width="27.28515625" hidden="1" customWidth="1" outlineLevel="1"/>
    <col min="64" max="68" width="9.140625" hidden="1" customWidth="1" outlineLevel="1"/>
    <col min="69" max="69" width="9.140625" style="22" collapsed="1"/>
    <col min="70" max="73" width="9.140625" style="22"/>
    <col min="74" max="74" width="9.85546875" style="22" bestFit="1" customWidth="1"/>
    <col min="75" max="16384" width="9.140625" style="22"/>
  </cols>
  <sheetData>
    <row r="1" spans="1:74">
      <c r="A1" s="24" t="str">
        <f>sumry!A1</f>
        <v>Abercrombie &amp; Fitch</v>
      </c>
      <c r="B1" s="24"/>
      <c r="C1" s="24"/>
      <c r="D1" s="24"/>
      <c r="E1" s="36"/>
      <c r="F1" s="24"/>
      <c r="G1" s="36"/>
      <c r="H1" s="24"/>
      <c r="I1" s="24"/>
      <c r="J1" s="24"/>
      <c r="K1" s="36"/>
      <c r="L1" s="24"/>
      <c r="M1" s="24"/>
      <c r="N1" s="24"/>
      <c r="O1" s="36"/>
      <c r="P1" s="24"/>
      <c r="Q1" s="36"/>
      <c r="R1" s="24"/>
      <c r="S1" s="36"/>
      <c r="T1" s="24"/>
      <c r="U1" s="36"/>
      <c r="V1" s="24"/>
      <c r="W1" s="36"/>
      <c r="X1" s="24"/>
      <c r="Y1" s="36"/>
      <c r="Z1" s="24"/>
      <c r="AA1" s="36"/>
      <c r="AB1" s="24"/>
      <c r="AC1" s="1517"/>
      <c r="AD1" s="1517"/>
      <c r="AE1" s="1517"/>
      <c r="AF1" s="1517"/>
      <c r="AG1" s="1517"/>
      <c r="AH1" s="1517"/>
      <c r="AI1" s="1517"/>
      <c r="AJ1" s="1517"/>
      <c r="AK1" s="1517"/>
      <c r="AL1" s="36"/>
      <c r="AM1" s="36"/>
      <c r="AN1" s="36"/>
      <c r="AO1" s="36"/>
      <c r="AP1" s="36"/>
      <c r="AQ1" s="36"/>
      <c r="AR1" s="36"/>
      <c r="AS1" s="36"/>
      <c r="AT1" s="36"/>
      <c r="AU1" s="36"/>
      <c r="AV1" s="36"/>
      <c r="AW1" s="36"/>
      <c r="AX1" s="36"/>
      <c r="AY1" s="36"/>
      <c r="AZ1" s="36"/>
      <c r="BA1" s="36"/>
      <c r="BB1" s="36"/>
      <c r="BC1" s="36"/>
      <c r="BD1" s="36"/>
      <c r="BE1" s="36"/>
      <c r="BF1" s="36"/>
      <c r="BG1" s="36"/>
      <c r="BH1" s="36"/>
      <c r="BI1" s="36"/>
      <c r="BJ1" s="36"/>
    </row>
    <row r="2" spans="1:74">
      <c r="A2" s="25" t="s">
        <v>122</v>
      </c>
      <c r="B2" s="25"/>
      <c r="C2" s="25"/>
      <c r="D2" s="25"/>
      <c r="E2" s="37"/>
      <c r="F2" s="25"/>
      <c r="G2" s="37"/>
      <c r="H2" s="25"/>
      <c r="I2" s="25"/>
      <c r="J2" s="25"/>
      <c r="K2" s="37"/>
      <c r="L2" s="25"/>
      <c r="M2" s="25"/>
      <c r="N2" s="25"/>
      <c r="O2" s="37"/>
      <c r="P2" s="25"/>
      <c r="Q2" s="37"/>
      <c r="R2" s="25"/>
      <c r="S2" s="37"/>
      <c r="T2" s="25"/>
      <c r="U2" s="37"/>
      <c r="V2" s="25"/>
      <c r="W2" s="37"/>
      <c r="X2" s="25"/>
      <c r="Y2" s="37"/>
      <c r="Z2" s="25"/>
      <c r="AA2" s="37"/>
      <c r="AB2" s="25"/>
      <c r="AC2" s="1521"/>
      <c r="AD2" s="1521"/>
      <c r="AE2" s="1521"/>
      <c r="AF2" s="1521"/>
      <c r="AG2" s="1521"/>
      <c r="AH2" s="1521"/>
      <c r="AI2" s="1521"/>
      <c r="AJ2" s="1521"/>
      <c r="AK2" s="1521"/>
      <c r="AL2" s="37"/>
      <c r="AM2" s="37"/>
      <c r="AN2" s="37"/>
      <c r="AO2" s="37"/>
      <c r="AP2" s="37"/>
      <c r="AQ2" s="37"/>
      <c r="AR2" s="37"/>
      <c r="AS2" s="37"/>
      <c r="AT2" s="37"/>
      <c r="AU2" s="37"/>
      <c r="AV2" s="37"/>
      <c r="AW2" s="37"/>
      <c r="AX2" s="37"/>
      <c r="AY2" s="37"/>
      <c r="AZ2" s="37"/>
      <c r="BA2" s="37"/>
      <c r="BB2" s="37"/>
      <c r="BC2" s="37"/>
      <c r="BD2" s="37"/>
      <c r="BE2" s="37"/>
      <c r="BF2" s="37"/>
      <c r="BG2" s="37"/>
      <c r="BH2" s="37"/>
      <c r="BI2" s="37"/>
      <c r="BJ2" s="41"/>
    </row>
    <row r="3" spans="1:74">
      <c r="A3" s="1839" t="s">
        <v>247</v>
      </c>
      <c r="B3" s="1738"/>
    </row>
    <row r="4" spans="1:74">
      <c r="A4" s="1738" t="s">
        <v>123</v>
      </c>
      <c r="B4" s="1738"/>
      <c r="Y4" s="1835"/>
      <c r="AH4" s="1840" t="s">
        <v>69</v>
      </c>
      <c r="AM4" s="1841" t="s">
        <v>762</v>
      </c>
      <c r="AO4" s="1841" t="s">
        <v>762</v>
      </c>
    </row>
    <row r="5" spans="1:74" ht="5.0999999999999996" customHeight="1">
      <c r="O5" s="86"/>
      <c r="Q5" s="86"/>
      <c r="S5" s="86"/>
      <c r="U5" s="86"/>
      <c r="W5" s="86"/>
      <c r="Y5" s="86"/>
      <c r="AA5" s="86"/>
      <c r="AC5" s="246"/>
      <c r="AE5" s="246"/>
      <c r="AH5" s="246"/>
      <c r="AI5" s="246"/>
      <c r="AJ5" s="246"/>
      <c r="AK5" s="246"/>
      <c r="AL5" s="86"/>
      <c r="AM5" s="86"/>
      <c r="AN5" s="86"/>
      <c r="AO5" s="86"/>
      <c r="AP5" s="86"/>
      <c r="AQ5" s="86"/>
      <c r="AR5" s="86"/>
      <c r="AS5" s="86"/>
      <c r="AT5" s="86"/>
      <c r="AU5" s="86"/>
      <c r="AV5" s="86"/>
      <c r="AW5" s="86"/>
      <c r="AX5" s="86"/>
      <c r="AY5" s="86"/>
      <c r="AZ5" s="86"/>
      <c r="BA5" s="86"/>
      <c r="BB5" s="86"/>
      <c r="BC5" s="86"/>
      <c r="BD5" s="86"/>
      <c r="BE5" s="86"/>
      <c r="BF5" s="86"/>
      <c r="BG5" s="86"/>
      <c r="BH5" s="86"/>
      <c r="BI5" s="86"/>
      <c r="BJ5" s="86"/>
    </row>
    <row r="6" spans="1:74">
      <c r="E6" s="1842">
        <v>1994</v>
      </c>
      <c r="G6" s="1843">
        <f>E6+1</f>
        <v>1995</v>
      </c>
      <c r="H6" s="38"/>
      <c r="I6" s="1843">
        <f>+G6+1</f>
        <v>1996</v>
      </c>
      <c r="J6" s="38"/>
      <c r="K6" s="1843">
        <f>+I6+1</f>
        <v>1997</v>
      </c>
      <c r="L6" s="38"/>
      <c r="M6" s="1843">
        <f>K6+1</f>
        <v>1998</v>
      </c>
      <c r="N6" s="38"/>
      <c r="O6" s="1843">
        <f>M6+1</f>
        <v>1999</v>
      </c>
      <c r="P6" s="38"/>
      <c r="Q6" s="1843">
        <f>O6+1</f>
        <v>2000</v>
      </c>
      <c r="R6" s="38"/>
      <c r="S6" s="1843">
        <f>Q6+1</f>
        <v>2001</v>
      </c>
      <c r="T6" s="38"/>
      <c r="U6" s="1843">
        <f>S6+1</f>
        <v>2002</v>
      </c>
      <c r="V6" s="38"/>
      <c r="W6" s="1843">
        <f>U6+1</f>
        <v>2003</v>
      </c>
      <c r="X6" s="38"/>
      <c r="Y6" s="1843">
        <f>W6+1</f>
        <v>2004</v>
      </c>
      <c r="Z6" s="38"/>
      <c r="AA6" s="1843">
        <f>Y6+1</f>
        <v>2005</v>
      </c>
      <c r="AB6" s="38"/>
      <c r="AC6" s="1844">
        <f>AA6+1</f>
        <v>2006</v>
      </c>
      <c r="AD6" s="248"/>
      <c r="AE6" s="1844">
        <f>AC6+1</f>
        <v>2007</v>
      </c>
      <c r="AF6" s="248"/>
      <c r="AG6" s="1844" t="s">
        <v>20</v>
      </c>
      <c r="AH6" s="248"/>
      <c r="AI6" s="1844" t="s">
        <v>19</v>
      </c>
      <c r="AJ6" s="248"/>
      <c r="AK6" s="1844" t="s">
        <v>10</v>
      </c>
      <c r="AL6" s="38"/>
      <c r="AM6" s="1843" t="s">
        <v>68</v>
      </c>
      <c r="AN6" s="38"/>
      <c r="AO6" s="1843" t="s">
        <v>552</v>
      </c>
      <c r="AP6" s="38"/>
      <c r="AQ6" s="1843" t="s">
        <v>679</v>
      </c>
      <c r="AR6" s="38"/>
      <c r="AS6" s="1843" t="s">
        <v>790</v>
      </c>
      <c r="AT6" s="1845"/>
      <c r="AU6" s="1843">
        <v>2015</v>
      </c>
      <c r="AV6" s="1845"/>
      <c r="AW6" s="1843" t="s">
        <v>1433</v>
      </c>
      <c r="AX6" s="1845"/>
      <c r="AY6" s="1846">
        <v>2017</v>
      </c>
      <c r="AZ6" s="1845"/>
      <c r="BA6" s="1846">
        <v>2018</v>
      </c>
      <c r="BB6" s="1845"/>
      <c r="BC6" s="1846">
        <v>2019</v>
      </c>
      <c r="BD6" s="1845"/>
      <c r="BE6" s="1846">
        <v>2020</v>
      </c>
      <c r="BF6" s="1845"/>
      <c r="BG6" s="1846">
        <v>2021</v>
      </c>
      <c r="BH6" s="1845"/>
      <c r="BI6" s="1846">
        <v>2022</v>
      </c>
      <c r="BJ6" s="1896"/>
    </row>
    <row r="7" spans="1:74">
      <c r="W7" s="111" t="s">
        <v>223</v>
      </c>
      <c r="X7" s="111"/>
      <c r="Y7" s="111"/>
    </row>
    <row r="8" spans="1:74">
      <c r="A8" s="1847" t="s">
        <v>583</v>
      </c>
      <c r="B8" s="1848"/>
      <c r="AA8" s="1008"/>
      <c r="AC8" s="1535"/>
      <c r="AE8" s="1535"/>
      <c r="AG8" s="1535"/>
      <c r="AI8" s="1535"/>
      <c r="AK8" s="1535"/>
      <c r="AM8" s="1008"/>
      <c r="AO8" s="1115"/>
      <c r="AQ8" s="1008"/>
      <c r="AS8" s="1008"/>
      <c r="AT8" s="1008"/>
      <c r="AU8" s="1008"/>
      <c r="AV8" s="1008"/>
      <c r="AW8" s="1008"/>
      <c r="AX8" s="1008"/>
      <c r="AY8" s="1008"/>
      <c r="AZ8" s="1008"/>
      <c r="BA8" s="1008"/>
      <c r="BB8" s="1008"/>
      <c r="BC8" s="1008"/>
      <c r="BD8" s="1008"/>
      <c r="BE8" s="1008"/>
      <c r="BF8" s="1008"/>
      <c r="BG8" s="1008"/>
      <c r="BH8" s="1008"/>
      <c r="BI8" s="1008"/>
      <c r="BJ8" s="1008"/>
    </row>
    <row r="9" spans="1:74">
      <c r="A9" s="1849"/>
      <c r="B9" s="22" t="s">
        <v>584</v>
      </c>
      <c r="E9" s="1588">
        <v>0.59199999999999997</v>
      </c>
      <c r="G9" s="1588">
        <v>0.874</v>
      </c>
      <c r="I9" s="1008">
        <f>+flow!F55</f>
        <v>1.9450000000000052</v>
      </c>
      <c r="K9" s="1008">
        <f>+flow!H55</f>
        <v>42.667000000000009</v>
      </c>
      <c r="L9" s="39"/>
      <c r="M9" s="1008">
        <f>+flow!J55</f>
        <v>163.56399999999999</v>
      </c>
      <c r="O9" s="1008">
        <f>+flow!L55</f>
        <v>147.90800000000002</v>
      </c>
      <c r="Q9" s="1008">
        <f>+flow!N55</f>
        <v>155.79700000000005</v>
      </c>
      <c r="S9" s="1008">
        <f>+flow!P55</f>
        <v>192.64500000000007</v>
      </c>
      <c r="U9" s="1008">
        <f>+flow!R55</f>
        <v>43.354999999999876</v>
      </c>
      <c r="W9" s="1008">
        <f>+flow!T55</f>
        <v>47.081000000009624</v>
      </c>
      <c r="Y9" s="1535">
        <f>+flow!V55</f>
        <v>338.73500000001059</v>
      </c>
      <c r="AA9" s="1535">
        <f>+flow!X55</f>
        <v>50.687000000010471</v>
      </c>
      <c r="AC9" s="1535">
        <f>+flow!Z55</f>
        <v>81.959000000010434</v>
      </c>
      <c r="AE9" s="1535">
        <f>+flow!AB55</f>
        <v>118.04400000001007</v>
      </c>
      <c r="AG9" s="1535">
        <f>522.764-0.642</f>
        <v>522.12199999999996</v>
      </c>
      <c r="AI9" s="1535">
        <f>+flow!AF55</f>
        <v>669.95000000001005</v>
      </c>
      <c r="AK9" s="1535">
        <f>+flow!AH55</f>
        <v>826.35300000001007</v>
      </c>
      <c r="AM9" s="1008">
        <f>+flow!AJ55</f>
        <v>583.49200000000053</v>
      </c>
      <c r="AO9" s="1008">
        <f>flow!AL55</f>
        <v>643.50499999999977</v>
      </c>
      <c r="AQ9" s="1008">
        <f>+flow!AN55</f>
        <v>601.74999999999977</v>
      </c>
      <c r="AS9" s="1008">
        <f>+flow!AP55</f>
        <v>520.70799999999974</v>
      </c>
      <c r="AT9" s="1008"/>
      <c r="AU9" s="1008">
        <f>flow!AR55</f>
        <v>588.57799999999975</v>
      </c>
      <c r="AV9" s="1008"/>
      <c r="AW9" s="1008">
        <f>+flow!AT55</f>
        <v>547.18899999999974</v>
      </c>
      <c r="AX9" s="1008"/>
      <c r="AY9" s="1008">
        <f>+flow!AV55</f>
        <v>689.46958499999994</v>
      </c>
      <c r="AZ9" s="1008"/>
      <c r="BA9" s="1008">
        <f>+flow!AX55</f>
        <v>700.67991216555538</v>
      </c>
      <c r="BB9" s="1008"/>
      <c r="BC9" s="1008">
        <f>+flow!AZ55</f>
        <v>773.14041135647267</v>
      </c>
      <c r="BD9" s="1008"/>
      <c r="BE9" s="1008">
        <f>+flow!BB55</f>
        <v>828.25634647935681</v>
      </c>
      <c r="BF9" s="1008"/>
      <c r="BG9" s="1008">
        <f>+flow!BD55</f>
        <v>848.31798901898344</v>
      </c>
      <c r="BH9" s="1008"/>
      <c r="BI9" s="1008">
        <f>+flow!BF55</f>
        <v>867.73039086353037</v>
      </c>
      <c r="BJ9" s="1008"/>
      <c r="BR9" s="1008"/>
      <c r="BS9" s="1824"/>
      <c r="BV9" s="1835"/>
    </row>
    <row r="10" spans="1:74">
      <c r="A10" s="1849"/>
      <c r="B10" s="22" t="s">
        <v>438</v>
      </c>
      <c r="E10" s="1588"/>
      <c r="G10" s="1588"/>
      <c r="I10" s="1008"/>
      <c r="K10" s="1008"/>
      <c r="L10" s="39"/>
      <c r="M10" s="1008"/>
      <c r="O10" s="1008">
        <v>45.600999999999999</v>
      </c>
      <c r="Q10" s="1008"/>
      <c r="S10" s="1008">
        <v>71.22</v>
      </c>
      <c r="U10" s="1008">
        <v>386.70800000000003</v>
      </c>
      <c r="W10" s="1008">
        <v>473.99200000000002</v>
      </c>
      <c r="Y10" s="1535"/>
      <c r="AA10" s="1699">
        <v>411.16699999999997</v>
      </c>
      <c r="AC10" s="1699">
        <v>447.79300000000001</v>
      </c>
      <c r="AE10" s="1699">
        <v>530.48599999999999</v>
      </c>
      <c r="AG10" s="1699">
        <v>0</v>
      </c>
      <c r="AI10" s="1699">
        <v>32.356000000000002</v>
      </c>
      <c r="AK10" s="1699">
        <v>0</v>
      </c>
      <c r="AM10" s="119">
        <v>84.65</v>
      </c>
      <c r="AO10" s="1699">
        <v>0</v>
      </c>
      <c r="AQ10" s="119">
        <v>0</v>
      </c>
      <c r="AS10" s="119">
        <v>0</v>
      </c>
      <c r="AT10" s="1824"/>
      <c r="AU10" s="119">
        <v>0</v>
      </c>
      <c r="AV10" s="1824"/>
      <c r="AW10" s="119">
        <f>+AU10</f>
        <v>0</v>
      </c>
      <c r="AX10" s="1824"/>
      <c r="AY10" s="1824">
        <f>+AW10</f>
        <v>0</v>
      </c>
      <c r="AZ10" s="1824"/>
      <c r="BA10" s="1824">
        <f>+AY10</f>
        <v>0</v>
      </c>
      <c r="BB10" s="1824"/>
      <c r="BC10" s="1824">
        <f>+BA10</f>
        <v>0</v>
      </c>
      <c r="BD10" s="1824"/>
      <c r="BE10" s="1824">
        <f>+BC10</f>
        <v>0</v>
      </c>
      <c r="BF10" s="1824"/>
      <c r="BG10" s="1824">
        <f>+BE10</f>
        <v>0</v>
      </c>
      <c r="BH10" s="1824"/>
      <c r="BI10" s="1824">
        <f>+BG10</f>
        <v>0</v>
      </c>
      <c r="BJ10" s="1824"/>
      <c r="BT10" s="113"/>
      <c r="BV10" s="113"/>
    </row>
    <row r="11" spans="1:74">
      <c r="A11" s="1849"/>
      <c r="B11" s="22" t="s">
        <v>604</v>
      </c>
      <c r="E11" s="119">
        <v>3.6320000000000001</v>
      </c>
      <c r="G11" s="119">
        <v>3.617</v>
      </c>
      <c r="I11" s="119">
        <v>2.1019999999999999</v>
      </c>
      <c r="K11" s="119">
        <v>1.6950000000000001</v>
      </c>
      <c r="L11" s="1321"/>
      <c r="M11" s="119">
        <v>4.101</v>
      </c>
      <c r="O11" s="119">
        <v>11.446999999999999</v>
      </c>
      <c r="Q11" s="119">
        <v>15.829000000000001</v>
      </c>
      <c r="S11" s="119">
        <v>20.456</v>
      </c>
      <c r="U11" s="119">
        <v>10.571999999999999</v>
      </c>
      <c r="W11" s="119">
        <v>7.1970000000000001</v>
      </c>
      <c r="Y11" s="119">
        <v>37.76</v>
      </c>
      <c r="AA11" s="1699">
        <v>41.854999999999997</v>
      </c>
      <c r="AC11" s="1699">
        <v>43.24</v>
      </c>
      <c r="AE11" s="1699">
        <v>53.801000000000002</v>
      </c>
      <c r="AG11" s="1699">
        <v>53.11</v>
      </c>
      <c r="AI11" s="1699">
        <v>90.864999999999995</v>
      </c>
      <c r="AK11" s="1699">
        <v>81.263999999999996</v>
      </c>
      <c r="AM11" s="119">
        <v>89.35</v>
      </c>
      <c r="AO11" s="1699">
        <v>99.622</v>
      </c>
      <c r="AQ11" s="119">
        <v>67.965000000000003</v>
      </c>
      <c r="AS11" s="119">
        <v>52.91</v>
      </c>
      <c r="AT11" s="1824"/>
      <c r="AU11" s="119">
        <v>56.868000000000002</v>
      </c>
      <c r="AV11" s="1824"/>
      <c r="AW11" s="119">
        <v>93.384</v>
      </c>
      <c r="AX11" s="1824"/>
      <c r="AY11" s="2276">
        <v>79.724000000000004</v>
      </c>
      <c r="AZ11" s="1824"/>
      <c r="BA11" s="1824">
        <f>+BA69*BA74</f>
        <v>98.468179622789137</v>
      </c>
      <c r="BB11" s="1824"/>
      <c r="BC11" s="1824">
        <f>+BC69*BC74</f>
        <v>98.27711412760965</v>
      </c>
      <c r="BD11" s="1824"/>
      <c r="BE11" s="1824">
        <f>+BE69*BE74</f>
        <v>97.75212564324741</v>
      </c>
      <c r="BF11" s="1824"/>
      <c r="BG11" s="1824">
        <f>+BG69*BG74</f>
        <v>97.046793652440996</v>
      </c>
      <c r="BH11" s="1824"/>
      <c r="BI11" s="1824">
        <f>+BI69*BI74</f>
        <v>96.776135118945547</v>
      </c>
      <c r="BJ11" s="1824"/>
    </row>
    <row r="12" spans="1:74">
      <c r="A12" s="1849"/>
      <c r="B12" s="22" t="s">
        <v>215</v>
      </c>
      <c r="E12" s="119">
        <v>16.550999999999998</v>
      </c>
      <c r="G12" s="119">
        <v>30.388000000000002</v>
      </c>
      <c r="I12" s="119">
        <v>34.942999999999998</v>
      </c>
      <c r="K12" s="119">
        <v>33.927</v>
      </c>
      <c r="L12" s="1321"/>
      <c r="M12" s="119">
        <v>43.991999999999997</v>
      </c>
      <c r="O12" s="119">
        <v>75.262</v>
      </c>
      <c r="Q12" s="119">
        <v>120.997</v>
      </c>
      <c r="S12" s="119">
        <v>108.876</v>
      </c>
      <c r="U12" s="119">
        <v>143.30600000000001</v>
      </c>
      <c r="W12" s="119">
        <v>170.703</v>
      </c>
      <c r="Y12" s="119">
        <v>211.19800000000001</v>
      </c>
      <c r="AA12" s="1699">
        <v>362.536</v>
      </c>
      <c r="AC12" s="1699">
        <v>427.447</v>
      </c>
      <c r="AE12" s="1699">
        <v>333.15300000000002</v>
      </c>
      <c r="AG12" s="1699">
        <v>372.42200000000003</v>
      </c>
      <c r="AI12" s="1699">
        <v>310.64499999999998</v>
      </c>
      <c r="AK12" s="1699">
        <v>385.85700000000003</v>
      </c>
      <c r="AM12" s="1699">
        <v>679.93499999999995</v>
      </c>
      <c r="AO12" s="1699">
        <v>426.96199999999999</v>
      </c>
      <c r="AQ12" s="119">
        <v>530.19200000000001</v>
      </c>
      <c r="AS12" s="119">
        <v>460.79399999999998</v>
      </c>
      <c r="AT12" s="1824"/>
      <c r="AU12" s="119">
        <v>436.70100000000002</v>
      </c>
      <c r="AV12" s="1824"/>
      <c r="AW12" s="119">
        <v>399.79500000000002</v>
      </c>
      <c r="AX12" s="1824"/>
      <c r="AY12" s="119">
        <v>424.39299999999997</v>
      </c>
      <c r="AZ12" s="1824"/>
      <c r="BA12" s="1824">
        <f>+BA75*BA69</f>
        <v>421.56135818012706</v>
      </c>
      <c r="BB12" s="1824"/>
      <c r="BC12" s="1824">
        <f>+BC75*BC69</f>
        <v>420.74336977049279</v>
      </c>
      <c r="BD12" s="1824"/>
      <c r="BE12" s="1824">
        <f>+BE75*BE69</f>
        <v>418.49579233639702</v>
      </c>
      <c r="BF12" s="1824"/>
      <c r="BG12" s="1824">
        <f>+BG75*BG69</f>
        <v>415.47612940415542</v>
      </c>
      <c r="BH12" s="1824"/>
      <c r="BI12" s="1824">
        <f>+BI75*BI69</f>
        <v>414.31738777391024</v>
      </c>
      <c r="BJ12" s="1824"/>
    </row>
    <row r="13" spans="1:74">
      <c r="A13" s="1849"/>
      <c r="B13" s="22" t="s">
        <v>605</v>
      </c>
      <c r="E13" s="1850">
        <f>1.974+0.357</f>
        <v>2.331</v>
      </c>
      <c r="G13" s="1850">
        <f>3.529+0.448</f>
        <v>3.9769999999999999</v>
      </c>
      <c r="I13" s="1850">
        <f>5.3+0.588</f>
        <v>5.8879999999999999</v>
      </c>
      <c r="J13" s="1321"/>
      <c r="K13" s="1850">
        <f>5.592+23.785+1.296</f>
        <v>30.672999999999998</v>
      </c>
      <c r="L13" s="1321"/>
      <c r="M13" s="1850">
        <v>6.5779999999999994</v>
      </c>
      <c r="O13" s="1850">
        <f>11.674+8.325</f>
        <v>19.998999999999999</v>
      </c>
      <c r="Q13" s="1850">
        <f>17.817+11.338</f>
        <v>29.155000000000001</v>
      </c>
      <c r="S13" s="1850">
        <f>21.524+15.455</f>
        <v>36.978999999999999</v>
      </c>
      <c r="U13" s="1850">
        <f>25.671+19.77</f>
        <v>45.441000000000003</v>
      </c>
      <c r="W13" s="1850">
        <f>29.993+23.689</f>
        <v>53.682000000000002</v>
      </c>
      <c r="Y13" s="1711">
        <f>39.09+44.001</f>
        <v>83.091000000000008</v>
      </c>
      <c r="AA13" s="1711">
        <f>29.654+51.185</f>
        <v>80.838999999999999</v>
      </c>
      <c r="AC13" s="1711">
        <f>33.17+58.469</f>
        <v>91.63900000000001</v>
      </c>
      <c r="AE13" s="1711">
        <f>36.128+68.643</f>
        <v>104.771</v>
      </c>
      <c r="AG13" s="1711">
        <f>93.763+43.408</f>
        <v>137.17099999999999</v>
      </c>
      <c r="AI13" s="1711">
        <f>44.57+77.297</f>
        <v>121.86699999999999</v>
      </c>
      <c r="AK13" s="1711">
        <f>60.405+79.389</f>
        <v>139.79399999999998</v>
      </c>
      <c r="AM13" s="1711">
        <f>35.882+84.342</f>
        <v>120.22399999999999</v>
      </c>
      <c r="AO13" s="1711">
        <f>105.177+32.558</f>
        <v>137.73500000000001</v>
      </c>
      <c r="AQ13" s="1850">
        <f>100.458+21.835</f>
        <v>122.29300000000001</v>
      </c>
      <c r="AS13" s="1850">
        <f>13.986+116.574</f>
        <v>130.56</v>
      </c>
      <c r="AT13" s="1851"/>
      <c r="AU13" s="1850">
        <v>96.832999999999998</v>
      </c>
      <c r="AV13" s="1851"/>
      <c r="AW13" s="1850">
        <v>98.932000000000002</v>
      </c>
      <c r="AX13" s="1851"/>
      <c r="AY13" s="2277">
        <v>84.863</v>
      </c>
      <c r="AZ13" s="1851"/>
      <c r="BA13" s="1851">
        <f>AY13</f>
        <v>84.863</v>
      </c>
      <c r="BB13" s="1851"/>
      <c r="BC13" s="1851">
        <f>BA13</f>
        <v>84.863</v>
      </c>
      <c r="BD13" s="1851"/>
      <c r="BE13" s="1851">
        <f>BC13</f>
        <v>84.863</v>
      </c>
      <c r="BF13" s="1851"/>
      <c r="BG13" s="1851">
        <f>BE13</f>
        <v>84.863</v>
      </c>
      <c r="BH13" s="1851"/>
      <c r="BI13" s="1851">
        <f>BG13</f>
        <v>84.863</v>
      </c>
      <c r="BJ13" s="1827"/>
    </row>
    <row r="14" spans="1:74">
      <c r="A14" s="1849"/>
      <c r="C14" s="22" t="s">
        <v>125</v>
      </c>
      <c r="E14" s="379">
        <f>SUM(E9:E13)</f>
        <v>23.105999999999998</v>
      </c>
      <c r="G14" s="379">
        <f>SUM(G9:G13)</f>
        <v>38.856000000000002</v>
      </c>
      <c r="I14" s="379">
        <f>SUM(I9:I13)</f>
        <v>44.878</v>
      </c>
      <c r="K14" s="379">
        <f>SUM(K9:K13)</f>
        <v>108.96200000000002</v>
      </c>
      <c r="M14" s="379">
        <f>SUM(M9:M13)</f>
        <v>218.23499999999999</v>
      </c>
      <c r="O14" s="379">
        <f>SUM(O9:O13)</f>
        <v>300.21700000000004</v>
      </c>
      <c r="Q14" s="379">
        <f>SUM(Q9:Q13)</f>
        <v>321.77800000000002</v>
      </c>
      <c r="S14" s="379">
        <f>SUM(S9:S13)</f>
        <v>430.1760000000001</v>
      </c>
      <c r="U14" s="379">
        <f>SUM(U9:U13)</f>
        <v>629.38199999999995</v>
      </c>
      <c r="W14" s="379">
        <f>SUM(W9:W13)</f>
        <v>752.65500000000964</v>
      </c>
      <c r="Y14" s="1536">
        <f>SUM(Y9:Y13)</f>
        <v>670.78400000001056</v>
      </c>
      <c r="AA14" s="1536">
        <f>SUM(AA9:AA13)</f>
        <v>947.08400000001052</v>
      </c>
      <c r="AC14" s="1536">
        <f>SUM(AC9:AC13)</f>
        <v>1092.0780000000104</v>
      </c>
      <c r="AE14" s="1536">
        <f>SUM(AE9:AE13)</f>
        <v>1140.2550000000101</v>
      </c>
      <c r="AG14" s="1536">
        <f>SUM(AG9:AG13)</f>
        <v>1084.825</v>
      </c>
      <c r="AI14" s="1536">
        <f>SUM(AI9:AI13)</f>
        <v>1225.68300000001</v>
      </c>
      <c r="AK14" s="1536">
        <f>SUM(AK9:AK13)</f>
        <v>1433.26800000001</v>
      </c>
      <c r="AM14" s="379">
        <f>SUM(AM9:AM13)</f>
        <v>1557.6510000000005</v>
      </c>
      <c r="AO14" s="1536">
        <f>SUM(AO9:AO13)</f>
        <v>1307.8239999999996</v>
      </c>
      <c r="AQ14" s="379">
        <f>SUM(AQ9:AQ13)</f>
        <v>1322.1999999999998</v>
      </c>
      <c r="AS14" s="379">
        <f>SUM(AS9:AS13)</f>
        <v>1164.9719999999998</v>
      </c>
      <c r="AT14" s="379"/>
      <c r="AU14" s="379">
        <f>SUM(AU9:AU13)</f>
        <v>1178.98</v>
      </c>
      <c r="AV14" s="379"/>
      <c r="AW14" s="379">
        <f>SUM(AW9:AW13)</f>
        <v>1139.2999999999997</v>
      </c>
      <c r="AX14" s="379"/>
      <c r="AY14" s="379">
        <f>SUM(AY9:AY13)</f>
        <v>1278.4495850000001</v>
      </c>
      <c r="AZ14" s="379"/>
      <c r="BA14" s="379">
        <f>SUM(BA9:BA13)</f>
        <v>1305.5724499684718</v>
      </c>
      <c r="BB14" s="379"/>
      <c r="BC14" s="379">
        <f>SUM(BC9:BC13)</f>
        <v>1377.0238952545751</v>
      </c>
      <c r="BD14" s="379"/>
      <c r="BE14" s="379">
        <f>SUM(BE9:BE13)</f>
        <v>1429.3672644590013</v>
      </c>
      <c r="BF14" s="379"/>
      <c r="BG14" s="379">
        <f>SUM(BG9:BG13)</f>
        <v>1445.7039120755799</v>
      </c>
      <c r="BH14" s="379"/>
      <c r="BI14" s="379">
        <f>SUM(BI9:BI13)</f>
        <v>1463.6869137563863</v>
      </c>
      <c r="BJ14" s="379"/>
    </row>
    <row r="15" spans="1:74" ht="6" customHeight="1">
      <c r="A15" s="1852"/>
      <c r="E15" s="379"/>
      <c r="G15" s="379"/>
      <c r="I15" s="379"/>
      <c r="K15" s="379"/>
      <c r="M15" s="379"/>
      <c r="O15" s="379"/>
      <c r="Q15" s="379"/>
      <c r="S15" s="379"/>
      <c r="U15" s="379"/>
      <c r="W15" s="379"/>
      <c r="Y15" s="1536"/>
      <c r="AA15" s="1536"/>
      <c r="AC15" s="1536"/>
      <c r="AE15" s="1536"/>
      <c r="AG15" s="1536"/>
      <c r="AI15" s="1536"/>
      <c r="AK15" s="1536"/>
      <c r="AM15" s="379"/>
      <c r="AO15" s="1536"/>
      <c r="AQ15" s="379"/>
      <c r="AS15" s="379"/>
      <c r="AT15" s="379"/>
      <c r="AU15" s="379"/>
      <c r="AV15" s="379"/>
      <c r="AW15" s="379"/>
      <c r="AX15" s="379"/>
      <c r="AY15" s="379"/>
      <c r="AZ15" s="379"/>
      <c r="BA15" s="379"/>
      <c r="BB15" s="379"/>
      <c r="BC15" s="379"/>
      <c r="BD15" s="379"/>
      <c r="BE15" s="379"/>
      <c r="BF15" s="379"/>
      <c r="BG15" s="379"/>
      <c r="BH15" s="379"/>
      <c r="BI15" s="379"/>
      <c r="BJ15" s="379"/>
    </row>
    <row r="16" spans="1:74" hidden="1" outlineLevel="1">
      <c r="A16" s="1852"/>
      <c r="C16" s="22" t="s">
        <v>14</v>
      </c>
      <c r="E16" s="379"/>
      <c r="G16" s="379"/>
      <c r="I16" s="379"/>
      <c r="K16" s="379"/>
      <c r="M16" s="379"/>
      <c r="O16" s="379"/>
      <c r="Q16" s="379"/>
      <c r="S16" s="379"/>
      <c r="U16" s="379"/>
      <c r="W16" s="379"/>
      <c r="Y16" s="1536"/>
      <c r="AA16" s="1536"/>
      <c r="AC16" s="1544">
        <v>32.290999999999997</v>
      </c>
      <c r="AE16" s="1544">
        <v>32.302</v>
      </c>
      <c r="AG16" s="1544">
        <v>32.302</v>
      </c>
      <c r="AI16" s="1544">
        <v>32.877000000000002</v>
      </c>
      <c r="AK16" s="1544">
        <v>36.884999999999998</v>
      </c>
      <c r="AM16" s="1853">
        <v>36.89</v>
      </c>
      <c r="AO16" s="1536"/>
      <c r="AQ16" s="379"/>
      <c r="AS16" s="379"/>
      <c r="AT16" s="379"/>
      <c r="AU16" s="379"/>
      <c r="AV16" s="379"/>
      <c r="AW16" s="379"/>
      <c r="AX16" s="379"/>
      <c r="AY16" s="379"/>
      <c r="AZ16" s="379"/>
      <c r="BA16" s="379"/>
      <c r="BB16" s="379"/>
      <c r="BC16" s="379"/>
      <c r="BD16" s="379"/>
      <c r="BE16" s="379"/>
      <c r="BF16" s="379"/>
      <c r="BG16" s="379"/>
      <c r="BH16" s="379"/>
      <c r="BI16" s="379"/>
      <c r="BJ16" s="379"/>
    </row>
    <row r="17" spans="1:62" hidden="1" outlineLevel="1">
      <c r="A17" s="1852"/>
      <c r="C17" s="22" t="s">
        <v>15</v>
      </c>
      <c r="E17" s="379"/>
      <c r="G17" s="379"/>
      <c r="I17" s="379"/>
      <c r="K17" s="379"/>
      <c r="M17" s="379"/>
      <c r="O17" s="379"/>
      <c r="Q17" s="379"/>
      <c r="S17" s="379"/>
      <c r="U17" s="379"/>
      <c r="W17" s="379"/>
      <c r="Y17" s="1536"/>
      <c r="AA17" s="1536"/>
      <c r="AC17" s="1699">
        <v>181.11099999999999</v>
      </c>
      <c r="AE17" s="1699">
        <v>193.34399999999999</v>
      </c>
      <c r="AG17" s="1699">
        <v>235.738</v>
      </c>
      <c r="AI17" s="1699">
        <v>223.53200000000001</v>
      </c>
      <c r="AK17" s="1699">
        <v>223.52</v>
      </c>
      <c r="AM17" s="119">
        <v>267.56599999999997</v>
      </c>
      <c r="AO17" s="1536"/>
      <c r="AQ17" s="379"/>
      <c r="AS17" s="379"/>
      <c r="AT17" s="379"/>
      <c r="AU17" s="379"/>
      <c r="AV17" s="379"/>
      <c r="AW17" s="379"/>
      <c r="AX17" s="379"/>
      <c r="AY17" s="379"/>
      <c r="AZ17" s="379"/>
      <c r="BA17" s="379"/>
      <c r="BB17" s="379"/>
      <c r="BC17" s="379"/>
      <c r="BD17" s="379"/>
      <c r="BE17" s="379"/>
      <c r="BF17" s="379"/>
      <c r="BG17" s="379"/>
      <c r="BH17" s="379"/>
      <c r="BI17" s="379"/>
      <c r="BJ17" s="379"/>
    </row>
    <row r="18" spans="1:62" hidden="1" outlineLevel="1">
      <c r="A18" s="1852"/>
      <c r="C18" s="22" t="s">
        <v>16</v>
      </c>
      <c r="E18" s="379"/>
      <c r="G18" s="379"/>
      <c r="I18" s="379"/>
      <c r="K18" s="379"/>
      <c r="M18" s="379"/>
      <c r="O18" s="379"/>
      <c r="Q18" s="379"/>
      <c r="S18" s="379"/>
      <c r="U18" s="379"/>
      <c r="W18" s="379"/>
      <c r="Y18" s="1536"/>
      <c r="AA18" s="1536"/>
      <c r="AC18" s="1699">
        <v>520.39099999999996</v>
      </c>
      <c r="AE18" s="1699">
        <v>540.11400000000003</v>
      </c>
      <c r="AG18" s="1699">
        <v>628.19500000000005</v>
      </c>
      <c r="AI18" s="1699">
        <v>593.98400000000004</v>
      </c>
      <c r="AK18" s="1699">
        <v>602.88499999999999</v>
      </c>
      <c r="AM18" s="119">
        <v>614.64099999999996</v>
      </c>
      <c r="AO18" s="1536"/>
      <c r="AQ18" s="379"/>
      <c r="AS18" s="379"/>
      <c r="AT18" s="379"/>
      <c r="AU18" s="379"/>
      <c r="AV18" s="379"/>
      <c r="AW18" s="379"/>
      <c r="AX18" s="379"/>
      <c r="AY18" s="379"/>
      <c r="AZ18" s="379"/>
      <c r="BA18" s="379"/>
      <c r="BB18" s="379"/>
      <c r="BC18" s="379"/>
      <c r="BD18" s="379"/>
      <c r="BE18" s="379"/>
      <c r="BF18" s="379"/>
      <c r="BG18" s="379"/>
      <c r="BH18" s="379"/>
      <c r="BI18" s="379"/>
      <c r="BJ18" s="379"/>
    </row>
    <row r="19" spans="1:62" hidden="1" outlineLevel="1">
      <c r="A19" s="1852"/>
      <c r="C19" s="22" t="s">
        <v>17</v>
      </c>
      <c r="E19" s="379"/>
      <c r="G19" s="379"/>
      <c r="I19" s="379"/>
      <c r="K19" s="379"/>
      <c r="M19" s="379"/>
      <c r="O19" s="379"/>
      <c r="Q19" s="379"/>
      <c r="S19" s="379"/>
      <c r="U19" s="379"/>
      <c r="W19" s="379"/>
      <c r="Y19" s="1536"/>
      <c r="AA19" s="1536"/>
      <c r="AC19" s="1699">
        <v>48.173000000000002</v>
      </c>
      <c r="AE19" s="1699">
        <v>81.11</v>
      </c>
      <c r="AG19" s="1699">
        <v>138.096</v>
      </c>
      <c r="AI19" s="1699">
        <v>211.46100000000001</v>
      </c>
      <c r="AK19" s="1699">
        <v>233.86699999999999</v>
      </c>
      <c r="AM19" s="119">
        <v>237.245</v>
      </c>
      <c r="AO19" s="1536"/>
      <c r="AQ19" s="379"/>
      <c r="AS19" s="379"/>
      <c r="AT19" s="379"/>
      <c r="AU19" s="379"/>
      <c r="AV19" s="379"/>
      <c r="AW19" s="379"/>
      <c r="AX19" s="379"/>
      <c r="AY19" s="379"/>
      <c r="AZ19" s="379"/>
      <c r="BA19" s="379"/>
      <c r="BB19" s="379"/>
      <c r="BC19" s="379"/>
      <c r="BD19" s="379"/>
      <c r="BE19" s="379"/>
      <c r="BF19" s="379"/>
      <c r="BG19" s="379"/>
      <c r="BH19" s="379"/>
      <c r="BI19" s="379"/>
      <c r="BJ19" s="379"/>
    </row>
    <row r="20" spans="1:62" hidden="1" outlineLevel="1">
      <c r="A20" s="1852"/>
      <c r="C20" s="22" t="s">
        <v>396</v>
      </c>
      <c r="E20" s="379"/>
      <c r="G20" s="379"/>
      <c r="I20" s="379"/>
      <c r="K20" s="379"/>
      <c r="M20" s="379"/>
      <c r="O20" s="379"/>
      <c r="Q20" s="379"/>
      <c r="S20" s="379"/>
      <c r="U20" s="379"/>
      <c r="W20" s="379"/>
      <c r="Y20" s="1536"/>
      <c r="AA20" s="1536"/>
      <c r="AC20" s="1699">
        <v>754.22400000000005</v>
      </c>
      <c r="AE20" s="1699">
        <v>977.947</v>
      </c>
      <c r="AG20" s="1699">
        <v>1143.6559999999999</v>
      </c>
      <c r="AI20" s="1699">
        <v>1205.2760000000001</v>
      </c>
      <c r="AK20" s="1699">
        <v>1247.4929999999999</v>
      </c>
      <c r="AM20" s="119">
        <v>1340.4870000000001</v>
      </c>
      <c r="AO20" s="1536"/>
      <c r="AQ20" s="379"/>
      <c r="AS20" s="379"/>
      <c r="AT20" s="379"/>
      <c r="AU20" s="379"/>
      <c r="AV20" s="379"/>
      <c r="AW20" s="379"/>
      <c r="AX20" s="379"/>
      <c r="AY20" s="379"/>
      <c r="AZ20" s="379"/>
      <c r="BA20" s="379"/>
      <c r="BB20" s="379"/>
      <c r="BC20" s="379"/>
      <c r="BD20" s="379"/>
      <c r="BE20" s="379"/>
      <c r="BF20" s="379"/>
      <c r="BG20" s="379"/>
      <c r="BH20" s="379"/>
      <c r="BI20" s="379"/>
      <c r="BJ20" s="379"/>
    </row>
    <row r="21" spans="1:62" hidden="1" outlineLevel="1">
      <c r="A21" s="1852"/>
      <c r="C21" s="22" t="s">
        <v>397</v>
      </c>
      <c r="E21" s="379"/>
      <c r="G21" s="379"/>
      <c r="I21" s="379"/>
      <c r="K21" s="379"/>
      <c r="M21" s="379"/>
      <c r="O21" s="379"/>
      <c r="Q21" s="379"/>
      <c r="S21" s="379"/>
      <c r="U21" s="379"/>
      <c r="W21" s="379"/>
      <c r="Y21" s="1536"/>
      <c r="AA21" s="1536"/>
      <c r="AC21" s="1699">
        <v>122.69499999999999</v>
      </c>
      <c r="AE21" s="1699">
        <v>177.887</v>
      </c>
      <c r="AG21" s="1699">
        <v>114.28</v>
      </c>
      <c r="AI21" s="1699">
        <v>48.351999999999997</v>
      </c>
      <c r="AK21" s="1699">
        <v>69.576999999999998</v>
      </c>
      <c r="AM21" s="119">
        <v>113.663</v>
      </c>
      <c r="AO21" s="1536"/>
      <c r="AQ21" s="379"/>
      <c r="AS21" s="379"/>
      <c r="AT21" s="379"/>
      <c r="AU21" s="379"/>
      <c r="AV21" s="379"/>
      <c r="AW21" s="379"/>
      <c r="AX21" s="379"/>
      <c r="AY21" s="379"/>
      <c r="AZ21" s="379"/>
      <c r="BA21" s="379"/>
      <c r="BB21" s="379"/>
      <c r="BC21" s="379"/>
      <c r="BD21" s="379"/>
      <c r="BE21" s="379"/>
      <c r="BF21" s="379"/>
      <c r="BG21" s="379"/>
      <c r="BH21" s="379"/>
      <c r="BI21" s="379"/>
      <c r="BJ21" s="379"/>
    </row>
    <row r="22" spans="1:62" hidden="1" outlineLevel="1">
      <c r="A22" s="1852"/>
      <c r="C22" s="22" t="s">
        <v>398</v>
      </c>
      <c r="E22" s="379"/>
      <c r="G22" s="379"/>
      <c r="I22" s="379"/>
      <c r="K22" s="379"/>
      <c r="M22" s="379"/>
      <c r="O22" s="379"/>
      <c r="Q22" s="379"/>
      <c r="S22" s="379"/>
      <c r="U22" s="379"/>
      <c r="W22" s="379"/>
      <c r="Y22" s="1536"/>
      <c r="AA22" s="1536"/>
      <c r="AC22" s="1699">
        <v>10.167999999999999</v>
      </c>
      <c r="AE22" s="1699">
        <v>51.570999999999998</v>
      </c>
      <c r="AG22" s="1699">
        <v>47.017000000000003</v>
      </c>
      <c r="AI22" s="1699">
        <v>47.01</v>
      </c>
      <c r="AK22" s="1699">
        <v>47.006</v>
      </c>
      <c r="AM22" s="119">
        <v>44.726999999999997</v>
      </c>
      <c r="AO22" s="1536"/>
      <c r="AQ22" s="379"/>
      <c r="AS22" s="379"/>
      <c r="AT22" s="379"/>
      <c r="AU22" s="379"/>
      <c r="AV22" s="379"/>
      <c r="AW22" s="379"/>
      <c r="AX22" s="379"/>
      <c r="AY22" s="379"/>
      <c r="AZ22" s="379"/>
      <c r="BA22" s="379"/>
      <c r="BB22" s="379"/>
      <c r="BC22" s="379"/>
      <c r="BD22" s="379"/>
      <c r="BE22" s="379"/>
      <c r="BF22" s="379"/>
      <c r="BG22" s="379"/>
      <c r="BH22" s="379"/>
      <c r="BI22" s="379"/>
      <c r="BJ22" s="379"/>
    </row>
    <row r="23" spans="1:62" hidden="1" outlineLevel="1">
      <c r="A23" s="1852"/>
      <c r="C23" s="22" t="s">
        <v>399</v>
      </c>
      <c r="E23" s="379"/>
      <c r="G23" s="379"/>
      <c r="I23" s="379"/>
      <c r="K23" s="379"/>
      <c r="M23" s="379"/>
      <c r="O23" s="379"/>
      <c r="Q23" s="379"/>
      <c r="S23" s="379"/>
      <c r="U23" s="379"/>
      <c r="W23" s="379"/>
      <c r="Y23" s="1536"/>
      <c r="AA23" s="1536"/>
      <c r="AC23" s="1854">
        <v>-576.77099999999996</v>
      </c>
      <c r="AE23" s="1854">
        <v>-735.98400000000004</v>
      </c>
      <c r="AG23" s="1854">
        <v>-940.62900000000002</v>
      </c>
      <c r="AI23" s="1854">
        <v>-1118.473</v>
      </c>
      <c r="AK23" s="1854">
        <v>-1306.4739999999999</v>
      </c>
      <c r="AM23" s="1855">
        <v>-1457.9480000000001</v>
      </c>
      <c r="AO23" s="1536"/>
      <c r="AQ23" s="379"/>
      <c r="AS23" s="379"/>
      <c r="AT23" s="379"/>
      <c r="AU23" s="379"/>
      <c r="AV23" s="379"/>
      <c r="AW23" s="379"/>
      <c r="AX23" s="379"/>
      <c r="AY23" s="379"/>
      <c r="AZ23" s="379"/>
      <c r="BA23" s="379"/>
      <c r="BB23" s="379"/>
      <c r="BC23" s="379"/>
      <c r="BD23" s="379"/>
      <c r="BE23" s="379"/>
      <c r="BF23" s="379"/>
      <c r="BG23" s="379"/>
      <c r="BH23" s="379"/>
      <c r="BI23" s="379"/>
      <c r="BJ23" s="379"/>
    </row>
    <row r="24" spans="1:62" collapsed="1">
      <c r="A24" s="1849"/>
      <c r="B24" s="22" t="s">
        <v>607</v>
      </c>
      <c r="E24" s="1541">
        <v>34.904000000000003</v>
      </c>
      <c r="G24" s="1588">
        <v>47.203000000000003</v>
      </c>
      <c r="I24" s="1588">
        <v>58.991999999999997</v>
      </c>
      <c r="K24" s="1588">
        <v>70.516999999999996</v>
      </c>
      <c r="L24" s="39"/>
      <c r="M24" s="1588">
        <v>89.558000000000007</v>
      </c>
      <c r="N24" s="1856"/>
      <c r="O24" s="1588">
        <v>146.40299999999999</v>
      </c>
      <c r="P24" s="1856"/>
      <c r="Q24" s="1588">
        <v>278.78500000000003</v>
      </c>
      <c r="S24" s="1588">
        <v>365.11200000000002</v>
      </c>
      <c r="U24" s="1588">
        <v>542.96699999999998</v>
      </c>
      <c r="W24" s="1588">
        <v>630.02200000000005</v>
      </c>
      <c r="Y24" s="1541">
        <v>687.01099999999997</v>
      </c>
      <c r="AA24" s="1541">
        <v>813.60299999999995</v>
      </c>
      <c r="AC24" s="1541">
        <f>SUM(AC16:AC23)</f>
        <v>1092.2819999999999</v>
      </c>
      <c r="AE24" s="1541">
        <f>SUM(AE16:AE23)</f>
        <v>1318.2910000000002</v>
      </c>
      <c r="AG24" s="1541">
        <v>1398.655</v>
      </c>
      <c r="AI24" s="1541">
        <v>1244.019</v>
      </c>
      <c r="AK24" s="1541">
        <v>1149.5830000000001</v>
      </c>
      <c r="AM24" s="1588">
        <v>1197.271</v>
      </c>
      <c r="AO24" s="1541">
        <v>1308.232</v>
      </c>
      <c r="AQ24" s="1588">
        <v>1131.3409999999999</v>
      </c>
      <c r="AS24" s="1588">
        <v>967.00099999999998</v>
      </c>
      <c r="AT24" s="1008"/>
      <c r="AU24" s="1588">
        <v>894.178</v>
      </c>
      <c r="AV24" s="1008"/>
      <c r="AW24" s="1588">
        <v>824.73800000000006</v>
      </c>
      <c r="AX24" s="1008"/>
      <c r="AY24" s="1588">
        <v>738.18200000000002</v>
      </c>
      <c r="AZ24" s="1008"/>
      <c r="BA24" s="1008">
        <f>+AY24+flow!AX21-flow!AX11</f>
        <v>688.18200000000002</v>
      </c>
      <c r="BB24" s="1008"/>
      <c r="BC24" s="1008">
        <f>+BA24+flow!AZ21-flow!AZ11</f>
        <v>613.12931075297479</v>
      </c>
      <c r="BD24" s="1008"/>
      <c r="BE24" s="1008">
        <f>+BC24+flow!BB21-flow!BB11</f>
        <v>545.97644184399667</v>
      </c>
      <c r="BF24" s="1008"/>
      <c r="BG24" s="1008">
        <f>+BE24+flow!BD21-flow!BD11</f>
        <v>486.9441160226055</v>
      </c>
      <c r="BH24" s="1008"/>
      <c r="BI24" s="1008">
        <f>+BG24+flow!BF21-flow!BF11</f>
        <v>428.355323206945</v>
      </c>
      <c r="BJ24" s="1008"/>
    </row>
    <row r="25" spans="1:62" hidden="1">
      <c r="A25" s="1849"/>
      <c r="B25" s="22" t="s">
        <v>606</v>
      </c>
      <c r="E25" s="1699">
        <v>0</v>
      </c>
      <c r="F25" s="114"/>
      <c r="G25" s="1699">
        <v>1.6240000000000001</v>
      </c>
      <c r="H25" s="114"/>
      <c r="I25" s="1699">
        <v>1.885</v>
      </c>
      <c r="J25" s="1699"/>
      <c r="K25" s="1699">
        <v>3.7589999999999999</v>
      </c>
      <c r="L25" s="114"/>
      <c r="M25" s="1699">
        <v>11.484999999999999</v>
      </c>
      <c r="N25" s="114"/>
      <c r="O25" s="1699">
        <v>11.06</v>
      </c>
      <c r="Q25" s="119">
        <v>6.8490000000000002</v>
      </c>
      <c r="S25" s="119">
        <v>0</v>
      </c>
      <c r="U25" s="119">
        <v>0</v>
      </c>
      <c r="W25" s="119">
        <v>0</v>
      </c>
      <c r="Y25" s="1699">
        <v>0</v>
      </c>
      <c r="AA25" s="1699">
        <v>0</v>
      </c>
      <c r="AC25" s="1699">
        <f>AA25</f>
        <v>0</v>
      </c>
      <c r="AE25" s="1699">
        <v>0</v>
      </c>
      <c r="AG25" s="1699">
        <v>0</v>
      </c>
      <c r="AI25" s="1699">
        <v>0</v>
      </c>
      <c r="AK25" s="1705">
        <f>AI25</f>
        <v>0</v>
      </c>
      <c r="AM25" s="1824">
        <v>0</v>
      </c>
      <c r="AO25" s="1705">
        <f>AM25</f>
        <v>0</v>
      </c>
      <c r="AQ25" s="1824">
        <f>AO25</f>
        <v>0</v>
      </c>
      <c r="AS25" s="1824">
        <f>AQ25</f>
        <v>0</v>
      </c>
      <c r="AT25" s="1824"/>
      <c r="AU25" s="1824"/>
      <c r="AV25" s="1824"/>
      <c r="AW25" s="1824"/>
      <c r="AX25" s="1824"/>
      <c r="AY25" s="1824"/>
      <c r="AZ25" s="1824"/>
      <c r="BA25" s="1824"/>
      <c r="BB25" s="1824"/>
      <c r="BC25" s="1824"/>
      <c r="BD25" s="1824"/>
      <c r="BE25" s="1824"/>
      <c r="BF25" s="1824"/>
      <c r="BG25" s="1824"/>
      <c r="BH25" s="1824"/>
      <c r="BI25" s="1824"/>
      <c r="BJ25" s="1824"/>
    </row>
    <row r="26" spans="1:62">
      <c r="A26" s="1849"/>
      <c r="B26" s="22" t="s">
        <v>438</v>
      </c>
      <c r="E26" s="1699"/>
      <c r="F26" s="114"/>
      <c r="G26" s="1699"/>
      <c r="H26" s="114"/>
      <c r="I26" s="1699"/>
      <c r="J26" s="1699"/>
      <c r="K26" s="1699"/>
      <c r="L26" s="114"/>
      <c r="M26" s="1699"/>
      <c r="N26" s="114"/>
      <c r="O26" s="1699"/>
      <c r="Q26" s="119"/>
      <c r="S26" s="119"/>
      <c r="U26" s="119"/>
      <c r="W26" s="119"/>
      <c r="Y26" s="1699"/>
      <c r="AA26" s="1699"/>
      <c r="AC26" s="1699"/>
      <c r="AE26" s="1699"/>
      <c r="AG26" s="1699">
        <v>229.08099999999999</v>
      </c>
      <c r="AI26" s="1699">
        <v>141.79400000000001</v>
      </c>
      <c r="AK26" s="1699">
        <v>100.53400000000001</v>
      </c>
      <c r="AM26" s="119">
        <v>14.858000000000001</v>
      </c>
      <c r="AO26" s="1699">
        <v>0</v>
      </c>
      <c r="AQ26" s="119">
        <v>0</v>
      </c>
      <c r="AS26" s="119">
        <v>0</v>
      </c>
      <c r="AT26" s="1824"/>
      <c r="AU26" s="119">
        <f>AS26</f>
        <v>0</v>
      </c>
      <c r="AV26" s="1824"/>
      <c r="AW26" s="119">
        <v>0</v>
      </c>
      <c r="AX26" s="1824"/>
      <c r="AY26" s="1824">
        <f>AW26</f>
        <v>0</v>
      </c>
      <c r="AZ26" s="1824"/>
      <c r="BA26" s="1824">
        <f>AY26</f>
        <v>0</v>
      </c>
      <c r="BB26" s="1824"/>
      <c r="BC26" s="1824">
        <f>BA26</f>
        <v>0</v>
      </c>
      <c r="BD26" s="1824"/>
      <c r="BE26" s="1824">
        <f>BC26</f>
        <v>0</v>
      </c>
      <c r="BF26" s="1824"/>
      <c r="BG26" s="1824">
        <f>BE26</f>
        <v>0</v>
      </c>
      <c r="BH26" s="1824"/>
      <c r="BI26" s="1824">
        <f>BG26</f>
        <v>0</v>
      </c>
      <c r="BJ26" s="1824"/>
    </row>
    <row r="27" spans="1:62">
      <c r="A27" s="1849"/>
      <c r="B27" s="22" t="s">
        <v>139</v>
      </c>
      <c r="E27" s="1857">
        <v>8.0000000000000002E-3</v>
      </c>
      <c r="F27" s="97"/>
      <c r="G27" s="1857">
        <v>0.01</v>
      </c>
      <c r="H27" s="97"/>
      <c r="I27" s="1857">
        <v>6.0000000000000001E-3</v>
      </c>
      <c r="K27" s="1857">
        <v>0</v>
      </c>
      <c r="L27" s="97"/>
      <c r="M27" s="1857">
        <v>0</v>
      </c>
      <c r="N27" s="97"/>
      <c r="O27" s="1857">
        <v>0.48599999999999999</v>
      </c>
      <c r="P27" s="97"/>
      <c r="Q27" s="1857">
        <v>0.38100000000000001</v>
      </c>
      <c r="R27" s="97"/>
      <c r="S27" s="1857">
        <v>0.23899999999999999</v>
      </c>
      <c r="T27" s="97"/>
      <c r="U27" s="1857">
        <v>0.72499999999999998</v>
      </c>
      <c r="V27" s="97"/>
      <c r="W27" s="1857">
        <v>0.55200000000000005</v>
      </c>
      <c r="X27" s="97"/>
      <c r="Y27" s="1706">
        <v>28.995999999999999</v>
      </c>
      <c r="Z27" s="97"/>
      <c r="AA27" s="1706">
        <v>29.030999999999999</v>
      </c>
      <c r="AB27" s="97"/>
      <c r="AC27" s="1706">
        <v>63.707000000000001</v>
      </c>
      <c r="AD27" s="310"/>
      <c r="AE27" s="1706">
        <v>109.05200000000001</v>
      </c>
      <c r="AF27" s="310"/>
      <c r="AG27" s="1706">
        <v>135.62</v>
      </c>
      <c r="AH27" s="310"/>
      <c r="AI27" s="1706">
        <v>210.37</v>
      </c>
      <c r="AJ27" s="310"/>
      <c r="AK27" s="1706">
        <v>264.517</v>
      </c>
      <c r="AL27" s="97"/>
      <c r="AM27" s="1857">
        <v>347.24900000000002</v>
      </c>
      <c r="AN27" s="97"/>
      <c r="AO27" s="1706">
        <v>371.34500000000003</v>
      </c>
      <c r="AP27" s="97"/>
      <c r="AQ27" s="1857">
        <v>399.09</v>
      </c>
      <c r="AR27" s="97"/>
      <c r="AS27" s="1857">
        <v>373.19400000000002</v>
      </c>
      <c r="AT27" s="1827"/>
      <c r="AU27" s="1857">
        <v>359.88099999999997</v>
      </c>
      <c r="AV27" s="1827"/>
      <c r="AW27" s="1857">
        <v>331.71899999999999</v>
      </c>
      <c r="AX27" s="1827"/>
      <c r="AY27" s="2238">
        <v>322.97199999999998</v>
      </c>
      <c r="AZ27" s="1827"/>
      <c r="BA27" s="1827">
        <f>AY27</f>
        <v>322.97199999999998</v>
      </c>
      <c r="BB27" s="1827"/>
      <c r="BC27" s="1827">
        <f>BA27</f>
        <v>322.97199999999998</v>
      </c>
      <c r="BD27" s="1827"/>
      <c r="BE27" s="1827">
        <f>BC27</f>
        <v>322.97199999999998</v>
      </c>
      <c r="BF27" s="1827"/>
      <c r="BG27" s="1827">
        <f>BE27</f>
        <v>322.97199999999998</v>
      </c>
      <c r="BH27" s="1827"/>
      <c r="BI27" s="1827">
        <f>BG27</f>
        <v>322.97199999999998</v>
      </c>
      <c r="BJ27" s="1827"/>
    </row>
    <row r="28" spans="1:62">
      <c r="A28" s="22" t="s">
        <v>95</v>
      </c>
      <c r="E28" s="1858">
        <f>E14+E24+E25+E27</f>
        <v>58.018000000000008</v>
      </c>
      <c r="F28" s="379"/>
      <c r="G28" s="1858">
        <f>G14+G24+G25+G27</f>
        <v>87.692999999999998</v>
      </c>
      <c r="H28" s="379"/>
      <c r="I28" s="1858">
        <f>I14+I24+I25+I27</f>
        <v>105.76100000000001</v>
      </c>
      <c r="J28" s="379"/>
      <c r="K28" s="1858">
        <f>K14+K24+K25+K27</f>
        <v>183.238</v>
      </c>
      <c r="L28" s="379"/>
      <c r="M28" s="1858">
        <f>M14+M24+M25+M27</f>
        <v>319.27800000000002</v>
      </c>
      <c r="N28" s="379"/>
      <c r="O28" s="1858">
        <f>O14+O24+O25+O27</f>
        <v>458.166</v>
      </c>
      <c r="P28" s="379"/>
      <c r="Q28" s="1858">
        <f>Q14+Q24+Q25+Q27</f>
        <v>607.79300000000012</v>
      </c>
      <c r="R28" s="379"/>
      <c r="S28" s="1858">
        <f>S14+S24+S25+S27</f>
        <v>795.52700000000016</v>
      </c>
      <c r="T28" s="379"/>
      <c r="U28" s="1858">
        <f>U14+U24+U25+U27</f>
        <v>1173.0739999999998</v>
      </c>
      <c r="V28" s="379"/>
      <c r="W28" s="1858">
        <f>W14+W24+W25+W27</f>
        <v>1383.2290000000096</v>
      </c>
      <c r="X28" s="379"/>
      <c r="Y28" s="1859">
        <f>Y14+Y24+Y25+Y27</f>
        <v>1386.7910000000106</v>
      </c>
      <c r="Z28" s="379"/>
      <c r="AA28" s="1859">
        <f>AA14+AA24+AA25+AA27</f>
        <v>1789.7180000000103</v>
      </c>
      <c r="AB28" s="379"/>
      <c r="AC28" s="1859">
        <f>AC14+AC24+AC25+AC27</f>
        <v>2248.0670000000105</v>
      </c>
      <c r="AD28" s="1536"/>
      <c r="AE28" s="1859">
        <f>AE14+AE24+AE25+AE27</f>
        <v>2567.5980000000104</v>
      </c>
      <c r="AF28" s="1536"/>
      <c r="AG28" s="1859">
        <f>AG14+AG24+AG25+AG26+AG27</f>
        <v>2848.181</v>
      </c>
      <c r="AH28" s="1536"/>
      <c r="AI28" s="1859">
        <f>AI14+AI24+AI25+AI26+AI27</f>
        <v>2821.86600000001</v>
      </c>
      <c r="AJ28" s="1536"/>
      <c r="AK28" s="1859">
        <f>AK14+AK24+AK25+AK26+AK27</f>
        <v>2947.90200000001</v>
      </c>
      <c r="AL28" s="379"/>
      <c r="AM28" s="1858">
        <f>AM14+AM24+AM25+AM26+AM27</f>
        <v>3117.0290000000005</v>
      </c>
      <c r="AN28" s="379"/>
      <c r="AO28" s="1859">
        <f>AO14+AO24+AO25+AO26+AO27</f>
        <v>2987.4009999999998</v>
      </c>
      <c r="AP28" s="379"/>
      <c r="AQ28" s="1858">
        <f>AQ14+AQ24+AQ25+AQ26+AQ27</f>
        <v>2852.6309999999999</v>
      </c>
      <c r="AR28" s="379"/>
      <c r="AS28" s="1858">
        <f>AS14+AS24+AS25+AS26+AS27</f>
        <v>2505.1669999999999</v>
      </c>
      <c r="AT28" s="376"/>
      <c r="AU28" s="1858">
        <f>AU14+AU24+AU25+AU26+AU27</f>
        <v>2433.0389999999998</v>
      </c>
      <c r="AV28" s="376"/>
      <c r="AW28" s="1858">
        <f>AW14+AW24+AW25+AW26+AW27</f>
        <v>2295.7569999999996</v>
      </c>
      <c r="AX28" s="376"/>
      <c r="AY28" s="1858">
        <f>AY14+AY24+AY25+AY26+AY27</f>
        <v>2339.6035849999998</v>
      </c>
      <c r="AZ28" s="376"/>
      <c r="BA28" s="1858">
        <f>BA14+BA24+BA25+BA26+BA27</f>
        <v>2316.7264499684716</v>
      </c>
      <c r="BB28" s="376"/>
      <c r="BC28" s="1858">
        <f>BC14+BC24+BC25+BC26+BC27</f>
        <v>2313.1252060075499</v>
      </c>
      <c r="BD28" s="376"/>
      <c r="BE28" s="1858">
        <f>BE14+BE24+BE25+BE26+BE27</f>
        <v>2298.3157063029976</v>
      </c>
      <c r="BF28" s="376"/>
      <c r="BG28" s="1858">
        <f>BG14+BG24+BG25+BG26+BG27</f>
        <v>2255.6200280981857</v>
      </c>
      <c r="BH28" s="376"/>
      <c r="BI28" s="1858">
        <f>BI14+BI24+BI25+BI26+BI27</f>
        <v>2215.0142369633313</v>
      </c>
      <c r="BJ28" s="376"/>
    </row>
    <row r="29" spans="1:62" ht="5.0999999999999996" customHeight="1">
      <c r="Y29" s="114"/>
      <c r="AA29" s="114"/>
      <c r="AO29" s="114"/>
    </row>
    <row r="30" spans="1:62">
      <c r="A30" s="366" t="s">
        <v>126</v>
      </c>
      <c r="Y30" s="114"/>
      <c r="AA30" s="114"/>
      <c r="AO30" s="114"/>
    </row>
    <row r="31" spans="1:62" ht="5.0999999999999996" customHeight="1">
      <c r="Y31" s="114"/>
      <c r="AA31" s="114"/>
      <c r="AO31" s="114"/>
    </row>
    <row r="32" spans="1:62">
      <c r="B32" s="1848" t="s">
        <v>127</v>
      </c>
      <c r="Y32" s="114"/>
      <c r="AA32" s="1705"/>
      <c r="AO32" s="114"/>
    </row>
    <row r="33" spans="2:62">
      <c r="B33" s="22" t="s">
        <v>717</v>
      </c>
      <c r="E33" s="1588">
        <v>4.3789999999999996</v>
      </c>
      <c r="G33" s="1588">
        <v>4.359</v>
      </c>
      <c r="I33" s="1588">
        <v>6.4139999999999997</v>
      </c>
      <c r="K33" s="1588">
        <v>15.968</v>
      </c>
      <c r="L33" s="39"/>
      <c r="M33" s="1588">
        <v>24.759</v>
      </c>
      <c r="N33" s="1856"/>
      <c r="O33" s="1588">
        <v>18.713999999999999</v>
      </c>
      <c r="P33" s="1856"/>
      <c r="Q33" s="1588">
        <f>18.216+33.942</f>
        <v>52.158000000000001</v>
      </c>
      <c r="S33" s="1588">
        <f>31.897+24.981</f>
        <v>56.878</v>
      </c>
      <c r="U33" s="1541">
        <v>79.290999999999997</v>
      </c>
      <c r="W33" s="1588">
        <v>91.364000000000004</v>
      </c>
      <c r="Y33" s="1541">
        <f>83.76+53.577</f>
        <v>137.33699999999999</v>
      </c>
      <c r="AA33" s="1541">
        <f>86.572+58.741</f>
        <v>145.31299999999999</v>
      </c>
      <c r="AC33" s="1541">
        <f>100.919+27.391</f>
        <v>128.31</v>
      </c>
      <c r="AE33" s="1541">
        <f>108.437+43.361</f>
        <v>151.798</v>
      </c>
      <c r="AG33" s="1541">
        <f>92.814+56.939</f>
        <v>149.75299999999999</v>
      </c>
      <c r="AI33" s="1541">
        <f>110.212+39.922</f>
        <v>150.13400000000001</v>
      </c>
      <c r="AK33" s="1541">
        <v>137.23500000000001</v>
      </c>
      <c r="AM33" s="1588">
        <v>211.36799999999999</v>
      </c>
      <c r="AO33" s="1588">
        <v>140.39599999999999</v>
      </c>
      <c r="AQ33" s="1588">
        <v>130.715</v>
      </c>
      <c r="AS33" s="1588">
        <v>141.685</v>
      </c>
      <c r="AT33" s="1009"/>
      <c r="AU33" s="1588">
        <v>184.17500000000001</v>
      </c>
      <c r="AV33" s="1009"/>
      <c r="AW33" s="1588">
        <v>187.017</v>
      </c>
      <c r="AX33" s="1009"/>
      <c r="AY33" s="2278">
        <v>168.86799999999999</v>
      </c>
      <c r="AZ33" s="1009"/>
      <c r="BA33" s="1008">
        <f>+BA76*BA12</f>
        <v>197.19891575125456</v>
      </c>
      <c r="BB33" s="1009"/>
      <c r="BC33" s="1008">
        <f>+BC76*BC12</f>
        <v>196.81627530201288</v>
      </c>
      <c r="BD33" s="1009"/>
      <c r="BE33" s="1008">
        <f>+BE76*BE12</f>
        <v>195.76489849892059</v>
      </c>
      <c r="BF33" s="1009"/>
      <c r="BG33" s="1008">
        <f>+BG76*BG12</f>
        <v>194.35235381327163</v>
      </c>
      <c r="BH33" s="1009"/>
      <c r="BI33" s="1008">
        <f>+BI76*BI12</f>
        <v>193.81031505975153</v>
      </c>
      <c r="BJ33" s="1008"/>
    </row>
    <row r="34" spans="2:62">
      <c r="B34" s="22" t="s">
        <v>608</v>
      </c>
      <c r="E34" s="119">
        <v>10.411</v>
      </c>
      <c r="F34" s="119"/>
      <c r="G34" s="119">
        <v>14.5</v>
      </c>
      <c r="H34" s="119"/>
      <c r="I34" s="119">
        <v>22.388000000000002</v>
      </c>
      <c r="K34" s="119">
        <v>35.143000000000001</v>
      </c>
      <c r="L34" s="1321"/>
      <c r="M34" s="119">
        <v>63.881999999999998</v>
      </c>
      <c r="N34" s="1856"/>
      <c r="O34" s="119">
        <v>85.373000000000005</v>
      </c>
      <c r="P34" s="1856"/>
      <c r="Q34" s="119">
        <v>101.30200000000001</v>
      </c>
      <c r="S34" s="119">
        <v>109.586</v>
      </c>
      <c r="U34" s="1699">
        <v>142.38999999999999</v>
      </c>
      <c r="W34" s="119">
        <v>163.38900000000001</v>
      </c>
      <c r="Y34" s="1699">
        <v>205.15299999999999</v>
      </c>
      <c r="AA34" s="1699">
        <v>215.03399999999999</v>
      </c>
      <c r="AC34" s="1699">
        <v>260.21899999999999</v>
      </c>
      <c r="AE34" s="1699">
        <v>280.91000000000003</v>
      </c>
      <c r="AG34" s="1699">
        <v>241.23099999999999</v>
      </c>
      <c r="AI34" s="1699">
        <v>246.28899999999999</v>
      </c>
      <c r="AK34" s="1699">
        <v>306.58699999999999</v>
      </c>
      <c r="AM34" s="119">
        <v>369.07299999999998</v>
      </c>
      <c r="AO34" s="119">
        <v>395.73399999999998</v>
      </c>
      <c r="AQ34" s="119">
        <v>322.834</v>
      </c>
      <c r="AS34" s="119">
        <v>282.73599999999999</v>
      </c>
      <c r="AT34" s="1824"/>
      <c r="AU34" s="119">
        <v>321.23700000000002</v>
      </c>
      <c r="AV34" s="1824"/>
      <c r="AW34" s="119">
        <v>273.04399999999998</v>
      </c>
      <c r="AX34" s="1824"/>
      <c r="AY34" s="2276">
        <v>308.601</v>
      </c>
      <c r="AZ34" s="1824"/>
      <c r="BA34" s="1824">
        <f>+BA77*BA71</f>
        <v>271.92468819611082</v>
      </c>
      <c r="BB34" s="1824"/>
      <c r="BC34" s="1824">
        <f>+BC77*BC71</f>
        <v>272.45170901046151</v>
      </c>
      <c r="BD34" s="1824"/>
      <c r="BE34" s="1824">
        <f>+BE77*BE71</f>
        <v>271.13617485676133</v>
      </c>
      <c r="BF34" s="1824"/>
      <c r="BG34" s="1824">
        <f>+BG77*BG71</f>
        <v>269.3649499128278</v>
      </c>
      <c r="BH34" s="1824"/>
      <c r="BI34" s="1824">
        <f>+BI77*BI71</f>
        <v>268.05976700466584</v>
      </c>
      <c r="BJ34" s="1824"/>
    </row>
    <row r="35" spans="2:62" hidden="1" outlineLevel="1">
      <c r="B35" s="22" t="s">
        <v>609</v>
      </c>
      <c r="E35" s="119">
        <v>0</v>
      </c>
      <c r="F35" s="119"/>
      <c r="G35" s="119">
        <v>0</v>
      </c>
      <c r="H35" s="119"/>
      <c r="I35" s="119">
        <v>0</v>
      </c>
      <c r="K35" s="119">
        <v>0</v>
      </c>
      <c r="L35" s="1321"/>
      <c r="M35" s="119">
        <v>0</v>
      </c>
      <c r="O35" s="119">
        <v>0</v>
      </c>
      <c r="Q35" s="119">
        <v>0</v>
      </c>
      <c r="S35" s="119">
        <v>0</v>
      </c>
      <c r="U35" s="1699">
        <v>0</v>
      </c>
      <c r="W35" s="119">
        <v>0</v>
      </c>
      <c r="Y35" s="1699">
        <v>0</v>
      </c>
      <c r="AA35" s="119">
        <v>0</v>
      </c>
      <c r="AC35" s="1699">
        <v>0</v>
      </c>
      <c r="AE35" s="1699">
        <v>0</v>
      </c>
      <c r="AG35" s="1699">
        <v>0</v>
      </c>
      <c r="AI35" s="1699">
        <v>0</v>
      </c>
      <c r="AK35" s="1699">
        <v>0</v>
      </c>
      <c r="AM35" s="119">
        <v>0</v>
      </c>
      <c r="AO35" s="119">
        <v>0</v>
      </c>
      <c r="AQ35" s="119">
        <v>15</v>
      </c>
      <c r="AS35" s="119">
        <v>2.1019999999999999</v>
      </c>
      <c r="AT35" s="1857"/>
      <c r="AU35" s="119">
        <v>0</v>
      </c>
      <c r="AV35" s="1857"/>
      <c r="AW35" s="119">
        <f>AU35</f>
        <v>0</v>
      </c>
      <c r="AX35" s="1857"/>
      <c r="AY35" s="119">
        <f>AW35</f>
        <v>0</v>
      </c>
      <c r="AZ35" s="1857"/>
      <c r="BA35" s="119">
        <f>AY35</f>
        <v>0</v>
      </c>
      <c r="BB35" s="1857"/>
      <c r="BC35" s="119">
        <f>BA35</f>
        <v>0</v>
      </c>
      <c r="BD35" s="1857"/>
      <c r="BE35" s="119">
        <f>BC35</f>
        <v>0</v>
      </c>
      <c r="BF35" s="1857"/>
      <c r="BG35" s="119">
        <f>BE35</f>
        <v>0</v>
      </c>
      <c r="BH35" s="1857"/>
      <c r="BI35" s="119">
        <f>BG35</f>
        <v>0</v>
      </c>
      <c r="BJ35" s="119"/>
    </row>
    <row r="36" spans="2:62" hidden="1" outlineLevel="1">
      <c r="B36" s="22" t="s">
        <v>620</v>
      </c>
      <c r="E36" s="119">
        <v>0</v>
      </c>
      <c r="F36" s="119"/>
      <c r="G36" s="119">
        <v>86.045000000000002</v>
      </c>
      <c r="H36" s="119"/>
      <c r="I36" s="119">
        <v>5.4169999999999998</v>
      </c>
      <c r="K36" s="119">
        <v>0</v>
      </c>
      <c r="L36" s="1321"/>
      <c r="M36" s="119">
        <v>0</v>
      </c>
      <c r="O36" s="119">
        <v>0</v>
      </c>
      <c r="Q36" s="119">
        <v>0</v>
      </c>
      <c r="S36" s="119">
        <v>0</v>
      </c>
      <c r="U36" s="1699">
        <v>0</v>
      </c>
      <c r="W36" s="119">
        <v>0</v>
      </c>
      <c r="Y36" s="1699">
        <v>0</v>
      </c>
      <c r="AA36" s="119">
        <v>0</v>
      </c>
      <c r="AC36" s="1699">
        <v>0</v>
      </c>
      <c r="AE36" s="1699">
        <v>0</v>
      </c>
      <c r="AG36" s="1699">
        <v>0</v>
      </c>
      <c r="AI36" s="1699">
        <v>0</v>
      </c>
      <c r="AK36" s="1699">
        <v>0</v>
      </c>
      <c r="AM36" s="119">
        <v>0</v>
      </c>
      <c r="AO36" s="119">
        <v>0</v>
      </c>
      <c r="AQ36" s="119">
        <v>0</v>
      </c>
      <c r="AS36" s="119">
        <v>0</v>
      </c>
      <c r="AT36" s="1857"/>
      <c r="AU36" s="119">
        <f>AS36</f>
        <v>0</v>
      </c>
      <c r="AV36" s="1857"/>
      <c r="AW36" s="119">
        <f>AU36</f>
        <v>0</v>
      </c>
      <c r="AX36" s="1857"/>
      <c r="AY36" s="119">
        <f>AW36</f>
        <v>0</v>
      </c>
      <c r="AZ36" s="1857"/>
      <c r="BA36" s="119">
        <f>AY36</f>
        <v>0</v>
      </c>
      <c r="BB36" s="1857"/>
      <c r="BC36" s="119">
        <f>BA36</f>
        <v>0</v>
      </c>
      <c r="BD36" s="1857"/>
      <c r="BE36" s="119">
        <f>BC36</f>
        <v>0</v>
      </c>
      <c r="BF36" s="1857"/>
      <c r="BG36" s="119">
        <f>BE36</f>
        <v>0</v>
      </c>
      <c r="BH36" s="1857"/>
      <c r="BI36" s="119">
        <f>BG36</f>
        <v>0</v>
      </c>
      <c r="BJ36" s="119"/>
    </row>
    <row r="37" spans="2:62" collapsed="1">
      <c r="B37" s="22" t="s">
        <v>36</v>
      </c>
      <c r="E37" s="119"/>
      <c r="F37" s="119"/>
      <c r="G37" s="119"/>
      <c r="H37" s="119"/>
      <c r="I37" s="119"/>
      <c r="K37" s="119"/>
      <c r="L37" s="1321"/>
      <c r="M37" s="119"/>
      <c r="O37" s="119"/>
      <c r="Q37" s="119"/>
      <c r="S37" s="119"/>
      <c r="U37" s="1699">
        <v>21.318999999999999</v>
      </c>
      <c r="W37" s="119">
        <v>26.626999999999999</v>
      </c>
      <c r="Y37" s="1699">
        <v>31.135000000000002</v>
      </c>
      <c r="AA37" s="1699">
        <v>31.727</v>
      </c>
      <c r="AB37" s="114"/>
      <c r="AC37" s="1699">
        <v>35.423000000000002</v>
      </c>
      <c r="AE37" s="1699">
        <v>37.924999999999997</v>
      </c>
      <c r="AG37" s="1699">
        <v>42.357999999999997</v>
      </c>
      <c r="AI37" s="1699">
        <v>43.597000000000001</v>
      </c>
      <c r="AK37" s="1699">
        <v>41.537999999999997</v>
      </c>
      <c r="AL37" s="114"/>
      <c r="AM37" s="1699">
        <v>41.046999999999997</v>
      </c>
      <c r="AN37" s="114"/>
      <c r="AO37" s="1699">
        <v>39.054000000000002</v>
      </c>
      <c r="AP37" s="114"/>
      <c r="AQ37" s="1699">
        <v>36.164999999999999</v>
      </c>
      <c r="AR37" s="114"/>
      <c r="AS37" s="1699">
        <v>26.629000000000001</v>
      </c>
      <c r="AT37" s="1860"/>
      <c r="AU37" s="1699">
        <v>23.303000000000001</v>
      </c>
      <c r="AV37" s="1860"/>
      <c r="AW37" s="1699">
        <v>20.076000000000001</v>
      </c>
      <c r="AX37" s="1860"/>
      <c r="AY37" s="2279">
        <v>19.751000000000001</v>
      </c>
      <c r="AZ37" s="1860"/>
      <c r="BA37" s="1705">
        <f>AY37+flow!AX14</f>
        <v>27.685000000000002</v>
      </c>
      <c r="BB37" s="1860"/>
      <c r="BC37" s="1705">
        <f>BA37+flow!AZ14</f>
        <v>35.619</v>
      </c>
      <c r="BD37" s="1860"/>
      <c r="BE37" s="1705">
        <f>BC37+flow!BB14</f>
        <v>43.552999999999997</v>
      </c>
      <c r="BF37" s="1860"/>
      <c r="BG37" s="1705">
        <f>BE37+flow!BD14</f>
        <v>51.486999999999995</v>
      </c>
      <c r="BH37" s="1860"/>
      <c r="BI37" s="1705">
        <f>BG37+flow!BF14</f>
        <v>59.420999999999992</v>
      </c>
      <c r="BJ37" s="1705"/>
    </row>
    <row r="38" spans="2:62">
      <c r="B38" s="22" t="s">
        <v>128</v>
      </c>
      <c r="E38" s="1850">
        <v>3.4340000000000002</v>
      </c>
      <c r="F38" s="1850"/>
      <c r="G38" s="1850">
        <v>4.8920000000000003</v>
      </c>
      <c r="H38" s="1850"/>
      <c r="I38" s="1850">
        <v>9.3710000000000004</v>
      </c>
      <c r="K38" s="1850">
        <v>15.851000000000001</v>
      </c>
      <c r="L38" s="1321"/>
      <c r="M38" s="1850">
        <v>33.704000000000001</v>
      </c>
      <c r="O38" s="1850">
        <v>33.779000000000003</v>
      </c>
      <c r="Q38" s="1850">
        <v>21.379000000000001</v>
      </c>
      <c r="S38" s="1850">
        <v>22.096</v>
      </c>
      <c r="U38" s="1711">
        <v>28.797000000000001</v>
      </c>
      <c r="W38" s="1850">
        <v>29.692</v>
      </c>
      <c r="Y38" s="1711">
        <v>55.587000000000003</v>
      </c>
      <c r="AA38" s="1711">
        <v>99.48</v>
      </c>
      <c r="AC38" s="1711">
        <f>86.675</f>
        <v>86.674999999999997</v>
      </c>
      <c r="AE38" s="1711">
        <v>72.48</v>
      </c>
      <c r="AG38" s="1711">
        <v>16.454999999999998</v>
      </c>
      <c r="AI38" s="1711">
        <v>9.3520000000000003</v>
      </c>
      <c r="AK38" s="1711">
        <v>73.491</v>
      </c>
      <c r="AM38" s="1850">
        <v>77.918000000000006</v>
      </c>
      <c r="AO38" s="1850">
        <v>115.617</v>
      </c>
      <c r="AQ38" s="1850">
        <v>63.508000000000003</v>
      </c>
      <c r="AS38" s="1850">
        <v>32.804000000000002</v>
      </c>
      <c r="AT38" s="1827"/>
      <c r="AU38" s="1850">
        <v>5.9880000000000004</v>
      </c>
      <c r="AV38" s="1851"/>
      <c r="AW38" s="1850">
        <v>5.8630000000000004</v>
      </c>
      <c r="AX38" s="1851"/>
      <c r="AY38" s="2277">
        <v>10.326000000000001</v>
      </c>
      <c r="AZ38" s="1851"/>
      <c r="BA38" s="1851">
        <f>+BA72*BA78</f>
        <v>9.4040706592268855</v>
      </c>
      <c r="BB38" s="1851"/>
      <c r="BC38" s="1851">
        <f>+BC72*BC78</f>
        <v>12.648726240698803</v>
      </c>
      <c r="BD38" s="1851"/>
      <c r="BE38" s="1851">
        <f>+BE72*BE78</f>
        <v>11.105729095064794</v>
      </c>
      <c r="BF38" s="1851"/>
      <c r="BG38" s="1851">
        <f>+BG72*BG78</f>
        <v>9.6642209643939392</v>
      </c>
      <c r="BH38" s="1851"/>
      <c r="BI38" s="1851">
        <f>+BI72*BI78</f>
        <v>9.6261276500955546</v>
      </c>
      <c r="BJ38" s="1827"/>
    </row>
    <row r="39" spans="2:62">
      <c r="C39" s="22" t="s">
        <v>129</v>
      </c>
      <c r="E39" s="379">
        <f>SUM(E33:E38)</f>
        <v>18.224</v>
      </c>
      <c r="G39" s="379">
        <f>SUM(G33:G38)</f>
        <v>109.79599999999999</v>
      </c>
      <c r="I39" s="379">
        <f>SUM(I33:I38)</f>
        <v>43.59</v>
      </c>
      <c r="K39" s="379">
        <f>SUM(K33:K38)</f>
        <v>66.962000000000003</v>
      </c>
      <c r="M39" s="379">
        <f>SUM(M33:M38)</f>
        <v>122.345</v>
      </c>
      <c r="O39" s="379">
        <f>SUM(O33:O38)</f>
        <v>137.86600000000001</v>
      </c>
      <c r="Q39" s="379">
        <f>SUM(Q33:Q38)</f>
        <v>174.839</v>
      </c>
      <c r="S39" s="379">
        <f>SUM(S33:S38)</f>
        <v>188.56</v>
      </c>
      <c r="U39" s="379">
        <f>SUM(U33:U38)</f>
        <v>271.79699999999997</v>
      </c>
      <c r="W39" s="379">
        <f>SUM(W33:W38)</f>
        <v>311.072</v>
      </c>
      <c r="Y39" s="1536">
        <f>SUM(Y33:Y38)</f>
        <v>429.21199999999999</v>
      </c>
      <c r="AA39" s="1536">
        <f>SUM(AA33:AA38)</f>
        <v>491.55399999999997</v>
      </c>
      <c r="AC39" s="1536">
        <f>SUM(AC33:AC38)</f>
        <v>510.62700000000001</v>
      </c>
      <c r="AE39" s="1536">
        <f>SUM(AE33:AE38)</f>
        <v>543.11300000000006</v>
      </c>
      <c r="AG39" s="1536">
        <f>SUM(AG33:AG38)</f>
        <v>449.79699999999997</v>
      </c>
      <c r="AI39" s="1536">
        <f>SUM(AI33:AI38)</f>
        <v>449.37199999999996</v>
      </c>
      <c r="AK39" s="1536">
        <f>SUM(AK33:AK38)</f>
        <v>558.851</v>
      </c>
      <c r="AM39" s="379">
        <f>SUM(AM33:AM38)</f>
        <v>699.40600000000006</v>
      </c>
      <c r="AO39" s="379">
        <f>SUM(AO33:AO38)</f>
        <v>690.80099999999993</v>
      </c>
      <c r="AQ39" s="379">
        <f>SUM(AQ33:AQ38)</f>
        <v>568.22199999999998</v>
      </c>
      <c r="AS39" s="379">
        <f>SUM(AS33:AS38)</f>
        <v>485.95600000000002</v>
      </c>
      <c r="AT39" s="376"/>
      <c r="AU39" s="379">
        <f>SUM(AU33:AU38)</f>
        <v>534.70300000000009</v>
      </c>
      <c r="AV39" s="376"/>
      <c r="AW39" s="379">
        <f>SUM(AW33:AW38)</f>
        <v>486</v>
      </c>
      <c r="AX39" s="376"/>
      <c r="AY39" s="379">
        <f>SUM(AY33:AY38)</f>
        <v>507.54599999999999</v>
      </c>
      <c r="AZ39" s="376"/>
      <c r="BA39" s="379">
        <f>SUM(BA33:BA38)</f>
        <v>506.21267460659226</v>
      </c>
      <c r="BB39" s="376"/>
      <c r="BC39" s="379">
        <f>SUM(BC33:BC38)</f>
        <v>517.5357105531732</v>
      </c>
      <c r="BD39" s="376"/>
      <c r="BE39" s="379">
        <f>SUM(BE33:BE38)</f>
        <v>521.5598024507467</v>
      </c>
      <c r="BF39" s="376"/>
      <c r="BG39" s="379">
        <f>SUM(BG33:BG38)</f>
        <v>524.86852469049336</v>
      </c>
      <c r="BH39" s="376"/>
      <c r="BI39" s="379">
        <f>SUM(BI33:BI38)</f>
        <v>530.91720971451298</v>
      </c>
      <c r="BJ39" s="379"/>
    </row>
    <row r="40" spans="2:62" ht="5.0999999999999996" customHeight="1">
      <c r="Y40" s="1705"/>
      <c r="AA40" s="114"/>
      <c r="AT40" s="97"/>
      <c r="AV40" s="97"/>
      <c r="AX40" s="97"/>
      <c r="AZ40" s="97"/>
      <c r="BB40" s="97"/>
      <c r="BD40" s="97"/>
      <c r="BF40" s="97"/>
      <c r="BH40" s="97"/>
    </row>
    <row r="41" spans="2:62" hidden="1">
      <c r="B41" s="22" t="s">
        <v>621</v>
      </c>
      <c r="E41" s="1588">
        <v>74.100999999999999</v>
      </c>
      <c r="F41" s="97"/>
      <c r="G41" s="1588">
        <v>0</v>
      </c>
      <c r="H41" s="97"/>
      <c r="I41" s="1588">
        <v>0</v>
      </c>
      <c r="J41" s="97"/>
      <c r="K41" s="1588">
        <v>0</v>
      </c>
      <c r="L41" s="1323"/>
      <c r="M41" s="1588">
        <v>0</v>
      </c>
      <c r="N41" s="97"/>
      <c r="O41" s="1588">
        <v>0</v>
      </c>
      <c r="P41" s="97"/>
      <c r="Q41" s="1588">
        <v>0</v>
      </c>
      <c r="R41" s="97"/>
      <c r="S41" s="1588">
        <v>0</v>
      </c>
      <c r="T41" s="97"/>
      <c r="U41" s="1588">
        <v>0</v>
      </c>
      <c r="V41" s="97"/>
      <c r="W41" s="1588">
        <v>0</v>
      </c>
      <c r="X41" s="97"/>
      <c r="Y41" s="1541">
        <v>0</v>
      </c>
      <c r="Z41" s="97"/>
      <c r="AA41" s="1541">
        <v>0</v>
      </c>
      <c r="AB41" s="97"/>
      <c r="AC41" s="1541">
        <f>AA41</f>
        <v>0</v>
      </c>
      <c r="AD41" s="310"/>
      <c r="AE41" s="1541">
        <v>0</v>
      </c>
      <c r="AF41" s="310"/>
      <c r="AG41" s="1541">
        <v>0</v>
      </c>
      <c r="AH41" s="310"/>
      <c r="AI41" s="1541">
        <v>0</v>
      </c>
      <c r="AJ41" s="310"/>
      <c r="AK41" s="1535">
        <f>AI41</f>
        <v>0</v>
      </c>
      <c r="AL41" s="97"/>
      <c r="AM41" s="1008">
        <f>AK41</f>
        <v>0</v>
      </c>
      <c r="AN41" s="97"/>
      <c r="AO41" s="1008">
        <f>AM41</f>
        <v>0</v>
      </c>
      <c r="AP41" s="97"/>
      <c r="AQ41" s="1008">
        <f>AO41</f>
        <v>0</v>
      </c>
      <c r="AR41" s="97"/>
      <c r="AS41" s="1008">
        <f>AQ41</f>
        <v>0</v>
      </c>
      <c r="AT41" s="1009"/>
      <c r="AU41" s="1008"/>
      <c r="AV41" s="1009"/>
      <c r="AW41" s="1008"/>
      <c r="AX41" s="1009"/>
      <c r="AY41" s="1008"/>
      <c r="AZ41" s="1009"/>
      <c r="BA41" s="1008"/>
      <c r="BB41" s="1009"/>
      <c r="BC41" s="1008"/>
      <c r="BD41" s="1009"/>
      <c r="BE41" s="1008"/>
      <c r="BF41" s="1009"/>
      <c r="BG41" s="1008"/>
      <c r="BH41" s="1009"/>
      <c r="BI41" s="1008"/>
      <c r="BJ41" s="1008"/>
    </row>
    <row r="42" spans="2:62">
      <c r="B42" s="22" t="s">
        <v>140</v>
      </c>
      <c r="E42" s="119">
        <v>0</v>
      </c>
      <c r="F42" s="97"/>
      <c r="G42" s="119">
        <v>0</v>
      </c>
      <c r="H42" s="97"/>
      <c r="I42" s="119">
        <v>50</v>
      </c>
      <c r="J42" s="97"/>
      <c r="K42" s="119">
        <v>50</v>
      </c>
      <c r="L42" s="1323"/>
      <c r="M42" s="119">
        <v>0</v>
      </c>
      <c r="N42" s="97"/>
      <c r="O42" s="119">
        <v>0</v>
      </c>
      <c r="P42" s="97"/>
      <c r="Q42" s="119">
        <v>0</v>
      </c>
      <c r="R42" s="97"/>
      <c r="S42" s="119">
        <v>0</v>
      </c>
      <c r="T42" s="97"/>
      <c r="U42" s="119">
        <v>0</v>
      </c>
      <c r="V42" s="97"/>
      <c r="W42" s="119">
        <v>0</v>
      </c>
      <c r="X42" s="97"/>
      <c r="Y42" s="1699">
        <v>0</v>
      </c>
      <c r="Z42" s="97"/>
      <c r="AA42" s="1699">
        <v>0</v>
      </c>
      <c r="AB42" s="97"/>
      <c r="AC42" s="1699">
        <f>AA42</f>
        <v>0</v>
      </c>
      <c r="AD42" s="310"/>
      <c r="AE42" s="1699">
        <v>0</v>
      </c>
      <c r="AF42" s="310"/>
      <c r="AG42" s="1699">
        <v>100</v>
      </c>
      <c r="AH42" s="310"/>
      <c r="AI42" s="1699">
        <v>71.212999999999994</v>
      </c>
      <c r="AJ42" s="310"/>
      <c r="AK42" s="1699">
        <v>68.566000000000003</v>
      </c>
      <c r="AL42" s="97"/>
      <c r="AM42" s="1699">
        <v>57.850999999999999</v>
      </c>
      <c r="AN42" s="97"/>
      <c r="AO42" s="119">
        <v>63.942</v>
      </c>
      <c r="AP42" s="97"/>
      <c r="AQ42" s="119">
        <f>60.726+120</f>
        <v>180.726</v>
      </c>
      <c r="AR42" s="97"/>
      <c r="AS42" s="119">
        <f>291.31+50.521</f>
        <v>341.83100000000002</v>
      </c>
      <c r="AT42" s="1827"/>
      <c r="AU42" s="119">
        <f>286.235+47.44</f>
        <v>333.67500000000001</v>
      </c>
      <c r="AV42" s="1827"/>
      <c r="AW42" s="119">
        <f>262.992+46.397</f>
        <v>309.38900000000001</v>
      </c>
      <c r="AX42" s="1827"/>
      <c r="AY42" s="2276">
        <f>249.686+50.653</f>
        <v>300.339</v>
      </c>
      <c r="AZ42" s="1827"/>
      <c r="BA42" s="1824">
        <f>AY42</f>
        <v>300.339</v>
      </c>
      <c r="BB42" s="1827"/>
      <c r="BC42" s="1824">
        <f>BA42</f>
        <v>300.339</v>
      </c>
      <c r="BD42" s="1827"/>
      <c r="BE42" s="1824">
        <f>BC42</f>
        <v>300.339</v>
      </c>
      <c r="BF42" s="1827"/>
      <c r="BG42" s="1824">
        <f>BE42</f>
        <v>300.339</v>
      </c>
      <c r="BH42" s="1827"/>
      <c r="BI42" s="1824">
        <f>BG42</f>
        <v>300.339</v>
      </c>
      <c r="BJ42" s="1824"/>
    </row>
    <row r="43" spans="2:62">
      <c r="B43" s="22" t="s">
        <v>124</v>
      </c>
      <c r="E43" s="1857">
        <v>2.359</v>
      </c>
      <c r="F43" s="97"/>
      <c r="G43" s="1857">
        <v>0</v>
      </c>
      <c r="H43" s="97"/>
      <c r="I43" s="1857">
        <v>0</v>
      </c>
      <c r="J43" s="97"/>
      <c r="K43" s="1857">
        <v>0</v>
      </c>
      <c r="L43" s="1323"/>
      <c r="M43" s="1857">
        <v>0</v>
      </c>
      <c r="N43" s="97"/>
      <c r="O43" s="1857">
        <v>0</v>
      </c>
      <c r="P43" s="97"/>
      <c r="Q43" s="1857">
        <v>0</v>
      </c>
      <c r="R43" s="97"/>
      <c r="S43" s="1857">
        <v>1.165</v>
      </c>
      <c r="T43" s="97"/>
      <c r="U43" s="1857">
        <v>24.05</v>
      </c>
      <c r="V43" s="97"/>
      <c r="W43" s="1857">
        <v>31.236000000000001</v>
      </c>
      <c r="X43" s="97"/>
      <c r="Y43" s="1706">
        <v>50.031999999999996</v>
      </c>
      <c r="Z43" s="97"/>
      <c r="AA43" s="1706">
        <v>38.496000000000002</v>
      </c>
      <c r="AB43" s="97"/>
      <c r="AC43" s="1706">
        <v>30.393999999999998</v>
      </c>
      <c r="AD43" s="310"/>
      <c r="AE43" s="1706">
        <v>22.491</v>
      </c>
      <c r="AF43" s="310"/>
      <c r="AG43" s="1706">
        <v>34.085000000000001</v>
      </c>
      <c r="AH43" s="310"/>
      <c r="AI43" s="1706">
        <v>47.142000000000003</v>
      </c>
      <c r="AJ43" s="310"/>
      <c r="AK43" s="1706">
        <v>33.515000000000001</v>
      </c>
      <c r="AL43" s="97"/>
      <c r="AM43" s="1706">
        <v>0</v>
      </c>
      <c r="AN43" s="97"/>
      <c r="AO43" s="1857">
        <f>AM43</f>
        <v>0</v>
      </c>
      <c r="AP43" s="97"/>
      <c r="AQ43" s="1857">
        <v>0</v>
      </c>
      <c r="AR43" s="97"/>
      <c r="AS43" s="1857">
        <v>0</v>
      </c>
      <c r="AT43" s="1827"/>
      <c r="AU43" s="1857">
        <v>0</v>
      </c>
      <c r="AV43" s="1827"/>
      <c r="AW43" s="1857">
        <v>0</v>
      </c>
      <c r="AX43" s="1827"/>
      <c r="AY43" s="2238">
        <v>0</v>
      </c>
      <c r="AZ43" s="1827"/>
      <c r="BA43" s="1827">
        <f>AY43</f>
        <v>0</v>
      </c>
      <c r="BB43" s="1827"/>
      <c r="BC43" s="1827">
        <f>BA43</f>
        <v>0</v>
      </c>
      <c r="BD43" s="1827"/>
      <c r="BE43" s="1827">
        <f>BC43</f>
        <v>0</v>
      </c>
      <c r="BF43" s="1827"/>
      <c r="BG43" s="1827">
        <f>BE43</f>
        <v>0</v>
      </c>
      <c r="BH43" s="1827"/>
      <c r="BI43" s="1827">
        <f>BG43</f>
        <v>0</v>
      </c>
      <c r="BJ43" s="1827"/>
    </row>
    <row r="44" spans="2:62">
      <c r="B44" s="22" t="s">
        <v>37</v>
      </c>
      <c r="E44" s="1857"/>
      <c r="F44" s="97"/>
      <c r="G44" s="1857"/>
      <c r="H44" s="97"/>
      <c r="I44" s="1857"/>
      <c r="J44" s="97"/>
      <c r="K44" s="1857"/>
      <c r="L44" s="1323"/>
      <c r="M44" s="1857"/>
      <c r="N44" s="97"/>
      <c r="O44" s="1857"/>
      <c r="P44" s="97"/>
      <c r="Q44" s="1857"/>
      <c r="R44" s="97"/>
      <c r="S44" s="1857"/>
      <c r="T44" s="97"/>
      <c r="U44" s="1857">
        <v>127.876</v>
      </c>
      <c r="V44" s="97"/>
      <c r="W44" s="1857">
        <v>154.768</v>
      </c>
      <c r="X44" s="97"/>
      <c r="Y44" s="1706">
        <v>177.923</v>
      </c>
      <c r="Z44" s="97"/>
      <c r="AA44" s="1706">
        <v>191.22499999999999</v>
      </c>
      <c r="AB44" s="97"/>
      <c r="AC44" s="1706">
        <v>203.94300000000001</v>
      </c>
      <c r="AD44" s="310"/>
      <c r="AE44" s="1706">
        <v>213.739</v>
      </c>
      <c r="AF44" s="310"/>
      <c r="AG44" s="1706">
        <v>211.97800000000001</v>
      </c>
      <c r="AH44" s="310"/>
      <c r="AI44" s="1706">
        <v>212.05199999999999</v>
      </c>
      <c r="AJ44" s="310"/>
      <c r="AK44" s="1706">
        <v>192.619</v>
      </c>
      <c r="AL44" s="97"/>
      <c r="AM44" s="1857">
        <v>183.02199999999999</v>
      </c>
      <c r="AN44" s="97"/>
      <c r="AO44" s="1857">
        <v>168.39699999999999</v>
      </c>
      <c r="AP44" s="97"/>
      <c r="AQ44" s="1857">
        <v>140.79900000000001</v>
      </c>
      <c r="AR44" s="97"/>
      <c r="AS44" s="1857">
        <v>106.393</v>
      </c>
      <c r="AT44" s="1827"/>
      <c r="AU44" s="1857">
        <v>89.256</v>
      </c>
      <c r="AV44" s="1827"/>
      <c r="AW44" s="1857">
        <v>76.320999999999998</v>
      </c>
      <c r="AX44" s="1827"/>
      <c r="AY44" s="2238">
        <v>75.647999999999996</v>
      </c>
      <c r="AZ44" s="1827"/>
      <c r="BA44" s="1827">
        <f>AY44</f>
        <v>75.647999999999996</v>
      </c>
      <c r="BB44" s="1827"/>
      <c r="BC44" s="1827">
        <f>BA44</f>
        <v>75.647999999999996</v>
      </c>
      <c r="BD44" s="1827"/>
      <c r="BE44" s="1827">
        <f>BC44</f>
        <v>75.647999999999996</v>
      </c>
      <c r="BF44" s="1827"/>
      <c r="BG44" s="1827">
        <f>BE44</f>
        <v>75.647999999999996</v>
      </c>
      <c r="BH44" s="1827"/>
      <c r="BI44" s="1827">
        <f>BG44</f>
        <v>75.647999999999996</v>
      </c>
      <c r="BJ44" s="1827"/>
    </row>
    <row r="45" spans="2:62">
      <c r="B45" s="22" t="s">
        <v>131</v>
      </c>
      <c r="E45" s="1850">
        <v>0.40400000000000003</v>
      </c>
      <c r="F45" s="97"/>
      <c r="G45" s="1850">
        <v>0.51900000000000002</v>
      </c>
      <c r="H45" s="97"/>
      <c r="I45" s="1850">
        <v>0.93300000000000005</v>
      </c>
      <c r="J45" s="97"/>
      <c r="K45" s="1850">
        <v>7.5010000000000003</v>
      </c>
      <c r="L45" s="1323"/>
      <c r="M45" s="1850">
        <v>10.827999999999999</v>
      </c>
      <c r="N45" s="97"/>
      <c r="O45" s="1850">
        <v>9.2059999999999995</v>
      </c>
      <c r="P45" s="97"/>
      <c r="Q45" s="1850">
        <v>10.254</v>
      </c>
      <c r="R45" s="97"/>
      <c r="S45" s="1850">
        <v>10.368</v>
      </c>
      <c r="T45" s="97"/>
      <c r="U45" s="1850">
        <v>13.044</v>
      </c>
      <c r="V45" s="97"/>
      <c r="W45" s="1850">
        <v>28.388000000000002</v>
      </c>
      <c r="X45" s="97"/>
      <c r="Y45" s="1711">
        <v>60.298000000000002</v>
      </c>
      <c r="Z45" s="97"/>
      <c r="AA45" s="1711">
        <v>73.325999999999993</v>
      </c>
      <c r="AB45" s="97"/>
      <c r="AC45" s="1711">
        <v>97.805999999999997</v>
      </c>
      <c r="AD45" s="310"/>
      <c r="AE45" s="1711">
        <v>169.94200000000001</v>
      </c>
      <c r="AF45" s="310"/>
      <c r="AG45" s="1711">
        <v>206.74299999999999</v>
      </c>
      <c r="AH45" s="310"/>
      <c r="AI45" s="1711">
        <v>214.17</v>
      </c>
      <c r="AJ45" s="310"/>
      <c r="AK45" s="1711">
        <v>203.56700000000001</v>
      </c>
      <c r="AL45" s="97"/>
      <c r="AM45" s="1711">
        <v>245.41800000000001</v>
      </c>
      <c r="AN45" s="97"/>
      <c r="AO45" s="1850">
        <v>245.99299999999999</v>
      </c>
      <c r="AP45" s="97"/>
      <c r="AQ45" s="1850">
        <v>231.75700000000001</v>
      </c>
      <c r="AR45" s="97"/>
      <c r="AS45" s="1850">
        <v>181.286</v>
      </c>
      <c r="AT45" s="1827"/>
      <c r="AU45" s="1850">
        <v>179.68299999999999</v>
      </c>
      <c r="AV45" s="1827"/>
      <c r="AW45" s="1850">
        <v>172.00800000000001</v>
      </c>
      <c r="AX45" s="1827"/>
      <c r="AY45" s="2277">
        <v>189.68799999999999</v>
      </c>
      <c r="AZ45" s="1827"/>
      <c r="BA45" s="1851">
        <f>AY45</f>
        <v>189.68799999999999</v>
      </c>
      <c r="BB45" s="1827"/>
      <c r="BC45" s="1851">
        <f>BA45</f>
        <v>189.68799999999999</v>
      </c>
      <c r="BD45" s="1827"/>
      <c r="BE45" s="1851">
        <f>BC45</f>
        <v>189.68799999999999</v>
      </c>
      <c r="BF45" s="1827"/>
      <c r="BG45" s="1851">
        <f>BE45</f>
        <v>189.68799999999999</v>
      </c>
      <c r="BH45" s="1827"/>
      <c r="BI45" s="1851">
        <f>BG45</f>
        <v>189.68799999999999</v>
      </c>
      <c r="BJ45" s="1827"/>
    </row>
    <row r="46" spans="2:62">
      <c r="C46" s="22" t="s">
        <v>137</v>
      </c>
      <c r="E46" s="379">
        <f>SUM(E40:E45)</f>
        <v>76.86399999999999</v>
      </c>
      <c r="G46" s="379">
        <f>SUM(G40:G45)</f>
        <v>0.51900000000000002</v>
      </c>
      <c r="I46" s="379">
        <f>SUM(I41:I45)</f>
        <v>50.933</v>
      </c>
      <c r="K46" s="379">
        <f>SUM(K41:K45)</f>
        <v>57.500999999999998</v>
      </c>
      <c r="M46" s="379">
        <f>SUM(M41:M45)</f>
        <v>10.827999999999999</v>
      </c>
      <c r="O46" s="379">
        <f>SUM(O41:O45)</f>
        <v>9.2059999999999995</v>
      </c>
      <c r="Q46" s="379">
        <f>SUM(Q41:Q45)</f>
        <v>10.254</v>
      </c>
      <c r="S46" s="379">
        <f>SUM(S41:S45)</f>
        <v>11.533000000000001</v>
      </c>
      <c r="U46" s="379">
        <f>SUM(U41:U45)</f>
        <v>164.97000000000003</v>
      </c>
      <c r="W46" s="379">
        <f>SUM(W41:W45)</f>
        <v>214.392</v>
      </c>
      <c r="Y46" s="379">
        <f>SUM(Y41:Y45)</f>
        <v>288.25299999999999</v>
      </c>
      <c r="AA46" s="1536">
        <f>SUM(AA41:AA45)</f>
        <v>303.04700000000003</v>
      </c>
      <c r="AC46" s="1536">
        <f>SUM(AC41:AC45)</f>
        <v>332.14300000000003</v>
      </c>
      <c r="AE46" s="1536">
        <f>SUM(AE41:AE45)</f>
        <v>406.17200000000003</v>
      </c>
      <c r="AG46" s="1536">
        <f>SUM(AG41:AG45)</f>
        <v>552.80600000000004</v>
      </c>
      <c r="AI46" s="1536">
        <f>SUM(AI41:AI45)</f>
        <v>544.577</v>
      </c>
      <c r="AK46" s="1536">
        <f>SUM(AK41:AK45)</f>
        <v>498.267</v>
      </c>
      <c r="AM46" s="379">
        <f>SUM(AM41:AM45)</f>
        <v>486.291</v>
      </c>
      <c r="AO46" s="379">
        <f>SUM(AO41:AO45)</f>
        <v>478.33199999999999</v>
      </c>
      <c r="AQ46" s="379">
        <f>SUM(AQ41:AQ45)</f>
        <v>553.28199999999993</v>
      </c>
      <c r="AS46" s="379">
        <f>SUM(AS41:AS45)</f>
        <v>629.51</v>
      </c>
      <c r="AT46" s="376"/>
      <c r="AU46" s="379">
        <f>SUM(AU41:AU45)</f>
        <v>602.61400000000003</v>
      </c>
      <c r="AV46" s="376"/>
      <c r="AW46" s="379">
        <f>SUM(AW41:AW45)</f>
        <v>557.71800000000007</v>
      </c>
      <c r="AX46" s="376"/>
      <c r="AY46" s="379">
        <f>SUM(AY41:AY45)</f>
        <v>565.67499999999995</v>
      </c>
      <c r="AZ46" s="376"/>
      <c r="BA46" s="379">
        <f>SUM(BA41:BA45)</f>
        <v>565.67499999999995</v>
      </c>
      <c r="BB46" s="376"/>
      <c r="BC46" s="379">
        <f>SUM(BC41:BC45)</f>
        <v>565.67499999999995</v>
      </c>
      <c r="BD46" s="376"/>
      <c r="BE46" s="379">
        <f>SUM(BE41:BE45)</f>
        <v>565.67499999999995</v>
      </c>
      <c r="BF46" s="376"/>
      <c r="BG46" s="379">
        <f>SUM(BG41:BG45)</f>
        <v>565.67499999999995</v>
      </c>
      <c r="BH46" s="376"/>
      <c r="BI46" s="379">
        <f>SUM(BI41:BI45)</f>
        <v>565.67499999999995</v>
      </c>
      <c r="BJ46" s="379"/>
    </row>
    <row r="47" spans="2:62" ht="4.5" customHeight="1">
      <c r="E47" s="96"/>
      <c r="G47" s="96"/>
      <c r="I47" s="96"/>
      <c r="K47" s="96"/>
      <c r="M47" s="96"/>
      <c r="O47" s="96"/>
      <c r="Q47" s="96"/>
      <c r="S47" s="96"/>
      <c r="U47" s="96"/>
      <c r="W47" s="96"/>
      <c r="Y47" s="96"/>
      <c r="AA47" s="1042"/>
      <c r="AC47" s="1042"/>
      <c r="AE47" s="1042"/>
      <c r="AG47" s="1042"/>
      <c r="AI47" s="1042"/>
      <c r="AK47" s="1042"/>
      <c r="AM47" s="96"/>
      <c r="AO47" s="96"/>
      <c r="AQ47" s="96"/>
      <c r="AS47" s="96"/>
      <c r="AT47" s="97"/>
      <c r="AU47" s="96"/>
      <c r="AV47" s="97"/>
      <c r="AW47" s="96"/>
      <c r="AX47" s="97"/>
      <c r="AY47" s="96"/>
      <c r="AZ47" s="97"/>
      <c r="BA47" s="96"/>
      <c r="BB47" s="97"/>
      <c r="BC47" s="96"/>
      <c r="BD47" s="97"/>
      <c r="BE47" s="96"/>
      <c r="BF47" s="97"/>
      <c r="BG47" s="96"/>
      <c r="BH47" s="97"/>
      <c r="BI47" s="96"/>
      <c r="BJ47" s="97"/>
    </row>
    <row r="48" spans="2:62">
      <c r="B48" s="22" t="s">
        <v>585</v>
      </c>
      <c r="E48" s="376">
        <f>+E39+E46</f>
        <v>95.087999999999994</v>
      </c>
      <c r="F48" s="97"/>
      <c r="G48" s="376">
        <f>+G39+G46</f>
        <v>110.315</v>
      </c>
      <c r="H48" s="97"/>
      <c r="I48" s="376">
        <f>+I39+I46</f>
        <v>94.522999999999996</v>
      </c>
      <c r="J48" s="97"/>
      <c r="K48" s="376">
        <f>+K39+K46</f>
        <v>124.46299999999999</v>
      </c>
      <c r="L48" s="97"/>
      <c r="M48" s="376">
        <f>+M39+M46</f>
        <v>133.173</v>
      </c>
      <c r="N48" s="97"/>
      <c r="O48" s="376">
        <f>+O39+O46</f>
        <v>147.072</v>
      </c>
      <c r="P48" s="97"/>
      <c r="Q48" s="376">
        <f>+Q39+Q46</f>
        <v>185.09299999999999</v>
      </c>
      <c r="R48" s="97"/>
      <c r="S48" s="376">
        <f>+S39+S46</f>
        <v>200.09300000000002</v>
      </c>
      <c r="T48" s="97"/>
      <c r="U48" s="376">
        <f>+U39+U46</f>
        <v>436.767</v>
      </c>
      <c r="V48" s="97"/>
      <c r="W48" s="376">
        <f>+W39+W46</f>
        <v>525.46399999999994</v>
      </c>
      <c r="X48" s="97"/>
      <c r="Y48" s="376">
        <f>+Y39+Y46</f>
        <v>717.46499999999992</v>
      </c>
      <c r="Z48" s="97"/>
      <c r="AA48" s="1600">
        <f>+AA39+AA46</f>
        <v>794.601</v>
      </c>
      <c r="AB48" s="97"/>
      <c r="AC48" s="1600">
        <f>+AC39+AC46</f>
        <v>842.77</v>
      </c>
      <c r="AD48" s="310"/>
      <c r="AE48" s="1600">
        <f>+AE39+AE46</f>
        <v>949.28500000000008</v>
      </c>
      <c r="AF48" s="310"/>
      <c r="AG48" s="1600">
        <f>+AG39+AG46</f>
        <v>1002.6030000000001</v>
      </c>
      <c r="AH48" s="310"/>
      <c r="AI48" s="1600">
        <f>+AI39+AI46</f>
        <v>993.94899999999996</v>
      </c>
      <c r="AJ48" s="310"/>
      <c r="AK48" s="1600">
        <f>+AK39+AK46</f>
        <v>1057.1179999999999</v>
      </c>
      <c r="AL48" s="97"/>
      <c r="AM48" s="376">
        <f>+AM39+AM46</f>
        <v>1185.6970000000001</v>
      </c>
      <c r="AN48" s="97"/>
      <c r="AO48" s="376">
        <f>+AO39+AO46</f>
        <v>1169.1329999999998</v>
      </c>
      <c r="AP48" s="97"/>
      <c r="AQ48" s="376">
        <f>+AQ39+AQ46</f>
        <v>1121.5039999999999</v>
      </c>
      <c r="AR48" s="97"/>
      <c r="AS48" s="376">
        <f>+AS39+AS46</f>
        <v>1115.4659999999999</v>
      </c>
      <c r="AT48" s="376"/>
      <c r="AU48" s="376">
        <f>+AU39+AU46</f>
        <v>1137.317</v>
      </c>
      <c r="AV48" s="376"/>
      <c r="AW48" s="376">
        <f>+AW39+AW46</f>
        <v>1043.7180000000001</v>
      </c>
      <c r="AX48" s="376"/>
      <c r="AY48" s="376">
        <f>+AY39+AY46</f>
        <v>1073.221</v>
      </c>
      <c r="AZ48" s="376"/>
      <c r="BA48" s="376">
        <f>+BA39+BA46</f>
        <v>1071.8876746065921</v>
      </c>
      <c r="BB48" s="376"/>
      <c r="BC48" s="376">
        <f>+BC39+BC46</f>
        <v>1083.2107105531732</v>
      </c>
      <c r="BD48" s="376"/>
      <c r="BE48" s="376">
        <f>+BE39+BE46</f>
        <v>1087.2348024507467</v>
      </c>
      <c r="BF48" s="376"/>
      <c r="BG48" s="376">
        <f>+BG39+BG46</f>
        <v>1090.5435246904933</v>
      </c>
      <c r="BH48" s="376"/>
      <c r="BI48" s="376">
        <f>+BI39+BI46</f>
        <v>1096.592209714513</v>
      </c>
      <c r="BJ48" s="376"/>
    </row>
    <row r="49" spans="1:62" ht="5.0999999999999996" customHeight="1">
      <c r="AA49" s="114"/>
    </row>
    <row r="50" spans="1:62">
      <c r="A50" s="1848" t="s">
        <v>132</v>
      </c>
      <c r="Y50" s="1824"/>
      <c r="AA50" s="114"/>
      <c r="AC50" s="1705"/>
      <c r="AU50" s="1053"/>
      <c r="AW50" s="1053"/>
    </row>
    <row r="51" spans="1:62">
      <c r="B51" s="22" t="s">
        <v>133</v>
      </c>
      <c r="E51" s="1857">
        <v>0</v>
      </c>
      <c r="F51" s="97"/>
      <c r="G51" s="1857">
        <v>0</v>
      </c>
      <c r="H51" s="97"/>
      <c r="I51" s="1857">
        <v>0.51100000000000001</v>
      </c>
      <c r="J51" s="97"/>
      <c r="K51" s="1857">
        <v>0.51100000000000001</v>
      </c>
      <c r="L51" s="1323"/>
      <c r="M51" s="1857">
        <v>1.0329999999999999</v>
      </c>
      <c r="N51" s="1323"/>
      <c r="O51" s="1857">
        <v>1.0329999999999999</v>
      </c>
      <c r="P51" s="97"/>
      <c r="Q51" s="1857">
        <v>1.0329999999999999</v>
      </c>
      <c r="R51" s="97"/>
      <c r="S51" s="1857">
        <v>1.0329999999999999</v>
      </c>
      <c r="T51" s="97"/>
      <c r="U51" s="1857">
        <v>1.0329999999999999</v>
      </c>
      <c r="V51" s="97"/>
      <c r="W51" s="1857">
        <v>1.0329999999999999</v>
      </c>
      <c r="X51" s="97"/>
      <c r="Y51" s="1857">
        <v>1.0329999999999999</v>
      </c>
      <c r="Z51" s="97"/>
      <c r="AA51" s="1706">
        <v>1.0329999999999999</v>
      </c>
      <c r="AB51" s="97"/>
      <c r="AC51" s="1706">
        <v>1.0329999999999999</v>
      </c>
      <c r="AD51" s="310"/>
      <c r="AE51" s="1706">
        <v>1.0329999999999999</v>
      </c>
      <c r="AF51" s="310"/>
      <c r="AG51" s="1706">
        <v>1.0329999999999999</v>
      </c>
      <c r="AH51" s="310"/>
      <c r="AI51" s="1706">
        <v>1.0329999999999999</v>
      </c>
      <c r="AJ51" s="310"/>
      <c r="AK51" s="1706">
        <v>1.0329999999999999</v>
      </c>
      <c r="AL51" s="97"/>
      <c r="AM51" s="1857">
        <v>1.0329999999999999</v>
      </c>
      <c r="AN51" s="97"/>
      <c r="AO51" s="1857">
        <v>1.0329999999999999</v>
      </c>
      <c r="AP51" s="97"/>
      <c r="AQ51" s="1857">
        <v>1.0329999999999999</v>
      </c>
      <c r="AR51" s="97"/>
      <c r="AS51" s="1857">
        <v>1.0329999999999999</v>
      </c>
      <c r="AT51" s="1827"/>
      <c r="AU51" s="1857">
        <v>1.0329999999999999</v>
      </c>
      <c r="AV51" s="1827"/>
      <c r="AW51" s="1857">
        <v>1.0329999999999999</v>
      </c>
      <c r="AX51" s="1827"/>
      <c r="AY51" s="1827">
        <f>+AW51</f>
        <v>1.0329999999999999</v>
      </c>
      <c r="AZ51" s="1827"/>
      <c r="BA51" s="1827">
        <f>+AY51</f>
        <v>1.0329999999999999</v>
      </c>
      <c r="BB51" s="1827"/>
      <c r="BC51" s="1827">
        <f>+BA51</f>
        <v>1.0329999999999999</v>
      </c>
      <c r="BD51" s="1827"/>
      <c r="BE51" s="1827">
        <f>+BC51</f>
        <v>1.0329999999999999</v>
      </c>
      <c r="BF51" s="1827"/>
      <c r="BG51" s="1827">
        <f>+BE51</f>
        <v>1.0329999999999999</v>
      </c>
      <c r="BH51" s="1827"/>
      <c r="BI51" s="1827">
        <f>+BG51</f>
        <v>1.0329999999999999</v>
      </c>
      <c r="BJ51" s="1827"/>
    </row>
    <row r="52" spans="1:62">
      <c r="B52" s="22" t="s">
        <v>134</v>
      </c>
      <c r="E52" s="1857">
        <v>0.155</v>
      </c>
      <c r="F52" s="97"/>
      <c r="G52" s="1857">
        <v>0.30499999999999999</v>
      </c>
      <c r="H52" s="97"/>
      <c r="I52" s="1857">
        <v>117.98</v>
      </c>
      <c r="J52" s="97"/>
      <c r="K52" s="1857">
        <v>117.97199999999999</v>
      </c>
      <c r="L52" s="1323"/>
      <c r="M52" s="1857">
        <v>143.626</v>
      </c>
      <c r="N52" s="1323"/>
      <c r="O52" s="1857">
        <v>147.30500000000001</v>
      </c>
      <c r="P52" s="97"/>
      <c r="Q52" s="1857">
        <v>136.49</v>
      </c>
      <c r="R52" s="97"/>
      <c r="S52" s="1857">
        <v>141.39400000000001</v>
      </c>
      <c r="T52" s="97"/>
      <c r="U52" s="1857">
        <v>142.577</v>
      </c>
      <c r="V52" s="97"/>
      <c r="W52" s="1857">
        <v>139.13900000000001</v>
      </c>
      <c r="X52" s="97"/>
      <c r="Y52" s="1857">
        <v>140.251</v>
      </c>
      <c r="Z52" s="97"/>
      <c r="AA52" s="1706">
        <v>161.678</v>
      </c>
      <c r="AB52" s="97"/>
      <c r="AC52" s="1706">
        <f>289.732</f>
        <v>289.73200000000003</v>
      </c>
      <c r="AD52" s="310"/>
      <c r="AE52" s="1706">
        <v>319.45100000000002</v>
      </c>
      <c r="AF52" s="310"/>
      <c r="AG52" s="1706">
        <v>328.488</v>
      </c>
      <c r="AH52" s="310"/>
      <c r="AI52" s="1706">
        <v>339.45299999999997</v>
      </c>
      <c r="AJ52" s="310"/>
      <c r="AK52" s="1706">
        <v>349.25799999999998</v>
      </c>
      <c r="AL52" s="97"/>
      <c r="AM52" s="1857">
        <f>369.171+68.9</f>
        <v>438.07100000000003</v>
      </c>
      <c r="AN52" s="97"/>
      <c r="AO52" s="1857">
        <v>403.27100000000002</v>
      </c>
      <c r="AP52" s="97"/>
      <c r="AQ52" s="1857">
        <f>433.62-20.917</f>
        <v>412.70299999999997</v>
      </c>
      <c r="AR52" s="97"/>
      <c r="AS52" s="1857">
        <f>434.137-83.58</f>
        <v>350.55700000000002</v>
      </c>
      <c r="AT52" s="1827"/>
      <c r="AU52" s="1857">
        <f>407.029-114.619</f>
        <v>292.40999999999997</v>
      </c>
      <c r="AV52" s="1827"/>
      <c r="AW52" s="1857">
        <f>396.59-121.302</f>
        <v>275.28799999999995</v>
      </c>
      <c r="AX52" s="1827"/>
      <c r="AY52" s="1827">
        <f>+AW52</f>
        <v>275.28799999999995</v>
      </c>
      <c r="AZ52" s="1827"/>
      <c r="BA52" s="1827">
        <f>+AY52</f>
        <v>275.28799999999995</v>
      </c>
      <c r="BB52" s="1827"/>
      <c r="BC52" s="1827">
        <f>+BA52</f>
        <v>275.28799999999995</v>
      </c>
      <c r="BD52" s="1827"/>
      <c r="BE52" s="1827">
        <f>+BC52</f>
        <v>275.28799999999995</v>
      </c>
      <c r="BF52" s="1827"/>
      <c r="BG52" s="1827">
        <f>+BE52</f>
        <v>275.28799999999995</v>
      </c>
      <c r="BH52" s="1827"/>
      <c r="BI52" s="1827">
        <f>+BG52</f>
        <v>275.28799999999995</v>
      </c>
      <c r="BJ52" s="1827"/>
    </row>
    <row r="53" spans="1:62">
      <c r="B53" s="22" t="s">
        <v>135</v>
      </c>
      <c r="E53" s="1857">
        <v>-37.225000000000001</v>
      </c>
      <c r="F53" s="97"/>
      <c r="G53" s="1857">
        <v>-22.927</v>
      </c>
      <c r="H53" s="97"/>
      <c r="I53" s="1857">
        <v>-107.253</v>
      </c>
      <c r="J53" s="97"/>
      <c r="K53" s="1857">
        <v>-58.930999999999997</v>
      </c>
      <c r="L53" s="1323"/>
      <c r="M53" s="1857">
        <v>43.131</v>
      </c>
      <c r="N53" s="1323"/>
      <c r="O53" s="1857">
        <v>192.73500000000001</v>
      </c>
      <c r="P53" s="97"/>
      <c r="Q53" s="1857">
        <v>350.86799999999999</v>
      </c>
      <c r="R53" s="97"/>
      <c r="S53" s="1857">
        <v>519.54</v>
      </c>
      <c r="T53" s="97"/>
      <c r="U53" s="1857">
        <v>701.255</v>
      </c>
      <c r="V53" s="97"/>
      <c r="W53" s="1857">
        <v>906.08500000000004</v>
      </c>
      <c r="X53" s="97"/>
      <c r="Y53" s="1857">
        <v>1076.0229999999999</v>
      </c>
      <c r="Z53" s="97"/>
      <c r="AA53" s="1706">
        <v>1357.7909999999999</v>
      </c>
      <c r="AB53" s="97"/>
      <c r="AC53" s="1706">
        <v>1646.29</v>
      </c>
      <c r="AD53" s="310"/>
      <c r="AE53" s="1706">
        <v>2051.4630000000002</v>
      </c>
      <c r="AF53" s="310"/>
      <c r="AG53" s="1706">
        <v>2244.9360000000001</v>
      </c>
      <c r="AH53" s="310"/>
      <c r="AI53" s="1706">
        <v>2183.69</v>
      </c>
      <c r="AJ53" s="310"/>
      <c r="AK53" s="1706">
        <v>2272.317</v>
      </c>
      <c r="AL53" s="97"/>
      <c r="AM53" s="1706">
        <v>2320.5709999999999</v>
      </c>
      <c r="AN53" s="97"/>
      <c r="AO53" s="1706">
        <f>2567.261-13.288</f>
        <v>2553.973</v>
      </c>
      <c r="AP53" s="97"/>
      <c r="AQ53" s="1706">
        <v>2556.27</v>
      </c>
      <c r="AR53" s="97"/>
      <c r="AS53" s="1706">
        <v>2550.6729999999998</v>
      </c>
      <c r="AT53" s="1860"/>
      <c r="AU53" s="1706">
        <v>2530.1959999999999</v>
      </c>
      <c r="AV53" s="1860"/>
      <c r="AW53" s="1706">
        <v>2474.703</v>
      </c>
      <c r="AX53" s="1860"/>
      <c r="AY53" s="1860">
        <f>+AW53+AY72+flow!AV48+flow!AV12+flow!AV13</f>
        <v>2481.5235849999999</v>
      </c>
      <c r="AZ53" s="1860"/>
      <c r="BA53" s="1860">
        <f>+AY53+BA72+flow!AX48+flow!AX12+flow!AX13</f>
        <v>2459.9797753618791</v>
      </c>
      <c r="BB53" s="1860"/>
      <c r="BC53" s="1860">
        <f>+BA53+BC72+flow!AZ48+flow!AZ12+flow!AZ13</f>
        <v>2445.0554954543763</v>
      </c>
      <c r="BD53" s="1860"/>
      <c r="BE53" s="1860">
        <f>+BC53+BE72+flow!BB48+flow!BB12+flow!BB13</f>
        <v>2426.2219038522508</v>
      </c>
      <c r="BF53" s="1860"/>
      <c r="BG53" s="1860">
        <f>+BE53+BG72+flow!BD48+flow!BD12+flow!BD13</f>
        <v>2380.2175034076918</v>
      </c>
      <c r="BH53" s="1860"/>
      <c r="BI53" s="1860">
        <f>+BG53+BI72+flow!BF48+flow!BF12+flow!BF13</f>
        <v>2333.5630272488179</v>
      </c>
      <c r="BJ53" s="1860"/>
    </row>
    <row r="54" spans="1:62">
      <c r="B54" s="22" t="s">
        <v>586</v>
      </c>
      <c r="C54" s="97"/>
      <c r="E54" s="1861">
        <v>0</v>
      </c>
      <c r="F54" s="97"/>
      <c r="G54" s="1850">
        <v>0</v>
      </c>
      <c r="H54" s="97"/>
      <c r="I54" s="1850">
        <v>0</v>
      </c>
      <c r="J54" s="97"/>
      <c r="K54" s="1850">
        <v>-0.77700000000000002</v>
      </c>
      <c r="L54" s="1857"/>
      <c r="M54" s="1850">
        <v>-1.6850000000000001</v>
      </c>
      <c r="N54" s="1857"/>
      <c r="O54" s="1850">
        <v>-29.978999999999999</v>
      </c>
      <c r="P54" s="1827"/>
      <c r="Q54" s="1850">
        <v>-65.691000000000003</v>
      </c>
      <c r="R54" s="1827"/>
      <c r="S54" s="1850">
        <v>-66.533000000000001</v>
      </c>
      <c r="T54" s="97"/>
      <c r="U54" s="1850">
        <v>-108.55800000000001</v>
      </c>
      <c r="V54" s="97"/>
      <c r="W54" s="1850">
        <v>-188.49199999999999</v>
      </c>
      <c r="X54" s="97"/>
      <c r="Y54" s="1850">
        <f>-563.029+15.048</f>
        <v>-547.98099999999999</v>
      </c>
      <c r="Z54" s="97"/>
      <c r="AA54" s="1850">
        <f>-550.795+26.206-0.796</f>
        <v>-525.38499999999999</v>
      </c>
      <c r="AB54" s="97"/>
      <c r="AC54" s="1711">
        <f>-530.764-0.994</f>
        <v>-531.75800000000004</v>
      </c>
      <c r="AD54" s="310"/>
      <c r="AE54" s="1711">
        <f>-760.752+7.118</f>
        <v>-753.6339999999999</v>
      </c>
      <c r="AF54" s="310"/>
      <c r="AG54" s="1711">
        <f>-706.198-22.681</f>
        <v>-728.87900000000002</v>
      </c>
      <c r="AH54" s="310"/>
      <c r="AI54" s="1711">
        <f>-687.286-8.973</f>
        <v>-696.2589999999999</v>
      </c>
      <c r="AJ54" s="310"/>
      <c r="AK54" s="1706">
        <f>-725.308-6.516</f>
        <v>-731.82399999999996</v>
      </c>
      <c r="AL54" s="97"/>
      <c r="AM54" s="1857">
        <f>-834.774+6.455</f>
        <v>-828.31899999999996</v>
      </c>
      <c r="AN54" s="97"/>
      <c r="AO54" s="1857">
        <v>-1140.009</v>
      </c>
      <c r="AP54" s="97"/>
      <c r="AQ54" s="1857">
        <f>-1240.513+1.6</f>
        <v>-1238.913</v>
      </c>
      <c r="AR54" s="97"/>
      <c r="AS54" s="1857">
        <v>-1512.5619999999999</v>
      </c>
      <c r="AT54" s="1827"/>
      <c r="AU54" s="1857">
        <v>-1532.576</v>
      </c>
      <c r="AV54" s="1827"/>
      <c r="AW54" s="1857">
        <v>-1507.5889999999999</v>
      </c>
      <c r="AX54" s="1827"/>
      <c r="AY54" s="1827">
        <f>+AW54+flow!AV42</f>
        <v>-1507.5889999999999</v>
      </c>
      <c r="AZ54" s="1827"/>
      <c r="BA54" s="1827">
        <f>+AY54+flow!AX42-2.323</f>
        <v>-1509.912</v>
      </c>
      <c r="BB54" s="1827"/>
      <c r="BC54" s="1827">
        <f>+BA54+flow!AZ42</f>
        <v>-1509.912</v>
      </c>
      <c r="BD54" s="1827"/>
      <c r="BE54" s="1827">
        <f>+BC54+flow!BB42</f>
        <v>-1509.912</v>
      </c>
      <c r="BF54" s="1827"/>
      <c r="BG54" s="1827">
        <f>+BE54+flow!BD42</f>
        <v>-1509.912</v>
      </c>
      <c r="BH54" s="1827"/>
      <c r="BI54" s="1827">
        <f>+BG54+flow!BF42</f>
        <v>-1509.912</v>
      </c>
      <c r="BJ54" s="1827"/>
    </row>
    <row r="55" spans="1:62">
      <c r="B55" s="22" t="s">
        <v>1432</v>
      </c>
      <c r="C55" s="97"/>
      <c r="E55"/>
      <c r="F55" s="97"/>
      <c r="G55" s="1857"/>
      <c r="H55" s="97"/>
      <c r="I55" s="1857"/>
      <c r="J55" s="97"/>
      <c r="K55" s="1857"/>
      <c r="L55" s="1857"/>
      <c r="M55" s="1857"/>
      <c r="N55" s="1857"/>
      <c r="O55" s="1857"/>
      <c r="P55" s="1827"/>
      <c r="Q55" s="1857"/>
      <c r="R55" s="1827"/>
      <c r="S55" s="1857"/>
      <c r="T55" s="97"/>
      <c r="U55" s="1857"/>
      <c r="V55" s="97"/>
      <c r="W55" s="1857"/>
      <c r="X55" s="97"/>
      <c r="Y55" s="1857"/>
      <c r="Z55" s="97"/>
      <c r="AA55" s="1857"/>
      <c r="AB55" s="97"/>
      <c r="AC55" s="1706"/>
      <c r="AD55" s="310"/>
      <c r="AE55" s="1706"/>
      <c r="AF55" s="310"/>
      <c r="AG55" s="1706"/>
      <c r="AH55" s="310"/>
      <c r="AI55" s="1706"/>
      <c r="AJ55" s="310"/>
      <c r="AK55" s="1711">
        <v>0</v>
      </c>
      <c r="AL55" s="97"/>
      <c r="AM55" s="1711">
        <v>0</v>
      </c>
      <c r="AN55" s="97"/>
      <c r="AO55" s="1711">
        <v>0</v>
      </c>
      <c r="AP55" s="97"/>
      <c r="AQ55" s="1711">
        <v>0</v>
      </c>
      <c r="AR55" s="97"/>
      <c r="AS55" s="1711">
        <v>0</v>
      </c>
      <c r="AT55" s="1827"/>
      <c r="AU55" s="1711">
        <v>4.6589999999999998</v>
      </c>
      <c r="AV55" s="1827"/>
      <c r="AW55" s="1711">
        <v>8.6039999999999992</v>
      </c>
      <c r="AX55" s="1827"/>
      <c r="AY55" s="2277">
        <v>10.092000000000001</v>
      </c>
      <c r="AZ55" s="1827"/>
      <c r="BA55" s="1851">
        <f>AY55</f>
        <v>10.092000000000001</v>
      </c>
      <c r="BB55" s="1827"/>
      <c r="BC55" s="1851">
        <f>BA55</f>
        <v>10.092000000000001</v>
      </c>
      <c r="BD55" s="1827"/>
      <c r="BE55" s="1851">
        <f>BC55</f>
        <v>10.092000000000001</v>
      </c>
      <c r="BF55" s="1827"/>
      <c r="BG55" s="1851">
        <f>BE55</f>
        <v>10.092000000000001</v>
      </c>
      <c r="BH55" s="1827"/>
      <c r="BI55" s="1851">
        <f>BG55</f>
        <v>10.092000000000001</v>
      </c>
      <c r="BJ55" s="1827"/>
    </row>
    <row r="56" spans="1:62">
      <c r="C56" s="22" t="s">
        <v>136</v>
      </c>
      <c r="E56" s="379">
        <f>SUM(E51:E54)</f>
        <v>-37.07</v>
      </c>
      <c r="G56" s="379">
        <f>SUM(G51:G54)</f>
        <v>-22.622</v>
      </c>
      <c r="I56" s="379">
        <f>SUM(I51:I54)</f>
        <v>11.238</v>
      </c>
      <c r="K56" s="379">
        <f>SUM(K51:K54)</f>
        <v>58.774999999999991</v>
      </c>
      <c r="M56" s="379">
        <f>SUM(M51:M54)</f>
        <v>186.10499999999999</v>
      </c>
      <c r="O56" s="379">
        <f>SUM(O51:O54)</f>
        <v>311.09399999999999</v>
      </c>
      <c r="Q56" s="379">
        <f>SUM(Q51:Q54)</f>
        <v>422.69999999999993</v>
      </c>
      <c r="S56" s="379">
        <f>SUM(S51:S54)</f>
        <v>595.43399999999997</v>
      </c>
      <c r="U56" s="379">
        <f>SUM(U51:U54)</f>
        <v>736.30700000000002</v>
      </c>
      <c r="W56" s="379">
        <f>SUM(W51:W54)</f>
        <v>857.7650000000001</v>
      </c>
      <c r="Y56" s="379">
        <f>SUM(Y51:Y54)</f>
        <v>669.32599999999979</v>
      </c>
      <c r="AA56" s="1536">
        <f>SUM(AA51:AA54)</f>
        <v>995.11699999999996</v>
      </c>
      <c r="AC56" s="1536">
        <f>SUM(AC51:AC54)</f>
        <v>1405.297</v>
      </c>
      <c r="AE56" s="1536">
        <f>SUM(AE51:AE54)</f>
        <v>1618.3130000000001</v>
      </c>
      <c r="AG56" s="1536">
        <f>SUM(AG51:AG54)</f>
        <v>1845.5780000000004</v>
      </c>
      <c r="AI56" s="1536">
        <f>SUM(AI51:AI54)</f>
        <v>1827.9169999999999</v>
      </c>
      <c r="AK56" s="1536">
        <f>SUM(AK51:AK55)</f>
        <v>1890.7840000000001</v>
      </c>
      <c r="AM56" s="1536">
        <f>SUM(AM51:AM54)</f>
        <v>1931.3560000000002</v>
      </c>
      <c r="AN56" s="114"/>
      <c r="AO56" s="1536">
        <f>SUM(AO51:AO54)</f>
        <v>1818.268</v>
      </c>
      <c r="AQ56" s="379">
        <f>SUM(AQ51:AQ54)</f>
        <v>1731.0929999999998</v>
      </c>
      <c r="AS56" s="379">
        <f>SUM(AS51:AS54)</f>
        <v>1389.701</v>
      </c>
      <c r="AT56" s="376"/>
      <c r="AU56" s="379">
        <f>SUM(AU51:AU55)</f>
        <v>1295.7220000000002</v>
      </c>
      <c r="AV56" s="376"/>
      <c r="AW56" s="379">
        <f>SUM(AW51:AW55)</f>
        <v>1252.039</v>
      </c>
      <c r="AX56" s="376"/>
      <c r="AY56" s="379">
        <f>SUM(AY51:AY55)-2.323</f>
        <v>1258.0245849999999</v>
      </c>
      <c r="AZ56" s="376"/>
      <c r="BA56" s="379">
        <f>SUM(BA51:BA55)</f>
        <v>1236.4807753618791</v>
      </c>
      <c r="BB56" s="376"/>
      <c r="BC56" s="379">
        <f>SUM(BC51:BC55)</f>
        <v>1221.5564954543763</v>
      </c>
      <c r="BD56" s="376"/>
      <c r="BE56" s="379">
        <f>SUM(BE51:BE55)</f>
        <v>1202.7229038522507</v>
      </c>
      <c r="BF56" s="376"/>
      <c r="BG56" s="379">
        <f>SUM(BG51:BG55)</f>
        <v>1156.7185034076917</v>
      </c>
      <c r="BH56" s="376"/>
      <c r="BI56" s="379">
        <f>SUM(BI51:BI55)</f>
        <v>1110.0640272488179</v>
      </c>
      <c r="BJ56" s="379"/>
    </row>
    <row r="57" spans="1:62" ht="4.5" customHeight="1">
      <c r="AA57" s="114"/>
      <c r="AT57" s="97"/>
      <c r="AV57" s="97"/>
      <c r="AX57" s="97"/>
      <c r="AZ57" s="97"/>
      <c r="BB57" s="97"/>
      <c r="BD57" s="97"/>
      <c r="BF57" s="97"/>
      <c r="BH57" s="97"/>
    </row>
    <row r="58" spans="1:62">
      <c r="A58" s="22" t="s">
        <v>144</v>
      </c>
      <c r="E58" s="1858">
        <f>E56+E48</f>
        <v>58.017999999999994</v>
      </c>
      <c r="G58" s="1858">
        <f>G56+G48</f>
        <v>87.692999999999998</v>
      </c>
      <c r="I58" s="1858">
        <f>I56+I48</f>
        <v>105.761</v>
      </c>
      <c r="K58" s="1858">
        <f>K56+K48</f>
        <v>183.238</v>
      </c>
      <c r="M58" s="1858">
        <f>M56+M48</f>
        <v>319.27800000000002</v>
      </c>
      <c r="O58" s="1858">
        <f>O56+O48</f>
        <v>458.166</v>
      </c>
      <c r="Q58" s="1858">
        <f>Q56+Q48</f>
        <v>607.79299999999989</v>
      </c>
      <c r="S58" s="1858">
        <f>S56+S48</f>
        <v>795.52700000000004</v>
      </c>
      <c r="U58" s="1858">
        <f>U56+U48</f>
        <v>1173.0740000000001</v>
      </c>
      <c r="W58" s="1858">
        <f>W56+W48</f>
        <v>1383.229</v>
      </c>
      <c r="Y58" s="1858">
        <f>Y56+Y48</f>
        <v>1386.7909999999997</v>
      </c>
      <c r="AA58" s="1859">
        <f>AA56+AA48</f>
        <v>1789.7179999999998</v>
      </c>
      <c r="AC58" s="1859">
        <f>AC56+AC48</f>
        <v>2248.067</v>
      </c>
      <c r="AE58" s="1859">
        <f>AE56+AE48</f>
        <v>2567.598</v>
      </c>
      <c r="AG58" s="1859">
        <f>AG56+AG48</f>
        <v>2848.1810000000005</v>
      </c>
      <c r="AI58" s="1859">
        <f>AI56+AI48</f>
        <v>2821.866</v>
      </c>
      <c r="AK58" s="1859">
        <f>AK56+AK48</f>
        <v>2947.902</v>
      </c>
      <c r="AM58" s="1858">
        <f>AM56+AM48</f>
        <v>3117.0530000000003</v>
      </c>
      <c r="AO58" s="1858">
        <f>AO56+AO48</f>
        <v>2987.4009999999998</v>
      </c>
      <c r="AQ58" s="1858">
        <f>AQ56+AQ48</f>
        <v>2852.5969999999998</v>
      </c>
      <c r="AS58" s="1858">
        <f>AS56+AS48</f>
        <v>2505.1669999999999</v>
      </c>
      <c r="AT58" s="376"/>
      <c r="AU58" s="1858">
        <f>AU56+AU48</f>
        <v>2433.0390000000002</v>
      </c>
      <c r="AV58" s="376"/>
      <c r="AW58" s="1858">
        <f>AW56+AW48</f>
        <v>2295.7570000000001</v>
      </c>
      <c r="AX58" s="376"/>
      <c r="AY58" s="1858">
        <f>AY56+AY48</f>
        <v>2331.2455849999997</v>
      </c>
      <c r="AZ58" s="376"/>
      <c r="BA58" s="1858">
        <f>BA56+BA48</f>
        <v>2308.3684499684714</v>
      </c>
      <c r="BB58" s="376"/>
      <c r="BC58" s="1858">
        <f>BC56+BC48</f>
        <v>2304.7672060075492</v>
      </c>
      <c r="BD58" s="376"/>
      <c r="BE58" s="1858">
        <f>BE56+BE48</f>
        <v>2289.9577063029974</v>
      </c>
      <c r="BF58" s="376"/>
      <c r="BG58" s="1858">
        <f>BG56+BG48</f>
        <v>2247.2620280981851</v>
      </c>
      <c r="BH58" s="376"/>
      <c r="BI58" s="1858">
        <f>BI56+BI48</f>
        <v>2206.6562369633311</v>
      </c>
      <c r="BJ58" s="376"/>
    </row>
    <row r="59" spans="1:62" ht="5.0999999999999996" customHeight="1"/>
    <row r="60" spans="1:62" hidden="1"/>
    <row r="61" spans="1:62" hidden="1"/>
    <row r="62" spans="1:62">
      <c r="A62" s="22" t="s">
        <v>6</v>
      </c>
    </row>
    <row r="64" spans="1:62">
      <c r="A64" s="1862" t="s">
        <v>138</v>
      </c>
      <c r="B64" s="1862"/>
      <c r="C64" s="1862"/>
      <c r="D64" s="1862"/>
      <c r="E64" s="1862" t="str">
        <f>IF(E58=E28," ","Unbalanced")</f>
        <v xml:space="preserve"> </v>
      </c>
      <c r="F64" s="1862"/>
      <c r="G64" s="1862" t="str">
        <f>IF(G58=G28," ",G58-G28)</f>
        <v xml:space="preserve"> </v>
      </c>
      <c r="H64" s="1862"/>
      <c r="I64" s="1862" t="str">
        <f>IF(I58=I28," ",I58-I28)</f>
        <v xml:space="preserve"> </v>
      </c>
      <c r="J64" s="1862"/>
      <c r="K64" s="1862" t="str">
        <f>IF(K58=K28," ",K58-K28)</f>
        <v xml:space="preserve"> </v>
      </c>
      <c r="L64" s="1862"/>
      <c r="M64" s="1862" t="str">
        <f>IF(M58=M28," ",M58-M28)</f>
        <v xml:space="preserve"> </v>
      </c>
      <c r="N64" s="1862"/>
      <c r="O64" s="1863" t="str">
        <f>IF(O58=O28," ",O58-O28)</f>
        <v xml:space="preserve"> </v>
      </c>
      <c r="P64" s="1862"/>
      <c r="Q64" s="1862" t="str">
        <f>IF(Q58=Q28," ",Q58-Q28)</f>
        <v xml:space="preserve"> </v>
      </c>
      <c r="R64" s="1862"/>
      <c r="S64" s="1864" t="str">
        <f>IF(S58=S28," ",S58-S28)</f>
        <v xml:space="preserve"> </v>
      </c>
      <c r="T64" s="1862"/>
      <c r="U64" s="1865" t="str">
        <f>IF(U58=U28," ",U58-U28)</f>
        <v xml:space="preserve"> </v>
      </c>
      <c r="V64" s="1862"/>
      <c r="W64" s="1865"/>
      <c r="X64" s="1862"/>
      <c r="Y64" s="1864"/>
      <c r="Z64" s="1866"/>
      <c r="AA64" s="1864"/>
      <c r="AB64" s="1866"/>
      <c r="AC64" s="1867"/>
      <c r="AD64" s="1868"/>
      <c r="AE64" s="1868">
        <f>+AE58-AE28</f>
        <v>-1.0459189070388675E-11</v>
      </c>
      <c r="AF64" s="1868"/>
      <c r="AG64" s="1868">
        <f>+AG58-AG28</f>
        <v>0</v>
      </c>
      <c r="AH64" s="1868"/>
      <c r="AI64" s="1868">
        <f>+AI58-AI28</f>
        <v>-1.0004441719502211E-11</v>
      </c>
      <c r="AJ64" s="1868"/>
      <c r="AK64" s="1868">
        <f>+AK58-AK28</f>
        <v>-1.0004441719502211E-11</v>
      </c>
      <c r="AL64" s="1866"/>
      <c r="AM64" s="1866">
        <f>+AM58-AM28</f>
        <v>2.3999999999887223E-2</v>
      </c>
      <c r="AN64" s="1866"/>
      <c r="AO64" s="1866">
        <f>+AO58-AO28</f>
        <v>0</v>
      </c>
      <c r="AP64" s="1866"/>
      <c r="AQ64" s="1866">
        <f>+AQ58-AQ28</f>
        <v>-3.4000000000105501E-2</v>
      </c>
      <c r="AR64" s="1866"/>
      <c r="AS64" s="1866">
        <f>+AS58-AS28</f>
        <v>0</v>
      </c>
      <c r="AT64" s="1866"/>
      <c r="AU64" s="1866">
        <f>+AU58-AU28</f>
        <v>0</v>
      </c>
      <c r="AV64" s="1866"/>
      <c r="AW64" s="1866">
        <f>+AW58-AW28</f>
        <v>0</v>
      </c>
      <c r="AX64" s="1866"/>
      <c r="AY64" s="1866">
        <f>+AY58-AY28</f>
        <v>-8.3580000000001746</v>
      </c>
      <c r="AZ64" s="1866"/>
      <c r="BA64" s="1866">
        <f>+BA58-BA28</f>
        <v>-8.3580000000001746</v>
      </c>
      <c r="BB64" s="1866"/>
      <c r="BC64" s="1866">
        <f>+BC58-BC28</f>
        <v>-8.3580000000006294</v>
      </c>
      <c r="BD64" s="1866"/>
      <c r="BE64" s="1866">
        <f>+BE58-BE28</f>
        <v>-8.3580000000001746</v>
      </c>
      <c r="BF64" s="1866"/>
      <c r="BG64" s="1866">
        <f>+BG58-BG28</f>
        <v>-8.3580000000006294</v>
      </c>
      <c r="BH64" s="1866"/>
      <c r="BI64" s="1866">
        <f>+BI58-BI28</f>
        <v>-8.3580000000001746</v>
      </c>
      <c r="BJ64" s="1866"/>
    </row>
    <row r="66" spans="1:62">
      <c r="AC66" s="1151"/>
      <c r="AE66" s="1151"/>
      <c r="AG66" s="1151"/>
      <c r="AH66" s="1151"/>
      <c r="AI66" s="1151"/>
      <c r="AJ66" s="1151"/>
      <c r="AK66" s="1151"/>
      <c r="AL66" s="1053"/>
      <c r="AM66" s="1053"/>
      <c r="AN66" s="1053"/>
      <c r="AO66" s="1053"/>
      <c r="AP66" s="1053"/>
      <c r="AQ66" s="1053"/>
      <c r="AR66" s="1053"/>
      <c r="AS66" s="1053"/>
      <c r="AT66" s="1053"/>
      <c r="AU66" s="1053"/>
      <c r="AV66" s="1053"/>
      <c r="AW66" s="1053"/>
      <c r="AX66" s="1053"/>
      <c r="AY66" s="1053"/>
      <c r="AZ66" s="1053"/>
      <c r="BA66" s="1053"/>
      <c r="BB66" s="1053"/>
      <c r="BC66" s="1053"/>
      <c r="BD66" s="1053"/>
      <c r="BE66" s="1053"/>
      <c r="BF66" s="1053"/>
      <c r="BG66" s="1053"/>
      <c r="BH66" s="1053"/>
      <c r="BI66" s="1053"/>
      <c r="BJ66" s="1053"/>
    </row>
    <row r="67" spans="1:62">
      <c r="A67" s="22" t="s">
        <v>148</v>
      </c>
    </row>
    <row r="69" spans="1:62">
      <c r="B69" s="22" t="s">
        <v>145</v>
      </c>
      <c r="E69" s="1030">
        <f>'qtrP&amp;L'!D14</f>
        <v>165.46300000000002</v>
      </c>
      <c r="G69" s="1030">
        <f>'qtrP&amp;L'!H14</f>
        <v>235.65899999999999</v>
      </c>
      <c r="I69" s="1030">
        <f>'qtrP&amp;L'!L14</f>
        <v>335.37200000000001</v>
      </c>
      <c r="K69" s="1030">
        <f>'qtrP&amp;L'!P14</f>
        <v>521.61699999999996</v>
      </c>
      <c r="M69" s="1030">
        <f>'qtrP&amp;L'!T14</f>
        <v>805.18000000000006</v>
      </c>
      <c r="O69" s="1030">
        <f>'qtrP&amp;L'!X14</f>
        <v>1030.8579999999999</v>
      </c>
      <c r="Q69" s="1030">
        <f>'qtrP&amp;L'!AB14</f>
        <v>1237.604</v>
      </c>
      <c r="S69" s="1030">
        <f>'qtrP&amp;L'!AF14</f>
        <v>1364.8530000000001</v>
      </c>
      <c r="U69" s="1030">
        <f>+'qtrP&amp;L'!AJ14</f>
        <v>1595.7569999999998</v>
      </c>
      <c r="W69" s="1030">
        <f>+'qtrP&amp;L'!AN14</f>
        <v>1707.8090000000002</v>
      </c>
      <c r="Y69" s="1030">
        <f>+'yrP&amp;L'!L7</f>
        <v>2021.2539999999999</v>
      </c>
      <c r="AA69" s="1030">
        <f>+'yrP&amp;L'!M7</f>
        <v>2784.7110000000002</v>
      </c>
      <c r="AC69" s="1129">
        <f>+'yrP&amp;L'!O7</f>
        <v>3318.1579999999999</v>
      </c>
      <c r="AE69" s="1129">
        <f>+'yrP&amp;L'!Q7</f>
        <v>3749.8469999999998</v>
      </c>
      <c r="AG69" s="1129">
        <f>+'yrP&amp;L'!S7</f>
        <v>3484.0569999999998</v>
      </c>
      <c r="AH69" s="1129"/>
      <c r="AI69" s="1129">
        <f>+'yrP&amp;L'!T7</f>
        <v>2928.625</v>
      </c>
      <c r="AJ69" s="1129"/>
      <c r="AK69" s="1129">
        <f>+'yrP&amp;L'!U7</f>
        <v>3468.7759999999998</v>
      </c>
      <c r="AL69" s="1030"/>
      <c r="AM69" s="1030">
        <f>+'yrP&amp;L'!W7</f>
        <v>4510.8050000000003</v>
      </c>
      <c r="AN69" s="1030"/>
      <c r="AO69" s="1030">
        <f>+'yrP&amp;L'!W7</f>
        <v>4510.8050000000003</v>
      </c>
      <c r="AP69" s="1030"/>
      <c r="AQ69" s="1030">
        <f>+'yrP&amp;L'!X7</f>
        <v>4116.8969999999999</v>
      </c>
      <c r="AR69" s="1030"/>
      <c r="AS69" s="1030">
        <f>+'yrP&amp;L'!Y7</f>
        <v>3744.0299999999997</v>
      </c>
      <c r="AT69" s="1030"/>
      <c r="AU69" s="1030">
        <f>'yrP&amp;L'!Z7</f>
        <v>3518.6800000000003</v>
      </c>
      <c r="AW69" s="1030">
        <f>'yrP&amp;L'!AA7</f>
        <v>3326.74</v>
      </c>
      <c r="AX69" s="1030"/>
      <c r="AY69" s="1030">
        <f>'yrP&amp;L'!AB7</f>
        <v>3492.69</v>
      </c>
      <c r="AZ69" s="1030"/>
      <c r="BA69" s="1030">
        <f>'yrP&amp;L'!AC7</f>
        <v>3507.8603602149997</v>
      </c>
      <c r="BB69" s="1030"/>
      <c r="BC69" s="1030">
        <f>'yrP&amp;L'!AD7</f>
        <v>3501.053784940505</v>
      </c>
      <c r="BD69" s="1030"/>
      <c r="BE69" s="1030">
        <f>'yrP&amp;L'!AE7</f>
        <v>3482.3514356037103</v>
      </c>
      <c r="BF69" s="1030"/>
      <c r="BG69" s="1030">
        <f>'yrP&amp;L'!AF7</f>
        <v>3457.2244743780684</v>
      </c>
      <c r="BH69" s="1030"/>
      <c r="BI69" s="1030">
        <f>'yrP&amp;L'!AG7</f>
        <v>3447.5824525143589</v>
      </c>
      <c r="BJ69" s="1030"/>
    </row>
    <row r="70" spans="1:62">
      <c r="B70" s="22" t="s">
        <v>146</v>
      </c>
      <c r="E70" s="1059">
        <f>'qtrP&amp;L'!D24</f>
        <v>108.643</v>
      </c>
      <c r="G70" s="1059">
        <f>'qtrP&amp;L'!H24</f>
        <v>155.86500000000001</v>
      </c>
      <c r="H70" s="1059"/>
      <c r="I70" s="1059">
        <f>'qtrP&amp;L'!L24</f>
        <v>211.60599999999999</v>
      </c>
      <c r="J70" s="1059"/>
      <c r="K70" s="1059">
        <f>'qtrP&amp;L'!P24</f>
        <v>320.53699999999998</v>
      </c>
      <c r="L70" s="1059"/>
      <c r="M70" s="1059">
        <f>'qtrP&amp;L'!T24</f>
        <v>473.82600000000002</v>
      </c>
      <c r="N70" s="1059"/>
      <c r="O70" s="1059">
        <f>'qtrP&amp;L'!X24</f>
        <v>580.47500000000002</v>
      </c>
      <c r="Q70" s="1059">
        <f>'qtrP&amp;L'!AB24</f>
        <v>728.22900000000004</v>
      </c>
      <c r="S70" s="1059">
        <f>'qtrP&amp;L'!AF24</f>
        <v>806.81900000000007</v>
      </c>
      <c r="U70" s="1059">
        <f>'qtrP&amp;L'!AJ24</f>
        <v>615.20100000000002</v>
      </c>
      <c r="W70" s="1059">
        <f>+'qtrP&amp;L'!AN24</f>
        <v>624.64</v>
      </c>
      <c r="Y70" s="1059">
        <f>+'yrP&amp;L'!L11</f>
        <v>680.029</v>
      </c>
      <c r="AA70" s="1059">
        <f>+'yrP&amp;L'!M11</f>
        <v>933.29500000000007</v>
      </c>
      <c r="AC70" s="1132">
        <f>+'yrP&amp;L'!O11</f>
        <v>1109.152</v>
      </c>
      <c r="AE70" s="1132">
        <f>+'yrP&amp;L'!Q11</f>
        <v>1238.48</v>
      </c>
      <c r="AG70" s="1132">
        <f>+'yrP&amp;L'!S11</f>
        <v>1152.963</v>
      </c>
      <c r="AH70" s="1132"/>
      <c r="AI70" s="1132">
        <f>+'yrP&amp;L'!T11</f>
        <v>1045.029</v>
      </c>
      <c r="AJ70" s="1132"/>
      <c r="AK70" s="1132">
        <f>+'yrP&amp;L'!U11</f>
        <v>1251.348</v>
      </c>
      <c r="AL70" s="1059"/>
      <c r="AM70" s="1059">
        <f>+'yrP&amp;L'!W11</f>
        <v>1694.096</v>
      </c>
      <c r="AN70" s="1059"/>
      <c r="AO70" s="1059">
        <f>+'yrP&amp;L'!W11</f>
        <v>1694.096</v>
      </c>
      <c r="AP70" s="1059"/>
      <c r="AQ70" s="1059">
        <f>+'yrP&amp;L'!X11</f>
        <v>1541.462</v>
      </c>
      <c r="AR70" s="1059"/>
      <c r="AS70" s="1059">
        <f>+'yrP&amp;L'!Y11</f>
        <v>1430.46</v>
      </c>
      <c r="AU70" s="1059">
        <f>+'yrP&amp;L'!Z11</f>
        <v>1340.49</v>
      </c>
      <c r="AW70" s="1059">
        <f>+'yrP&amp;L'!AA11</f>
        <v>1298.172</v>
      </c>
      <c r="AX70" s="1059"/>
      <c r="AY70" s="1059">
        <f>+'yrP&amp;L'!AB11</f>
        <v>1408.848</v>
      </c>
      <c r="AZ70" s="1059"/>
      <c r="BA70" s="1059">
        <f>+'yrP&amp;L'!AC11</f>
        <v>1420.4319961016351</v>
      </c>
      <c r="BB70" s="1059"/>
      <c r="BC70" s="1059">
        <f>+'yrP&amp;L'!AD11</f>
        <v>1414.425729115964</v>
      </c>
      <c r="BD70" s="1059"/>
      <c r="BE70" s="1059">
        <f>+'yrP&amp;L'!AE11</f>
        <v>1410.3523314195029</v>
      </c>
      <c r="BF70" s="1059"/>
      <c r="BG70" s="1059">
        <f>+'yrP&amp;L'!AF11</f>
        <v>1402.9416917026203</v>
      </c>
      <c r="BH70" s="1059"/>
      <c r="BI70" s="1059">
        <f>+'yrP&amp;L'!AG11</f>
        <v>1403.1660581733443</v>
      </c>
      <c r="BJ70" s="1059"/>
    </row>
    <row r="71" spans="1:62">
      <c r="B71" s="22" t="s">
        <v>147</v>
      </c>
      <c r="E71" s="1059">
        <f>'qtrP&amp;L'!D54</f>
        <v>43.069000000000003</v>
      </c>
      <c r="G71" s="1059">
        <f>'qtrP&amp;L'!H54</f>
        <v>55.995999999999995</v>
      </c>
      <c r="H71" s="1059"/>
      <c r="I71" s="1059">
        <f>'qtrP&amp;L'!L54</f>
        <v>77.772999999999996</v>
      </c>
      <c r="J71" s="1059"/>
      <c r="K71" s="1059">
        <f>'qtrP&amp;L'!P54</f>
        <v>116.955</v>
      </c>
      <c r="L71" s="1059"/>
      <c r="M71" s="1059">
        <f>'qtrP&amp;L'!T54</f>
        <v>164.39600000000002</v>
      </c>
      <c r="N71" s="1059"/>
      <c r="O71" s="1059">
        <f>'qtrP&amp;L'!X54</f>
        <v>208.31900000000002</v>
      </c>
      <c r="Q71" s="1059">
        <f>'qtrP&amp;L'!AB54</f>
        <v>255.72300000000001</v>
      </c>
      <c r="S71" s="1059">
        <f>'qtrP&amp;L'!AF54</f>
        <v>286.57600000000002</v>
      </c>
      <c r="U71" s="1059">
        <f>'qtrP&amp;L'!AJ54</f>
        <v>668.80000000000007</v>
      </c>
      <c r="W71" s="1059">
        <f>+'qtrP&amp;L'!AN54</f>
        <v>752.96799999999996</v>
      </c>
      <c r="Y71" s="1059">
        <f>+'yrP&amp;L'!L14</f>
        <v>965.18</v>
      </c>
      <c r="AA71" s="1059">
        <f>+'yrP&amp;L'!M14</f>
        <v>1300.712</v>
      </c>
      <c r="AC71" s="1132">
        <f>+'yrP&amp;L'!O14</f>
        <v>1560.9010000000001</v>
      </c>
      <c r="AE71" s="1132">
        <f>+'yrP&amp;L'!Q14</f>
        <v>1782.604</v>
      </c>
      <c r="AG71" s="1132">
        <f>+'yrP&amp;L'!S14</f>
        <v>1837.6110000000001</v>
      </c>
      <c r="AH71" s="1132"/>
      <c r="AI71" s="1132">
        <f>+'yrP&amp;L'!T14</f>
        <v>1746.019</v>
      </c>
      <c r="AJ71" s="1132"/>
      <c r="AK71" s="1132">
        <f>+'yrP&amp;L'!U14</f>
        <v>1975.7060000000001</v>
      </c>
      <c r="AL71" s="1059"/>
      <c r="AM71" s="1059">
        <f>+'yrP&amp;L'!W14</f>
        <v>2454.4089999999997</v>
      </c>
      <c r="AN71" s="1059"/>
      <c r="AO71" s="1059">
        <f>+'yrP&amp;L'!W14</f>
        <v>2454.4089999999997</v>
      </c>
      <c r="AP71" s="1059"/>
      <c r="AQ71" s="1059">
        <f>+'yrP&amp;L'!X14</f>
        <v>2374.8130000000001</v>
      </c>
      <c r="AR71" s="1059"/>
      <c r="AS71" s="1059">
        <f>+'yrP&amp;L'!Y14</f>
        <v>2137.0809999999997</v>
      </c>
      <c r="AU71" s="1059">
        <f>+'yrP&amp;L'!Z14</f>
        <v>2050.3526000000002</v>
      </c>
      <c r="AW71" s="1059">
        <f>+'yrP&amp;L'!AA14</f>
        <v>2039.2359999999999</v>
      </c>
      <c r="AX71" s="1059"/>
      <c r="AY71" s="1059">
        <f>+'yrP&amp;L'!AB14</f>
        <v>1999.269</v>
      </c>
      <c r="AZ71" s="1059"/>
      <c r="BA71" s="1059">
        <f>+'yrP&amp;L'!AC14</f>
        <v>2030.8763915643058</v>
      </c>
      <c r="BB71" s="1059"/>
      <c r="BC71" s="1059">
        <f>+'yrP&amp;L'!AD14</f>
        <v>2034.8124598074212</v>
      </c>
      <c r="BD71" s="1059"/>
      <c r="BE71" s="1059">
        <f>+'yrP&amp;L'!AE14</f>
        <v>2024.9873598035576</v>
      </c>
      <c r="BF71" s="1059"/>
      <c r="BG71" s="1059">
        <f>+'yrP&amp;L'!AF14</f>
        <v>2011.7589216405979</v>
      </c>
      <c r="BH71" s="1059"/>
      <c r="BI71" s="1059">
        <f>+'yrP&amp;L'!AG14</f>
        <v>2002.0111301750883</v>
      </c>
      <c r="BJ71" s="1059"/>
    </row>
    <row r="72" spans="1:62">
      <c r="B72" s="22" t="s">
        <v>149</v>
      </c>
      <c r="E72" s="1059">
        <f>'qtrP&amp;L'!D134</f>
        <v>5.0790000000000113</v>
      </c>
      <c r="G72" s="1059">
        <f>'qtrP&amp;L'!H134</f>
        <v>10.838999999999988</v>
      </c>
      <c r="H72" s="1059"/>
      <c r="I72" s="1059">
        <f>'qtrP&amp;L'!L134</f>
        <v>24.577000000000005</v>
      </c>
      <c r="J72" s="1059"/>
      <c r="K72" s="1059">
        <f>'qtrP&amp;L'!P134</f>
        <v>48.32200000000001</v>
      </c>
      <c r="L72" s="1059"/>
      <c r="M72" s="1059">
        <f>'qtrP&amp;L'!T134</f>
        <v>102.06199999999998</v>
      </c>
      <c r="N72" s="1059"/>
      <c r="O72" s="1059">
        <f>'qtrP&amp;L'!X134</f>
        <v>149.60140000000001</v>
      </c>
      <c r="Q72" s="1059">
        <f>'qtrP&amp;L'!AB134</f>
        <v>158.13300000000001</v>
      </c>
      <c r="S72" s="1059">
        <f>'qtrP&amp;L'!AF134</f>
        <v>168.672</v>
      </c>
      <c r="U72" s="1059">
        <f>'qtrP&amp;L'!AJ134</f>
        <v>194.75399999999991</v>
      </c>
      <c r="W72" s="1059">
        <f>+'qtrP&amp;L'!AN134</f>
        <v>204.82999999999996</v>
      </c>
      <c r="Y72" s="1059">
        <f>+'yrP&amp;L'!L45+'yrP&amp;L'!L53</f>
        <v>216.37399999999997</v>
      </c>
      <c r="AA72" s="1059">
        <f>+'yrP&amp;L'!M45</f>
        <v>342.21900000000022</v>
      </c>
      <c r="AC72" s="1132">
        <f>+'yrP&amp;L'!O45</f>
        <v>422.18499999999989</v>
      </c>
      <c r="AE72" s="1132">
        <f>+'yrP&amp;L'!Q45</f>
        <v>475.69699999999966</v>
      </c>
      <c r="AG72" s="1132">
        <f>+'yrP&amp;L'!S45</f>
        <v>313.17</v>
      </c>
      <c r="AH72" s="1132"/>
      <c r="AI72" s="1132">
        <f>+'yrP&amp;L'!T45</f>
        <v>98.871999999999971</v>
      </c>
      <c r="AJ72" s="1132"/>
      <c r="AK72" s="1132">
        <f>+'yrP&amp;L'!U45</f>
        <v>188.30699999999979</v>
      </c>
      <c r="AL72" s="1059"/>
      <c r="AM72" s="1059">
        <f>+'yrP&amp;L'!V45</f>
        <v>222.07600000000008</v>
      </c>
      <c r="AN72" s="1059"/>
      <c r="AO72" s="1059">
        <f>+'yrP&amp;L'!W45</f>
        <v>241.5960000000006</v>
      </c>
      <c r="AP72" s="1059"/>
      <c r="AQ72" s="1059">
        <f>+'yrP&amp;L'!X45</f>
        <v>151.53799999999987</v>
      </c>
      <c r="AR72" s="1059"/>
      <c r="AS72" s="1059">
        <f>+'yrP&amp;L'!Y45</f>
        <v>112.32900000000002</v>
      </c>
      <c r="AU72" s="1059">
        <f>+'yrP&amp;L'!Z45</f>
        <v>81.024400000000341</v>
      </c>
      <c r="AW72" s="1059">
        <f>+'yrP&amp;L'!AA45</f>
        <v>-0.30800000000012062</v>
      </c>
      <c r="AX72" s="1059">
        <f>+'yrP&amp;L'!AI45</f>
        <v>-27.487027866102832</v>
      </c>
      <c r="AY72" s="1059">
        <f>+'yrP&amp;L'!AB45</f>
        <v>48.436000000000099</v>
      </c>
      <c r="AZ72" s="1059">
        <f>+'yrP&amp;L'!AK45</f>
        <v>-14.696640779035119</v>
      </c>
      <c r="BA72" s="1059">
        <f>+'yrP&amp;L'!AC45</f>
        <v>21.372887861879285</v>
      </c>
      <c r="BB72" s="1059">
        <f>+'yrP&amp;L'!AM45</f>
        <v>0</v>
      </c>
      <c r="BC72" s="1059">
        <f>+'yrP&amp;L'!AD45</f>
        <v>28.747105092497279</v>
      </c>
      <c r="BD72" s="1059">
        <f>+'yrP&amp;L'!AO45</f>
        <v>0</v>
      </c>
      <c r="BE72" s="1059">
        <f>+'yrP&amp;L'!AE45</f>
        <v>25.240293397874531</v>
      </c>
      <c r="BF72" s="1059">
        <f>+'yrP&amp;L'!AQ45</f>
        <v>0</v>
      </c>
      <c r="BG72" s="1059">
        <f>+'yrP&amp;L'!AF45</f>
        <v>21.964138555440769</v>
      </c>
      <c r="BH72" s="1059">
        <f>+'yrP&amp;L'!AS45</f>
        <v>0</v>
      </c>
      <c r="BI72" s="1059">
        <f>+'yrP&amp;L'!AG45</f>
        <v>21.877562841126259</v>
      </c>
      <c r="BJ72" s="1059"/>
    </row>
    <row r="74" spans="1:62">
      <c r="B74" s="22" t="s">
        <v>150</v>
      </c>
      <c r="E74" s="18">
        <f>+E11/E$69</f>
        <v>2.1950526703855239E-2</v>
      </c>
      <c r="G74" s="18">
        <f>+G11/G$69</f>
        <v>1.5348448393653543E-2</v>
      </c>
      <c r="I74" s="18">
        <f>+I11/I$69</f>
        <v>6.2676669489402804E-3</v>
      </c>
      <c r="K74" s="18">
        <f>+K11/K$69</f>
        <v>3.2495106562861259E-3</v>
      </c>
      <c r="M74" s="18">
        <f>+M11/M$69</f>
        <v>5.0932710698228965E-3</v>
      </c>
      <c r="O74" s="18">
        <f>+O11/O$69</f>
        <v>1.1104342208141179E-2</v>
      </c>
      <c r="Q74" s="18">
        <f>+Q11/Q$69</f>
        <v>1.2790036231298542E-2</v>
      </c>
      <c r="S74" s="18">
        <f>+S11/S$69</f>
        <v>1.4987694645503946E-2</v>
      </c>
      <c r="U74" s="18">
        <f>+U11/U$69</f>
        <v>6.6250688544684435E-3</v>
      </c>
      <c r="W74" s="18">
        <f>+W11/W$69</f>
        <v>4.214171491074236E-3</v>
      </c>
      <c r="Y74" s="18">
        <f>+Y11/Y$69</f>
        <v>1.8681471997086956E-2</v>
      </c>
      <c r="AA74" s="18">
        <f>+AA11/AA$69</f>
        <v>1.5030285009826869E-2</v>
      </c>
      <c r="AC74" s="1360">
        <f>+AC11/AC$69</f>
        <v>1.3031326416644416E-2</v>
      </c>
      <c r="AE74" s="1360">
        <f>+AE11/AE$69</f>
        <v>1.4347518712096788E-2</v>
      </c>
      <c r="AG74" s="1360">
        <f>+AG11/AG$69</f>
        <v>1.524372305045526E-2</v>
      </c>
      <c r="AH74" s="1869"/>
      <c r="AI74" s="1360">
        <f>+AI11/AI$69</f>
        <v>3.1026505612702204E-2</v>
      </c>
      <c r="AJ74" s="1869"/>
      <c r="AK74" s="1360">
        <f>+AK11/AK$69</f>
        <v>2.3427283860358812E-2</v>
      </c>
      <c r="AL74" s="1870"/>
      <c r="AM74" s="18">
        <f>+AM11/AM$69</f>
        <v>1.9807994360208431E-2</v>
      </c>
      <c r="AN74" s="18"/>
      <c r="AO74" s="18">
        <f>+AO11/AO$69</f>
        <v>2.2085193219392101E-2</v>
      </c>
      <c r="AP74" s="18"/>
      <c r="AQ74" s="18">
        <f>+AQ11/AQ$69</f>
        <v>1.6508792908834009E-2</v>
      </c>
      <c r="AR74" s="1870"/>
      <c r="AS74" s="18">
        <f>+AS11/AS$69</f>
        <v>1.4131831208617452E-2</v>
      </c>
      <c r="AT74" s="18"/>
      <c r="AU74" s="18">
        <f>+AU11/AU$69</f>
        <v>1.6161742471608672E-2</v>
      </c>
      <c r="AV74" s="1870"/>
      <c r="AW74" s="18">
        <f>+AW11/AW$69</f>
        <v>2.8070723891858097E-2</v>
      </c>
      <c r="AX74" s="1870"/>
      <c r="AY74" s="1870">
        <f>AW74</f>
        <v>2.8070723891858097E-2</v>
      </c>
      <c r="AZ74" s="1870"/>
      <c r="BA74" s="1870">
        <f>AY74</f>
        <v>2.8070723891858097E-2</v>
      </c>
      <c r="BB74" s="1870"/>
      <c r="BC74" s="1870">
        <f>BA74</f>
        <v>2.8070723891858097E-2</v>
      </c>
      <c r="BD74" s="1870"/>
      <c r="BE74" s="1870">
        <f>BC74</f>
        <v>2.8070723891858097E-2</v>
      </c>
      <c r="BF74" s="1870"/>
      <c r="BG74" s="1870">
        <f>BE74</f>
        <v>2.8070723891858097E-2</v>
      </c>
      <c r="BH74" s="1870"/>
      <c r="BI74" s="1870">
        <f>BG74</f>
        <v>2.8070723891858097E-2</v>
      </c>
      <c r="BJ74" s="1870"/>
    </row>
    <row r="75" spans="1:62">
      <c r="B75" s="22" t="s">
        <v>152</v>
      </c>
      <c r="E75" s="18">
        <f>+E12/E$69</f>
        <v>0.10002840514193503</v>
      </c>
      <c r="G75" s="18">
        <f>+G12/G$69</f>
        <v>0.12894903228817911</v>
      </c>
      <c r="I75" s="18">
        <f>+I12/I$69</f>
        <v>0.10419176317641304</v>
      </c>
      <c r="K75" s="18">
        <f>+K12/K$69</f>
        <v>6.5041975242371319E-2</v>
      </c>
      <c r="M75" s="18">
        <f>+M12/M$69</f>
        <v>5.4636230408107493E-2</v>
      </c>
      <c r="O75" s="18">
        <f>+O12/O$69</f>
        <v>7.3009085635460949E-2</v>
      </c>
      <c r="Q75" s="18">
        <f>+Q12/Q$69</f>
        <v>9.7767137145645944E-2</v>
      </c>
      <c r="S75" s="18">
        <f>+S12/S$69</f>
        <v>7.9771228110280007E-2</v>
      </c>
      <c r="U75" s="18">
        <f>+U12/U$69</f>
        <v>8.9804400043365012E-2</v>
      </c>
      <c r="W75" s="18">
        <f>+W12/W$69</f>
        <v>9.9954385999839551E-2</v>
      </c>
      <c r="Y75" s="18">
        <f>+Y12/Y$69</f>
        <v>0.10448859965150348</v>
      </c>
      <c r="AA75" s="18">
        <f>+AA12/AA$69</f>
        <v>0.13018801591978485</v>
      </c>
      <c r="AC75" s="1360">
        <f>+AC12/AC$69</f>
        <v>0.12882056852024526</v>
      </c>
      <c r="AE75" s="1360">
        <f>+AE12/AE$69</f>
        <v>8.8844424852533993E-2</v>
      </c>
      <c r="AG75" s="1360">
        <f>+AG12/AG$69</f>
        <v>0.10689319950850404</v>
      </c>
      <c r="AH75" s="1869"/>
      <c r="AI75" s="1360">
        <f>+AI12/AI$69</f>
        <v>0.1060719620982543</v>
      </c>
      <c r="AJ75" s="1869"/>
      <c r="AK75" s="1360">
        <f>+AK12/AK$69</f>
        <v>0.11123722027597056</v>
      </c>
      <c r="AL75" s="1870"/>
      <c r="AM75" s="18">
        <f>+AM12/AM$69</f>
        <v>0.15073473581766444</v>
      </c>
      <c r="AN75" s="18"/>
      <c r="AO75" s="18">
        <f>+AO12/AO$69</f>
        <v>9.4653171662264265E-2</v>
      </c>
      <c r="AP75" s="18"/>
      <c r="AQ75" s="18">
        <f>+AQ12/AQ$69</f>
        <v>0.12878437327919548</v>
      </c>
      <c r="AR75" s="1870"/>
      <c r="AS75" s="18">
        <f>+AS12/AS$69</f>
        <v>0.12307433434026971</v>
      </c>
      <c r="AT75" s="18"/>
      <c r="AU75" s="18">
        <f>+AU12/AU$69</f>
        <v>0.12410932508781702</v>
      </c>
      <c r="AV75" s="1870"/>
      <c r="AW75" s="18">
        <f>+AW12/AW$69</f>
        <v>0.1201762085404931</v>
      </c>
      <c r="AX75" s="1870"/>
      <c r="AY75" s="1870">
        <f>AW75</f>
        <v>0.1201762085404931</v>
      </c>
      <c r="AZ75" s="1870"/>
      <c r="BA75" s="1870">
        <f>AY75</f>
        <v>0.1201762085404931</v>
      </c>
      <c r="BB75" s="1870"/>
      <c r="BC75" s="1870">
        <f>BA75</f>
        <v>0.1201762085404931</v>
      </c>
      <c r="BD75" s="1870"/>
      <c r="BE75" s="1870">
        <f>BC75</f>
        <v>0.1201762085404931</v>
      </c>
      <c r="BF75" s="1870"/>
      <c r="BG75" s="1870">
        <f>BE75</f>
        <v>0.1201762085404931</v>
      </c>
      <c r="BH75" s="1870"/>
      <c r="BI75" s="1870">
        <f>BG75</f>
        <v>0.1201762085404931</v>
      </c>
      <c r="BJ75" s="1870"/>
    </row>
    <row r="76" spans="1:62">
      <c r="B76" s="22" t="s">
        <v>151</v>
      </c>
      <c r="E76" s="18">
        <f>+E33/E$12</f>
        <v>0.26457615854026945</v>
      </c>
      <c r="G76" s="18">
        <f>+G33/G$12</f>
        <v>0.14344478083453993</v>
      </c>
      <c r="I76" s="18">
        <f>+I33/I$12</f>
        <v>0.18355607703975046</v>
      </c>
      <c r="K76" s="18">
        <f>+K33/K$12</f>
        <v>0.47065758835146049</v>
      </c>
      <c r="M76" s="18">
        <f>+M33/M$12</f>
        <v>0.56280687397708673</v>
      </c>
      <c r="O76" s="18">
        <f>+O33/O$12</f>
        <v>0.24865137785336555</v>
      </c>
      <c r="Q76" s="18">
        <f>+Q33/Q$12</f>
        <v>0.43106853888939395</v>
      </c>
      <c r="S76" s="18">
        <f>+S33/S$12</f>
        <v>0.52241081597413574</v>
      </c>
      <c r="U76" s="18">
        <f>+U33/U$12</f>
        <v>0.55329853599988832</v>
      </c>
      <c r="W76" s="18">
        <f>+W33/W$12</f>
        <v>0.53522199375523571</v>
      </c>
      <c r="Y76" s="18">
        <f>+Y33/Y$12</f>
        <v>0.65027604428072228</v>
      </c>
      <c r="AA76" s="18">
        <f>+AA33/AA$12</f>
        <v>0.40082364234172602</v>
      </c>
      <c r="AC76" s="1360">
        <f>+AC33/AC$12</f>
        <v>0.3001775658736639</v>
      </c>
      <c r="AE76" s="1360">
        <f>+AE33/AE$12</f>
        <v>0.45564050151131757</v>
      </c>
      <c r="AG76" s="1360">
        <f>+AG33/AG$12</f>
        <v>0.40210567581936613</v>
      </c>
      <c r="AH76" s="1869"/>
      <c r="AI76" s="1360">
        <f>+AI33/AI$12</f>
        <v>0.48329765487936399</v>
      </c>
      <c r="AJ76" s="1869"/>
      <c r="AK76" s="1360">
        <f>+AK33/AK$12</f>
        <v>0.35566284919024405</v>
      </c>
      <c r="AL76" s="1870"/>
      <c r="AM76" s="18">
        <f>+AM33/AM$12</f>
        <v>0.31086500915528692</v>
      </c>
      <c r="AN76" s="18"/>
      <c r="AO76" s="18">
        <f>+AO33/AO$12</f>
        <v>0.32882551608808275</v>
      </c>
      <c r="AP76" s="18"/>
      <c r="AQ76" s="18">
        <f>+AQ33/AQ$12</f>
        <v>0.24654276186739899</v>
      </c>
      <c r="AR76" s="1870"/>
      <c r="AS76" s="18">
        <f>+AS33/AS$12</f>
        <v>0.30748013211977587</v>
      </c>
      <c r="AT76" s="18"/>
      <c r="AU76" s="18">
        <f>+AU33/AU$12</f>
        <v>0.42174164932070229</v>
      </c>
      <c r="AV76" s="1870"/>
      <c r="AW76" s="18">
        <f>+AW33/AW$12</f>
        <v>0.46778223839717853</v>
      </c>
      <c r="AX76" s="1870"/>
      <c r="AY76" s="1870">
        <f>AW76</f>
        <v>0.46778223839717853</v>
      </c>
      <c r="AZ76" s="1870"/>
      <c r="BA76" s="1870">
        <f>AY76</f>
        <v>0.46778223839717853</v>
      </c>
      <c r="BB76" s="1870"/>
      <c r="BC76" s="1870">
        <f>BA76</f>
        <v>0.46778223839717853</v>
      </c>
      <c r="BD76" s="1870"/>
      <c r="BE76" s="1870">
        <f>BC76</f>
        <v>0.46778223839717853</v>
      </c>
      <c r="BF76" s="1870"/>
      <c r="BG76" s="1870">
        <f>BE76</f>
        <v>0.46778223839717853</v>
      </c>
      <c r="BH76" s="1870"/>
      <c r="BI76" s="1870">
        <f>BG76</f>
        <v>0.46778223839717853</v>
      </c>
      <c r="BJ76" s="1870"/>
    </row>
    <row r="77" spans="1:62">
      <c r="B77" s="22" t="s">
        <v>617</v>
      </c>
      <c r="E77" s="18">
        <f>+E34/E$71</f>
        <v>0.24172838932875151</v>
      </c>
      <c r="G77" s="18">
        <f>+G34/G$71</f>
        <v>0.25894706764768916</v>
      </c>
      <c r="I77" s="18">
        <f>+I34/I$71</f>
        <v>0.28786339732297844</v>
      </c>
      <c r="K77" s="18">
        <f>+K34/K$71</f>
        <v>0.30048309178743965</v>
      </c>
      <c r="M77" s="18">
        <f>+M34/M$71</f>
        <v>0.38858609698532809</v>
      </c>
      <c r="O77" s="18">
        <f>+O34/O$71</f>
        <v>0.40981859551937172</v>
      </c>
      <c r="Q77" s="18">
        <f>+Q34/Q$71</f>
        <v>0.39613957289723645</v>
      </c>
      <c r="S77" s="18">
        <f>+S34/S$71</f>
        <v>0.38239768857126905</v>
      </c>
      <c r="U77" s="18">
        <f>+U34/U$71</f>
        <v>0.21290370813397125</v>
      </c>
      <c r="W77" s="18">
        <f>+W34/W$71</f>
        <v>0.21699328523921338</v>
      </c>
      <c r="Y77" s="18">
        <f>+Y34/Y$71</f>
        <v>0.21255413498000372</v>
      </c>
      <c r="AA77" s="18">
        <f>+AA34/AA$71</f>
        <v>0.16532022461544138</v>
      </c>
      <c r="AC77" s="1360">
        <f>+AC34/AC$71</f>
        <v>0.166710765128602</v>
      </c>
      <c r="AE77" s="1360">
        <f>+AE34/AE$71</f>
        <v>0.15758407363609642</v>
      </c>
      <c r="AG77" s="1360">
        <f>+AG34/AG$71</f>
        <v>0.13127424683461297</v>
      </c>
      <c r="AH77" s="1869"/>
      <c r="AI77" s="1360">
        <f>+AI34/AI$71</f>
        <v>0.14105745699216332</v>
      </c>
      <c r="AJ77" s="1869"/>
      <c r="AK77" s="1360">
        <f>+AK34/AK$71</f>
        <v>0.15517845266451585</v>
      </c>
      <c r="AL77" s="1870"/>
      <c r="AM77" s="18">
        <f>+AM34/AM$71</f>
        <v>0.15037143361192043</v>
      </c>
      <c r="AN77" s="18"/>
      <c r="AO77" s="18">
        <f>+AO34/AO$71</f>
        <v>0.16123392637494405</v>
      </c>
      <c r="AP77" s="18"/>
      <c r="AQ77" s="18">
        <f>+AQ34/AQ$71</f>
        <v>0.13594080881315707</v>
      </c>
      <c r="AR77" s="1870"/>
      <c r="AS77" s="18">
        <f>+AS34/AS$71</f>
        <v>0.13230008595837034</v>
      </c>
      <c r="AT77" s="18"/>
      <c r="AU77" s="18">
        <f>+AU34/AU$71</f>
        <v>0.15667402767699565</v>
      </c>
      <c r="AV77" s="1870"/>
      <c r="AW77" s="18">
        <f>+AW34/AW$71</f>
        <v>0.13389524312046275</v>
      </c>
      <c r="AX77" s="1870"/>
      <c r="AY77" s="1870">
        <f>AW77</f>
        <v>0.13389524312046275</v>
      </c>
      <c r="AZ77" s="1870"/>
      <c r="BA77" s="1870">
        <f>AY77</f>
        <v>0.13389524312046275</v>
      </c>
      <c r="BB77" s="1870"/>
      <c r="BC77" s="1870">
        <f>BA77</f>
        <v>0.13389524312046275</v>
      </c>
      <c r="BD77" s="1870"/>
      <c r="BE77" s="1870">
        <f>BC77</f>
        <v>0.13389524312046275</v>
      </c>
      <c r="BF77" s="1870"/>
      <c r="BG77" s="1870">
        <f>BE77</f>
        <v>0.13389524312046275</v>
      </c>
      <c r="BH77" s="1870"/>
      <c r="BI77" s="1870">
        <f>BG77</f>
        <v>0.13389524312046275</v>
      </c>
      <c r="BJ77" s="1870"/>
    </row>
    <row r="78" spans="1:62">
      <c r="B78" s="22" t="s">
        <v>618</v>
      </c>
      <c r="E78" s="18">
        <f>+E38/E72</f>
        <v>0.67611734593423756</v>
      </c>
      <c r="G78" s="18">
        <f>+G38/G72</f>
        <v>0.45133314881446679</v>
      </c>
      <c r="I78" s="18">
        <f>+I38/I72</f>
        <v>0.38129145135695969</v>
      </c>
      <c r="K78" s="18">
        <f>+K38/K72</f>
        <v>0.32802864119862585</v>
      </c>
      <c r="M78" s="18">
        <f>+M38/M72</f>
        <v>0.33023064411828112</v>
      </c>
      <c r="O78" s="18">
        <f>+O38/O72</f>
        <v>0.22579334150616237</v>
      </c>
      <c r="Q78" s="18">
        <f>+Q38/Q72</f>
        <v>0.13519632208330962</v>
      </c>
      <c r="S78" s="18">
        <f>+S38/S72</f>
        <v>0.13099981028267882</v>
      </c>
      <c r="U78" s="18">
        <f>+U38/U72</f>
        <v>0.14786345851689831</v>
      </c>
      <c r="W78" s="18">
        <f>+W38/W72</f>
        <v>0.14495923448713571</v>
      </c>
      <c r="Y78" s="18">
        <f>+Y38/Y72</f>
        <v>0.25690240047325469</v>
      </c>
      <c r="AA78" s="18">
        <f>+AA38/AA72</f>
        <v>0.29069104871441953</v>
      </c>
      <c r="AC78" s="1360">
        <f>+AC38/AC72</f>
        <v>0.20530099364022886</v>
      </c>
      <c r="AD78" s="1360"/>
      <c r="AE78" s="1360">
        <f>+AE38/AE72</f>
        <v>0.15236589677883203</v>
      </c>
      <c r="AG78" s="1360">
        <f>+AG38/AG72</f>
        <v>5.2543347063894998E-2</v>
      </c>
      <c r="AH78" s="1869"/>
      <c r="AI78" s="1360">
        <f>+AI38/AI72</f>
        <v>9.458694069099445E-2</v>
      </c>
      <c r="AJ78" s="1869"/>
      <c r="AK78" s="1360">
        <f>+AK38/AK72</f>
        <v>0.39027226815784904</v>
      </c>
      <c r="AL78" s="1870"/>
      <c r="AM78" s="18">
        <f>+AM38/AM72</f>
        <v>0.35086186710855732</v>
      </c>
      <c r="AN78" s="18"/>
      <c r="AO78" s="18">
        <f>+AO38/AO72</f>
        <v>0.4785551085282857</v>
      </c>
      <c r="AP78" s="18"/>
      <c r="AQ78" s="18">
        <f>+AQ38/AQ72</f>
        <v>0.41908960128812611</v>
      </c>
      <c r="AR78" s="1870"/>
      <c r="AS78" s="18">
        <f>+AS38/AS72</f>
        <v>0.29203500431767393</v>
      </c>
      <c r="AT78" s="18"/>
      <c r="AU78" s="18">
        <f>+AU38/AU72</f>
        <v>7.3903663587758447E-2</v>
      </c>
      <c r="AV78" s="1870"/>
      <c r="AW78" s="18">
        <f>+AW38/AW72</f>
        <v>-19.035714285706831</v>
      </c>
      <c r="AX78" s="1870"/>
      <c r="AY78" s="1870">
        <v>0.44</v>
      </c>
      <c r="AZ78" s="1870"/>
      <c r="BA78" s="1870">
        <f>AY78</f>
        <v>0.44</v>
      </c>
      <c r="BB78" s="1870"/>
      <c r="BC78" s="1870">
        <f>BA78</f>
        <v>0.44</v>
      </c>
      <c r="BD78" s="1870"/>
      <c r="BE78" s="1870">
        <f>BC78</f>
        <v>0.44</v>
      </c>
      <c r="BF78" s="1870"/>
      <c r="BG78" s="1870">
        <f>BE78</f>
        <v>0.44</v>
      </c>
      <c r="BH78" s="1870"/>
      <c r="BI78" s="1870">
        <f>BG78</f>
        <v>0.44</v>
      </c>
      <c r="BJ78" s="1870"/>
    </row>
    <row r="79" spans="1:62">
      <c r="AE79" s="1871"/>
      <c r="AF79" s="1871"/>
      <c r="AG79" s="1871"/>
      <c r="AH79" s="1871"/>
      <c r="AI79" s="1871"/>
      <c r="AJ79" s="1151"/>
      <c r="AK79" s="1151"/>
      <c r="AL79" s="1872"/>
      <c r="AM79" s="1872"/>
      <c r="AN79" s="1872"/>
      <c r="AO79" s="1872"/>
      <c r="AP79" s="1872"/>
      <c r="AQ79" s="1872"/>
      <c r="AR79" s="1872"/>
      <c r="AS79" s="1872"/>
      <c r="AT79" s="1872"/>
      <c r="AU79" s="1872"/>
      <c r="AV79" s="1872"/>
      <c r="AW79" s="1872"/>
      <c r="AX79" s="1872"/>
      <c r="AY79" s="1872"/>
      <c r="AZ79" s="1872"/>
      <c r="BA79" s="1872"/>
      <c r="BB79" s="1872"/>
      <c r="BC79" s="1872"/>
      <c r="BD79" s="1872"/>
      <c r="BE79" s="1872"/>
      <c r="BF79" s="1872"/>
      <c r="BG79" s="1872"/>
      <c r="BH79" s="1872"/>
      <c r="BI79" s="1872"/>
      <c r="BJ79" s="1872"/>
    </row>
    <row r="80" spans="1:62">
      <c r="AJ80" s="1151"/>
      <c r="AK80" s="1151">
        <f>flow!AH30</f>
        <v>43.972999999999999</v>
      </c>
      <c r="AL80" s="1053"/>
      <c r="AM80" s="1053">
        <f>flow!AJ30</f>
        <v>120.226</v>
      </c>
      <c r="AN80" s="1053"/>
      <c r="AO80" s="1053">
        <f>flow!AL30</f>
        <v>-190.46200000000002</v>
      </c>
      <c r="AP80" s="1053"/>
      <c r="AQ80" s="1053">
        <f>flow!AN30</f>
        <v>308.03300000000002</v>
      </c>
      <c r="AR80" s="1053"/>
      <c r="AS80" s="1053">
        <f>flow!AP30</f>
        <v>20.171999999999993</v>
      </c>
      <c r="AT80" s="1053"/>
      <c r="AU80" s="1053">
        <f>flow!AR30</f>
        <v>-35.055</v>
      </c>
      <c r="AV80" s="1053"/>
      <c r="AW80" s="1053">
        <f>flow!AT30</f>
        <v>20.003999999999994</v>
      </c>
      <c r="AX80" s="1053">
        <f>flow!AU30</f>
        <v>0</v>
      </c>
      <c r="AY80" s="1053">
        <f>flow!AV30</f>
        <v>-51.429000000000052</v>
      </c>
      <c r="AZ80" s="1053">
        <f>flow!AW30</f>
        <v>0</v>
      </c>
      <c r="BA80" s="1053">
        <f>flow!AX30</f>
        <v>25.179863196323947</v>
      </c>
      <c r="BB80" s="1053">
        <f>flow!BG30</f>
        <v>0</v>
      </c>
      <c r="BC80" s="1053">
        <f>flow!AZ30</f>
        <v>-4.3980898513946869</v>
      </c>
      <c r="BD80" s="1053">
        <f>flow!BI30</f>
        <v>0</v>
      </c>
      <c r="BE80" s="1053">
        <f>flow!BB30</f>
        <v>1.1373421839684763</v>
      </c>
      <c r="BF80" s="1053">
        <f>flow!BK30</f>
        <v>0</v>
      </c>
      <c r="BG80" s="1053">
        <f>flow!BD30</f>
        <v>0.90028283720532443</v>
      </c>
      <c r="BH80" s="1053">
        <f>flow!BM30</f>
        <v>0</v>
      </c>
      <c r="BI80" s="1053">
        <f>flow!BH30</f>
        <v>0</v>
      </c>
      <c r="BJ80" s="1053"/>
    </row>
    <row r="81" spans="1:62">
      <c r="B81" s="252" t="s">
        <v>40</v>
      </c>
      <c r="C81" s="252"/>
      <c r="D81" s="252"/>
      <c r="E81" s="252"/>
      <c r="F81" s="252"/>
      <c r="G81" s="252"/>
      <c r="H81" s="252"/>
      <c r="I81" s="252"/>
      <c r="J81" s="252"/>
      <c r="K81" s="252"/>
      <c r="L81" s="252"/>
      <c r="M81" s="252"/>
      <c r="N81" s="252"/>
      <c r="O81" s="1873">
        <f>O9/'yrP&amp;L'!G61</f>
        <v>1.3740860824407057</v>
      </c>
      <c r="P81" s="252"/>
      <c r="Q81" s="1873">
        <f>Q9/'yrP&amp;L'!H61</f>
        <v>1.5250890794471206</v>
      </c>
      <c r="R81" s="252"/>
      <c r="S81" s="1873">
        <f>S9/'yrP&amp;L'!I61</f>
        <v>1.8790234481682344</v>
      </c>
      <c r="T81" s="252"/>
      <c r="U81" s="1873">
        <f>U9/'yrP&amp;L'!J61</f>
        <v>0.4308314535282356</v>
      </c>
      <c r="V81" s="252"/>
      <c r="W81" s="1873">
        <f>W9/'yrP&amp;L'!K61</f>
        <v>0.47279574211698761</v>
      </c>
      <c r="X81" s="252"/>
      <c r="Y81" s="1873">
        <f>Y9/'yrP&amp;L'!L61</f>
        <v>3.5615077278941287</v>
      </c>
      <c r="Z81" s="252"/>
      <c r="AA81" s="1873">
        <f>(AA9+AA10)/'yrP&amp;L'!M61</f>
        <v>5.0630227688800868</v>
      </c>
      <c r="AB81" s="252"/>
      <c r="AC81" s="1874">
        <f>(AC9+AC10)/'yrP&amp;L'!O61</f>
        <v>5.7575480925987437</v>
      </c>
      <c r="AE81" s="1874">
        <f>(AE9+AE10)/'yrP&amp;L'!Q61</f>
        <v>7.0859783879463096</v>
      </c>
      <c r="AG81" s="1874">
        <f>(AG9+AG10)/'yrP&amp;L'!S61</f>
        <v>5.8474202327222224</v>
      </c>
      <c r="AH81" s="1874"/>
      <c r="AI81" s="1874">
        <f>(AI9+AI10)/'yrP&amp;L'!T61</f>
        <v>7.9258991750274816</v>
      </c>
      <c r="AJ81" s="1874"/>
      <c r="AK81" s="1874">
        <f>(AK9+AK10)/'yrP&amp;L'!U61</f>
        <v>9.1969260219698175</v>
      </c>
      <c r="AL81" s="1873"/>
      <c r="AM81" s="1873">
        <f>(AM9+AM10)/'yrP&amp;L'!V61</f>
        <v>7.4621888157968268</v>
      </c>
      <c r="AN81" s="1873"/>
      <c r="AO81" s="1873">
        <f>(AO9+AO10)/'yrP&amp;L'!W61</f>
        <v>7.7367365893099178</v>
      </c>
      <c r="AP81" s="1873"/>
      <c r="AQ81" s="1873">
        <f>(AQ9+AQ10)/'yrP&amp;L'!X61</f>
        <v>7.6011166409822373</v>
      </c>
      <c r="AR81" s="1873"/>
      <c r="AS81" s="1873">
        <f>(AS9+AS10)/'yrP&amp;L'!Y61</f>
        <v>7.1391474834446136</v>
      </c>
      <c r="AT81" s="1873"/>
      <c r="AU81" s="1873">
        <f>(AU9+AU10)/'yrP&amp;L'!Z61</f>
        <v>8.4788740510249614</v>
      </c>
      <c r="AV81" s="1873"/>
      <c r="AW81" s="1873">
        <f>(AW9+AW10)/'yrP&amp;L'!AA61</f>
        <v>8.0134292074277962</v>
      </c>
      <c r="AX81" s="1873"/>
      <c r="AY81" s="1873">
        <f>(AY9+AY10)/'yrP&amp;L'!AB61</f>
        <v>9.9342908087546622</v>
      </c>
      <c r="AZ81" s="1873"/>
      <c r="BA81" s="1873">
        <f>(BA9+BA10)/'yrP&amp;L'!AC61</f>
        <v>9.8660214753068587</v>
      </c>
      <c r="BB81" s="1873"/>
      <c r="BC81" s="1873">
        <f>(BC9+BC10)/'yrP&amp;L'!AD61</f>
        <v>10.744478109933331</v>
      </c>
      <c r="BD81" s="1873"/>
      <c r="BE81" s="1873">
        <f>(BE9+BE10)/'yrP&amp;L'!AE61</f>
        <v>11.431005237304289</v>
      </c>
      <c r="BF81" s="1873"/>
      <c r="BG81" s="1873">
        <f>(BG9+BG10)/'yrP&amp;L'!AF61</f>
        <v>11.627643530010602</v>
      </c>
      <c r="BH81" s="1873"/>
      <c r="BI81" s="1873" t="e">
        <f>(BI9+BI10)/'yrP&amp;L'!AH61</f>
        <v>#DIV/0!</v>
      </c>
      <c r="BJ81" s="1873"/>
    </row>
    <row r="83" spans="1:62">
      <c r="B83" s="1875" t="s">
        <v>218</v>
      </c>
      <c r="C83" s="1876"/>
      <c r="D83" s="1876"/>
      <c r="E83" s="1876"/>
      <c r="F83" s="1876"/>
      <c r="G83" s="1876"/>
      <c r="H83" s="1876"/>
      <c r="I83" s="1876"/>
      <c r="J83" s="1876"/>
      <c r="K83" s="1876"/>
      <c r="L83" s="1876"/>
      <c r="M83" s="1876"/>
      <c r="N83" s="1876"/>
      <c r="O83" s="1876"/>
      <c r="P83" s="1876"/>
      <c r="Q83" s="1876"/>
      <c r="R83" s="1876"/>
      <c r="S83" s="1876"/>
      <c r="T83" s="1876"/>
      <c r="U83" s="1876"/>
      <c r="V83" s="1876"/>
      <c r="W83" s="1877" t="s">
        <v>223</v>
      </c>
      <c r="X83" s="1876"/>
      <c r="Y83" s="1877" t="s">
        <v>223</v>
      </c>
      <c r="Z83" s="1876"/>
      <c r="AA83" s="1876"/>
      <c r="AB83" s="1876"/>
      <c r="AC83" s="1878"/>
      <c r="AD83" s="1878"/>
      <c r="AE83" s="1878"/>
      <c r="AF83" s="1878"/>
      <c r="AG83" s="1878"/>
      <c r="AH83" s="1878"/>
      <c r="AI83" s="1878"/>
      <c r="AJ83" s="1878"/>
      <c r="AK83" s="1878"/>
      <c r="AL83" s="1876"/>
      <c r="AM83" s="1876"/>
      <c r="AN83" s="1876"/>
      <c r="AO83" s="1876"/>
      <c r="AP83" s="1876"/>
      <c r="AQ83" s="1876"/>
      <c r="AR83" s="1876"/>
      <c r="AS83" s="1876"/>
      <c r="AT83" s="1876"/>
      <c r="AU83" s="1876"/>
      <c r="AV83" s="1876"/>
      <c r="AW83" s="1876"/>
      <c r="AX83" s="1876"/>
      <c r="AY83" s="1876"/>
      <c r="AZ83" s="1876"/>
      <c r="BA83" s="1876"/>
      <c r="BB83" s="1876"/>
      <c r="BC83" s="1876"/>
      <c r="BD83" s="1876"/>
      <c r="BE83" s="1876"/>
      <c r="BF83" s="1876"/>
      <c r="BG83" s="1876"/>
      <c r="BH83" s="1876"/>
      <c r="BI83" s="1876"/>
      <c r="BJ83" s="97"/>
    </row>
    <row r="84" spans="1:62">
      <c r="A84" s="1649"/>
      <c r="B84" s="1649" t="s">
        <v>221</v>
      </c>
      <c r="C84" s="1649"/>
      <c r="D84" s="1649"/>
      <c r="E84" s="1649"/>
      <c r="F84" s="1649"/>
      <c r="G84" s="1649"/>
      <c r="H84" s="1649"/>
      <c r="I84" s="1649"/>
      <c r="J84" s="1649"/>
      <c r="K84" s="1649"/>
      <c r="L84" s="1649"/>
      <c r="M84" s="1649"/>
      <c r="N84" s="1649"/>
      <c r="O84" s="1879">
        <v>225.78100000000001</v>
      </c>
      <c r="P84" s="1879"/>
      <c r="Q84" s="1879">
        <v>384.19580000000002</v>
      </c>
      <c r="R84" s="1879"/>
      <c r="S84" s="1879">
        <v>501.32299999999998</v>
      </c>
      <c r="T84" s="1879"/>
      <c r="U84" s="1879">
        <v>585.64179999999999</v>
      </c>
      <c r="V84" s="1879"/>
      <c r="W84" s="1879">
        <v>961.81700000000001</v>
      </c>
      <c r="X84" s="1879"/>
      <c r="Y84" s="1879">
        <v>1073.412</v>
      </c>
      <c r="Z84" s="1649"/>
      <c r="AA84" s="1880">
        <f>Y84+flow!X21</f>
        <v>1329.8340000000001</v>
      </c>
      <c r="AB84" s="1649"/>
      <c r="AC84" s="1880">
        <f>AA84+flow!Z21</f>
        <v>1733.31</v>
      </c>
      <c r="AD84" s="1649"/>
      <c r="AE84" s="1880">
        <f>AC84+flow!AB21</f>
        <v>2136.6549999999997</v>
      </c>
      <c r="AF84" s="1649"/>
      <c r="AG84" s="1880">
        <f>AE84+flow!AD21</f>
        <v>2504.2569999999996</v>
      </c>
      <c r="AH84" s="1880"/>
      <c r="AI84" s="1880">
        <f>AG84+flow!AF21</f>
        <v>2679.7289999999998</v>
      </c>
      <c r="AJ84" s="1880"/>
      <c r="AK84" s="1880">
        <f>AI84+flow!AH21</f>
        <v>2840.6639999999998</v>
      </c>
      <c r="AL84" s="1880"/>
      <c r="AM84" s="1880">
        <f>AK84+flow!AJ21</f>
        <v>3159.2619999999997</v>
      </c>
      <c r="AN84" s="1880"/>
      <c r="AO84" s="1880">
        <f>AM84+flow!AL21</f>
        <v>3499.1239999999998</v>
      </c>
      <c r="AP84" s="1880"/>
      <c r="AQ84" s="1880">
        <f>AO84+flow!AX21</f>
        <v>3629.1239999999998</v>
      </c>
      <c r="AR84" s="1880"/>
      <c r="AS84" s="1880">
        <f>AQ84+flow!AP21</f>
        <v>3803.7479999999996</v>
      </c>
      <c r="AT84" s="1880"/>
      <c r="AU84" s="1880">
        <f>AS84+flow!AR21</f>
        <v>3946.9469999999997</v>
      </c>
      <c r="AV84" s="1880"/>
      <c r="AW84" s="1880">
        <f>AU84+flow!AT21</f>
        <v>4087.7909999999997</v>
      </c>
      <c r="AX84" s="1880"/>
      <c r="AY84" s="1880">
        <f>AW84+flow!AV21</f>
        <v>4194.7909999999993</v>
      </c>
      <c r="AZ84" s="1880"/>
      <c r="BA84" s="1880">
        <f>AY84+flow!AX21</f>
        <v>4324.7909999999993</v>
      </c>
      <c r="BB84" s="1880"/>
      <c r="BC84" s="1880">
        <f>BA84+flow!AZ21</f>
        <v>4424.7909999999993</v>
      </c>
      <c r="BD84" s="1880"/>
      <c r="BE84" s="1880">
        <f>BC84+flow!BB21</f>
        <v>4524.7909999999993</v>
      </c>
      <c r="BF84" s="1880"/>
      <c r="BG84" s="1880">
        <f>BE84+flow!BD21</f>
        <v>4624.7909999999993</v>
      </c>
      <c r="BH84" s="1880"/>
      <c r="BI84" s="1880">
        <f>BG84+flow!BF21</f>
        <v>4724.7909999999993</v>
      </c>
      <c r="BJ84" s="1880"/>
    </row>
    <row r="85" spans="1:62">
      <c r="B85" s="1649" t="s">
        <v>222</v>
      </c>
      <c r="C85" s="1881"/>
      <c r="D85" s="1881"/>
      <c r="E85" s="1881"/>
      <c r="F85" s="1881"/>
      <c r="G85" s="1881"/>
      <c r="H85" s="1881"/>
      <c r="I85" s="1881"/>
      <c r="J85" s="1881"/>
      <c r="K85" s="1881"/>
      <c r="L85" s="1881"/>
      <c r="M85" s="1881"/>
      <c r="N85" s="1881"/>
      <c r="O85" s="1882">
        <v>79.378</v>
      </c>
      <c r="P85" s="1883"/>
      <c r="Q85" s="1882">
        <v>105.411</v>
      </c>
      <c r="R85" s="1883"/>
      <c r="S85" s="1882">
        <v>136.21100000000001</v>
      </c>
      <c r="T85" s="1883"/>
      <c r="U85" s="1882">
        <v>192.70099999999999</v>
      </c>
      <c r="V85" s="1879"/>
      <c r="W85" s="1882">
        <v>331.79500000000002</v>
      </c>
      <c r="X85" s="1879"/>
      <c r="Y85" s="1882">
        <v>386.40100000000001</v>
      </c>
      <c r="Z85" s="1649"/>
      <c r="AA85" s="1884">
        <f>Y85+flow!X68</f>
        <v>450.49831071502825</v>
      </c>
      <c r="AB85" s="1885"/>
      <c r="AC85" s="1884">
        <f>AA85+flow!Z68</f>
        <v>525.92306108832486</v>
      </c>
      <c r="AD85" s="1885"/>
      <c r="AE85" s="1884">
        <f>AC85+flow!AB68</f>
        <v>620.73089271740992</v>
      </c>
      <c r="AF85" s="1885"/>
      <c r="AG85" s="1884">
        <f>AE85+flow!AD68</f>
        <v>737.0159627837528</v>
      </c>
      <c r="AH85" s="1884"/>
      <c r="AI85" s="1884">
        <f>AG85+flow!AF68</f>
        <v>860.2254786512184</v>
      </c>
      <c r="AJ85" s="1884"/>
      <c r="AK85" s="1884">
        <f>AI85+flow!AH68</f>
        <v>978.48136840115694</v>
      </c>
      <c r="AL85" s="1884"/>
      <c r="AM85" s="1884">
        <f>AK85+flow!AJ68</f>
        <v>1098.699820931068</v>
      </c>
      <c r="AN85" s="1884"/>
      <c r="AO85" s="1884">
        <f>AM85+flow!AL68</f>
        <v>1214.4229054945472</v>
      </c>
      <c r="AP85" s="1884"/>
      <c r="AQ85" s="1884">
        <f>AO85+flow!AX68</f>
        <v>1307.3130712571117</v>
      </c>
      <c r="AR85" s="1884"/>
      <c r="AS85" s="1884">
        <f>AQ85+flow!AP68</f>
        <v>1424.159094713365</v>
      </c>
      <c r="AT85" s="1884"/>
      <c r="AU85" s="1884">
        <f>AS85+flow!AR68</f>
        <v>1534.4300426030582</v>
      </c>
      <c r="AV85" s="1884"/>
      <c r="AW85" s="1884">
        <f>AU85+flow!AT68</f>
        <v>1635.274702893757</v>
      </c>
      <c r="AX85" s="1884"/>
      <c r="AY85" s="1884">
        <f>AW85+flow!AV68</f>
        <v>1734.4334066758652</v>
      </c>
      <c r="AZ85" s="1884"/>
      <c r="BA85" s="1884">
        <f>AY85+flow!AX68</f>
        <v>1827.3235724384297</v>
      </c>
      <c r="BB85" s="1884"/>
      <c r="BC85" s="1884">
        <f>BA85+flow!AZ68</f>
        <v>1917.6606464458678</v>
      </c>
      <c r="BD85" s="1884"/>
      <c r="BE85" s="1884">
        <f>BC85+flow!BB68</f>
        <v>2003.9209670049966</v>
      </c>
      <c r="BF85" s="1884"/>
      <c r="BG85" s="1884">
        <f>BE85+flow!BD68</f>
        <v>2085.9906287114145</v>
      </c>
      <c r="BH85" s="1884"/>
      <c r="BI85" s="1884">
        <f>BG85+flow!BF68</f>
        <v>2167.8314023377015</v>
      </c>
      <c r="BJ85" s="1884"/>
    </row>
    <row r="86" spans="1:62">
      <c r="B86" s="114" t="s">
        <v>240</v>
      </c>
      <c r="C86" s="114"/>
      <c r="D86" s="114"/>
      <c r="E86" s="114"/>
      <c r="F86" s="114"/>
      <c r="G86" s="114"/>
      <c r="H86" s="114"/>
      <c r="I86" s="114"/>
      <c r="J86" s="114"/>
      <c r="K86" s="114"/>
      <c r="L86" s="114"/>
      <c r="M86" s="114"/>
      <c r="N86" s="114"/>
      <c r="O86" s="1886">
        <f>O84-O85</f>
        <v>146.40300000000002</v>
      </c>
      <c r="P86" s="114"/>
      <c r="Q86" s="1886">
        <f>Q84-Q85</f>
        <v>278.78480000000002</v>
      </c>
      <c r="R86" s="114"/>
      <c r="S86" s="1886">
        <f>S84-S85</f>
        <v>365.11199999999997</v>
      </c>
      <c r="T86" s="114"/>
      <c r="U86" s="1886">
        <f>U84-U85</f>
        <v>392.94079999999997</v>
      </c>
      <c r="V86" s="114"/>
      <c r="W86" s="1886">
        <f>W84-W85</f>
        <v>630.02199999999993</v>
      </c>
      <c r="X86" s="114"/>
      <c r="Y86" s="1886">
        <f>Y84-Y85</f>
        <v>687.01099999999997</v>
      </c>
      <c r="Z86" s="114"/>
      <c r="AA86" s="1886">
        <f>AA84-AA85</f>
        <v>879.33568928497175</v>
      </c>
      <c r="AB86" s="114"/>
      <c r="AC86" s="1886">
        <f>AC84-AC85</f>
        <v>1207.3869389116751</v>
      </c>
      <c r="AE86" s="1886">
        <f>AE84-AE85</f>
        <v>1515.9241072825898</v>
      </c>
      <c r="AG86" s="1886">
        <f>AG84-AG85</f>
        <v>1767.2410372162467</v>
      </c>
      <c r="AH86" s="1886"/>
      <c r="AI86" s="1886">
        <f>AI84-AI85</f>
        <v>1819.5035213487813</v>
      </c>
      <c r="AJ86" s="1886"/>
      <c r="AK86" s="1886">
        <f>AK84-AK85</f>
        <v>1862.1826315988428</v>
      </c>
      <c r="AL86" s="1886"/>
      <c r="AM86" s="1886">
        <f>AM84-AM85</f>
        <v>2060.562179068932</v>
      </c>
      <c r="AN86" s="1886"/>
      <c r="AO86" s="1886">
        <f>AO84-AO85</f>
        <v>2284.7010945054526</v>
      </c>
      <c r="AP86" s="1886"/>
      <c r="AQ86" s="1886">
        <f>AQ84-AQ85</f>
        <v>2321.8109287428879</v>
      </c>
      <c r="AR86" s="1886"/>
      <c r="AS86" s="1886">
        <f>AS84-AS85</f>
        <v>2379.5889052866346</v>
      </c>
      <c r="AT86" s="1886"/>
      <c r="AU86" s="1886">
        <f>AU84-AU85</f>
        <v>2412.5169573969415</v>
      </c>
      <c r="AV86" s="1886"/>
      <c r="AW86" s="1886">
        <f>AW84-AW85</f>
        <v>2452.5162971062427</v>
      </c>
      <c r="AX86" s="1886"/>
      <c r="AY86" s="1886">
        <f>AY84-AY85</f>
        <v>2460.3575933241341</v>
      </c>
      <c r="AZ86" s="1886"/>
      <c r="BA86" s="1886">
        <f>BA84-BA85</f>
        <v>2497.4674275615698</v>
      </c>
      <c r="BB86" s="1886"/>
      <c r="BC86" s="1886">
        <f>BC84-BC85</f>
        <v>2507.1303535541315</v>
      </c>
      <c r="BD86" s="1886"/>
      <c r="BE86" s="1886">
        <f>BE84-BE85</f>
        <v>2520.8700329950025</v>
      </c>
      <c r="BF86" s="1886"/>
      <c r="BG86" s="1886">
        <f>BG84-BG85</f>
        <v>2538.8003712885848</v>
      </c>
      <c r="BH86" s="1886"/>
      <c r="BI86" s="1886">
        <f>BI84-BI85</f>
        <v>2556.9595976622977</v>
      </c>
      <c r="BJ86" s="1886"/>
    </row>
    <row r="87" spans="1:62">
      <c r="Y87" s="1887"/>
    </row>
    <row r="88" spans="1:62">
      <c r="B88" s="22" t="s">
        <v>233</v>
      </c>
      <c r="O88" s="1888">
        <v>0</v>
      </c>
      <c r="Q88" s="1888">
        <v>0</v>
      </c>
      <c r="S88" s="1888">
        <v>0</v>
      </c>
      <c r="U88" s="1888">
        <v>0</v>
      </c>
      <c r="W88" s="1888">
        <v>0</v>
      </c>
      <c r="Y88" s="1888">
        <v>0</v>
      </c>
      <c r="AA88" s="1888">
        <v>0</v>
      </c>
      <c r="AC88" s="1889">
        <v>0</v>
      </c>
      <c r="AE88" s="1889">
        <v>0</v>
      </c>
      <c r="AG88" s="1889">
        <v>0</v>
      </c>
      <c r="AH88" s="1889"/>
      <c r="AI88" s="1889">
        <v>0</v>
      </c>
      <c r="AJ88" s="1889"/>
      <c r="AK88" s="1889">
        <v>0</v>
      </c>
      <c r="AL88" s="1888"/>
      <c r="AM88" s="1888">
        <v>0</v>
      </c>
      <c r="AN88" s="1888"/>
      <c r="AO88" s="1888">
        <v>0</v>
      </c>
      <c r="AP88" s="1888"/>
      <c r="AQ88" s="1888">
        <v>0</v>
      </c>
      <c r="AR88" s="1888"/>
      <c r="AS88" s="1888">
        <v>0</v>
      </c>
      <c r="AT88" s="1888"/>
      <c r="AU88" s="1888">
        <v>0</v>
      </c>
      <c r="AV88" s="1888"/>
      <c r="AW88" s="1888">
        <v>0</v>
      </c>
      <c r="AX88" s="1888"/>
      <c r="AY88" s="1888">
        <v>0</v>
      </c>
      <c r="AZ88" s="1888"/>
      <c r="BA88" s="1888">
        <v>0</v>
      </c>
      <c r="BB88" s="1888"/>
      <c r="BC88" s="1888">
        <v>0</v>
      </c>
      <c r="BD88" s="1888"/>
      <c r="BE88" s="1888">
        <v>0</v>
      </c>
      <c r="BF88" s="1888"/>
      <c r="BG88" s="1888">
        <v>0</v>
      </c>
      <c r="BH88" s="1888"/>
      <c r="BI88" s="1888">
        <v>0</v>
      </c>
      <c r="BJ88" s="1888"/>
    </row>
    <row r="89" spans="1:62">
      <c r="B89" s="22" t="s">
        <v>234</v>
      </c>
      <c r="O89" s="1890">
        <v>0</v>
      </c>
      <c r="Q89" s="1890">
        <v>0</v>
      </c>
      <c r="S89" s="1890">
        <v>0</v>
      </c>
      <c r="U89" s="1890">
        <v>0</v>
      </c>
      <c r="W89" s="1890">
        <v>0</v>
      </c>
      <c r="Y89" s="1890">
        <v>0</v>
      </c>
      <c r="AA89" s="1890">
        <v>0</v>
      </c>
      <c r="AC89" s="1891">
        <v>0</v>
      </c>
      <c r="AE89" s="1891">
        <v>0</v>
      </c>
      <c r="AG89" s="1891">
        <v>0</v>
      </c>
      <c r="AH89" s="1891"/>
      <c r="AI89" s="1891">
        <v>0</v>
      </c>
      <c r="AJ89" s="1891"/>
      <c r="AK89" s="1891">
        <v>0</v>
      </c>
      <c r="AL89" s="1890"/>
      <c r="AM89" s="1890">
        <v>0</v>
      </c>
      <c r="AN89" s="1890"/>
      <c r="AO89" s="1890">
        <v>0</v>
      </c>
      <c r="AP89" s="1890"/>
      <c r="AQ89" s="1890">
        <v>0</v>
      </c>
      <c r="AR89" s="1890"/>
      <c r="AS89" s="1890">
        <v>0</v>
      </c>
      <c r="AT89" s="1890"/>
      <c r="AU89" s="1890">
        <v>0</v>
      </c>
      <c r="AV89" s="1890"/>
      <c r="AW89" s="1890">
        <v>0</v>
      </c>
      <c r="AX89" s="1890"/>
      <c r="AY89" s="1890">
        <v>0</v>
      </c>
      <c r="AZ89" s="1890"/>
      <c r="BA89" s="1890">
        <v>0</v>
      </c>
      <c r="BB89" s="1890"/>
      <c r="BC89" s="1890">
        <v>0</v>
      </c>
      <c r="BD89" s="1890"/>
      <c r="BE89" s="1890">
        <v>0</v>
      </c>
      <c r="BF89" s="1890"/>
      <c r="BG89" s="1890">
        <v>0</v>
      </c>
      <c r="BH89" s="1890"/>
      <c r="BI89" s="1890">
        <v>0</v>
      </c>
      <c r="BJ89" s="1890"/>
    </row>
    <row r="90" spans="1:62">
      <c r="B90" s="22" t="s">
        <v>235</v>
      </c>
      <c r="O90" s="1888">
        <f>O88-O89</f>
        <v>0</v>
      </c>
      <c r="Q90" s="1888">
        <f>Q88-Q89</f>
        <v>0</v>
      </c>
      <c r="S90" s="1888">
        <f>S88-S89</f>
        <v>0</v>
      </c>
      <c r="U90" s="1888">
        <f>U88-U89</f>
        <v>0</v>
      </c>
      <c r="W90" s="1888">
        <f>W88-W89</f>
        <v>0</v>
      </c>
      <c r="Y90" s="1888">
        <f>Y88-Y89</f>
        <v>0</v>
      </c>
      <c r="AA90" s="1888">
        <f>AA88-AA89</f>
        <v>0</v>
      </c>
      <c r="AC90" s="1889">
        <f>AC88-AC89</f>
        <v>0</v>
      </c>
      <c r="AE90" s="1889">
        <f>AE88-AE89</f>
        <v>0</v>
      </c>
      <c r="AG90" s="1889">
        <f>AG88-AG89</f>
        <v>0</v>
      </c>
      <c r="AH90" s="1889"/>
      <c r="AI90" s="1889">
        <f>AI88-AI89</f>
        <v>0</v>
      </c>
      <c r="AJ90" s="1889"/>
      <c r="AK90" s="1889">
        <f>AK88-AK89</f>
        <v>0</v>
      </c>
      <c r="AL90" s="1888"/>
      <c r="AM90" s="1888">
        <f>AM88-AM89</f>
        <v>0</v>
      </c>
      <c r="AN90" s="1888"/>
      <c r="AO90" s="1888">
        <f>AO88-AO89</f>
        <v>0</v>
      </c>
      <c r="AP90" s="1888"/>
      <c r="AQ90" s="1888">
        <f>AQ88-AQ89</f>
        <v>0</v>
      </c>
      <c r="AR90" s="1888"/>
      <c r="AS90" s="1888">
        <f>AS88-AS89</f>
        <v>0</v>
      </c>
      <c r="AT90" s="1888"/>
      <c r="AU90" s="1888">
        <f>AU88-AU89</f>
        <v>0</v>
      </c>
      <c r="AV90" s="1888"/>
      <c r="AW90" s="1888">
        <f>AW88-AW89</f>
        <v>0</v>
      </c>
      <c r="AX90" s="1888"/>
      <c r="AY90" s="1888">
        <f>AY88-AY89</f>
        <v>0</v>
      </c>
      <c r="AZ90" s="1888"/>
      <c r="BA90" s="1888">
        <f>BA88-BA89</f>
        <v>0</v>
      </c>
      <c r="BB90" s="1888"/>
      <c r="BC90" s="1888">
        <f>BC88-BC89</f>
        <v>0</v>
      </c>
      <c r="BD90" s="1888"/>
      <c r="BE90" s="1888">
        <f>BE88-BE89</f>
        <v>0</v>
      </c>
      <c r="BF90" s="1888"/>
      <c r="BG90" s="1888">
        <f>BG88-BG89</f>
        <v>0</v>
      </c>
      <c r="BH90" s="1888"/>
      <c r="BI90" s="1888">
        <f>BI88-BI89</f>
        <v>0</v>
      </c>
      <c r="BJ90" s="1888"/>
    </row>
    <row r="93" spans="1:62">
      <c r="B93" s="22" t="s">
        <v>142</v>
      </c>
      <c r="AG93" s="1672">
        <f>1990762/934775</f>
        <v>2.1296697066138912</v>
      </c>
      <c r="AI93" s="1672"/>
    </row>
    <row r="94" spans="1:62">
      <c r="B94" s="22" t="s">
        <v>143</v>
      </c>
      <c r="AG94" s="1672">
        <f>934775/268109</f>
        <v>3.4865483814418763</v>
      </c>
      <c r="AI94" s="1672"/>
      <c r="AJ94" s="898"/>
    </row>
    <row r="95" spans="1:62">
      <c r="AJ95" s="1892"/>
      <c r="AK95" s="1893"/>
    </row>
    <row r="96" spans="1:62">
      <c r="B96" s="24" t="s">
        <v>687</v>
      </c>
    </row>
    <row r="97" spans="3:62">
      <c r="C97" s="22" t="s">
        <v>688</v>
      </c>
      <c r="M97" s="1053">
        <f>flow!J40+flow!J42</f>
        <v>14.635</v>
      </c>
      <c r="N97" s="1053"/>
      <c r="O97" s="1053">
        <f>flow!L40+flow!L42</f>
        <v>-50.856000000000002</v>
      </c>
      <c r="P97" s="1053"/>
      <c r="Q97" s="1053">
        <f>flow!N40+flow!N42</f>
        <v>-43.929000000000002</v>
      </c>
      <c r="R97" s="1053"/>
      <c r="S97" s="1053">
        <f>flow!P40+flow!P42</f>
        <v>-11.069000000000001</v>
      </c>
      <c r="T97" s="1053"/>
      <c r="U97" s="1053">
        <f>flow!R40+flow!R42</f>
        <v>-42.691000000000003</v>
      </c>
      <c r="V97" s="1053"/>
      <c r="W97" s="1053">
        <f>flow!T40+flow!T42</f>
        <v>-115.67</v>
      </c>
      <c r="X97" s="1053"/>
      <c r="Y97" s="1053">
        <f>flow!V40+flow!V42</f>
        <v>-434.65800000000002</v>
      </c>
      <c r="Z97" s="1053"/>
      <c r="AA97" s="1053">
        <f>flow!X40+flow!X42</f>
        <v>-103.29600000000001</v>
      </c>
      <c r="AB97" s="1053"/>
      <c r="AC97" s="1151">
        <f>flow!Z40+flow!Z42</f>
        <v>0</v>
      </c>
      <c r="AD97" s="1151"/>
      <c r="AE97" s="1151">
        <f>flow!AB40+flow!AB42</f>
        <v>-287.916</v>
      </c>
      <c r="AF97" s="1151"/>
      <c r="AG97" s="1151">
        <f>flow!AD40+flow!AD42</f>
        <v>-50</v>
      </c>
      <c r="AH97" s="1151"/>
      <c r="AI97" s="1151">
        <f>flow!AF40+flow!AF42</f>
        <v>0</v>
      </c>
      <c r="AJ97" s="1151"/>
      <c r="AK97" s="1151">
        <f>flow!AH40+flow!AH42</f>
        <v>-76.158000000000001</v>
      </c>
      <c r="AL97" s="1053"/>
      <c r="AM97" s="1053">
        <f>flow!AJ40+flow!AJ42</f>
        <v>-196.60499999999999</v>
      </c>
      <c r="AN97" s="1053"/>
      <c r="AO97" s="1053">
        <f>flow!AL40+flow!AL42</f>
        <v>-321.66500000000002</v>
      </c>
      <c r="AP97" s="1053"/>
      <c r="AQ97" s="1053">
        <f>flow!AN40+flow!AN42</f>
        <v>-115.806</v>
      </c>
      <c r="AR97" s="1053"/>
      <c r="AS97" s="1053">
        <f>flow!AP40+flow!AP42</f>
        <v>-285.03800000000001</v>
      </c>
      <c r="AT97" s="1053"/>
      <c r="AU97" s="1053">
        <f>flow!AR40+flow!AR42</f>
        <v>-50.033000000000001</v>
      </c>
      <c r="AV97" s="1053"/>
      <c r="AW97" s="1053">
        <f>flow!AT40+flow!AT42</f>
        <v>0</v>
      </c>
      <c r="AX97" s="1053"/>
      <c r="AY97" s="1053">
        <f>flow!AV40+flow!AV42</f>
        <v>0</v>
      </c>
      <c r="AZ97" s="1053"/>
      <c r="BA97" s="1053">
        <f>flow!AX40+flow!AX42</f>
        <v>0</v>
      </c>
      <c r="BB97" s="1053"/>
      <c r="BC97" s="1053">
        <f>flow!AZ40+flow!AZ42</f>
        <v>0</v>
      </c>
      <c r="BD97" s="1053"/>
      <c r="BE97" s="1053">
        <f>flow!BB40+flow!BB42</f>
        <v>0</v>
      </c>
      <c r="BF97" s="1053"/>
      <c r="BG97" s="1053">
        <f>flow!BD40+flow!BD42</f>
        <v>0</v>
      </c>
      <c r="BH97" s="1053"/>
      <c r="BI97" s="1053">
        <f>flow!BF40+flow!BF42</f>
        <v>0</v>
      </c>
      <c r="BJ97" s="1053"/>
    </row>
    <row r="98" spans="3:62">
      <c r="C98" s="22" t="s">
        <v>689</v>
      </c>
      <c r="M98" s="1053">
        <f>flow!J48</f>
        <v>0</v>
      </c>
      <c r="N98" s="1053"/>
      <c r="O98" s="1053">
        <f>flow!L48</f>
        <v>0</v>
      </c>
      <c r="P98" s="1053"/>
      <c r="Q98" s="1053">
        <f>flow!N48</f>
        <v>0</v>
      </c>
      <c r="R98" s="1053"/>
      <c r="S98" s="1053">
        <f>flow!P48</f>
        <v>0</v>
      </c>
      <c r="T98" s="1053"/>
      <c r="U98" s="1053">
        <f>flow!R48</f>
        <v>0</v>
      </c>
      <c r="V98" s="1053"/>
      <c r="W98" s="1053">
        <f>flow!T48</f>
        <v>0</v>
      </c>
      <c r="X98" s="1053"/>
      <c r="Y98" s="1053">
        <f>flow!V48</f>
        <v>-46.438000000000002</v>
      </c>
      <c r="Z98" s="1053"/>
      <c r="AA98" s="1053">
        <f>flow!X48</f>
        <v>-52.218000000000004</v>
      </c>
      <c r="AB98" s="1053"/>
      <c r="AC98" s="1151">
        <f>flow!Z48</f>
        <v>-61.622999999999998</v>
      </c>
      <c r="AD98" s="1151"/>
      <c r="AE98" s="1151">
        <f>flow!AB48</f>
        <v>-61.33</v>
      </c>
      <c r="AF98" s="1151"/>
      <c r="AG98" s="1151">
        <f>flow!AD48</f>
        <v>-60.768999999999998</v>
      </c>
      <c r="AH98" s="1151"/>
      <c r="AI98" s="1151">
        <f>flow!AF48</f>
        <v>-61.5</v>
      </c>
      <c r="AJ98" s="1151"/>
      <c r="AK98" s="1151">
        <f>flow!AH48</f>
        <v>-61.655999999999999</v>
      </c>
      <c r="AL98" s="1053"/>
      <c r="AM98" s="1053">
        <f>flow!AJ48</f>
        <v>-60.956000000000003</v>
      </c>
      <c r="AN98" s="1053"/>
      <c r="AO98" s="1053">
        <f>flow!AL48</f>
        <v>-57.634</v>
      </c>
      <c r="AP98" s="1053"/>
      <c r="AQ98" s="1053">
        <f>flow!AN48</f>
        <v>-61.923000000000002</v>
      </c>
      <c r="AR98" s="1053"/>
      <c r="AS98" s="1053">
        <f>flow!AP48</f>
        <v>-57.362000000000002</v>
      </c>
      <c r="AT98" s="1053"/>
      <c r="AU98" s="1053">
        <f>flow!AR48</f>
        <v>-55.145000000000003</v>
      </c>
      <c r="AV98" s="1053"/>
      <c r="AW98" s="1053">
        <f>flow!AT48</f>
        <v>-54.066000000000003</v>
      </c>
      <c r="AX98" s="1053"/>
      <c r="AY98" s="1053">
        <f>flow!AV48</f>
        <v>-55.869415000000004</v>
      </c>
      <c r="AZ98" s="1053"/>
      <c r="BA98" s="1053">
        <f>flow!AX48</f>
        <v>-57.170697499999989</v>
      </c>
      <c r="BB98" s="1053"/>
      <c r="BC98" s="1053">
        <f>flow!AZ48</f>
        <v>-57.925384999999991</v>
      </c>
      <c r="BD98" s="1053"/>
      <c r="BE98" s="1053">
        <f>flow!BB48</f>
        <v>-58.327884999999988</v>
      </c>
      <c r="BF98" s="1053"/>
      <c r="BG98" s="1053">
        <f>flow!BD48</f>
        <v>-82.222538999999983</v>
      </c>
      <c r="BH98" s="1053"/>
      <c r="BI98" s="1053">
        <f>flow!BF48</f>
        <v>-82.786038999999974</v>
      </c>
      <c r="BJ98" s="1053"/>
    </row>
    <row r="99" spans="3:62">
      <c r="C99" s="22" t="s">
        <v>691</v>
      </c>
      <c r="M99" s="1894" t="s">
        <v>690</v>
      </c>
      <c r="O99" s="1894" t="s">
        <v>690</v>
      </c>
      <c r="Q99" s="1894" t="s">
        <v>690</v>
      </c>
      <c r="S99" s="1894" t="s">
        <v>690</v>
      </c>
      <c r="U99" s="1894" t="s">
        <v>690</v>
      </c>
      <c r="W99" s="1894" t="s">
        <v>690</v>
      </c>
      <c r="Y99" s="1894" t="s">
        <v>690</v>
      </c>
      <c r="AA99" s="1894" t="s">
        <v>690</v>
      </c>
      <c r="AC99" s="1895" t="s">
        <v>690</v>
      </c>
      <c r="AE99" s="1895" t="s">
        <v>690</v>
      </c>
      <c r="AG99" s="1895" t="s">
        <v>690</v>
      </c>
      <c r="AI99" s="1895" t="s">
        <v>690</v>
      </c>
      <c r="AK99" s="1895" t="s">
        <v>690</v>
      </c>
      <c r="AM99" s="1894" t="s">
        <v>690</v>
      </c>
      <c r="AO99" s="1894" t="s">
        <v>690</v>
      </c>
      <c r="AQ99" s="1894" t="s">
        <v>690</v>
      </c>
      <c r="AS99" s="1894" t="s">
        <v>690</v>
      </c>
      <c r="AT99" s="1894"/>
      <c r="AU99" s="1894" t="s">
        <v>690</v>
      </c>
      <c r="AV99" s="1894"/>
      <c r="AW99" s="1894" t="s">
        <v>690</v>
      </c>
      <c r="AX99" s="1894"/>
      <c r="AY99" s="1894" t="s">
        <v>690</v>
      </c>
      <c r="AZ99" s="1894"/>
      <c r="BA99" s="1894" t="s">
        <v>690</v>
      </c>
      <c r="BB99" s="1894"/>
      <c r="BC99" s="1894" t="s">
        <v>690</v>
      </c>
      <c r="BD99" s="1894"/>
      <c r="BE99" s="1894" t="s">
        <v>690</v>
      </c>
      <c r="BF99" s="1894"/>
      <c r="BG99" s="1894" t="s">
        <v>690</v>
      </c>
      <c r="BH99" s="1894"/>
      <c r="BI99" s="1894" t="s">
        <v>690</v>
      </c>
      <c r="BJ99" s="1894"/>
    </row>
    <row r="101" spans="3:62" customFormat="1"/>
  </sheetData>
  <phoneticPr fontId="0" type="noConversion"/>
  <dataValidations disablePrompts="1" count="1">
    <dataValidation type="custom" allowBlank="1" showInputMessage="1" showErrorMessage="1" sqref="C98:D98">
      <formula1>-1</formula1>
    </dataValidation>
  </dataValidations>
  <pageMargins left="0" right="0" top="0" bottom="0" header="0" footer="0"/>
  <pageSetup paperSize="5" scale="98"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BO83"/>
  <sheetViews>
    <sheetView zoomScale="85" zoomScaleNormal="85" workbookViewId="0">
      <pane xSplit="3" ySplit="8" topLeftCell="D9" activePane="bottomRight" state="frozen"/>
      <selection activeCell="P42" sqref="P42"/>
      <selection pane="topRight" activeCell="P42" sqref="P42"/>
      <selection pane="bottomLeft" activeCell="P42" sqref="P42"/>
      <selection pane="bottomRight" activeCell="AH21" sqref="AH21"/>
    </sheetView>
  </sheetViews>
  <sheetFormatPr defaultRowHeight="12.75" outlineLevelRow="1" outlineLevelCol="1"/>
  <cols>
    <col min="1" max="1" width="2.7109375" style="22" customWidth="1"/>
    <col min="2" max="2" width="4.28515625" style="22" customWidth="1"/>
    <col min="3" max="3" width="36.5703125" style="22" customWidth="1"/>
    <col min="4" max="4" width="8.85546875" style="22" customWidth="1" outlineLevel="1"/>
    <col min="5" max="5" width="1.7109375" style="22" customWidth="1" outlineLevel="1"/>
    <col min="6" max="6" width="8.85546875" style="22" customWidth="1" outlineLevel="1"/>
    <col min="7" max="7" width="1.7109375" style="22" customWidth="1" outlineLevel="1"/>
    <col min="8" max="8" width="8.85546875" style="22" customWidth="1" outlineLevel="1"/>
    <col min="9" max="9" width="1.7109375" style="22" customWidth="1" outlineLevel="1"/>
    <col min="10" max="10" width="9.140625" style="22" customWidth="1" outlineLevel="1"/>
    <col min="11" max="11" width="1.7109375" style="22" customWidth="1" outlineLevel="1"/>
    <col min="12" max="12" width="7" style="22" customWidth="1" outlineLevel="1" collapsed="1"/>
    <col min="13" max="13" width="1.7109375" style="22" customWidth="1" outlineLevel="1"/>
    <col min="14" max="14" width="7.7109375" style="22" customWidth="1" outlineLevel="1"/>
    <col min="15" max="15" width="1.7109375" style="22" customWidth="1" outlineLevel="1"/>
    <col min="16" max="16" width="7.7109375" style="22" customWidth="1" outlineLevel="1"/>
    <col min="17" max="17" width="1.7109375" style="22" customWidth="1" outlineLevel="1"/>
    <col min="18" max="18" width="8" style="22" customWidth="1" outlineLevel="1"/>
    <col min="19" max="19" width="1.7109375" style="22" customWidth="1" outlineLevel="1"/>
    <col min="20" max="21" width="5.28515625" style="22" customWidth="1" outlineLevel="1"/>
    <col min="22" max="22" width="7.7109375" style="22" customWidth="1" outlineLevel="1"/>
    <col min="23" max="23" width="1.7109375" style="22" customWidth="1" outlineLevel="1"/>
    <col min="24" max="24" width="7.5703125" style="22" customWidth="1" outlineLevel="1"/>
    <col min="25" max="25" width="1.5703125" style="22" customWidth="1" outlineLevel="1"/>
    <col min="26" max="26" width="7.7109375" style="22" customWidth="1" outlineLevel="1"/>
    <col min="27" max="27" width="1.5703125" style="22" customWidth="1" outlineLevel="1"/>
    <col min="28" max="28" width="7.7109375" style="22" customWidth="1" outlineLevel="1"/>
    <col min="29" max="29" width="1.7109375" style="22" customWidth="1" outlineLevel="1"/>
    <col min="30" max="30" width="7.7109375" style="22" customWidth="1" outlineLevel="1"/>
    <col min="31" max="31" width="1.42578125" style="22" customWidth="1" outlineLevel="1"/>
    <col min="32" max="32" width="9" style="22" customWidth="1" outlineLevel="1"/>
    <col min="33" max="33" width="1.42578125" style="22" customWidth="1" outlineLevel="1"/>
    <col min="34" max="34" width="7.7109375" style="22" customWidth="1" outlineLevel="1"/>
    <col min="35" max="35" width="1.7109375" style="22" customWidth="1" outlineLevel="1"/>
    <col min="36" max="36" width="7.7109375" style="22" customWidth="1" outlineLevel="1" collapsed="1"/>
    <col min="37" max="37" width="1.28515625" style="22" customWidth="1" outlineLevel="1"/>
    <col min="38" max="38" width="8.42578125" style="22" customWidth="1"/>
    <col min="39" max="39" width="1.28515625" style="22" customWidth="1"/>
    <col min="40" max="40" width="7.7109375" style="22" customWidth="1"/>
    <col min="41" max="41" width="1.28515625" style="22" customWidth="1"/>
    <col min="42" max="42" width="8.140625" style="22" bestFit="1" customWidth="1"/>
    <col min="43" max="43" width="1.28515625" style="22" customWidth="1"/>
    <col min="44" max="44" width="8.28515625" style="22" customWidth="1"/>
    <col min="45" max="45" width="1.28515625" style="22" customWidth="1"/>
    <col min="46" max="46" width="7.85546875" style="22" customWidth="1"/>
    <col min="47" max="47" width="1.28515625" style="22" customWidth="1"/>
    <col min="48" max="48" width="8.42578125" style="22" customWidth="1"/>
    <col min="49" max="49" width="1.28515625" style="22" customWidth="1"/>
    <col min="50" max="50" width="9.28515625" style="22" customWidth="1"/>
    <col min="51" max="51" width="1.28515625" style="22" customWidth="1"/>
    <col min="52" max="52" width="8.28515625" style="22" customWidth="1"/>
    <col min="53" max="53" width="1.28515625" style="22" customWidth="1"/>
    <col min="54" max="54" width="8.28515625" style="22" customWidth="1"/>
    <col min="55" max="55" width="1.28515625" style="22" customWidth="1"/>
    <col min="56" max="56" width="8.28515625" style="22" hidden="1" customWidth="1" outlineLevel="1"/>
    <col min="57" max="57" width="1.28515625" style="22" hidden="1" customWidth="1" outlineLevel="1"/>
    <col min="58" max="58" width="8.28515625" style="22" hidden="1" customWidth="1" outlineLevel="1"/>
    <col min="59" max="59" width="8.42578125" style="22" hidden="1" customWidth="1" outlineLevel="1"/>
    <col min="60" max="60" width="23.140625" hidden="1" customWidth="1" outlineLevel="1"/>
    <col min="61" max="65" width="9.140625" hidden="1" customWidth="1" outlineLevel="1"/>
    <col min="66" max="66" width="8.5703125" style="22" customWidth="1" collapsed="1"/>
    <col min="67" max="16384" width="9.140625" style="22"/>
  </cols>
  <sheetData>
    <row r="1" spans="1:67">
      <c r="A1" s="24" t="str">
        <f>'qtrP&amp;L'!A1</f>
        <v>Abercrombie &amp; Fitch</v>
      </c>
      <c r="B1" s="24"/>
      <c r="C1" s="24"/>
      <c r="D1" s="24"/>
      <c r="E1" s="36"/>
      <c r="F1" s="24"/>
      <c r="G1" s="24"/>
      <c r="H1" s="24"/>
      <c r="I1" s="36"/>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row>
    <row r="2" spans="1:67">
      <c r="A2" s="25" t="s">
        <v>153</v>
      </c>
      <c r="B2" s="25"/>
      <c r="C2" s="25"/>
      <c r="D2" s="25"/>
      <c r="E2" s="37"/>
      <c r="F2" s="25"/>
      <c r="G2" s="25"/>
      <c r="H2" s="25"/>
      <c r="I2" s="37"/>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40"/>
    </row>
    <row r="3" spans="1:67">
      <c r="A3" s="1738" t="str">
        <f>+'qtrP&amp;L'!A3</f>
        <v>For the fiscal year ending January 31 of the following year</v>
      </c>
      <c r="B3" s="1738"/>
      <c r="AN3" s="379"/>
      <c r="AP3" s="379"/>
      <c r="AR3" s="379"/>
      <c r="AT3" s="379"/>
      <c r="AV3" s="379"/>
      <c r="AX3" s="379"/>
      <c r="AZ3" s="379"/>
      <c r="BB3" s="379"/>
      <c r="BD3" s="379"/>
      <c r="BF3" s="379"/>
      <c r="BG3" s="379"/>
    </row>
    <row r="4" spans="1:67">
      <c r="A4" s="1738" t="s">
        <v>123</v>
      </c>
      <c r="B4" s="1738"/>
    </row>
    <row r="5" spans="1:67">
      <c r="A5" s="1738"/>
      <c r="B5" s="1738"/>
    </row>
    <row r="6" spans="1:67">
      <c r="D6" s="96"/>
      <c r="E6" s="96"/>
      <c r="F6" s="1915"/>
      <c r="G6" s="1042"/>
      <c r="H6" s="1034"/>
      <c r="I6" s="77"/>
      <c r="J6" s="96"/>
      <c r="K6" s="96"/>
      <c r="L6" s="96"/>
      <c r="M6" s="96"/>
      <c r="N6" s="77"/>
      <c r="O6" s="77"/>
      <c r="P6" s="77"/>
      <c r="Q6" s="96"/>
      <c r="R6" s="77" t="s">
        <v>273</v>
      </c>
      <c r="S6" s="96"/>
      <c r="T6" s="96"/>
      <c r="U6" s="96"/>
      <c r="V6" s="96"/>
      <c r="W6" s="96"/>
      <c r="X6" s="96"/>
      <c r="Y6" s="96"/>
      <c r="Z6" s="96"/>
      <c r="AA6" s="96"/>
      <c r="AB6" s="96"/>
      <c r="AC6" s="96"/>
      <c r="AD6" s="96"/>
      <c r="AE6" s="96"/>
      <c r="AF6" s="96"/>
      <c r="AG6" s="96"/>
      <c r="AH6" s="96"/>
      <c r="AI6" s="96"/>
      <c r="AJ6" s="96"/>
      <c r="AK6" s="96"/>
      <c r="AL6" s="96"/>
      <c r="AM6" s="96"/>
      <c r="AN6" s="96"/>
      <c r="AO6" s="96"/>
      <c r="AP6" s="96"/>
      <c r="AQ6" s="96"/>
      <c r="AR6" s="96"/>
      <c r="AS6" s="96"/>
      <c r="AT6" s="96"/>
      <c r="AU6" s="96"/>
      <c r="AV6" s="96"/>
      <c r="AW6" s="96"/>
      <c r="AX6" s="96"/>
      <c r="AY6" s="96"/>
      <c r="AZ6" s="96"/>
      <c r="BA6" s="96"/>
      <c r="BB6" s="96"/>
      <c r="BC6" s="96"/>
      <c r="BD6" s="96"/>
      <c r="BE6" s="96"/>
      <c r="BF6" s="96"/>
      <c r="BG6" s="97"/>
    </row>
    <row r="7" spans="1:67">
      <c r="R7" s="1568" t="s">
        <v>35</v>
      </c>
      <c r="S7" s="1534"/>
      <c r="T7" s="1534"/>
    </row>
    <row r="8" spans="1:67">
      <c r="D8" s="1842">
        <v>1995</v>
      </c>
      <c r="E8" s="38"/>
      <c r="F8" s="1843">
        <f>D8+1</f>
        <v>1996</v>
      </c>
      <c r="G8" s="38"/>
      <c r="H8" s="1843">
        <f>F8+1</f>
        <v>1997</v>
      </c>
      <c r="I8" s="38"/>
      <c r="J8" s="1843">
        <f>H8+1</f>
        <v>1998</v>
      </c>
      <c r="K8" s="38"/>
      <c r="L8" s="1843">
        <f>J8+1</f>
        <v>1999</v>
      </c>
      <c r="M8" s="38"/>
      <c r="N8" s="1843">
        <v>2000</v>
      </c>
      <c r="O8" s="38"/>
      <c r="P8" s="1843">
        <f>N8+1</f>
        <v>2001</v>
      </c>
      <c r="Q8" s="38"/>
      <c r="R8" s="1843">
        <f>P8+1</f>
        <v>2002</v>
      </c>
      <c r="S8" s="38"/>
      <c r="T8" s="1843">
        <f>R8+1</f>
        <v>2003</v>
      </c>
      <c r="U8" s="38"/>
      <c r="V8" s="1843">
        <f>T8+1</f>
        <v>2004</v>
      </c>
      <c r="W8" s="38"/>
      <c r="X8" s="1843">
        <f>V8+1</f>
        <v>2005</v>
      </c>
      <c r="Y8" s="38"/>
      <c r="Z8" s="1843">
        <f>X8+1</f>
        <v>2006</v>
      </c>
      <c r="AA8" s="38"/>
      <c r="AB8" s="1843">
        <f>Z8+1</f>
        <v>2007</v>
      </c>
      <c r="AC8" s="38"/>
      <c r="AD8" s="1843">
        <f>AB8+1</f>
        <v>2008</v>
      </c>
      <c r="AE8" s="38"/>
      <c r="AF8" s="1843">
        <f>AD8+1</f>
        <v>2009</v>
      </c>
      <c r="AG8" s="38"/>
      <c r="AH8" s="1843">
        <f>AF8+1</f>
        <v>2010</v>
      </c>
      <c r="AI8" s="38"/>
      <c r="AJ8" s="1843">
        <f>AH8+1</f>
        <v>2011</v>
      </c>
      <c r="AK8" s="38"/>
      <c r="AL8" s="1843">
        <f>AJ8+1</f>
        <v>2012</v>
      </c>
      <c r="AM8" s="38"/>
      <c r="AN8" s="1843">
        <f>AL8+1</f>
        <v>2013</v>
      </c>
      <c r="AO8" s="38"/>
      <c r="AP8" s="1843">
        <f>AN8+1</f>
        <v>2014</v>
      </c>
      <c r="AQ8" s="1896"/>
      <c r="AR8" s="1843">
        <f>AP8+1</f>
        <v>2015</v>
      </c>
      <c r="AS8" s="1896"/>
      <c r="AT8" s="1843">
        <f>AR8+1</f>
        <v>2016</v>
      </c>
      <c r="AU8" s="1896"/>
      <c r="AV8" s="1846">
        <f>AT8+1</f>
        <v>2017</v>
      </c>
      <c r="AW8" s="1896"/>
      <c r="AX8" s="1846">
        <f>AV8+1</f>
        <v>2018</v>
      </c>
      <c r="AY8" s="1896"/>
      <c r="AZ8" s="1846">
        <f>AX8+1</f>
        <v>2019</v>
      </c>
      <c r="BA8" s="1896"/>
      <c r="BB8" s="1846">
        <f>AZ8+1</f>
        <v>2020</v>
      </c>
      <c r="BC8" s="1896"/>
      <c r="BD8" s="1846">
        <f>BB8+1</f>
        <v>2021</v>
      </c>
      <c r="BE8" s="1896"/>
      <c r="BF8" s="1846">
        <f>BD8+1</f>
        <v>2022</v>
      </c>
      <c r="BG8" s="1896"/>
    </row>
    <row r="10" spans="1:67">
      <c r="A10" s="22" t="s">
        <v>208</v>
      </c>
      <c r="D10" s="1853">
        <v>14.298</v>
      </c>
      <c r="E10" s="22" t="s">
        <v>246</v>
      </c>
      <c r="F10" s="379">
        <f>'qtrP&amp;L'!L134</f>
        <v>24.577000000000005</v>
      </c>
      <c r="G10" s="379"/>
      <c r="H10" s="379">
        <f>'qtrP&amp;L'!P134</f>
        <v>48.32200000000001</v>
      </c>
      <c r="I10" s="379"/>
      <c r="J10" s="379">
        <f>'qtrP&amp;L'!T134</f>
        <v>102.06199999999998</v>
      </c>
      <c r="K10" s="379"/>
      <c r="L10" s="1536">
        <f>'qtrP&amp;L'!X134</f>
        <v>149.60140000000001</v>
      </c>
      <c r="M10" s="1916"/>
      <c r="N10" s="379">
        <f>'qtrP&amp;L'!AB134</f>
        <v>158.13300000000001</v>
      </c>
      <c r="O10" s="1916"/>
      <c r="P10" s="379">
        <f>'qtrP&amp;L'!AF134</f>
        <v>168.672</v>
      </c>
      <c r="Q10" s="379"/>
      <c r="R10" s="1536">
        <f>'qtrP&amp;L'!AJ134</f>
        <v>194.75399999999991</v>
      </c>
      <c r="S10" s="379"/>
      <c r="T10" s="379">
        <f>+'qtrP&amp;L'!AN134</f>
        <v>204.82999999999996</v>
      </c>
      <c r="U10" s="379"/>
      <c r="V10" s="379">
        <f>'qtrP&amp;L'!AR134+'qtrP&amp;L'!AR164+0.002</f>
        <v>216.37600000000023</v>
      </c>
      <c r="W10" s="379"/>
      <c r="X10" s="1536">
        <f>'qtrP&amp;L'!AV134-'yrP&amp;L'!M53</f>
        <v>333.98599999999993</v>
      </c>
      <c r="Y10" s="379"/>
      <c r="Z10" s="379">
        <f>+bal!AC72+0.001</f>
        <v>422.18599999999986</v>
      </c>
      <c r="AA10" s="379"/>
      <c r="AB10" s="1536">
        <f>+bal!AE72</f>
        <v>475.69699999999966</v>
      </c>
      <c r="AC10" s="379"/>
      <c r="AD10" s="1917">
        <v>272.255</v>
      </c>
      <c r="AE10" s="379"/>
      <c r="AF10" s="1536">
        <v>0.254</v>
      </c>
      <c r="AG10" s="379"/>
      <c r="AH10" s="1536">
        <f>+'qtrP&amp;L'!BP144</f>
        <v>150.28300000000002</v>
      </c>
      <c r="AI10" s="379"/>
      <c r="AJ10" s="1536">
        <f>+'qtrP&amp;L'!BT144</f>
        <v>143.13600000000025</v>
      </c>
      <c r="AK10" s="379"/>
      <c r="AL10" s="379">
        <f>+'qtrP&amp;L'!BX144</f>
        <v>222.01699999999997</v>
      </c>
      <c r="AM10" s="379"/>
      <c r="AN10" s="379">
        <f>+bal!AQ72</f>
        <v>151.53799999999987</v>
      </c>
      <c r="AO10" s="379"/>
      <c r="AP10" s="379">
        <v>51.820999999999998</v>
      </c>
      <c r="AQ10" s="379"/>
      <c r="AR10" s="379">
        <v>38.558999999999997</v>
      </c>
      <c r="AS10" s="379"/>
      <c r="AT10" s="379">
        <v>7.718</v>
      </c>
      <c r="AU10" s="379"/>
      <c r="AV10" s="379">
        <f>+bal!AY72</f>
        <v>48.436000000000099</v>
      </c>
      <c r="AW10" s="379"/>
      <c r="AX10" s="379">
        <f>+bal!BA72</f>
        <v>21.372887861879285</v>
      </c>
      <c r="AY10" s="379"/>
      <c r="AZ10" s="379">
        <f>+bal!BC72</f>
        <v>28.747105092497279</v>
      </c>
      <c r="BA10" s="379"/>
      <c r="BB10" s="379">
        <f>+bal!BE72</f>
        <v>25.240293397874531</v>
      </c>
      <c r="BC10" s="379"/>
      <c r="BD10" s="379">
        <f>+bal!BG72</f>
        <v>21.964138555440769</v>
      </c>
      <c r="BE10" s="379"/>
      <c r="BF10" s="379">
        <f>+bal!BI72</f>
        <v>21.877562841126259</v>
      </c>
      <c r="BG10" s="379"/>
    </row>
    <row r="11" spans="1:67">
      <c r="B11" s="22" t="s">
        <v>209</v>
      </c>
      <c r="D11" s="1906">
        <v>9.1039999999999992</v>
      </c>
      <c r="E11" s="1500" t="s">
        <v>246</v>
      </c>
      <c r="F11" s="1500">
        <f>'qtrP&amp;L'!L74</f>
        <v>11.759</v>
      </c>
      <c r="G11" s="1500"/>
      <c r="H11" s="1500">
        <f>'qtrP&amp;L'!P74</f>
        <v>16.341999999999999</v>
      </c>
      <c r="I11" s="1500"/>
      <c r="J11" s="1500">
        <f>'qtrP&amp;L'!T74</f>
        <v>20.946000000000002</v>
      </c>
      <c r="K11" s="1500"/>
      <c r="L11" s="1537">
        <f>'qtrP&amp;L'!X74</f>
        <v>27.721</v>
      </c>
      <c r="M11" s="1916"/>
      <c r="N11" s="1500">
        <f>'qtrP&amp;L'!AB74</f>
        <v>30.731000000000002</v>
      </c>
      <c r="O11" s="1916"/>
      <c r="P11" s="1500">
        <f>'qtrP&amp;L'!AF74</f>
        <v>41.155000000000001</v>
      </c>
      <c r="Q11" s="1500"/>
      <c r="R11" s="1548">
        <v>75.950999999999993</v>
      </c>
      <c r="S11" s="1500"/>
      <c r="T11" s="1548">
        <v>89.539000000000001</v>
      </c>
      <c r="U11" s="1537"/>
      <c r="V11" s="1548">
        <v>105.81399999999999</v>
      </c>
      <c r="W11" s="1500"/>
      <c r="X11" s="1548">
        <v>124.206</v>
      </c>
      <c r="Y11" s="1500"/>
      <c r="Z11" s="1906">
        <v>146.15600000000001</v>
      </c>
      <c r="AA11" s="1500"/>
      <c r="AB11" s="1906">
        <v>183.71600000000001</v>
      </c>
      <c r="AC11" s="1500"/>
      <c r="AD11" s="1906">
        <v>225.334</v>
      </c>
      <c r="AE11" s="1500"/>
      <c r="AF11" s="1548">
        <v>238.75200000000001</v>
      </c>
      <c r="AG11" s="1500"/>
      <c r="AH11" s="1548">
        <v>229.15299999999999</v>
      </c>
      <c r="AI11" s="1500"/>
      <c r="AJ11" s="1548">
        <v>232.95599999999999</v>
      </c>
      <c r="AK11" s="1500"/>
      <c r="AL11" s="1548">
        <v>224.245</v>
      </c>
      <c r="AM11" s="1500"/>
      <c r="AN11" s="1906">
        <v>235.24</v>
      </c>
      <c r="AO11" s="1500"/>
      <c r="AP11" s="1906">
        <v>226.42099999999999</v>
      </c>
      <c r="AQ11" s="1500"/>
      <c r="AR11" s="1906">
        <v>213.68</v>
      </c>
      <c r="AS11" s="1500"/>
      <c r="AT11" s="1906">
        <v>195.41399999999999</v>
      </c>
      <c r="AU11" s="1500"/>
      <c r="AV11" s="1500">
        <f>'yrP&amp;L'!AB27</f>
        <v>192.14699999999999</v>
      </c>
      <c r="AW11" s="1500"/>
      <c r="AX11" s="1500">
        <f>'yrP&amp;L'!AC27</f>
        <v>180</v>
      </c>
      <c r="AY11" s="1500"/>
      <c r="AZ11" s="1500">
        <f>'yrP&amp;L'!AD27</f>
        <v>175.05268924702526</v>
      </c>
      <c r="BA11" s="1500"/>
      <c r="BB11" s="1500">
        <f>'yrP&amp;L'!AE27</f>
        <v>167.15286890897809</v>
      </c>
      <c r="BC11" s="1500"/>
      <c r="BD11" s="1500">
        <f>'yrP&amp;L'!AF27</f>
        <v>159.03232582139114</v>
      </c>
      <c r="BE11" s="1500"/>
      <c r="BF11" s="1500">
        <f>'yrP&amp;L'!AG27</f>
        <v>158.5887928156605</v>
      </c>
      <c r="BG11" s="1500"/>
      <c r="BO11" s="379"/>
    </row>
    <row r="12" spans="1:67">
      <c r="B12" s="22" t="s">
        <v>130</v>
      </c>
      <c r="D12" s="1918">
        <v>0</v>
      </c>
      <c r="E12" s="1919"/>
      <c r="F12" s="1918">
        <v>0</v>
      </c>
      <c r="G12" s="1500"/>
      <c r="H12" s="1906">
        <v>6.2190000000000003</v>
      </c>
      <c r="I12" s="1500"/>
      <c r="J12" s="1906">
        <v>11.497</v>
      </c>
      <c r="K12" s="1906"/>
      <c r="L12" s="1548">
        <v>5.2119999999999997</v>
      </c>
      <c r="M12" s="1920"/>
      <c r="N12" s="1906">
        <v>4.34</v>
      </c>
      <c r="O12" s="1920"/>
      <c r="P12" s="1906">
        <v>3.9359999999999999</v>
      </c>
      <c r="Q12" s="1500"/>
      <c r="R12" s="1548">
        <v>2.2949999999999999</v>
      </c>
      <c r="S12" s="1500"/>
      <c r="T12" s="1548">
        <v>11.186</v>
      </c>
      <c r="U12" s="1537"/>
      <c r="V12" s="1548">
        <v>17.378</v>
      </c>
      <c r="W12" s="1500"/>
      <c r="X12" s="1548">
        <v>29.347000000000001</v>
      </c>
      <c r="Y12" s="1500"/>
      <c r="Z12" s="1548">
        <f>35.119+5.472-3.382</f>
        <v>37.209000000000003</v>
      </c>
      <c r="AA12" s="1500"/>
      <c r="AB12" s="1548">
        <f>31.17+17.6-14.205</f>
        <v>34.565000000000005</v>
      </c>
      <c r="AC12" s="1500"/>
      <c r="AD12" s="1906">
        <f>42.042+16.839-5.791</f>
        <v>53.09</v>
      </c>
      <c r="AE12" s="1500"/>
      <c r="AF12" s="1548">
        <f>36.109-5.454</f>
        <v>30.655000000000001</v>
      </c>
      <c r="AG12" s="1500"/>
      <c r="AH12" s="1548">
        <f>40.599-1.053</f>
        <v>39.545999999999999</v>
      </c>
      <c r="AI12" s="1500"/>
      <c r="AJ12" s="1548">
        <f>51.093+2.973-4.821</f>
        <v>49.245000000000005</v>
      </c>
      <c r="AK12" s="1500"/>
      <c r="AL12" s="1548">
        <f>52.922-0.466-1.198</f>
        <v>51.257999999999996</v>
      </c>
      <c r="AM12" s="1500"/>
      <c r="AN12" s="1906">
        <f>53.516</f>
        <v>53.515999999999998</v>
      </c>
      <c r="AO12" s="1500"/>
      <c r="AP12" s="1906">
        <v>23.027000000000001</v>
      </c>
      <c r="AQ12" s="1500"/>
      <c r="AR12" s="1906">
        <v>28.359000000000002</v>
      </c>
      <c r="AS12" s="1500"/>
      <c r="AT12" s="1906">
        <v>22.12</v>
      </c>
      <c r="AU12" s="1500"/>
      <c r="AV12" s="1500">
        <f>AT12</f>
        <v>22.12</v>
      </c>
      <c r="AW12" s="1500"/>
      <c r="AX12" s="1500">
        <f>AV12</f>
        <v>22.12</v>
      </c>
      <c r="AY12" s="1500"/>
      <c r="AZ12" s="1500">
        <f>AX12</f>
        <v>22.12</v>
      </c>
      <c r="BA12" s="1500"/>
      <c r="BB12" s="1500">
        <f>AZ12</f>
        <v>22.12</v>
      </c>
      <c r="BC12" s="1500"/>
      <c r="BD12" s="1500">
        <f>BB12</f>
        <v>22.12</v>
      </c>
      <c r="BE12" s="1500"/>
      <c r="BF12" s="1500">
        <f>BD12</f>
        <v>22.12</v>
      </c>
      <c r="BG12" s="1500"/>
    </row>
    <row r="13" spans="1:67">
      <c r="B13" s="22" t="s">
        <v>124</v>
      </c>
      <c r="D13" s="1918"/>
      <c r="E13" s="1919"/>
      <c r="F13" s="1918"/>
      <c r="G13" s="1500"/>
      <c r="H13" s="1906"/>
      <c r="I13" s="1500"/>
      <c r="J13" s="1906"/>
      <c r="K13" s="1906"/>
      <c r="L13" s="1548"/>
      <c r="M13" s="1920"/>
      <c r="N13" s="1906"/>
      <c r="O13" s="1920"/>
      <c r="P13" s="119">
        <v>-3.8490000000000002</v>
      </c>
      <c r="Q13" s="1500"/>
      <c r="R13" s="1548">
        <v>21.091999999999999</v>
      </c>
      <c r="S13" s="1500"/>
      <c r="T13" s="1548">
        <v>7.1260000000000003</v>
      </c>
      <c r="U13" s="1537"/>
      <c r="V13" s="1548">
        <v>3.9420000000000002</v>
      </c>
      <c r="W13" s="1500"/>
      <c r="X13" s="119">
        <v>-2.0990000000000002</v>
      </c>
      <c r="Y13" s="119"/>
      <c r="Z13" s="119">
        <v>-11.638</v>
      </c>
      <c r="AA13" s="119"/>
      <c r="AB13" s="119">
        <v>1.3420000000000001</v>
      </c>
      <c r="AC13" s="119"/>
      <c r="AD13" s="119">
        <v>14.005000000000001</v>
      </c>
      <c r="AE13" s="119"/>
      <c r="AF13" s="1699">
        <v>7.6050000000000004</v>
      </c>
      <c r="AG13" s="119"/>
      <c r="AH13" s="1699">
        <v>-27.823</v>
      </c>
      <c r="AI13" s="119"/>
      <c r="AJ13" s="1699">
        <v>-46.33</v>
      </c>
      <c r="AK13" s="119"/>
      <c r="AL13" s="1699">
        <v>-21.542999999999999</v>
      </c>
      <c r="AM13" s="119"/>
      <c r="AN13" s="119">
        <v>-41.262999999999998</v>
      </c>
      <c r="AO13" s="119"/>
      <c r="AP13" s="119">
        <v>1.6759999999999999</v>
      </c>
      <c r="AQ13" s="1824"/>
      <c r="AR13" s="119">
        <v>7.4690000000000003</v>
      </c>
      <c r="AS13" s="1824"/>
      <c r="AT13" s="119">
        <v>-7.8659999999999997</v>
      </c>
      <c r="AU13" s="1824"/>
      <c r="AV13" s="1824">
        <f>AT13</f>
        <v>-7.8659999999999997</v>
      </c>
      <c r="AW13" s="1824"/>
      <c r="AX13" s="1824">
        <f>AV13</f>
        <v>-7.8659999999999997</v>
      </c>
      <c r="AY13" s="1824"/>
      <c r="AZ13" s="1824">
        <f>AX13</f>
        <v>-7.8659999999999997</v>
      </c>
      <c r="BA13" s="1824"/>
      <c r="BB13" s="1824">
        <f>AZ13</f>
        <v>-7.8659999999999997</v>
      </c>
      <c r="BC13" s="1824"/>
      <c r="BD13" s="1824">
        <f>BB13</f>
        <v>-7.8659999999999997</v>
      </c>
      <c r="BE13" s="1824"/>
      <c r="BF13" s="1824">
        <f>BD13</f>
        <v>-7.8659999999999997</v>
      </c>
      <c r="BG13" s="1824"/>
    </row>
    <row r="14" spans="1:67">
      <c r="B14" s="22" t="s">
        <v>38</v>
      </c>
      <c r="D14" s="1918"/>
      <c r="E14" s="1919"/>
      <c r="F14" s="1918"/>
      <c r="G14" s="1500"/>
      <c r="H14" s="1906"/>
      <c r="I14" s="1500"/>
      <c r="J14" s="1906"/>
      <c r="K14" s="1906"/>
      <c r="L14" s="1548"/>
      <c r="M14" s="1920"/>
      <c r="N14" s="1906"/>
      <c r="O14" s="1920"/>
      <c r="P14" s="119"/>
      <c r="Q14" s="1500"/>
      <c r="R14" s="1548">
        <v>52.686</v>
      </c>
      <c r="S14" s="1500"/>
      <c r="T14" s="1548">
        <v>60.649000000000001</v>
      </c>
      <c r="U14" s="1537"/>
      <c r="V14" s="1548">
        <v>55.009</v>
      </c>
      <c r="W14" s="1500"/>
      <c r="X14" s="1548">
        <v>42.335999999999999</v>
      </c>
      <c r="Y14" s="1500"/>
      <c r="Z14" s="1548">
        <v>49.387</v>
      </c>
      <c r="AA14" s="1500"/>
      <c r="AB14" s="1548">
        <v>43.390999999999998</v>
      </c>
      <c r="AC14" s="1500"/>
      <c r="AD14" s="1906">
        <v>55.414999999999999</v>
      </c>
      <c r="AE14" s="1500"/>
      <c r="AF14" s="1548">
        <v>47.329000000000001</v>
      </c>
      <c r="AG14" s="1500"/>
      <c r="AH14" s="1548">
        <v>35.280999999999999</v>
      </c>
      <c r="AI14" s="1500"/>
      <c r="AJ14" s="1548">
        <v>41.509</v>
      </c>
      <c r="AK14" s="1500"/>
      <c r="AL14" s="1548">
        <v>22.521999999999998</v>
      </c>
      <c r="AM14" s="1500"/>
      <c r="AN14" s="1906">
        <v>20.523</v>
      </c>
      <c r="AO14" s="1500"/>
      <c r="AP14" s="1906">
        <v>13.182</v>
      </c>
      <c r="AQ14" s="1500"/>
      <c r="AR14" s="1906">
        <v>11.082000000000001</v>
      </c>
      <c r="AS14" s="1500"/>
      <c r="AT14" s="1906">
        <f>3.836+4.098</f>
        <v>7.9339999999999993</v>
      </c>
      <c r="AU14" s="1500"/>
      <c r="AV14" s="1500">
        <f>AT14</f>
        <v>7.9339999999999993</v>
      </c>
      <c r="AW14" s="1500"/>
      <c r="AX14" s="1500">
        <f>AV14</f>
        <v>7.9339999999999993</v>
      </c>
      <c r="AY14" s="1500"/>
      <c r="AZ14" s="1500">
        <f>AX14</f>
        <v>7.9339999999999993</v>
      </c>
      <c r="BA14" s="1500"/>
      <c r="BB14" s="1500">
        <f>AZ14</f>
        <v>7.9339999999999993</v>
      </c>
      <c r="BC14" s="1500"/>
      <c r="BD14" s="1500">
        <f>BB14</f>
        <v>7.9339999999999993</v>
      </c>
      <c r="BE14" s="1500"/>
      <c r="BF14" s="1500">
        <f>BD14</f>
        <v>7.9339999999999993</v>
      </c>
      <c r="BG14" s="1500"/>
    </row>
    <row r="15" spans="1:67">
      <c r="B15" s="22" t="s">
        <v>210</v>
      </c>
      <c r="D15" s="1921">
        <v>0</v>
      </c>
      <c r="F15" s="1921">
        <f>24.674-24.577</f>
        <v>9.6999999999997755E-2</v>
      </c>
      <c r="G15" s="114"/>
      <c r="H15" s="1921">
        <v>0</v>
      </c>
      <c r="J15" s="1921">
        <v>0</v>
      </c>
      <c r="L15" s="1552">
        <v>2.6000000000294676E-3</v>
      </c>
      <c r="N15" s="1921">
        <v>0</v>
      </c>
      <c r="P15" s="1921">
        <v>0</v>
      </c>
      <c r="R15" s="1850">
        <f>-21.061+1.251</f>
        <v>-19.809999999999999</v>
      </c>
      <c r="T15" s="1711">
        <f>-24.774</f>
        <v>-24.774000000000001</v>
      </c>
      <c r="U15" s="114"/>
      <c r="V15" s="1711">
        <f>-32.794+1.19+4.664</f>
        <v>-26.939999999999998</v>
      </c>
      <c r="X15" s="1850">
        <f>-32.527+0.272+7.386</f>
        <v>-24.869000000000003</v>
      </c>
      <c r="Z15" s="1850">
        <f>-34.485+0.298+6.261</f>
        <v>-27.925999999999998</v>
      </c>
      <c r="AB15" s="1850">
        <f>-37.418+9.517</f>
        <v>-27.901</v>
      </c>
      <c r="AD15" s="1850">
        <f>-43.194+30.574+7.607</f>
        <v>-5.0130000000000008</v>
      </c>
      <c r="AF15" s="1552">
        <f>84.754-47.182+10.646</f>
        <v>48.218000000000004</v>
      </c>
      <c r="AH15" s="1552">
        <f>50.631+7.064-48.373</f>
        <v>9.3220000000000027</v>
      </c>
      <c r="AJ15" s="1552">
        <f>68.022+22.46-48.258+13.442</f>
        <v>55.665999999999997</v>
      </c>
      <c r="AL15" s="1552">
        <f>7.407+11.866-45.942-2.454</f>
        <v>-29.123000000000001</v>
      </c>
      <c r="AN15" s="1921">
        <f>84.655+16.909-45.895</f>
        <v>55.66899999999999</v>
      </c>
      <c r="AP15" s="1921">
        <f>47.084+5.794-38.437</f>
        <v>14.441000000000003</v>
      </c>
      <c r="AQ15" s="1918"/>
      <c r="AR15" s="1921">
        <f>18.209+11.082-28.619</f>
        <v>0.6720000000000006</v>
      </c>
      <c r="AS15" s="1918"/>
      <c r="AT15" s="1921">
        <f>7.93-24.557</f>
        <v>-16.626999999999999</v>
      </c>
      <c r="AU15" s="1918"/>
      <c r="AV15" s="1921">
        <v>0</v>
      </c>
      <c r="AW15" s="1918"/>
      <c r="AX15" s="1921">
        <v>0</v>
      </c>
      <c r="AY15" s="1918"/>
      <c r="AZ15" s="1921">
        <v>0</v>
      </c>
      <c r="BA15" s="1918"/>
      <c r="BB15" s="1921">
        <v>0</v>
      </c>
      <c r="BC15" s="1918"/>
      <c r="BD15" s="1921">
        <v>0</v>
      </c>
      <c r="BE15" s="1918"/>
      <c r="BF15" s="1921">
        <v>0</v>
      </c>
      <c r="BG15" s="1918"/>
    </row>
    <row r="16" spans="1:67">
      <c r="A16" s="22" t="s">
        <v>211</v>
      </c>
      <c r="D16" s="379">
        <f>SUM(D10:D15)</f>
        <v>23.402000000000001</v>
      </c>
      <c r="F16" s="379">
        <f>SUM(F10:F15)</f>
        <v>36.433000000000007</v>
      </c>
      <c r="G16" s="379"/>
      <c r="H16" s="379">
        <f>SUM(H10:H15)</f>
        <v>70.88300000000001</v>
      </c>
      <c r="I16" s="379"/>
      <c r="J16" s="379">
        <f>SUM(J10:J15)</f>
        <v>134.505</v>
      </c>
      <c r="K16" s="379"/>
      <c r="L16" s="1536">
        <f>SUM(L10:L15)</f>
        <v>182.53700000000003</v>
      </c>
      <c r="M16" s="379"/>
      <c r="N16" s="379">
        <f>SUM(N10:N15)</f>
        <v>193.20400000000001</v>
      </c>
      <c r="O16" s="379"/>
      <c r="P16" s="379">
        <f>SUM(P10:P15)</f>
        <v>209.91400000000002</v>
      </c>
      <c r="Q16" s="379"/>
      <c r="R16" s="379">
        <f>SUM(R10:R15)</f>
        <v>326.9679999999999</v>
      </c>
      <c r="S16" s="379"/>
      <c r="T16" s="1536">
        <f>SUM(T10:T15)</f>
        <v>348.55599999999993</v>
      </c>
      <c r="U16" s="1536"/>
      <c r="V16" s="1536">
        <f>SUM(V10:V15)</f>
        <v>371.57900000000024</v>
      </c>
      <c r="W16" s="379"/>
      <c r="X16" s="379">
        <f>SUM(X10:X15)</f>
        <v>502.90699999999993</v>
      </c>
      <c r="Y16" s="379"/>
      <c r="Z16" s="379">
        <f>SUM(Z10:Z15)</f>
        <v>615.37399999999991</v>
      </c>
      <c r="AA16" s="379"/>
      <c r="AB16" s="379">
        <f>SUM(AB10:AB15)</f>
        <v>710.80999999999972</v>
      </c>
      <c r="AC16" s="379"/>
      <c r="AD16" s="379">
        <f>SUM(AD10:AD15)</f>
        <v>615.0859999999999</v>
      </c>
      <c r="AE16" s="379"/>
      <c r="AF16" s="379">
        <f>SUM(AF10:AF15)</f>
        <v>372.81300000000005</v>
      </c>
      <c r="AG16" s="379"/>
      <c r="AH16" s="379">
        <f>SUM(AH10:AH15)</f>
        <v>435.76200000000006</v>
      </c>
      <c r="AI16" s="379"/>
      <c r="AJ16" s="379">
        <f>SUM(AJ10:AJ15)</f>
        <v>476.18200000000024</v>
      </c>
      <c r="AK16" s="379"/>
      <c r="AL16" s="1536">
        <f>SUM(AL10:AL15)</f>
        <v>469.37599999999992</v>
      </c>
      <c r="AM16" s="379"/>
      <c r="AN16" s="379">
        <f>SUM(AN10:AN15)</f>
        <v>475.22299999999996</v>
      </c>
      <c r="AO16" s="379"/>
      <c r="AP16" s="379">
        <f>SUM(AP10:AP15)</f>
        <v>330.56799999999998</v>
      </c>
      <c r="AQ16" s="379"/>
      <c r="AR16" s="379">
        <f>SUM(AR10:AR15)</f>
        <v>299.82100000000003</v>
      </c>
      <c r="AS16" s="379"/>
      <c r="AT16" s="379">
        <f>SUM(AT10:AT15)</f>
        <v>208.69299999999996</v>
      </c>
      <c r="AU16" s="379"/>
      <c r="AV16" s="379">
        <f>SUM(AV10:AV15)</f>
        <v>262.77100000000013</v>
      </c>
      <c r="AW16" s="379"/>
      <c r="AX16" s="379">
        <f>SUM(AX10:AX15)</f>
        <v>223.56088786187931</v>
      </c>
      <c r="AY16" s="379"/>
      <c r="AZ16" s="379">
        <f>SUM(AZ10:AZ15)</f>
        <v>225.98779433952254</v>
      </c>
      <c r="BA16" s="379"/>
      <c r="BB16" s="379">
        <f>SUM(BB10:BB15)</f>
        <v>214.58116230685263</v>
      </c>
      <c r="BC16" s="379"/>
      <c r="BD16" s="379">
        <f>SUM(BD10:BD15)</f>
        <v>203.18446437683193</v>
      </c>
      <c r="BE16" s="379"/>
      <c r="BF16" s="379">
        <f>SUM(BF10:BF15)</f>
        <v>202.65435565678675</v>
      </c>
      <c r="BG16" s="379"/>
    </row>
    <row r="17" spans="1:59" hidden="1" outlineLevel="1">
      <c r="D17" s="379"/>
      <c r="F17" s="379"/>
      <c r="G17" s="379"/>
      <c r="H17" s="379"/>
      <c r="I17" s="379"/>
      <c r="J17" s="379"/>
      <c r="K17" s="379"/>
      <c r="L17" s="1536"/>
      <c r="M17" s="379"/>
      <c r="N17" s="379"/>
      <c r="O17" s="379"/>
      <c r="P17" s="379"/>
      <c r="Q17" s="379"/>
      <c r="R17" s="379"/>
      <c r="S17" s="379"/>
      <c r="T17" s="1536"/>
      <c r="U17" s="1536"/>
      <c r="V17" s="1536"/>
      <c r="W17" s="379"/>
      <c r="X17" s="379"/>
      <c r="Y17" s="379"/>
      <c r="Z17" s="379"/>
      <c r="AA17" s="379"/>
      <c r="AB17" s="379"/>
      <c r="AC17" s="379"/>
      <c r="AD17" s="379"/>
      <c r="AE17" s="379"/>
      <c r="AF17" s="379"/>
      <c r="AG17" s="379"/>
      <c r="AH17" s="379"/>
      <c r="AI17" s="379"/>
      <c r="AJ17" s="379"/>
      <c r="AK17" s="379"/>
      <c r="AL17" s="1536"/>
      <c r="AM17" s="379"/>
      <c r="AN17" s="379"/>
      <c r="AO17" s="379"/>
      <c r="AP17" s="379"/>
      <c r="AQ17" s="379"/>
      <c r="AR17" s="379"/>
      <c r="AS17" s="379"/>
      <c r="AT17" s="379"/>
      <c r="AU17" s="379"/>
      <c r="AV17" s="379"/>
      <c r="AW17" s="379"/>
      <c r="AX17" s="379"/>
      <c r="AY17" s="379"/>
      <c r="AZ17" s="379"/>
      <c r="BA17" s="379"/>
      <c r="BB17" s="379"/>
      <c r="BC17" s="379"/>
      <c r="BD17" s="379"/>
      <c r="BE17" s="379"/>
      <c r="BF17" s="379"/>
      <c r="BG17" s="379"/>
    </row>
    <row r="18" spans="1:59" hidden="1" outlineLevel="1">
      <c r="AL18" s="114"/>
    </row>
    <row r="19" spans="1:59" hidden="1" outlineLevel="1">
      <c r="D19" s="96"/>
      <c r="E19" s="96"/>
      <c r="F19" s="1915"/>
      <c r="G19" s="1042"/>
      <c r="H19" s="1034"/>
      <c r="I19" s="77"/>
      <c r="J19" s="96"/>
      <c r="K19" s="96"/>
      <c r="L19" s="1042"/>
      <c r="M19" s="96"/>
      <c r="N19" s="77"/>
      <c r="O19" s="77"/>
      <c r="P19" s="77"/>
      <c r="Q19" s="96"/>
      <c r="R19" s="77" t="s">
        <v>212</v>
      </c>
      <c r="S19" s="96"/>
      <c r="T19" s="1042"/>
      <c r="U19" s="1042"/>
      <c r="V19" s="1042"/>
      <c r="W19" s="96"/>
      <c r="X19" s="1922"/>
      <c r="Y19" s="96"/>
      <c r="Z19" s="96"/>
      <c r="AA19" s="96"/>
      <c r="AB19" s="1922"/>
      <c r="AC19" s="96"/>
      <c r="AD19" s="96"/>
      <c r="AE19" s="96"/>
      <c r="AF19" s="96"/>
      <c r="AG19" s="96"/>
      <c r="AH19" s="96"/>
      <c r="AI19" s="96"/>
      <c r="AJ19" s="96"/>
      <c r="AK19" s="96"/>
      <c r="AL19" s="1042"/>
      <c r="AM19" s="96"/>
      <c r="AN19" s="96"/>
      <c r="AO19" s="96"/>
      <c r="AP19" s="96"/>
      <c r="AQ19" s="97"/>
      <c r="AR19" s="97"/>
      <c r="AS19" s="97"/>
      <c r="AT19" s="97"/>
      <c r="AU19" s="97"/>
      <c r="AV19" s="97"/>
      <c r="AW19" s="97"/>
      <c r="AX19" s="97"/>
      <c r="AY19" s="97"/>
      <c r="AZ19" s="97"/>
      <c r="BA19" s="97"/>
      <c r="BB19" s="97"/>
      <c r="BC19" s="97"/>
      <c r="BD19" s="97"/>
      <c r="BE19" s="97"/>
      <c r="BF19" s="97"/>
      <c r="BG19" s="97"/>
    </row>
    <row r="20" spans="1:59" ht="6" customHeight="1" collapsed="1">
      <c r="F20" s="114"/>
      <c r="G20" s="114"/>
      <c r="H20" s="114"/>
      <c r="L20" s="114"/>
      <c r="T20" s="114"/>
      <c r="U20" s="114"/>
      <c r="V20" s="114"/>
      <c r="AL20" s="114"/>
    </row>
    <row r="21" spans="1:59">
      <c r="A21" s="22" t="s">
        <v>213</v>
      </c>
      <c r="D21" s="1906">
        <v>24.526</v>
      </c>
      <c r="E21" s="1906"/>
      <c r="F21" s="1906">
        <v>24.323</v>
      </c>
      <c r="G21" s="1906"/>
      <c r="H21" s="1906">
        <v>29.486000000000001</v>
      </c>
      <c r="I21" s="1906"/>
      <c r="J21" s="1906">
        <v>37.482999999999997</v>
      </c>
      <c r="K21" s="1906"/>
      <c r="L21" s="1548">
        <v>73.376999999999995</v>
      </c>
      <c r="M21" s="1906"/>
      <c r="N21" s="1906">
        <v>153.48099999999999</v>
      </c>
      <c r="O21" s="1906"/>
      <c r="P21" s="1906">
        <v>126.515</v>
      </c>
      <c r="Q21" s="1906"/>
      <c r="R21" s="1906">
        <v>145.66200000000001</v>
      </c>
      <c r="S21" s="1906"/>
      <c r="T21" s="1548">
        <v>159.77699999999999</v>
      </c>
      <c r="U21" s="1548"/>
      <c r="V21" s="1548">
        <v>185.065</v>
      </c>
      <c r="W21" s="1906"/>
      <c r="X21" s="1548">
        <v>256.42200000000003</v>
      </c>
      <c r="Y21" s="1906"/>
      <c r="Z21" s="1906">
        <v>403.476</v>
      </c>
      <c r="AA21" s="1906"/>
      <c r="AB21" s="1548">
        <v>403.34500000000003</v>
      </c>
      <c r="AC21" s="1906"/>
      <c r="AD21" s="1906">
        <v>367.60199999999998</v>
      </c>
      <c r="AE21" s="1906"/>
      <c r="AF21" s="1548">
        <v>175.47200000000001</v>
      </c>
      <c r="AG21" s="1906"/>
      <c r="AH21" s="1906">
        <v>160.935</v>
      </c>
      <c r="AI21" s="1906"/>
      <c r="AJ21" s="1906">
        <v>318.59800000000001</v>
      </c>
      <c r="AK21" s="1906"/>
      <c r="AL21" s="1548">
        <v>339.86200000000002</v>
      </c>
      <c r="AM21" s="1906"/>
      <c r="AN21" s="1906">
        <v>163.92400000000001</v>
      </c>
      <c r="AO21" s="1906"/>
      <c r="AP21" s="1906">
        <v>174.624</v>
      </c>
      <c r="AQ21" s="1906"/>
      <c r="AR21" s="1906">
        <v>143.19900000000001</v>
      </c>
      <c r="AS21" s="1906"/>
      <c r="AT21" s="1906">
        <v>140.84399999999999</v>
      </c>
      <c r="AU21" s="1906"/>
      <c r="AV21" s="1906">
        <v>107</v>
      </c>
      <c r="AW21" s="1906"/>
      <c r="AX21" s="1906">
        <v>130</v>
      </c>
      <c r="AY21" s="1906"/>
      <c r="AZ21" s="1906">
        <v>100</v>
      </c>
      <c r="BA21" s="1906"/>
      <c r="BB21" s="1906">
        <v>100</v>
      </c>
      <c r="BC21" s="1906"/>
      <c r="BD21" s="1906">
        <v>100</v>
      </c>
      <c r="BE21" s="1906"/>
      <c r="BF21" s="1906">
        <v>100</v>
      </c>
      <c r="BG21" s="1906"/>
    </row>
    <row r="22" spans="1:59" ht="6" customHeight="1">
      <c r="F22" s="114"/>
      <c r="G22" s="114"/>
      <c r="H22" s="114"/>
      <c r="L22" s="114"/>
      <c r="T22" s="114"/>
      <c r="U22" s="114"/>
      <c r="V22" s="114"/>
      <c r="X22" s="114"/>
      <c r="AB22" s="114"/>
      <c r="AF22" s="114"/>
      <c r="AL22" s="114"/>
    </row>
    <row r="23" spans="1:59">
      <c r="A23" s="22" t="s">
        <v>214</v>
      </c>
      <c r="F23" s="114"/>
      <c r="G23" s="114"/>
      <c r="H23" s="114"/>
      <c r="L23" s="114"/>
      <c r="T23" s="114"/>
      <c r="U23" s="114"/>
      <c r="V23" s="114"/>
      <c r="X23" s="114"/>
      <c r="AB23" s="114"/>
      <c r="AF23" s="114"/>
      <c r="AL23" s="114"/>
      <c r="AN23" s="379"/>
      <c r="AP23" s="379"/>
      <c r="AR23" s="379"/>
      <c r="AT23" s="379"/>
    </row>
    <row r="24" spans="1:59">
      <c r="B24" s="22" t="s">
        <v>215</v>
      </c>
      <c r="D24" s="379">
        <f>+bal!G12-bal!E12</f>
        <v>13.837000000000003</v>
      </c>
      <c r="F24" s="1853">
        <v>4.5549999999999997</v>
      </c>
      <c r="G24" s="379"/>
      <c r="H24" s="379">
        <f>bal!K12-bal!I12</f>
        <v>-1.0159999999999982</v>
      </c>
      <c r="I24" s="379"/>
      <c r="J24" s="379">
        <f>bal!M12-bal!K12</f>
        <v>10.064999999999998</v>
      </c>
      <c r="K24" s="379"/>
      <c r="L24" s="1536">
        <f>bal!O12-bal!M12</f>
        <v>31.270000000000003</v>
      </c>
      <c r="M24" s="1916"/>
      <c r="N24" s="1588">
        <f>bal!Q12-bal!O12</f>
        <v>45.734999999999999</v>
      </c>
      <c r="O24" s="1916"/>
      <c r="P24" s="1588">
        <v>-11.734</v>
      </c>
      <c r="Q24" s="379"/>
      <c r="R24" s="1853">
        <v>34.43</v>
      </c>
      <c r="S24" s="379"/>
      <c r="T24" s="1544">
        <v>27.396999999999998</v>
      </c>
      <c r="U24" s="1536"/>
      <c r="V24" s="1544">
        <v>34.445</v>
      </c>
      <c r="W24" s="379"/>
      <c r="X24" s="1544">
        <v>146.31399999999999</v>
      </c>
      <c r="Y24" s="379"/>
      <c r="Z24" s="1544">
        <v>61.94</v>
      </c>
      <c r="AA24" s="379"/>
      <c r="AB24" s="1535">
        <v>-87.656999999999996</v>
      </c>
      <c r="AC24" s="379"/>
      <c r="AD24" s="1853">
        <v>40.521000000000001</v>
      </c>
      <c r="AE24" s="379"/>
      <c r="AF24" s="1535">
        <v>-62.72</v>
      </c>
      <c r="AG24" s="379"/>
      <c r="AH24" s="1853">
        <v>74.688999999999993</v>
      </c>
      <c r="AI24" s="379"/>
      <c r="AJ24" s="1853">
        <v>184.78399999999999</v>
      </c>
      <c r="AK24" s="379"/>
      <c r="AL24" s="1541">
        <v>-253.65</v>
      </c>
      <c r="AM24" s="379"/>
      <c r="AN24" s="1544">
        <v>103.304</v>
      </c>
      <c r="AO24" s="379"/>
      <c r="AP24" s="1544">
        <v>-62.853999999999999</v>
      </c>
      <c r="AQ24" s="1536"/>
      <c r="AR24" s="1536">
        <v>-21.253</v>
      </c>
      <c r="AS24" s="1536"/>
      <c r="AT24" s="1536">
        <v>-24.452000000000002</v>
      </c>
      <c r="AU24" s="1536"/>
      <c r="AV24" s="1536">
        <f>bal!AY12-bal!AW12</f>
        <v>24.597999999999956</v>
      </c>
      <c r="AW24" s="1536"/>
      <c r="AX24" s="1536">
        <f>bal!BA12-bal!AY12</f>
        <v>-2.8316418198729139</v>
      </c>
      <c r="AY24" s="1536"/>
      <c r="AZ24" s="1536">
        <f>bal!BC12-bal!BA12</f>
        <v>-0.81798840963426755</v>
      </c>
      <c r="BA24" s="1536"/>
      <c r="BB24" s="1536">
        <f>bal!BE12-bal!BC12</f>
        <v>-2.2475774340957742</v>
      </c>
      <c r="BC24" s="1536"/>
      <c r="BD24" s="1536">
        <f>bal!BG12-bal!BE12</f>
        <v>-3.0196629322416015</v>
      </c>
      <c r="BE24" s="1536"/>
      <c r="BF24" s="1536">
        <f>bal!BI12-bal!BG12</f>
        <v>-1.1587416302451743</v>
      </c>
      <c r="BG24" s="1536"/>
    </row>
    <row r="25" spans="1:59">
      <c r="A25" s="22" t="s">
        <v>216</v>
      </c>
      <c r="D25" s="1923"/>
      <c r="E25" s="1923"/>
      <c r="F25" s="1132"/>
      <c r="G25" s="114"/>
      <c r="H25" s="1923"/>
      <c r="I25" s="114"/>
      <c r="J25" s="1923"/>
      <c r="K25" s="1923"/>
      <c r="L25" s="1924"/>
      <c r="M25" s="1923"/>
      <c r="N25" s="1923"/>
      <c r="O25" s="1923"/>
      <c r="P25" s="1924"/>
      <c r="Q25" s="1923"/>
      <c r="R25" s="1924"/>
      <c r="S25" s="1923"/>
      <c r="T25" s="1924"/>
      <c r="U25" s="1923"/>
      <c r="V25" s="1924"/>
      <c r="W25" s="1923"/>
      <c r="X25" s="1924"/>
      <c r="Y25" s="1923"/>
      <c r="Z25" s="1924"/>
      <c r="AA25" s="1923"/>
      <c r="AB25" s="1924"/>
      <c r="AC25" s="1923"/>
      <c r="AD25" s="1924"/>
      <c r="AE25" s="1923"/>
      <c r="AF25" s="1924"/>
      <c r="AG25" s="1923"/>
      <c r="AH25" s="1924"/>
      <c r="AI25" s="1923"/>
      <c r="AJ25" s="1924"/>
      <c r="AK25" s="1923"/>
      <c r="AL25" s="1924"/>
      <c r="AM25" s="1923"/>
      <c r="AN25" s="1924"/>
      <c r="AO25" s="1923"/>
      <c r="AP25" s="1924"/>
      <c r="AQ25" s="1924"/>
      <c r="AR25" s="1924"/>
      <c r="AS25" s="1924"/>
      <c r="AT25" s="1924"/>
      <c r="AU25" s="1924"/>
      <c r="AV25" s="1924"/>
      <c r="AW25" s="1924"/>
      <c r="AX25" s="1924"/>
      <c r="AY25" s="1924"/>
      <c r="AZ25" s="1924"/>
      <c r="BA25" s="1924"/>
      <c r="BB25" s="1924"/>
      <c r="BC25" s="1924"/>
      <c r="BD25" s="1924"/>
      <c r="BE25" s="1924"/>
      <c r="BF25" s="1924"/>
      <c r="BG25" s="1924"/>
    </row>
    <row r="26" spans="1:59">
      <c r="B26" s="22" t="s">
        <v>587</v>
      </c>
      <c r="D26" s="1906">
        <f>+(bal!E33-bal!G33)+(bal!E34-bal!G34)</f>
        <v>-4.0690000000000008</v>
      </c>
      <c r="E26" s="1500"/>
      <c r="F26" s="119">
        <v>-9.9429999999999996</v>
      </c>
      <c r="G26" s="1906"/>
      <c r="H26" s="119">
        <v>-22.309000000000001</v>
      </c>
      <c r="I26" s="1906"/>
      <c r="J26" s="119">
        <v>-33.137</v>
      </c>
      <c r="K26" s="1906"/>
      <c r="L26" s="1699">
        <v>-4.9989999999999997</v>
      </c>
      <c r="M26" s="119"/>
      <c r="N26" s="119">
        <v>-21.626000000000001</v>
      </c>
      <c r="O26" s="119"/>
      <c r="P26" s="119">
        <v>-5.6589999999999998</v>
      </c>
      <c r="Q26" s="1906"/>
      <c r="R26" s="119">
        <v>-43.301000000000002</v>
      </c>
      <c r="S26" s="1906"/>
      <c r="T26" s="1699">
        <v>-15.551</v>
      </c>
      <c r="U26" s="1548"/>
      <c r="V26" s="1699">
        <v>-99.388000000000005</v>
      </c>
      <c r="W26" s="119"/>
      <c r="X26" s="119">
        <v>2.9119999999999999</v>
      </c>
      <c r="Y26" s="1906"/>
      <c r="Z26" s="119">
        <v>-24.579000000000001</v>
      </c>
      <c r="AA26" s="1906"/>
      <c r="AB26" s="1699">
        <v>-22.375</v>
      </c>
      <c r="AC26" s="1906"/>
      <c r="AD26" s="1699">
        <v>23.875</v>
      </c>
      <c r="AE26" s="1906"/>
      <c r="AF26" s="1699">
        <v>-39.393999999999998</v>
      </c>
      <c r="AG26" s="1906"/>
      <c r="AH26" s="1699">
        <v>-29.364999999999998</v>
      </c>
      <c r="AI26" s="1906"/>
      <c r="AJ26" s="1699">
        <v>-130.18</v>
      </c>
      <c r="AK26" s="1906"/>
      <c r="AL26" s="1699">
        <v>34.692</v>
      </c>
      <c r="AM26" s="1906"/>
      <c r="AN26" s="1699">
        <v>73.748999999999995</v>
      </c>
      <c r="AO26" s="1906"/>
      <c r="AP26" s="1699">
        <v>37.393999999999998</v>
      </c>
      <c r="AQ26" s="1705"/>
      <c r="AR26" s="1699">
        <v>-51.05</v>
      </c>
      <c r="AS26" s="1705"/>
      <c r="AT26" s="1699">
        <v>32.646999999999998</v>
      </c>
      <c r="AU26" s="1705"/>
      <c r="AV26" s="1705">
        <f>+(bal!AW33-bal!AY33)+(bal!AW34-bal!AY34)</f>
        <v>-17.408000000000015</v>
      </c>
      <c r="AW26" s="1705"/>
      <c r="AX26" s="1705">
        <f>+(bal!AY33-bal!BA33)+(bal!AY34-bal!BA34)</f>
        <v>8.3453960526346123</v>
      </c>
      <c r="AY26" s="1705"/>
      <c r="AZ26" s="1705">
        <f>+(bal!BA33-bal!BC33)+(bal!BA34-bal!BC34)</f>
        <v>-0.14438036510901497</v>
      </c>
      <c r="BA26" s="1705"/>
      <c r="BB26" s="1705">
        <f>+(bal!BC33-bal!BE33)+(bal!BC34-bal!BE34)</f>
        <v>2.3669109567924806</v>
      </c>
      <c r="BC26" s="1705"/>
      <c r="BD26" s="1705">
        <f>+(bal!BE33-bal!BG33)+(bal!BE34-bal!BG34)</f>
        <v>3.1837696295824855</v>
      </c>
      <c r="BE26" s="1705"/>
      <c r="BF26" s="1705">
        <f>+(bal!BG33-bal!BI33)+(bal!BG34-bal!BI34)</f>
        <v>1.847221661682056</v>
      </c>
      <c r="BG26" s="1705"/>
    </row>
    <row r="27" spans="1:59">
      <c r="B27" s="22" t="s">
        <v>610</v>
      </c>
      <c r="D27" s="119">
        <v>2.5249999999999999</v>
      </c>
      <c r="E27" s="1500"/>
      <c r="F27" s="119">
        <v>-4.218</v>
      </c>
      <c r="G27" s="1906"/>
      <c r="H27" s="119">
        <v>-4.6059999999999999</v>
      </c>
      <c r="I27" s="1906"/>
      <c r="J27" s="119">
        <v>-11.087</v>
      </c>
      <c r="K27" s="1906"/>
      <c r="L27" s="1699">
        <v>-9.2579999999999991</v>
      </c>
      <c r="M27" s="119"/>
      <c r="N27" s="119">
        <v>8.42</v>
      </c>
      <c r="O27" s="119"/>
      <c r="P27" s="119">
        <v>-17.635999999999999</v>
      </c>
      <c r="Q27" s="1906"/>
      <c r="R27" s="119">
        <v>-17.021999999999998</v>
      </c>
      <c r="S27" s="1906"/>
      <c r="T27" s="1699">
        <v>-0.95399999999999996</v>
      </c>
      <c r="U27" s="1548"/>
      <c r="V27" s="1699">
        <v>-1.659</v>
      </c>
      <c r="W27" s="1699"/>
      <c r="X27" s="1699">
        <v>-43.893000000000001</v>
      </c>
      <c r="Y27" s="1906"/>
      <c r="Z27" s="1699">
        <v>12.805</v>
      </c>
      <c r="AA27" s="1906"/>
      <c r="AB27" s="1699">
        <v>13.922000000000001</v>
      </c>
      <c r="AC27" s="1906"/>
      <c r="AD27" s="1699">
        <v>55.564999999999998</v>
      </c>
      <c r="AE27" s="1906"/>
      <c r="AF27" s="1699">
        <v>7.3860000000000001</v>
      </c>
      <c r="AG27" s="1906"/>
      <c r="AH27" s="1699">
        <v>-63.807000000000002</v>
      </c>
      <c r="AI27" s="1906"/>
      <c r="AJ27" s="1699">
        <v>-4.7539999999999996</v>
      </c>
      <c r="AK27" s="1906"/>
      <c r="AL27" s="1699">
        <v>-37.628</v>
      </c>
      <c r="AM27" s="1906"/>
      <c r="AN27" s="1699">
        <v>55.456000000000003</v>
      </c>
      <c r="AO27" s="1906"/>
      <c r="AP27" s="1699">
        <v>34.658999999999999</v>
      </c>
      <c r="AQ27" s="1705"/>
      <c r="AR27" s="1699">
        <v>45.027000000000001</v>
      </c>
      <c r="AS27" s="1705"/>
      <c r="AT27" s="1699">
        <v>8.5280000000000005</v>
      </c>
      <c r="AU27" s="1705"/>
      <c r="AV27" s="1705">
        <f>bal!AW38-bal!AY38</f>
        <v>-4.4630000000000001</v>
      </c>
      <c r="AW27" s="1705"/>
      <c r="AX27" s="1705">
        <f>bal!AY38-bal!BA38</f>
        <v>0.92192934077311506</v>
      </c>
      <c r="AY27" s="1705"/>
      <c r="AZ27" s="1705">
        <f>bal!BA38-bal!BC38</f>
        <v>-3.2446555814719176</v>
      </c>
      <c r="BA27" s="1705"/>
      <c r="BB27" s="1705">
        <f>bal!BC38-bal!BE38</f>
        <v>1.5429971456340095</v>
      </c>
      <c r="BC27" s="1705"/>
      <c r="BD27" s="1705">
        <f>bal!BE38-bal!BG38</f>
        <v>1.4415081306708544</v>
      </c>
      <c r="BE27" s="1705"/>
      <c r="BF27" s="1705">
        <f>bal!BG38-bal!BI38</f>
        <v>3.8093314298384584E-2</v>
      </c>
      <c r="BG27" s="1705"/>
    </row>
    <row r="28" spans="1:59">
      <c r="B28" s="22" t="s">
        <v>611</v>
      </c>
      <c r="D28" s="119">
        <f>-1.59-0.015</f>
        <v>-1.605</v>
      </c>
      <c r="E28" s="1500"/>
      <c r="F28" s="119">
        <f>-1.515+0.718</f>
        <v>-0.79699999999999993</v>
      </c>
      <c r="G28" s="1500"/>
      <c r="H28" s="119">
        <v>-1.381</v>
      </c>
      <c r="I28" s="1500"/>
      <c r="J28" s="119">
        <v>-0.35499999999999998</v>
      </c>
      <c r="K28" s="1500"/>
      <c r="L28" s="1699">
        <v>12.773</v>
      </c>
      <c r="M28" s="119"/>
      <c r="N28" s="119">
        <v>9.4860000000000007</v>
      </c>
      <c r="O28" s="119"/>
      <c r="P28" s="119">
        <v>11.741</v>
      </c>
      <c r="Q28" s="1500"/>
      <c r="R28" s="119">
        <v>7.0289999999999999</v>
      </c>
      <c r="S28" s="1500"/>
      <c r="T28" s="1699">
        <f>-9.505+6.355</f>
        <v>-3.1500000000000004</v>
      </c>
      <c r="U28" s="1537"/>
      <c r="V28" s="1699">
        <f>-17.308+31.705</f>
        <v>14.396999999999998</v>
      </c>
      <c r="W28" s="119"/>
      <c r="X28" s="119">
        <f>-52.709-3.307</f>
        <v>-56.016000000000005</v>
      </c>
      <c r="Y28" s="1500"/>
      <c r="Z28" s="119">
        <v>-16.963000000000001</v>
      </c>
      <c r="AA28" s="1500"/>
      <c r="AB28" s="1699">
        <v>-10.603999999999999</v>
      </c>
      <c r="AC28" s="1500"/>
      <c r="AD28" s="1699">
        <v>4.2889999999999997</v>
      </c>
      <c r="AE28" s="1500"/>
      <c r="AF28" s="1699">
        <v>72.054000000000002</v>
      </c>
      <c r="AG28" s="1500"/>
      <c r="AH28" s="1699">
        <v>62.456000000000003</v>
      </c>
      <c r="AI28" s="1500"/>
      <c r="AJ28" s="1699">
        <f>45.635+24.741</f>
        <v>70.376000000000005</v>
      </c>
      <c r="AK28" s="1500"/>
      <c r="AL28" s="1699">
        <f>56.785+9.339</f>
        <v>66.123999999999995</v>
      </c>
      <c r="AM28" s="1500"/>
      <c r="AN28" s="1699">
        <f>44.138+14.449+9.937+7</f>
        <v>75.524000000000001</v>
      </c>
      <c r="AO28" s="1500"/>
      <c r="AP28" s="1699">
        <f>6.888+15.777+0.45-6.525-5.617</f>
        <v>10.972999999999995</v>
      </c>
      <c r="AQ28" s="1705"/>
      <c r="AR28" s="1699">
        <f>7.967-25.123+9.523-0.146</f>
        <v>-7.7790000000000026</v>
      </c>
      <c r="AS28" s="1705"/>
      <c r="AT28" s="1699">
        <f>7.927+32.291-26.649-10.288</f>
        <v>3.2809999999999953</v>
      </c>
      <c r="AU28" s="1705"/>
      <c r="AV28" s="1705">
        <f>+(bal!AY11-bal!AW11)+(bal!AY13-bal!AW13)+(bal!AY25-bal!AW25)+(bal!AY27-bal!AW27)+(bal!AW43-bal!AY43)+(bal!AW45-bal!AY45)</f>
        <v>-54.155999999999992</v>
      </c>
      <c r="AW28" s="1705"/>
      <c r="AX28" s="1705">
        <f>+(bal!BA11-bal!AY11)+(bal!BA13-bal!AY13)+(bal!BA25-bal!AY25)+(bal!BA27-bal!AY27)+(bal!AY43-bal!BA43)+(bal!AY45-bal!BA45)</f>
        <v>18.744179622789133</v>
      </c>
      <c r="AY28" s="1705"/>
      <c r="AZ28" s="1705">
        <f>+(bal!BC11-bal!BA11)+(bal!BC13-bal!BA13)+(bal!BC25-bal!BA25)+(bal!BC27-bal!BA27)+(bal!BA43-bal!BC43)+(bal!BA45-bal!BC45)</f>
        <v>-0.19106549517948679</v>
      </c>
      <c r="BA28" s="1705"/>
      <c r="BB28" s="1705">
        <f>+(bal!BE11-bal!BC11)+(bal!BE13-bal!BC13)+(bal!BE25-bal!BC25)+(bal!BE27-bal!BC27)+(bal!BC43-bal!BE43)+(bal!BC45-bal!BE45)</f>
        <v>-0.52498848436223966</v>
      </c>
      <c r="BC28" s="1705"/>
      <c r="BD28" s="1705">
        <f>+(bal!BG11-bal!BE11)+(bal!BG13-bal!BE13)+(bal!BG25-bal!BE25)+(bal!BG27-bal!BE27)+(bal!BE43-bal!BG43)+(bal!BE45-bal!BG45)</f>
        <v>-0.70533199080641396</v>
      </c>
      <c r="BE28" s="1705"/>
      <c r="BF28" s="1705">
        <f>+(bal!BI11-bal!BG11)+(bal!BI13-bal!BG13)+(bal!BI25-bal!BG25)+(bal!BI27-bal!BG27)+(bal!BG43-bal!BI43)+(bal!BG45-bal!BI45)</f>
        <v>-0.27065853349544966</v>
      </c>
      <c r="BG28" s="1705"/>
    </row>
    <row r="29" spans="1:59" ht="6" customHeight="1">
      <c r="L29" s="114"/>
      <c r="X29" s="114"/>
      <c r="AB29" s="114"/>
      <c r="AF29" s="114"/>
      <c r="AL29" s="114"/>
    </row>
    <row r="30" spans="1:59">
      <c r="A30" s="22" t="s">
        <v>43</v>
      </c>
      <c r="D30" s="379">
        <f>SUM(D24:D28)</f>
        <v>10.688000000000002</v>
      </c>
      <c r="F30" s="379">
        <f>SUM(F24:F28)</f>
        <v>-10.403</v>
      </c>
      <c r="G30" s="379"/>
      <c r="H30" s="379">
        <f>SUM(H24:H28)</f>
        <v>-29.311999999999998</v>
      </c>
      <c r="I30" s="379"/>
      <c r="J30" s="379">
        <f>SUM(J24:J28)</f>
        <v>-34.514000000000003</v>
      </c>
      <c r="K30" s="379"/>
      <c r="L30" s="1536">
        <f>SUM(L24:L28)</f>
        <v>29.786000000000005</v>
      </c>
      <c r="M30" s="379"/>
      <c r="N30" s="379">
        <f>SUM(N24:N28)</f>
        <v>42.015000000000001</v>
      </c>
      <c r="O30" s="379"/>
      <c r="P30" s="379">
        <f>SUM(P24:P28)</f>
        <v>-23.287999999999997</v>
      </c>
      <c r="Q30" s="379"/>
      <c r="R30" s="379">
        <f>SUM(R24:R28)</f>
        <v>-18.864000000000001</v>
      </c>
      <c r="S30" s="379"/>
      <c r="T30" s="379">
        <f>SUM(T24:T28)</f>
        <v>7.7419999999999973</v>
      </c>
      <c r="U30" s="379"/>
      <c r="V30" s="1535">
        <f>SUM(V24:V28)</f>
        <v>-52.20500000000002</v>
      </c>
      <c r="W30" s="379"/>
      <c r="X30" s="1536">
        <f>SUM(X24:X28)</f>
        <v>49.316999999999993</v>
      </c>
      <c r="Y30" s="379"/>
      <c r="Z30" s="379">
        <f>SUM(Z24:Z28)</f>
        <v>33.202999999999996</v>
      </c>
      <c r="AA30" s="379"/>
      <c r="AB30" s="1535">
        <f>SUM(AB24:AB28)</f>
        <v>-106.714</v>
      </c>
      <c r="AC30" s="379"/>
      <c r="AD30" s="379">
        <f>SUM(AD24:AD28)</f>
        <v>124.25</v>
      </c>
      <c r="AE30" s="379"/>
      <c r="AF30" s="1535">
        <f>SUM(AF24:AF28)</f>
        <v>-22.674000000000007</v>
      </c>
      <c r="AG30" s="379"/>
      <c r="AH30" s="379">
        <f>SUM(AH24:AH28)</f>
        <v>43.972999999999999</v>
      </c>
      <c r="AI30" s="379"/>
      <c r="AJ30" s="379">
        <f>SUM(AJ24:AJ28)</f>
        <v>120.226</v>
      </c>
      <c r="AK30" s="379"/>
      <c r="AL30" s="1535">
        <f>SUM(AL24:AL28)</f>
        <v>-190.46200000000002</v>
      </c>
      <c r="AM30" s="379"/>
      <c r="AN30" s="379">
        <f>SUM(AN24:AN28)</f>
        <v>308.03300000000002</v>
      </c>
      <c r="AO30" s="379"/>
      <c r="AP30" s="379">
        <f>SUM(AP24:AP28)</f>
        <v>20.171999999999993</v>
      </c>
      <c r="AQ30" s="379"/>
      <c r="AR30" s="379">
        <f>SUM(AR24:AR28)</f>
        <v>-35.055</v>
      </c>
      <c r="AS30" s="379"/>
      <c r="AT30" s="379">
        <f>SUM(AT24:AT28)</f>
        <v>20.003999999999994</v>
      </c>
      <c r="AU30" s="379"/>
      <c r="AV30" s="379">
        <f>SUM(AV24:AV28)</f>
        <v>-51.429000000000052</v>
      </c>
      <c r="AW30" s="379"/>
      <c r="AX30" s="379">
        <f>SUM(AX24:AX28)</f>
        <v>25.179863196323947</v>
      </c>
      <c r="AY30" s="379"/>
      <c r="AZ30" s="379">
        <f>SUM(AZ24:AZ28)</f>
        <v>-4.3980898513946869</v>
      </c>
      <c r="BA30" s="379"/>
      <c r="BB30" s="379">
        <f>SUM(BB24:BB28)</f>
        <v>1.1373421839684763</v>
      </c>
      <c r="BC30" s="379"/>
      <c r="BD30" s="379">
        <f>SUM(BD24:BD28)</f>
        <v>0.90028283720532443</v>
      </c>
      <c r="BE30" s="379"/>
      <c r="BF30" s="379">
        <f>SUM(BF24:BF28)</f>
        <v>0.45591481223981667</v>
      </c>
      <c r="BG30" s="379"/>
    </row>
    <row r="31" spans="1:59" ht="6" customHeight="1">
      <c r="L31" s="114"/>
      <c r="X31" s="114"/>
      <c r="AB31" s="114"/>
      <c r="AL31" s="114"/>
    </row>
    <row r="32" spans="1:59">
      <c r="A32" s="22" t="s">
        <v>241</v>
      </c>
      <c r="D32" s="379">
        <f>D30+D21</f>
        <v>35.213999999999999</v>
      </c>
      <c r="F32" s="379">
        <f>F30+F21</f>
        <v>13.92</v>
      </c>
      <c r="G32" s="379"/>
      <c r="H32" s="379">
        <f>H30+H21</f>
        <v>0.17400000000000304</v>
      </c>
      <c r="I32" s="379"/>
      <c r="J32" s="379">
        <f>J30+J21</f>
        <v>2.9689999999999941</v>
      </c>
      <c r="K32" s="379"/>
      <c r="L32" s="1536">
        <f>L30+L21</f>
        <v>103.163</v>
      </c>
      <c r="M32" s="379"/>
      <c r="N32" s="379">
        <f>N30+N21</f>
        <v>195.49599999999998</v>
      </c>
      <c r="O32" s="379"/>
      <c r="P32" s="379">
        <f>P30+P21</f>
        <v>103.227</v>
      </c>
      <c r="Q32" s="379"/>
      <c r="R32" s="379">
        <f>R30+R21</f>
        <v>126.798</v>
      </c>
      <c r="S32" s="379"/>
      <c r="T32" s="379">
        <f>T30+T21</f>
        <v>167.51899999999998</v>
      </c>
      <c r="U32" s="379"/>
      <c r="V32" s="379">
        <f>V30+V21</f>
        <v>132.85999999999999</v>
      </c>
      <c r="W32" s="379"/>
      <c r="X32" s="1536">
        <f>X30+X21</f>
        <v>305.73900000000003</v>
      </c>
      <c r="Y32" s="379"/>
      <c r="Z32" s="379">
        <f>Z30+Z21</f>
        <v>436.67899999999997</v>
      </c>
      <c r="AA32" s="379"/>
      <c r="AB32" s="1536">
        <f>AB30+AB21</f>
        <v>296.63100000000003</v>
      </c>
      <c r="AC32" s="379"/>
      <c r="AD32" s="379">
        <f>AD30+AD21</f>
        <v>491.85199999999998</v>
      </c>
      <c r="AE32" s="379"/>
      <c r="AF32" s="379">
        <f>AF30+AF21</f>
        <v>152.798</v>
      </c>
      <c r="AG32" s="379"/>
      <c r="AH32" s="379">
        <f>AH30+AH21</f>
        <v>204.90800000000002</v>
      </c>
      <c r="AI32" s="379"/>
      <c r="AJ32" s="379">
        <f>AJ30+AJ21</f>
        <v>438.82400000000001</v>
      </c>
      <c r="AK32" s="379"/>
      <c r="AL32" s="1536">
        <f>AL30+AL21</f>
        <v>149.4</v>
      </c>
      <c r="AM32" s="379"/>
      <c r="AN32" s="379">
        <f>AN30+AN21</f>
        <v>471.95699999999999</v>
      </c>
      <c r="AO32" s="379"/>
      <c r="AP32" s="379">
        <f>AP30+AP21</f>
        <v>194.79599999999999</v>
      </c>
      <c r="AQ32" s="379"/>
      <c r="AR32" s="379">
        <f>AR30+AR21</f>
        <v>108.14400000000001</v>
      </c>
      <c r="AS32" s="379"/>
      <c r="AT32" s="379">
        <f>AT30+AT21</f>
        <v>160.84799999999998</v>
      </c>
      <c r="AU32" s="379"/>
      <c r="AV32" s="379">
        <f>AV30+AV21</f>
        <v>55.570999999999948</v>
      </c>
      <c r="AW32" s="379"/>
      <c r="AX32" s="379">
        <f>AX30+AX21</f>
        <v>155.17986319632394</v>
      </c>
      <c r="AY32" s="379"/>
      <c r="AZ32" s="379">
        <f>AZ30+AZ21</f>
        <v>95.601910148605313</v>
      </c>
      <c r="BA32" s="379"/>
      <c r="BB32" s="379">
        <f>BB30+BB21</f>
        <v>101.13734218396847</v>
      </c>
      <c r="BC32" s="379"/>
      <c r="BD32" s="379">
        <f>BD30+BD21</f>
        <v>100.90028283720532</v>
      </c>
      <c r="BE32" s="379"/>
      <c r="BF32" s="379">
        <f>BF30+BF21</f>
        <v>100.45591481223981</v>
      </c>
      <c r="BG32" s="379"/>
    </row>
    <row r="33" spans="1:66">
      <c r="L33" s="114"/>
      <c r="X33" s="114"/>
      <c r="AB33" s="114"/>
      <c r="AL33" s="114"/>
    </row>
    <row r="34" spans="1:66">
      <c r="A34" s="1396" t="s">
        <v>217</v>
      </c>
      <c r="B34" s="1925"/>
      <c r="C34" s="1925"/>
      <c r="D34" s="1858">
        <f>D16-D32</f>
        <v>-11.811999999999998</v>
      </c>
      <c r="E34" s="1925"/>
      <c r="F34" s="1858">
        <f>F16-F32</f>
        <v>22.513000000000005</v>
      </c>
      <c r="G34" s="1858"/>
      <c r="H34" s="1858">
        <f>H16-H32</f>
        <v>70.709000000000003</v>
      </c>
      <c r="I34" s="1858"/>
      <c r="J34" s="1858">
        <f>J16-J32</f>
        <v>131.536</v>
      </c>
      <c r="K34" s="1858"/>
      <c r="L34" s="1859">
        <f>L16-L32</f>
        <v>79.374000000000038</v>
      </c>
      <c r="M34" s="1858"/>
      <c r="N34" s="1858">
        <f>N16-N32</f>
        <v>-2.2919999999999732</v>
      </c>
      <c r="O34" s="1858"/>
      <c r="P34" s="1858">
        <f>P16-P32</f>
        <v>106.68700000000001</v>
      </c>
      <c r="Q34" s="1858"/>
      <c r="R34" s="1858">
        <f>R16-R32</f>
        <v>200.1699999999999</v>
      </c>
      <c r="S34" s="1858"/>
      <c r="T34" s="1858">
        <f>T16-T32</f>
        <v>181.03699999999995</v>
      </c>
      <c r="U34" s="1858"/>
      <c r="V34" s="1858">
        <f>V16-V32</f>
        <v>238.71900000000025</v>
      </c>
      <c r="W34" s="1858"/>
      <c r="X34" s="1859">
        <f>X16-X32</f>
        <v>197.16799999999989</v>
      </c>
      <c r="Y34" s="1858"/>
      <c r="Z34" s="1858">
        <f>Z16-Z32</f>
        <v>178.69499999999994</v>
      </c>
      <c r="AA34" s="1858"/>
      <c r="AB34" s="1859">
        <f>AB16-AB32</f>
        <v>414.17899999999969</v>
      </c>
      <c r="AC34" s="1858"/>
      <c r="AD34" s="1858">
        <f>AD16-AD32</f>
        <v>123.23399999999992</v>
      </c>
      <c r="AE34" s="1858"/>
      <c r="AF34" s="1858">
        <f>AF16-AF32</f>
        <v>220.01500000000004</v>
      </c>
      <c r="AG34" s="1858"/>
      <c r="AH34" s="1858">
        <f>AH16-AH32</f>
        <v>230.85400000000004</v>
      </c>
      <c r="AI34" s="1858"/>
      <c r="AJ34" s="1858">
        <f>AJ16-AJ32</f>
        <v>37.358000000000231</v>
      </c>
      <c r="AK34" s="1858"/>
      <c r="AL34" s="1859">
        <f>AL16-AL32</f>
        <v>319.97599999999989</v>
      </c>
      <c r="AM34" s="1858"/>
      <c r="AN34" s="1858">
        <f>AN16-AN32</f>
        <v>3.2659999999999627</v>
      </c>
      <c r="AO34" s="1858"/>
      <c r="AP34" s="1858">
        <f>AP16-AP32</f>
        <v>135.77199999999999</v>
      </c>
      <c r="AQ34" s="1858"/>
      <c r="AR34" s="1858">
        <f>AR16-AR32</f>
        <v>191.67700000000002</v>
      </c>
      <c r="AS34" s="1858"/>
      <c r="AT34" s="1858">
        <f>AT16-AT32</f>
        <v>47.84499999999997</v>
      </c>
      <c r="AU34" s="1858"/>
      <c r="AV34" s="1858">
        <f>AV16-AV32</f>
        <v>207.20000000000019</v>
      </c>
      <c r="AW34" s="1858"/>
      <c r="AX34" s="1858">
        <f>AX16-AX32</f>
        <v>68.381024665555373</v>
      </c>
      <c r="AY34" s="1858"/>
      <c r="AZ34" s="1858">
        <f>AZ16-AZ32</f>
        <v>130.38588419091724</v>
      </c>
      <c r="BA34" s="1858"/>
      <c r="BB34" s="1858">
        <f>BB16-BB32</f>
        <v>113.44382012288416</v>
      </c>
      <c r="BC34" s="1858"/>
      <c r="BD34" s="1858">
        <f>BD16-BD32</f>
        <v>102.2841815396266</v>
      </c>
      <c r="BE34" s="1858"/>
      <c r="BF34" s="1858">
        <f>BF16-BF32</f>
        <v>102.19844084454694</v>
      </c>
      <c r="BG34" s="376"/>
    </row>
    <row r="35" spans="1:66" hidden="1" outlineLevel="1">
      <c r="L35" s="114"/>
      <c r="X35" s="1536"/>
      <c r="Z35" s="1536"/>
      <c r="AB35" s="1536"/>
      <c r="AD35" s="1536"/>
      <c r="AF35" s="1536"/>
      <c r="AH35" s="1536"/>
      <c r="AJ35" s="1536"/>
      <c r="AL35" s="1536"/>
      <c r="AN35" s="1536"/>
      <c r="AP35" s="1536"/>
      <c r="AQ35" s="1536"/>
      <c r="AR35" s="1536"/>
      <c r="AS35" s="1536"/>
      <c r="AT35" s="1536"/>
      <c r="AU35" s="1536"/>
      <c r="AV35" s="1536"/>
      <c r="AW35" s="1536"/>
      <c r="AX35" s="1536"/>
      <c r="AY35" s="1536"/>
      <c r="AZ35" s="1536"/>
      <c r="BA35" s="1536"/>
      <c r="BB35" s="1536"/>
      <c r="BC35" s="1536"/>
      <c r="BD35" s="1536"/>
      <c r="BE35" s="1536"/>
      <c r="BF35" s="1536"/>
      <c r="BG35" s="1536"/>
    </row>
    <row r="36" spans="1:66" hidden="1" outlineLevel="1">
      <c r="D36" s="1926"/>
      <c r="E36" s="1926"/>
      <c r="F36" s="1927"/>
      <c r="G36" s="1926"/>
      <c r="H36" s="77"/>
      <c r="I36" s="77"/>
      <c r="J36" s="1926"/>
      <c r="K36" s="1926"/>
      <c r="L36" s="1928"/>
      <c r="M36" s="1926"/>
      <c r="N36" s="77"/>
      <c r="O36" s="77"/>
      <c r="P36" s="77"/>
      <c r="Q36" s="1926"/>
      <c r="R36" s="77" t="s">
        <v>242</v>
      </c>
      <c r="S36" s="1926"/>
      <c r="T36" s="1926"/>
      <c r="U36" s="1926"/>
      <c r="V36" s="1926"/>
      <c r="W36" s="1926"/>
      <c r="X36" s="1928"/>
      <c r="Y36" s="1926"/>
      <c r="Z36" s="1926"/>
      <c r="AA36" s="1926"/>
      <c r="AB36" s="1928"/>
      <c r="AC36" s="1926"/>
      <c r="AD36" s="1926"/>
      <c r="AE36" s="1926"/>
      <c r="AF36" s="1926"/>
      <c r="AG36" s="1926"/>
      <c r="AH36" s="1926"/>
      <c r="AI36" s="1926"/>
      <c r="AJ36" s="1926"/>
      <c r="AK36" s="1926"/>
      <c r="AL36" s="1928"/>
      <c r="AM36" s="1926"/>
      <c r="AN36" s="1926"/>
      <c r="AO36" s="1926"/>
      <c r="AP36" s="1926"/>
      <c r="AQ36" s="1679"/>
      <c r="AR36" s="1679"/>
      <c r="AS36" s="1679"/>
      <c r="AT36" s="1679"/>
      <c r="AU36" s="1679"/>
      <c r="AV36" s="1679"/>
      <c r="AW36" s="1679"/>
      <c r="AX36" s="1679"/>
      <c r="AY36" s="1679"/>
      <c r="AZ36" s="1679"/>
      <c r="BA36" s="1679"/>
      <c r="BB36" s="1679"/>
      <c r="BC36" s="1679"/>
      <c r="BD36" s="1679"/>
      <c r="BE36" s="1679"/>
      <c r="BF36" s="1679"/>
      <c r="BG36" s="1679"/>
    </row>
    <row r="37" spans="1:66" ht="6" customHeight="1" collapsed="1">
      <c r="L37" s="114"/>
      <c r="X37" s="114"/>
      <c r="AB37" s="114"/>
      <c r="AD37" s="1824"/>
      <c r="AL37" s="114"/>
    </row>
    <row r="38" spans="1:66" ht="12.75" hidden="1" customHeight="1" outlineLevel="1">
      <c r="A38" s="22" t="s">
        <v>619</v>
      </c>
      <c r="D38" s="119">
        <v>11.944000000000001</v>
      </c>
      <c r="F38" s="119">
        <v>18.988</v>
      </c>
      <c r="H38" s="119">
        <v>-29.202000000000002</v>
      </c>
      <c r="J38" s="119">
        <v>0</v>
      </c>
      <c r="L38" s="1699">
        <v>0</v>
      </c>
      <c r="N38" s="119">
        <v>0</v>
      </c>
      <c r="P38" s="119">
        <v>0</v>
      </c>
      <c r="R38" s="119">
        <v>0</v>
      </c>
      <c r="T38" s="1699">
        <v>0</v>
      </c>
      <c r="V38" s="119">
        <v>0</v>
      </c>
      <c r="X38" s="1699">
        <v>0</v>
      </c>
      <c r="Z38" s="119">
        <v>0</v>
      </c>
      <c r="AB38" s="1699">
        <v>0</v>
      </c>
      <c r="AD38" s="119">
        <v>0</v>
      </c>
      <c r="AF38" s="119">
        <v>0</v>
      </c>
      <c r="AH38" s="119">
        <v>0</v>
      </c>
      <c r="AJ38" s="119">
        <v>0</v>
      </c>
      <c r="AL38" s="1699">
        <v>0</v>
      </c>
      <c r="AN38" s="119">
        <v>0</v>
      </c>
      <c r="AP38" s="119">
        <v>0</v>
      </c>
      <c r="AQ38" s="119"/>
      <c r="AR38" s="119">
        <v>0</v>
      </c>
      <c r="AS38" s="119"/>
      <c r="AT38" s="119">
        <v>0</v>
      </c>
      <c r="AU38" s="119"/>
      <c r="AV38" s="119">
        <v>0</v>
      </c>
      <c r="AW38" s="119"/>
      <c r="AX38" s="119">
        <v>0</v>
      </c>
      <c r="AY38" s="119"/>
      <c r="AZ38" s="119">
        <v>0</v>
      </c>
      <c r="BA38" s="119"/>
      <c r="BB38" s="119">
        <v>0</v>
      </c>
      <c r="BC38" s="119"/>
      <c r="BD38" s="119">
        <v>0</v>
      </c>
      <c r="BE38" s="119"/>
      <c r="BF38" s="119">
        <v>0</v>
      </c>
      <c r="BG38" s="119"/>
    </row>
    <row r="39" spans="1:66" ht="12.75" hidden="1" customHeight="1" outlineLevel="1">
      <c r="A39" s="22" t="s">
        <v>622</v>
      </c>
      <c r="D39" s="119">
        <v>0</v>
      </c>
      <c r="E39" s="119"/>
      <c r="F39" s="119">
        <v>-27</v>
      </c>
      <c r="H39" s="119">
        <v>0</v>
      </c>
      <c r="J39" s="1929">
        <v>23.785</v>
      </c>
      <c r="L39" s="1699">
        <v>0</v>
      </c>
      <c r="N39" s="119">
        <v>0</v>
      </c>
      <c r="P39" s="119">
        <v>0</v>
      </c>
      <c r="R39" s="119">
        <v>0</v>
      </c>
      <c r="T39" s="1699">
        <v>0</v>
      </c>
      <c r="V39" s="119">
        <v>0</v>
      </c>
      <c r="X39" s="1699">
        <v>0</v>
      </c>
      <c r="Z39" s="119">
        <v>0</v>
      </c>
      <c r="AB39" s="1699">
        <v>0</v>
      </c>
      <c r="AD39" s="119">
        <v>0</v>
      </c>
      <c r="AF39" s="119">
        <v>0</v>
      </c>
      <c r="AH39" s="119">
        <v>0</v>
      </c>
      <c r="AJ39" s="119">
        <v>0</v>
      </c>
      <c r="AL39" s="1699">
        <v>0</v>
      </c>
      <c r="AN39" s="119">
        <v>0</v>
      </c>
      <c r="AP39" s="119">
        <v>0</v>
      </c>
      <c r="AQ39" s="119"/>
      <c r="AR39" s="119">
        <v>0</v>
      </c>
      <c r="AS39" s="119"/>
      <c r="AT39" s="119">
        <v>0</v>
      </c>
      <c r="AU39" s="119"/>
      <c r="AV39" s="119">
        <v>0</v>
      </c>
      <c r="AW39" s="119"/>
      <c r="AX39" s="119">
        <v>0</v>
      </c>
      <c r="AY39" s="119"/>
      <c r="AZ39" s="119">
        <v>0</v>
      </c>
      <c r="BA39" s="119"/>
      <c r="BB39" s="119">
        <v>0</v>
      </c>
      <c r="BC39" s="119"/>
      <c r="BD39" s="119">
        <v>0</v>
      </c>
      <c r="BE39" s="119"/>
      <c r="BF39" s="119">
        <v>0</v>
      </c>
      <c r="BG39" s="119"/>
    </row>
    <row r="40" spans="1:66" ht="12.75" hidden="1" customHeight="1" outlineLevel="1">
      <c r="A40" s="22" t="s">
        <v>613</v>
      </c>
      <c r="D40" s="119">
        <v>0</v>
      </c>
      <c r="F40" s="119">
        <v>118.178</v>
      </c>
      <c r="H40" s="119">
        <v>0</v>
      </c>
      <c r="J40" s="119">
        <v>25.875</v>
      </c>
      <c r="L40" s="1699">
        <v>0</v>
      </c>
      <c r="N40" s="119">
        <v>0</v>
      </c>
      <c r="P40" s="119">
        <v>0</v>
      </c>
      <c r="R40" s="119">
        <v>0</v>
      </c>
      <c r="T40" s="1699">
        <v>0</v>
      </c>
      <c r="V40" s="119">
        <v>0</v>
      </c>
      <c r="X40" s="1699">
        <v>0</v>
      </c>
      <c r="Z40" s="119">
        <v>0</v>
      </c>
      <c r="AB40" s="1699">
        <v>0</v>
      </c>
      <c r="AD40" s="119">
        <v>0</v>
      </c>
      <c r="AF40" s="119">
        <v>0</v>
      </c>
      <c r="AH40" s="119">
        <v>0</v>
      </c>
      <c r="AJ40" s="119">
        <v>0</v>
      </c>
      <c r="AL40" s="1699">
        <v>0</v>
      </c>
      <c r="AN40" s="119">
        <v>0</v>
      </c>
      <c r="AP40" s="119">
        <v>0</v>
      </c>
      <c r="AQ40" s="119"/>
      <c r="AR40" s="119">
        <v>0</v>
      </c>
      <c r="AS40" s="119"/>
      <c r="AT40" s="119">
        <v>0</v>
      </c>
      <c r="AU40" s="119"/>
      <c r="AV40" s="119">
        <v>0</v>
      </c>
      <c r="AW40" s="119"/>
      <c r="AX40" s="119">
        <v>0</v>
      </c>
      <c r="AY40" s="119"/>
      <c r="AZ40" s="119">
        <v>0</v>
      </c>
      <c r="BA40" s="119"/>
      <c r="BB40" s="119">
        <v>0</v>
      </c>
      <c r="BC40" s="119"/>
      <c r="BD40" s="119">
        <v>0</v>
      </c>
      <c r="BE40" s="119"/>
      <c r="BF40" s="119">
        <v>0</v>
      </c>
      <c r="BG40" s="119"/>
    </row>
    <row r="41" spans="1:66" ht="12.75" customHeight="1" collapsed="1">
      <c r="A41" s="22" t="s">
        <v>614</v>
      </c>
      <c r="D41" s="119">
        <v>0</v>
      </c>
      <c r="F41" s="119">
        <f>150-150-32-91</f>
        <v>-123</v>
      </c>
      <c r="H41" s="119">
        <v>0</v>
      </c>
      <c r="J41" s="1906">
        <f>+bal!M42-bal!K42</f>
        <v>-50</v>
      </c>
      <c r="L41" s="1705">
        <f>+bal!O42-bal!M42</f>
        <v>0</v>
      </c>
      <c r="N41" s="1500">
        <f>+bal!Q42-bal!O42</f>
        <v>0</v>
      </c>
      <c r="P41" s="1500">
        <f>+bal!S42-bal!Q42</f>
        <v>0</v>
      </c>
      <c r="R41" s="1500">
        <f>+bal!U42-bal!S42</f>
        <v>0</v>
      </c>
      <c r="T41" s="1537">
        <f>+bal!W42-bal!U42</f>
        <v>0</v>
      </c>
      <c r="V41" s="1500">
        <f>+bal!Y42-bal!W42</f>
        <v>0</v>
      </c>
      <c r="X41" s="1537">
        <f>+bal!AA42-bal!Y42</f>
        <v>0</v>
      </c>
      <c r="Z41" s="1500">
        <f>+bal!AC42-bal!AA42</f>
        <v>0</v>
      </c>
      <c r="AB41" s="1537">
        <f>+bal!AE42-bal!AC42</f>
        <v>0</v>
      </c>
      <c r="AD41" s="1699">
        <f>+bal!AG42-bal!AE42</f>
        <v>100</v>
      </c>
      <c r="AF41" s="1699">
        <f>48.056-100</f>
        <v>-51.944000000000003</v>
      </c>
      <c r="AH41" s="1699">
        <v>-12.093</v>
      </c>
      <c r="AJ41" s="1699">
        <v>-45.002000000000002</v>
      </c>
      <c r="AL41" s="1548">
        <f>135-135</f>
        <v>0</v>
      </c>
      <c r="AN41" s="1906">
        <f>-15+150</f>
        <v>135</v>
      </c>
      <c r="AP41" s="1906">
        <f>357-195.75-0.861</f>
        <v>160.38900000000001</v>
      </c>
      <c r="AQ41" s="1500"/>
      <c r="AR41" s="1500">
        <v>-6</v>
      </c>
      <c r="AS41" s="1500"/>
      <c r="AT41" s="1500">
        <v>-25</v>
      </c>
      <c r="AU41" s="1500"/>
      <c r="AV41" s="1500">
        <f>+bal!AY42-bal!AW42</f>
        <v>-9.0500000000000114</v>
      </c>
      <c r="AW41" s="1500"/>
      <c r="AX41" s="1500">
        <f>+bal!BA42-bal!AY42</f>
        <v>0</v>
      </c>
      <c r="AY41" s="1500"/>
      <c r="AZ41" s="1500">
        <f>+bal!BC42-bal!BA42</f>
        <v>0</v>
      </c>
      <c r="BA41" s="1500"/>
      <c r="BB41" s="1500">
        <f>+bal!BE42-bal!BC42</f>
        <v>0</v>
      </c>
      <c r="BC41" s="1500"/>
      <c r="BD41" s="1500">
        <f>+bal!BG42-bal!BE42</f>
        <v>0</v>
      </c>
      <c r="BE41" s="1500"/>
      <c r="BF41" s="1500">
        <f>+bal!BI42-bal!BG42</f>
        <v>0</v>
      </c>
      <c r="BG41" s="1500"/>
    </row>
    <row r="42" spans="1:66">
      <c r="A42" s="22" t="s">
        <v>612</v>
      </c>
      <c r="D42" s="119">
        <v>0</v>
      </c>
      <c r="F42" s="119">
        <v>0</v>
      </c>
      <c r="H42" s="119">
        <v>-0.92900000000000005</v>
      </c>
      <c r="J42" s="119">
        <v>-11.24</v>
      </c>
      <c r="L42" s="1699">
        <v>-50.856000000000002</v>
      </c>
      <c r="M42" s="119"/>
      <c r="N42" s="119">
        <v>-43.929000000000002</v>
      </c>
      <c r="O42" s="119"/>
      <c r="P42" s="119">
        <v>-11.069000000000001</v>
      </c>
      <c r="R42" s="1699">
        <v>-42.691000000000003</v>
      </c>
      <c r="T42" s="1699">
        <v>-115.67</v>
      </c>
      <c r="V42" s="119">
        <v>-434.65800000000002</v>
      </c>
      <c r="X42" s="1699">
        <v>-103.29600000000001</v>
      </c>
      <c r="Z42" s="119">
        <v>0</v>
      </c>
      <c r="AB42" s="1699">
        <v>-287.916</v>
      </c>
      <c r="AD42" s="119">
        <v>-50</v>
      </c>
      <c r="AF42" s="1699">
        <v>0</v>
      </c>
      <c r="AH42" s="1699">
        <v>-76.158000000000001</v>
      </c>
      <c r="AJ42" s="1699">
        <v>-196.60499999999999</v>
      </c>
      <c r="AL42" s="1699">
        <v>-321.66500000000002</v>
      </c>
      <c r="AN42" s="119">
        <v>-115.806</v>
      </c>
      <c r="AP42" s="119">
        <v>-285.03800000000001</v>
      </c>
      <c r="AQ42" s="119"/>
      <c r="AR42" s="1699">
        <v>-50.033000000000001</v>
      </c>
      <c r="AS42" s="1699"/>
      <c r="AT42" s="1699">
        <v>0</v>
      </c>
      <c r="AU42" s="1699"/>
      <c r="AV42" s="1699">
        <v>0</v>
      </c>
      <c r="AW42" s="1699"/>
      <c r="AX42" s="1699">
        <v>0</v>
      </c>
      <c r="AY42" s="1699"/>
      <c r="AZ42" s="1699">
        <v>0</v>
      </c>
      <c r="BA42" s="1699"/>
      <c r="BB42" s="1699">
        <v>0</v>
      </c>
      <c r="BC42" s="1699"/>
      <c r="BD42" s="1699">
        <v>0</v>
      </c>
      <c r="BE42" s="1699"/>
      <c r="BF42" s="1699">
        <v>0</v>
      </c>
      <c r="BG42" s="1699"/>
      <c r="BN42" s="865"/>
    </row>
    <row r="43" spans="1:66">
      <c r="A43" s="22" t="s">
        <v>1443</v>
      </c>
      <c r="D43" s="119">
        <v>0.15</v>
      </c>
      <c r="E43" s="1500"/>
      <c r="F43" s="119">
        <v>8.0000000000000002E-3</v>
      </c>
      <c r="G43" s="1500"/>
      <c r="H43" s="119">
        <v>0.14399999999999999</v>
      </c>
      <c r="I43" s="1500"/>
      <c r="J43" s="119">
        <v>0.94099999999999995</v>
      </c>
      <c r="K43" s="1500"/>
      <c r="L43" s="1699">
        <v>2.927</v>
      </c>
      <c r="M43" s="119"/>
      <c r="N43" s="119">
        <v>-6.7069999999999999</v>
      </c>
      <c r="O43" s="119"/>
      <c r="P43" s="119">
        <v>6.1390000000000002</v>
      </c>
      <c r="Q43" s="1500"/>
      <c r="R43" s="1699">
        <v>-0.28199999999999997</v>
      </c>
      <c r="S43" s="1500"/>
      <c r="T43" s="1699">
        <v>19.766999999999999</v>
      </c>
      <c r="U43" s="1500"/>
      <c r="V43" s="119">
        <v>48.927</v>
      </c>
      <c r="W43" s="1500"/>
      <c r="X43" s="1699">
        <v>77.019000000000005</v>
      </c>
      <c r="Y43" s="1500"/>
      <c r="Z43" s="119">
        <f>12.876+3.382</f>
        <v>16.257999999999999</v>
      </c>
      <c r="AA43" s="1500"/>
      <c r="AB43" s="1699">
        <f>38.75+14.205</f>
        <v>52.954999999999998</v>
      </c>
      <c r="AC43" s="1500"/>
      <c r="AD43" s="119">
        <f>55.194+5.791</f>
        <v>60.984999999999999</v>
      </c>
      <c r="AE43" s="1500"/>
      <c r="AF43" s="1699">
        <v>2.048</v>
      </c>
      <c r="AG43" s="1500"/>
      <c r="AH43" s="1699">
        <v>13.941000000000001</v>
      </c>
      <c r="AI43" s="1500"/>
      <c r="AJ43" s="1699">
        <f>46.53+4.821</f>
        <v>51.350999999999999</v>
      </c>
      <c r="AK43" s="1500"/>
      <c r="AL43" s="1699">
        <f>2.676+1.198</f>
        <v>3.8740000000000001</v>
      </c>
      <c r="AM43" s="1500"/>
      <c r="AN43" s="119">
        <f>2.48+0.213</f>
        <v>2.6930000000000001</v>
      </c>
      <c r="AO43" s="1500"/>
      <c r="AP43" s="119">
        <f>0.304+0.254</f>
        <v>0.55800000000000005</v>
      </c>
      <c r="AQ43" s="119"/>
      <c r="AR43" s="119">
        <v>0</v>
      </c>
      <c r="AS43" s="119"/>
      <c r="AT43" s="119">
        <v>-4.7270000000000003</v>
      </c>
      <c r="AU43" s="119"/>
      <c r="AV43" s="119">
        <v>0</v>
      </c>
      <c r="AW43" s="119"/>
      <c r="AX43" s="119">
        <v>0</v>
      </c>
      <c r="AY43" s="119"/>
      <c r="AZ43" s="119">
        <v>0</v>
      </c>
      <c r="BA43" s="119"/>
      <c r="BB43" s="119">
        <v>0</v>
      </c>
      <c r="BC43" s="119"/>
      <c r="BD43" s="119">
        <v>0</v>
      </c>
      <c r="BE43" s="119"/>
      <c r="BF43" s="119">
        <v>0</v>
      </c>
      <c r="BG43" s="119"/>
    </row>
    <row r="44" spans="1:66">
      <c r="A44" s="22" t="s">
        <v>615</v>
      </c>
      <c r="D44" s="119">
        <v>0</v>
      </c>
      <c r="E44" s="1500"/>
      <c r="F44" s="119">
        <v>-8.6159999999999997</v>
      </c>
      <c r="G44" s="1500"/>
      <c r="H44" s="119">
        <v>0</v>
      </c>
      <c r="I44" s="1500"/>
      <c r="J44" s="119">
        <v>0</v>
      </c>
      <c r="K44" s="1500"/>
      <c r="L44" s="1699">
        <v>-1.5</v>
      </c>
      <c r="M44" s="119"/>
      <c r="N44" s="119">
        <v>-3</v>
      </c>
      <c r="O44" s="119"/>
      <c r="P44" s="119">
        <v>-0.45400000000000001</v>
      </c>
      <c r="Q44" s="1500"/>
      <c r="R44" s="1699">
        <v>4.9539999999999997</v>
      </c>
      <c r="S44" s="1500"/>
      <c r="T44" s="1699">
        <v>0</v>
      </c>
      <c r="U44" s="1500"/>
      <c r="V44" s="119">
        <v>0</v>
      </c>
      <c r="W44" s="1500"/>
      <c r="X44" s="1699">
        <v>0</v>
      </c>
      <c r="Y44" s="1500"/>
      <c r="Z44" s="119">
        <v>0</v>
      </c>
      <c r="AA44" s="1500"/>
      <c r="AB44" s="1699">
        <v>0</v>
      </c>
      <c r="AC44" s="1500"/>
      <c r="AD44" s="119">
        <v>0</v>
      </c>
      <c r="AE44" s="1500"/>
      <c r="AF44" s="1699">
        <v>0</v>
      </c>
      <c r="AG44" s="1500"/>
      <c r="AH44" s="1699">
        <v>0</v>
      </c>
      <c r="AI44" s="1500"/>
      <c r="AJ44" s="1699">
        <v>0</v>
      </c>
      <c r="AK44" s="1500"/>
      <c r="AL44" s="1699">
        <v>0</v>
      </c>
      <c r="AM44" s="1500"/>
      <c r="AN44" s="119">
        <v>0</v>
      </c>
      <c r="AO44" s="1500"/>
      <c r="AP44" s="119">
        <v>0</v>
      </c>
      <c r="AQ44" s="119"/>
      <c r="AR44" s="119">
        <v>0</v>
      </c>
      <c r="AS44" s="119"/>
      <c r="AT44" s="119">
        <v>0</v>
      </c>
      <c r="AU44" s="119"/>
      <c r="AV44" s="119">
        <v>0</v>
      </c>
      <c r="AW44" s="119"/>
      <c r="AX44" s="119">
        <v>0</v>
      </c>
      <c r="AY44" s="119"/>
      <c r="AZ44" s="119">
        <v>0</v>
      </c>
      <c r="BA44" s="119"/>
      <c r="BB44" s="119">
        <v>0</v>
      </c>
      <c r="BC44" s="119"/>
      <c r="BD44" s="119">
        <v>0</v>
      </c>
      <c r="BE44" s="119"/>
      <c r="BF44" s="119">
        <v>0</v>
      </c>
      <c r="BG44" s="119"/>
    </row>
    <row r="45" spans="1:66">
      <c r="A45" s="22" t="s">
        <v>716</v>
      </c>
      <c r="D45" s="119"/>
      <c r="E45" s="1500"/>
      <c r="F45" s="119"/>
      <c r="G45" s="1500"/>
      <c r="H45" s="119"/>
      <c r="I45" s="1500"/>
      <c r="J45" s="119"/>
      <c r="K45" s="1500"/>
      <c r="L45" s="1699">
        <v>0</v>
      </c>
      <c r="M45" s="119"/>
      <c r="N45" s="119">
        <f>155.797-137.581</f>
        <v>18.216000000000008</v>
      </c>
      <c r="O45" s="786" t="s">
        <v>718</v>
      </c>
      <c r="P45" s="119">
        <v>6.7649999999999997</v>
      </c>
      <c r="Q45" s="1500"/>
      <c r="R45" s="1699">
        <v>4.0469999999999997</v>
      </c>
      <c r="S45" s="1500"/>
      <c r="T45" s="1699">
        <v>4.1449999999999996</v>
      </c>
      <c r="U45" s="1500"/>
      <c r="V45" s="119">
        <v>20.404</v>
      </c>
      <c r="W45" s="1500"/>
      <c r="X45" s="1699">
        <v>5.1639999999999997</v>
      </c>
      <c r="Y45" s="1500"/>
      <c r="Z45" s="119">
        <v>-31.77</v>
      </c>
      <c r="AA45" s="1500"/>
      <c r="AB45" s="1699">
        <v>13.536</v>
      </c>
      <c r="AC45" s="1500"/>
      <c r="AD45" s="119">
        <v>-19.747</v>
      </c>
      <c r="AE45" s="1500"/>
      <c r="AF45" s="1699">
        <v>-24.654</v>
      </c>
      <c r="AG45" s="1500"/>
      <c r="AH45" s="1699">
        <v>-9.3670000000000009</v>
      </c>
      <c r="AI45" s="1500"/>
      <c r="AJ45" s="1699">
        <v>-14.117000000000001</v>
      </c>
      <c r="AK45" s="1500"/>
      <c r="AL45" s="1699">
        <v>-4.6459999999999999</v>
      </c>
      <c r="AM45" s="1500"/>
      <c r="AN45" s="119">
        <v>-0.79500000000000004</v>
      </c>
      <c r="AO45" s="1500"/>
      <c r="AP45" s="119">
        <v>0</v>
      </c>
      <c r="AQ45" s="119"/>
      <c r="AR45" s="119">
        <v>0</v>
      </c>
      <c r="AS45" s="119"/>
      <c r="AT45" s="119">
        <v>0</v>
      </c>
      <c r="AU45" s="119"/>
      <c r="AV45" s="119">
        <v>0</v>
      </c>
      <c r="AW45" s="119"/>
      <c r="AX45" s="119">
        <v>0</v>
      </c>
      <c r="AY45" s="119"/>
      <c r="AZ45" s="119">
        <v>0</v>
      </c>
      <c r="BA45" s="119"/>
      <c r="BB45" s="119">
        <v>0</v>
      </c>
      <c r="BC45" s="119"/>
      <c r="BD45" s="119">
        <v>0</v>
      </c>
      <c r="BE45" s="119"/>
      <c r="BF45" s="119">
        <v>0</v>
      </c>
      <c r="BG45" s="119"/>
    </row>
    <row r="46" spans="1:66">
      <c r="A46" s="22" t="s">
        <v>616</v>
      </c>
      <c r="D46" s="119">
        <v>0</v>
      </c>
      <c r="E46" s="1500"/>
      <c r="F46" s="119">
        <v>0</v>
      </c>
      <c r="G46" s="1500"/>
      <c r="H46" s="119">
        <v>0</v>
      </c>
      <c r="I46" s="1500"/>
      <c r="J46" s="119">
        <v>0</v>
      </c>
      <c r="K46" s="1500"/>
      <c r="L46" s="1699">
        <f>11.332-56.933</f>
        <v>-45.600999999999999</v>
      </c>
      <c r="M46" s="119"/>
      <c r="N46" s="119">
        <v>45.600999999999999</v>
      </c>
      <c r="O46" s="119"/>
      <c r="P46" s="119">
        <f>0-71.22</f>
        <v>-71.22</v>
      </c>
      <c r="Q46" s="1500"/>
      <c r="R46" s="1699">
        <f>-2729.271+2418.661</f>
        <v>-310.61000000000013</v>
      </c>
      <c r="S46" s="1500"/>
      <c r="T46" s="1699">
        <f>-3849.077+3771.085</f>
        <v>-77.992000000000189</v>
      </c>
      <c r="U46" s="1500"/>
      <c r="V46" s="119">
        <f>4778.77-4314.07</f>
        <v>464.70000000000073</v>
      </c>
      <c r="W46" s="1500"/>
      <c r="X46" s="1699">
        <f>605.101-1016.986</f>
        <v>-411.88499999999999</v>
      </c>
      <c r="Y46" s="1500"/>
      <c r="Z46" s="1699">
        <f>1404.805-1459.835-15.258</f>
        <v>-70.287999999999968</v>
      </c>
      <c r="AA46" s="1500"/>
      <c r="AB46" s="119">
        <f>-15-1444.736+1362.911</f>
        <v>-96.825000000000045</v>
      </c>
      <c r="AC46" s="1500"/>
      <c r="AD46" s="119">
        <f>-49.411+308.673-4.877</f>
        <v>254.38499999999999</v>
      </c>
      <c r="AE46" s="1500"/>
      <c r="AF46" s="1699">
        <f>77.45-13.539</f>
        <v>63.911000000000001</v>
      </c>
      <c r="AG46" s="1500"/>
      <c r="AH46" s="1699">
        <f>-16.583+84.542</f>
        <v>67.959000000000003</v>
      </c>
      <c r="AI46" s="1500"/>
      <c r="AJ46" s="1699">
        <v>2.65</v>
      </c>
      <c r="AK46" s="1500"/>
      <c r="AL46" s="1699">
        <v>101.96299999999999</v>
      </c>
      <c r="AM46" s="1500"/>
      <c r="AN46" s="119">
        <v>0</v>
      </c>
      <c r="AO46" s="1500"/>
      <c r="AP46" s="119">
        <v>0</v>
      </c>
      <c r="AQ46" s="1824"/>
      <c r="AR46" s="119">
        <v>0</v>
      </c>
      <c r="AS46" s="1824"/>
      <c r="AT46" s="119">
        <f>+bal!AU10-bal!AW10</f>
        <v>0</v>
      </c>
      <c r="AU46" s="1824"/>
      <c r="AV46" s="1824">
        <f>+bal!AW10-bal!AY10</f>
        <v>0</v>
      </c>
      <c r="AW46" s="1824"/>
      <c r="AX46" s="1824">
        <f>+bal!AY10-bal!BA10</f>
        <v>0</v>
      </c>
      <c r="AY46" s="1824"/>
      <c r="AZ46" s="1824">
        <f>+bal!BA10-bal!BC10</f>
        <v>0</v>
      </c>
      <c r="BA46" s="1824"/>
      <c r="BB46" s="1824">
        <f>+bal!BC10-bal!BE10</f>
        <v>0</v>
      </c>
      <c r="BC46" s="1824"/>
      <c r="BD46" s="1824">
        <f>+bal!BE10-bal!BG10</f>
        <v>0</v>
      </c>
      <c r="BE46" s="1824"/>
      <c r="BF46" s="1824">
        <f>+bal!BG10-bal!BI10</f>
        <v>0</v>
      </c>
      <c r="BG46" s="1824"/>
    </row>
    <row r="47" spans="1:66">
      <c r="A47" s="22" t="s">
        <v>239</v>
      </c>
      <c r="D47" s="119"/>
      <c r="E47" s="1500"/>
      <c r="F47" s="119"/>
      <c r="G47" s="1500"/>
      <c r="H47" s="119"/>
      <c r="I47" s="1500"/>
      <c r="J47" s="119"/>
      <c r="K47" s="1500"/>
      <c r="L47" s="1699">
        <v>0</v>
      </c>
      <c r="M47" s="119"/>
      <c r="N47" s="119">
        <v>0</v>
      </c>
      <c r="O47" s="119"/>
      <c r="P47" s="119">
        <v>0</v>
      </c>
      <c r="Q47" s="1500"/>
      <c r="R47" s="1699">
        <v>0</v>
      </c>
      <c r="S47" s="1500"/>
      <c r="T47" s="1699">
        <v>0</v>
      </c>
      <c r="U47" s="1500"/>
      <c r="V47" s="119">
        <v>0</v>
      </c>
      <c r="W47" s="1500"/>
      <c r="X47" s="1699">
        <v>0</v>
      </c>
      <c r="Y47" s="1500"/>
      <c r="Z47" s="1699">
        <v>0</v>
      </c>
      <c r="AA47" s="1500"/>
      <c r="AB47" s="1699">
        <v>1.486</v>
      </c>
      <c r="AC47" s="1500"/>
      <c r="AD47" s="119">
        <v>-4.01</v>
      </c>
      <c r="AE47" s="1500"/>
      <c r="AF47" s="1699">
        <v>3.4020000000000001</v>
      </c>
      <c r="AG47" s="1500"/>
      <c r="AH47" s="1699">
        <v>2.923</v>
      </c>
      <c r="AI47" s="1500"/>
      <c r="AJ47" s="1699">
        <v>-2.0590000000000002</v>
      </c>
      <c r="AK47" s="1500"/>
      <c r="AL47" s="1699">
        <v>3.1480000000000001</v>
      </c>
      <c r="AM47" s="1500"/>
      <c r="AN47" s="119">
        <v>-4.1900000000000004</v>
      </c>
      <c r="AO47" s="1500"/>
      <c r="AP47" s="119">
        <v>-35.360999999999997</v>
      </c>
      <c r="AQ47" s="119"/>
      <c r="AR47" s="119">
        <v>-12.629</v>
      </c>
      <c r="AS47" s="119"/>
      <c r="AT47" s="119">
        <v>-5.4409999999999998</v>
      </c>
      <c r="AU47" s="119"/>
      <c r="AV47" s="119">
        <v>0</v>
      </c>
      <c r="AW47" s="119"/>
      <c r="AX47" s="119">
        <v>0</v>
      </c>
      <c r="AY47" s="119"/>
      <c r="AZ47" s="119">
        <v>0</v>
      </c>
      <c r="BA47" s="119"/>
      <c r="BB47" s="119">
        <v>0</v>
      </c>
      <c r="BC47" s="119"/>
      <c r="BD47" s="119">
        <v>0</v>
      </c>
      <c r="BE47" s="119"/>
      <c r="BF47" s="119">
        <v>0</v>
      </c>
      <c r="BG47" s="119"/>
    </row>
    <row r="48" spans="1:66">
      <c r="A48" s="22" t="s">
        <v>0</v>
      </c>
      <c r="D48" s="119"/>
      <c r="E48" s="1500"/>
      <c r="F48" s="119"/>
      <c r="G48" s="1500"/>
      <c r="H48" s="119"/>
      <c r="I48" s="1500"/>
      <c r="J48" s="119"/>
      <c r="K48" s="1500"/>
      <c r="L48" s="1699">
        <v>0</v>
      </c>
      <c r="M48" s="119"/>
      <c r="N48" s="1699">
        <v>0</v>
      </c>
      <c r="O48" s="119"/>
      <c r="P48" s="1699">
        <v>0</v>
      </c>
      <c r="Q48" s="1500"/>
      <c r="R48" s="1699">
        <v>0</v>
      </c>
      <c r="S48" s="1500"/>
      <c r="T48" s="1699">
        <v>0</v>
      </c>
      <c r="U48" s="1500"/>
      <c r="V48" s="119">
        <v>-46.438000000000002</v>
      </c>
      <c r="W48" s="1500"/>
      <c r="X48" s="1699">
        <v>-52.218000000000004</v>
      </c>
      <c r="Y48" s="1500"/>
      <c r="Z48" s="1699">
        <v>-61.622999999999998</v>
      </c>
      <c r="AA48" s="1500"/>
      <c r="AB48" s="1699">
        <v>-61.33</v>
      </c>
      <c r="AC48" s="1500"/>
      <c r="AD48" s="119">
        <v>-60.768999999999998</v>
      </c>
      <c r="AE48" s="1500"/>
      <c r="AF48" s="1699">
        <v>-61.5</v>
      </c>
      <c r="AG48" s="1500"/>
      <c r="AH48" s="1699">
        <v>-61.655999999999999</v>
      </c>
      <c r="AI48" s="1500"/>
      <c r="AJ48" s="1699">
        <v>-60.956000000000003</v>
      </c>
      <c r="AK48" s="1500"/>
      <c r="AL48" s="1699">
        <v>-57.634</v>
      </c>
      <c r="AM48" s="1500"/>
      <c r="AN48" s="119">
        <v>-61.923000000000002</v>
      </c>
      <c r="AO48" s="1500"/>
      <c r="AP48" s="119">
        <v>-57.362000000000002</v>
      </c>
      <c r="AQ48" s="1824"/>
      <c r="AR48" s="119">
        <v>-55.145000000000003</v>
      </c>
      <c r="AS48" s="1824"/>
      <c r="AT48" s="119">
        <v>-54.066000000000003</v>
      </c>
      <c r="AU48" s="1824"/>
      <c r="AV48" s="1824">
        <f>(-'qtrP&amp;L'!$CF$208)*'yrP&amp;L'!AB61</f>
        <v>-55.869415000000004</v>
      </c>
      <c r="AW48" s="1824"/>
      <c r="AX48" s="1824">
        <f>(-'qtrP&amp;L'!$CF$208)*'yrP&amp;L'!AC61</f>
        <v>-57.170697499999989</v>
      </c>
      <c r="AY48" s="1824"/>
      <c r="AZ48" s="1824">
        <f>(-'qtrP&amp;L'!$CF$208)*'yrP&amp;L'!AD61</f>
        <v>-57.925384999999991</v>
      </c>
      <c r="BA48" s="1824"/>
      <c r="BB48" s="1824">
        <f>(-'qtrP&amp;L'!$CN$208)*'yrP&amp;L'!AE61</f>
        <v>-58.327884999999988</v>
      </c>
      <c r="BC48" s="1824"/>
      <c r="BD48" s="1824">
        <f>(-'qtrP&amp;L'!$CN$208*1.4)*'yrP&amp;L'!AF61</f>
        <v>-82.222538999999983</v>
      </c>
      <c r="BE48" s="1824"/>
      <c r="BF48" s="1824">
        <f>(-'qtrP&amp;L'!$CR$208*1.4)*'yrP&amp;L'!AG61</f>
        <v>-82.786038999999974</v>
      </c>
      <c r="BG48" s="1824"/>
    </row>
    <row r="49" spans="1:59" ht="6" customHeight="1">
      <c r="L49" s="114"/>
      <c r="X49" s="114"/>
      <c r="AB49" s="114"/>
      <c r="AL49" s="114"/>
    </row>
    <row r="50" spans="1:59">
      <c r="A50" s="22" t="s">
        <v>254</v>
      </c>
      <c r="D50" s="376">
        <f>SUM(D38:D46)</f>
        <v>12.094000000000001</v>
      </c>
      <c r="E50" s="1030"/>
      <c r="F50" s="376">
        <f>SUM(F38:F46)</f>
        <v>-21.442000000000004</v>
      </c>
      <c r="G50" s="376"/>
      <c r="H50" s="376">
        <f>SUM(H38:H46)</f>
        <v>-29.987000000000002</v>
      </c>
      <c r="I50" s="376">
        <f>SUM(I42:I46)</f>
        <v>0</v>
      </c>
      <c r="J50" s="376">
        <f>SUM(J38:J46)</f>
        <v>-10.639000000000003</v>
      </c>
      <c r="K50" s="376"/>
      <c r="L50" s="1600">
        <f>SUM(L38:L46)</f>
        <v>-95.03</v>
      </c>
      <c r="M50" s="376"/>
      <c r="N50" s="376">
        <f>SUM(N38:N46)</f>
        <v>10.181000000000004</v>
      </c>
      <c r="O50" s="376"/>
      <c r="P50" s="376">
        <f>SUM(P38:P46)</f>
        <v>-69.838999999999999</v>
      </c>
      <c r="Q50" s="376"/>
      <c r="R50" s="376">
        <f>SUM(R38:R48)</f>
        <v>-344.58200000000011</v>
      </c>
      <c r="S50" s="376"/>
      <c r="T50" s="376">
        <f>SUM(T38:T48)</f>
        <v>-169.7500000000002</v>
      </c>
      <c r="U50" s="376"/>
      <c r="V50" s="376">
        <f>SUM(V38:V48)</f>
        <v>52.935000000000727</v>
      </c>
      <c r="W50" s="376"/>
      <c r="X50" s="1535">
        <f>SUM(X38:X48)</f>
        <v>-485.21600000000001</v>
      </c>
      <c r="Y50" s="376"/>
      <c r="Z50" s="1535">
        <f>SUM(Z38:Z48)</f>
        <v>-147.42299999999997</v>
      </c>
      <c r="AA50" s="1535"/>
      <c r="AB50" s="1535">
        <f>SUM(AB38:AB48)</f>
        <v>-378.09400000000005</v>
      </c>
      <c r="AC50" s="376"/>
      <c r="AD50" s="376">
        <f>SUM(AD38:AD48)</f>
        <v>280.84399999999999</v>
      </c>
      <c r="AE50" s="376"/>
      <c r="AF50" s="1535">
        <f>SUM(AF38:AF48)</f>
        <v>-68.736999999999995</v>
      </c>
      <c r="AG50" s="376"/>
      <c r="AH50" s="1535">
        <f>SUM(AH38:AH48)</f>
        <v>-74.451000000000008</v>
      </c>
      <c r="AI50" s="376"/>
      <c r="AJ50" s="1535">
        <f>SUM(AJ38:AJ48)</f>
        <v>-264.738</v>
      </c>
      <c r="AK50" s="376"/>
      <c r="AL50" s="1535">
        <f>SUM(AL38:AL48)</f>
        <v>-274.96000000000004</v>
      </c>
      <c r="AM50" s="376"/>
      <c r="AN50" s="1535">
        <f>SUM(AN38:AN48)</f>
        <v>-45.021000000000001</v>
      </c>
      <c r="AO50" s="376"/>
      <c r="AP50" s="1535">
        <f>SUM(AP38:AP48)</f>
        <v>-216.81399999999999</v>
      </c>
      <c r="AQ50" s="1535"/>
      <c r="AR50" s="1535">
        <f>SUM(AR38:AR48)</f>
        <v>-123.80700000000002</v>
      </c>
      <c r="AS50" s="1535"/>
      <c r="AT50" s="1535">
        <f>SUM(AT38:AT48)</f>
        <v>-89.234000000000009</v>
      </c>
      <c r="AU50" s="1535"/>
      <c r="AV50" s="1535">
        <f>SUM(AV38:AV48)</f>
        <v>-64.919415000000015</v>
      </c>
      <c r="AW50" s="1535"/>
      <c r="AX50" s="1535">
        <f>SUM(AX38:AX48)</f>
        <v>-57.170697499999989</v>
      </c>
      <c r="AY50" s="1535"/>
      <c r="AZ50" s="1535">
        <f>SUM(AZ38:AZ48)</f>
        <v>-57.925384999999991</v>
      </c>
      <c r="BA50" s="1535"/>
      <c r="BB50" s="1535">
        <f>SUM(BB38:BB48)</f>
        <v>-58.327884999999988</v>
      </c>
      <c r="BC50" s="1535"/>
      <c r="BD50" s="1535">
        <f>SUM(BD38:BD48)</f>
        <v>-82.222538999999983</v>
      </c>
      <c r="BE50" s="1535"/>
      <c r="BF50" s="1535">
        <f>SUM(BF38:BF48)</f>
        <v>-82.786038999999974</v>
      </c>
      <c r="BG50" s="1535"/>
    </row>
    <row r="51" spans="1:59" ht="6" customHeight="1">
      <c r="L51" s="114"/>
      <c r="P51" s="1500"/>
      <c r="R51" s="1906"/>
      <c r="T51" s="1906"/>
      <c r="X51" s="114"/>
      <c r="AB51" s="114"/>
      <c r="AL51" s="114"/>
    </row>
    <row r="52" spans="1:59">
      <c r="A52" s="22" t="s">
        <v>243</v>
      </c>
      <c r="D52" s="1500">
        <f>bal!E9</f>
        <v>0.59199999999999997</v>
      </c>
      <c r="E52" s="1500"/>
      <c r="F52" s="1500">
        <f>+D55</f>
        <v>0.87400000000000355</v>
      </c>
      <c r="G52" s="1500"/>
      <c r="H52" s="1500">
        <f>+F55</f>
        <v>1.9450000000000052</v>
      </c>
      <c r="I52" s="1500"/>
      <c r="J52" s="1500">
        <f>+H55</f>
        <v>42.667000000000009</v>
      </c>
      <c r="K52" s="1500"/>
      <c r="L52" s="1537">
        <f>+J55</f>
        <v>163.56399999999999</v>
      </c>
      <c r="M52" s="1500"/>
      <c r="N52" s="1500">
        <f>L55</f>
        <v>147.90800000000002</v>
      </c>
      <c r="O52" s="1500"/>
      <c r="P52" s="1537">
        <f>+N55</f>
        <v>155.79700000000005</v>
      </c>
      <c r="Q52" s="1500"/>
      <c r="R52" s="1930">
        <f>P55</f>
        <v>192.64500000000007</v>
      </c>
      <c r="S52" s="1500"/>
      <c r="T52" s="1930">
        <f>R55</f>
        <v>43.354999999999876</v>
      </c>
      <c r="U52" s="1500"/>
      <c r="V52" s="1537">
        <f>+T55</f>
        <v>47.081000000009624</v>
      </c>
      <c r="W52" s="1500"/>
      <c r="X52" s="1537">
        <f>V55</f>
        <v>338.73500000001059</v>
      </c>
      <c r="Y52" s="1500"/>
      <c r="Z52" s="1500">
        <f>X55</f>
        <v>50.687000000010471</v>
      </c>
      <c r="AA52" s="1500"/>
      <c r="AB52" s="1537">
        <f>Z55</f>
        <v>81.959000000010434</v>
      </c>
      <c r="AC52" s="1500"/>
      <c r="AD52" s="1500">
        <f>AB55</f>
        <v>118.04400000001007</v>
      </c>
      <c r="AE52" s="1500"/>
      <c r="AF52" s="1500">
        <f>AD55</f>
        <v>522.12200000000996</v>
      </c>
      <c r="AG52" s="1500"/>
      <c r="AH52" s="1500">
        <f>AF55</f>
        <v>669.95000000001005</v>
      </c>
      <c r="AI52" s="1500"/>
      <c r="AJ52" s="1500">
        <f>AH55</f>
        <v>826.35300000001007</v>
      </c>
      <c r="AK52" s="1500"/>
      <c r="AL52" s="1537">
        <f>AJ55</f>
        <v>583.49200000000053</v>
      </c>
      <c r="AM52" s="1500"/>
      <c r="AN52" s="1500">
        <f>AL55</f>
        <v>643.50499999999977</v>
      </c>
      <c r="AO52" s="1500"/>
      <c r="AP52" s="1500">
        <f>AN55</f>
        <v>601.74999999999977</v>
      </c>
      <c r="AQ52" s="1500"/>
      <c r="AR52" s="1500">
        <f>AP55</f>
        <v>520.70799999999974</v>
      </c>
      <c r="AS52" s="1500"/>
      <c r="AT52" s="1500">
        <f>AR55</f>
        <v>588.57799999999975</v>
      </c>
      <c r="AU52" s="1500"/>
      <c r="AV52" s="1500">
        <f>AT55</f>
        <v>547.18899999999974</v>
      </c>
      <c r="AW52" s="1500"/>
      <c r="AX52" s="1500">
        <f>AV55</f>
        <v>689.46958499999994</v>
      </c>
      <c r="AY52" s="1500"/>
      <c r="AZ52" s="1500">
        <f>AX55</f>
        <v>700.67991216555538</v>
      </c>
      <c r="BA52" s="1500"/>
      <c r="BB52" s="1500">
        <f>AZ55</f>
        <v>773.14041135647267</v>
      </c>
      <c r="BC52" s="1500"/>
      <c r="BD52" s="1500">
        <f>BB55</f>
        <v>828.25634647935681</v>
      </c>
      <c r="BE52" s="1500"/>
      <c r="BF52" s="1500">
        <f>BD55</f>
        <v>848.31798901898344</v>
      </c>
      <c r="BG52" s="1500"/>
    </row>
    <row r="53" spans="1:59" hidden="1" outlineLevel="1">
      <c r="A53" s="114"/>
      <c r="B53" s="114" t="s">
        <v>686</v>
      </c>
      <c r="C53" s="114"/>
      <c r="D53" s="1906">
        <v>0</v>
      </c>
      <c r="E53" s="1906"/>
      <c r="F53" s="1906">
        <v>0</v>
      </c>
      <c r="G53" s="1906"/>
      <c r="H53" s="1906">
        <v>0</v>
      </c>
      <c r="I53" s="1906"/>
      <c r="J53" s="1906">
        <v>0</v>
      </c>
      <c r="K53" s="1906"/>
      <c r="L53" s="1906">
        <v>0</v>
      </c>
      <c r="M53" s="1906"/>
      <c r="N53" s="1906">
        <v>0</v>
      </c>
      <c r="O53" s="1906"/>
      <c r="P53" s="1906">
        <v>0</v>
      </c>
      <c r="Q53" s="1500"/>
      <c r="R53" s="1500">
        <v>-4.8780000000000001</v>
      </c>
      <c r="S53" s="1500"/>
      <c r="T53" s="1500">
        <v>-7.5609999999899999</v>
      </c>
      <c r="U53" s="1500"/>
      <c r="V53" s="1906">
        <v>0</v>
      </c>
      <c r="W53" s="1906"/>
      <c r="X53" s="1906">
        <v>0</v>
      </c>
      <c r="Y53" s="1906"/>
      <c r="Z53" s="1906">
        <v>0</v>
      </c>
      <c r="AA53" s="1906"/>
      <c r="AB53" s="1906">
        <v>0</v>
      </c>
      <c r="AC53" s="1906"/>
      <c r="AD53" s="1906">
        <v>0</v>
      </c>
      <c r="AE53" s="1906"/>
      <c r="AF53" s="1906">
        <v>-3.45</v>
      </c>
      <c r="AG53" s="1906"/>
      <c r="AH53" s="1906">
        <v>0</v>
      </c>
      <c r="AI53" s="1906"/>
      <c r="AJ53" s="1906">
        <v>-15.481000000009772</v>
      </c>
      <c r="AK53" s="1906"/>
      <c r="AL53" s="1548">
        <f>19.5819999999994-4.585</f>
        <v>14.996999999999399</v>
      </c>
      <c r="AM53" s="1906"/>
      <c r="AN53" s="1906">
        <v>0</v>
      </c>
      <c r="AO53" s="1906"/>
      <c r="AP53" s="1906">
        <v>0</v>
      </c>
      <c r="AQ53" s="1906"/>
      <c r="AR53" s="1906">
        <v>0</v>
      </c>
      <c r="AS53" s="1906"/>
      <c r="AT53" s="1906">
        <v>0</v>
      </c>
      <c r="AU53" s="1906"/>
      <c r="AV53" s="1906">
        <v>0</v>
      </c>
      <c r="AW53" s="1906"/>
      <c r="AX53" s="1906">
        <v>0</v>
      </c>
      <c r="AY53" s="1906"/>
      <c r="AZ53" s="1906">
        <v>0</v>
      </c>
      <c r="BA53" s="1906"/>
      <c r="BB53" s="1906">
        <v>0</v>
      </c>
      <c r="BC53" s="1906"/>
      <c r="BD53" s="1906">
        <v>0</v>
      </c>
      <c r="BE53" s="1906"/>
      <c r="BF53" s="1906">
        <v>0</v>
      </c>
      <c r="BG53" s="1906"/>
    </row>
    <row r="54" spans="1:59" collapsed="1">
      <c r="A54" s="114"/>
      <c r="B54" s="114" t="s">
        <v>245</v>
      </c>
      <c r="C54" s="114"/>
      <c r="D54" s="1500">
        <f>D50+D34+D53</f>
        <v>0.28200000000000358</v>
      </c>
      <c r="E54" s="1500"/>
      <c r="F54" s="1500">
        <f>F50+F34+F53</f>
        <v>1.0710000000000015</v>
      </c>
      <c r="G54" s="1500"/>
      <c r="H54" s="1500">
        <f>H50+H34+H53</f>
        <v>40.722000000000001</v>
      </c>
      <c r="I54" s="1500"/>
      <c r="J54" s="1500">
        <f>J50+J34+J53</f>
        <v>120.89699999999999</v>
      </c>
      <c r="K54" s="1500"/>
      <c r="L54" s="1500">
        <f>L50+L34+L53</f>
        <v>-15.655999999999963</v>
      </c>
      <c r="M54" s="1500"/>
      <c r="N54" s="1500">
        <f>N50+N34+N53</f>
        <v>7.8890000000000313</v>
      </c>
      <c r="O54" s="1500"/>
      <c r="P54" s="1500">
        <f>P50+P34+P53</f>
        <v>36.848000000000013</v>
      </c>
      <c r="Q54" s="1500"/>
      <c r="R54" s="1500">
        <f>R50+R34+R53</f>
        <v>-149.29000000000019</v>
      </c>
      <c r="S54" s="1500"/>
      <c r="T54" s="1500">
        <f>T50+T34+T53</f>
        <v>3.7260000000097504</v>
      </c>
      <c r="U54" s="1500"/>
      <c r="V54" s="1500">
        <f>V50+V34+V53</f>
        <v>291.65400000000096</v>
      </c>
      <c r="W54" s="1500"/>
      <c r="X54" s="1535">
        <f>X50+X34+X53</f>
        <v>-288.04800000000012</v>
      </c>
      <c r="Y54" s="1500"/>
      <c r="Z54" s="1500">
        <f>Z50+Z34+Z53</f>
        <v>31.271999999999963</v>
      </c>
      <c r="AA54" s="1500"/>
      <c r="AB54" s="1500">
        <f>AB50+AB34+AB53</f>
        <v>36.084999999999638</v>
      </c>
      <c r="AC54" s="1500"/>
      <c r="AD54" s="1500">
        <f>AD50+AD34+AD53</f>
        <v>404.07799999999992</v>
      </c>
      <c r="AE54" s="1500"/>
      <c r="AF54" s="1500">
        <f>AF50+AF34+AF53</f>
        <v>147.82800000000006</v>
      </c>
      <c r="AG54" s="1500"/>
      <c r="AH54" s="1500">
        <f>AH50+AH34+AH53</f>
        <v>156.40300000000002</v>
      </c>
      <c r="AI54" s="1500"/>
      <c r="AJ54" s="1500">
        <f>AJ50+AJ34+AJ53</f>
        <v>-242.86100000000954</v>
      </c>
      <c r="AK54" s="1500"/>
      <c r="AL54" s="1500">
        <f>AL50+AL34+AL53</f>
        <v>60.012999999999252</v>
      </c>
      <c r="AM54" s="1500"/>
      <c r="AN54" s="1500">
        <f>AN50+AN34+AN53</f>
        <v>-41.755000000000038</v>
      </c>
      <c r="AO54" s="1500"/>
      <c r="AP54" s="1500">
        <f>AP50+AP34+AP53</f>
        <v>-81.042000000000002</v>
      </c>
      <c r="AQ54" s="1500"/>
      <c r="AR54" s="1500">
        <f>AR50+AR34+AR53</f>
        <v>67.87</v>
      </c>
      <c r="AS54" s="1500"/>
      <c r="AT54" s="1500">
        <f>AT50+AT34+AT53</f>
        <v>-41.389000000000038</v>
      </c>
      <c r="AU54" s="1500"/>
      <c r="AV54" s="1500">
        <f>AV50+AV34+AV53</f>
        <v>142.28058500000017</v>
      </c>
      <c r="AW54" s="1500"/>
      <c r="AX54" s="1500">
        <f>AX50+AX34+AX53</f>
        <v>11.210327165555384</v>
      </c>
      <c r="AY54" s="1500"/>
      <c r="AZ54" s="1500">
        <f>AZ50+AZ34+AZ53</f>
        <v>72.460499190917247</v>
      </c>
      <c r="BA54" s="1500"/>
      <c r="BB54" s="1500">
        <f>BB50+BB34+BB53</f>
        <v>55.115935122884174</v>
      </c>
      <c r="BC54" s="1500"/>
      <c r="BD54" s="1500">
        <f>BD50+BD34+BD53</f>
        <v>20.061642539626618</v>
      </c>
      <c r="BE54" s="1500"/>
      <c r="BF54" s="1500">
        <f>BF50+BF34+BF53</f>
        <v>19.412401844546963</v>
      </c>
      <c r="BG54" s="1500"/>
    </row>
    <row r="55" spans="1:59">
      <c r="A55" s="22" t="s">
        <v>244</v>
      </c>
      <c r="D55" s="1500">
        <f>D52+D54</f>
        <v>0.87400000000000355</v>
      </c>
      <c r="E55" s="1500"/>
      <c r="F55" s="1500">
        <f>F52+F54</f>
        <v>1.9450000000000052</v>
      </c>
      <c r="G55" s="1500"/>
      <c r="H55" s="1500">
        <f>H52+H54</f>
        <v>42.667000000000009</v>
      </c>
      <c r="I55" s="1500"/>
      <c r="J55" s="1500">
        <f>J52+J54</f>
        <v>163.56399999999999</v>
      </c>
      <c r="K55" s="1500"/>
      <c r="L55" s="1537">
        <f>L52+L54</f>
        <v>147.90800000000002</v>
      </c>
      <c r="M55" s="1500"/>
      <c r="N55" s="1500">
        <f>N52+N54</f>
        <v>155.79700000000005</v>
      </c>
      <c r="O55" s="1500"/>
      <c r="P55" s="1500">
        <f>P52+P54</f>
        <v>192.64500000000007</v>
      </c>
      <c r="Q55" s="1500"/>
      <c r="R55" s="1500">
        <f>R52+R54</f>
        <v>43.354999999999876</v>
      </c>
      <c r="S55" s="1500"/>
      <c r="T55" s="1500">
        <f>T52+T54</f>
        <v>47.081000000009624</v>
      </c>
      <c r="U55" s="1500"/>
      <c r="V55" s="1500">
        <f>V52+V54</f>
        <v>338.73500000001059</v>
      </c>
      <c r="W55" s="1500"/>
      <c r="X55" s="1537">
        <f>X52+X54</f>
        <v>50.687000000010471</v>
      </c>
      <c r="Y55" s="1500"/>
      <c r="Z55" s="1500">
        <f>Z52+Z54</f>
        <v>81.959000000010434</v>
      </c>
      <c r="AA55" s="1500"/>
      <c r="AB55" s="1537">
        <f>AB52+AB54</f>
        <v>118.04400000001007</v>
      </c>
      <c r="AC55" s="1500"/>
      <c r="AD55" s="1537">
        <f>AD52+AD54</f>
        <v>522.12200000000996</v>
      </c>
      <c r="AE55" s="1500"/>
      <c r="AF55" s="1500">
        <f>AF52+AF54</f>
        <v>669.95000000001005</v>
      </c>
      <c r="AG55" s="1500"/>
      <c r="AH55" s="1500">
        <f>AH52+AH54</f>
        <v>826.35300000001007</v>
      </c>
      <c r="AI55" s="1500"/>
      <c r="AJ55" s="1500">
        <f>AJ52+AJ54</f>
        <v>583.49200000000053</v>
      </c>
      <c r="AK55" s="1500"/>
      <c r="AL55" s="1500">
        <f>AL52+AL54</f>
        <v>643.50499999999977</v>
      </c>
      <c r="AM55" s="1500"/>
      <c r="AN55" s="1500">
        <f>AN52+AN54</f>
        <v>601.74999999999977</v>
      </c>
      <c r="AO55" s="1500"/>
      <c r="AP55" s="1500">
        <f>AP52+AP54</f>
        <v>520.70799999999974</v>
      </c>
      <c r="AQ55" s="1500"/>
      <c r="AR55" s="1500">
        <f>AR52+AR54</f>
        <v>588.57799999999975</v>
      </c>
      <c r="AS55" s="1500"/>
      <c r="AT55" s="1500">
        <f>AT52+AT54</f>
        <v>547.18899999999974</v>
      </c>
      <c r="AU55" s="1500"/>
      <c r="AV55" s="1500">
        <f>AV52+AV54</f>
        <v>689.46958499999994</v>
      </c>
      <c r="AW55" s="1500"/>
      <c r="AX55" s="1500">
        <f>AX52+AX54</f>
        <v>700.67991216555538</v>
      </c>
      <c r="AY55" s="1500"/>
      <c r="AZ55" s="1500">
        <f>AZ52+AZ54</f>
        <v>773.14041135647267</v>
      </c>
      <c r="BA55" s="1500"/>
      <c r="BB55" s="1500">
        <f>BB52+BB54</f>
        <v>828.25634647935681</v>
      </c>
      <c r="BC55" s="1500"/>
      <c r="BD55" s="1500">
        <f>BD52+BD54</f>
        <v>848.31798901898344</v>
      </c>
      <c r="BE55" s="1500"/>
      <c r="BF55" s="1500">
        <f>BF52+BF54</f>
        <v>867.73039086353037</v>
      </c>
      <c r="BG55" s="1500"/>
    </row>
    <row r="56" spans="1:59" hidden="1" outlineLevel="1">
      <c r="A56" s="871" t="s">
        <v>48</v>
      </c>
      <c r="B56" s="871"/>
      <c r="C56" s="871"/>
      <c r="D56" s="871"/>
      <c r="E56" s="871"/>
      <c r="F56" s="871"/>
      <c r="G56" s="871"/>
      <c r="H56" s="871"/>
      <c r="I56" s="871"/>
      <c r="J56" s="871"/>
      <c r="K56" s="871"/>
      <c r="L56" s="1621">
        <f>bal!O9+bal!O10</f>
        <v>193.50900000000001</v>
      </c>
      <c r="M56" s="1931"/>
      <c r="N56" s="1931">
        <f>bal!Q9+bal!Q10</f>
        <v>155.79700000000005</v>
      </c>
      <c r="O56" s="1931"/>
      <c r="P56" s="1931">
        <f>bal!S9+bal!S10</f>
        <v>263.86500000000007</v>
      </c>
      <c r="Q56" s="1931"/>
      <c r="R56" s="1931">
        <f>bal!U9+bal!U10</f>
        <v>430.06299999999987</v>
      </c>
      <c r="S56" s="1931"/>
      <c r="T56" s="1931">
        <f>bal!W9+bal!W10</f>
        <v>521.07300000000964</v>
      </c>
      <c r="U56" s="1931"/>
      <c r="V56" s="1931">
        <f>bal!Y9+bal!Y10</f>
        <v>338.73500000001059</v>
      </c>
      <c r="W56" s="1931"/>
      <c r="X56" s="1621">
        <f>bal!AA9+bal!AA10</f>
        <v>461.85400000001044</v>
      </c>
      <c r="Y56" s="1931"/>
      <c r="Z56" s="1931">
        <f>bal!AC9+bal!AC10</f>
        <v>529.75200000001041</v>
      </c>
      <c r="AA56" s="1931"/>
      <c r="AB56" s="1621">
        <f>bal!AE9+bal!AE10</f>
        <v>648.53000000001009</v>
      </c>
      <c r="AC56" s="1931"/>
      <c r="AD56" s="1931">
        <f>bal!AG9+bal!AG10</f>
        <v>522.12199999999996</v>
      </c>
      <c r="AE56" s="1931"/>
      <c r="AF56" s="1931">
        <f>bal!AI9+bal!AI10</f>
        <v>702.30600000001004</v>
      </c>
      <c r="AG56" s="1931"/>
      <c r="AH56" s="1931">
        <f>bal!AK9+bal!AK10</f>
        <v>826.35300000001007</v>
      </c>
      <c r="AI56" s="1931"/>
      <c r="AJ56" s="1931">
        <f>bal!AM9+bal!AM10</f>
        <v>668.14200000000051</v>
      </c>
      <c r="AK56" s="1931"/>
      <c r="AL56" s="1931">
        <f>bal!AO9+bal!AO10</f>
        <v>643.50499999999977</v>
      </c>
      <c r="AM56" s="1931"/>
      <c r="AN56" s="1931">
        <f>bal!AQ9+bal!AQ10</f>
        <v>601.74999999999977</v>
      </c>
      <c r="AO56" s="1931"/>
      <c r="AP56" s="1931">
        <f>bal!AS9+bal!AS10</f>
        <v>520.70799999999974</v>
      </c>
      <c r="AQ56" s="1931"/>
      <c r="AR56" s="1931">
        <f>bal!AU9+bal!AU10</f>
        <v>588.57799999999975</v>
      </c>
      <c r="AS56" s="1931"/>
      <c r="AT56" s="1931">
        <f>bal!AW9+bal!AW10</f>
        <v>547.18899999999974</v>
      </c>
      <c r="AU56" s="1931"/>
      <c r="AV56" s="1931">
        <f>bal!AY9+bal!AY10</f>
        <v>689.46958499999994</v>
      </c>
      <c r="AW56" s="1931"/>
      <c r="AX56" s="1931">
        <f>bal!BA9+bal!BA10</f>
        <v>700.67991216555538</v>
      </c>
      <c r="AY56" s="1931"/>
      <c r="AZ56" s="1931">
        <f>bal!BC9+bal!BC10</f>
        <v>773.14041135647267</v>
      </c>
      <c r="BA56" s="1931"/>
      <c r="BB56" s="1931">
        <f>bal!BE9+bal!BE10</f>
        <v>828.25634647935681</v>
      </c>
      <c r="BC56" s="1931"/>
      <c r="BD56" s="1931">
        <f>bal!BG9+bal!BG10</f>
        <v>848.31798901898344</v>
      </c>
      <c r="BE56" s="1931"/>
      <c r="BF56" s="1931">
        <f>bal!BI9+bal!BI10</f>
        <v>867.73039086353037</v>
      </c>
      <c r="BG56" s="1931"/>
    </row>
    <row r="57" spans="1:59" collapsed="1">
      <c r="A57" s="22" t="s">
        <v>255</v>
      </c>
      <c r="D57" s="379">
        <f>-D50+D54</f>
        <v>-11.811999999999998</v>
      </c>
      <c r="F57" s="379">
        <f>-F50+F54</f>
        <v>22.513000000000005</v>
      </c>
      <c r="H57" s="379">
        <f>-H50+H54</f>
        <v>70.709000000000003</v>
      </c>
      <c r="J57" s="379">
        <f>-J50+J54</f>
        <v>131.536</v>
      </c>
      <c r="L57" s="1536">
        <f>-L50+L54</f>
        <v>79.374000000000038</v>
      </c>
      <c r="N57" s="379">
        <f>-N50+N54</f>
        <v>-2.2919999999999732</v>
      </c>
      <c r="P57" s="379">
        <f>-P50+P54</f>
        <v>106.68700000000001</v>
      </c>
      <c r="R57" s="379">
        <f>-R50+R54</f>
        <v>195.29199999999992</v>
      </c>
      <c r="T57" s="379">
        <f>-T50+T54</f>
        <v>173.47600000000995</v>
      </c>
      <c r="V57" s="379">
        <f>-V50+V54</f>
        <v>238.71900000000022</v>
      </c>
      <c r="X57" s="1536">
        <f>-X50+X54</f>
        <v>197.16799999999989</v>
      </c>
      <c r="Z57" s="379">
        <f>-Z50+Z54</f>
        <v>178.69499999999994</v>
      </c>
      <c r="AB57" s="1536">
        <f>-AB50+AB54</f>
        <v>414.17899999999969</v>
      </c>
      <c r="AD57" s="379">
        <f>-AD50+AD54</f>
        <v>123.23399999999992</v>
      </c>
      <c r="AF57" s="379">
        <f>-AF50+AF54</f>
        <v>216.56500000000005</v>
      </c>
      <c r="AH57" s="379">
        <f>-AH50+AH54</f>
        <v>230.85400000000004</v>
      </c>
      <c r="AJ57" s="379">
        <f>-AJ50+AJ54</f>
        <v>21.87699999999046</v>
      </c>
      <c r="AL57" s="379">
        <f>-AL50+AL54</f>
        <v>334.97299999999927</v>
      </c>
      <c r="AN57" s="379">
        <f>-AN50+AN54</f>
        <v>3.2659999999999627</v>
      </c>
      <c r="AP57" s="379">
        <f>-AP50+AP54</f>
        <v>135.77199999999999</v>
      </c>
      <c r="AQ57" s="379"/>
      <c r="AR57" s="379">
        <f>-AR50+AR54</f>
        <v>191.67700000000002</v>
      </c>
      <c r="AS57" s="379"/>
      <c r="AT57" s="379">
        <f>-AT50+AT54</f>
        <v>47.84499999999997</v>
      </c>
      <c r="AU57" s="379"/>
      <c r="AV57" s="379">
        <f>-AV50+AV54</f>
        <v>207.20000000000019</v>
      </c>
      <c r="AW57" s="379"/>
      <c r="AX57" s="379">
        <f>-AX50+AX54</f>
        <v>68.381024665555373</v>
      </c>
      <c r="AY57" s="379"/>
      <c r="AZ57" s="379">
        <f>-AZ50+AZ54</f>
        <v>130.38588419091724</v>
      </c>
      <c r="BA57" s="379"/>
      <c r="BB57" s="379">
        <f>-BB50+BB54</f>
        <v>113.44382012288416</v>
      </c>
      <c r="BC57" s="379"/>
      <c r="BD57" s="379">
        <f>-BD50+BD54</f>
        <v>102.2841815396266</v>
      </c>
      <c r="BE57" s="379"/>
      <c r="BF57" s="379">
        <f>-BF50+BF54</f>
        <v>102.19844084454694</v>
      </c>
      <c r="BG57" s="379"/>
    </row>
    <row r="58" spans="1:59">
      <c r="F58" s="1932"/>
      <c r="L58" s="114"/>
      <c r="AF58" s="1500"/>
    </row>
    <row r="59" spans="1:59">
      <c r="F59" s="1933"/>
      <c r="L59" s="114"/>
      <c r="R59" s="1500"/>
      <c r="T59" s="1500"/>
      <c r="V59" s="1500"/>
      <c r="X59" s="1500"/>
      <c r="Z59" s="1500"/>
      <c r="AB59" s="1500"/>
      <c r="AD59" s="1500"/>
      <c r="AF59" s="1500"/>
      <c r="AL59" s="1500"/>
      <c r="AP59"/>
    </row>
    <row r="60" spans="1:59">
      <c r="A60" s="22" t="s">
        <v>9</v>
      </c>
      <c r="L60" s="114"/>
      <c r="R60" s="1500"/>
      <c r="AL60" s="1934"/>
    </row>
    <row r="61" spans="1:59">
      <c r="L61" s="114"/>
      <c r="AF61" s="1500"/>
    </row>
    <row r="62" spans="1:59">
      <c r="C62" s="40"/>
      <c r="D62" s="97"/>
      <c r="E62" s="97"/>
      <c r="F62" s="97"/>
      <c r="G62" s="97"/>
      <c r="H62" s="97"/>
      <c r="I62" s="97"/>
      <c r="J62" s="97"/>
      <c r="K62" s="97"/>
      <c r="L62" s="310"/>
      <c r="M62" s="97"/>
      <c r="N62" s="97"/>
      <c r="O62" s="97"/>
      <c r="P62" s="97"/>
      <c r="Q62" s="97"/>
      <c r="R62" s="97"/>
      <c r="S62" s="97"/>
      <c r="T62" s="97"/>
      <c r="U62" s="97"/>
      <c r="V62" s="97"/>
      <c r="W62" s="97"/>
      <c r="X62" s="97"/>
      <c r="Y62" s="97"/>
      <c r="Z62" s="97"/>
      <c r="AA62" s="97"/>
      <c r="AB62" s="97"/>
      <c r="AC62" s="97"/>
      <c r="AD62" s="1935"/>
      <c r="AE62" s="97"/>
      <c r="AF62" s="97"/>
      <c r="AG62" s="97"/>
      <c r="AH62" s="97"/>
      <c r="AI62" s="97"/>
      <c r="AJ62" s="97"/>
      <c r="AK62" s="97"/>
      <c r="AL62" s="97"/>
      <c r="AM62" s="97"/>
      <c r="AN62" s="97"/>
      <c r="AO62" s="97"/>
      <c r="AP62" s="97"/>
      <c r="AQ62" s="97"/>
      <c r="AR62" s="97"/>
      <c r="AS62" s="97"/>
      <c r="AT62" s="97"/>
      <c r="AU62" s="97"/>
      <c r="AV62" s="97"/>
      <c r="AW62" s="97"/>
      <c r="AX62" s="97"/>
      <c r="AY62" s="97"/>
      <c r="AZ62" s="97"/>
      <c r="BA62" s="97"/>
      <c r="BB62" s="97"/>
      <c r="BC62" s="97"/>
      <c r="BD62" s="97"/>
      <c r="BE62" s="97"/>
      <c r="BF62" s="97"/>
      <c r="BG62" s="97"/>
    </row>
    <row r="63" spans="1:59">
      <c r="C63" s="97"/>
      <c r="D63" s="97"/>
      <c r="E63" s="97"/>
      <c r="F63" s="97"/>
      <c r="G63" s="97"/>
      <c r="H63" s="97"/>
      <c r="I63" s="97"/>
      <c r="J63" s="97"/>
      <c r="K63" s="97"/>
      <c r="L63" s="310"/>
      <c r="M63" s="97"/>
      <c r="N63" s="97"/>
      <c r="O63" s="97"/>
      <c r="P63" s="1919"/>
      <c r="Q63" s="97"/>
      <c r="R63" s="1919"/>
      <c r="S63" s="97"/>
      <c r="T63" s="1919"/>
      <c r="U63" s="97"/>
      <c r="V63" s="1919"/>
      <c r="W63" s="97"/>
      <c r="X63" s="1919"/>
      <c r="Y63" s="97"/>
      <c r="Z63" s="97"/>
      <c r="AA63" s="97"/>
      <c r="AB63" s="97"/>
      <c r="AC63" s="97"/>
      <c r="AD63" s="97"/>
      <c r="AE63" s="97"/>
      <c r="AF63" s="97"/>
      <c r="AG63" s="97"/>
      <c r="AH63" s="97"/>
      <c r="AI63" s="97"/>
      <c r="AJ63" s="97"/>
      <c r="AK63" s="97"/>
      <c r="AL63" s="97"/>
      <c r="AM63" s="97"/>
      <c r="AN63" s="97"/>
      <c r="AO63" s="97"/>
      <c r="AP63" s="97"/>
      <c r="AQ63" s="97"/>
      <c r="AR63" s="97"/>
      <c r="AS63" s="97"/>
      <c r="AT63" s="97"/>
      <c r="AU63" s="97"/>
      <c r="AV63" s="97"/>
      <c r="AW63" s="97"/>
      <c r="AX63" s="97"/>
      <c r="AY63" s="97"/>
      <c r="AZ63" s="97"/>
      <c r="BA63" s="97"/>
      <c r="BB63" s="97"/>
      <c r="BC63" s="97"/>
      <c r="BD63" s="97"/>
      <c r="BE63" s="97"/>
      <c r="BF63" s="97"/>
      <c r="BG63" s="97"/>
    </row>
    <row r="64" spans="1:59">
      <c r="C64" s="97"/>
      <c r="D64" s="97"/>
      <c r="E64" s="97"/>
      <c r="F64" s="97"/>
      <c r="G64" s="97"/>
      <c r="H64" s="97"/>
      <c r="I64" s="97"/>
      <c r="J64" s="97"/>
      <c r="K64" s="97"/>
      <c r="L64" s="310"/>
      <c r="M64" s="97"/>
      <c r="N64" s="97"/>
      <c r="O64" s="97"/>
      <c r="P64" s="97"/>
      <c r="Q64" s="97"/>
      <c r="R64" s="97"/>
      <c r="S64" s="97"/>
      <c r="T64" s="97"/>
      <c r="U64" s="97"/>
      <c r="V64" s="97"/>
      <c r="W64" s="97"/>
      <c r="X64" s="97"/>
      <c r="Y64" s="97"/>
      <c r="Z64" s="97"/>
      <c r="AA64" s="97"/>
      <c r="AB64" s="97"/>
      <c r="AC64" s="97"/>
      <c r="AD64" s="97"/>
      <c r="AE64" s="97"/>
      <c r="AF64" s="97"/>
      <c r="AG64" s="97"/>
      <c r="AH64" s="97"/>
      <c r="AI64" s="97"/>
      <c r="AJ64" s="97"/>
      <c r="AK64" s="97"/>
      <c r="AL64" s="97"/>
      <c r="AM64" s="97"/>
      <c r="AN64" s="97"/>
      <c r="AO64" s="97"/>
      <c r="AP64" s="97"/>
      <c r="AQ64" s="97"/>
      <c r="AR64" s="97"/>
      <c r="AS64" s="97"/>
      <c r="AT64" s="97"/>
      <c r="AU64" s="97"/>
      <c r="AV64" s="97"/>
      <c r="AW64" s="97"/>
      <c r="AX64" s="97"/>
      <c r="AY64" s="97"/>
      <c r="AZ64" s="97"/>
      <c r="BA64" s="97"/>
      <c r="BB64" s="97"/>
      <c r="BC64" s="97"/>
      <c r="BD64" s="97"/>
      <c r="BE64" s="97"/>
      <c r="BF64" s="97"/>
      <c r="BG64" s="97"/>
    </row>
    <row r="65" spans="1:59">
      <c r="C65" s="97" t="s">
        <v>42</v>
      </c>
      <c r="D65" s="97"/>
      <c r="E65" s="97"/>
      <c r="F65" s="97"/>
      <c r="G65" s="97"/>
      <c r="H65" s="97"/>
      <c r="I65" s="97"/>
      <c r="J65" s="97"/>
      <c r="K65" s="97"/>
      <c r="L65" s="310"/>
      <c r="M65" s="97"/>
      <c r="N65" s="97"/>
      <c r="O65" s="97"/>
      <c r="P65" s="97"/>
      <c r="Q65" s="97"/>
      <c r="R65" s="1693">
        <f>R54/'yrP&amp;L'!J61</f>
        <v>-1.4835388697319931</v>
      </c>
      <c r="S65" s="1693"/>
      <c r="T65" s="1693">
        <f>T54/'yrP&amp;L'!K61</f>
        <v>3.7417152038659876E-2</v>
      </c>
      <c r="U65" s="1693"/>
      <c r="V65" s="1693">
        <f>V54/'yrP&amp;L'!L61</f>
        <v>3.0664914309746711</v>
      </c>
      <c r="W65" s="1693"/>
      <c r="X65" s="1693">
        <f>X54/'yrP&amp;L'!L61</f>
        <v>-3.0285774366522986</v>
      </c>
      <c r="Y65" s="1693"/>
      <c r="Z65" s="1693">
        <f>Z54/'yrP&amp;L'!O61</f>
        <v>0.33987610042386657</v>
      </c>
      <c r="AA65" s="1693"/>
      <c r="AB65" s="1693">
        <f>AB54/'yrP&amp;L'!Q61</f>
        <v>0.39427247795635678</v>
      </c>
      <c r="AC65" s="1693"/>
      <c r="AD65" s="1693">
        <f>AD54/'yrP&amp;L'!S61</f>
        <v>4.5254056959827968</v>
      </c>
      <c r="AE65" s="1693"/>
      <c r="AF65" s="1693">
        <f>AF54/'yrP&amp;L'!U61</f>
        <v>1.6452571479449318</v>
      </c>
      <c r="AG65" s="1693"/>
      <c r="AH65" s="1693">
        <f>AH54/'yrP&amp;L'!U61</f>
        <v>1.7406929249535343</v>
      </c>
      <c r="AI65" s="1693"/>
      <c r="AJ65" s="1693">
        <f>AJ54/'yrP&amp;L'!W61</f>
        <v>-2.9198709952781567</v>
      </c>
      <c r="AK65" s="1693"/>
      <c r="AL65" s="1693">
        <f>AL54/'yrP&amp;L'!W61</f>
        <v>0.72152473241738679</v>
      </c>
      <c r="AM65" s="1693"/>
      <c r="AN65" s="1693">
        <f>AN54/'yrP&amp;L'!X61</f>
        <v>-0.52743602051385741</v>
      </c>
      <c r="AO65" s="1693"/>
      <c r="AP65" s="1693">
        <f>AP54/'yrP&amp;L'!Y61</f>
        <v>-1.1111232981888479</v>
      </c>
      <c r="AR65" s="1693">
        <f>AR54/'yrP&amp;L'!Z61</f>
        <v>0.9777143927280062</v>
      </c>
      <c r="AS65" s="1693"/>
      <c r="AT65" s="1693">
        <f>AT54/'yrP&amp;L'!AA61</f>
        <v>-0.6061302794212412</v>
      </c>
      <c r="AU65" s="1693"/>
      <c r="AV65" s="1693">
        <f>AV54/'yrP&amp;L'!AB61</f>
        <v>2.0500639021367975</v>
      </c>
      <c r="AW65" s="1693"/>
      <c r="AX65" s="1693">
        <f>AX54/'yrP&amp;L'!AC61</f>
        <v>0.1578485791304555</v>
      </c>
      <c r="AY65" s="1693"/>
      <c r="AZ65" s="1693">
        <f>AZ54/'yrP&amp;L'!AD61</f>
        <v>1.0069972232154933</v>
      </c>
      <c r="BA65" s="1693"/>
      <c r="BB65" s="1693">
        <f>BB54/'yrP&amp;L'!AE61</f>
        <v>0.76067095136265894</v>
      </c>
      <c r="BC65" s="1693"/>
      <c r="BD65" s="1693">
        <f>BD54/'yrP&amp;L'!AF61</f>
        <v>0.27497899501934864</v>
      </c>
      <c r="BE65" s="1693"/>
      <c r="BF65" s="1693">
        <f>BF54/'yrP&amp;L'!AG61</f>
        <v>0.264268917115414</v>
      </c>
      <c r="BG65" s="1693"/>
    </row>
    <row r="66" spans="1:59">
      <c r="C66" s="97"/>
      <c r="D66" s="97"/>
      <c r="E66" s="97"/>
      <c r="F66" s="97"/>
      <c r="G66" s="97"/>
      <c r="H66" s="97"/>
      <c r="I66" s="97"/>
      <c r="J66" s="97"/>
      <c r="K66" s="97"/>
      <c r="L66" s="310"/>
      <c r="M66" s="97"/>
      <c r="N66" s="97"/>
      <c r="O66" s="97"/>
      <c r="P66" s="97"/>
      <c r="Q66" s="97"/>
      <c r="R66" s="97"/>
      <c r="S66" s="97"/>
      <c r="T66" s="97"/>
      <c r="U66" s="97"/>
      <c r="V66" s="97"/>
      <c r="W66" s="97"/>
      <c r="X66" s="97"/>
      <c r="Y66" s="97"/>
      <c r="Z66" s="97"/>
      <c r="AA66" s="97"/>
      <c r="AB66" s="97"/>
      <c r="AC66" s="97"/>
      <c r="AD66" s="97"/>
      <c r="AE66" s="97"/>
      <c r="AF66" s="97"/>
      <c r="AG66" s="97"/>
      <c r="AH66" s="97"/>
      <c r="AI66" s="97"/>
      <c r="AJ66" s="97"/>
      <c r="AK66" s="97"/>
      <c r="AL66" s="97"/>
      <c r="AM66" s="97"/>
      <c r="AN66" s="97"/>
      <c r="AO66" s="97"/>
      <c r="AP66" s="97"/>
      <c r="AQ66" s="97"/>
      <c r="AR66" s="97"/>
      <c r="AS66" s="97"/>
      <c r="AT66" s="97"/>
      <c r="AU66" s="97"/>
      <c r="AV66" s="97"/>
      <c r="AW66" s="97"/>
      <c r="AX66" s="97"/>
      <c r="AY66" s="97"/>
      <c r="AZ66" s="97"/>
      <c r="BA66" s="97"/>
      <c r="BB66" s="97"/>
      <c r="BC66" s="97"/>
      <c r="BD66" s="97"/>
      <c r="BE66" s="97"/>
      <c r="BF66" s="97"/>
      <c r="BG66" s="97"/>
    </row>
    <row r="67" spans="1:59">
      <c r="A67" s="1936" t="s">
        <v>218</v>
      </c>
      <c r="B67" s="1936"/>
      <c r="C67" s="1936"/>
      <c r="D67" s="1936"/>
      <c r="E67" s="1936"/>
      <c r="F67" s="1936"/>
      <c r="G67" s="1936"/>
      <c r="H67" s="1936"/>
      <c r="I67" s="1936"/>
      <c r="J67" s="1936"/>
      <c r="K67" s="1936"/>
      <c r="L67" s="1937"/>
      <c r="M67" s="1936"/>
      <c r="N67" s="1936"/>
      <c r="O67" s="1936"/>
      <c r="P67" s="1936"/>
      <c r="Q67" s="1936"/>
      <c r="R67" s="1936"/>
      <c r="S67" s="1936"/>
      <c r="T67" s="1936"/>
      <c r="U67" s="1936"/>
      <c r="V67" s="1936"/>
      <c r="W67" s="1936"/>
      <c r="X67" s="1936"/>
      <c r="Y67" s="1936"/>
      <c r="Z67" s="1936"/>
      <c r="AA67" s="1936"/>
      <c r="AB67" s="1936"/>
      <c r="AC67" s="1936"/>
      <c r="AD67" s="1936"/>
      <c r="AE67" s="1936"/>
      <c r="AF67" s="1936"/>
      <c r="AG67" s="1936"/>
      <c r="AH67" s="1936"/>
      <c r="AI67" s="1936"/>
      <c r="AJ67" s="1936"/>
      <c r="AK67" s="1936"/>
      <c r="AL67" s="1936"/>
      <c r="AM67" s="1936"/>
      <c r="AN67" s="1936"/>
      <c r="AO67" s="1936"/>
      <c r="AP67" s="1936"/>
      <c r="AQ67" s="1936"/>
      <c r="AR67" s="1936"/>
      <c r="AS67" s="1936"/>
      <c r="AT67" s="1936"/>
      <c r="AU67" s="1936"/>
      <c r="AV67" s="1936"/>
      <c r="AW67" s="1936"/>
      <c r="AX67" s="1936"/>
      <c r="AY67" s="1936"/>
      <c r="AZ67" s="1936"/>
      <c r="BA67" s="1936"/>
      <c r="BB67" s="1936"/>
      <c r="BC67" s="1936"/>
      <c r="BD67" s="1936"/>
      <c r="BE67" s="1936"/>
      <c r="BF67" s="1936"/>
      <c r="BG67" s="1938"/>
    </row>
    <row r="68" spans="1:59">
      <c r="A68" s="1649" t="s">
        <v>388</v>
      </c>
      <c r="B68" s="1649"/>
      <c r="C68" s="1651"/>
      <c r="D68" s="1651"/>
      <c r="E68" s="1651"/>
      <c r="F68" s="1651"/>
      <c r="G68" s="1651"/>
      <c r="H68" s="1651"/>
      <c r="I68" s="1651"/>
      <c r="J68" s="1651"/>
      <c r="K68" s="1651"/>
      <c r="L68" s="1939"/>
      <c r="M68" s="1651"/>
      <c r="N68" s="1939">
        <f>bal!Q85-bal!O85</f>
        <v>26.033000000000001</v>
      </c>
      <c r="O68" s="1651"/>
      <c r="P68" s="1939">
        <f>bal!S85-bal!Q85</f>
        <v>30.800000000000011</v>
      </c>
      <c r="Q68" s="1651"/>
      <c r="R68" s="1939">
        <f>bal!U85-bal!S85</f>
        <v>56.489999999999981</v>
      </c>
      <c r="S68" s="1651"/>
      <c r="T68" s="1940">
        <f>T70*T72</f>
        <v>62.677299999999995</v>
      </c>
      <c r="U68" s="1941"/>
      <c r="V68" s="1942">
        <f>bal!Y85-bal!W85</f>
        <v>54.605999999999995</v>
      </c>
      <c r="W68" s="1941"/>
      <c r="X68" s="1219">
        <f>X70*X72</f>
        <v>64.097310715028257</v>
      </c>
      <c r="Y68" s="310"/>
      <c r="Z68" s="1219">
        <f>Z70*Z72</f>
        <v>75.424750373296547</v>
      </c>
      <c r="AA68" s="310"/>
      <c r="AB68" s="1219">
        <f>AB70*AB72</f>
        <v>94.807831629085001</v>
      </c>
      <c r="AC68" s="310"/>
      <c r="AD68" s="1219">
        <f>AD70*AD72</f>
        <v>116.28507006634284</v>
      </c>
      <c r="AE68" s="310"/>
      <c r="AF68" s="1219">
        <f>AF70*AF72</f>
        <v>123.20951586746556</v>
      </c>
      <c r="AG68" s="310"/>
      <c r="AH68" s="1219">
        <f>AH70*AH72</f>
        <v>118.25588974993858</v>
      </c>
      <c r="AI68" s="310"/>
      <c r="AJ68" s="1219">
        <f>AJ70*AJ72</f>
        <v>120.21845252991098</v>
      </c>
      <c r="AK68" s="310"/>
      <c r="AL68" s="1219">
        <f>AL70*AL72</f>
        <v>115.72308456347932</v>
      </c>
      <c r="AM68" s="310"/>
      <c r="AN68" s="1219">
        <f>AN70*AN72</f>
        <v>121.39712552214263</v>
      </c>
      <c r="AO68" s="310"/>
      <c r="AP68" s="1219">
        <f>AP70*AP72</f>
        <v>116.84602345625342</v>
      </c>
      <c r="AQ68" s="1219"/>
      <c r="AR68" s="1219">
        <f>AR70*AR72</f>
        <v>110.27094788969325</v>
      </c>
      <c r="AS68" s="1219"/>
      <c r="AT68" s="1219">
        <f>AT70*AT72</f>
        <v>100.84466029069877</v>
      </c>
      <c r="AU68" s="1219"/>
      <c r="AV68" s="1219">
        <f>AV70*AV72</f>
        <v>99.158703782108219</v>
      </c>
      <c r="AW68" s="1219"/>
      <c r="AX68" s="1219">
        <f>AX70*AX72</f>
        <v>92.890165762564507</v>
      </c>
      <c r="AY68" s="1219"/>
      <c r="AZ68" s="1219">
        <f>AZ70*AZ72</f>
        <v>90.337074007438162</v>
      </c>
      <c r="BA68" s="1219"/>
      <c r="BB68" s="1219">
        <f>BB70*BB72</f>
        <v>86.260320559128829</v>
      </c>
      <c r="BC68" s="1219"/>
      <c r="BD68" s="1219">
        <f>BD70*BD72</f>
        <v>82.069661706417719</v>
      </c>
      <c r="BE68" s="1219"/>
      <c r="BF68" s="1219">
        <f>BF70*BF72</f>
        <v>81.840773626287231</v>
      </c>
      <c r="BG68" s="1219"/>
    </row>
    <row r="69" spans="1:59">
      <c r="A69" s="1649" t="s">
        <v>219</v>
      </c>
      <c r="B69" s="1649"/>
      <c r="C69" s="1651"/>
      <c r="D69" s="1651"/>
      <c r="E69" s="1651"/>
      <c r="F69" s="1651"/>
      <c r="G69" s="1651"/>
      <c r="H69" s="1651"/>
      <c r="I69" s="1651"/>
      <c r="J69" s="1651"/>
      <c r="K69" s="1651"/>
      <c r="L69" s="1943"/>
      <c r="M69" s="1651"/>
      <c r="N69" s="1943">
        <f>N70-N68</f>
        <v>4.6980000000000004</v>
      </c>
      <c r="O69" s="1651"/>
      <c r="P69" s="1943">
        <f>P70-P68</f>
        <v>10.35499999999999</v>
      </c>
      <c r="Q69" s="1651"/>
      <c r="R69" s="1943">
        <f>R70-R68</f>
        <v>19.461000000000013</v>
      </c>
      <c r="S69" s="1651"/>
      <c r="T69" s="1944">
        <f>T70-T68</f>
        <v>26.861700000000006</v>
      </c>
      <c r="U69" s="1941"/>
      <c r="V69" s="1945">
        <f>V70-V68</f>
        <v>51.207999999999998</v>
      </c>
      <c r="W69" s="1941"/>
      <c r="X69" s="1946">
        <f>X70-X68</f>
        <v>60.108689284971746</v>
      </c>
      <c r="Y69" s="310"/>
      <c r="Z69" s="1947">
        <f>Z70-Z68</f>
        <v>70.731249626703459</v>
      </c>
      <c r="AA69" s="310"/>
      <c r="AB69" s="1947">
        <f>AB70-AB68</f>
        <v>88.908168370915007</v>
      </c>
      <c r="AC69" s="310"/>
      <c r="AD69" s="1947">
        <f>AD70-AD68</f>
        <v>109.04892993365716</v>
      </c>
      <c r="AE69" s="310"/>
      <c r="AF69" s="1947">
        <f>AF70-AF68</f>
        <v>115.54248413253445</v>
      </c>
      <c r="AG69" s="310"/>
      <c r="AH69" s="1947">
        <f>AH70-AH68</f>
        <v>110.89711025006142</v>
      </c>
      <c r="AI69" s="310"/>
      <c r="AJ69" s="1947">
        <f>AJ70-AJ68</f>
        <v>112.73754747008901</v>
      </c>
      <c r="AK69" s="310"/>
      <c r="AL69" s="1947">
        <f>AL70-AL68</f>
        <v>108.52191543652069</v>
      </c>
      <c r="AM69" s="310"/>
      <c r="AN69" s="1947">
        <f>AN70-AN68</f>
        <v>113.84287447785738</v>
      </c>
      <c r="AO69" s="310"/>
      <c r="AP69" s="1947">
        <f>AP70-AP68</f>
        <v>109.57497654374657</v>
      </c>
      <c r="AQ69" s="1947"/>
      <c r="AR69" s="1947">
        <f>AR70-AR68</f>
        <v>103.40905211030676</v>
      </c>
      <c r="AS69" s="1947"/>
      <c r="AT69" s="1947">
        <f>AT70-AT68</f>
        <v>94.569339709301218</v>
      </c>
      <c r="AU69" s="1947"/>
      <c r="AV69" s="1947">
        <f>AV70-AV68</f>
        <v>92.988296217891772</v>
      </c>
      <c r="AW69" s="1947"/>
      <c r="AX69" s="1947">
        <f>AX70-AX68</f>
        <v>87.109834237435493</v>
      </c>
      <c r="AY69" s="1947"/>
      <c r="AZ69" s="1947">
        <f>AZ70-AZ68</f>
        <v>84.715615239587095</v>
      </c>
      <c r="BA69" s="1947"/>
      <c r="BB69" s="1947">
        <f>BB70-BB68</f>
        <v>80.892548349849264</v>
      </c>
      <c r="BC69" s="1947"/>
      <c r="BD69" s="1947">
        <f>BD70-BD68</f>
        <v>76.962664114973421</v>
      </c>
      <c r="BE69" s="1947"/>
      <c r="BF69" s="1947">
        <f>BF70-BF68</f>
        <v>76.748019189373267</v>
      </c>
      <c r="BG69" s="1947"/>
    </row>
    <row r="70" spans="1:59">
      <c r="A70" s="1649" t="s">
        <v>220</v>
      </c>
      <c r="B70" s="1649"/>
      <c r="C70" s="1651"/>
      <c r="D70" s="1651"/>
      <c r="E70" s="1651"/>
      <c r="F70" s="1651"/>
      <c r="G70" s="1651"/>
      <c r="H70" s="1651"/>
      <c r="I70" s="1651"/>
      <c r="J70" s="1651"/>
      <c r="K70" s="1651"/>
      <c r="L70" s="1939"/>
      <c r="M70" s="1651"/>
      <c r="N70" s="1939">
        <f>N11</f>
        <v>30.731000000000002</v>
      </c>
      <c r="O70" s="1651"/>
      <c r="P70" s="1939">
        <f>P11</f>
        <v>41.155000000000001</v>
      </c>
      <c r="Q70" s="1651"/>
      <c r="R70" s="1939">
        <f>R11</f>
        <v>75.950999999999993</v>
      </c>
      <c r="S70" s="1651"/>
      <c r="T70" s="1939">
        <f>T11</f>
        <v>89.539000000000001</v>
      </c>
      <c r="U70" s="1651"/>
      <c r="V70" s="1939">
        <f>V11</f>
        <v>105.81399999999999</v>
      </c>
      <c r="W70" s="1651"/>
      <c r="X70" s="560">
        <f>X11</f>
        <v>124.206</v>
      </c>
      <c r="Y70" s="310"/>
      <c r="Z70" s="560">
        <f>Z11</f>
        <v>146.15600000000001</v>
      </c>
      <c r="AA70" s="310"/>
      <c r="AB70" s="560">
        <f>AB11</f>
        <v>183.71600000000001</v>
      </c>
      <c r="AC70" s="310"/>
      <c r="AD70" s="560">
        <f>AD11</f>
        <v>225.334</v>
      </c>
      <c r="AE70" s="310"/>
      <c r="AF70" s="560">
        <f>AF11</f>
        <v>238.75200000000001</v>
      </c>
      <c r="AG70" s="310"/>
      <c r="AH70" s="560">
        <f>AH11</f>
        <v>229.15299999999999</v>
      </c>
      <c r="AI70" s="310"/>
      <c r="AJ70" s="560">
        <f>AJ11</f>
        <v>232.95599999999999</v>
      </c>
      <c r="AK70" s="310"/>
      <c r="AL70" s="560">
        <f>AL11</f>
        <v>224.245</v>
      </c>
      <c r="AM70" s="310"/>
      <c r="AN70" s="560">
        <f>AN11</f>
        <v>235.24</v>
      </c>
      <c r="AO70" s="310"/>
      <c r="AP70" s="560">
        <f>AP11</f>
        <v>226.42099999999999</v>
      </c>
      <c r="AQ70" s="560"/>
      <c r="AR70" s="560">
        <f>AR11</f>
        <v>213.68</v>
      </c>
      <c r="AS70" s="560"/>
      <c r="AT70" s="560">
        <f>AT11</f>
        <v>195.41399999999999</v>
      </c>
      <c r="AU70" s="560"/>
      <c r="AV70" s="560">
        <f>AV11</f>
        <v>192.14699999999999</v>
      </c>
      <c r="AW70" s="560"/>
      <c r="AX70" s="560">
        <f>AX11</f>
        <v>180</v>
      </c>
      <c r="AY70" s="560"/>
      <c r="AZ70" s="560">
        <f>AZ11</f>
        <v>175.05268924702526</v>
      </c>
      <c r="BA70" s="560"/>
      <c r="BB70" s="560">
        <f>BB11</f>
        <v>167.15286890897809</v>
      </c>
      <c r="BC70" s="560"/>
      <c r="BD70" s="560">
        <f>BD11</f>
        <v>159.03232582139114</v>
      </c>
      <c r="BE70" s="560"/>
      <c r="BF70" s="560">
        <f>BF11</f>
        <v>158.5887928156605</v>
      </c>
      <c r="BG70" s="560"/>
    </row>
    <row r="71" spans="1:59">
      <c r="C71" s="97"/>
      <c r="D71" s="97"/>
      <c r="E71" s="97"/>
      <c r="F71" s="97"/>
      <c r="G71" s="97"/>
      <c r="H71" s="97"/>
      <c r="I71" s="97"/>
      <c r="J71" s="97"/>
      <c r="K71" s="97"/>
      <c r="L71" s="310"/>
      <c r="M71" s="97"/>
      <c r="N71" s="97"/>
      <c r="O71" s="97"/>
      <c r="P71" s="97"/>
      <c r="Q71" s="97"/>
      <c r="R71" s="97"/>
      <c r="S71" s="97"/>
      <c r="T71" s="97"/>
      <c r="U71" s="97"/>
      <c r="V71" s="97"/>
      <c r="W71" s="97"/>
      <c r="X71" s="97"/>
      <c r="Y71" s="97"/>
      <c r="Z71" s="97"/>
      <c r="AA71" s="97"/>
      <c r="AB71" s="97"/>
      <c r="AC71" s="97"/>
      <c r="AD71" s="97"/>
      <c r="AE71" s="97"/>
      <c r="AF71" s="97"/>
      <c r="AG71" s="97"/>
      <c r="AH71" s="97"/>
      <c r="AI71" s="97"/>
      <c r="AJ71" s="97"/>
      <c r="AK71" s="97"/>
      <c r="AL71" s="97"/>
      <c r="AM71" s="97"/>
      <c r="AN71" s="97"/>
      <c r="AO71" s="97"/>
      <c r="AP71" s="97"/>
      <c r="AQ71" s="97"/>
      <c r="AR71" s="97"/>
      <c r="AS71" s="97"/>
      <c r="AT71" s="97"/>
      <c r="AU71" s="97"/>
      <c r="AV71" s="97"/>
      <c r="AW71" s="97"/>
      <c r="AX71" s="97"/>
      <c r="AY71" s="97"/>
      <c r="AZ71" s="97"/>
      <c r="BA71" s="97"/>
      <c r="BB71" s="97"/>
      <c r="BC71" s="97"/>
      <c r="BD71" s="97"/>
      <c r="BE71" s="97"/>
      <c r="BF71" s="97"/>
      <c r="BG71" s="97"/>
    </row>
    <row r="72" spans="1:59">
      <c r="A72" s="22" t="s">
        <v>224</v>
      </c>
      <c r="C72" s="97"/>
      <c r="D72" s="97"/>
      <c r="E72" s="97"/>
      <c r="F72" s="97"/>
      <c r="G72" s="97"/>
      <c r="H72" s="97"/>
      <c r="I72" s="97"/>
      <c r="J72" s="97"/>
      <c r="K72" s="97"/>
      <c r="L72" s="310"/>
      <c r="M72" s="97"/>
      <c r="N72" s="97"/>
      <c r="O72" s="97"/>
      <c r="P72" s="97"/>
      <c r="Q72" s="97"/>
      <c r="R72" s="575">
        <f>R68/R70</f>
        <v>0.74376900896630704</v>
      </c>
      <c r="S72" s="97"/>
      <c r="T72" s="575">
        <v>0.7</v>
      </c>
      <c r="U72" s="97"/>
      <c r="V72" s="575">
        <f>V68/V70</f>
        <v>0.51605647645869168</v>
      </c>
      <c r="W72" s="97"/>
      <c r="X72" s="575">
        <f>V72</f>
        <v>0.51605647645869168</v>
      </c>
      <c r="Y72" s="97"/>
      <c r="Z72" s="575">
        <f>X72</f>
        <v>0.51605647645869168</v>
      </c>
      <c r="AA72" s="97"/>
      <c r="AB72" s="575">
        <f>Z72</f>
        <v>0.51605647645869168</v>
      </c>
      <c r="AC72" s="97"/>
      <c r="AD72" s="575">
        <f>AB72</f>
        <v>0.51605647645869168</v>
      </c>
      <c r="AE72" s="97"/>
      <c r="AF72" s="575">
        <f>AD72</f>
        <v>0.51605647645869168</v>
      </c>
      <c r="AG72" s="97"/>
      <c r="AH72" s="575">
        <f>AF72</f>
        <v>0.51605647645869168</v>
      </c>
      <c r="AI72" s="97"/>
      <c r="AJ72" s="575">
        <f>AH72</f>
        <v>0.51605647645869168</v>
      </c>
      <c r="AK72" s="97"/>
      <c r="AL72" s="575">
        <f>AJ72</f>
        <v>0.51605647645869168</v>
      </c>
      <c r="AM72" s="97"/>
      <c r="AN72" s="575">
        <f>AL72</f>
        <v>0.51605647645869168</v>
      </c>
      <c r="AO72" s="97"/>
      <c r="AP72" s="575">
        <f>AN72</f>
        <v>0.51605647645869168</v>
      </c>
      <c r="AQ72" s="575"/>
      <c r="AR72" s="575">
        <f>AP72</f>
        <v>0.51605647645869168</v>
      </c>
      <c r="AS72" s="575"/>
      <c r="AT72" s="575">
        <f>AR72</f>
        <v>0.51605647645869168</v>
      </c>
      <c r="AU72" s="575"/>
      <c r="AV72" s="575">
        <f>AT72</f>
        <v>0.51605647645869168</v>
      </c>
      <c r="AW72" s="575"/>
      <c r="AX72" s="575">
        <f>AV72</f>
        <v>0.51605647645869168</v>
      </c>
      <c r="AY72" s="575"/>
      <c r="AZ72" s="575">
        <f>AX72</f>
        <v>0.51605647645869168</v>
      </c>
      <c r="BA72" s="575"/>
      <c r="BB72" s="575">
        <f>AZ72</f>
        <v>0.51605647645869168</v>
      </c>
      <c r="BC72" s="575"/>
      <c r="BD72" s="575">
        <f>BB72</f>
        <v>0.51605647645869168</v>
      </c>
      <c r="BE72" s="575"/>
      <c r="BF72" s="575">
        <f>BD72</f>
        <v>0.51605647645869168</v>
      </c>
      <c r="BG72" s="575"/>
    </row>
    <row r="73" spans="1:59">
      <c r="B73" s="22" t="s">
        <v>733</v>
      </c>
      <c r="F73" s="114"/>
      <c r="G73" s="114"/>
      <c r="H73" s="114"/>
      <c r="L73" s="114"/>
      <c r="T73" s="114"/>
      <c r="U73" s="114"/>
      <c r="V73" s="1536"/>
      <c r="X73" s="1536">
        <f>X16-X30</f>
        <v>453.58999999999992</v>
      </c>
      <c r="Z73" s="1536">
        <f>Z16-Z30</f>
        <v>582.17099999999994</v>
      </c>
      <c r="AB73" s="1536">
        <f>AB16-AB30</f>
        <v>817.52399999999966</v>
      </c>
      <c r="AD73" s="1536">
        <f>AD16-AD30</f>
        <v>490.8359999999999</v>
      </c>
      <c r="AF73" s="1536">
        <f>AF16-AF30</f>
        <v>395.48700000000008</v>
      </c>
      <c r="AH73" s="1536">
        <f>AH16-AH30</f>
        <v>391.78900000000004</v>
      </c>
      <c r="AJ73" s="1536">
        <f>AJ16-AJ30</f>
        <v>355.95600000000024</v>
      </c>
      <c r="AL73" s="1536">
        <f>AL16-AL30</f>
        <v>659.83799999999997</v>
      </c>
      <c r="AN73" s="1536">
        <f>AN16-AN30</f>
        <v>167.18999999999994</v>
      </c>
      <c r="AP73" s="1536">
        <f>AP16-AP30</f>
        <v>310.39600000000002</v>
      </c>
      <c r="AQ73" s="1536"/>
      <c r="AR73" s="1536">
        <f>AR16-AR30</f>
        <v>334.87600000000003</v>
      </c>
      <c r="AS73" s="1536"/>
      <c r="AT73" s="1536">
        <f>AT16-AT30</f>
        <v>188.68899999999996</v>
      </c>
      <c r="AU73" s="1536"/>
      <c r="AV73" s="1536">
        <f>AV16-AV30</f>
        <v>314.20000000000016</v>
      </c>
      <c r="AW73" s="1536"/>
      <c r="AX73" s="1536">
        <f>AX16-AX30</f>
        <v>198.38102466555537</v>
      </c>
      <c r="AY73" s="1536"/>
      <c r="AZ73" s="1536">
        <f>AZ16-AZ30</f>
        <v>230.38588419091724</v>
      </c>
      <c r="BA73" s="1536"/>
      <c r="BB73" s="1536">
        <f>BB16-BB30</f>
        <v>213.44382012288415</v>
      </c>
      <c r="BC73" s="1536"/>
      <c r="BD73" s="1536">
        <f>BD16-BD30</f>
        <v>202.28418153962662</v>
      </c>
      <c r="BE73" s="1536"/>
      <c r="BF73" s="1536">
        <f>BF16-BF30</f>
        <v>202.19844084454692</v>
      </c>
      <c r="BG73" s="1536"/>
    </row>
    <row r="74" spans="1:59">
      <c r="C74" s="97"/>
      <c r="D74" s="97"/>
      <c r="E74" s="97"/>
      <c r="F74" s="97"/>
      <c r="G74" s="97"/>
      <c r="H74" s="97"/>
      <c r="I74" s="97"/>
      <c r="J74" s="97"/>
      <c r="K74" s="97"/>
      <c r="L74" s="310"/>
      <c r="M74" s="97"/>
      <c r="N74" s="97"/>
      <c r="O74" s="97"/>
      <c r="P74" s="97"/>
      <c r="Q74" s="97"/>
      <c r="R74" s="97"/>
      <c r="S74" s="97"/>
      <c r="T74" s="97"/>
      <c r="U74" s="97"/>
      <c r="V74" s="97"/>
      <c r="W74" s="97"/>
      <c r="X74" s="97"/>
      <c r="Y74" s="97"/>
      <c r="Z74" s="97"/>
      <c r="AA74" s="97"/>
      <c r="AB74" s="97"/>
      <c r="AC74" s="97"/>
      <c r="AD74" s="97"/>
      <c r="AE74" s="97"/>
      <c r="AF74" s="97"/>
      <c r="AG74" s="97"/>
      <c r="AH74" s="97"/>
      <c r="AI74" s="97"/>
      <c r="AJ74" s="97"/>
      <c r="AK74" s="97"/>
      <c r="AL74" s="97"/>
      <c r="AM74" s="97"/>
      <c r="AN74" s="97"/>
      <c r="AO74" s="97"/>
      <c r="AP74" s="97"/>
      <c r="AQ74" s="97"/>
      <c r="AR74" s="97"/>
      <c r="AS74" s="97"/>
      <c r="AT74" s="97"/>
      <c r="AU74" s="97"/>
      <c r="AV74" s="97"/>
      <c r="AW74" s="97"/>
      <c r="AX74" s="97"/>
      <c r="AY74" s="97"/>
      <c r="AZ74" s="97"/>
      <c r="BA74" s="97"/>
      <c r="BB74" s="97"/>
      <c r="BC74" s="97"/>
      <c r="BD74" s="97"/>
      <c r="BE74" s="97"/>
      <c r="BF74" s="97"/>
      <c r="BG74" s="97"/>
    </row>
    <row r="75" spans="1:59">
      <c r="A75" s="1948" t="s">
        <v>236</v>
      </c>
      <c r="C75" s="97"/>
      <c r="D75" s="97"/>
      <c r="E75" s="97"/>
      <c r="F75" s="97"/>
      <c r="G75" s="97"/>
      <c r="H75" s="97"/>
      <c r="I75" s="97"/>
      <c r="J75" s="97"/>
      <c r="K75" s="97"/>
      <c r="L75" s="1949">
        <f>L77*0.9</f>
        <v>66.039299999999997</v>
      </c>
      <c r="M75" s="97"/>
      <c r="N75" s="1949">
        <f>N77*0.9</f>
        <v>138.13290000000001</v>
      </c>
      <c r="O75" s="97"/>
      <c r="P75" s="1949">
        <f>P77*0.9</f>
        <v>113.8635</v>
      </c>
      <c r="Q75" s="97"/>
      <c r="R75" s="1949">
        <f>R77*0.9</f>
        <v>131.0958</v>
      </c>
      <c r="S75" s="97"/>
      <c r="T75" s="1949">
        <f>T77*0.9</f>
        <v>143.79929999999999</v>
      </c>
      <c r="U75" s="97"/>
      <c r="V75" s="1949">
        <f>V77*0.9</f>
        <v>166.55850000000001</v>
      </c>
      <c r="W75" s="97"/>
      <c r="X75" s="1949">
        <f>X77*0.9</f>
        <v>230.77980000000002</v>
      </c>
      <c r="Y75" s="97"/>
      <c r="Z75" s="1949">
        <f>Z77*0.9</f>
        <v>363.1284</v>
      </c>
      <c r="AA75" s="97"/>
      <c r="AB75" s="1949">
        <f>AB77*0.9</f>
        <v>363.01050000000004</v>
      </c>
      <c r="AC75" s="97"/>
      <c r="AD75" s="1949">
        <f>AD77*0.9</f>
        <v>330.84179999999998</v>
      </c>
      <c r="AE75" s="97"/>
      <c r="AF75" s="1949">
        <f>AF77*0.9</f>
        <v>157.9248</v>
      </c>
      <c r="AG75" s="97"/>
      <c r="AH75" s="1949">
        <f>AH77*0.9</f>
        <v>144.8415</v>
      </c>
      <c r="AI75" s="97"/>
      <c r="AJ75" s="1949">
        <f>AJ77*0.9</f>
        <v>286.73820000000001</v>
      </c>
      <c r="AK75" s="97"/>
      <c r="AL75" s="1949">
        <f>AL77*0.9</f>
        <v>305.87580000000003</v>
      </c>
      <c r="AM75" s="97"/>
      <c r="AN75" s="1949">
        <f>AN77*0.9</f>
        <v>147.5316</v>
      </c>
      <c r="AO75" s="97"/>
      <c r="AP75" s="1949">
        <f>AP77*0.9</f>
        <v>157.16159999999999</v>
      </c>
      <c r="AQ75" s="1949"/>
      <c r="AR75" s="1949">
        <f>AR77*0.9</f>
        <v>128.87910000000002</v>
      </c>
      <c r="AS75" s="1949"/>
      <c r="AT75" s="1949">
        <f>AT77*0.9</f>
        <v>126.75959999999999</v>
      </c>
      <c r="AU75" s="1949"/>
      <c r="AV75" s="1949">
        <f>AV77*0.9</f>
        <v>96.3</v>
      </c>
      <c r="AW75" s="1949"/>
      <c r="AX75" s="1949">
        <f>AX77*0.9</f>
        <v>117</v>
      </c>
      <c r="AY75" s="1949"/>
      <c r="AZ75" s="1949">
        <f>AZ77*0.9</f>
        <v>90</v>
      </c>
      <c r="BA75" s="1949"/>
      <c r="BB75" s="1949">
        <f>BB77*0.9</f>
        <v>90</v>
      </c>
      <c r="BC75" s="1949"/>
      <c r="BD75" s="1949">
        <f>BD77*0.9</f>
        <v>90</v>
      </c>
      <c r="BE75" s="1949"/>
      <c r="BF75" s="1949">
        <f>BF77*0.9</f>
        <v>90</v>
      </c>
      <c r="BG75" s="1949"/>
    </row>
    <row r="76" spans="1:59">
      <c r="A76" s="1948" t="s">
        <v>237</v>
      </c>
      <c r="L76" s="1950">
        <f>L77-L75</f>
        <v>7.3376999999999981</v>
      </c>
      <c r="N76" s="1950">
        <f>N77-N75</f>
        <v>15.348099999999988</v>
      </c>
      <c r="P76" s="1950">
        <f>P77-P75</f>
        <v>12.651499999999999</v>
      </c>
      <c r="R76" s="1950">
        <f>R77-R75</f>
        <v>14.566200000000009</v>
      </c>
      <c r="T76" s="1950">
        <f>T77-T75</f>
        <v>15.977699999999999</v>
      </c>
      <c r="V76" s="1950">
        <f>V77-V75</f>
        <v>18.506499999999988</v>
      </c>
      <c r="X76" s="1950">
        <f>X77-X75</f>
        <v>25.642200000000003</v>
      </c>
      <c r="Z76" s="1950">
        <f>Z77-Z75</f>
        <v>40.3476</v>
      </c>
      <c r="AB76" s="1950">
        <f>AB77-AB75</f>
        <v>40.334499999999991</v>
      </c>
      <c r="AD76" s="1950">
        <f>AD77-AD75</f>
        <v>36.760199999999998</v>
      </c>
      <c r="AF76" s="1950">
        <f>AF77-AF75</f>
        <v>17.547200000000004</v>
      </c>
      <c r="AH76" s="1950">
        <f>AH77-AH75</f>
        <v>16.093500000000006</v>
      </c>
      <c r="AJ76" s="1950">
        <f>AJ77-AJ75</f>
        <v>31.859800000000007</v>
      </c>
      <c r="AL76" s="1950">
        <f>AL77-AL75</f>
        <v>33.986199999999997</v>
      </c>
      <c r="AN76" s="1950">
        <f>AN77-AN75</f>
        <v>16.392400000000009</v>
      </c>
      <c r="AP76" s="1950">
        <f>AP77-AP75</f>
        <v>17.462400000000002</v>
      </c>
      <c r="AQ76" s="1950"/>
      <c r="AR76" s="1950">
        <f>AR77-AR75</f>
        <v>14.31989999999999</v>
      </c>
      <c r="AS76" s="1950"/>
      <c r="AT76" s="1950">
        <f>AT77-AT75</f>
        <v>14.084400000000002</v>
      </c>
      <c r="AU76" s="1950"/>
      <c r="AV76" s="1950">
        <f>AV77-AV75</f>
        <v>10.700000000000003</v>
      </c>
      <c r="AW76" s="1950"/>
      <c r="AX76" s="1950">
        <f>AX77-AX75</f>
        <v>13</v>
      </c>
      <c r="AY76" s="1950"/>
      <c r="AZ76" s="1950">
        <f>AZ77-AZ75</f>
        <v>10</v>
      </c>
      <c r="BA76" s="1950"/>
      <c r="BB76" s="1950">
        <f>BB77-BB75</f>
        <v>10</v>
      </c>
      <c r="BC76" s="1950"/>
      <c r="BD76" s="1950">
        <f>BD77-BD75</f>
        <v>10</v>
      </c>
      <c r="BE76" s="1950"/>
      <c r="BF76" s="1950">
        <f>BF77-BF75</f>
        <v>10</v>
      </c>
      <c r="BG76" s="1950"/>
    </row>
    <row r="77" spans="1:59">
      <c r="A77" s="1948" t="s">
        <v>238</v>
      </c>
      <c r="L77" s="1949">
        <f>L21</f>
        <v>73.376999999999995</v>
      </c>
      <c r="N77" s="1537">
        <f>N21</f>
        <v>153.48099999999999</v>
      </c>
      <c r="P77" s="1537">
        <f>P21</f>
        <v>126.515</v>
      </c>
      <c r="R77" s="1537">
        <f>R21</f>
        <v>145.66200000000001</v>
      </c>
      <c r="T77" s="1537">
        <f>T21</f>
        <v>159.77699999999999</v>
      </c>
      <c r="V77" s="1537">
        <f>V21</f>
        <v>185.065</v>
      </c>
      <c r="X77" s="1537">
        <f>X21</f>
        <v>256.42200000000003</v>
      </c>
      <c r="Z77" s="1537">
        <f>Z21</f>
        <v>403.476</v>
      </c>
      <c r="AB77" s="1537">
        <f>AB21</f>
        <v>403.34500000000003</v>
      </c>
      <c r="AD77" s="1537">
        <f>AD21</f>
        <v>367.60199999999998</v>
      </c>
      <c r="AF77" s="1537">
        <f>AF21</f>
        <v>175.47200000000001</v>
      </c>
      <c r="AH77" s="1537">
        <f>AH21</f>
        <v>160.935</v>
      </c>
      <c r="AJ77" s="1537">
        <f>AJ21</f>
        <v>318.59800000000001</v>
      </c>
      <c r="AL77" s="1537">
        <f>AL21</f>
        <v>339.86200000000002</v>
      </c>
      <c r="AN77" s="1537">
        <f>AN21</f>
        <v>163.92400000000001</v>
      </c>
      <c r="AP77" s="1537">
        <f>AP21</f>
        <v>174.624</v>
      </c>
      <c r="AQ77" s="1537"/>
      <c r="AR77" s="1537">
        <f>AR21</f>
        <v>143.19900000000001</v>
      </c>
      <c r="AS77" s="1537"/>
      <c r="AT77" s="1537">
        <f>AT21</f>
        <v>140.84399999999999</v>
      </c>
      <c r="AU77" s="1537"/>
      <c r="AV77" s="1537">
        <f>AV21</f>
        <v>107</v>
      </c>
      <c r="AW77" s="1537"/>
      <c r="AX77" s="1537">
        <f>AX21</f>
        <v>130</v>
      </c>
      <c r="AY77" s="1537"/>
      <c r="AZ77" s="1537">
        <f>AZ21</f>
        <v>100</v>
      </c>
      <c r="BA77" s="1537"/>
      <c r="BB77" s="1537">
        <f>BB21</f>
        <v>100</v>
      </c>
      <c r="BC77" s="1537"/>
      <c r="BD77" s="1537">
        <f>BD21</f>
        <v>100</v>
      </c>
      <c r="BE77" s="1537"/>
      <c r="BF77" s="1537">
        <f>BF21</f>
        <v>100</v>
      </c>
      <c r="BG77" s="1537"/>
    </row>
    <row r="78" spans="1:59">
      <c r="L78" s="114"/>
      <c r="AF78" s="1951"/>
    </row>
    <row r="79" spans="1:59">
      <c r="A79" s="1948"/>
      <c r="L79" s="114"/>
    </row>
    <row r="80" spans="1:59">
      <c r="L80" s="114"/>
    </row>
    <row r="81" spans="12:12">
      <c r="L81" s="114"/>
    </row>
    <row r="82" spans="12:12">
      <c r="L82" s="114"/>
    </row>
    <row r="83" spans="12:12" customFormat="1"/>
  </sheetData>
  <phoneticPr fontId="0" type="noConversion"/>
  <printOptions horizontalCentered="1"/>
  <pageMargins left="0" right="0" top="0" bottom="0" header="0" footer="0"/>
  <pageSetup paperSize="5" scale="81" orientation="landscape"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V61"/>
  <sheetViews>
    <sheetView zoomScale="85" zoomScaleNormal="85" workbookViewId="0">
      <pane xSplit="3" ySplit="6" topLeftCell="AE7" activePane="bottomRight" state="frozen"/>
      <selection activeCell="P42" sqref="P42"/>
      <selection pane="topRight" activeCell="P42" sqref="P42"/>
      <selection pane="bottomLeft" activeCell="P42" sqref="P42"/>
      <selection pane="bottomRight" activeCell="AU14" sqref="AU13:AU14"/>
    </sheetView>
  </sheetViews>
  <sheetFormatPr defaultRowHeight="12.75" outlineLevelCol="1"/>
  <cols>
    <col min="1" max="1" width="4.28515625" style="22" customWidth="1"/>
    <col min="2" max="2" width="7" style="22" customWidth="1"/>
    <col min="3" max="3" width="1.7109375" style="22" customWidth="1"/>
    <col min="4" max="4" width="11.85546875" style="22" hidden="1" customWidth="1" outlineLevel="1"/>
    <col min="5" max="5" width="1.7109375" style="22" hidden="1" customWidth="1" outlineLevel="1"/>
    <col min="6" max="6" width="11.85546875" style="22" hidden="1" customWidth="1" outlineLevel="1"/>
    <col min="7" max="7" width="1.7109375" style="22" hidden="1" customWidth="1" outlineLevel="1"/>
    <col min="8" max="8" width="11.85546875" style="22" hidden="1" customWidth="1" outlineLevel="1"/>
    <col min="9" max="9" width="1.7109375" style="22" hidden="1" customWidth="1" outlineLevel="1"/>
    <col min="10" max="10" width="11.85546875" style="22" hidden="1" customWidth="1" outlineLevel="1"/>
    <col min="11" max="11" width="1.7109375" style="22" hidden="1" customWidth="1" outlineLevel="1"/>
    <col min="12" max="12" width="11.85546875" style="22" hidden="1" customWidth="1" outlineLevel="1"/>
    <col min="13" max="13" width="1.7109375" style="22" hidden="1" customWidth="1" outlineLevel="1"/>
    <col min="14" max="14" width="11.85546875" style="22" hidden="1" customWidth="1" outlineLevel="1" collapsed="1"/>
    <col min="15" max="15" width="1.7109375" style="22" hidden="1" customWidth="1" outlineLevel="1"/>
    <col min="16" max="16" width="11.85546875" style="22" hidden="1" customWidth="1" outlineLevel="1" collapsed="1"/>
    <col min="17" max="17" width="1.7109375" style="22" hidden="1" customWidth="1" outlineLevel="1"/>
    <col min="18" max="18" width="11.85546875" style="22" hidden="1" customWidth="1" outlineLevel="1"/>
    <col min="19" max="19" width="1.7109375" style="22" hidden="1" customWidth="1" outlineLevel="1" collapsed="1"/>
    <col min="20" max="20" width="11.85546875" style="22" hidden="1" customWidth="1" outlineLevel="1"/>
    <col min="21" max="21" width="1.7109375" style="22" hidden="1" customWidth="1" outlineLevel="1"/>
    <col min="22" max="22" width="9.28515625" style="22" hidden="1" customWidth="1" outlineLevel="1"/>
    <col min="23" max="23" width="1.7109375" style="22" hidden="1" customWidth="1" outlineLevel="1"/>
    <col min="24" max="24" width="8.85546875" style="22" hidden="1" customWidth="1" outlineLevel="1"/>
    <col min="25" max="25" width="1.7109375" style="22" hidden="1" customWidth="1" outlineLevel="1"/>
    <col min="26" max="26" width="9.7109375" style="22" hidden="1" customWidth="1" outlineLevel="1"/>
    <col min="27" max="27" width="1.7109375" style="22" hidden="1" customWidth="1" outlineLevel="1"/>
    <col min="28" max="28" width="8.85546875" style="22" hidden="1" customWidth="1" outlineLevel="1"/>
    <col min="29" max="29" width="1.7109375" style="22" hidden="1" customWidth="1" outlineLevel="1"/>
    <col min="30" max="30" width="8.5703125" style="22" hidden="1" customWidth="1" outlineLevel="1"/>
    <col min="31" max="31" width="1.85546875" style="22" customWidth="1" collapsed="1"/>
    <col min="32" max="32" width="9" style="22" customWidth="1"/>
    <col min="33" max="33" width="1.140625" style="22" customWidth="1"/>
    <col min="34" max="34" width="8.5703125" style="22" customWidth="1"/>
    <col min="35" max="35" width="1.140625" style="22" customWidth="1"/>
    <col min="36" max="36" width="8.7109375" style="22" customWidth="1"/>
    <col min="37" max="37" width="1.140625" style="22" customWidth="1"/>
    <col min="38" max="38" width="10" style="22" customWidth="1"/>
    <col min="39" max="39" width="1.140625" style="22" customWidth="1"/>
    <col min="40" max="40" width="10.28515625" style="22" customWidth="1"/>
    <col min="41" max="41" width="1.140625" style="22" customWidth="1"/>
    <col min="42" max="42" width="9.140625" style="22"/>
    <col min="43" max="43" width="1.140625" style="22" customWidth="1"/>
    <col min="44" max="16384" width="9.140625" style="22"/>
  </cols>
  <sheetData>
    <row r="1" spans="1:48">
      <c r="A1" s="24" t="str">
        <f>'qtrP&amp;L'!A1</f>
        <v>Abercrombie &amp; Fitch</v>
      </c>
    </row>
    <row r="2" spans="1:48">
      <c r="A2" s="196" t="s">
        <v>329</v>
      </c>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96"/>
      <c r="AM2" s="96"/>
      <c r="AN2" s="96"/>
      <c r="AO2" s="96"/>
      <c r="AP2" s="96"/>
      <c r="AQ2" s="96"/>
      <c r="AR2" s="96"/>
      <c r="AS2" s="96"/>
      <c r="AT2" s="96"/>
      <c r="AU2" s="96"/>
      <c r="AV2" s="96"/>
    </row>
    <row r="3" spans="1:48">
      <c r="A3" s="111" t="str">
        <f>bal!A3</f>
        <v>At January 31 of the following year</v>
      </c>
    </row>
    <row r="4" spans="1:48">
      <c r="A4" s="1897" t="s">
        <v>155</v>
      </c>
    </row>
    <row r="6" spans="1:48">
      <c r="D6" s="77">
        <v>1994</v>
      </c>
      <c r="F6" s="77">
        <f>work!F7</f>
        <v>1995</v>
      </c>
      <c r="H6" s="77">
        <f>work!J7</f>
        <v>1996</v>
      </c>
      <c r="J6" s="77">
        <f>work!N7</f>
        <v>1997</v>
      </c>
      <c r="L6" s="77">
        <f>work!R7</f>
        <v>1998</v>
      </c>
      <c r="N6" s="77">
        <f>work!V7</f>
        <v>1999</v>
      </c>
      <c r="P6" s="77">
        <f>work!Z7</f>
        <v>2000</v>
      </c>
      <c r="R6" s="77">
        <f>work!AD7</f>
        <v>2001</v>
      </c>
      <c r="T6" s="77">
        <f>work!AH7</f>
        <v>2002</v>
      </c>
      <c r="V6" s="77">
        <f>+work!AL7</f>
        <v>2003</v>
      </c>
      <c r="X6" s="77">
        <f>+work!AP7</f>
        <v>2004</v>
      </c>
      <c r="Z6" s="77">
        <f>+work!AT7</f>
        <v>2005</v>
      </c>
      <c r="AB6" s="77">
        <v>2006</v>
      </c>
      <c r="AD6" s="77">
        <v>2007</v>
      </c>
      <c r="AF6" s="77">
        <v>2008</v>
      </c>
      <c r="AH6" s="77">
        <v>2009</v>
      </c>
      <c r="AJ6" s="77">
        <v>2010</v>
      </c>
      <c r="AL6" s="77">
        <v>2011</v>
      </c>
      <c r="AN6" s="77">
        <v>2012</v>
      </c>
      <c r="AO6" s="77"/>
      <c r="AP6" s="77">
        <v>2013</v>
      </c>
      <c r="AQ6" s="77"/>
      <c r="AR6" s="1351">
        <v>2014</v>
      </c>
      <c r="AS6" s="1351">
        <v>2015</v>
      </c>
      <c r="AT6" s="1351">
        <v>2016</v>
      </c>
      <c r="AU6" s="1351">
        <v>2017</v>
      </c>
      <c r="AV6" s="1351">
        <v>2018</v>
      </c>
    </row>
    <row r="7" spans="1:48">
      <c r="A7" s="1898"/>
      <c r="D7" s="1899"/>
      <c r="F7" s="1899"/>
      <c r="H7" s="1899"/>
      <c r="J7" s="1899"/>
      <c r="K7" s="1899"/>
      <c r="L7" s="1899"/>
      <c r="N7" s="1899"/>
      <c r="O7" s="1899"/>
      <c r="P7" s="1899"/>
      <c r="Q7" s="1899"/>
      <c r="R7" s="1899"/>
      <c r="S7" s="1899"/>
      <c r="U7" s="1899"/>
      <c r="AK7" s="1899" t="s">
        <v>330</v>
      </c>
    </row>
    <row r="8" spans="1:48">
      <c r="A8" s="22" t="str">
        <f>work!A10</f>
        <v>1Q</v>
      </c>
      <c r="B8" s="22" t="str">
        <f>work!B10</f>
        <v>Apr</v>
      </c>
      <c r="D8" s="1588">
        <v>0.39</v>
      </c>
      <c r="F8" s="1588">
        <v>0.51500000000000001</v>
      </c>
      <c r="H8" s="1588">
        <v>0.82299999999999995</v>
      </c>
      <c r="J8" s="1588">
        <v>1.921</v>
      </c>
      <c r="L8" s="1588">
        <v>2.6709999999999998</v>
      </c>
      <c r="N8" s="1588">
        <v>134.73500000000001</v>
      </c>
      <c r="P8" s="1541">
        <v>117.357</v>
      </c>
      <c r="R8" s="1541">
        <v>123.259</v>
      </c>
      <c r="T8" s="1588">
        <f>225.977+15</f>
        <v>240.977</v>
      </c>
      <c r="V8" s="1588">
        <v>409.92399999999998</v>
      </c>
      <c r="X8" s="1588">
        <f>486.135+51.22</f>
        <v>537.35500000000002</v>
      </c>
      <c r="Z8" s="1588">
        <f>136.578+177.174</f>
        <v>313.75200000000001</v>
      </c>
      <c r="AB8" s="1588">
        <f>62.965+349.69</f>
        <v>412.65499999999997</v>
      </c>
      <c r="AD8" s="1588">
        <f>73.919+268.052</f>
        <v>341.971</v>
      </c>
      <c r="AF8" s="1588">
        <v>187.21700000000001</v>
      </c>
      <c r="AH8" s="1588">
        <v>463.71600000000001</v>
      </c>
      <c r="AJ8" s="1588">
        <f>590.511+32.356</f>
        <v>622.86699999999996</v>
      </c>
      <c r="AL8" s="1588">
        <v>741.82299999999998</v>
      </c>
      <c r="AN8" s="1588">
        <f>321.617+37.902</f>
        <v>359.51900000000001</v>
      </c>
      <c r="AO8" s="1588"/>
      <c r="AP8" s="1588">
        <v>555.90099999999995</v>
      </c>
      <c r="AQ8" s="1588"/>
      <c r="AR8" s="1588">
        <v>357.12200000000001</v>
      </c>
      <c r="AS8" s="1588">
        <v>383.22</v>
      </c>
      <c r="AT8" s="1588">
        <v>490.97500000000002</v>
      </c>
      <c r="AU8" s="1588">
        <v>421.44099999999997</v>
      </c>
      <c r="AV8" s="1588"/>
    </row>
    <row r="9" spans="1:48">
      <c r="A9" s="22" t="str">
        <f>work!A11</f>
        <v>2Q</v>
      </c>
      <c r="B9" s="22" t="str">
        <f>work!B11</f>
        <v>Jul</v>
      </c>
      <c r="D9" s="119">
        <v>0.47499999999999998</v>
      </c>
      <c r="F9" s="119">
        <v>0.69899999999999995</v>
      </c>
      <c r="H9" s="119">
        <v>1.427</v>
      </c>
      <c r="J9" s="119">
        <v>2.3170000000000002</v>
      </c>
      <c r="L9" s="119">
        <v>45.854999999999997</v>
      </c>
      <c r="N9" s="119">
        <v>107.556</v>
      </c>
      <c r="P9" s="1699">
        <v>63.253999999999998</v>
      </c>
      <c r="R9" s="1699">
        <v>97.406000000000006</v>
      </c>
      <c r="T9" s="119">
        <v>229.03399999999999</v>
      </c>
      <c r="V9" s="119">
        <v>385.18700000000001</v>
      </c>
      <c r="X9" s="119">
        <f>66.448+515.7</f>
        <v>582.14800000000002</v>
      </c>
      <c r="Z9" s="119">
        <f>91.736+216.369</f>
        <v>308.10500000000002</v>
      </c>
      <c r="AB9" s="119">
        <f>50.365+284.63</f>
        <v>334.995</v>
      </c>
      <c r="AD9" s="119">
        <f>117.176+293.416</f>
        <v>410.59199999999998</v>
      </c>
      <c r="AF9" s="119">
        <v>301.04199999999997</v>
      </c>
      <c r="AH9" s="119">
        <f>366.484+59.698</f>
        <v>426.18199999999996</v>
      </c>
      <c r="AJ9" s="119">
        <v>596.49099999999999</v>
      </c>
      <c r="AL9" s="119">
        <v>539.61300000000006</v>
      </c>
      <c r="AN9" s="119">
        <f>312.153+20.11</f>
        <v>332.26300000000003</v>
      </c>
      <c r="AO9" s="119"/>
      <c r="AP9" s="119">
        <v>335.02300000000002</v>
      </c>
      <c r="AQ9" s="119"/>
      <c r="AR9" s="119">
        <v>310.74</v>
      </c>
      <c r="AS9" s="119">
        <v>408.31099999999998</v>
      </c>
      <c r="AT9" s="119">
        <v>455.60599999999999</v>
      </c>
      <c r="AU9" s="119">
        <v>421.90300000000002</v>
      </c>
      <c r="AV9" s="119"/>
    </row>
    <row r="10" spans="1:48">
      <c r="A10" s="22" t="str">
        <f>work!A12</f>
        <v>3Q</v>
      </c>
      <c r="B10" s="22" t="str">
        <f>work!B12</f>
        <v>Oct</v>
      </c>
      <c r="D10" s="119">
        <v>0.58599999999999997</v>
      </c>
      <c r="F10" s="119">
        <v>0.874</v>
      </c>
      <c r="H10" s="119">
        <v>1.8160000000000001</v>
      </c>
      <c r="J10" s="119">
        <v>2.6230000000000002</v>
      </c>
      <c r="L10" s="119">
        <v>74.727999999999994</v>
      </c>
      <c r="N10" s="119">
        <f>95.862+44.853</f>
        <v>140.715</v>
      </c>
      <c r="P10" s="1699">
        <v>94.162000000000006</v>
      </c>
      <c r="R10" s="1699">
        <f>71.481+31.486</f>
        <v>102.967</v>
      </c>
      <c r="T10" s="119">
        <f>240.076+5</f>
        <v>245.07599999999999</v>
      </c>
      <c r="V10" s="119">
        <v>431.60300000000001</v>
      </c>
      <c r="X10" s="119">
        <f>74.591+368.815</f>
        <v>443.40600000000001</v>
      </c>
      <c r="Z10" s="119">
        <f>67.443+210.393</f>
        <v>277.83600000000001</v>
      </c>
      <c r="AB10" s="119">
        <f>65.466+308.906</f>
        <v>374.37200000000001</v>
      </c>
      <c r="AD10" s="119">
        <f>83.514+277.704</f>
        <v>361.21800000000002</v>
      </c>
      <c r="AF10" s="119">
        <v>298.04300000000001</v>
      </c>
      <c r="AH10" s="119">
        <f>466.887+55.985</f>
        <v>522.87199999999996</v>
      </c>
      <c r="AJ10" s="119">
        <v>618.22</v>
      </c>
      <c r="AL10" s="119">
        <v>488.34100000000001</v>
      </c>
      <c r="AN10" s="119">
        <v>349.67</v>
      </c>
      <c r="AO10" s="119"/>
      <c r="AP10" s="119">
        <v>257.52499999999998</v>
      </c>
      <c r="AQ10" s="119"/>
      <c r="AR10" s="119">
        <v>320.56400000000002</v>
      </c>
      <c r="AS10" s="119">
        <v>405.61099999999999</v>
      </c>
      <c r="AT10" s="119">
        <v>469.72</v>
      </c>
      <c r="AU10" s="119">
        <v>459.29300000000001</v>
      </c>
      <c r="AV10" s="119"/>
    </row>
    <row r="11" spans="1:48">
      <c r="A11" s="22" t="str">
        <f>work!A13</f>
        <v>4Q</v>
      </c>
      <c r="B11" s="22" t="str">
        <f>work!B13</f>
        <v>Jan</v>
      </c>
      <c r="D11" s="119">
        <v>0.59199999999999997</v>
      </c>
      <c r="F11" s="119">
        <v>0.874</v>
      </c>
      <c r="H11" s="119">
        <v>1.9450000000000001</v>
      </c>
      <c r="J11" s="119">
        <v>42.667000000000002</v>
      </c>
      <c r="L11" s="119">
        <v>163.56399999999999</v>
      </c>
      <c r="N11" s="119">
        <f>147.908+45.601</f>
        <v>193.50899999999999</v>
      </c>
      <c r="P11" s="1699">
        <v>137.58099999999999</v>
      </c>
      <c r="R11" s="119">
        <f>167.664+71.22</f>
        <v>238.88399999999999</v>
      </c>
      <c r="T11" s="119">
        <f>391.035+10</f>
        <v>401.03500000000003</v>
      </c>
      <c r="V11" s="119">
        <f>56.373+464.7</f>
        <v>521.07299999999998</v>
      </c>
      <c r="X11" s="119">
        <v>350.36799999999999</v>
      </c>
      <c r="Z11" s="119">
        <f>50.687+411.167</f>
        <v>461.85399999999998</v>
      </c>
      <c r="AB11" s="119">
        <f>81.959+447.793</f>
        <v>529.75199999999995</v>
      </c>
      <c r="AD11" s="119">
        <f>118.044+530.486</f>
        <v>648.53</v>
      </c>
      <c r="AF11" s="119">
        <v>522.12199999999996</v>
      </c>
      <c r="AH11" s="119">
        <f>680.113+32.356</f>
        <v>712.46900000000005</v>
      </c>
      <c r="AJ11" s="119">
        <v>826.35299999999995</v>
      </c>
      <c r="AL11" s="119">
        <v>583.495</v>
      </c>
      <c r="AN11" s="119">
        <v>643.505</v>
      </c>
      <c r="AO11" s="119"/>
      <c r="AP11" s="119">
        <v>600.11599999999999</v>
      </c>
      <c r="AQ11" s="119"/>
      <c r="AR11" s="119">
        <v>520.70799999999997</v>
      </c>
      <c r="AS11" s="119">
        <v>588.57799999999997</v>
      </c>
      <c r="AT11" s="119">
        <v>547.18899999999996</v>
      </c>
      <c r="AU11" s="119">
        <v>675.55799999999999</v>
      </c>
      <c r="AV11" s="119"/>
    </row>
    <row r="12" spans="1:48">
      <c r="P12" s="113"/>
      <c r="R12" s="113"/>
      <c r="T12" s="113"/>
      <c r="V12" s="113"/>
      <c r="X12" s="18"/>
      <c r="Z12" s="18"/>
      <c r="AB12" s="18"/>
      <c r="AD12" s="18"/>
      <c r="AF12" s="18"/>
      <c r="AH12" s="18"/>
      <c r="AJ12" s="18"/>
      <c r="AL12" s="18"/>
      <c r="AN12" s="18"/>
      <c r="AO12" s="18"/>
      <c r="AP12" s="1824"/>
      <c r="AQ12" s="18"/>
      <c r="AT12" s="1824"/>
      <c r="AU12" s="1824"/>
      <c r="AV12" s="1824"/>
    </row>
    <row r="13" spans="1:48">
      <c r="D13" s="1899"/>
      <c r="F13" s="1899"/>
      <c r="H13" s="1899"/>
      <c r="J13" s="1899"/>
      <c r="K13" s="1899"/>
      <c r="L13" s="1899"/>
      <c r="N13" s="1899"/>
      <c r="O13" s="1899"/>
      <c r="P13" s="1899"/>
      <c r="Q13" s="1899"/>
      <c r="R13" s="1899"/>
      <c r="S13" s="1899"/>
      <c r="T13" s="113"/>
      <c r="U13" s="1899"/>
      <c r="V13" s="113"/>
      <c r="X13" s="113"/>
      <c r="Z13" s="113"/>
      <c r="AB13" s="113"/>
      <c r="AD13" s="113"/>
      <c r="AF13" s="113"/>
      <c r="AH13" s="113"/>
      <c r="AJ13" s="113"/>
      <c r="AK13" s="1899" t="s">
        <v>331</v>
      </c>
      <c r="AL13" s="113"/>
      <c r="AN13" s="113"/>
      <c r="AO13" s="113"/>
      <c r="AQ13" s="113"/>
      <c r="AT13" s="281"/>
      <c r="AU13" s="281"/>
      <c r="AV13" s="281"/>
    </row>
    <row r="14" spans="1:48">
      <c r="A14" s="22" t="str">
        <f t="shared" ref="A14:B17" si="0">A8</f>
        <v>1Q</v>
      </c>
      <c r="B14" s="22" t="str">
        <f t="shared" si="0"/>
        <v>Apr</v>
      </c>
      <c r="D14" s="1588">
        <v>4.6589999999999998</v>
      </c>
      <c r="F14" s="1588">
        <v>11.67</v>
      </c>
      <c r="H14" s="1588">
        <f>8.843+20.228</f>
        <v>29.071000000000002</v>
      </c>
      <c r="J14" s="1588">
        <v>0</v>
      </c>
      <c r="L14" s="1588">
        <v>0</v>
      </c>
      <c r="N14" s="1588">
        <v>0</v>
      </c>
      <c r="P14" s="1588">
        <v>0</v>
      </c>
      <c r="R14" s="1588">
        <v>0</v>
      </c>
      <c r="T14" s="1588">
        <v>0</v>
      </c>
      <c r="V14" s="1588">
        <v>0</v>
      </c>
      <c r="X14" s="1588">
        <v>0</v>
      </c>
      <c r="Z14" s="1588">
        <v>0</v>
      </c>
      <c r="AB14" s="1588">
        <v>0</v>
      </c>
      <c r="AD14" s="1588">
        <v>0</v>
      </c>
      <c r="AF14" s="1588">
        <v>0</v>
      </c>
      <c r="AH14" s="1588">
        <v>0</v>
      </c>
      <c r="AJ14" s="1588">
        <v>0</v>
      </c>
      <c r="AL14" s="1588">
        <v>0</v>
      </c>
      <c r="AN14" s="1588">
        <v>0</v>
      </c>
      <c r="AO14" s="1588"/>
      <c r="AP14" s="1588">
        <v>15</v>
      </c>
      <c r="AQ14" s="1588"/>
      <c r="AR14" s="1588">
        <v>15</v>
      </c>
      <c r="AS14" s="1588">
        <v>2.0169999999999999</v>
      </c>
      <c r="AT14" s="1588">
        <v>0.73299999999999998</v>
      </c>
      <c r="AU14" s="1588">
        <v>0</v>
      </c>
      <c r="AV14" s="1588"/>
    </row>
    <row r="15" spans="1:48">
      <c r="A15" s="22" t="str">
        <f t="shared" si="0"/>
        <v>2Q</v>
      </c>
      <c r="B15" s="22" t="str">
        <f t="shared" si="0"/>
        <v>Jul</v>
      </c>
      <c r="D15" s="119">
        <v>16.638000000000002</v>
      </c>
      <c r="F15" s="119">
        <v>24.613</v>
      </c>
      <c r="H15" s="119">
        <f>23.079+20.228</f>
        <v>43.307000000000002</v>
      </c>
      <c r="J15" s="119">
        <v>0</v>
      </c>
      <c r="L15" s="119">
        <v>0</v>
      </c>
      <c r="N15" s="119">
        <v>0</v>
      </c>
      <c r="P15" s="119">
        <v>0</v>
      </c>
      <c r="R15" s="119">
        <v>0</v>
      </c>
      <c r="T15" s="119">
        <v>0</v>
      </c>
      <c r="V15" s="119">
        <v>0</v>
      </c>
      <c r="X15" s="119">
        <v>0</v>
      </c>
      <c r="Z15" s="119">
        <v>0</v>
      </c>
      <c r="AB15" s="119">
        <v>0</v>
      </c>
      <c r="AD15" s="119">
        <v>0</v>
      </c>
      <c r="AF15" s="119">
        <v>100</v>
      </c>
      <c r="AH15" s="119">
        <v>0</v>
      </c>
      <c r="AJ15" s="119">
        <v>0</v>
      </c>
      <c r="AL15" s="119">
        <v>0</v>
      </c>
      <c r="AN15" s="119">
        <v>75</v>
      </c>
      <c r="AO15" s="1588"/>
      <c r="AP15" s="119">
        <v>15</v>
      </c>
      <c r="AQ15" s="1588"/>
      <c r="AR15" s="119">
        <v>75</v>
      </c>
      <c r="AS15" s="119">
        <v>2.0169999999999999</v>
      </c>
      <c r="AT15" s="119">
        <v>1.468</v>
      </c>
      <c r="AU15" s="119">
        <v>0</v>
      </c>
      <c r="AV15" s="119"/>
    </row>
    <row r="16" spans="1:48">
      <c r="A16" s="22" t="str">
        <f t="shared" si="0"/>
        <v>3Q</v>
      </c>
      <c r="B16" s="22" t="str">
        <f t="shared" si="0"/>
        <v>Oct</v>
      </c>
      <c r="D16" s="119">
        <v>23.800999999999998</v>
      </c>
      <c r="F16" s="119">
        <v>34.045999999999999</v>
      </c>
      <c r="H16" s="119">
        <f>45.698+20.228</f>
        <v>65.926000000000002</v>
      </c>
      <c r="J16" s="119">
        <v>0</v>
      </c>
      <c r="L16" s="119">
        <v>0</v>
      </c>
      <c r="N16" s="119">
        <v>0</v>
      </c>
      <c r="P16" s="119">
        <v>0</v>
      </c>
      <c r="R16" s="119">
        <v>0</v>
      </c>
      <c r="T16" s="119">
        <v>0</v>
      </c>
      <c r="V16" s="119">
        <v>0</v>
      </c>
      <c r="X16" s="119">
        <v>0</v>
      </c>
      <c r="Z16" s="119">
        <v>0</v>
      </c>
      <c r="AB16" s="119">
        <v>0</v>
      </c>
      <c r="AD16" s="119">
        <v>0</v>
      </c>
      <c r="AF16" s="119">
        <v>100</v>
      </c>
      <c r="AH16" s="119">
        <v>0</v>
      </c>
      <c r="AJ16" s="119">
        <v>0</v>
      </c>
      <c r="AL16" s="119">
        <v>0</v>
      </c>
      <c r="AN16" s="119">
        <v>60</v>
      </c>
      <c r="AO16" s="119"/>
      <c r="AP16" s="119">
        <v>15</v>
      </c>
      <c r="AQ16" s="119"/>
      <c r="AR16" s="119">
        <v>2.1019999999999999</v>
      </c>
      <c r="AS16" s="119">
        <v>1.5129999999999999</v>
      </c>
      <c r="AT16" s="119">
        <v>2.2040000000000002</v>
      </c>
      <c r="AU16" s="119">
        <v>0</v>
      </c>
      <c r="AV16" s="119"/>
    </row>
    <row r="17" spans="1:48">
      <c r="A17" s="22" t="str">
        <f t="shared" si="0"/>
        <v>4Q</v>
      </c>
      <c r="B17" s="22" t="str">
        <f t="shared" si="0"/>
        <v>Jan</v>
      </c>
      <c r="D17" s="119">
        <v>-4.218</v>
      </c>
      <c r="F17" s="119">
        <v>6.19</v>
      </c>
      <c r="H17" s="119">
        <v>0</v>
      </c>
      <c r="J17" s="119">
        <v>0</v>
      </c>
      <c r="L17" s="119">
        <v>0</v>
      </c>
      <c r="N17" s="119">
        <v>0</v>
      </c>
      <c r="P17" s="119">
        <v>0</v>
      </c>
      <c r="R17" s="119">
        <v>0</v>
      </c>
      <c r="T17" s="119">
        <v>0</v>
      </c>
      <c r="V17" s="119">
        <v>0</v>
      </c>
      <c r="X17" s="119">
        <v>0</v>
      </c>
      <c r="Z17" s="119">
        <v>0</v>
      </c>
      <c r="AB17" s="119">
        <v>0</v>
      </c>
      <c r="AD17" s="119">
        <v>0</v>
      </c>
      <c r="AF17" s="119">
        <v>0</v>
      </c>
      <c r="AH17" s="119">
        <v>0</v>
      </c>
      <c r="AJ17" s="119">
        <v>0</v>
      </c>
      <c r="AL17" s="119">
        <v>0</v>
      </c>
      <c r="AN17" s="119">
        <v>0</v>
      </c>
      <c r="AO17" s="119"/>
      <c r="AP17" s="119">
        <v>15</v>
      </c>
      <c r="AQ17" s="119"/>
      <c r="AR17" s="119">
        <v>2.1019999999999999</v>
      </c>
      <c r="AS17" s="119">
        <v>0</v>
      </c>
      <c r="AT17" s="119">
        <v>0</v>
      </c>
      <c r="AU17" s="119">
        <v>0</v>
      </c>
      <c r="AV17" s="119"/>
    </row>
    <row r="18" spans="1:48">
      <c r="D18" s="119"/>
      <c r="F18" s="119"/>
      <c r="H18" s="119"/>
      <c r="J18" s="119"/>
      <c r="L18" s="119"/>
      <c r="N18" s="119"/>
      <c r="P18" s="113"/>
      <c r="R18" s="113"/>
      <c r="T18" s="113"/>
      <c r="V18" s="113"/>
      <c r="X18" s="113"/>
      <c r="Z18" s="113"/>
      <c r="AB18" s="113"/>
      <c r="AD18" s="113"/>
      <c r="AF18" s="113"/>
      <c r="AH18" s="113"/>
      <c r="AJ18" s="113"/>
      <c r="AL18" s="113"/>
      <c r="AN18" s="113"/>
      <c r="AO18" s="113"/>
      <c r="AQ18" s="113"/>
    </row>
    <row r="19" spans="1:48">
      <c r="D19" s="1899"/>
      <c r="F19" s="1899"/>
      <c r="H19" s="1899"/>
      <c r="J19" s="1899"/>
      <c r="K19" s="1899"/>
      <c r="L19" s="1899"/>
      <c r="N19" s="1899"/>
      <c r="O19" s="1899"/>
      <c r="P19" s="1899"/>
      <c r="Q19" s="1899"/>
      <c r="R19" s="1899"/>
      <c r="S19" s="1899"/>
      <c r="T19" s="113"/>
      <c r="U19" s="1899"/>
      <c r="V19" s="113"/>
      <c r="X19" s="113"/>
      <c r="Z19" s="113"/>
      <c r="AB19" s="113"/>
      <c r="AD19" s="113"/>
      <c r="AF19" s="113"/>
      <c r="AH19" s="113"/>
      <c r="AJ19" s="113"/>
      <c r="AK19" s="1899" t="s">
        <v>332</v>
      </c>
      <c r="AL19" s="113"/>
      <c r="AN19" s="113"/>
      <c r="AO19" s="113"/>
      <c r="AQ19" s="113"/>
    </row>
    <row r="20" spans="1:48">
      <c r="A20" s="22" t="str">
        <f t="shared" ref="A20:B23" si="1">A14</f>
        <v>1Q</v>
      </c>
      <c r="B20" s="22" t="str">
        <f t="shared" si="1"/>
        <v>Apr</v>
      </c>
      <c r="D20" s="1588">
        <v>50</v>
      </c>
      <c r="F20" s="1588">
        <v>50</v>
      </c>
      <c r="H20" s="1588">
        <v>50</v>
      </c>
      <c r="J20" s="1588">
        <v>50</v>
      </c>
      <c r="L20" s="1588">
        <v>0</v>
      </c>
      <c r="N20" s="1588">
        <v>0</v>
      </c>
      <c r="P20" s="1588">
        <v>0</v>
      </c>
      <c r="R20" s="1588">
        <v>0</v>
      </c>
      <c r="T20" s="1588">
        <v>0</v>
      </c>
      <c r="V20" s="1588">
        <v>0</v>
      </c>
      <c r="X20" s="1588">
        <v>0</v>
      </c>
      <c r="Z20" s="1588">
        <v>0</v>
      </c>
      <c r="AB20" s="1588">
        <v>0</v>
      </c>
      <c r="AD20" s="1588">
        <v>0</v>
      </c>
      <c r="AF20" s="1588">
        <v>0</v>
      </c>
      <c r="AH20" s="1588">
        <v>100</v>
      </c>
      <c r="AJ20" s="1588">
        <v>70.602999999999994</v>
      </c>
      <c r="AL20" s="1588">
        <v>69.87</v>
      </c>
      <c r="AN20" s="1588">
        <v>65.707999999999998</v>
      </c>
      <c r="AO20" s="1588"/>
      <c r="AP20" s="1541">
        <f>131.25</f>
        <v>131.25</v>
      </c>
      <c r="AQ20" s="1588"/>
      <c r="AR20" s="1541">
        <f>116.25</f>
        <v>116.25</v>
      </c>
      <c r="AS20" s="1541">
        <v>290.33800000000002</v>
      </c>
      <c r="AT20" s="1541">
        <v>285.88200000000001</v>
      </c>
      <c r="AU20" s="1541">
        <v>263.35300000000001</v>
      </c>
      <c r="AV20" s="1541"/>
    </row>
    <row r="21" spans="1:48">
      <c r="A21" s="22" t="str">
        <f t="shared" si="1"/>
        <v>2Q</v>
      </c>
      <c r="B21" s="22" t="str">
        <f t="shared" si="1"/>
        <v>Jul</v>
      </c>
      <c r="D21" s="119">
        <v>50</v>
      </c>
      <c r="F21" s="119">
        <v>50</v>
      </c>
      <c r="H21" s="119">
        <v>50</v>
      </c>
      <c r="J21" s="119">
        <v>50</v>
      </c>
      <c r="L21" s="119">
        <v>0</v>
      </c>
      <c r="N21" s="119">
        <v>0</v>
      </c>
      <c r="P21" s="119">
        <v>0</v>
      </c>
      <c r="R21" s="119">
        <v>0</v>
      </c>
      <c r="T21" s="119">
        <v>0</v>
      </c>
      <c r="V21" s="119">
        <v>0</v>
      </c>
      <c r="X21" s="119">
        <v>0</v>
      </c>
      <c r="Z21" s="119">
        <v>0</v>
      </c>
      <c r="AB21" s="119">
        <v>0</v>
      </c>
      <c r="AD21" s="119">
        <v>0</v>
      </c>
      <c r="AF21" s="119">
        <v>0</v>
      </c>
      <c r="AH21" s="119">
        <v>36.729999999999997</v>
      </c>
      <c r="AJ21" s="119">
        <v>75.966999999999999</v>
      </c>
      <c r="AL21" s="119">
        <v>26.288</v>
      </c>
      <c r="AN21" s="119">
        <v>62.826999999999998</v>
      </c>
      <c r="AO21" s="119"/>
      <c r="AP21" s="1699">
        <f>127.5</f>
        <v>127.5</v>
      </c>
      <c r="AQ21" s="119"/>
      <c r="AR21" s="1699">
        <v>112.5</v>
      </c>
      <c r="AS21" s="1699">
        <v>289.834</v>
      </c>
      <c r="AT21" s="1699">
        <v>285.52800000000002</v>
      </c>
      <c r="AU21" s="1699">
        <v>263.714</v>
      </c>
      <c r="AV21" s="1699"/>
    </row>
    <row r="22" spans="1:48">
      <c r="A22" s="22" t="str">
        <f t="shared" si="1"/>
        <v>3Q</v>
      </c>
      <c r="B22" s="22" t="str">
        <f t="shared" si="1"/>
        <v>Oct</v>
      </c>
      <c r="D22" s="119">
        <v>50</v>
      </c>
      <c r="F22" s="119">
        <v>50</v>
      </c>
      <c r="H22" s="119">
        <v>50</v>
      </c>
      <c r="J22" s="119">
        <v>50</v>
      </c>
      <c r="L22" s="119">
        <v>0</v>
      </c>
      <c r="N22" s="119">
        <v>0</v>
      </c>
      <c r="P22" s="119">
        <v>0</v>
      </c>
      <c r="R22" s="119">
        <v>0</v>
      </c>
      <c r="T22" s="119">
        <v>0</v>
      </c>
      <c r="V22" s="119">
        <v>0</v>
      </c>
      <c r="X22" s="119">
        <v>0</v>
      </c>
      <c r="Z22" s="119">
        <v>0</v>
      </c>
      <c r="AB22" s="119">
        <v>0</v>
      </c>
      <c r="AD22" s="119">
        <v>0</v>
      </c>
      <c r="AF22" s="119">
        <v>0</v>
      </c>
      <c r="AH22" s="119">
        <v>50.52</v>
      </c>
      <c r="AJ22" s="119">
        <v>81.67</v>
      </c>
      <c r="AL22" s="119">
        <v>23.321000000000002</v>
      </c>
      <c r="AN22" s="119">
        <v>64.477000000000004</v>
      </c>
      <c r="AO22" s="119"/>
      <c r="AP22" s="1699">
        <f>123.75</f>
        <v>123.75</v>
      </c>
      <c r="AQ22" s="119"/>
      <c r="AR22" s="1699">
        <v>291.83600000000001</v>
      </c>
      <c r="AS22" s="1699">
        <v>288.09100000000001</v>
      </c>
      <c r="AT22" s="1699">
        <v>285.029</v>
      </c>
      <c r="AU22" s="1699">
        <v>263.91000000000003</v>
      </c>
      <c r="AV22" s="1699"/>
    </row>
    <row r="23" spans="1:48">
      <c r="A23" s="22" t="str">
        <f t="shared" si="1"/>
        <v>4Q</v>
      </c>
      <c r="B23" s="22" t="str">
        <f t="shared" si="1"/>
        <v>Jan</v>
      </c>
      <c r="D23" s="119">
        <v>50</v>
      </c>
      <c r="F23" s="119">
        <v>50</v>
      </c>
      <c r="H23" s="119">
        <v>50</v>
      </c>
      <c r="J23" s="119">
        <v>50</v>
      </c>
      <c r="L23" s="119">
        <v>0</v>
      </c>
      <c r="N23" s="119">
        <v>0</v>
      </c>
      <c r="P23" s="119">
        <v>0</v>
      </c>
      <c r="R23" s="119">
        <v>0</v>
      </c>
      <c r="T23" s="119">
        <v>0</v>
      </c>
      <c r="V23" s="119">
        <v>0</v>
      </c>
      <c r="X23" s="119">
        <v>0</v>
      </c>
      <c r="Z23" s="119">
        <v>0</v>
      </c>
      <c r="AB23" s="119">
        <v>0</v>
      </c>
      <c r="AD23" s="119">
        <v>0</v>
      </c>
      <c r="AF23" s="119">
        <v>100</v>
      </c>
      <c r="AH23" s="119">
        <v>71.212999999999994</v>
      </c>
      <c r="AJ23" s="119">
        <v>68.566000000000003</v>
      </c>
      <c r="AL23" s="119">
        <v>57.850999999999999</v>
      </c>
      <c r="AN23" s="119">
        <v>63.942</v>
      </c>
      <c r="AO23" s="119"/>
      <c r="AP23" s="1699">
        <f>120</f>
        <v>120</v>
      </c>
      <c r="AQ23" s="119"/>
      <c r="AR23" s="1699">
        <v>291.31</v>
      </c>
      <c r="AS23" s="1699">
        <v>286.23500000000001</v>
      </c>
      <c r="AT23" s="1699">
        <v>262.99200000000002</v>
      </c>
      <c r="AU23" s="1699">
        <v>249.68600000000001</v>
      </c>
      <c r="AV23" s="1699"/>
    </row>
    <row r="24" spans="1:48">
      <c r="AN24" s="1824"/>
      <c r="AP24" s="1824"/>
    </row>
    <row r="25" spans="1:48">
      <c r="D25" s="1576"/>
      <c r="F25" s="1576"/>
      <c r="H25" s="1576"/>
      <c r="J25" s="1576"/>
      <c r="K25" s="1576"/>
      <c r="L25" s="1576"/>
      <c r="N25" s="1576"/>
      <c r="O25" s="1576"/>
      <c r="P25" s="1576"/>
      <c r="Q25" s="1576"/>
      <c r="R25" s="1576"/>
      <c r="S25" s="1576"/>
      <c r="U25" s="1576"/>
      <c r="AK25" s="1576" t="s">
        <v>333</v>
      </c>
    </row>
    <row r="26" spans="1:48">
      <c r="A26" s="22" t="str">
        <f t="shared" ref="A26:B29" si="2">A20</f>
        <v>1Q</v>
      </c>
      <c r="B26" s="22" t="str">
        <f t="shared" si="2"/>
        <v>Apr</v>
      </c>
      <c r="D26" s="379">
        <f>D20+D14</f>
        <v>54.658999999999999</v>
      </c>
      <c r="F26" s="379">
        <f>F20+F14</f>
        <v>61.67</v>
      </c>
      <c r="H26" s="379">
        <f>H20+H14</f>
        <v>79.070999999999998</v>
      </c>
      <c r="J26" s="379">
        <f>J20+J14</f>
        <v>50</v>
      </c>
      <c r="L26" s="379">
        <f>L20+L14</f>
        <v>0</v>
      </c>
      <c r="N26" s="379">
        <f>N20+N14</f>
        <v>0</v>
      </c>
      <c r="P26" s="379">
        <f>P20+P14</f>
        <v>0</v>
      </c>
      <c r="R26" s="379">
        <f>R20+R14</f>
        <v>0</v>
      </c>
      <c r="T26" s="379">
        <f>T20+T14</f>
        <v>0</v>
      </c>
      <c r="V26" s="379">
        <f>V20+V14</f>
        <v>0</v>
      </c>
      <c r="X26" s="379">
        <f>X20+X14</f>
        <v>0</v>
      </c>
      <c r="Z26" s="379">
        <f>Z20+Z14</f>
        <v>0</v>
      </c>
      <c r="AB26" s="379">
        <f>AB20+AB14</f>
        <v>0</v>
      </c>
      <c r="AD26" s="379">
        <f>AD20+AD14</f>
        <v>0</v>
      </c>
      <c r="AF26" s="379">
        <f>AF20+AF14</f>
        <v>0</v>
      </c>
      <c r="AH26" s="379">
        <f>AH20+AH14</f>
        <v>100</v>
      </c>
      <c r="AJ26" s="379">
        <f>AJ20+AJ14</f>
        <v>70.602999999999994</v>
      </c>
      <c r="AL26" s="379">
        <f>AL20+AL14</f>
        <v>69.87</v>
      </c>
      <c r="AN26" s="379">
        <f>AN20+AN14</f>
        <v>65.707999999999998</v>
      </c>
      <c r="AO26" s="379"/>
      <c r="AP26" s="379">
        <f t="shared" ref="AP26:AU29" si="3">AP20+AP14</f>
        <v>146.25</v>
      </c>
      <c r="AQ26" s="379"/>
      <c r="AR26" s="379">
        <f t="shared" si="3"/>
        <v>131.25</v>
      </c>
      <c r="AS26" s="379">
        <f t="shared" si="3"/>
        <v>292.35500000000002</v>
      </c>
      <c r="AT26" s="379">
        <f>AT20+AT14</f>
        <v>286.61500000000001</v>
      </c>
      <c r="AU26" s="379">
        <f>AU20+AU14</f>
        <v>263.35300000000001</v>
      </c>
      <c r="AV26" s="379"/>
    </row>
    <row r="27" spans="1:48">
      <c r="A27" s="22" t="str">
        <f t="shared" si="2"/>
        <v>2Q</v>
      </c>
      <c r="B27" s="22" t="str">
        <f t="shared" si="2"/>
        <v>Jul</v>
      </c>
      <c r="D27" s="1824">
        <f>D21+D15</f>
        <v>66.638000000000005</v>
      </c>
      <c r="F27" s="1824">
        <f>F21+F15</f>
        <v>74.613</v>
      </c>
      <c r="H27" s="1824">
        <f>H21+H15</f>
        <v>93.307000000000002</v>
      </c>
      <c r="J27" s="1824">
        <f>J21+J15</f>
        <v>50</v>
      </c>
      <c r="L27" s="1824">
        <f>L21+L15</f>
        <v>0</v>
      </c>
      <c r="N27" s="1824">
        <f>N21+N15</f>
        <v>0</v>
      </c>
      <c r="P27" s="1824">
        <f>P21+P15</f>
        <v>0</v>
      </c>
      <c r="R27" s="1824">
        <f>R21+R15</f>
        <v>0</v>
      </c>
      <c r="T27" s="1824">
        <f>T21+T15</f>
        <v>0</v>
      </c>
      <c r="V27" s="1824">
        <f>V21+V15</f>
        <v>0</v>
      </c>
      <c r="X27" s="1824">
        <f>X21+X15</f>
        <v>0</v>
      </c>
      <c r="Z27" s="1824">
        <f>Z21+Z15</f>
        <v>0</v>
      </c>
      <c r="AB27" s="1824">
        <f>AB21+AB15</f>
        <v>0</v>
      </c>
      <c r="AD27" s="1824">
        <f>AD21+AD15</f>
        <v>0</v>
      </c>
      <c r="AF27" s="1824">
        <f>AF21+AF15</f>
        <v>100</v>
      </c>
      <c r="AH27" s="1824">
        <f>AH21+AH15</f>
        <v>36.729999999999997</v>
      </c>
      <c r="AJ27" s="1824">
        <f>AJ21+AJ15</f>
        <v>75.966999999999999</v>
      </c>
      <c r="AL27" s="1824">
        <f>AL21+AL15</f>
        <v>26.288</v>
      </c>
      <c r="AN27" s="1824">
        <f>AN21+AN15</f>
        <v>137.827</v>
      </c>
      <c r="AO27" s="1824"/>
      <c r="AP27" s="1824">
        <f t="shared" si="3"/>
        <v>142.5</v>
      </c>
      <c r="AQ27" s="1824"/>
      <c r="AR27" s="1824">
        <f t="shared" si="3"/>
        <v>187.5</v>
      </c>
      <c r="AS27" s="1824">
        <f t="shared" si="3"/>
        <v>291.851</v>
      </c>
      <c r="AT27" s="1824">
        <f t="shared" si="3"/>
        <v>286.99600000000004</v>
      </c>
      <c r="AU27" s="1824">
        <f t="shared" si="3"/>
        <v>263.714</v>
      </c>
      <c r="AV27" s="1824"/>
    </row>
    <row r="28" spans="1:48">
      <c r="A28" s="22" t="str">
        <f t="shared" si="2"/>
        <v>3Q</v>
      </c>
      <c r="B28" s="22" t="str">
        <f t="shared" si="2"/>
        <v>Oct</v>
      </c>
      <c r="D28" s="1824">
        <f>D22+D16</f>
        <v>73.801000000000002</v>
      </c>
      <c r="F28" s="1824">
        <f>F22+F16</f>
        <v>84.045999999999992</v>
      </c>
      <c r="H28" s="1824">
        <f>H22+H16</f>
        <v>115.926</v>
      </c>
      <c r="J28" s="1824">
        <f>J22+J16</f>
        <v>50</v>
      </c>
      <c r="L28" s="1824">
        <f>L22+L16</f>
        <v>0</v>
      </c>
      <c r="N28" s="1824">
        <f>N22+N16</f>
        <v>0</v>
      </c>
      <c r="P28" s="1824">
        <f>P22+P16</f>
        <v>0</v>
      </c>
      <c r="R28" s="1824">
        <f>R22+R16</f>
        <v>0</v>
      </c>
      <c r="T28" s="1824">
        <f>T22+T16</f>
        <v>0</v>
      </c>
      <c r="V28" s="1824">
        <f>V22+V16</f>
        <v>0</v>
      </c>
      <c r="X28" s="1824">
        <f>X22+X16</f>
        <v>0</v>
      </c>
      <c r="Z28" s="1824">
        <f>Z22+Z16</f>
        <v>0</v>
      </c>
      <c r="AB28" s="1824">
        <f>AB22+AB16</f>
        <v>0</v>
      </c>
      <c r="AD28" s="1824">
        <f>AD22+AD16</f>
        <v>0</v>
      </c>
      <c r="AF28" s="1824">
        <f>AF22+AF16</f>
        <v>100</v>
      </c>
      <c r="AH28" s="1824">
        <f>AH22+AH16</f>
        <v>50.52</v>
      </c>
      <c r="AJ28" s="1824">
        <f>AJ22+AJ16</f>
        <v>81.67</v>
      </c>
      <c r="AL28" s="1824">
        <f>AL22+AL16</f>
        <v>23.321000000000002</v>
      </c>
      <c r="AN28" s="1824">
        <f>AN22+AN16</f>
        <v>124.477</v>
      </c>
      <c r="AO28" s="1824"/>
      <c r="AP28" s="1824">
        <f t="shared" si="3"/>
        <v>138.75</v>
      </c>
      <c r="AQ28" s="1824"/>
      <c r="AR28" s="1824">
        <f t="shared" si="3"/>
        <v>293.93799999999999</v>
      </c>
      <c r="AS28" s="1824">
        <f t="shared" si="3"/>
        <v>289.60399999999998</v>
      </c>
      <c r="AT28" s="1824">
        <f t="shared" si="3"/>
        <v>287.233</v>
      </c>
      <c r="AU28" s="1824">
        <f t="shared" si="3"/>
        <v>263.91000000000003</v>
      </c>
      <c r="AV28" s="1824"/>
    </row>
    <row r="29" spans="1:48">
      <c r="A29" s="22" t="str">
        <f t="shared" si="2"/>
        <v>4Q</v>
      </c>
      <c r="B29" s="22" t="str">
        <f t="shared" si="2"/>
        <v>Jan</v>
      </c>
      <c r="D29" s="1824">
        <f>D23+D17</f>
        <v>45.781999999999996</v>
      </c>
      <c r="F29" s="1824">
        <f>F23+F17</f>
        <v>56.19</v>
      </c>
      <c r="H29" s="1824">
        <f>H23+H17</f>
        <v>50</v>
      </c>
      <c r="J29" s="1824">
        <f>J23+J17</f>
        <v>50</v>
      </c>
      <c r="L29" s="1824">
        <f>L23+L17</f>
        <v>0</v>
      </c>
      <c r="N29" s="1824">
        <f>N23+N17</f>
        <v>0</v>
      </c>
      <c r="P29" s="1824">
        <f>P23+P17</f>
        <v>0</v>
      </c>
      <c r="R29" s="1824">
        <f>R23+R17</f>
        <v>0</v>
      </c>
      <c r="T29" s="1824">
        <f>T23+T17</f>
        <v>0</v>
      </c>
      <c r="V29" s="1824">
        <f>V23+V17</f>
        <v>0</v>
      </c>
      <c r="X29" s="1824">
        <f>X23+X17</f>
        <v>0</v>
      </c>
      <c r="Z29" s="1824">
        <f>Z23+Z17</f>
        <v>0</v>
      </c>
      <c r="AB29" s="1824">
        <f>AB23+AB17</f>
        <v>0</v>
      </c>
      <c r="AD29" s="1824">
        <f>AD23+AD17</f>
        <v>0</v>
      </c>
      <c r="AF29" s="1824">
        <f>AF23+AF17</f>
        <v>100</v>
      </c>
      <c r="AH29" s="1824">
        <f>AH23+AH17</f>
        <v>71.212999999999994</v>
      </c>
      <c r="AJ29" s="1824">
        <f>AJ23+AJ17</f>
        <v>68.566000000000003</v>
      </c>
      <c r="AL29" s="1824">
        <f>AL23+AL17</f>
        <v>57.850999999999999</v>
      </c>
      <c r="AN29" s="1824">
        <f>AN23+AN17</f>
        <v>63.942</v>
      </c>
      <c r="AO29" s="1824"/>
      <c r="AP29" s="1824">
        <f>AP23+AP17</f>
        <v>135</v>
      </c>
      <c r="AQ29" s="1824"/>
      <c r="AR29" s="1824">
        <f t="shared" si="3"/>
        <v>293.41199999999998</v>
      </c>
      <c r="AS29" s="1824">
        <f t="shared" si="3"/>
        <v>286.23500000000001</v>
      </c>
      <c r="AT29" s="1824">
        <f t="shared" si="3"/>
        <v>262.99200000000002</v>
      </c>
      <c r="AU29" s="1824">
        <f t="shared" si="3"/>
        <v>249.68600000000001</v>
      </c>
      <c r="AV29" s="1824"/>
    </row>
    <row r="31" spans="1:48">
      <c r="D31" s="1576"/>
      <c r="F31" s="1576"/>
      <c r="H31" s="1576"/>
      <c r="J31" s="1576"/>
      <c r="K31" s="1576"/>
      <c r="L31" s="1576"/>
      <c r="N31" s="1576"/>
      <c r="O31" s="1576"/>
      <c r="P31" s="1576"/>
      <c r="Q31" s="1576"/>
      <c r="R31" s="1576"/>
      <c r="S31" s="1576"/>
      <c r="U31" s="1576"/>
      <c r="AK31" s="1576" t="s">
        <v>334</v>
      </c>
    </row>
    <row r="32" spans="1:48">
      <c r="A32" s="22" t="str">
        <f t="shared" ref="A32:B35" si="4">A26</f>
        <v>1Q</v>
      </c>
      <c r="B32" s="22" t="str">
        <f t="shared" si="4"/>
        <v>Apr</v>
      </c>
      <c r="D32" s="1008">
        <f>D26-D8</f>
        <v>54.268999999999998</v>
      </c>
      <c r="F32" s="1008">
        <f>F26-F8</f>
        <v>61.155000000000001</v>
      </c>
      <c r="H32" s="1008">
        <f>H26-H8</f>
        <v>78.248000000000005</v>
      </c>
      <c r="J32" s="1008">
        <f>J26-J8</f>
        <v>48.079000000000001</v>
      </c>
      <c r="L32" s="1008">
        <f>L26-L8</f>
        <v>-2.6709999999999998</v>
      </c>
      <c r="N32" s="1008">
        <f>N26-N8</f>
        <v>-134.73500000000001</v>
      </c>
      <c r="P32" s="1008">
        <f>P26-P8</f>
        <v>-117.357</v>
      </c>
      <c r="R32" s="1008">
        <f>R26-R8</f>
        <v>-123.259</v>
      </c>
      <c r="T32" s="1008">
        <f>T26-T8</f>
        <v>-240.977</v>
      </c>
      <c r="V32" s="1008">
        <f>V26-V8</f>
        <v>-409.92399999999998</v>
      </c>
      <c r="X32" s="1008">
        <f>X26-X8</f>
        <v>-537.35500000000002</v>
      </c>
      <c r="Z32" s="1008">
        <f>Z26-Z8</f>
        <v>-313.75200000000001</v>
      </c>
      <c r="AB32" s="1008">
        <f>AB26-AB8</f>
        <v>-412.65499999999997</v>
      </c>
      <c r="AD32" s="1008">
        <f>AD26-AD8</f>
        <v>-341.971</v>
      </c>
      <c r="AF32" s="1008">
        <f>AF26-AF8</f>
        <v>-187.21700000000001</v>
      </c>
      <c r="AH32" s="1008">
        <f>AH26-AH8</f>
        <v>-363.71600000000001</v>
      </c>
      <c r="AJ32" s="1008">
        <f>AJ26-AJ8</f>
        <v>-552.26400000000001</v>
      </c>
      <c r="AL32" s="1008">
        <f>AL26-AL8</f>
        <v>-671.95299999999997</v>
      </c>
      <c r="AN32" s="1008">
        <f>AN26-AN8</f>
        <v>-293.81100000000004</v>
      </c>
      <c r="AO32" s="1008"/>
      <c r="AP32" s="1008">
        <f>AP26-AP8</f>
        <v>-409.65099999999995</v>
      </c>
      <c r="AQ32" s="1008"/>
      <c r="AR32" s="1008">
        <f t="shared" ref="AR32:AU35" si="5">AR26-AR8</f>
        <v>-225.87200000000001</v>
      </c>
      <c r="AS32" s="1008">
        <f t="shared" si="5"/>
        <v>-90.865000000000009</v>
      </c>
      <c r="AT32" s="1008">
        <f>AT26-AT8</f>
        <v>-204.36</v>
      </c>
      <c r="AU32" s="1008">
        <f>AU26-AU8</f>
        <v>-158.08799999999997</v>
      </c>
      <c r="AV32" s="1008"/>
    </row>
    <row r="33" spans="1:48">
      <c r="A33" s="22" t="str">
        <f t="shared" si="4"/>
        <v>2Q</v>
      </c>
      <c r="B33" s="22" t="str">
        <f t="shared" si="4"/>
        <v>Jul</v>
      </c>
      <c r="D33" s="1824">
        <f>D27-D9</f>
        <v>66.163000000000011</v>
      </c>
      <c r="F33" s="1824">
        <f>F27-F9</f>
        <v>73.914000000000001</v>
      </c>
      <c r="H33" s="1824">
        <f>H27-H9</f>
        <v>91.88</v>
      </c>
      <c r="J33" s="1824">
        <f>J27-J9</f>
        <v>47.683</v>
      </c>
      <c r="L33" s="1824">
        <f>L27-L9</f>
        <v>-45.854999999999997</v>
      </c>
      <c r="N33" s="1824">
        <f>N27-N9</f>
        <v>-107.556</v>
      </c>
      <c r="P33" s="1824">
        <f>P27-P9</f>
        <v>-63.253999999999998</v>
      </c>
      <c r="R33" s="1824">
        <f>R27-R9</f>
        <v>-97.406000000000006</v>
      </c>
      <c r="T33" s="1824">
        <f>T27-T9</f>
        <v>-229.03399999999999</v>
      </c>
      <c r="V33" s="1824">
        <f>V27-V9</f>
        <v>-385.18700000000001</v>
      </c>
      <c r="X33" s="1824">
        <f>X27-X9</f>
        <v>-582.14800000000002</v>
      </c>
      <c r="Z33" s="1824">
        <f>Z27-Z9</f>
        <v>-308.10500000000002</v>
      </c>
      <c r="AB33" s="1824">
        <f>AB27-AB9</f>
        <v>-334.995</v>
      </c>
      <c r="AD33" s="1824">
        <f>AD27-AD9</f>
        <v>-410.59199999999998</v>
      </c>
      <c r="AF33" s="1824">
        <f>AF27-AF9</f>
        <v>-201.04199999999997</v>
      </c>
      <c r="AH33" s="1824">
        <f>AH27-AH9</f>
        <v>-389.45199999999994</v>
      </c>
      <c r="AJ33" s="1824">
        <f>AJ27-AJ9</f>
        <v>-520.524</v>
      </c>
      <c r="AL33" s="1824">
        <f>AL27-AL9</f>
        <v>-513.32500000000005</v>
      </c>
      <c r="AN33" s="1824">
        <f>AN27-AN9</f>
        <v>-194.43600000000004</v>
      </c>
      <c r="AO33" s="1824"/>
      <c r="AP33" s="1824">
        <f>AP27-AP9</f>
        <v>-192.52300000000002</v>
      </c>
      <c r="AQ33" s="1824"/>
      <c r="AR33" s="1824">
        <f t="shared" si="5"/>
        <v>-123.24000000000001</v>
      </c>
      <c r="AS33" s="1824">
        <f t="shared" si="5"/>
        <v>-116.45999999999998</v>
      </c>
      <c r="AT33" s="1824">
        <f t="shared" si="5"/>
        <v>-168.60999999999996</v>
      </c>
      <c r="AU33" s="1824">
        <f t="shared" si="5"/>
        <v>-158.18900000000002</v>
      </c>
      <c r="AV33" s="1824"/>
    </row>
    <row r="34" spans="1:48">
      <c r="A34" s="22" t="str">
        <f t="shared" si="4"/>
        <v>3Q</v>
      </c>
      <c r="B34" s="22" t="str">
        <f t="shared" si="4"/>
        <v>Oct</v>
      </c>
      <c r="D34" s="1824">
        <f>D28-D10</f>
        <v>73.215000000000003</v>
      </c>
      <c r="F34" s="1824">
        <f>F28-F10</f>
        <v>83.171999999999997</v>
      </c>
      <c r="H34" s="1824">
        <f>H28-H10</f>
        <v>114.11</v>
      </c>
      <c r="J34" s="1824">
        <f>J28-J10</f>
        <v>47.377000000000002</v>
      </c>
      <c r="L34" s="1824">
        <f>L28-L10</f>
        <v>-74.727999999999994</v>
      </c>
      <c r="N34" s="1824">
        <f>N28-N10</f>
        <v>-140.715</v>
      </c>
      <c r="P34" s="1824">
        <f>P28-P10</f>
        <v>-94.162000000000006</v>
      </c>
      <c r="R34" s="1824">
        <f>R28-R10</f>
        <v>-102.967</v>
      </c>
      <c r="T34" s="1824">
        <f>T28-T10</f>
        <v>-245.07599999999999</v>
      </c>
      <c r="V34" s="1824">
        <f>V28-V10</f>
        <v>-431.60300000000001</v>
      </c>
      <c r="X34" s="1824">
        <f>X28-X10</f>
        <v>-443.40600000000001</v>
      </c>
      <c r="Z34" s="1824">
        <f>Z28-Z10</f>
        <v>-277.83600000000001</v>
      </c>
      <c r="AB34" s="1824">
        <f>AB28-AB10</f>
        <v>-374.37200000000001</v>
      </c>
      <c r="AD34" s="1824">
        <f>AD28-AD10</f>
        <v>-361.21800000000002</v>
      </c>
      <c r="AF34" s="1824">
        <f>AF28-AF10</f>
        <v>-198.04300000000001</v>
      </c>
      <c r="AH34" s="1824">
        <f>AH28-AH10</f>
        <v>-472.35199999999998</v>
      </c>
      <c r="AJ34" s="1824">
        <f>AJ28-AJ10</f>
        <v>-536.55000000000007</v>
      </c>
      <c r="AL34" s="1824">
        <f>AL28-AL10</f>
        <v>-465.02</v>
      </c>
      <c r="AN34" s="1824">
        <f>AN28-AN10</f>
        <v>-225.19300000000001</v>
      </c>
      <c r="AO34" s="1824"/>
      <c r="AP34" s="1824">
        <f>AP28-AP10</f>
        <v>-118.77499999999998</v>
      </c>
      <c r="AQ34" s="1824"/>
      <c r="AR34" s="1824">
        <f t="shared" si="5"/>
        <v>-26.626000000000033</v>
      </c>
      <c r="AS34" s="1824">
        <f t="shared" si="5"/>
        <v>-116.00700000000001</v>
      </c>
      <c r="AT34" s="1824">
        <f t="shared" si="5"/>
        <v>-182.48700000000002</v>
      </c>
      <c r="AU34" s="1824">
        <f t="shared" si="5"/>
        <v>-195.38299999999998</v>
      </c>
      <c r="AV34" s="1824"/>
    </row>
    <row r="35" spans="1:48">
      <c r="A35" s="22" t="str">
        <f t="shared" si="4"/>
        <v>4Q</v>
      </c>
      <c r="B35" s="22" t="str">
        <f t="shared" si="4"/>
        <v>Jan</v>
      </c>
      <c r="D35" s="1824">
        <f>D29-D11</f>
        <v>45.19</v>
      </c>
      <c r="F35" s="1824">
        <f>F29-F11</f>
        <v>55.315999999999995</v>
      </c>
      <c r="H35" s="1824">
        <f>H29-H11</f>
        <v>48.055</v>
      </c>
      <c r="J35" s="1824">
        <f>J29-J11</f>
        <v>7.3329999999999984</v>
      </c>
      <c r="L35" s="1824">
        <f>L29-L11</f>
        <v>-163.56399999999999</v>
      </c>
      <c r="N35" s="1824">
        <f>N29-N11</f>
        <v>-193.50899999999999</v>
      </c>
      <c r="P35" s="1824">
        <f>P29-P11</f>
        <v>-137.58099999999999</v>
      </c>
      <c r="R35" s="1824">
        <f>R29-R11</f>
        <v>-238.88399999999999</v>
      </c>
      <c r="T35" s="1824">
        <f>T29-T11</f>
        <v>-401.03500000000003</v>
      </c>
      <c r="V35" s="1824">
        <f>V29-V11</f>
        <v>-521.07299999999998</v>
      </c>
      <c r="X35" s="1824">
        <f>X29-X11</f>
        <v>-350.36799999999999</v>
      </c>
      <c r="Z35" s="1824">
        <f>Z29-Z11</f>
        <v>-461.85399999999998</v>
      </c>
      <c r="AB35" s="1824">
        <f>AB29-AB11</f>
        <v>-529.75199999999995</v>
      </c>
      <c r="AD35" s="1824">
        <f>AD29-AD11</f>
        <v>-648.53</v>
      </c>
      <c r="AF35" s="1824">
        <f>AF29-AF11</f>
        <v>-422.12199999999996</v>
      </c>
      <c r="AH35" s="1824">
        <f>AH29-AH11</f>
        <v>-641.25600000000009</v>
      </c>
      <c r="AJ35" s="1824">
        <f>AJ29-AJ11</f>
        <v>-757.78699999999992</v>
      </c>
      <c r="AL35" s="1824">
        <f>AL29-AL11</f>
        <v>-525.64400000000001</v>
      </c>
      <c r="AN35" s="1824">
        <f>AN29-AN11</f>
        <v>-579.56299999999999</v>
      </c>
      <c r="AO35" s="1824"/>
      <c r="AP35" s="1824">
        <f>AP29-AP11</f>
        <v>-465.11599999999999</v>
      </c>
      <c r="AQ35" s="1824"/>
      <c r="AR35" s="1824">
        <f>AR29-AR11</f>
        <v>-227.29599999999999</v>
      </c>
      <c r="AS35" s="1824">
        <f t="shared" si="5"/>
        <v>-302.34299999999996</v>
      </c>
      <c r="AT35" s="1824">
        <f t="shared" si="5"/>
        <v>-284.19699999999995</v>
      </c>
      <c r="AU35" s="1824">
        <f t="shared" si="5"/>
        <v>-425.87199999999996</v>
      </c>
      <c r="AV35" s="1824"/>
    </row>
    <row r="36" spans="1:48">
      <c r="AR36" s="1824"/>
    </row>
    <row r="37" spans="1:48">
      <c r="D37" s="1899"/>
      <c r="F37" s="1899"/>
      <c r="H37" s="1899"/>
      <c r="J37" s="1899"/>
      <c r="K37" s="1899"/>
      <c r="L37" s="1899"/>
      <c r="N37" s="1899"/>
      <c r="O37" s="1899"/>
      <c r="P37" s="1899"/>
      <c r="Q37" s="1899"/>
      <c r="R37" s="1899"/>
      <c r="S37" s="1899"/>
      <c r="U37" s="1899"/>
      <c r="AK37" s="1899" t="s">
        <v>335</v>
      </c>
      <c r="AR37" s="1824"/>
    </row>
    <row r="38" spans="1:48">
      <c r="A38" s="22" t="str">
        <f t="shared" ref="A38:B41" si="6">A32</f>
        <v>1Q</v>
      </c>
      <c r="B38" s="22" t="str">
        <f t="shared" si="6"/>
        <v>Apr</v>
      </c>
      <c r="D38" s="1588">
        <v>-15.077999999999999</v>
      </c>
      <c r="F38" s="1588">
        <v>-13.699</v>
      </c>
      <c r="H38" s="1588">
        <v>-7.8209999999999997</v>
      </c>
      <c r="J38" s="1588">
        <v>10.951000000000001</v>
      </c>
      <c r="L38" s="1588">
        <v>91.448999999999998</v>
      </c>
      <c r="N38" s="1588">
        <v>194.61600000000001</v>
      </c>
      <c r="P38" s="1588">
        <v>316.255</v>
      </c>
      <c r="R38" s="1588">
        <v>446.29300000000001</v>
      </c>
      <c r="T38" s="1588">
        <v>617.54600000000005</v>
      </c>
      <c r="V38" s="1588">
        <v>787.05799999999999</v>
      </c>
      <c r="X38" s="1588">
        <v>874.42899999999997</v>
      </c>
      <c r="Z38" s="1588">
        <v>688.73500000000001</v>
      </c>
      <c r="AB38" s="1588">
        <v>1048.29</v>
      </c>
      <c r="AD38" s="1588">
        <v>1391.1379999999999</v>
      </c>
      <c r="AF38" s="1588">
        <v>1644.317</v>
      </c>
      <c r="AH38" s="1588">
        <v>1771.4059999999999</v>
      </c>
      <c r="AJ38" s="1588">
        <v>1800.5530000000001</v>
      </c>
      <c r="AL38" s="1588">
        <v>1908.5619999999999</v>
      </c>
      <c r="AN38" s="1588">
        <v>1693.0150000000001</v>
      </c>
      <c r="AO38" s="1588"/>
      <c r="AP38" s="1588">
        <v>1779.7760000000001</v>
      </c>
      <c r="AQ38" s="1588"/>
      <c r="AR38" s="1588">
        <v>1552.6</v>
      </c>
      <c r="AS38" s="1588">
        <v>1307.3</v>
      </c>
      <c r="AT38" s="1588">
        <v>1254.7950000000001</v>
      </c>
      <c r="AU38" s="1588">
        <v>1180.7860000000001</v>
      </c>
      <c r="AV38" s="1588"/>
    </row>
    <row r="39" spans="1:48">
      <c r="A39" s="22" t="str">
        <f t="shared" si="6"/>
        <v>2Q</v>
      </c>
      <c r="B39" s="22" t="str">
        <f t="shared" si="6"/>
        <v>Jul</v>
      </c>
      <c r="D39" s="119">
        <v>-16.257000000000001</v>
      </c>
      <c r="F39" s="119">
        <v>-14.228</v>
      </c>
      <c r="H39" s="119">
        <v>-7.5810000000000004</v>
      </c>
      <c r="J39" s="119">
        <v>13.02</v>
      </c>
      <c r="L39" s="119">
        <v>102.05800000000001</v>
      </c>
      <c r="N39" s="119">
        <v>204.624</v>
      </c>
      <c r="P39" s="119">
        <v>311.30200000000002</v>
      </c>
      <c r="R39" s="119">
        <v>476.834</v>
      </c>
      <c r="T39" s="119">
        <v>626.18200000000002</v>
      </c>
      <c r="V39" s="119">
        <v>777.63499999999999</v>
      </c>
      <c r="X39" s="119">
        <v>922.27599999999995</v>
      </c>
      <c r="Z39" s="119">
        <f>842.113</f>
        <v>842.11300000000006</v>
      </c>
      <c r="AB39" s="119">
        <v>1110.7239999999999</v>
      </c>
      <c r="AD39" s="119">
        <v>1485.5740000000001</v>
      </c>
      <c r="AF39" s="119">
        <v>1745.645</v>
      </c>
      <c r="AH39" s="119">
        <v>1741.258</v>
      </c>
      <c r="AJ39" s="119">
        <v>1819.6969999999999</v>
      </c>
      <c r="AL39" s="119">
        <v>1899.3150000000001</v>
      </c>
      <c r="AN39" s="119">
        <v>1695.836</v>
      </c>
      <c r="AO39" s="119"/>
      <c r="AP39" s="119">
        <v>1683.665</v>
      </c>
      <c r="AQ39" s="119"/>
      <c r="AR39" s="119">
        <v>1491.364</v>
      </c>
      <c r="AS39" s="119">
        <v>1285.9469999999999</v>
      </c>
      <c r="AT39" s="119">
        <v>1232.2239999999999</v>
      </c>
      <c r="AU39" s="119">
        <v>1166.318</v>
      </c>
      <c r="AV39" s="119"/>
    </row>
    <row r="40" spans="1:48">
      <c r="A40" s="22" t="str">
        <f t="shared" si="6"/>
        <v>3Q</v>
      </c>
      <c r="B40" s="22" t="str">
        <f t="shared" si="6"/>
        <v>Oct</v>
      </c>
      <c r="D40" s="119">
        <v>-16.564</v>
      </c>
      <c r="F40" s="119">
        <v>-12.49</v>
      </c>
      <c r="H40" s="119">
        <v>-8.8970000000000002</v>
      </c>
      <c r="J40" s="119">
        <v>23.457000000000001</v>
      </c>
      <c r="L40" s="119">
        <v>116.051</v>
      </c>
      <c r="N40" s="119">
        <v>231.2</v>
      </c>
      <c r="P40" s="119">
        <v>343.59800000000001</v>
      </c>
      <c r="R40" s="119">
        <v>510.32</v>
      </c>
      <c r="T40" s="119">
        <v>655.15099999999995</v>
      </c>
      <c r="V40" s="119">
        <v>821.07299999999998</v>
      </c>
      <c r="X40" s="119">
        <v>777.46600000000001</v>
      </c>
      <c r="Z40" s="119">
        <v>836.05399999999997</v>
      </c>
      <c r="AB40" s="119">
        <v>1211.873</v>
      </c>
      <c r="AD40" s="119">
        <v>1405.7180000000001</v>
      </c>
      <c r="AF40" s="119">
        <v>1793.0930000000001</v>
      </c>
      <c r="AH40" s="119">
        <v>1778.376</v>
      </c>
      <c r="AJ40" s="119">
        <v>1846.8309999999999</v>
      </c>
      <c r="AL40" s="119">
        <v>1931.23</v>
      </c>
      <c r="AN40" s="119">
        <v>1662.768</v>
      </c>
      <c r="AO40" s="119"/>
      <c r="AP40" s="119">
        <v>1675.0170000000001</v>
      </c>
      <c r="AQ40" s="119"/>
      <c r="AR40" s="119">
        <v>1395.4590000000001</v>
      </c>
      <c r="AS40" s="119">
        <v>1268.8779999999999</v>
      </c>
      <c r="AT40" s="119">
        <v>1219.6220000000001</v>
      </c>
      <c r="AU40" s="119">
        <v>1170.1590000000001</v>
      </c>
      <c r="AV40" s="119"/>
    </row>
    <row r="41" spans="1:48">
      <c r="A41" s="22" t="str">
        <f t="shared" si="6"/>
        <v>4Q</v>
      </c>
      <c r="B41" s="22" t="str">
        <f t="shared" si="6"/>
        <v>Jan</v>
      </c>
      <c r="D41" s="119">
        <v>-7.7329999999999997</v>
      </c>
      <c r="F41" s="119">
        <v>-0.66500000000000004</v>
      </c>
      <c r="H41" s="119">
        <v>11.238</v>
      </c>
      <c r="J41" s="119">
        <v>58.774999999999999</v>
      </c>
      <c r="L41" s="119">
        <v>186.10499999999999</v>
      </c>
      <c r="N41" s="119">
        <v>311.09399999999999</v>
      </c>
      <c r="P41" s="119">
        <v>422.7</v>
      </c>
      <c r="R41" s="119">
        <v>595.43399999999997</v>
      </c>
      <c r="T41" s="119">
        <v>749.52700000000004</v>
      </c>
      <c r="V41" s="119">
        <v>857.76499999999999</v>
      </c>
      <c r="X41" s="119">
        <v>669.32600000000002</v>
      </c>
      <c r="Z41" s="119">
        <v>995.11699999999996</v>
      </c>
      <c r="AB41" s="119">
        <v>1405.3230000000001</v>
      </c>
      <c r="AD41" s="119">
        <v>1618.3130000000001</v>
      </c>
      <c r="AF41" s="119">
        <v>1845.578</v>
      </c>
      <c r="AH41" s="119">
        <v>1827.9169999999999</v>
      </c>
      <c r="AJ41" s="119">
        <v>1890.7840000000001</v>
      </c>
      <c r="AL41" s="119">
        <v>1862.4559999999999</v>
      </c>
      <c r="AN41" s="119">
        <v>1818.268</v>
      </c>
      <c r="AO41" s="119"/>
      <c r="AP41" s="119">
        <v>1729.4929999999999</v>
      </c>
      <c r="AQ41" s="119"/>
      <c r="AR41" s="119">
        <v>1389.701</v>
      </c>
      <c r="AS41" s="119">
        <v>1295.722</v>
      </c>
      <c r="AT41" s="119">
        <v>1252.039</v>
      </c>
      <c r="AU41" s="119">
        <v>1252.471</v>
      </c>
      <c r="AV41" s="119"/>
    </row>
    <row r="43" spans="1:48">
      <c r="D43" s="1576"/>
      <c r="F43" s="1576"/>
      <c r="H43" s="1576"/>
      <c r="J43" s="1576"/>
      <c r="K43" s="1576"/>
      <c r="L43" s="1576"/>
      <c r="N43" s="1576"/>
      <c r="O43" s="1576"/>
      <c r="P43" s="1576"/>
      <c r="Q43" s="1576"/>
      <c r="R43" s="1576"/>
      <c r="S43" s="1576"/>
      <c r="U43" s="1576"/>
      <c r="AK43" s="1576" t="s">
        <v>336</v>
      </c>
    </row>
    <row r="44" spans="1:48">
      <c r="A44" s="22" t="str">
        <f t="shared" ref="A44:B47" si="7">A38</f>
        <v>1Q</v>
      </c>
      <c r="B44" s="22" t="str">
        <f t="shared" si="7"/>
        <v>Apr</v>
      </c>
      <c r="D44" s="1008">
        <f>D38+D26</f>
        <v>39.581000000000003</v>
      </c>
      <c r="F44" s="1008">
        <f>F38+F26</f>
        <v>47.971000000000004</v>
      </c>
      <c r="H44" s="1008">
        <f>H38+H26</f>
        <v>71.25</v>
      </c>
      <c r="J44" s="1008">
        <f>J38+J26</f>
        <v>60.951000000000001</v>
      </c>
      <c r="L44" s="1008">
        <f>L38+L26</f>
        <v>91.448999999999998</v>
      </c>
      <c r="N44" s="1008">
        <f>N38+N26</f>
        <v>194.61600000000001</v>
      </c>
      <c r="P44" s="1008">
        <f>P38+P26</f>
        <v>316.255</v>
      </c>
      <c r="R44" s="1008">
        <f>R38+R26</f>
        <v>446.29300000000001</v>
      </c>
      <c r="T44" s="1008">
        <f>T38+T26</f>
        <v>617.54600000000005</v>
      </c>
      <c r="V44" s="1008">
        <f>V38+V26</f>
        <v>787.05799999999999</v>
      </c>
      <c r="X44" s="1008">
        <f>X38+X26</f>
        <v>874.42899999999997</v>
      </c>
      <c r="Z44" s="1008">
        <f>Z38+Z26</f>
        <v>688.73500000000001</v>
      </c>
      <c r="AB44" s="1008">
        <f>AB38+AB26</f>
        <v>1048.29</v>
      </c>
      <c r="AD44" s="1008">
        <f>AD38+AD26</f>
        <v>1391.1379999999999</v>
      </c>
      <c r="AF44" s="1008">
        <f>AF38+AF26</f>
        <v>1644.317</v>
      </c>
      <c r="AH44" s="1008">
        <f>AH38+AH26</f>
        <v>1871.4059999999999</v>
      </c>
      <c r="AI44" s="1008"/>
      <c r="AJ44" s="1008">
        <f>AJ38+AJ26</f>
        <v>1871.1560000000002</v>
      </c>
      <c r="AK44" s="1008"/>
      <c r="AL44" s="1008">
        <f>AL38+AL26</f>
        <v>1978.4319999999998</v>
      </c>
      <c r="AM44" s="1008"/>
      <c r="AN44" s="1008">
        <f>AN38+AN26</f>
        <v>1758.7230000000002</v>
      </c>
      <c r="AO44" s="1008"/>
      <c r="AP44" s="1008">
        <f t="shared" ref="AP44:AU47" si="8">AP38+AP26</f>
        <v>1926.0260000000001</v>
      </c>
      <c r="AQ44" s="1008"/>
      <c r="AR44" s="1008">
        <f t="shared" si="8"/>
        <v>1683.85</v>
      </c>
      <c r="AS44" s="1008">
        <f t="shared" si="8"/>
        <v>1599.655</v>
      </c>
      <c r="AT44" s="1008">
        <f>AT38+AT26</f>
        <v>1541.41</v>
      </c>
      <c r="AU44" s="1008">
        <f>AU38+AU26</f>
        <v>1444.1390000000001</v>
      </c>
      <c r="AV44" s="1008"/>
    </row>
    <row r="45" spans="1:48">
      <c r="A45" s="22" t="str">
        <f t="shared" si="7"/>
        <v>2Q</v>
      </c>
      <c r="B45" s="22" t="str">
        <f t="shared" si="7"/>
        <v>Jul</v>
      </c>
      <c r="D45" s="1824">
        <f>D39+D27</f>
        <v>50.381</v>
      </c>
      <c r="F45" s="1824">
        <f>F39+F27</f>
        <v>60.384999999999998</v>
      </c>
      <c r="H45" s="1824">
        <f>H39+H27</f>
        <v>85.725999999999999</v>
      </c>
      <c r="J45" s="1824">
        <f>J39+J27</f>
        <v>63.019999999999996</v>
      </c>
      <c r="L45" s="1824">
        <f>L39+L27</f>
        <v>102.05800000000001</v>
      </c>
      <c r="N45" s="1824">
        <f>N39+N27</f>
        <v>204.624</v>
      </c>
      <c r="P45" s="1824">
        <f>P39+P27</f>
        <v>311.30200000000002</v>
      </c>
      <c r="R45" s="1824">
        <f>R39+R27</f>
        <v>476.834</v>
      </c>
      <c r="T45" s="1824">
        <f>T39+T27</f>
        <v>626.18200000000002</v>
      </c>
      <c r="V45" s="1824">
        <f>V39+V27</f>
        <v>777.63499999999999</v>
      </c>
      <c r="X45" s="1824">
        <f>X39+X27</f>
        <v>922.27599999999995</v>
      </c>
      <c r="Z45" s="1824">
        <f>Z39+Z27</f>
        <v>842.11300000000006</v>
      </c>
      <c r="AB45" s="1824">
        <f>AB39+AB27</f>
        <v>1110.7239999999999</v>
      </c>
      <c r="AD45" s="1824">
        <f>AD39+AD27</f>
        <v>1485.5740000000001</v>
      </c>
      <c r="AF45" s="1824">
        <f>AF39+AF27</f>
        <v>1845.645</v>
      </c>
      <c r="AH45" s="1824">
        <f>AH39+AH27</f>
        <v>1777.9880000000001</v>
      </c>
      <c r="AJ45" s="1824">
        <f>AJ39+AJ27</f>
        <v>1895.664</v>
      </c>
      <c r="AL45" s="1824">
        <f>AL39+AL27</f>
        <v>1925.6030000000001</v>
      </c>
      <c r="AN45" s="1824">
        <f>AN39+AN27</f>
        <v>1833.663</v>
      </c>
      <c r="AO45" s="1824"/>
      <c r="AP45" s="1824">
        <f t="shared" si="8"/>
        <v>1826.165</v>
      </c>
      <c r="AQ45" s="1824"/>
      <c r="AR45" s="1824">
        <f t="shared" si="8"/>
        <v>1678.864</v>
      </c>
      <c r="AS45" s="1824">
        <f t="shared" si="8"/>
        <v>1577.7979999999998</v>
      </c>
      <c r="AT45" s="1824">
        <f t="shared" si="8"/>
        <v>1519.22</v>
      </c>
      <c r="AU45" s="1824">
        <f t="shared" si="8"/>
        <v>1430.0319999999999</v>
      </c>
      <c r="AV45" s="1824"/>
    </row>
    <row r="46" spans="1:48">
      <c r="A46" s="22" t="str">
        <f t="shared" si="7"/>
        <v>3Q</v>
      </c>
      <c r="B46" s="22" t="str">
        <f t="shared" si="7"/>
        <v>Oct</v>
      </c>
      <c r="D46" s="1824">
        <f>D40+D28</f>
        <v>57.237000000000002</v>
      </c>
      <c r="F46" s="1824">
        <f>F40+F28</f>
        <v>71.555999999999997</v>
      </c>
      <c r="H46" s="1824">
        <f>H40+H28</f>
        <v>107.029</v>
      </c>
      <c r="J46" s="1824">
        <f>J40+J28</f>
        <v>73.456999999999994</v>
      </c>
      <c r="L46" s="1824">
        <f>L40+L28</f>
        <v>116.051</v>
      </c>
      <c r="N46" s="1824">
        <f>N40+N28</f>
        <v>231.2</v>
      </c>
      <c r="P46" s="1824">
        <f>P40+P28</f>
        <v>343.59800000000001</v>
      </c>
      <c r="R46" s="1824">
        <f>R40+R28</f>
        <v>510.32</v>
      </c>
      <c r="T46" s="1824">
        <f>T40+T28</f>
        <v>655.15099999999995</v>
      </c>
      <c r="V46" s="1824">
        <f>V40+V28</f>
        <v>821.07299999999998</v>
      </c>
      <c r="X46" s="1824">
        <f>X40+X28</f>
        <v>777.46600000000001</v>
      </c>
      <c r="Z46" s="1824">
        <f>Z40+Z28</f>
        <v>836.05399999999997</v>
      </c>
      <c r="AB46" s="1824">
        <f>AB40+AB28</f>
        <v>1211.873</v>
      </c>
      <c r="AD46" s="1824">
        <f>AD40+AD28</f>
        <v>1405.7180000000001</v>
      </c>
      <c r="AF46" s="1824">
        <f>AF40+AF28</f>
        <v>1893.0930000000001</v>
      </c>
      <c r="AH46" s="1824">
        <f>AH40+AH28</f>
        <v>1828.896</v>
      </c>
      <c r="AJ46" s="1824">
        <f>AJ40+AJ28</f>
        <v>1928.501</v>
      </c>
      <c r="AL46" s="1824">
        <f>AL40+AL28</f>
        <v>1954.5509999999999</v>
      </c>
      <c r="AN46" s="1824">
        <f>AN40+AN28</f>
        <v>1787.2450000000001</v>
      </c>
      <c r="AO46" s="1824"/>
      <c r="AP46" s="1824">
        <f t="shared" si="8"/>
        <v>1813.7670000000001</v>
      </c>
      <c r="AQ46" s="1824"/>
      <c r="AR46" s="1824">
        <f t="shared" si="8"/>
        <v>1689.3969999999999</v>
      </c>
      <c r="AS46" s="1824">
        <f t="shared" si="8"/>
        <v>1558.482</v>
      </c>
      <c r="AT46" s="1824">
        <f t="shared" si="8"/>
        <v>1506.855</v>
      </c>
      <c r="AU46" s="1824">
        <f t="shared" si="8"/>
        <v>1434.0690000000002</v>
      </c>
      <c r="AV46" s="1824"/>
    </row>
    <row r="47" spans="1:48">
      <c r="A47" s="22" t="str">
        <f t="shared" si="7"/>
        <v>4Q</v>
      </c>
      <c r="B47" s="22" t="str">
        <f t="shared" si="7"/>
        <v>Jan</v>
      </c>
      <c r="D47" s="1824">
        <f>D41+D29</f>
        <v>38.048999999999999</v>
      </c>
      <c r="F47" s="1824">
        <f>F41+F29</f>
        <v>55.524999999999999</v>
      </c>
      <c r="H47" s="1824">
        <f>H41+H29</f>
        <v>61.238</v>
      </c>
      <c r="J47" s="1824">
        <f>J41+J29</f>
        <v>108.77500000000001</v>
      </c>
      <c r="L47" s="1824">
        <f>L41+L29</f>
        <v>186.10499999999999</v>
      </c>
      <c r="N47" s="1824">
        <f>N41+N29</f>
        <v>311.09399999999999</v>
      </c>
      <c r="P47" s="1824">
        <f>P41+P29</f>
        <v>422.7</v>
      </c>
      <c r="R47" s="1824">
        <f>R41+R29</f>
        <v>595.43399999999997</v>
      </c>
      <c r="T47" s="1824">
        <f>T41+T29</f>
        <v>749.52700000000004</v>
      </c>
      <c r="V47" s="1824">
        <f>V41+V29</f>
        <v>857.76499999999999</v>
      </c>
      <c r="X47" s="1824">
        <f>X41+X29</f>
        <v>669.32600000000002</v>
      </c>
      <c r="Z47" s="1824">
        <f>Z41+Z29</f>
        <v>995.11699999999996</v>
      </c>
      <c r="AB47" s="1824">
        <f>AB41+AB29</f>
        <v>1405.3230000000001</v>
      </c>
      <c r="AD47" s="1824">
        <f>AD41+AD29</f>
        <v>1618.3130000000001</v>
      </c>
      <c r="AF47" s="1824">
        <f>AF41+AF29</f>
        <v>1945.578</v>
      </c>
      <c r="AH47" s="1824">
        <f>AH41+AH29</f>
        <v>1899.1299999999999</v>
      </c>
      <c r="AJ47" s="1824">
        <f>AJ41+AJ29</f>
        <v>1959.3500000000001</v>
      </c>
      <c r="AL47" s="1824">
        <f>AL41+AL29</f>
        <v>1920.3069999999998</v>
      </c>
      <c r="AN47" s="1824">
        <f>AN41+AN29</f>
        <v>1882.21</v>
      </c>
      <c r="AO47" s="1824"/>
      <c r="AP47" s="1824">
        <f>AP41+AP29</f>
        <v>1864.4929999999999</v>
      </c>
      <c r="AQ47" s="1824"/>
      <c r="AR47" s="1824">
        <f t="shared" si="8"/>
        <v>1683.1130000000001</v>
      </c>
      <c r="AS47" s="1824">
        <f t="shared" si="8"/>
        <v>1581.9569999999999</v>
      </c>
      <c r="AT47" s="1824">
        <f t="shared" si="8"/>
        <v>1515.0309999999999</v>
      </c>
      <c r="AU47" s="1824">
        <f t="shared" si="8"/>
        <v>1502.1569999999999</v>
      </c>
      <c r="AV47" s="1824"/>
    </row>
    <row r="49" spans="1:48">
      <c r="D49" s="1576"/>
      <c r="F49" s="1576"/>
      <c r="H49" s="1576"/>
      <c r="J49" s="1576"/>
      <c r="K49" s="1576"/>
      <c r="L49" s="1576"/>
      <c r="N49" s="1576"/>
      <c r="O49" s="1576"/>
      <c r="P49" s="1576"/>
      <c r="Q49" s="1576"/>
      <c r="R49" s="1576"/>
      <c r="S49" s="1576"/>
      <c r="U49" s="1576"/>
      <c r="AK49" s="1576" t="s">
        <v>337</v>
      </c>
    </row>
    <row r="50" spans="1:48">
      <c r="A50" s="22" t="str">
        <f t="shared" ref="A50:B53" si="9">A44</f>
        <v>1Q</v>
      </c>
      <c r="B50" s="22" t="str">
        <f t="shared" si="9"/>
        <v>Apr</v>
      </c>
      <c r="D50" s="18">
        <f>D26/D44</f>
        <v>1.3809403501680098</v>
      </c>
      <c r="F50" s="18">
        <f>F26/F44</f>
        <v>1.2855683642200495</v>
      </c>
      <c r="H50" s="18">
        <f>H26/H44</f>
        <v>1.1097684210526315</v>
      </c>
      <c r="J50" s="18">
        <f>J26/J44</f>
        <v>0.82033108562615875</v>
      </c>
      <c r="L50" s="18">
        <f>L26/L44</f>
        <v>0</v>
      </c>
      <c r="N50" s="18">
        <f>N26/N44</f>
        <v>0</v>
      </c>
      <c r="P50" s="18">
        <f>P26/P44</f>
        <v>0</v>
      </c>
      <c r="R50" s="18">
        <f>R26/R44</f>
        <v>0</v>
      </c>
      <c r="T50" s="18">
        <f>T26/T44</f>
        <v>0</v>
      </c>
      <c r="V50" s="18">
        <f>V26/V44</f>
        <v>0</v>
      </c>
      <c r="X50" s="18">
        <f>X26/X44</f>
        <v>0</v>
      </c>
      <c r="Z50" s="18">
        <f>Z26/Z44</f>
        <v>0</v>
      </c>
      <c r="AB50" s="18">
        <f>AB26/AB44</f>
        <v>0</v>
      </c>
      <c r="AD50" s="18">
        <f>AD26/AD44</f>
        <v>0</v>
      </c>
      <c r="AF50" s="18">
        <f>AF26/AF44</f>
        <v>0</v>
      </c>
      <c r="AH50" s="18">
        <f>AH26/AH44</f>
        <v>5.343575899617721E-2</v>
      </c>
      <c r="AJ50" s="18">
        <f>AJ26/AJ44</f>
        <v>3.7732289557898958E-2</v>
      </c>
      <c r="AL50" s="18">
        <f>AL26/AL44</f>
        <v>3.5315846084171716E-2</v>
      </c>
      <c r="AN50" s="18">
        <f>AN26/AN44</f>
        <v>3.7361199006324473E-2</v>
      </c>
      <c r="AO50" s="18"/>
      <c r="AP50" s="18">
        <f t="shared" ref="AP50:AU53" si="10">AP26/AP44</f>
        <v>7.5933554375693782E-2</v>
      </c>
      <c r="AQ50" s="18"/>
      <c r="AR50" s="18">
        <f t="shared" si="10"/>
        <v>7.7946372895447938E-2</v>
      </c>
      <c r="AS50" s="18">
        <f t="shared" si="10"/>
        <v>0.18276128290162569</v>
      </c>
      <c r="AT50" s="18">
        <f>AT26/AT44</f>
        <v>0.18594338949403469</v>
      </c>
      <c r="AU50" s="18">
        <f>AU26/AU44</f>
        <v>0.18235986979092733</v>
      </c>
      <c r="AV50" s="18"/>
    </row>
    <row r="51" spans="1:48">
      <c r="A51" s="22" t="str">
        <f t="shared" si="9"/>
        <v>2Q</v>
      </c>
      <c r="B51" s="22" t="str">
        <f t="shared" si="9"/>
        <v>Jul</v>
      </c>
      <c r="D51" s="18">
        <f>D27/D45</f>
        <v>1.3226811694884977</v>
      </c>
      <c r="F51" s="18">
        <f>F27/F45</f>
        <v>1.2356214291628715</v>
      </c>
      <c r="H51" s="18">
        <f>H27/H45</f>
        <v>1.088432914168397</v>
      </c>
      <c r="J51" s="18">
        <f>J27/J45</f>
        <v>0.79339892097746756</v>
      </c>
      <c r="L51" s="18">
        <f>L27/L45</f>
        <v>0</v>
      </c>
      <c r="N51" s="18">
        <f>N27/N45</f>
        <v>0</v>
      </c>
      <c r="P51" s="18">
        <f>P27/P45</f>
        <v>0</v>
      </c>
      <c r="R51" s="18">
        <f>R27/R45</f>
        <v>0</v>
      </c>
      <c r="T51" s="18">
        <f>T27/T45</f>
        <v>0</v>
      </c>
      <c r="V51" s="18">
        <f>V27/V45</f>
        <v>0</v>
      </c>
      <c r="X51" s="18">
        <f>X27/X45</f>
        <v>0</v>
      </c>
      <c r="Z51" s="18">
        <f>Z27/Z45</f>
        <v>0</v>
      </c>
      <c r="AB51" s="18">
        <f>AB27/AB45</f>
        <v>0</v>
      </c>
      <c r="AD51" s="18">
        <f>AD27/AD45</f>
        <v>0</v>
      </c>
      <c r="AF51" s="18">
        <f>AF27/AF45</f>
        <v>5.4181600470296291E-2</v>
      </c>
      <c r="AH51" s="18">
        <f>AH27/AH45</f>
        <v>2.0658182169958399E-2</v>
      </c>
      <c r="AJ51" s="18">
        <f>AJ27/AJ45</f>
        <v>4.0074084858920146E-2</v>
      </c>
      <c r="AL51" s="18">
        <f>AL27/AL45</f>
        <v>1.3651827505461926E-2</v>
      </c>
      <c r="AN51" s="18">
        <f>AN27/AN45</f>
        <v>7.5164847630126139E-2</v>
      </c>
      <c r="AO51" s="18"/>
      <c r="AP51" s="18">
        <f t="shared" si="10"/>
        <v>7.8032379330454801E-2</v>
      </c>
      <c r="AQ51" s="18"/>
      <c r="AR51" s="18">
        <f t="shared" si="10"/>
        <v>0.11168266160927866</v>
      </c>
      <c r="AS51" s="18">
        <f t="shared" si="10"/>
        <v>0.18497361512690474</v>
      </c>
      <c r="AT51" s="18">
        <f t="shared" si="10"/>
        <v>0.18891009860323063</v>
      </c>
      <c r="AU51" s="18">
        <f t="shared" si="10"/>
        <v>0.18441125792989249</v>
      </c>
      <c r="AV51" s="18"/>
    </row>
    <row r="52" spans="1:48">
      <c r="A52" s="22" t="str">
        <f t="shared" si="9"/>
        <v>3Q</v>
      </c>
      <c r="B52" s="22" t="str">
        <f t="shared" si="9"/>
        <v>Oct</v>
      </c>
      <c r="D52" s="18">
        <f>D28/D46</f>
        <v>1.2893932246623687</v>
      </c>
      <c r="F52" s="18">
        <f>F28/F46</f>
        <v>1.1745486052881657</v>
      </c>
      <c r="H52" s="18">
        <f>H28/H46</f>
        <v>1.0831270029618141</v>
      </c>
      <c r="J52" s="18">
        <f>J28/J46</f>
        <v>0.68067032413520845</v>
      </c>
      <c r="L52" s="18">
        <f>L28/L46</f>
        <v>0</v>
      </c>
      <c r="N52" s="18">
        <f>N28/N46</f>
        <v>0</v>
      </c>
      <c r="P52" s="18">
        <f>P28/P46</f>
        <v>0</v>
      </c>
      <c r="R52" s="18">
        <f>R28/R46</f>
        <v>0</v>
      </c>
      <c r="T52" s="18">
        <f>T28/T46</f>
        <v>0</v>
      </c>
      <c r="V52" s="18">
        <f>V28/V46</f>
        <v>0</v>
      </c>
      <c r="X52" s="18">
        <f>X28/X46</f>
        <v>0</v>
      </c>
      <c r="Z52" s="18">
        <f>Z28/Z46</f>
        <v>0</v>
      </c>
      <c r="AB52" s="18">
        <f>AB28/AB46</f>
        <v>0</v>
      </c>
      <c r="AD52" s="18">
        <f>AD28/AD46</f>
        <v>0</v>
      </c>
      <c r="AF52" s="18">
        <f>AF28/AF46</f>
        <v>5.2823606658521267E-2</v>
      </c>
      <c r="AH52" s="18">
        <f>AH28/AH46</f>
        <v>2.7623221878116638E-2</v>
      </c>
      <c r="AJ52" s="18">
        <f>AJ28/AJ46</f>
        <v>4.2348953928465688E-2</v>
      </c>
      <c r="AL52" s="18">
        <f>AL28/AL46</f>
        <v>1.1931640566043046E-2</v>
      </c>
      <c r="AN52" s="18">
        <f>AN28/AN46</f>
        <v>6.9647418233090591E-2</v>
      </c>
      <c r="AO52" s="18"/>
      <c r="AP52" s="18">
        <f t="shared" si="10"/>
        <v>7.6498249223852899E-2</v>
      </c>
      <c r="AQ52" s="18"/>
      <c r="AR52" s="18">
        <f t="shared" si="10"/>
        <v>0.17398989106764129</v>
      </c>
      <c r="AS52" s="18">
        <f t="shared" si="10"/>
        <v>0.18582441118986295</v>
      </c>
      <c r="AT52" s="18">
        <f t="shared" si="10"/>
        <v>0.19061754448835488</v>
      </c>
      <c r="AU52" s="18">
        <f t="shared" si="10"/>
        <v>0.18402880196141189</v>
      </c>
      <c r="AV52" s="18"/>
    </row>
    <row r="53" spans="1:48">
      <c r="A53" s="22" t="str">
        <f t="shared" si="9"/>
        <v>4Q</v>
      </c>
      <c r="B53" s="22" t="str">
        <f t="shared" si="9"/>
        <v>Jan</v>
      </c>
      <c r="D53" s="18">
        <f>D29/D47</f>
        <v>1.2032379300375831</v>
      </c>
      <c r="F53" s="18">
        <f>F29/F47</f>
        <v>1.0119765871229176</v>
      </c>
      <c r="H53" s="18">
        <f>H29/H47</f>
        <v>0.81648649531336748</v>
      </c>
      <c r="J53" s="18">
        <f>J29/J47</f>
        <v>0.45966444495518272</v>
      </c>
      <c r="L53" s="18">
        <f>L29/L47</f>
        <v>0</v>
      </c>
      <c r="N53" s="18">
        <f>N29/N47</f>
        <v>0</v>
      </c>
      <c r="P53" s="18">
        <f>P29/P47</f>
        <v>0</v>
      </c>
      <c r="R53" s="18">
        <f>R29/R47</f>
        <v>0</v>
      </c>
      <c r="T53" s="18">
        <f>T29/T47</f>
        <v>0</v>
      </c>
      <c r="V53" s="18">
        <f>V29/V47</f>
        <v>0</v>
      </c>
      <c r="X53" s="18">
        <f>X29/X47</f>
        <v>0</v>
      </c>
      <c r="Z53" s="18">
        <f>Z29/Z47</f>
        <v>0</v>
      </c>
      <c r="AB53" s="18">
        <f>AB29/AB47</f>
        <v>0</v>
      </c>
      <c r="AD53" s="18">
        <f>AD29/AD47</f>
        <v>0</v>
      </c>
      <c r="AF53" s="18">
        <f>AF29/AF47</f>
        <v>5.1398607508925366E-2</v>
      </c>
      <c r="AH53" s="18">
        <f>AH29/AH47</f>
        <v>3.7497696313575163E-2</v>
      </c>
      <c r="AJ53" s="18">
        <f>AJ29/AJ47</f>
        <v>3.4994258299946408E-2</v>
      </c>
      <c r="AL53" s="18">
        <f>AL29/AL47</f>
        <v>3.0125912158837104E-2</v>
      </c>
      <c r="AN53" s="18">
        <f>AN29/AN47</f>
        <v>3.3971767231074111E-2</v>
      </c>
      <c r="AO53" s="18"/>
      <c r="AP53" s="18">
        <f>AP29/AP47</f>
        <v>7.2405742472618564E-2</v>
      </c>
      <c r="AQ53" s="18"/>
      <c r="AR53" s="18">
        <f t="shared" si="10"/>
        <v>0.17432697626362578</v>
      </c>
      <c r="AS53" s="18">
        <f t="shared" si="10"/>
        <v>0.18093728211323065</v>
      </c>
      <c r="AT53" s="18">
        <f t="shared" si="10"/>
        <v>0.17358852723145601</v>
      </c>
      <c r="AU53" s="18">
        <f t="shared" si="10"/>
        <v>0.16621831140153792</v>
      </c>
      <c r="AV53" s="18"/>
    </row>
    <row r="55" spans="1:48">
      <c r="D55" s="1576"/>
      <c r="F55" s="1576"/>
      <c r="H55" s="1576"/>
      <c r="J55" s="1576"/>
      <c r="K55" s="1576"/>
      <c r="L55" s="1576"/>
      <c r="N55" s="1576"/>
      <c r="O55" s="1576"/>
      <c r="Q55" s="1576"/>
      <c r="R55" s="1576"/>
      <c r="S55" s="1576"/>
      <c r="U55" s="1576"/>
      <c r="AK55" s="1576" t="s">
        <v>339</v>
      </c>
      <c r="AR55" s="1900"/>
    </row>
    <row r="56" spans="1:48">
      <c r="A56" s="22" t="str">
        <f t="shared" ref="A56:B59" si="11">A50</f>
        <v>1Q</v>
      </c>
      <c r="B56" s="22" t="str">
        <f t="shared" si="11"/>
        <v>Apr</v>
      </c>
      <c r="D56" s="1900">
        <f>D32/D44</f>
        <v>1.3710871377681209</v>
      </c>
      <c r="F56" s="1900">
        <f>F32/F44</f>
        <v>1.2748327114298221</v>
      </c>
      <c r="H56" s="1900">
        <f>H32/H44</f>
        <v>1.0982175438596491</v>
      </c>
      <c r="J56" s="1900">
        <f>J32/J44</f>
        <v>0.78881396531640169</v>
      </c>
      <c r="L56" s="1900">
        <f>L32/L44</f>
        <v>-2.9207536441076445E-2</v>
      </c>
      <c r="N56" s="1900">
        <f>N32/N44</f>
        <v>-0.69231204012003122</v>
      </c>
      <c r="O56" s="1900"/>
      <c r="P56" s="1900">
        <f>P32/P44</f>
        <v>-0.37108346113104934</v>
      </c>
      <c r="Q56" s="1900"/>
      <c r="R56" s="1900">
        <f>R32/R44</f>
        <v>-0.27618403156670618</v>
      </c>
      <c r="S56" s="1900"/>
      <c r="T56" s="1900">
        <f>T32/T44</f>
        <v>-0.39021708504305752</v>
      </c>
      <c r="U56" s="1900"/>
      <c r="V56" s="1900">
        <f>V32/V44</f>
        <v>-0.52083073928477952</v>
      </c>
      <c r="W56" s="1900"/>
      <c r="X56" s="1900">
        <f>X32/X44</f>
        <v>-0.6145210188591641</v>
      </c>
      <c r="Z56" s="1900">
        <f>Z32/Z44</f>
        <v>-0.45554821520613881</v>
      </c>
      <c r="AB56" s="1900">
        <f>AB32/AB44</f>
        <v>-0.39364584227646926</v>
      </c>
      <c r="AD56" s="1900">
        <f>AD32/AD44</f>
        <v>-0.24582104722895934</v>
      </c>
      <c r="AF56" s="1900">
        <f>AF32/AF44</f>
        <v>-0.11385699959314415</v>
      </c>
      <c r="AH56" s="1900">
        <f>AH32/AH44</f>
        <v>-0.1943544051905359</v>
      </c>
      <c r="AJ56" s="1900">
        <f>AJ32/AJ44</f>
        <v>-0.29514588842405443</v>
      </c>
      <c r="AL56" s="1900">
        <f>AL32/AL44</f>
        <v>-0.3396391687962993</v>
      </c>
      <c r="AN56" s="1900">
        <f>AN32/AN44</f>
        <v>-0.16705928108064771</v>
      </c>
      <c r="AO56" s="1900"/>
      <c r="AP56" s="1900">
        <f t="shared" ref="AP56:AU59" si="12">AP32/AP44</f>
        <v>-0.21269235202432363</v>
      </c>
      <c r="AQ56" s="1900"/>
      <c r="AR56" s="1900">
        <f t="shared" si="12"/>
        <v>-0.1341402143896428</v>
      </c>
      <c r="AS56" s="1900">
        <f t="shared" si="12"/>
        <v>-5.6802873119516401E-2</v>
      </c>
      <c r="AT56" s="1900">
        <f>AT32/AT44</f>
        <v>-0.13257991060133253</v>
      </c>
      <c r="AU56" s="1900">
        <f>AU32/AU44</f>
        <v>-0.10946868687847912</v>
      </c>
      <c r="AV56" s="1900"/>
    </row>
    <row r="57" spans="1:48">
      <c r="A57" s="22" t="str">
        <f t="shared" si="11"/>
        <v>2Q</v>
      </c>
      <c r="B57" s="22" t="str">
        <f t="shared" si="11"/>
        <v>Jul</v>
      </c>
      <c r="D57" s="1900">
        <f>D33/D45</f>
        <v>1.3132530120481929</v>
      </c>
      <c r="F57" s="1900">
        <f>F33/F45</f>
        <v>1.2240457067152439</v>
      </c>
      <c r="H57" s="1900">
        <f>H33/H45</f>
        <v>1.0717868557963746</v>
      </c>
      <c r="J57" s="1900">
        <f>J33/J45</f>
        <v>0.75663281497937163</v>
      </c>
      <c r="L57" s="1900">
        <f>L33/L45</f>
        <v>-0.4493033373179956</v>
      </c>
      <c r="N57" s="1900">
        <f>N33/N45</f>
        <v>-0.52562749237626083</v>
      </c>
      <c r="O57" s="1900"/>
      <c r="P57" s="1900">
        <f>P33/P45</f>
        <v>-0.20319175591547756</v>
      </c>
      <c r="Q57" s="1900"/>
      <c r="R57" s="1900">
        <f>R33/R45</f>
        <v>-0.20427654068292111</v>
      </c>
      <c r="S57" s="1900"/>
      <c r="T57" s="1900">
        <f>T33/T45</f>
        <v>-0.36576266963917836</v>
      </c>
      <c r="U57" s="1900"/>
      <c r="V57" s="1900">
        <f>V33/V45</f>
        <v>-0.49533135725629635</v>
      </c>
      <c r="W57" s="1900"/>
      <c r="X57" s="1900">
        <f>X33/X45</f>
        <v>-0.63120801148463157</v>
      </c>
      <c r="Z57" s="1900">
        <f>Z33/Z45</f>
        <v>-0.36587132605719186</v>
      </c>
      <c r="AB57" s="1900">
        <f>AB33/AB45</f>
        <v>-0.30160057764125026</v>
      </c>
      <c r="AD57" s="1900">
        <f>AD33/AD45</f>
        <v>-0.27638609722571877</v>
      </c>
      <c r="AF57" s="1900">
        <f>AF33/AF45</f>
        <v>-0.10892777321749306</v>
      </c>
      <c r="AH57" s="1900">
        <f>AH33/AH45</f>
        <v>-0.21904084841967433</v>
      </c>
      <c r="AJ57" s="1900">
        <f>AJ33/AJ45</f>
        <v>-0.27458663560630997</v>
      </c>
      <c r="AL57" s="1900">
        <f>AL33/AL45</f>
        <v>-0.26657883270850741</v>
      </c>
      <c r="AN57" s="1900">
        <f>AN33/AN45</f>
        <v>-0.10603693263156863</v>
      </c>
      <c r="AO57" s="1900"/>
      <c r="AP57" s="1900">
        <f t="shared" si="12"/>
        <v>-0.1054247562514888</v>
      </c>
      <c r="AQ57" s="1900"/>
      <c r="AR57" s="1900">
        <f t="shared" si="12"/>
        <v>-7.3406779822546675E-2</v>
      </c>
      <c r="AS57" s="1900">
        <f t="shared" si="12"/>
        <v>-7.3811730018671584E-2</v>
      </c>
      <c r="AT57" s="1900">
        <f t="shared" si="12"/>
        <v>-0.11098458419452084</v>
      </c>
      <c r="AU57" s="1900">
        <f t="shared" si="12"/>
        <v>-0.11061920292692753</v>
      </c>
      <c r="AV57" s="1900"/>
    </row>
    <row r="58" spans="1:48">
      <c r="A58" s="22" t="str">
        <f t="shared" si="11"/>
        <v>3Q</v>
      </c>
      <c r="B58" s="22" t="str">
        <f t="shared" si="11"/>
        <v>Oct</v>
      </c>
      <c r="D58" s="1900">
        <f>D34/D46</f>
        <v>1.2791550919859531</v>
      </c>
      <c r="F58" s="1900">
        <f>F34/F46</f>
        <v>1.1623343954385377</v>
      </c>
      <c r="H58" s="1900">
        <f>H34/H46</f>
        <v>1.0661596389763521</v>
      </c>
      <c r="J58" s="1900">
        <f>J34/J46</f>
        <v>0.64496235893107545</v>
      </c>
      <c r="L58" s="1900">
        <f>L34/L46</f>
        <v>-0.64392379212587558</v>
      </c>
      <c r="N58" s="1900">
        <f>N34/N46</f>
        <v>-0.60862889273356402</v>
      </c>
      <c r="O58" s="1900"/>
      <c r="P58" s="1900">
        <f>P34/P46</f>
        <v>-0.27404699678112215</v>
      </c>
      <c r="Q58" s="1900"/>
      <c r="R58" s="1900">
        <f>R34/R46</f>
        <v>-0.20176947797460418</v>
      </c>
      <c r="S58" s="1900"/>
      <c r="T58" s="1900">
        <f>T34/T46</f>
        <v>-0.3740755947865454</v>
      </c>
      <c r="U58" s="1900"/>
      <c r="V58" s="1900">
        <f>V34/V46</f>
        <v>-0.52565728016875479</v>
      </c>
      <c r="W58" s="1900"/>
      <c r="X58" s="1900">
        <f>X34/X46</f>
        <v>-0.57032204623739169</v>
      </c>
      <c r="Z58" s="1900">
        <f>Z34/Z46</f>
        <v>-0.33231824738593441</v>
      </c>
      <c r="AB58" s="1900">
        <f>AB34/AB46</f>
        <v>-0.30892015912558496</v>
      </c>
      <c r="AD58" s="1900">
        <f>AD34/AD46</f>
        <v>-0.25696334542205479</v>
      </c>
      <c r="AF58" s="1900">
        <f>AF34/AF46</f>
        <v>-0.10461345533473528</v>
      </c>
      <c r="AH58" s="1900">
        <f>AH34/AH46</f>
        <v>-0.2582716567809214</v>
      </c>
      <c r="AJ58" s="1900">
        <f>AJ34/AJ46</f>
        <v>-0.27822127133976082</v>
      </c>
      <c r="AL58" s="1900">
        <f>AL34/AL46</f>
        <v>-0.23791653428332132</v>
      </c>
      <c r="AN58" s="1900">
        <f>AN34/AN46</f>
        <v>-0.12600007273764929</v>
      </c>
      <c r="AO58" s="1900"/>
      <c r="AP58" s="1900">
        <f t="shared" si="12"/>
        <v>-6.5485258029283788E-2</v>
      </c>
      <c r="AQ58" s="1900"/>
      <c r="AR58" s="1900">
        <f t="shared" si="12"/>
        <v>-1.5760653061417794E-2</v>
      </c>
      <c r="AS58" s="1900">
        <f t="shared" si="12"/>
        <v>-7.4435893388566571E-2</v>
      </c>
      <c r="AT58" s="1900">
        <f t="shared" si="12"/>
        <v>-0.12110455219646218</v>
      </c>
      <c r="AU58" s="1900">
        <f t="shared" si="12"/>
        <v>-0.13624379301135436</v>
      </c>
      <c r="AV58" s="1900"/>
    </row>
    <row r="59" spans="1:48">
      <c r="A59" s="22" t="str">
        <f t="shared" si="11"/>
        <v>4Q</v>
      </c>
      <c r="B59" s="22" t="str">
        <f t="shared" si="11"/>
        <v>Jan</v>
      </c>
      <c r="D59" s="1900">
        <f>D35/D47</f>
        <v>1.1876790454414046</v>
      </c>
      <c r="F59" s="1900">
        <f>F35/F47</f>
        <v>0.99623592976136865</v>
      </c>
      <c r="H59" s="1900">
        <f>H35/H47</f>
        <v>0.78472517064567748</v>
      </c>
      <c r="J59" s="1900">
        <f>J35/J47</f>
        <v>6.7414387497127082E-2</v>
      </c>
      <c r="L59" s="1900">
        <f>L35/L47</f>
        <v>-0.87888020203648476</v>
      </c>
      <c r="N59" s="1900">
        <f>N35/N47</f>
        <v>-0.62202742579413295</v>
      </c>
      <c r="O59" s="1900"/>
      <c r="P59" s="1900">
        <f>P35/P47</f>
        <v>-0.32548142890939197</v>
      </c>
      <c r="Q59" s="1900"/>
      <c r="R59" s="1900">
        <f>R35/R47</f>
        <v>-0.40119307933372966</v>
      </c>
      <c r="S59" s="1900"/>
      <c r="T59" s="1900">
        <f>T35/T47</f>
        <v>-0.53505077202022078</v>
      </c>
      <c r="U59" s="1900"/>
      <c r="V59" s="1900">
        <f>V35/V47</f>
        <v>-0.60747757252860635</v>
      </c>
      <c r="W59" s="1900"/>
      <c r="X59" s="1900">
        <f>X35/X47</f>
        <v>-0.5234639024929556</v>
      </c>
      <c r="Z59" s="1900">
        <f>Z35/Z47</f>
        <v>-0.464120299422078</v>
      </c>
      <c r="AB59" s="1900">
        <f>AB35/AB47</f>
        <v>-0.37696102604169995</v>
      </c>
      <c r="AD59" s="1900">
        <f>AD35/AD47</f>
        <v>-0.40074447897285626</v>
      </c>
      <c r="AF59" s="1900">
        <f>AF35/AF47</f>
        <v>-0.21696482998882594</v>
      </c>
      <c r="AH59" s="1900">
        <f>AH35/AH47</f>
        <v>-0.33765776961029531</v>
      </c>
      <c r="AJ59" s="1900">
        <f>AJ35/AJ47</f>
        <v>-0.38675428075637319</v>
      </c>
      <c r="AL59" s="1900">
        <f>AL35/AL47</f>
        <v>-0.27372914851635705</v>
      </c>
      <c r="AN59" s="1900">
        <f>AN35/AN47</f>
        <v>-0.3079162261384224</v>
      </c>
      <c r="AO59" s="1900"/>
      <c r="AP59" s="1900">
        <f>AP35/AP47</f>
        <v>-0.24945977271032929</v>
      </c>
      <c r="AQ59" s="1900"/>
      <c r="AR59" s="1900">
        <f>AR35/AR47</f>
        <v>-0.1350450029201842</v>
      </c>
      <c r="AS59" s="1900">
        <f t="shared" si="12"/>
        <v>-0.19111960691725502</v>
      </c>
      <c r="AT59" s="1900">
        <f t="shared" si="12"/>
        <v>-0.18758494050616784</v>
      </c>
      <c r="AU59" s="1900">
        <f t="shared" si="12"/>
        <v>-0.28350698362421506</v>
      </c>
      <c r="AV59" s="1900"/>
    </row>
    <row r="61" spans="1:48">
      <c r="A61" s="22" t="s">
        <v>354</v>
      </c>
    </row>
  </sheetData>
  <phoneticPr fontId="0" type="noConversion"/>
  <printOptions horizontalCentered="1"/>
  <pageMargins left="0.5" right="0.5" top="0.5" bottom="0.5" header="0.5" footer="0.5"/>
  <pageSetup scale="73" orientation="portrait" r:id="rId1"/>
  <headerFooter alignWithMargins="0">
    <oddFooter>&amp;R&amp;8&amp;D/&amp;T
&amp;F/&amp;A</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CW48"/>
  <sheetViews>
    <sheetView topLeftCell="A2" zoomScale="85" zoomScaleNormal="85" workbookViewId="0">
      <pane xSplit="3" ySplit="6" topLeftCell="BU8" activePane="bottomRight" state="frozen"/>
      <selection activeCell="P42" sqref="P42"/>
      <selection pane="topRight" activeCell="P42" sqref="P42"/>
      <selection pane="bottomLeft" activeCell="P42" sqref="P42"/>
      <selection pane="bottomRight" activeCell="CQ12" sqref="CQ12"/>
    </sheetView>
  </sheetViews>
  <sheetFormatPr defaultRowHeight="12.75" outlineLevelCol="1"/>
  <cols>
    <col min="1" max="1" width="3.140625" style="22" customWidth="1"/>
    <col min="2" max="2" width="4.42578125" style="22" customWidth="1"/>
    <col min="3" max="3" width="1.7109375" style="22" customWidth="1"/>
    <col min="4" max="4" width="9.7109375" style="22" hidden="1" customWidth="1" outlineLevel="1"/>
    <col min="5" max="5" width="3" style="22" hidden="1" customWidth="1" outlineLevel="1"/>
    <col min="6" max="6" width="7.85546875" style="22" hidden="1" customWidth="1" outlineLevel="1"/>
    <col min="7" max="7" width="6.140625" style="22" hidden="1" customWidth="1" outlineLevel="1"/>
    <col min="8" max="8" width="4.28515625" style="22" hidden="1" customWidth="1" outlineLevel="1"/>
    <col min="9" max="9" width="1.28515625" style="22" hidden="1" customWidth="1" outlineLevel="1"/>
    <col min="10" max="10" width="7.85546875" style="22" hidden="1" customWidth="1" outlineLevel="1"/>
    <col min="11" max="11" width="6.140625" style="22" hidden="1" customWidth="1" outlineLevel="1"/>
    <col min="12" max="12" width="4.28515625" style="22" hidden="1" customWidth="1" outlineLevel="1"/>
    <col min="13" max="13" width="1.28515625" style="22" hidden="1" customWidth="1" outlineLevel="1"/>
    <col min="14" max="14" width="7.85546875" style="22" hidden="1" customWidth="1" outlineLevel="1"/>
    <col min="15" max="15" width="5.5703125" style="22" hidden="1" customWidth="1" outlineLevel="1"/>
    <col min="16" max="16" width="4.28515625" style="22" hidden="1" customWidth="1" outlineLevel="1"/>
    <col min="17" max="17" width="1.28515625" style="22" hidden="1" customWidth="1" outlineLevel="1"/>
    <col min="18" max="18" width="7.85546875" style="22" hidden="1" customWidth="1" outlineLevel="1"/>
    <col min="19" max="19" width="5.5703125" style="22" hidden="1" customWidth="1" outlineLevel="1"/>
    <col min="20" max="20" width="4.28515625" style="22" hidden="1" customWidth="1" outlineLevel="1"/>
    <col min="21" max="21" width="1.28515625" style="22" hidden="1" customWidth="1" outlineLevel="1"/>
    <col min="22" max="22" width="7.85546875" style="22" hidden="1" customWidth="1" outlineLevel="1"/>
    <col min="23" max="23" width="5.5703125" style="22" hidden="1" customWidth="1" outlineLevel="1"/>
    <col min="24" max="24" width="4.28515625" style="22" hidden="1" customWidth="1" outlineLevel="1"/>
    <col min="25" max="25" width="1.28515625" style="22" hidden="1" customWidth="1" outlineLevel="1"/>
    <col min="26" max="26" width="7.85546875" style="22" hidden="1" customWidth="1" outlineLevel="1"/>
    <col min="27" max="27" width="5.5703125" style="22" hidden="1" customWidth="1" outlineLevel="1"/>
    <col min="28" max="28" width="4.28515625" style="22" hidden="1" customWidth="1" outlineLevel="1"/>
    <col min="29" max="29" width="1.28515625" style="22" customWidth="1" collapsed="1"/>
    <col min="30" max="30" width="7.85546875" style="22" hidden="1" customWidth="1" outlineLevel="1"/>
    <col min="31" max="31" width="6.42578125" style="22" hidden="1" customWidth="1" outlineLevel="1"/>
    <col min="32" max="32" width="4.28515625" style="22" hidden="1" customWidth="1" outlineLevel="1"/>
    <col min="33" max="33" width="1.28515625" style="22" hidden="1" customWidth="1" outlineLevel="1"/>
    <col min="34" max="34" width="7.85546875" style="22" hidden="1" customWidth="1" outlineLevel="1" collapsed="1"/>
    <col min="35" max="35" width="5.5703125" style="22" hidden="1" customWidth="1" outlineLevel="1"/>
    <col min="36" max="36" width="4.28515625" style="22" hidden="1" customWidth="1" outlineLevel="1"/>
    <col min="37" max="37" width="1.28515625" style="22" hidden="1" customWidth="1" outlineLevel="1"/>
    <col min="38" max="38" width="7.85546875" style="22" hidden="1" customWidth="1" outlineLevel="1" collapsed="1"/>
    <col min="39" max="39" width="5.5703125" style="22" hidden="1" customWidth="1" outlineLevel="1"/>
    <col min="40" max="40" width="4.28515625" style="22" hidden="1" customWidth="1" outlineLevel="1"/>
    <col min="41" max="41" width="1.28515625" style="22" hidden="1" customWidth="1" outlineLevel="1"/>
    <col min="42" max="42" width="7.85546875" style="22" hidden="1" customWidth="1" outlineLevel="1"/>
    <col min="43" max="43" width="6.140625" style="22" hidden="1" customWidth="1" outlineLevel="1"/>
    <col min="44" max="44" width="4.28515625" style="22" hidden="1" customWidth="1" outlineLevel="1"/>
    <col min="45" max="45" width="1.28515625" style="22" hidden="1" customWidth="1" outlineLevel="1"/>
    <col min="46" max="46" width="7.85546875" style="22" hidden="1" customWidth="1" outlineLevel="1"/>
    <col min="47" max="47" width="6.140625" style="22" hidden="1" customWidth="1" outlineLevel="1"/>
    <col min="48" max="48" width="4.28515625" style="22" hidden="1" customWidth="1" outlineLevel="1"/>
    <col min="49" max="49" width="1.28515625" style="22" hidden="1" customWidth="1" outlineLevel="1"/>
    <col min="50" max="50" width="7.85546875" style="22" hidden="1" customWidth="1" outlineLevel="1"/>
    <col min="51" max="51" width="6.140625" style="22" hidden="1" customWidth="1" outlineLevel="1"/>
    <col min="52" max="52" width="4.28515625" style="22" hidden="1" customWidth="1" outlineLevel="1"/>
    <col min="53" max="53" width="1.28515625" style="22" hidden="1" customWidth="1" outlineLevel="1"/>
    <col min="54" max="54" width="7.85546875" style="22" hidden="1" customWidth="1" outlineLevel="1"/>
    <col min="55" max="55" width="6.140625" style="22" hidden="1" customWidth="1" outlineLevel="1"/>
    <col min="56" max="56" width="4.28515625" style="22" hidden="1" customWidth="1" outlineLevel="1"/>
    <col min="57" max="57" width="1.28515625" style="22" hidden="1" customWidth="1" outlineLevel="1"/>
    <col min="58" max="58" width="7.85546875" style="22" hidden="1" customWidth="1" outlineLevel="1"/>
    <col min="59" max="59" width="6.140625" style="22" hidden="1" customWidth="1" outlineLevel="1"/>
    <col min="60" max="60" width="4.85546875" style="22" hidden="1" customWidth="1" outlineLevel="1"/>
    <col min="61" max="61" width="1.28515625" style="22" hidden="1" customWidth="1" outlineLevel="1"/>
    <col min="62" max="62" width="7.85546875" style="22" hidden="1" customWidth="1" outlineLevel="1"/>
    <col min="63" max="63" width="6.140625" style="22" hidden="1" customWidth="1" outlineLevel="1"/>
    <col min="64" max="64" width="5.85546875" style="22" hidden="1" customWidth="1" outlineLevel="1"/>
    <col min="65" max="65" width="1.28515625" style="22" hidden="1" customWidth="1" outlineLevel="1"/>
    <col min="66" max="66" width="7.85546875" style="22" hidden="1" customWidth="1" outlineLevel="1"/>
    <col min="67" max="67" width="6.140625" style="22" hidden="1" customWidth="1" outlineLevel="1"/>
    <col min="68" max="68" width="4.85546875" style="22" hidden="1" customWidth="1" outlineLevel="1"/>
    <col min="69" max="69" width="1.28515625" style="22" hidden="1" customWidth="1" outlineLevel="1"/>
    <col min="70" max="70" width="7.85546875" style="22" hidden="1" customWidth="1" outlineLevel="1"/>
    <col min="71" max="71" width="7.140625" style="22" hidden="1" customWidth="1" outlineLevel="1"/>
    <col min="72" max="72" width="4.85546875" style="22" hidden="1" customWidth="1" outlineLevel="1"/>
    <col min="73" max="73" width="1.28515625" style="22" customWidth="1" collapsed="1"/>
    <col min="74" max="74" width="7.85546875" style="22" customWidth="1"/>
    <col min="75" max="75" width="6.140625" style="22" customWidth="1"/>
    <col min="76" max="76" width="4.85546875" style="22" customWidth="1"/>
    <col min="77" max="77" width="1.28515625" style="22" customWidth="1"/>
    <col min="78" max="78" width="7.85546875" style="22" customWidth="1"/>
    <col min="79" max="79" width="6.5703125" style="22" customWidth="1"/>
    <col min="80" max="80" width="5.7109375" style="22" customWidth="1"/>
    <col min="81" max="81" width="1.140625" style="22" customWidth="1"/>
    <col min="82" max="82" width="7.7109375" style="22" customWidth="1"/>
    <col min="83" max="83" width="5.5703125" style="22" customWidth="1"/>
    <col min="84" max="84" width="6" style="22" customWidth="1"/>
    <col min="85" max="85" width="1.140625" style="22" customWidth="1"/>
    <col min="86" max="86" width="7.7109375" style="22" customWidth="1"/>
    <col min="87" max="87" width="6.140625" style="22" customWidth="1"/>
    <col min="88" max="88" width="6" style="22" customWidth="1"/>
    <col min="89" max="89" width="1.140625" style="22" customWidth="1"/>
    <col min="90" max="90" width="7.7109375" style="22" customWidth="1"/>
    <col min="91" max="91" width="6.140625" style="22" customWidth="1"/>
    <col min="92" max="92" width="6" style="22" customWidth="1"/>
    <col min="93" max="93" width="1.140625" style="22" customWidth="1"/>
    <col min="94" max="96" width="9.140625" style="22"/>
    <col min="97" max="97" width="1.140625" style="22" customWidth="1"/>
    <col min="98" max="100" width="9.140625" style="22"/>
    <col min="101" max="101" width="17.85546875" style="22" bestFit="1" customWidth="1"/>
    <col min="102" max="16384" width="9.140625" style="22"/>
  </cols>
  <sheetData>
    <row r="1" spans="1:101">
      <c r="A1" s="24" t="str">
        <f>'qtrP&amp;L'!A1</f>
        <v>Abercrombie &amp; Fitch</v>
      </c>
      <c r="B1" s="64"/>
      <c r="C1" s="24"/>
      <c r="D1" s="24"/>
      <c r="E1" s="36"/>
      <c r="F1" s="24"/>
      <c r="G1" s="40"/>
      <c r="H1" s="40"/>
      <c r="I1" s="24"/>
      <c r="J1" s="24"/>
      <c r="K1" s="40"/>
      <c r="L1" s="40"/>
      <c r="M1" s="36"/>
      <c r="N1" s="40"/>
      <c r="O1" s="40"/>
      <c r="P1" s="40"/>
      <c r="Q1" s="40"/>
      <c r="R1" s="40"/>
      <c r="S1" s="40"/>
      <c r="T1" s="40"/>
      <c r="U1" s="41"/>
      <c r="V1" s="40"/>
      <c r="W1" s="40"/>
      <c r="X1" s="40"/>
      <c r="Y1" s="41"/>
      <c r="Z1" s="40"/>
      <c r="AA1" s="40"/>
      <c r="AB1" s="40"/>
      <c r="AC1" s="41"/>
      <c r="AD1" s="40"/>
      <c r="AE1" s="40"/>
      <c r="AF1" s="40"/>
      <c r="AG1" s="41"/>
      <c r="AH1" s="40"/>
      <c r="AI1" s="40"/>
      <c r="AJ1" s="40"/>
      <c r="AK1" s="41"/>
      <c r="AL1" s="40"/>
      <c r="AM1" s="40"/>
      <c r="AN1" s="40"/>
      <c r="AO1" s="41"/>
      <c r="AP1" s="40"/>
      <c r="AQ1" s="40"/>
      <c r="AR1" s="40"/>
      <c r="AS1" s="41"/>
      <c r="AT1" s="40"/>
      <c r="AU1" s="40"/>
      <c r="AV1" s="40"/>
      <c r="AW1" s="41"/>
      <c r="AX1" s="40"/>
      <c r="AY1" s="40"/>
      <c r="AZ1" s="40"/>
      <c r="BA1" s="41"/>
      <c r="BB1" s="40"/>
      <c r="BC1" s="40"/>
      <c r="BD1" s="40"/>
      <c r="BE1" s="41"/>
      <c r="BF1" s="40"/>
      <c r="BG1" s="40"/>
      <c r="BH1" s="40"/>
      <c r="BI1" s="41"/>
      <c r="BJ1" s="40"/>
      <c r="BK1" s="40"/>
      <c r="BL1" s="40"/>
      <c r="BM1" s="41"/>
      <c r="BN1" s="40"/>
      <c r="BO1" s="40"/>
      <c r="BP1" s="40"/>
      <c r="BQ1" s="41"/>
      <c r="BR1" s="40"/>
      <c r="BS1" s="40"/>
      <c r="BT1" s="40"/>
      <c r="BU1" s="41"/>
      <c r="BV1" s="40"/>
      <c r="BW1" s="40"/>
      <c r="BX1" s="40"/>
    </row>
    <row r="2" spans="1:101">
      <c r="A2" s="25" t="s">
        <v>775</v>
      </c>
      <c r="B2" s="65"/>
      <c r="C2" s="25"/>
      <c r="D2" s="25"/>
      <c r="E2" s="37"/>
      <c r="F2" s="25"/>
      <c r="G2" s="25"/>
      <c r="H2" s="25"/>
      <c r="I2" s="25"/>
      <c r="J2" s="25"/>
      <c r="K2" s="25"/>
      <c r="L2" s="25"/>
      <c r="M2" s="37"/>
      <c r="N2" s="25"/>
      <c r="O2" s="25"/>
      <c r="P2" s="25"/>
      <c r="Q2" s="25"/>
      <c r="R2" s="25"/>
      <c r="S2" s="25"/>
      <c r="T2" s="25"/>
      <c r="U2" s="37"/>
      <c r="V2" s="25"/>
      <c r="W2" s="25"/>
      <c r="X2" s="25"/>
      <c r="Y2" s="37"/>
      <c r="Z2" s="25"/>
      <c r="AA2" s="25"/>
      <c r="AB2" s="25"/>
      <c r="AC2" s="37"/>
      <c r="AD2" s="25"/>
      <c r="AE2" s="25"/>
      <c r="AF2" s="25"/>
      <c r="AG2" s="37"/>
      <c r="AH2" s="25"/>
      <c r="AI2" s="25"/>
      <c r="AJ2" s="25"/>
      <c r="AK2" s="37"/>
      <c r="AL2" s="25"/>
      <c r="AM2" s="25"/>
      <c r="AN2" s="25"/>
      <c r="AO2" s="37"/>
      <c r="AP2" s="25"/>
      <c r="AQ2" s="25"/>
      <c r="AR2" s="25"/>
      <c r="AS2" s="37"/>
      <c r="AT2" s="25"/>
      <c r="AU2" s="25"/>
      <c r="AV2" s="25"/>
      <c r="AW2" s="37"/>
      <c r="AX2" s="25"/>
      <c r="AY2" s="25"/>
      <c r="AZ2" s="25"/>
      <c r="BA2" s="37"/>
      <c r="BB2" s="25"/>
      <c r="BC2" s="25"/>
      <c r="BD2" s="25"/>
      <c r="BE2" s="37"/>
      <c r="BF2" s="25"/>
      <c r="BG2" s="25"/>
      <c r="BH2" s="25"/>
      <c r="BI2" s="37"/>
      <c r="BJ2" s="25"/>
      <c r="BK2" s="25"/>
      <c r="BL2" s="25"/>
      <c r="BM2" s="37"/>
      <c r="BN2" s="25"/>
      <c r="BO2" s="25"/>
      <c r="BP2" s="25"/>
      <c r="BQ2" s="37"/>
      <c r="BR2" s="25"/>
      <c r="BS2" s="25"/>
      <c r="BT2" s="25"/>
      <c r="BU2" s="37"/>
      <c r="BV2" s="25"/>
      <c r="BW2" s="25"/>
      <c r="BX2" s="25"/>
      <c r="BY2" s="25"/>
      <c r="BZ2" s="25"/>
      <c r="CA2" s="25"/>
      <c r="CB2" s="25"/>
      <c r="CC2" s="25"/>
      <c r="CD2" s="25"/>
      <c r="CE2" s="25"/>
      <c r="CF2" s="25"/>
      <c r="CG2" s="25"/>
      <c r="CH2" s="25"/>
      <c r="CI2" s="25"/>
      <c r="CJ2" s="25"/>
      <c r="CK2" s="25"/>
      <c r="CL2" s="25"/>
      <c r="CM2" s="25"/>
      <c r="CN2" s="25"/>
      <c r="CO2" s="25"/>
      <c r="CP2" s="96"/>
      <c r="CQ2" s="96"/>
      <c r="CR2" s="96"/>
      <c r="CS2" s="25"/>
      <c r="CT2" s="96"/>
      <c r="CU2" s="96"/>
      <c r="CV2" s="96"/>
    </row>
    <row r="3" spans="1:101">
      <c r="A3" s="111" t="str">
        <f>bal!A3</f>
        <v>At January 31 of the following year</v>
      </c>
    </row>
    <row r="4" spans="1:101">
      <c r="A4" s="1897" t="s">
        <v>155</v>
      </c>
      <c r="B4" s="111"/>
      <c r="C4" s="111"/>
      <c r="D4" s="111"/>
      <c r="E4" s="111"/>
      <c r="F4" s="111"/>
      <c r="G4" s="111"/>
      <c r="H4" s="111"/>
      <c r="I4" s="111"/>
      <c r="J4" s="111"/>
      <c r="K4" s="111"/>
      <c r="L4" s="111"/>
      <c r="M4" s="111"/>
      <c r="N4" s="111"/>
      <c r="O4" s="111"/>
      <c r="P4" s="111"/>
      <c r="Q4" s="111"/>
      <c r="R4" s="111"/>
      <c r="S4" s="111"/>
      <c r="T4" s="111"/>
      <c r="U4" s="111"/>
      <c r="V4" s="111"/>
      <c r="W4" s="111"/>
      <c r="X4" s="111"/>
      <c r="Y4" s="111"/>
      <c r="Z4" s="111"/>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312"/>
      <c r="BS4" s="111"/>
      <c r="BT4" s="111"/>
      <c r="BU4" s="111"/>
      <c r="BV4" s="111"/>
      <c r="BW4" s="111"/>
      <c r="BX4" s="111"/>
    </row>
    <row r="6" spans="1:101">
      <c r="G6" s="1901"/>
      <c r="H6" s="1901"/>
      <c r="K6" s="1901"/>
      <c r="L6" s="1901"/>
      <c r="O6" s="1901"/>
      <c r="P6" s="1901"/>
      <c r="S6" s="1901"/>
      <c r="T6" s="1901"/>
      <c r="V6" s="1901"/>
      <c r="W6" s="1901"/>
      <c r="X6" s="1901"/>
      <c r="Z6" s="1901"/>
      <c r="AA6" s="1901"/>
      <c r="AB6" s="1901"/>
      <c r="AD6" s="1901"/>
      <c r="AE6" s="1901"/>
      <c r="AF6" s="1901"/>
      <c r="AH6" s="1901"/>
      <c r="AI6" s="1901"/>
      <c r="AJ6" s="1901"/>
      <c r="AL6" s="1901"/>
      <c r="AM6" s="1901"/>
      <c r="AN6" s="1901"/>
      <c r="AP6" s="1901"/>
      <c r="AQ6" s="1901"/>
      <c r="AR6" s="1901"/>
      <c r="AT6" s="1901"/>
      <c r="AU6" s="1901"/>
      <c r="AV6" s="1901"/>
      <c r="AX6" s="1901"/>
      <c r="AY6" s="1901"/>
      <c r="AZ6" s="1901"/>
      <c r="BB6" s="1901"/>
      <c r="BC6" s="1901"/>
      <c r="BD6" s="1901"/>
      <c r="BF6" s="1901"/>
      <c r="BG6" s="1901"/>
      <c r="BH6" s="1901"/>
      <c r="BJ6" s="1901"/>
      <c r="BK6" s="1901"/>
      <c r="BL6" s="1901"/>
      <c r="BN6" s="1901"/>
      <c r="BO6" s="1901"/>
      <c r="BP6" s="1901"/>
      <c r="BR6" s="1901"/>
      <c r="BS6" s="1901"/>
      <c r="BT6" s="1901"/>
      <c r="BV6" s="1901"/>
      <c r="BW6" s="1901"/>
      <c r="BX6" s="1901"/>
    </row>
    <row r="7" spans="1:101">
      <c r="D7" s="1842">
        <v>1994</v>
      </c>
      <c r="E7" s="38"/>
      <c r="F7" s="1529">
        <f>D7+1</f>
        <v>1995</v>
      </c>
      <c r="G7" s="1529"/>
      <c r="H7" s="1529"/>
      <c r="I7" s="38"/>
      <c r="J7" s="1529">
        <f>F7+1</f>
        <v>1996</v>
      </c>
      <c r="K7" s="1529"/>
      <c r="L7" s="1529"/>
      <c r="M7" s="38"/>
      <c r="N7" s="1529">
        <f>J7+1</f>
        <v>1997</v>
      </c>
      <c r="O7" s="1529"/>
      <c r="P7" s="1529"/>
      <c r="Q7" s="38"/>
      <c r="R7" s="1529">
        <f>N7+1</f>
        <v>1998</v>
      </c>
      <c r="S7" s="1529"/>
      <c r="T7" s="1529"/>
      <c r="U7" s="38"/>
      <c r="V7" s="1529">
        <f>R7+1</f>
        <v>1999</v>
      </c>
      <c r="W7" s="1529"/>
      <c r="X7" s="1529"/>
      <c r="Z7" s="1529">
        <f>V7+1</f>
        <v>2000</v>
      </c>
      <c r="AA7" s="1529"/>
      <c r="AB7" s="1529"/>
      <c r="AD7" s="1529">
        <f>Z7+1</f>
        <v>2001</v>
      </c>
      <c r="AE7" s="1529"/>
      <c r="AF7" s="1529"/>
      <c r="AH7" s="1529">
        <f>AD7+1</f>
        <v>2002</v>
      </c>
      <c r="AI7" s="1529"/>
      <c r="AJ7" s="1529"/>
      <c r="AL7" s="1529">
        <f>AH7+1</f>
        <v>2003</v>
      </c>
      <c r="AM7" s="1529"/>
      <c r="AN7" s="1529"/>
      <c r="AP7" s="1529">
        <f>AL7+1</f>
        <v>2004</v>
      </c>
      <c r="AQ7" s="1529"/>
      <c r="AR7" s="1529"/>
      <c r="AT7" s="1529">
        <f>AP7+1</f>
        <v>2005</v>
      </c>
      <c r="AU7" s="1529"/>
      <c r="AV7" s="1529"/>
      <c r="AX7" s="1529">
        <f>AT7+1</f>
        <v>2006</v>
      </c>
      <c r="AY7" s="1529"/>
      <c r="AZ7" s="1529"/>
      <c r="BB7" s="1529">
        <f>AX7+1</f>
        <v>2007</v>
      </c>
      <c r="BC7" s="1529"/>
      <c r="BD7" s="1529"/>
      <c r="BF7" s="1529">
        <f>BB7+1</f>
        <v>2008</v>
      </c>
      <c r="BG7" s="1529"/>
      <c r="BH7" s="1529"/>
      <c r="BJ7" s="1529">
        <f>BF7+1</f>
        <v>2009</v>
      </c>
      <c r="BK7" s="1529"/>
      <c r="BL7" s="1529"/>
      <c r="BN7" s="1529" t="s">
        <v>10</v>
      </c>
      <c r="BO7" s="1529"/>
      <c r="BP7" s="1529"/>
      <c r="BR7" s="1529" t="s">
        <v>68</v>
      </c>
      <c r="BS7" s="1529"/>
      <c r="BT7" s="1529"/>
      <c r="BV7" s="1529" t="s">
        <v>552</v>
      </c>
      <c r="BW7" s="1529"/>
      <c r="BX7" s="1529"/>
      <c r="BZ7" s="1529" t="s">
        <v>679</v>
      </c>
      <c r="CA7" s="1529"/>
      <c r="CB7" s="1529"/>
      <c r="CC7" s="1529"/>
      <c r="CD7" s="1529" t="s">
        <v>790</v>
      </c>
      <c r="CE7" s="1529"/>
      <c r="CF7" s="1529"/>
      <c r="CG7" s="1529"/>
      <c r="CH7" s="1529" t="s">
        <v>1431</v>
      </c>
      <c r="CI7" s="1529"/>
      <c r="CJ7" s="1529"/>
      <c r="CK7" s="1529"/>
      <c r="CL7" s="1529" t="s">
        <v>1433</v>
      </c>
      <c r="CM7" s="1529"/>
      <c r="CN7" s="1529"/>
      <c r="CO7" s="1529"/>
      <c r="CP7" s="1529" t="s">
        <v>1437</v>
      </c>
      <c r="CQ7" s="1529"/>
      <c r="CR7" s="1529"/>
      <c r="CT7" s="1529">
        <v>2018</v>
      </c>
      <c r="CU7" s="1529"/>
      <c r="CV7" s="1529"/>
    </row>
    <row r="9" spans="1:101">
      <c r="A9" s="1898" t="s">
        <v>257</v>
      </c>
      <c r="B9" s="366"/>
      <c r="D9" s="366"/>
      <c r="F9" s="97"/>
      <c r="G9" s="97"/>
      <c r="H9" s="97"/>
      <c r="I9" s="97"/>
      <c r="J9" s="97"/>
      <c r="K9" s="97"/>
      <c r="L9" s="97"/>
      <c r="M9" s="1902"/>
      <c r="N9" s="1902"/>
      <c r="O9" s="97"/>
      <c r="P9" s="97"/>
      <c r="Q9" s="97"/>
      <c r="R9" s="97"/>
      <c r="S9" s="97"/>
      <c r="T9" s="97"/>
      <c r="U9" s="97"/>
      <c r="V9" s="97"/>
      <c r="W9" s="97"/>
      <c r="X9" s="97"/>
      <c r="Z9" s="97"/>
      <c r="AA9" s="97"/>
      <c r="AB9" s="97"/>
      <c r="AD9" s="97"/>
      <c r="AE9" s="97"/>
      <c r="AF9" s="97"/>
      <c r="AH9" s="97"/>
      <c r="AI9" s="97"/>
      <c r="AJ9" s="97"/>
      <c r="AL9" s="97"/>
      <c r="AM9" s="97"/>
      <c r="AN9" s="97"/>
      <c r="AP9" s="97"/>
      <c r="AQ9" s="97"/>
      <c r="AR9" s="97"/>
      <c r="AT9" s="97"/>
      <c r="AU9" s="97"/>
      <c r="AV9" s="97"/>
      <c r="AX9" s="97"/>
      <c r="AY9" s="97"/>
      <c r="AZ9" s="97"/>
      <c r="BB9" s="97"/>
      <c r="BC9" s="97"/>
      <c r="BD9" s="97"/>
      <c r="BF9" s="97"/>
      <c r="BG9" s="97"/>
      <c r="BH9" s="97"/>
      <c r="BJ9" s="97"/>
      <c r="BK9" s="97"/>
      <c r="BL9" s="97"/>
      <c r="BN9" s="97"/>
      <c r="BO9" s="97"/>
      <c r="BP9" s="97"/>
      <c r="BR9" s="97"/>
      <c r="BS9" s="97"/>
      <c r="BT9" s="97"/>
      <c r="BV9" s="97"/>
      <c r="BW9" s="97"/>
      <c r="BX9" s="97"/>
    </row>
    <row r="10" spans="1:101">
      <c r="A10" s="22" t="str">
        <f>'qtrP&amp;L'!A10</f>
        <v>1Q</v>
      </c>
      <c r="B10" s="22" t="str">
        <f>'qtrP&amp;L'!B10</f>
        <v>Apr</v>
      </c>
      <c r="D10" s="1853">
        <v>15.055999999999999</v>
      </c>
      <c r="F10" s="1853">
        <v>20.922999999999998</v>
      </c>
      <c r="G10" s="1903">
        <f>(F10/D10-1)*100</f>
        <v>38.967853347502654</v>
      </c>
      <c r="H10" s="1555">
        <f>'qtrP&amp;L'!I10</f>
        <v>42.642847984956632</v>
      </c>
      <c r="I10" s="1904"/>
      <c r="J10" s="1853">
        <v>33.042000000000002</v>
      </c>
      <c r="K10" s="1903">
        <f>(J10/F10-1)*100</f>
        <v>57.921904124647526</v>
      </c>
      <c r="L10" s="1555">
        <f>'qtrP&amp;L'!M10</f>
        <v>52.859753722623367</v>
      </c>
      <c r="M10" s="1904"/>
      <c r="N10" s="1853">
        <v>30.966000000000001</v>
      </c>
      <c r="O10" s="1903">
        <f>(N10/J10-1)*100</f>
        <v>-6.2829126566188549</v>
      </c>
      <c r="P10" s="1555">
        <f>'qtrP&amp;L'!Q10</f>
        <v>45.660525284202279</v>
      </c>
      <c r="Q10" s="1904"/>
      <c r="R10" s="1853">
        <v>36.707000000000001</v>
      </c>
      <c r="S10" s="1903">
        <f>(R10/N10-1)*100</f>
        <v>18.539688690822189</v>
      </c>
      <c r="T10" s="1555">
        <f>'qtrP&amp;L'!U10</f>
        <v>77.813660584530922</v>
      </c>
      <c r="U10" s="1904"/>
      <c r="V10" s="1853">
        <v>59.581000000000003</v>
      </c>
      <c r="W10" s="1903">
        <f>(V10/R10-1)*100</f>
        <v>62.315089764894992</v>
      </c>
      <c r="X10" s="1555">
        <f>'qtrP&amp;L'!Y10</f>
        <v>41.078671752028086</v>
      </c>
      <c r="Z10" s="1853">
        <v>86.632999999999996</v>
      </c>
      <c r="AA10" s="1903">
        <f>(Z10/V10-1)*100</f>
        <v>45.403736090364369</v>
      </c>
      <c r="AB10" s="1555">
        <f>'qtrP&amp;L'!AC10</f>
        <v>9.9658311296110682</v>
      </c>
      <c r="AD10" s="1853">
        <v>109.29600000000001</v>
      </c>
      <c r="AE10" s="1903">
        <f>(AD10/Z10-1)*100</f>
        <v>26.159777452010214</v>
      </c>
      <c r="AF10" s="1555">
        <f>'qtrP&amp;L'!AG10</f>
        <v>28.620625737783278</v>
      </c>
      <c r="AH10" s="1853">
        <v>117.166</v>
      </c>
      <c r="AI10" s="1903">
        <f>(AH10/AD10-1)*100</f>
        <v>7.2006294832381634</v>
      </c>
      <c r="AJ10" s="1555">
        <f>'qtrP&amp;L'!AK10</f>
        <v>18.62560679611649</v>
      </c>
      <c r="AL10" s="1853">
        <v>145.71899999999999</v>
      </c>
      <c r="AM10" s="1903">
        <f>(AL10/AH10-1)*100</f>
        <v>24.369697693870229</v>
      </c>
      <c r="AN10" s="1555">
        <f>'qtrP&amp;L'!AO10</f>
        <v>10.84746412951738</v>
      </c>
      <c r="AP10" s="1853">
        <v>132.268</v>
      </c>
      <c r="AQ10" s="1903">
        <f>(AP10/AL10-1)*100</f>
        <v>-9.2307797884970348</v>
      </c>
      <c r="AR10" s="1555">
        <f>'qtrP&amp;L'!AS10</f>
        <v>18.806998113762631</v>
      </c>
      <c r="AT10" s="1853">
        <v>227.20500000000001</v>
      </c>
      <c r="AU10" s="1903">
        <f>(AT10/AP10-1)*100</f>
        <v>71.776242174978094</v>
      </c>
      <c r="AV10" s="1555">
        <f>'qtrP&amp;L'!AW10</f>
        <v>32.743427281334192</v>
      </c>
      <c r="AX10" s="1853">
        <v>336.654</v>
      </c>
      <c r="AY10" s="1903">
        <f>(AX10/AT10-1)*100</f>
        <v>48.171915230738762</v>
      </c>
      <c r="AZ10" s="1555">
        <f>'qtrP&amp;L'!BA10</f>
        <v>20.200983888370729</v>
      </c>
      <c r="BB10" s="1853">
        <v>401.75299999999999</v>
      </c>
      <c r="BC10" s="1903">
        <f>(BB10/AX10-1)*100</f>
        <v>19.337064166770634</v>
      </c>
      <c r="BD10" s="1555">
        <f>'qtrP&amp;L'!BE10</f>
        <v>12.953408867879457</v>
      </c>
      <c r="BF10" s="1905">
        <v>347.62799999999999</v>
      </c>
      <c r="BG10" s="1903">
        <f>(BF10/BB10-1)*100</f>
        <v>-13.472208048228641</v>
      </c>
      <c r="BH10" s="1555">
        <f>'qtrP&amp;L'!BI10</f>
        <v>6.0248380275050195</v>
      </c>
      <c r="BJ10" s="1905">
        <v>274.74200000000002</v>
      </c>
      <c r="BK10" s="1903">
        <f>(BJ10/BF10-1)*100</f>
        <v>-20.966665516011361</v>
      </c>
      <c r="BL10" s="1555">
        <f>'qtrP&amp;L'!BM10</f>
        <v>-23.554924860793324</v>
      </c>
      <c r="BN10" s="1905">
        <v>316.447</v>
      </c>
      <c r="BO10" s="1903">
        <f>(BN10/BJ10-1)*100</f>
        <v>15.179695860116027</v>
      </c>
      <c r="BP10" s="1555">
        <f>'qtrP&amp;L'!BQ10</f>
        <v>14.304612209150624</v>
      </c>
      <c r="BR10" s="1905">
        <v>358.37099999999998</v>
      </c>
      <c r="BS10" s="1903">
        <f>(BR10/BN10-1)*100</f>
        <v>13.248348064604798</v>
      </c>
      <c r="BT10" s="1555">
        <f>+'qtrP&amp;L'!BU10</f>
        <v>21.644247489110271</v>
      </c>
      <c r="BV10" s="1905">
        <v>517.56399999999996</v>
      </c>
      <c r="BW10" s="1903">
        <f>(BV10/BR10-1)*100</f>
        <v>44.421284088277233</v>
      </c>
      <c r="BX10" s="1555">
        <f>+'qtrP&amp;L'!BY10</f>
        <v>10.104771990046292</v>
      </c>
      <c r="BZ10" s="1544">
        <v>458.63</v>
      </c>
      <c r="CA10" s="1903">
        <f>(BZ10/BV10-1)*100</f>
        <v>-11.386804337241374</v>
      </c>
      <c r="CB10" s="1555">
        <f>'qtrP&amp;L'!CC10</f>
        <v>-8.9499988059286721</v>
      </c>
      <c r="CC10" s="1555"/>
      <c r="CD10" s="1544">
        <v>486.02600000000001</v>
      </c>
      <c r="CE10" s="1903">
        <f>(CD10/BZ10-1)*100</f>
        <v>5.9734426443974531</v>
      </c>
      <c r="CF10" s="1555">
        <f>'qtrP&amp;L'!CG10</f>
        <v>-1.9482122014523706</v>
      </c>
      <c r="CG10" s="1555"/>
      <c r="CH10" s="1544">
        <v>441.005</v>
      </c>
      <c r="CI10" s="1903">
        <f>(CH10/CD10-1)*100</f>
        <v>-9.263084690942458</v>
      </c>
      <c r="CJ10" s="1555">
        <f>'qtrP&amp;L'!CK10</f>
        <v>-13.740534125783654</v>
      </c>
      <c r="CK10" s="1555"/>
      <c r="CL10" s="1544">
        <v>435.66300000000001</v>
      </c>
      <c r="CM10" s="1903">
        <f>(CL10/CH10-1)*100</f>
        <v>-1.2113241346469961</v>
      </c>
      <c r="CN10" s="1555">
        <f>'qtrP&amp;L'!CO10</f>
        <v>-3.3744372179041693</v>
      </c>
      <c r="CO10" s="1555"/>
      <c r="CP10" s="1544">
        <v>398.75</v>
      </c>
      <c r="CQ10" s="1903">
        <f>(CP10/CL10-1)*100</f>
        <v>-8.4728333597298811</v>
      </c>
      <c r="CR10" s="1555">
        <f>'qtrP&amp;L'!CS10</f>
        <v>-3.5571998138538619</v>
      </c>
    </row>
    <row r="11" spans="1:101">
      <c r="A11" s="22" t="str">
        <f>'qtrP&amp;L'!A11</f>
        <v>2Q</v>
      </c>
      <c r="B11" s="22" t="str">
        <f>'qtrP&amp;L'!B11</f>
        <v>Jul</v>
      </c>
      <c r="D11" s="1906">
        <v>24.936</v>
      </c>
      <c r="F11" s="1906">
        <v>37.880000000000003</v>
      </c>
      <c r="G11" s="1903">
        <f>(F11/D11-1)*100</f>
        <v>51.908886750080207</v>
      </c>
      <c r="H11" s="1555">
        <f>'qtrP&amp;L'!I11</f>
        <v>33.131347908417965</v>
      </c>
      <c r="I11" s="1904"/>
      <c r="J11" s="1906">
        <v>52.918999999999997</v>
      </c>
      <c r="K11" s="1903">
        <f>(J11/F11-1)*100</f>
        <v>39.701689545934514</v>
      </c>
      <c r="L11" s="1555">
        <f>'qtrP&amp;L'!M11</f>
        <v>48.52332678183511</v>
      </c>
      <c r="M11" s="1904"/>
      <c r="N11" s="1906">
        <v>60.686</v>
      </c>
      <c r="O11" s="1903">
        <f>(N11/J11-1)*100</f>
        <v>14.677148094257264</v>
      </c>
      <c r="P11" s="1555">
        <f>'qtrP&amp;L'!Q11</f>
        <v>50.859292019989219</v>
      </c>
      <c r="Q11" s="1904"/>
      <c r="R11" s="1906">
        <v>75.888999999999996</v>
      </c>
      <c r="S11" s="1903">
        <f>(R11/N11-1)*100</f>
        <v>25.051906535279954</v>
      </c>
      <c r="T11" s="1555">
        <f>'qtrP&amp;L'!U11</f>
        <v>67.394967682363813</v>
      </c>
      <c r="U11" s="1904"/>
      <c r="V11" s="1906">
        <v>97.629000000000005</v>
      </c>
      <c r="W11" s="1903">
        <f>(V11/R11-1)*100</f>
        <v>28.64710300570572</v>
      </c>
      <c r="X11" s="1555">
        <f>'qtrP&amp;L'!Y11</f>
        <v>35.300039301942341</v>
      </c>
      <c r="Z11" s="1906">
        <v>124.74</v>
      </c>
      <c r="AA11" s="1903">
        <f>(Z11/V11-1)*100</f>
        <v>27.769412776941273</v>
      </c>
      <c r="AB11" s="1555">
        <f>'qtrP&amp;L'!AC11</f>
        <v>16.717373246291277</v>
      </c>
      <c r="AD11" s="1906">
        <v>157.727</v>
      </c>
      <c r="AE11" s="1903">
        <f>(AD11/Z11-1)*100</f>
        <v>26.444604777938132</v>
      </c>
      <c r="AF11" s="1555">
        <f>'qtrP&amp;L'!AG11</f>
        <v>22.304840829407357</v>
      </c>
      <c r="AH11" s="1906">
        <v>179.56200000000001</v>
      </c>
      <c r="AI11" s="1903">
        <f>(AH11/AD11-1)*100</f>
        <v>13.843539787100511</v>
      </c>
      <c r="AJ11" s="1555">
        <f>'qtrP&amp;L'!AK11</f>
        <v>17.506318810778399</v>
      </c>
      <c r="AL11" s="1906">
        <v>199.58099999999999</v>
      </c>
      <c r="AM11" s="1903">
        <f>(AL11/AH11-1)*100</f>
        <v>11.148795402145218</v>
      </c>
      <c r="AN11" s="1555">
        <f>'qtrP&amp;L'!AO11</f>
        <v>8.0706903151716247</v>
      </c>
      <c r="AP11" s="1906">
        <v>199.05500000000001</v>
      </c>
      <c r="AQ11" s="1903">
        <f>(AP11/AL11-1)*100</f>
        <v>-0.26355214173693353</v>
      </c>
      <c r="AR11" s="1555">
        <f>'qtrP&amp;L'!AS11</f>
        <v>12.826697477503313</v>
      </c>
      <c r="AT11" s="1906">
        <f>363.985</f>
        <v>363.98500000000001</v>
      </c>
      <c r="AU11" s="1903">
        <f>(AT11/AP11-1)*100</f>
        <v>82.85649694807968</v>
      </c>
      <c r="AV11" s="1555">
        <f>'qtrP&amp;L'!AW11</f>
        <v>42.418511708102244</v>
      </c>
      <c r="AX11" s="1906">
        <v>434.26799999999997</v>
      </c>
      <c r="AY11" s="1903">
        <f>(AX11/AT11-1)*100</f>
        <v>19.309312196931174</v>
      </c>
      <c r="AZ11" s="1555">
        <f>'qtrP&amp;L'!BA11</f>
        <v>15.239043301941436</v>
      </c>
      <c r="BB11" s="1906">
        <v>431.39499999999998</v>
      </c>
      <c r="BC11" s="1903">
        <f>(BB11/AX11-1)*100</f>
        <v>-0.66157303784759591</v>
      </c>
      <c r="BD11" s="1555">
        <f>'qtrP&amp;L'!BE11</f>
        <v>22.141018011343625</v>
      </c>
      <c r="BF11" s="1907">
        <v>470.68200000000002</v>
      </c>
      <c r="BG11" s="1903">
        <f>(BF11/BB11-1)*100</f>
        <v>9.1069669328573752</v>
      </c>
      <c r="BH11" s="1555">
        <f>'qtrP&amp;L'!BI11</f>
        <v>3.5747223872582667</v>
      </c>
      <c r="BJ11" s="1907">
        <v>325.596</v>
      </c>
      <c r="BK11" s="1903">
        <f>(BJ11/BF11-1)*100</f>
        <v>-30.824633191836526</v>
      </c>
      <c r="BL11" s="1555">
        <f>'qtrP&amp;L'!BM11</f>
        <v>-23.530237682077715</v>
      </c>
      <c r="BN11" s="1907">
        <v>480.12799999999999</v>
      </c>
      <c r="BO11" s="1903">
        <f>(BN11/BJ11-1)*100</f>
        <v>47.461271022985542</v>
      </c>
      <c r="BP11" s="1555">
        <f>'qtrP&amp;L'!BQ11</f>
        <v>17.039143405506096</v>
      </c>
      <c r="BR11" s="1907">
        <v>516.12800000000004</v>
      </c>
      <c r="BS11" s="1903">
        <f>(BR11/BN11-1)*100</f>
        <v>7.4980005331911626</v>
      </c>
      <c r="BT11" s="1555">
        <f>+'qtrP&amp;L'!BU11</f>
        <v>22.923767561725828</v>
      </c>
      <c r="BV11" s="1548">
        <v>694.2</v>
      </c>
      <c r="BW11" s="1903">
        <f>(BV11/BR11-1)*100</f>
        <v>34.501519003037998</v>
      </c>
      <c r="BX11" s="1555">
        <f>+'qtrP&amp;L'!BY11</f>
        <v>3.7789483214309527</v>
      </c>
      <c r="BZ11" s="1906">
        <v>633.48299999999995</v>
      </c>
      <c r="CA11" s="1903">
        <f>(BZ11/BV11-1)*100</f>
        <v>-8.7463267070008737</v>
      </c>
      <c r="CB11" s="1555">
        <f>'qtrP&amp;L'!CC11</f>
        <v>-0.60005864997840774</v>
      </c>
      <c r="CC11" s="1555"/>
      <c r="CD11" s="1906">
        <v>550.22699999999998</v>
      </c>
      <c r="CE11" s="1903">
        <f>(CD11/BZ11-1)*100</f>
        <v>-13.142578411733219</v>
      </c>
      <c r="CF11" s="1555">
        <f>'qtrP&amp;L'!CG11</f>
        <v>-5.8256441274064148</v>
      </c>
      <c r="CG11" s="1555"/>
      <c r="CH11" s="1906">
        <v>478.61799999999999</v>
      </c>
      <c r="CI11" s="1903">
        <f>(CH11/CD11-1)*100</f>
        <v>-13.014446764698928</v>
      </c>
      <c r="CJ11" s="1555">
        <f>'qtrP&amp;L'!CK11</f>
        <v>-8.1797205270574551</v>
      </c>
      <c r="CK11" s="1555"/>
      <c r="CL11" s="1906">
        <v>453.17500000000001</v>
      </c>
      <c r="CM11" s="1903">
        <f>(CL11/CH11-1)*100</f>
        <v>-5.3159304497532478</v>
      </c>
      <c r="CN11" s="1555">
        <f>'qtrP&amp;L'!CO11</f>
        <v>-4.2306017931999289</v>
      </c>
      <c r="CO11" s="1555"/>
      <c r="CP11" s="1906">
        <v>471.03699999999998</v>
      </c>
      <c r="CQ11" s="1903">
        <f>(CP11/CL11-1)*100</f>
        <v>3.94152369393721</v>
      </c>
      <c r="CR11" s="1555">
        <f>'qtrP&amp;L'!CS11</f>
        <v>-0.49019357474844316</v>
      </c>
      <c r="CT11" s="36"/>
    </row>
    <row r="12" spans="1:101">
      <c r="A12" s="22" t="str">
        <f>'qtrP&amp;L'!A12</f>
        <v>3Q</v>
      </c>
      <c r="B12" s="22" t="str">
        <f>'qtrP&amp;L'!B12</f>
        <v>Oct</v>
      </c>
      <c r="D12" s="1906">
        <v>30.349</v>
      </c>
      <c r="F12" s="1906">
        <v>46.652999999999999</v>
      </c>
      <c r="G12" s="1903">
        <f>(F12/D12-1)*100</f>
        <v>53.72170417476687</v>
      </c>
      <c r="H12" s="1555">
        <f>'qtrP&amp;L'!I12</f>
        <v>48.304996889902554</v>
      </c>
      <c r="I12" s="1904"/>
      <c r="J12" s="1906">
        <v>51.338999999999999</v>
      </c>
      <c r="K12" s="1903">
        <f>(J12/F12-1)*100</f>
        <v>10.044370136968684</v>
      </c>
      <c r="L12" s="1555">
        <f>'qtrP&amp;L'!M12</f>
        <v>53.241760162175389</v>
      </c>
      <c r="M12" s="1904"/>
      <c r="N12" s="1906">
        <v>55.582999999999998</v>
      </c>
      <c r="O12" s="1903">
        <f>(N12/J12-1)*100</f>
        <v>8.266619918580421</v>
      </c>
      <c r="P12" s="1555">
        <f>'qtrP&amp;L'!Q12</f>
        <v>69.368670741720635</v>
      </c>
      <c r="Q12" s="1904"/>
      <c r="R12" s="1906">
        <v>75.34</v>
      </c>
      <c r="S12" s="1903">
        <f>(R12/N12-1)*100</f>
        <v>35.545040749869571</v>
      </c>
      <c r="T12" s="1555">
        <f>'qtrP&amp;L'!U12</f>
        <v>53.464946537746783</v>
      </c>
      <c r="U12" s="1904"/>
      <c r="V12" s="1906">
        <v>97.3</v>
      </c>
      <c r="W12" s="1903">
        <f>(V12/R12-1)*100</f>
        <v>29.147863020971588</v>
      </c>
      <c r="X12" s="1555">
        <f>'qtrP&amp;L'!Y12</f>
        <v>24.828887328887326</v>
      </c>
      <c r="Z12" s="1906">
        <v>122.374</v>
      </c>
      <c r="AA12" s="1903">
        <f>(Z12/V12-1)*100</f>
        <v>25.769784172661868</v>
      </c>
      <c r="AB12" s="1555">
        <f>'qtrP&amp;L'!AC12</f>
        <v>27.982144740079452</v>
      </c>
      <c r="AD12" s="1906">
        <v>153.20400000000001</v>
      </c>
      <c r="AE12" s="1903">
        <f>(AD12/Z12-1)*100</f>
        <v>25.193260006210473</v>
      </c>
      <c r="AF12" s="1555">
        <f>'qtrP&amp;L'!AG12</f>
        <v>-2.6499360104580316</v>
      </c>
      <c r="AH12" s="1906">
        <v>189.23</v>
      </c>
      <c r="AI12" s="1903">
        <f>(AH12/AD12-1)*100</f>
        <v>23.515051826323052</v>
      </c>
      <c r="AJ12" s="1555">
        <f>'qtrP&amp;L'!AK12</f>
        <v>18.296456993903632</v>
      </c>
      <c r="AL12" s="1906">
        <v>212.291</v>
      </c>
      <c r="AM12" s="1903">
        <f>(AL12/AH12-1)*100</f>
        <v>12.186756856735204</v>
      </c>
      <c r="AN12" s="1555">
        <f>'qtrP&amp;L'!AO12</f>
        <v>6.116915357630881</v>
      </c>
      <c r="AP12" s="1906">
        <v>209.00200000000001</v>
      </c>
      <c r="AQ12" s="1903">
        <f>(AP12/AL12-1)*100</f>
        <v>-1.549288476666455</v>
      </c>
      <c r="AR12" s="1555">
        <f>'qtrP&amp;L'!AS12</f>
        <v>17.022151607154502</v>
      </c>
      <c r="AT12" s="1906">
        <f>415.621</f>
        <v>415.62099999999998</v>
      </c>
      <c r="AU12" s="1903">
        <f>(AT12/AP12-1)*100</f>
        <v>98.859819523258125</v>
      </c>
      <c r="AV12" s="1555">
        <f>'qtrP&amp;L'!AW12</f>
        <v>35.372673431606749</v>
      </c>
      <c r="AX12" s="1906">
        <v>431.00200000000001</v>
      </c>
      <c r="AY12" s="1903">
        <f>(AX12/AT12-1)*100</f>
        <v>3.7007273453458778</v>
      </c>
      <c r="AZ12" s="1555">
        <f>'qtrP&amp;L'!BA12</f>
        <v>22.489140580890265</v>
      </c>
      <c r="BB12" s="1906">
        <v>407.12299999999999</v>
      </c>
      <c r="BC12" s="1903">
        <f>(BB12/AX12-1)*100</f>
        <v>-5.5403455204384278</v>
      </c>
      <c r="BD12" s="1555">
        <f>'qtrP&amp;L'!BE12</f>
        <v>12.795443385125683</v>
      </c>
      <c r="BF12" s="1907">
        <v>504.89800000000002</v>
      </c>
      <c r="BG12" s="1903">
        <f>(BF12/BB12-1)*100</f>
        <v>24.016083591445337</v>
      </c>
      <c r="BH12" s="1555">
        <f>'qtrP&amp;L'!BI12</f>
        <v>-9.355805858737277</v>
      </c>
      <c r="BJ12" s="1907">
        <v>347.18</v>
      </c>
      <c r="BK12" s="1903">
        <f>(BJ12/BF12-1)*100</f>
        <v>-31.237596504640543</v>
      </c>
      <c r="BL12" s="1555">
        <f>'qtrP&amp;L'!BM12</f>
        <v>-14.626800073854994</v>
      </c>
      <c r="BN12" s="1907">
        <v>511.82100000000003</v>
      </c>
      <c r="BO12" s="1903">
        <f>(BN12/BJ12-1)*100</f>
        <v>47.422374560746583</v>
      </c>
      <c r="BP12" s="1555">
        <f>'qtrP&amp;L'!BQ12</f>
        <v>17.526443443140629</v>
      </c>
      <c r="BR12" s="1907">
        <v>679.34100000000001</v>
      </c>
      <c r="BS12" s="1903">
        <f>(BR12/BN12-1)*100</f>
        <v>32.730192782242227</v>
      </c>
      <c r="BT12" s="1555">
        <f>+'qtrP&amp;L'!BU12</f>
        <v>21.458875700231882</v>
      </c>
      <c r="BV12" s="1548">
        <v>629.95699999999999</v>
      </c>
      <c r="BW12" s="1903">
        <f>(BV12/BR12-1)*100</f>
        <v>-7.2693978429095303</v>
      </c>
      <c r="BX12" s="1555">
        <f>+'qtrP&amp;L'!BY12</f>
        <v>8.7179882809595313</v>
      </c>
      <c r="BZ12" s="1906">
        <v>768.94600000000003</v>
      </c>
      <c r="CA12" s="1903">
        <f>(BZ12/BV12-1)*100</f>
        <v>22.063251936243276</v>
      </c>
      <c r="CB12" s="1555">
        <f>'qtrP&amp;L'!CC12</f>
        <v>-11.657856331258355</v>
      </c>
      <c r="CC12" s="1555"/>
      <c r="CD12" s="1906">
        <v>617.54200000000003</v>
      </c>
      <c r="CE12" s="1903">
        <f>(CD12/BZ12-1)*100</f>
        <v>-19.689809167353754</v>
      </c>
      <c r="CF12" s="1555">
        <f>'qtrP&amp;L'!CG12</f>
        <v>-11.79142798799565</v>
      </c>
      <c r="CG12" s="1555"/>
      <c r="CH12" s="1906">
        <v>601.54100000000005</v>
      </c>
      <c r="CI12" s="1903">
        <f>(CH12/CD12-1)*100</f>
        <v>-2.5910788254078221</v>
      </c>
      <c r="CJ12" s="1555">
        <f>'qtrP&amp;L'!CK12</f>
        <v>-3.6075365378137936</v>
      </c>
      <c r="CK12" s="1555"/>
      <c r="CL12" s="1906">
        <v>516.14599999999996</v>
      </c>
      <c r="CM12" s="1903">
        <f>(CL12/CH12-1)*100</f>
        <v>-14.196039837683561</v>
      </c>
      <c r="CN12" s="1555">
        <f>'qtrP&amp;L'!CO12</f>
        <v>-6.4693616459436392</v>
      </c>
      <c r="CO12" s="1555"/>
      <c r="CP12" s="1906">
        <v>570.48400000000004</v>
      </c>
      <c r="CQ12" s="1903">
        <f>(CP12/CL12-1)*100</f>
        <v>10.527641403788856</v>
      </c>
      <c r="CR12" s="1555">
        <f>'qtrP&amp;L'!CS12</f>
        <v>4.5486739017735589</v>
      </c>
      <c r="CT12" s="36"/>
      <c r="CU12" s="36"/>
    </row>
    <row r="13" spans="1:101">
      <c r="A13" s="22" t="str">
        <f>'qtrP&amp;L'!A13</f>
        <v>4Q</v>
      </c>
      <c r="B13" s="22" t="str">
        <f>'qtrP&amp;L'!B13</f>
        <v>Jan</v>
      </c>
      <c r="D13" s="1906">
        <v>16.550999999999998</v>
      </c>
      <c r="F13" s="1906">
        <v>30.388000000000002</v>
      </c>
      <c r="G13" s="1903">
        <f>(F13/D13-1)*100</f>
        <v>83.60219926288444</v>
      </c>
      <c r="H13" s="1555">
        <f>'qtrP&amp;L'!I13</f>
        <v>42.932760126284663</v>
      </c>
      <c r="I13" s="1904"/>
      <c r="J13" s="1906">
        <v>34.942999999999998</v>
      </c>
      <c r="K13" s="1903">
        <f>(J13/F13-1)*100</f>
        <v>14.989469527445021</v>
      </c>
      <c r="L13" s="1555">
        <f>'qtrP&amp;L'!M13</f>
        <v>30.867922400180483</v>
      </c>
      <c r="M13" s="1904"/>
      <c r="N13" s="1906">
        <v>33.927</v>
      </c>
      <c r="O13" s="1903">
        <f>(N13/J13-1)*100</f>
        <v>-2.9075923647082336</v>
      </c>
      <c r="P13" s="1555">
        <f>'qtrP&amp;L'!Q13</f>
        <v>52.366895779017916</v>
      </c>
      <c r="Q13" s="1904"/>
      <c r="R13" s="1906">
        <v>43.991999999999997</v>
      </c>
      <c r="S13" s="1903">
        <f>(R13/N13-1)*100</f>
        <v>29.666637191617284</v>
      </c>
      <c r="T13" s="1555">
        <f>'qtrP&amp;L'!U13</f>
        <v>41.452779938249762</v>
      </c>
      <c r="U13" s="1904"/>
      <c r="V13" s="1906">
        <v>75.262</v>
      </c>
      <c r="W13" s="1903">
        <f>(V13/R13-1)*100</f>
        <v>71.081105655573751</v>
      </c>
      <c r="X13" s="1555">
        <f>'qtrP&amp;L'!Y13</f>
        <v>21.196994184980934</v>
      </c>
      <c r="Z13" s="1906">
        <v>120.997</v>
      </c>
      <c r="AA13" s="1903">
        <f>(Z13/V13-1)*100</f>
        <v>60.767718104754053</v>
      </c>
      <c r="AB13" s="1555">
        <f>'qtrP&amp;L'!AC13</f>
        <v>20.828223726539342</v>
      </c>
      <c r="AD13" s="1906">
        <v>108.876</v>
      </c>
      <c r="AE13" s="1903">
        <f>(AD13/Z13-1)*100</f>
        <v>-10.017603742241544</v>
      </c>
      <c r="AF13" s="1555">
        <f>'qtrP&amp;L'!AG13</f>
        <v>6.1757444048743393</v>
      </c>
      <c r="AH13" s="1906">
        <v>144.21799999999999</v>
      </c>
      <c r="AI13" s="1903">
        <f>(AH13/AD13-1)*100</f>
        <v>32.460781072045243</v>
      </c>
      <c r="AJ13" s="1555">
        <f>'qtrP&amp;L'!AK13</f>
        <v>14.552149237864986</v>
      </c>
      <c r="AL13" s="1906">
        <f>+bal!W12</f>
        <v>170.703</v>
      </c>
      <c r="AM13" s="1903">
        <f>(AL13/AH13-1)*100</f>
        <v>18.364559208975308</v>
      </c>
      <c r="AN13" s="1555">
        <f>'qtrP&amp;L'!AO13</f>
        <v>4.8471230088197537</v>
      </c>
      <c r="AP13" s="1906">
        <f>bal!Y12</f>
        <v>211.19800000000001</v>
      </c>
      <c r="AQ13" s="1903">
        <f>(AP13/AL13-1)*100</f>
        <v>23.722488767039842</v>
      </c>
      <c r="AR13" s="1555">
        <f>'qtrP&amp;L'!AS13</f>
        <v>22.638738447756836</v>
      </c>
      <c r="AT13" s="1906">
        <v>362.536</v>
      </c>
      <c r="AU13" s="1903">
        <f>(AT13/AP13-1)*100</f>
        <v>71.656928569399341</v>
      </c>
      <c r="AV13" s="1555">
        <f>'qtrP&amp;L'!AW13</f>
        <v>39.888891152325058</v>
      </c>
      <c r="AX13" s="1906">
        <v>427.447</v>
      </c>
      <c r="AY13" s="1903">
        <f>(AX13/AT13-1)*100</f>
        <v>17.904704636229241</v>
      </c>
      <c r="AZ13" s="1555">
        <f>'qtrP&amp;L'!BA13</f>
        <v>18.447313894852456</v>
      </c>
      <c r="BB13" s="1906">
        <v>333.15300000000002</v>
      </c>
      <c r="BC13" s="1903">
        <f>(BB13/AX13-1)*100</f>
        <v>-22.059810923927405</v>
      </c>
      <c r="BD13" s="1555">
        <f>'qtrP&amp;L'!BE13</f>
        <v>7.923297881962843</v>
      </c>
      <c r="BF13" s="1907">
        <v>372.42200000000003</v>
      </c>
      <c r="BG13" s="1903">
        <f>(BF13/BB13-1)*100</f>
        <v>11.787076808553421</v>
      </c>
      <c r="BH13" s="1555">
        <f>'qtrP&amp;L'!BI13</f>
        <v>-20.192535369077667</v>
      </c>
      <c r="BJ13" s="1907">
        <v>310.54500000000002</v>
      </c>
      <c r="BK13" s="1903">
        <f>(BJ13/BF13-1)*100</f>
        <v>-16.61475423041604</v>
      </c>
      <c r="BL13" s="1555">
        <f>'qtrP&amp;L'!BM13</f>
        <v>-4.5694931429055003</v>
      </c>
      <c r="BN13" s="1907">
        <v>385.85700000000003</v>
      </c>
      <c r="BO13" s="1903">
        <f>(BN13/BJ13-1)*100</f>
        <v>24.251557745254317</v>
      </c>
      <c r="BP13" s="1555">
        <f>'qtrP&amp;L'!BQ13</f>
        <v>22.79989871697483</v>
      </c>
      <c r="BR13" s="1907">
        <v>569.81799999999998</v>
      </c>
      <c r="BS13" s="1903">
        <f>(BR13/BN13-1)*100</f>
        <v>47.675952490171227</v>
      </c>
      <c r="BT13" s="1555">
        <f>+'qtrP&amp;L'!BU13</f>
        <v>15.605500628156022</v>
      </c>
      <c r="BV13" s="1906">
        <v>426.96199999999999</v>
      </c>
      <c r="BW13" s="1903">
        <f>(BV13/BR13-1)*100</f>
        <v>-25.070461094595121</v>
      </c>
      <c r="BX13" s="1555">
        <f>+'qtrP&amp;L'!BY13</f>
        <v>10.518488972843198</v>
      </c>
      <c r="BZ13" s="1906">
        <v>530.19200000000001</v>
      </c>
      <c r="CA13" s="1903">
        <f>(BZ13/BV13-1)*100</f>
        <v>24.17779568205134</v>
      </c>
      <c r="CB13" s="1555">
        <f>'qtrP&amp;L'!CC13</f>
        <v>-11.534928442096215</v>
      </c>
      <c r="CC13" s="1555"/>
      <c r="CD13" s="1906">
        <v>460.79399999999998</v>
      </c>
      <c r="CE13" s="1903">
        <f>(CD13/BZ13-1)*100</f>
        <v>-13.089220508796817</v>
      </c>
      <c r="CF13" s="1555">
        <f>'qtrP&amp;L'!CG13</f>
        <v>-13.82402317846385</v>
      </c>
      <c r="CG13" s="1555"/>
      <c r="CH13" s="1906">
        <v>436.70100000000002</v>
      </c>
      <c r="CI13" s="1903">
        <f>(CH13/CD13-1)*100</f>
        <v>-5.2285837055169875</v>
      </c>
      <c r="CJ13" s="1555">
        <f>'qtrP&amp;L'!CK13</f>
        <v>-0.59077624461387757</v>
      </c>
      <c r="CK13" s="1555"/>
      <c r="CL13" s="1906">
        <v>399.79500000000002</v>
      </c>
      <c r="CM13" s="1903">
        <f>(CL13/CH13-1)*100</f>
        <v>-8.4510912500772797</v>
      </c>
      <c r="CN13" s="1555">
        <f>'qtrP&amp;L'!CO13</f>
        <v>-6.8797678200785306</v>
      </c>
      <c r="CO13" s="1555"/>
      <c r="CP13" s="1906">
        <v>424.39299999999997</v>
      </c>
      <c r="CQ13" s="1903">
        <f>(CP13/CL13-1)*100</f>
        <v>6.1526532347828233</v>
      </c>
      <c r="CR13" s="1555">
        <f>'qtrP&amp;L'!CS13</f>
        <v>15.129351395215762</v>
      </c>
      <c r="CU13" s="36"/>
      <c r="CW13" s="2253"/>
    </row>
    <row r="14" spans="1:101">
      <c r="BF14" s="252"/>
      <c r="BJ14" s="252"/>
      <c r="BN14" s="252"/>
      <c r="BR14" s="252"/>
      <c r="BZ14" s="1906"/>
      <c r="CD14" s="1500"/>
      <c r="CF14" s="1515"/>
    </row>
    <row r="15" spans="1:101">
      <c r="A15" s="1519" t="s">
        <v>265</v>
      </c>
      <c r="B15" s="313"/>
      <c r="C15" s="114"/>
      <c r="D15" s="114"/>
      <c r="E15" s="114"/>
      <c r="F15" s="1146"/>
      <c r="G15" s="1146"/>
      <c r="H15" s="1146"/>
      <c r="I15" s="1146"/>
      <c r="J15" s="1146"/>
      <c r="K15" s="1146"/>
      <c r="L15" s="1146"/>
      <c r="M15" s="1356"/>
      <c r="N15" s="1356"/>
      <c r="O15" s="1146"/>
      <c r="P15" s="1146"/>
      <c r="Q15" s="1146"/>
      <c r="R15" s="1146"/>
      <c r="S15" s="1146"/>
      <c r="T15" s="1146"/>
      <c r="U15" s="1146"/>
      <c r="V15" s="1146"/>
      <c r="W15" s="1146"/>
      <c r="X15" s="1146"/>
      <c r="Y15" s="114"/>
      <c r="Z15" s="1146"/>
      <c r="AA15" s="1146"/>
      <c r="AB15" s="1146"/>
      <c r="AC15" s="114"/>
      <c r="AD15" s="1146"/>
      <c r="AE15" s="1146"/>
      <c r="AF15" s="1146"/>
      <c r="AG15" s="114"/>
      <c r="AH15" s="1146"/>
      <c r="AI15" s="1146"/>
      <c r="AJ15" s="1146"/>
      <c r="AK15" s="114"/>
      <c r="AL15" s="1146"/>
      <c r="AM15" s="1146"/>
      <c r="AN15" s="1146"/>
      <c r="AO15" s="114"/>
      <c r="AP15" s="1146"/>
      <c r="AQ15" s="1146"/>
      <c r="AR15" s="1146"/>
      <c r="AS15" s="114"/>
      <c r="AT15" s="1146"/>
      <c r="AU15" s="1146"/>
      <c r="AV15" s="1146"/>
      <c r="AW15" s="114"/>
      <c r="AX15" s="1146"/>
      <c r="AY15" s="1146"/>
      <c r="AZ15" s="1146"/>
      <c r="BA15" s="114"/>
      <c r="BB15" s="1146"/>
      <c r="BC15" s="1146"/>
      <c r="BD15" s="1146"/>
      <c r="BE15" s="114"/>
      <c r="BF15" s="1908"/>
      <c r="BG15" s="1146"/>
      <c r="BH15" s="1146"/>
      <c r="BI15" s="114"/>
      <c r="BJ15" s="1908"/>
      <c r="BK15" s="1146"/>
      <c r="BL15" s="1146"/>
      <c r="BM15" s="114"/>
      <c r="BN15" s="1908"/>
      <c r="BO15" s="1146"/>
      <c r="BP15" s="1146"/>
      <c r="BQ15" s="114"/>
      <c r="BR15" s="1908"/>
      <c r="BS15" s="1146"/>
      <c r="BT15" s="1146"/>
      <c r="BU15" s="114"/>
      <c r="BV15" s="1146"/>
      <c r="BW15" s="1146"/>
      <c r="BX15" s="1146"/>
      <c r="BZ15" s="1906"/>
    </row>
    <row r="16" spans="1:101">
      <c r="A16" s="22" t="str">
        <f>$A$10</f>
        <v>1Q</v>
      </c>
      <c r="B16" s="22" t="str">
        <f>$B$10</f>
        <v>Apr</v>
      </c>
      <c r="D16" s="1853">
        <f>1.47+1.579</f>
        <v>3.0489999999999999</v>
      </c>
      <c r="E16" s="1053"/>
      <c r="F16" s="1853">
        <f>2.276+2.5</f>
        <v>4.7759999999999998</v>
      </c>
      <c r="G16" s="1903">
        <f>(F16/D16-1)*100</f>
        <v>56.641521810429651</v>
      </c>
      <c r="H16" s="1555">
        <f>H$10</f>
        <v>42.642847984956632</v>
      </c>
      <c r="I16" s="1904"/>
      <c r="J16" s="1853">
        <f>3.231+4.014</f>
        <v>7.2450000000000001</v>
      </c>
      <c r="K16" s="1903">
        <f>(J16/F16-1)*100</f>
        <v>51.695979899497502</v>
      </c>
      <c r="L16" s="1555">
        <f>L$10</f>
        <v>52.859753722623367</v>
      </c>
      <c r="M16" s="1904"/>
      <c r="N16" s="1853">
        <f>1.422+0.555</f>
        <v>1.9769999999999999</v>
      </c>
      <c r="O16" s="1903">
        <f>(N16/J16-1)*100</f>
        <v>-72.712215320910971</v>
      </c>
      <c r="P16" s="1555">
        <f>P$10</f>
        <v>45.660525284202279</v>
      </c>
      <c r="Q16" s="1904"/>
      <c r="R16" s="1853">
        <f>0.951+1.337</f>
        <v>2.2879999999999998</v>
      </c>
      <c r="S16" s="1903">
        <f>(R16/N16-1)*100</f>
        <v>15.730905412240759</v>
      </c>
      <c r="T16" s="1555">
        <f>T$10</f>
        <v>77.813660584530922</v>
      </c>
      <c r="U16" s="1904"/>
      <c r="V16" s="1853">
        <f>3.792+0.705</f>
        <v>4.4969999999999999</v>
      </c>
      <c r="W16" s="1903">
        <f>(V16/R16-1)*100</f>
        <v>96.547202797202814</v>
      </c>
      <c r="X16" s="1555">
        <f>X$10</f>
        <v>41.078671752028086</v>
      </c>
      <c r="Z16" s="1853">
        <f>8.561+20.865</f>
        <v>29.425999999999998</v>
      </c>
      <c r="AA16" s="1903">
        <f>(Z16/V16-1)*100</f>
        <v>554.34734267289298</v>
      </c>
      <c r="AB16" s="1555">
        <f>$AB10</f>
        <v>9.9658311296110682</v>
      </c>
      <c r="AD16" s="1853">
        <f>12.126+18.414+12.169</f>
        <v>42.709000000000003</v>
      </c>
      <c r="AE16" s="1903">
        <f>(AD16/Z16-1)*100</f>
        <v>45.140352069598343</v>
      </c>
      <c r="AF16" s="1555">
        <f>$AF10</f>
        <v>28.620625737783278</v>
      </c>
      <c r="AH16" s="1853">
        <f>16.245+22.28+15.343</f>
        <v>53.868000000000009</v>
      </c>
      <c r="AI16" s="1903">
        <f>(AH16/AD16-1)*100</f>
        <v>26.127982392469985</v>
      </c>
      <c r="AJ16" s="1555">
        <f>$AJ10</f>
        <v>18.62560679611649</v>
      </c>
      <c r="AL16" s="1853">
        <f>7.55+26.462+19.562</f>
        <v>53.573999999999998</v>
      </c>
      <c r="AM16" s="1903">
        <f>(AL16/AH16-1)*100</f>
        <v>-0.54577856983739625</v>
      </c>
      <c r="AN16" s="1555">
        <f>+AN10</f>
        <v>10.84746412951738</v>
      </c>
      <c r="AP16" s="1853">
        <f>13.286+24.612+30.37</f>
        <v>68.268000000000001</v>
      </c>
      <c r="AQ16" s="1903">
        <f>(AP16/AL16-1)*100</f>
        <v>27.427483480792937</v>
      </c>
      <c r="AR16" s="1555">
        <f>+AR10</f>
        <v>18.806998113762631</v>
      </c>
      <c r="AT16" s="1853">
        <f>32.284+38.944+27.844</f>
        <v>99.072000000000003</v>
      </c>
      <c r="AU16" s="1903">
        <f>(AT16/AP16-1)*100</f>
        <v>45.122165582703452</v>
      </c>
      <c r="AV16" s="1555">
        <f>+AV10</f>
        <v>32.743427281334192</v>
      </c>
      <c r="AX16" s="1853">
        <f>50.4+27.333+49.888</f>
        <v>127.62100000000001</v>
      </c>
      <c r="AY16" s="1903">
        <f>(AX16/AT16-1)*100</f>
        <v>28.81641634366925</v>
      </c>
      <c r="AZ16" s="1555">
        <f>+AZ10</f>
        <v>20.200983888370729</v>
      </c>
      <c r="BB16" s="1853">
        <f>49.052+33.735+64.872</f>
        <v>147.65899999999999</v>
      </c>
      <c r="BC16" s="1903">
        <f>(BB16/AX16-1)*100</f>
        <v>15.701177705863433</v>
      </c>
      <c r="BD16" s="1555">
        <f>+BD10</f>
        <v>12.953408867879457</v>
      </c>
      <c r="BF16" s="1905">
        <f>68.643+38.16+72.346</f>
        <v>179.149</v>
      </c>
      <c r="BG16" s="1903">
        <f>(BF16/BB16-1)*100</f>
        <v>21.32616366086728</v>
      </c>
      <c r="BH16" s="1555">
        <f>+BH10</f>
        <v>6.0248380275050195</v>
      </c>
      <c r="BJ16" s="1905">
        <f>54.679+68.274+95.278</f>
        <v>218.23099999999999</v>
      </c>
      <c r="BK16" s="1903">
        <f>(BJ16/BF16-1)*100</f>
        <v>21.815360398327655</v>
      </c>
      <c r="BL16" s="1555">
        <f>+BL10</f>
        <v>-23.554924860793324</v>
      </c>
      <c r="BN16" s="1905">
        <f>91.811+57.145+86.825</f>
        <v>235.78100000000001</v>
      </c>
      <c r="BO16" s="1903">
        <f>(BN16/BJ16-1)*100</f>
        <v>8.0419372133198266</v>
      </c>
      <c r="BP16" s="1555">
        <f>+BP10</f>
        <v>14.304612209150624</v>
      </c>
      <c r="BR16" s="1905">
        <f>83.209+61.033+95.089</f>
        <v>239.33100000000002</v>
      </c>
      <c r="BS16" s="1903">
        <f>(BR16/BN16-1)*100</f>
        <v>1.505634465881478</v>
      </c>
      <c r="BT16" s="1555">
        <f>+BT10</f>
        <v>21.644247489110271</v>
      </c>
      <c r="BV16" s="1905">
        <f>73.429+75.775+83.386</f>
        <v>232.59</v>
      </c>
      <c r="BW16" s="1903">
        <f>(BV16/BR16-1)*100</f>
        <v>-2.816601276057018</v>
      </c>
      <c r="BX16" s="1555">
        <f>+BX10</f>
        <v>10.104771990046292</v>
      </c>
      <c r="BZ16" s="1544">
        <f>91.303+41.278+114.146</f>
        <v>246.72699999999998</v>
      </c>
      <c r="CA16" s="1903">
        <f>(BZ16/BV16-1)*100</f>
        <v>6.0780773034094127</v>
      </c>
      <c r="CB16" s="1555">
        <f>CB10</f>
        <v>-8.9499988059286721</v>
      </c>
      <c r="CC16" s="1555"/>
      <c r="CD16" s="1544">
        <f>69.983+36.77+103.125</f>
        <v>209.87800000000001</v>
      </c>
      <c r="CE16" s="1903">
        <f>(CD16/BZ16-1)*100</f>
        <v>-14.935130731537271</v>
      </c>
      <c r="CF16" s="1555">
        <f>CF10</f>
        <v>-1.9482122014523706</v>
      </c>
      <c r="CG16" s="1555"/>
      <c r="CH16" s="1544">
        <f>59.169+44.785+118.563</f>
        <v>222.517</v>
      </c>
      <c r="CI16" s="1903">
        <f>(CH16/CD16-1)*100</f>
        <v>6.0220699644555342</v>
      </c>
      <c r="CJ16" s="1555">
        <f>CJ10</f>
        <v>-13.740534125783654</v>
      </c>
      <c r="CK16" s="1555"/>
      <c r="CL16" s="1544">
        <f>61.69+106.2</f>
        <v>167.89</v>
      </c>
      <c r="CM16" s="1903">
        <f>(CL16/CH16-1)*100</f>
        <v>-24.54958497552996</v>
      </c>
      <c r="CN16" s="1555">
        <f>CN10</f>
        <v>-3.3744372179041693</v>
      </c>
      <c r="CO16" s="1555"/>
      <c r="CP16" s="1544">
        <f>90.346+91.565</f>
        <v>181.911</v>
      </c>
      <c r="CQ16" s="1903">
        <f>(CP16/CL16-1)*100</f>
        <v>8.3513014473762581</v>
      </c>
      <c r="CR16" s="1555">
        <f>CR10</f>
        <v>-3.5571998138538619</v>
      </c>
    </row>
    <row r="17" spans="1:96">
      <c r="A17" s="22" t="str">
        <f>$A$11</f>
        <v>2Q</v>
      </c>
      <c r="B17" s="22" t="str">
        <f>$B$11</f>
        <v>Jul</v>
      </c>
      <c r="D17" s="1906">
        <f>1.947+1.901</f>
        <v>3.8479999999999999</v>
      </c>
      <c r="E17" s="1909"/>
      <c r="F17" s="1906">
        <f>2.362+2.708</f>
        <v>5.07</v>
      </c>
      <c r="G17" s="1903">
        <f>(F17/D17-1)*100</f>
        <v>31.756756756756776</v>
      </c>
      <c r="H17" s="1555">
        <f>H$11</f>
        <v>33.131347908417965</v>
      </c>
      <c r="I17" s="1904"/>
      <c r="J17" s="1906">
        <f>4.2+4.3</f>
        <v>8.5</v>
      </c>
      <c r="K17" s="1903">
        <f>(J17/F17-1)*100</f>
        <v>67.652859960552263</v>
      </c>
      <c r="L17" s="1555">
        <f>L$11</f>
        <v>48.52332678183511</v>
      </c>
      <c r="M17" s="1904"/>
      <c r="N17" s="1906">
        <f>2.669+5</f>
        <v>7.6690000000000005</v>
      </c>
      <c r="O17" s="1903">
        <f>(N17/J17-1)*100</f>
        <v>-9.776470588235286</v>
      </c>
      <c r="P17" s="1555">
        <f>P$11</f>
        <v>50.859292019989219</v>
      </c>
      <c r="Q17" s="1904"/>
      <c r="R17" s="1906">
        <f>3.681+0.95</f>
        <v>4.6310000000000002</v>
      </c>
      <c r="S17" s="1903">
        <f>(R17/N17-1)*100</f>
        <v>-39.614030512452736</v>
      </c>
      <c r="T17" s="1555">
        <f>T$11</f>
        <v>67.394967682363813</v>
      </c>
      <c r="U17" s="1904"/>
      <c r="V17" s="1906">
        <f>3.925+1.2</f>
        <v>5.125</v>
      </c>
      <c r="W17" s="1903">
        <f>(V17/R17-1)*100</f>
        <v>10.667242496221107</v>
      </c>
      <c r="X17" s="1555">
        <f>X$11</f>
        <v>35.300039301942341</v>
      </c>
      <c r="Z17" s="1906">
        <f>22.207+14.45+10.689</f>
        <v>47.345999999999997</v>
      </c>
      <c r="AA17" s="1903">
        <f>(Z17/V17-1)*100</f>
        <v>823.82439024390237</v>
      </c>
      <c r="AB17" s="1555">
        <f>$AB11</f>
        <v>16.717373246291277</v>
      </c>
      <c r="AD17" s="1906">
        <f>18.678+20.102+13.718</f>
        <v>52.498000000000005</v>
      </c>
      <c r="AE17" s="1903">
        <f>(AD17/Z17-1)*100</f>
        <v>10.881595066109085</v>
      </c>
      <c r="AF17" s="1555">
        <f>$AF11</f>
        <v>22.304840829407357</v>
      </c>
      <c r="AH17" s="1906">
        <f>13.961+23.348+17.674</f>
        <v>54.982999999999997</v>
      </c>
      <c r="AI17" s="1903">
        <f>(AH17/AD17-1)*100</f>
        <v>4.7335136576631243</v>
      </c>
      <c r="AJ17" s="1555">
        <f>$AJ11</f>
        <v>17.506318810778399</v>
      </c>
      <c r="AL17" s="1906">
        <f>11.52+28.515+20.612</f>
        <v>60.646999999999991</v>
      </c>
      <c r="AM17" s="1903">
        <f>(AL17/AH17-1)*100</f>
        <v>10.301365876725521</v>
      </c>
      <c r="AN17" s="1555">
        <f>+AN11</f>
        <v>8.0706903151716247</v>
      </c>
      <c r="AP17" s="1906">
        <f>16.083+32.964+24.953</f>
        <v>74</v>
      </c>
      <c r="AQ17" s="1903">
        <f>(AP17/AL17-1)*100</f>
        <v>22.017577126650956</v>
      </c>
      <c r="AR17" s="1555">
        <f>+AR11</f>
        <v>12.826697477503313</v>
      </c>
      <c r="AT17" s="1906">
        <f>31.623+40.079+51.121+31.262</f>
        <v>154.08500000000001</v>
      </c>
      <c r="AU17" s="1903">
        <f>(AT17/AP17-1)*100</f>
        <v>108.22297297297298</v>
      </c>
      <c r="AV17" s="1555">
        <f>+AV11</f>
        <v>42.418511708102244</v>
      </c>
      <c r="AX17" s="1906">
        <f>65.887+29.023+53.478</f>
        <v>148.38800000000001</v>
      </c>
      <c r="AY17" s="1903">
        <f>(AX17/AT17-1)*100</f>
        <v>-3.6973099263393649</v>
      </c>
      <c r="AZ17" s="1555">
        <f>+AZ11</f>
        <v>15.239043301941436</v>
      </c>
      <c r="BB17" s="1906">
        <f>73.913+38.211+64.732</f>
        <v>176.85599999999999</v>
      </c>
      <c r="BC17" s="1903">
        <f>(BB17/AX17-1)*100</f>
        <v>19.184839744453729</v>
      </c>
      <c r="BD17" s="1555">
        <f>+BD11</f>
        <v>22.141018011343625</v>
      </c>
      <c r="BF17" s="1907">
        <f>83.197+39.863+76.293</f>
        <v>199.35300000000001</v>
      </c>
      <c r="BG17" s="1903">
        <f>(BF17/BB17-1)*100</f>
        <v>12.720518387840961</v>
      </c>
      <c r="BH17" s="1555">
        <f>+BH11</f>
        <v>3.5747223872582667</v>
      </c>
      <c r="BJ17" s="1907">
        <f>67.161+50.654+111.631</f>
        <v>229.446</v>
      </c>
      <c r="BK17" s="1903">
        <f>(BJ17/BF17-1)*100</f>
        <v>15.095333403560506</v>
      </c>
      <c r="BL17" s="1555">
        <f>+BL11</f>
        <v>-23.530237682077715</v>
      </c>
      <c r="BN17" s="1907">
        <f>83.777+90.865+56.025</f>
        <v>230.667</v>
      </c>
      <c r="BO17" s="1903">
        <f>(BN17/BJ17-1)*100</f>
        <v>0.53215135587458828</v>
      </c>
      <c r="BP17" s="1555">
        <f>+BP11</f>
        <v>17.039143405506096</v>
      </c>
      <c r="BR17" s="1907">
        <f>108.297+47.884+96.967</f>
        <v>253.14799999999997</v>
      </c>
      <c r="BS17" s="1903">
        <f>(BR17/BN17-1)*100</f>
        <v>9.7460841819592581</v>
      </c>
      <c r="BT17" s="1555">
        <f>+BT11</f>
        <v>22.923767561725828</v>
      </c>
      <c r="BV17" s="1548">
        <f>95.267+59.414+91.205</f>
        <v>245.88599999999997</v>
      </c>
      <c r="BW17" s="1903">
        <f>(BV17/BR17-1)*100</f>
        <v>-2.8686776115157908</v>
      </c>
      <c r="BX17" s="1555">
        <f>+BX11</f>
        <v>3.7789483214309527</v>
      </c>
      <c r="BZ17" s="1906">
        <f>92.886+47.057+107.621</f>
        <v>247.56399999999996</v>
      </c>
      <c r="CA17" s="1903">
        <f>(BZ17/BV17-1)*100</f>
        <v>0.68243006921906435</v>
      </c>
      <c r="CB17" s="1555">
        <f>CB11</f>
        <v>-0.60005864997840774</v>
      </c>
      <c r="CC17" s="1555"/>
      <c r="CD17" s="1906">
        <f>75.679+34.264+105.983</f>
        <v>215.92600000000002</v>
      </c>
      <c r="CE17" s="1903">
        <f>(CD17/BZ17-1)*100</f>
        <v>-12.779725646701445</v>
      </c>
      <c r="CF17" s="1555">
        <f>CF11</f>
        <v>-5.8256441274064148</v>
      </c>
      <c r="CG17" s="1555"/>
      <c r="CH17" s="1906">
        <f>72.477+40.724+103.012</f>
        <v>216.21299999999999</v>
      </c>
      <c r="CI17" s="1903">
        <f>(CH17/CD17-1)*100</f>
        <v>0.13291590637531936</v>
      </c>
      <c r="CJ17" s="1555">
        <f>CJ11</f>
        <v>-8.1797205270574551</v>
      </c>
      <c r="CK17" s="1555"/>
      <c r="CL17" s="1906">
        <f>79.012+108.878</f>
        <v>187.89</v>
      </c>
      <c r="CM17" s="1903">
        <f>(CL17/CH17-1)*100</f>
        <v>-13.099582356287554</v>
      </c>
      <c r="CN17" s="1555">
        <f>CN11</f>
        <v>-4.2306017931999289</v>
      </c>
      <c r="CO17" s="1555"/>
      <c r="CP17" s="1906">
        <f>110.59+72.215</f>
        <v>182.80500000000001</v>
      </c>
      <c r="CQ17" s="1903">
        <f>(CP17/CL17-1)*100</f>
        <v>-2.7063707488424016</v>
      </c>
      <c r="CR17" s="1555">
        <f>CR11</f>
        <v>-0.49019357474844316</v>
      </c>
    </row>
    <row r="18" spans="1:96">
      <c r="A18" s="22" t="str">
        <f>$A$12</f>
        <v>3Q</v>
      </c>
      <c r="B18" s="22" t="str">
        <f>$B$12</f>
        <v>Oct</v>
      </c>
      <c r="D18" s="1906">
        <f>2.319+2.181</f>
        <v>4.5</v>
      </c>
      <c r="E18" s="1909"/>
      <c r="F18" s="1906">
        <f>3.564+3.452</f>
        <v>7.016</v>
      </c>
      <c r="G18" s="1903">
        <f>(F18/D18-1)*100</f>
        <v>55.911111111111111</v>
      </c>
      <c r="H18" s="1555">
        <f>H$12</f>
        <v>48.304996889902554</v>
      </c>
      <c r="I18" s="1904"/>
      <c r="J18" s="1906">
        <f>3.109+5.204</f>
        <v>8.3129999999999988</v>
      </c>
      <c r="K18" s="1903">
        <f>(J18/F18-1)*100</f>
        <v>18.486316989737727</v>
      </c>
      <c r="L18" s="1555">
        <f>L$12</f>
        <v>53.241760162175389</v>
      </c>
      <c r="M18" s="1904"/>
      <c r="N18" s="1906">
        <f>2.433+6</f>
        <v>8.4329999999999998</v>
      </c>
      <c r="O18" s="1903">
        <f>(N18/J18-1)*100</f>
        <v>1.4435221941537568</v>
      </c>
      <c r="P18" s="1555">
        <f>P$12</f>
        <v>69.368670741720635</v>
      </c>
      <c r="Q18" s="1904"/>
      <c r="R18" s="1906">
        <f>2.675+0.693</f>
        <v>3.3679999999999999</v>
      </c>
      <c r="S18" s="1903">
        <f>(R18/N18-1)*100</f>
        <v>-60.061662516304992</v>
      </c>
      <c r="T18" s="1555">
        <f>T$12</f>
        <v>53.464946537746783</v>
      </c>
      <c r="U18" s="1904"/>
      <c r="V18" s="1906">
        <f>4+1.6</f>
        <v>5.6</v>
      </c>
      <c r="W18" s="1903">
        <f>(V18/R18-1)*100</f>
        <v>66.270783847980994</v>
      </c>
      <c r="X18" s="1555">
        <f>X$12</f>
        <v>24.828887328887326</v>
      </c>
      <c r="Z18" s="1906">
        <f>14.596+13.845+2.96</f>
        <v>31.401000000000003</v>
      </c>
      <c r="AA18" s="1903">
        <f>(Z18/V18-1)*100</f>
        <v>460.73214285714295</v>
      </c>
      <c r="AB18" s="1555">
        <f>$AB12</f>
        <v>27.982144740079452</v>
      </c>
      <c r="AD18" s="1906">
        <f>26.439+23.968+14.396</f>
        <v>64.802999999999997</v>
      </c>
      <c r="AE18" s="1903">
        <f>(AD18/Z18-1)*100</f>
        <v>106.37240852202154</v>
      </c>
      <c r="AF18" s="1555">
        <f>$AF12</f>
        <v>-2.6499360104580316</v>
      </c>
      <c r="AH18" s="1906">
        <f>11.433+24.004+19.86</f>
        <v>55.296999999999997</v>
      </c>
      <c r="AI18" s="1903">
        <f>(AH18/AD18-1)*100</f>
        <v>-14.669073962625189</v>
      </c>
      <c r="AJ18" s="1555">
        <f>$AJ12</f>
        <v>18.296456993903632</v>
      </c>
      <c r="AL18" s="1906">
        <f>4.597+28.99+23.246</f>
        <v>56.832999999999998</v>
      </c>
      <c r="AM18" s="1903">
        <f>(AL18/AH18-1)*100</f>
        <v>2.7777275439897275</v>
      </c>
      <c r="AN18" s="1555">
        <f>+AN12</f>
        <v>6.116915357630881</v>
      </c>
      <c r="AP18" s="1906">
        <f>20.027+35.432+28.531</f>
        <v>83.990000000000009</v>
      </c>
      <c r="AQ18" s="1903">
        <f>(AP18/AL18-1)*100</f>
        <v>47.783857969841478</v>
      </c>
      <c r="AR18" s="1555">
        <f>+AR12</f>
        <v>17.022151607154502</v>
      </c>
      <c r="AT18" s="1906">
        <f>29.633+40.8+34.696+34.357</f>
        <v>139.48599999999999</v>
      </c>
      <c r="AU18" s="1903">
        <f>(AT18/AP18-1)*100</f>
        <v>66.074532682462177</v>
      </c>
      <c r="AV18" s="1555">
        <f>+AV12</f>
        <v>35.372673431606749</v>
      </c>
      <c r="AX18" s="1906">
        <f>59.495+29.692+60.716</f>
        <v>149.90299999999999</v>
      </c>
      <c r="AY18" s="1903">
        <f>(AX18/AT18-1)*100</f>
        <v>7.4681330025952342</v>
      </c>
      <c r="AZ18" s="1555">
        <f>+AZ12</f>
        <v>22.489140580890265</v>
      </c>
      <c r="BB18" s="1906">
        <f>65.282+35.369+73.293</f>
        <v>173.94400000000002</v>
      </c>
      <c r="BC18" s="1903">
        <f>(BB18/AX18-1)*100</f>
        <v>16.037704382167163</v>
      </c>
      <c r="BD18" s="1555">
        <f>+BD12</f>
        <v>12.795443385125683</v>
      </c>
      <c r="BF18" s="1907">
        <f>57.119+38.238+97.836</f>
        <v>193.19299999999998</v>
      </c>
      <c r="BG18" s="1903">
        <f>(BF18/BB18-1)*100</f>
        <v>11.066205215471637</v>
      </c>
      <c r="BH18" s="1555">
        <f>+BH12</f>
        <v>-9.355805858737277</v>
      </c>
      <c r="BJ18" s="1907">
        <f>73.994+82.034+108.624</f>
        <v>264.65200000000004</v>
      </c>
      <c r="BK18" s="1903">
        <f>(BJ18/BF18-1)*100</f>
        <v>36.988400200835471</v>
      </c>
      <c r="BL18" s="1555">
        <f>+BL12</f>
        <v>-14.626800073854994</v>
      </c>
      <c r="BN18" s="1907">
        <f>82.264+69.943+83.849</f>
        <v>236.05599999999998</v>
      </c>
      <c r="BO18" s="1903">
        <f>(BN18/BJ18-1)*100</f>
        <v>-10.805132778138859</v>
      </c>
      <c r="BP18" s="1555">
        <f>+BP12</f>
        <v>17.526443443140629</v>
      </c>
      <c r="BR18" s="1907">
        <f>89.622+55.059+86.518</f>
        <v>231.19899999999998</v>
      </c>
      <c r="BS18" s="1903">
        <f>(BR18/BN18-1)*100</f>
        <v>-2.0575626122614987</v>
      </c>
      <c r="BT18" s="1555">
        <f>+BT12</f>
        <v>21.458875700231882</v>
      </c>
      <c r="BV18" s="1548">
        <f>91.412+47.645+81.632</f>
        <v>220.68900000000002</v>
      </c>
      <c r="BW18" s="1903">
        <f>(BV18/BR18-1)*100</f>
        <v>-4.5458674129213232</v>
      </c>
      <c r="BX18" s="1555">
        <f>+BX12</f>
        <v>8.7179882809595313</v>
      </c>
      <c r="BZ18" s="1906">
        <f>86.726+56.699+116.714</f>
        <v>260.13900000000001</v>
      </c>
      <c r="CA18" s="1903">
        <f>(BZ18/BV18-1)*100</f>
        <v>17.875834318883133</v>
      </c>
      <c r="CB18" s="1555">
        <f>CB12</f>
        <v>-11.657856331258355</v>
      </c>
      <c r="CC18" s="1555"/>
      <c r="CD18" s="1906">
        <f>65.083+17.543+116.16</f>
        <v>198.786</v>
      </c>
      <c r="CE18" s="1903">
        <f>(CD18/BZ18-1)*100</f>
        <v>-23.584698949407823</v>
      </c>
      <c r="CF18" s="1555">
        <f>CF12</f>
        <v>-11.79142798799565</v>
      </c>
      <c r="CG18" s="1555"/>
      <c r="CH18" s="1906">
        <f>62.132+34.344+109.527</f>
        <v>206.00299999999999</v>
      </c>
      <c r="CI18" s="1903">
        <f>(CH18/CD18-1)*100</f>
        <v>3.6305373617860237</v>
      </c>
      <c r="CJ18" s="1555">
        <f>CJ12</f>
        <v>-3.6075365378137936</v>
      </c>
      <c r="CK18" s="1555"/>
      <c r="CL18" s="1906">
        <f>71.235+93.17</f>
        <v>164.405</v>
      </c>
      <c r="CM18" s="1903">
        <f>(CL18/CH18-1)*100</f>
        <v>-20.192909811993019</v>
      </c>
      <c r="CN18" s="1555">
        <f>CN12</f>
        <v>-6.4693616459436392</v>
      </c>
      <c r="CO18" s="1555"/>
      <c r="CP18" s="1906">
        <f>78.554+68.903</f>
        <v>147.45699999999999</v>
      </c>
      <c r="CQ18" s="1903">
        <f>(CP18/CL18-1)*100</f>
        <v>-10.308688908488184</v>
      </c>
      <c r="CR18" s="1555">
        <f>CR12</f>
        <v>4.5486739017735589</v>
      </c>
    </row>
    <row r="19" spans="1:96">
      <c r="A19" s="22" t="str">
        <f>$A$13</f>
        <v>4Q</v>
      </c>
      <c r="B19" s="22" t="str">
        <f>$B$13</f>
        <v>Jan</v>
      </c>
      <c r="D19" s="1906">
        <f>3.632+2.331</f>
        <v>5.9630000000000001</v>
      </c>
      <c r="E19" s="1909"/>
      <c r="F19" s="1906">
        <f>3.617+3.977</f>
        <v>7.5939999999999994</v>
      </c>
      <c r="G19" s="1903">
        <f>(F19/D19-1)*100</f>
        <v>27.35200402481972</v>
      </c>
      <c r="H19" s="1555">
        <f>H$13</f>
        <v>42.932760126284663</v>
      </c>
      <c r="I19" s="1904"/>
      <c r="J19" s="1906">
        <f>2.102+5.888</f>
        <v>7.99</v>
      </c>
      <c r="K19" s="1903">
        <f>(J19/F19-1)*100</f>
        <v>5.2146431393205184</v>
      </c>
      <c r="L19" s="1555">
        <f>L$13</f>
        <v>30.867922400180483</v>
      </c>
      <c r="M19" s="1904"/>
      <c r="N19" s="1906">
        <f>1.695+6.885</f>
        <v>8.58</v>
      </c>
      <c r="O19" s="1903">
        <f>(N19/J19-1)*100</f>
        <v>7.3842302878598165</v>
      </c>
      <c r="P19" s="1555">
        <f>P$13</f>
        <v>52.366895779017916</v>
      </c>
      <c r="Q19" s="1904"/>
      <c r="R19" s="1906">
        <f>4.101+0.691</f>
        <v>4.7919999999999998</v>
      </c>
      <c r="S19" s="1903">
        <f>(R19/N19-1)*100</f>
        <v>-44.149184149184151</v>
      </c>
      <c r="T19" s="1555">
        <f>T$13</f>
        <v>41.452779938249762</v>
      </c>
      <c r="U19" s="1904"/>
      <c r="V19" s="1906">
        <f>11.447+8.325</f>
        <v>19.771999999999998</v>
      </c>
      <c r="W19" s="1903">
        <f>(V19/R19-1)*100</f>
        <v>312.60434056761267</v>
      </c>
      <c r="X19" s="1555">
        <f>X$13</f>
        <v>21.196994184980934</v>
      </c>
      <c r="Z19" s="1906">
        <f>15.829+11.338</f>
        <v>27.167000000000002</v>
      </c>
      <c r="AA19" s="1903">
        <f>(Z19/V19-1)*100</f>
        <v>37.401375682783744</v>
      </c>
      <c r="AB19" s="1555">
        <f>$AB13</f>
        <v>20.828223726539342</v>
      </c>
      <c r="AD19" s="1906">
        <f>20.456+71.22+21.524+15.455</f>
        <v>128.655</v>
      </c>
      <c r="AE19" s="1903">
        <f>(AD19/Z19-1)*100</f>
        <v>373.57087643096401</v>
      </c>
      <c r="AF19" s="1555">
        <f>$AF13</f>
        <v>6.1757444048743393</v>
      </c>
      <c r="AH19" s="1906">
        <f>10.462+25.671+19.77</f>
        <v>55.902999999999992</v>
      </c>
      <c r="AI19" s="1903">
        <f>(AH19/AD19-1)*100</f>
        <v>-56.548132602697144</v>
      </c>
      <c r="AJ19" s="1555">
        <f>$AJ13</f>
        <v>14.552149237864986</v>
      </c>
      <c r="AL19" s="1906">
        <f>7.197+29.993+23.689</f>
        <v>60.878999999999998</v>
      </c>
      <c r="AM19" s="1903">
        <f>(AL19/AH19-1)*100</f>
        <v>8.9011323184802436</v>
      </c>
      <c r="AN19" s="1555">
        <f>+AN13</f>
        <v>4.8471230088197537</v>
      </c>
      <c r="AP19" s="1906">
        <f>26.127+36.536+28.048</f>
        <v>90.710999999999999</v>
      </c>
      <c r="AQ19" s="1903">
        <f>(AP19/AL19-1)*100</f>
        <v>49.002118957275911</v>
      </c>
      <c r="AR19" s="1555">
        <f>+AR13</f>
        <v>22.638738447756836</v>
      </c>
      <c r="AT19" s="1906">
        <f>41.855+29.654+51.185</f>
        <v>122.694</v>
      </c>
      <c r="AU19" s="1903">
        <f>(AT19/AP19-1)*100</f>
        <v>35.258127459734759</v>
      </c>
      <c r="AV19" s="1555">
        <f>+AV13</f>
        <v>39.888891152325058</v>
      </c>
      <c r="AX19" s="1906">
        <f>43.24+33.17+58.469</f>
        <v>134.87899999999999</v>
      </c>
      <c r="AY19" s="1903">
        <f>(AX19/AT19-1)*100</f>
        <v>9.9312109801620085</v>
      </c>
      <c r="AZ19" s="1555">
        <f>+AZ13</f>
        <v>18.447313894852456</v>
      </c>
      <c r="BB19" s="1906">
        <f>53.801+36.128+68.643</f>
        <v>158.572</v>
      </c>
      <c r="BC19" s="1903">
        <f>(BB19/AX19-1)*100</f>
        <v>17.566114814018508</v>
      </c>
      <c r="BD19" s="1555">
        <f>+BD13</f>
        <v>7.923297881962843</v>
      </c>
      <c r="BF19" s="1907">
        <f>53.11+43.408+93.763</f>
        <v>190.28100000000001</v>
      </c>
      <c r="BG19" s="1903">
        <f>(BF19/BB19-1)*100</f>
        <v>19.996594606866292</v>
      </c>
      <c r="BH19" s="1555">
        <f>+BH13</f>
        <v>-20.192535369077667</v>
      </c>
      <c r="BJ19" s="1907">
        <f>90.865+44.57+77.297</f>
        <v>212.732</v>
      </c>
      <c r="BK19" s="1903">
        <f>(BJ19/BF19-1)*100</f>
        <v>11.798865887818533</v>
      </c>
      <c r="BL19" s="1555">
        <f>+BL13</f>
        <v>-4.5694931429055003</v>
      </c>
      <c r="BN19" s="1907">
        <f>81.264+60.405+79.389</f>
        <v>221.05799999999999</v>
      </c>
      <c r="BO19" s="1903">
        <f>(BN19/BJ19-1)*100</f>
        <v>3.9138446496060686</v>
      </c>
      <c r="BP19" s="1555">
        <f>+BP13</f>
        <v>22.79989871697483</v>
      </c>
      <c r="BR19" s="1907">
        <f>97.325+72.147+83.438</f>
        <v>252.91000000000003</v>
      </c>
      <c r="BS19" s="1903">
        <f>(BR19/BN19-1)*100</f>
        <v>14.408888165096956</v>
      </c>
      <c r="BT19" s="1555">
        <f>+BT13</f>
        <v>15.605500628156022</v>
      </c>
      <c r="BV19" s="1906">
        <f>99.622+32.558+105.177</f>
        <v>237.35700000000003</v>
      </c>
      <c r="BW19" s="1903">
        <f>(BV19/BR19-1)*100</f>
        <v>-6.1496184413427635</v>
      </c>
      <c r="BX19" s="1555">
        <f>+BX13</f>
        <v>10.518488972843198</v>
      </c>
      <c r="BZ19" s="1906">
        <f>67.965+21.835+100.458</f>
        <v>190.25800000000001</v>
      </c>
      <c r="CA19" s="1903">
        <f>(BZ19/BV19-1)*100</f>
        <v>-19.84310553301567</v>
      </c>
      <c r="CB19" s="1555">
        <f>CB13</f>
        <v>-11.534928442096215</v>
      </c>
      <c r="CC19" s="1555"/>
      <c r="CD19" s="1906">
        <f>52.91+13.986+116.574</f>
        <v>183.47</v>
      </c>
      <c r="CE19" s="1903">
        <f>(CD19/BZ19-1)*100</f>
        <v>-3.5677868998938322</v>
      </c>
      <c r="CF19" s="1555">
        <f>CF13</f>
        <v>-13.82402317846385</v>
      </c>
      <c r="CG19" s="1555"/>
      <c r="CH19" s="1906">
        <f>56.868+96.833</f>
        <v>153.70099999999999</v>
      </c>
      <c r="CI19" s="1903">
        <f>(CH19/CD19-1)*100</f>
        <v>-16.225540960374996</v>
      </c>
      <c r="CJ19" s="1555">
        <f>CJ13</f>
        <v>-0.59077624461387757</v>
      </c>
      <c r="CK19" s="1555"/>
      <c r="CL19" s="1906">
        <f>93.384+98.932</f>
        <v>192.316</v>
      </c>
      <c r="CM19" s="1903">
        <f>(CL19/CH19-1)*100</f>
        <v>25.123453978829026</v>
      </c>
      <c r="CN19" s="1555">
        <f>CN13</f>
        <v>-6.8797678200785306</v>
      </c>
      <c r="CO19" s="1555"/>
      <c r="CP19" s="1906">
        <f>79.7254+84.863</f>
        <v>164.58839999999998</v>
      </c>
      <c r="CQ19" s="1903">
        <f>(CP19/CL19-1)*100</f>
        <v>-14.417729154100556</v>
      </c>
      <c r="CR19" s="1555">
        <f>CR13</f>
        <v>15.129351395215762</v>
      </c>
    </row>
    <row r="20" spans="1:96">
      <c r="BF20" s="252"/>
      <c r="BJ20" s="252"/>
      <c r="BN20" s="252"/>
      <c r="BR20" s="252"/>
      <c r="BZ20" s="1906"/>
    </row>
    <row r="21" spans="1:96">
      <c r="A21" s="1898" t="s">
        <v>266</v>
      </c>
      <c r="B21" s="366"/>
      <c r="F21" s="97"/>
      <c r="G21" s="97"/>
      <c r="H21" s="97"/>
      <c r="I21" s="97"/>
      <c r="J21" s="97"/>
      <c r="K21" s="97"/>
      <c r="L21" s="97"/>
      <c r="M21" s="97"/>
      <c r="N21" s="1902"/>
      <c r="O21" s="97"/>
      <c r="P21" s="97"/>
      <c r="Q21" s="97"/>
      <c r="R21" s="97"/>
      <c r="S21" s="97"/>
      <c r="T21" s="97"/>
      <c r="U21" s="97"/>
      <c r="V21" s="97"/>
      <c r="W21" s="97"/>
      <c r="X21" s="97"/>
      <c r="Z21" s="97"/>
      <c r="AA21" s="97"/>
      <c r="AB21" s="97"/>
      <c r="AD21" s="97"/>
      <c r="AE21" s="97"/>
      <c r="AF21" s="97"/>
      <c r="AH21" s="97"/>
      <c r="AI21" s="97"/>
      <c r="AJ21" s="97"/>
      <c r="AL21" s="97"/>
      <c r="AM21" s="97"/>
      <c r="AN21" s="97"/>
      <c r="AP21" s="97"/>
      <c r="AQ21" s="97"/>
      <c r="AR21" s="97"/>
      <c r="AT21" s="97"/>
      <c r="AU21" s="97"/>
      <c r="AV21" s="97"/>
      <c r="AX21" s="97"/>
      <c r="AY21" s="97"/>
      <c r="AZ21" s="97"/>
      <c r="BB21" s="97"/>
      <c r="BC21" s="97"/>
      <c r="BD21" s="97"/>
      <c r="BF21" s="1646"/>
      <c r="BG21" s="97"/>
      <c r="BH21" s="97"/>
      <c r="BJ21" s="1646"/>
      <c r="BK21" s="97"/>
      <c r="BL21" s="97"/>
      <c r="BN21" s="1646"/>
      <c r="BO21" s="97"/>
      <c r="BP21" s="97"/>
      <c r="BR21" s="1646"/>
      <c r="BS21" s="97"/>
      <c r="BT21" s="97"/>
      <c r="BV21" s="97"/>
      <c r="BW21" s="97"/>
      <c r="BX21" s="97"/>
      <c r="BZ21" s="1906"/>
    </row>
    <row r="22" spans="1:96">
      <c r="A22" s="22" t="str">
        <f>$A$10</f>
        <v>1Q</v>
      </c>
      <c r="B22" s="22" t="str">
        <f>$B$10</f>
        <v>Apr</v>
      </c>
      <c r="D22" s="1853">
        <v>3.87</v>
      </c>
      <c r="F22" s="1853">
        <v>3.972</v>
      </c>
      <c r="G22" s="1903">
        <f>(F22/D22-1)*100</f>
        <v>2.635658914728678</v>
      </c>
      <c r="H22" s="1555">
        <f>H$10</f>
        <v>42.642847984956632</v>
      </c>
      <c r="I22" s="1904"/>
      <c r="J22" s="1853">
        <v>3.972</v>
      </c>
      <c r="K22" s="1903">
        <f>(J22/F22-1)*100</f>
        <v>0</v>
      </c>
      <c r="L22" s="1555">
        <f>L$10</f>
        <v>52.859753722623367</v>
      </c>
      <c r="M22" s="1904"/>
      <c r="N22" s="1853">
        <v>7.2590000000000003</v>
      </c>
      <c r="O22" s="1903">
        <f>(N22/J22-1)*100</f>
        <v>82.754279959718048</v>
      </c>
      <c r="P22" s="1555">
        <f>P$10</f>
        <v>45.660525284202279</v>
      </c>
      <c r="Q22" s="1904"/>
      <c r="R22" s="1853">
        <v>12.615</v>
      </c>
      <c r="S22" s="1903">
        <f>(R22/N22-1)*100</f>
        <v>73.784267805482841</v>
      </c>
      <c r="T22" s="1555">
        <f>T$10</f>
        <v>77.813660584530922</v>
      </c>
      <c r="U22" s="1904"/>
      <c r="V22" s="1853">
        <v>24.975000000000001</v>
      </c>
      <c r="W22" s="1903">
        <f>(V22/R22-1)*100</f>
        <v>97.978596908442327</v>
      </c>
      <c r="X22" s="1555">
        <f>X$10</f>
        <v>41.078671752028086</v>
      </c>
      <c r="Z22" s="1853">
        <v>19.765000000000001</v>
      </c>
      <c r="AA22" s="1903">
        <f>(Z22/V22-1)*100</f>
        <v>-20.860860860860864</v>
      </c>
      <c r="AB22" s="1555">
        <f>$AB16</f>
        <v>9.9658311296110682</v>
      </c>
      <c r="AD22" s="1853">
        <v>23.904</v>
      </c>
      <c r="AE22" s="1903">
        <f>(AD22/Z22-1)*100</f>
        <v>20.941057424740706</v>
      </c>
      <c r="AF22" s="1555">
        <f>$AF16</f>
        <v>28.620625737783278</v>
      </c>
      <c r="AH22" s="1853">
        <v>29.666</v>
      </c>
      <c r="AI22" s="1903">
        <f>(AH22/AD22-1)*100</f>
        <v>24.104752342704149</v>
      </c>
      <c r="AJ22" s="1555">
        <f>$AJ16</f>
        <v>18.62560679611649</v>
      </c>
      <c r="AL22" s="1853">
        <v>40.534999999999997</v>
      </c>
      <c r="AM22" s="1903">
        <f>(AL22/AH22-1)*100</f>
        <v>36.637901975325285</v>
      </c>
      <c r="AN22" s="1555">
        <f>+AN16</f>
        <v>10.84746412951738</v>
      </c>
      <c r="AP22" s="1853">
        <v>67.763999999999996</v>
      </c>
      <c r="AQ22" s="1903">
        <f>(AP22/AL22-1)*100</f>
        <v>67.174047119773036</v>
      </c>
      <c r="AR22" s="1555">
        <f>+AR16</f>
        <v>18.806998113762631</v>
      </c>
      <c r="AT22" s="1853">
        <f>129.982</f>
        <v>129.982</v>
      </c>
      <c r="AU22" s="1903">
        <f>(AT22/AP22-1)*100</f>
        <v>91.815713358125265</v>
      </c>
      <c r="AV22" s="1555">
        <f>+AV16</f>
        <v>32.743427281334192</v>
      </c>
      <c r="AX22" s="1853">
        <v>125.501</v>
      </c>
      <c r="AY22" s="1903">
        <f>(AX22/AT22-1)*100</f>
        <v>-3.4474004092874377</v>
      </c>
      <c r="AZ22" s="1555">
        <f>+AZ16</f>
        <v>20.200983888370729</v>
      </c>
      <c r="BB22" s="1853">
        <v>111.831</v>
      </c>
      <c r="BC22" s="1903">
        <f>(BB22/AX22-1)*100</f>
        <v>-10.892343487302892</v>
      </c>
      <c r="BD22" s="1555">
        <f>+BD16</f>
        <v>12.953408867879457</v>
      </c>
      <c r="BF22" s="1905">
        <v>161.12299999999999</v>
      </c>
      <c r="BG22" s="1903">
        <f>(BF22/BB22-1)*100</f>
        <v>44.077223667855961</v>
      </c>
      <c r="BH22" s="1555">
        <f>+BH16</f>
        <v>6.0248380275050195</v>
      </c>
      <c r="BJ22" s="1905">
        <v>105.346</v>
      </c>
      <c r="BK22" s="1903">
        <f>(BJ22/BF22-1)*100</f>
        <v>-34.617652352550529</v>
      </c>
      <c r="BL22" s="1555">
        <f>+BL16</f>
        <v>-23.554924860793324</v>
      </c>
      <c r="BN22" s="1905">
        <v>148.43899999999999</v>
      </c>
      <c r="BO22" s="1903">
        <f>(BN22/BJ22-1)*100</f>
        <v>40.906156854555455</v>
      </c>
      <c r="BP22" s="1555">
        <f>+BP16</f>
        <v>14.304612209150624</v>
      </c>
      <c r="BR22" s="1905">
        <v>151.428</v>
      </c>
      <c r="BS22" s="1903">
        <f>(BR22/BN22-1)*100</f>
        <v>2.0136217570854154</v>
      </c>
      <c r="BT22" s="1555">
        <f>+BT16</f>
        <v>21.644247489110271</v>
      </c>
      <c r="BV22" s="1905">
        <v>160.203</v>
      </c>
      <c r="BW22" s="1903">
        <f>(BV22/BR22-1)*100</f>
        <v>5.7948331880497639</v>
      </c>
      <c r="BX22" s="1555">
        <f>+BX16</f>
        <v>10.104771990046292</v>
      </c>
      <c r="BZ22" s="1544">
        <v>146.24199999999999</v>
      </c>
      <c r="CA22" s="1903">
        <f>(BZ22/BV22-1)*100</f>
        <v>-8.7145683913534828</v>
      </c>
      <c r="CB22" s="1555">
        <f>CB16</f>
        <v>-8.9499988059286721</v>
      </c>
      <c r="CC22" s="1555"/>
      <c r="CD22" s="1544">
        <v>122.075</v>
      </c>
      <c r="CE22" s="1903">
        <f>(CD22/BZ22-1)*100</f>
        <v>-16.525348395125881</v>
      </c>
      <c r="CF22" s="1555">
        <f>CF16</f>
        <v>-1.9482122014523706</v>
      </c>
      <c r="CG22" s="1555"/>
      <c r="CH22" s="1544">
        <v>122.75700000000001</v>
      </c>
      <c r="CI22" s="1903">
        <f>(CH22/CD22-1)*100</f>
        <v>0.55867294695883807</v>
      </c>
      <c r="CJ22" s="1555">
        <f>CJ16</f>
        <v>-13.740534125783654</v>
      </c>
      <c r="CK22" s="1555"/>
      <c r="CL22" s="1544">
        <v>157.024</v>
      </c>
      <c r="CM22" s="1903">
        <f>(CL22/CH22-1)*100</f>
        <v>27.914497747582612</v>
      </c>
      <c r="CN22" s="1555">
        <f>CN16</f>
        <v>-3.3744372179041693</v>
      </c>
      <c r="CO22" s="1555"/>
      <c r="CP22" s="1544">
        <v>147.53100000000001</v>
      </c>
      <c r="CQ22" s="1903">
        <f>(CP22/CL22-1)*100</f>
        <v>-6.0455726513144459</v>
      </c>
      <c r="CR22" s="1555">
        <f>CR16</f>
        <v>-3.5571998138538619</v>
      </c>
    </row>
    <row r="23" spans="1:96">
      <c r="A23" s="22" t="str">
        <f>$A$11</f>
        <v>2Q</v>
      </c>
      <c r="B23" s="22" t="str">
        <f>$B$11</f>
        <v>Jul</v>
      </c>
      <c r="D23" s="1906">
        <v>4.1440000000000001</v>
      </c>
      <c r="E23" s="1904"/>
      <c r="F23" s="1906">
        <v>8.8119999999999994</v>
      </c>
      <c r="G23" s="1903">
        <f>(F23/D23-1)*100</f>
        <v>112.64478764478763</v>
      </c>
      <c r="H23" s="1555">
        <f>H$11</f>
        <v>33.131347908417965</v>
      </c>
      <c r="I23" s="1904"/>
      <c r="J23" s="1906">
        <v>8.8119999999999994</v>
      </c>
      <c r="K23" s="1903">
        <f>(J23/F23-1)*100</f>
        <v>0</v>
      </c>
      <c r="L23" s="1555">
        <f>L$11</f>
        <v>48.52332678183511</v>
      </c>
      <c r="M23" s="1904"/>
      <c r="N23" s="1906">
        <v>11.606</v>
      </c>
      <c r="O23" s="1903">
        <f>(N23/J23-1)*100</f>
        <v>31.70676350431232</v>
      </c>
      <c r="P23" s="1555">
        <f>P$11</f>
        <v>50.859292019989219</v>
      </c>
      <c r="Q23" s="1904"/>
      <c r="R23" s="1906">
        <v>36.085000000000001</v>
      </c>
      <c r="S23" s="1903">
        <f>(R23/N23-1)*100</f>
        <v>210.91676718938479</v>
      </c>
      <c r="T23" s="1555">
        <f>T$11</f>
        <v>67.394967682363813</v>
      </c>
      <c r="U23" s="1904"/>
      <c r="V23" s="1906">
        <v>40.917999999999999</v>
      </c>
      <c r="W23" s="1903">
        <f>(V23/R23-1)*100</f>
        <v>13.393376749341822</v>
      </c>
      <c r="X23" s="1555">
        <f>X$11</f>
        <v>35.300039301942341</v>
      </c>
      <c r="Z23" s="1906">
        <v>51.652999999999999</v>
      </c>
      <c r="AA23" s="1903">
        <f>(Z23/V23-1)*100</f>
        <v>26.235397624517319</v>
      </c>
      <c r="AB23" s="1555">
        <f>$AB17</f>
        <v>16.717373246291277</v>
      </c>
      <c r="AD23" s="1906">
        <v>46.595999999999997</v>
      </c>
      <c r="AE23" s="1903">
        <f>(AD23/Z23-1)*100</f>
        <v>-9.7903316361102064</v>
      </c>
      <c r="AF23" s="1555">
        <f>$AF17</f>
        <v>22.304840829407357</v>
      </c>
      <c r="AH23" s="1906">
        <v>58.506</v>
      </c>
      <c r="AI23" s="1903">
        <f>(AH23/AD23-1)*100</f>
        <v>25.560133917074435</v>
      </c>
      <c r="AJ23" s="1555">
        <f>$AJ17</f>
        <v>17.506318810778399</v>
      </c>
      <c r="AL23" s="1906">
        <v>79.745999999999995</v>
      </c>
      <c r="AM23" s="1903">
        <f>(AL23/AH23-1)*100</f>
        <v>36.303968823710385</v>
      </c>
      <c r="AN23" s="1555">
        <f>+AN17</f>
        <v>8.0706903151716247</v>
      </c>
      <c r="AP23" s="1906">
        <v>137.429</v>
      </c>
      <c r="AQ23" s="1903">
        <f>(AP23/AL23-1)*100</f>
        <v>72.333408572216797</v>
      </c>
      <c r="AR23" s="1555">
        <f>+AR17</f>
        <v>12.826697477503313</v>
      </c>
      <c r="AT23" s="1906">
        <f>180.625</f>
        <v>180.625</v>
      </c>
      <c r="AU23" s="1903">
        <f>(AT23/AP23-1)*100</f>
        <v>31.431502812361288</v>
      </c>
      <c r="AV23" s="1555">
        <f>+AV17</f>
        <v>42.418511708102244</v>
      </c>
      <c r="AX23" s="1906">
        <v>194.047</v>
      </c>
      <c r="AY23" s="1903">
        <f>(AX23/AT23-1)*100</f>
        <v>7.4308650519031128</v>
      </c>
      <c r="AZ23" s="1555">
        <f>+AZ17</f>
        <v>15.239043301941436</v>
      </c>
      <c r="BB23" s="1906">
        <v>140.239</v>
      </c>
      <c r="BC23" s="1903">
        <f>(BB23/AX23-1)*100</f>
        <v>-27.729364535396062</v>
      </c>
      <c r="BD23" s="1555">
        <f>+BD17</f>
        <v>22.141018011343625</v>
      </c>
      <c r="BF23" s="1907">
        <v>197.68199999999999</v>
      </c>
      <c r="BG23" s="1903">
        <f>(BF23/BB23-1)*100</f>
        <v>40.960788368428183</v>
      </c>
      <c r="BH23" s="1555">
        <f>+BH17</f>
        <v>3.5747223872582667</v>
      </c>
      <c r="BJ23" s="1907">
        <f>110.777+46.263</f>
        <v>157.04</v>
      </c>
      <c r="BK23" s="1903">
        <f>(BJ23/BF23-1)*100</f>
        <v>-20.559282079299081</v>
      </c>
      <c r="BL23" s="1555">
        <f>+BL17</f>
        <v>-23.530237682077715</v>
      </c>
      <c r="BN23" s="1907">
        <v>205.02500000000001</v>
      </c>
      <c r="BO23" s="1903">
        <f>(BN23/BJ23-1)*100</f>
        <v>30.555909322465613</v>
      </c>
      <c r="BP23" s="1555">
        <f>+BP17</f>
        <v>17.039143405506096</v>
      </c>
      <c r="BR23" s="1907">
        <v>221.00399999999999</v>
      </c>
      <c r="BS23" s="1903">
        <f>(BR23/BN23-1)*100</f>
        <v>7.7936836971101098</v>
      </c>
      <c r="BT23" s="1555">
        <f>+BT17</f>
        <v>22.923767561725828</v>
      </c>
      <c r="BV23" s="1548">
        <v>186.447</v>
      </c>
      <c r="BW23" s="1903">
        <f>(BV23/BR23-1)*100</f>
        <v>-15.636368572514526</v>
      </c>
      <c r="BX23" s="1555">
        <f>+BX17</f>
        <v>3.7789483214309527</v>
      </c>
      <c r="BZ23" s="1906">
        <v>195.72800000000001</v>
      </c>
      <c r="CA23" s="1903">
        <f>(BZ23/BV23-1)*100</f>
        <v>4.9778221156682623</v>
      </c>
      <c r="CB23" s="1555">
        <f>CB17</f>
        <v>-0.60005864997840774</v>
      </c>
      <c r="CC23" s="1555"/>
      <c r="CD23" s="1906">
        <v>160.28</v>
      </c>
      <c r="CE23" s="1903">
        <f>(CD23/BZ23-1)*100</f>
        <v>-18.110847707021993</v>
      </c>
      <c r="CF23" s="1555">
        <f>CF17</f>
        <v>-5.8256441274064148</v>
      </c>
      <c r="CG23" s="1555"/>
      <c r="CH23" s="1906">
        <v>199.41200000000001</v>
      </c>
      <c r="CI23" s="1903">
        <f>(CH23/CD23-1)*100</f>
        <v>24.414774145245822</v>
      </c>
      <c r="CJ23" s="1555">
        <f>CJ17</f>
        <v>-8.1797205270574551</v>
      </c>
      <c r="CK23" s="1555"/>
      <c r="CL23" s="1906">
        <v>180.834</v>
      </c>
      <c r="CM23" s="1903">
        <f>(CL23/CH23-1)*100</f>
        <v>-9.3163901871502262</v>
      </c>
      <c r="CN23" s="1555">
        <f>CN17</f>
        <v>-4.2306017931999289</v>
      </c>
      <c r="CO23" s="1555"/>
      <c r="CP23" s="1906">
        <v>208.43199999999999</v>
      </c>
      <c r="CQ23" s="1903">
        <f>(CP23/CL23-1)*100</f>
        <v>15.26151055664311</v>
      </c>
      <c r="CR23" s="1555">
        <f>CR17</f>
        <v>-0.49019357474844316</v>
      </c>
    </row>
    <row r="24" spans="1:96">
      <c r="A24" s="22" t="str">
        <f>$A$12</f>
        <v>3Q</v>
      </c>
      <c r="B24" s="22" t="str">
        <f>$B$12</f>
        <v>Oct</v>
      </c>
      <c r="D24" s="1906">
        <v>4.008</v>
      </c>
      <c r="E24" s="1904"/>
      <c r="F24" s="1906">
        <v>7.44</v>
      </c>
      <c r="G24" s="1903">
        <f>(F24/D24-1)*100</f>
        <v>85.628742514970085</v>
      </c>
      <c r="H24" s="1555">
        <f>H$12</f>
        <v>48.304996889902554</v>
      </c>
      <c r="I24" s="1904"/>
      <c r="J24" s="1906">
        <v>7.44</v>
      </c>
      <c r="K24" s="1903">
        <f>(J24/F24-1)*100</f>
        <v>0</v>
      </c>
      <c r="L24" s="1555">
        <f>L$12</f>
        <v>53.241760162175389</v>
      </c>
      <c r="M24" s="1904"/>
      <c r="N24" s="1906">
        <v>15.645</v>
      </c>
      <c r="O24" s="1903">
        <f>(N24/J24-1)*100</f>
        <v>110.2822580645161</v>
      </c>
      <c r="P24" s="1555">
        <f>P$12</f>
        <v>69.368670741720635</v>
      </c>
      <c r="Q24" s="1904"/>
      <c r="R24" s="1906">
        <v>38.573999999999998</v>
      </c>
      <c r="S24" s="1903">
        <f>(R24/N24-1)*100</f>
        <v>146.5580057526366</v>
      </c>
      <c r="T24" s="1555">
        <f>T$12</f>
        <v>53.464946537746783</v>
      </c>
      <c r="U24" s="1904"/>
      <c r="V24" s="1906">
        <v>50.5</v>
      </c>
      <c r="W24" s="1903">
        <f>(V24/R24-1)*100</f>
        <v>30.917198112718424</v>
      </c>
      <c r="X24" s="1555">
        <f>X$12</f>
        <v>24.828887328887326</v>
      </c>
      <c r="Z24" s="1906">
        <v>54.765999999999998</v>
      </c>
      <c r="AA24" s="1903">
        <f>(Z24/V24-1)*100</f>
        <v>8.447524752475255</v>
      </c>
      <c r="AB24" s="1555">
        <f>$AB18</f>
        <v>27.982144740079452</v>
      </c>
      <c r="AD24" s="1906">
        <v>36.421999999999997</v>
      </c>
      <c r="AE24" s="1903">
        <f>(AD24/Z24-1)*100</f>
        <v>-33.495234269437248</v>
      </c>
      <c r="AF24" s="1555">
        <f>$AF18</f>
        <v>-2.6499360104580316</v>
      </c>
      <c r="AH24" s="1906">
        <v>67.3</v>
      </c>
      <c r="AI24" s="1903">
        <f>(AH24/AD24-1)*100</f>
        <v>84.778430618856746</v>
      </c>
      <c r="AJ24" s="1555">
        <f>$AJ18</f>
        <v>18.296456993903632</v>
      </c>
      <c r="AL24" s="1906">
        <v>106.925</v>
      </c>
      <c r="AM24" s="1903">
        <f>(AL24/AH24-1)*100</f>
        <v>58.878157503714725</v>
      </c>
      <c r="AN24" s="1555">
        <f>+AN18</f>
        <v>6.116915357630881</v>
      </c>
      <c r="AP24" s="1906">
        <v>138.74</v>
      </c>
      <c r="AQ24" s="1903">
        <f>(AP24/AL24-1)*100</f>
        <v>29.754500818330619</v>
      </c>
      <c r="AR24" s="1555">
        <f>+AR18</f>
        <v>17.022151607154502</v>
      </c>
      <c r="AT24" s="1906">
        <v>167.721</v>
      </c>
      <c r="AU24" s="1903">
        <f>(AT24/AP24-1)*100</f>
        <v>20.888712700014402</v>
      </c>
      <c r="AV24" s="1555">
        <f>+AV18</f>
        <v>35.372673431606749</v>
      </c>
      <c r="AX24" s="1906">
        <v>178.7</v>
      </c>
      <c r="AY24" s="1903">
        <f>(AX24/AT24-1)*100</f>
        <v>6.5459900668371818</v>
      </c>
      <c r="AZ24" s="1555">
        <f>+AZ18</f>
        <v>22.489140580890265</v>
      </c>
      <c r="BB24" s="1906">
        <v>197.21199999999999</v>
      </c>
      <c r="BC24" s="1903">
        <f>(BB24/AX24-1)*100</f>
        <v>10.359261331841086</v>
      </c>
      <c r="BD24" s="1555">
        <f>+BD18</f>
        <v>12.795443385125683</v>
      </c>
      <c r="BF24" s="1907">
        <v>210.59700000000001</v>
      </c>
      <c r="BG24" s="1903">
        <f>(BF24/BB24-1)*100</f>
        <v>6.7871123461047178</v>
      </c>
      <c r="BH24" s="1555">
        <f>+BH18</f>
        <v>-9.355805858737277</v>
      </c>
      <c r="BJ24" s="1907">
        <f>193.779</f>
        <v>193.779</v>
      </c>
      <c r="BK24" s="1903">
        <f>(BJ24/BF24-1)*100</f>
        <v>-7.9858687445690135</v>
      </c>
      <c r="BL24" s="1555">
        <f>+BL18</f>
        <v>-14.626800073854994</v>
      </c>
      <c r="BN24" s="1907">
        <v>202.04400000000001</v>
      </c>
      <c r="BO24" s="1903">
        <f>(BN24/BJ24-1)*100</f>
        <v>4.2651680522657331</v>
      </c>
      <c r="BP24" s="1555">
        <f>+BP18</f>
        <v>17.526443443140629</v>
      </c>
      <c r="BR24" s="1907">
        <v>281.77499999999998</v>
      </c>
      <c r="BS24" s="1903">
        <f>(BR24/BN24-1)*100</f>
        <v>39.462196353269576</v>
      </c>
      <c r="BT24" s="1555">
        <f>+BT18</f>
        <v>21.458875700231882</v>
      </c>
      <c r="BV24" s="1548">
        <v>165.39400000000001</v>
      </c>
      <c r="BW24" s="1903">
        <f>(BV24/BR24-1)*100</f>
        <v>-41.302812527726019</v>
      </c>
      <c r="BX24" s="1555">
        <f>+BX18</f>
        <v>8.7179882809595313</v>
      </c>
      <c r="BZ24" s="1906">
        <v>185.43799999999999</v>
      </c>
      <c r="CA24" s="1903">
        <f>(BZ24/BV24-1)*100</f>
        <v>12.118940227577779</v>
      </c>
      <c r="CB24" s="1555">
        <f>CB18</f>
        <v>-11.657856331258355</v>
      </c>
      <c r="CC24" s="1555"/>
      <c r="CD24" s="1906">
        <v>197.60599999999999</v>
      </c>
      <c r="CE24" s="1903">
        <f>(CD24/BZ24-1)*100</f>
        <v>6.5617618826777635</v>
      </c>
      <c r="CF24" s="1555">
        <f>CF18</f>
        <v>-11.79142798799565</v>
      </c>
      <c r="CG24" s="1555"/>
      <c r="CH24" s="1906">
        <v>303.99200000000002</v>
      </c>
      <c r="CI24" s="1903">
        <f>(CH24/CD24-1)*100</f>
        <v>53.837434086009537</v>
      </c>
      <c r="CJ24" s="1555">
        <f>CJ18</f>
        <v>-3.6075365378137936</v>
      </c>
      <c r="CK24" s="1555"/>
      <c r="CL24" s="1906">
        <v>228.88</v>
      </c>
      <c r="CM24" s="1903">
        <f>(CL24/CH24-1)*100</f>
        <v>-24.708544961709521</v>
      </c>
      <c r="CN24" s="1555">
        <f>CN18</f>
        <v>-6.4693616459436392</v>
      </c>
      <c r="CO24" s="1555"/>
      <c r="CP24" s="1906">
        <v>248.96299999999999</v>
      </c>
      <c r="CQ24" s="1903">
        <f>(CP24/CL24-1)*100</f>
        <v>8.7744669695910549</v>
      </c>
      <c r="CR24" s="1555">
        <f>CR18</f>
        <v>4.5486739017735589</v>
      </c>
    </row>
    <row r="25" spans="1:96">
      <c r="A25" s="22" t="str">
        <f>$A$13</f>
        <v>4Q</v>
      </c>
      <c r="B25" s="22" t="str">
        <f>$B$13</f>
        <v>Jan</v>
      </c>
      <c r="D25" s="1906">
        <v>4.3789999999999996</v>
      </c>
      <c r="E25" s="1904"/>
      <c r="F25" s="1500">
        <f>bal!G33</f>
        <v>4.359</v>
      </c>
      <c r="G25" s="1903">
        <f>(F25/D25-1)*100</f>
        <v>-0.45672527974421895</v>
      </c>
      <c r="H25" s="1555">
        <f>H$13</f>
        <v>42.932760126284663</v>
      </c>
      <c r="I25" s="1910"/>
      <c r="J25" s="1500">
        <v>4.359</v>
      </c>
      <c r="K25" s="1903">
        <f>(J25/F25-1)*100</f>
        <v>0</v>
      </c>
      <c r="L25" s="1555">
        <f>L$13</f>
        <v>30.867922400180483</v>
      </c>
      <c r="M25" s="1910"/>
      <c r="N25" s="1500">
        <v>15.968</v>
      </c>
      <c r="O25" s="1903">
        <f>(N25/J25-1)*100</f>
        <v>266.32255104381738</v>
      </c>
      <c r="P25" s="1555">
        <f>P$13</f>
        <v>52.366895779017916</v>
      </c>
      <c r="Q25" s="1910"/>
      <c r="R25" s="1500">
        <v>24.759</v>
      </c>
      <c r="S25" s="1903">
        <f>(R25/N25-1)*100</f>
        <v>55.053857715430851</v>
      </c>
      <c r="T25" s="1555">
        <f>T$13</f>
        <v>41.452779938249762</v>
      </c>
      <c r="U25" s="1910"/>
      <c r="V25" s="1500">
        <v>18.713999999999999</v>
      </c>
      <c r="W25" s="1903">
        <f>(V25/R25-1)*100</f>
        <v>-24.415364110020612</v>
      </c>
      <c r="X25" s="1555">
        <f>X$13</f>
        <v>21.196994184980934</v>
      </c>
      <c r="Z25" s="1500">
        <v>33.942</v>
      </c>
      <c r="AA25" s="1903">
        <f>(Z25/V25-1)*100</f>
        <v>81.372234690605978</v>
      </c>
      <c r="AB25" s="1555">
        <f>$AB19</f>
        <v>20.828223726539342</v>
      </c>
      <c r="AD25" s="1500">
        <v>31.896999999999998</v>
      </c>
      <c r="AE25" s="1903">
        <f>(AD25/Z25-1)*100</f>
        <v>-6.0249837958871062</v>
      </c>
      <c r="AF25" s="1555">
        <f>$AF19</f>
        <v>6.1757444048743393</v>
      </c>
      <c r="AH25" s="1906">
        <v>50.152999999999999</v>
      </c>
      <c r="AI25" s="1903">
        <f>(AH25/AD25-1)*100</f>
        <v>57.234222654168107</v>
      </c>
      <c r="AJ25" s="1555">
        <f>$AJ19</f>
        <v>14.552149237864986</v>
      </c>
      <c r="AL25" s="1906">
        <v>91.364000000000004</v>
      </c>
      <c r="AM25" s="1903">
        <f>(AL25/AH25-1)*100</f>
        <v>82.170558092237769</v>
      </c>
      <c r="AN25" s="1555">
        <f>+AN19</f>
        <v>4.8471230088197537</v>
      </c>
      <c r="AP25" s="1906">
        <v>137.33699999999999</v>
      </c>
      <c r="AQ25" s="1903">
        <f>(AP25/AL25-1)*100</f>
        <v>50.318506195000204</v>
      </c>
      <c r="AR25" s="1555">
        <f>+AR19</f>
        <v>22.638738447756836</v>
      </c>
      <c r="AT25" s="1906">
        <v>145.31299999999999</v>
      </c>
      <c r="AU25" s="1903">
        <f>(AT25/AP25-1)*100</f>
        <v>5.8076119326911257</v>
      </c>
      <c r="AV25" s="1555">
        <f>+AV19</f>
        <v>39.888891152325058</v>
      </c>
      <c r="AX25" s="1906">
        <v>128.31</v>
      </c>
      <c r="AY25" s="1903">
        <f>(AX25/AT25-1)*100</f>
        <v>-11.700948985981974</v>
      </c>
      <c r="AZ25" s="1555">
        <f>+AZ19</f>
        <v>18.447313894852456</v>
      </c>
      <c r="BB25" s="1906">
        <v>151.798</v>
      </c>
      <c r="BC25" s="1903">
        <f>(BB25/AX25-1)*100</f>
        <v>18.305665965240436</v>
      </c>
      <c r="BD25" s="1555">
        <f>+BD19</f>
        <v>7.923297881962843</v>
      </c>
      <c r="BF25" s="1907">
        <v>149.75299999999999</v>
      </c>
      <c r="BG25" s="1903">
        <f>(BF25/BB25-1)*100</f>
        <v>-1.3471850749021796</v>
      </c>
      <c r="BH25" s="1555">
        <f>+BH19</f>
        <v>-20.192535369077667</v>
      </c>
      <c r="BJ25" s="1907">
        <v>150.13399999999999</v>
      </c>
      <c r="BK25" s="1903">
        <f>(BJ25/BF25-1)*100</f>
        <v>0.25441894319313541</v>
      </c>
      <c r="BL25" s="1555">
        <f>+BL19</f>
        <v>-4.5694931429055003</v>
      </c>
      <c r="BN25" s="1907">
        <v>137.23500000000001</v>
      </c>
      <c r="BO25" s="1903">
        <f>(BN25/BJ25-1)*100</f>
        <v>-8.5916581187472367</v>
      </c>
      <c r="BP25" s="1555">
        <f>+BP19</f>
        <v>22.79989871697483</v>
      </c>
      <c r="BR25" s="1907">
        <v>211.36799999999999</v>
      </c>
      <c r="BS25" s="1903">
        <f>(BR25/BN25-1)*100</f>
        <v>54.019018471964131</v>
      </c>
      <c r="BT25" s="1555">
        <f>+BT19</f>
        <v>15.605500628156022</v>
      </c>
      <c r="BV25" s="1906">
        <v>140.39599999999999</v>
      </c>
      <c r="BW25" s="1903">
        <f>(BV25/BR25-1)*100</f>
        <v>-33.577457325612201</v>
      </c>
      <c r="BX25" s="1555">
        <f>+BX19</f>
        <v>10.518488972843198</v>
      </c>
      <c r="BZ25" s="1906">
        <v>130.715</v>
      </c>
      <c r="CA25" s="1903">
        <f>(BZ25/BV25-1)*100</f>
        <v>-6.89549559816518</v>
      </c>
      <c r="CB25" s="1555">
        <f>CB19</f>
        <v>-11.534928442096215</v>
      </c>
      <c r="CC25" s="1555"/>
      <c r="CD25" s="1906">
        <v>141.685</v>
      </c>
      <c r="CE25" s="1903">
        <f>(CD25/BZ25-1)*100</f>
        <v>8.3923038671919858</v>
      </c>
      <c r="CF25" s="1555">
        <f>CF19</f>
        <v>-13.82402317846385</v>
      </c>
      <c r="CG25" s="1555"/>
      <c r="CH25" s="1906">
        <v>184.17500000000001</v>
      </c>
      <c r="CI25" s="1903">
        <f>(CH25/CD25-1)*100</f>
        <v>29.989060239263154</v>
      </c>
      <c r="CJ25" s="1555">
        <f>CJ19</f>
        <v>-0.59077624461387757</v>
      </c>
      <c r="CK25" s="1555"/>
      <c r="CL25" s="1906">
        <v>187.017</v>
      </c>
      <c r="CM25" s="1903">
        <f>(CL25/CH25-1)*100</f>
        <v>1.5430975973937722</v>
      </c>
      <c r="CN25" s="1555">
        <f>CN19</f>
        <v>-6.8797678200785306</v>
      </c>
      <c r="CO25" s="1555"/>
      <c r="CP25" s="1906">
        <v>168.86799999999999</v>
      </c>
      <c r="CQ25" s="1903">
        <f>(CP25/CL25-1)*100</f>
        <v>-9.7044653694583936</v>
      </c>
      <c r="CR25" s="1555">
        <f>CR19</f>
        <v>15.129351395215762</v>
      </c>
    </row>
    <row r="26" spans="1:96">
      <c r="BF26" s="252"/>
      <c r="BJ26" s="252"/>
      <c r="BN26" s="252"/>
      <c r="BR26" s="252"/>
      <c r="BZ26" s="1906"/>
      <c r="CD26" s="1500"/>
      <c r="CH26" s="1500"/>
      <c r="CL26" s="1500"/>
    </row>
    <row r="27" spans="1:96">
      <c r="A27" s="1898" t="s">
        <v>267</v>
      </c>
      <c r="B27" s="366"/>
      <c r="F27" s="1679"/>
      <c r="G27" s="1679"/>
      <c r="H27" s="1679"/>
      <c r="I27" s="1679"/>
      <c r="J27" s="1679"/>
      <c r="K27" s="1679"/>
      <c r="L27" s="1679"/>
      <c r="M27" s="1679"/>
      <c r="N27" s="1902"/>
      <c r="O27" s="1679"/>
      <c r="P27" s="1679"/>
      <c r="Q27" s="1679"/>
      <c r="R27" s="1679"/>
      <c r="S27" s="1679"/>
      <c r="T27" s="1679"/>
      <c r="U27" s="1679"/>
      <c r="V27" s="1679"/>
      <c r="W27" s="1679"/>
      <c r="X27" s="1679"/>
      <c r="Z27" s="1679"/>
      <c r="AA27" s="1679"/>
      <c r="AB27" s="1679"/>
      <c r="AD27" s="1679"/>
      <c r="AE27" s="1679"/>
      <c r="AF27" s="1679"/>
      <c r="AH27" s="1679"/>
      <c r="AI27" s="1679"/>
      <c r="AJ27" s="1679"/>
      <c r="AL27" s="1679"/>
      <c r="AM27" s="1679"/>
      <c r="AN27" s="1679"/>
      <c r="AP27" s="1679"/>
      <c r="AQ27" s="1679"/>
      <c r="AR27" s="1679"/>
      <c r="AT27" s="1679"/>
      <c r="AU27" s="1679"/>
      <c r="AV27" s="1679"/>
      <c r="AX27" s="1679"/>
      <c r="AY27" s="1679"/>
      <c r="AZ27" s="1679"/>
      <c r="BB27" s="1679"/>
      <c r="BC27" s="1679"/>
      <c r="BD27" s="1679"/>
      <c r="BF27" s="1908"/>
      <c r="BG27" s="1679"/>
      <c r="BH27" s="1679"/>
      <c r="BJ27" s="1908"/>
      <c r="BK27" s="1679"/>
      <c r="BL27" s="1679"/>
      <c r="BN27" s="1908"/>
      <c r="BO27" s="1679"/>
      <c r="BP27" s="1679"/>
      <c r="BR27" s="1908"/>
      <c r="BS27" s="1679"/>
      <c r="BT27" s="1679"/>
      <c r="BV27" s="1679"/>
      <c r="BW27" s="1679"/>
      <c r="BX27" s="1679"/>
      <c r="BZ27" s="1906"/>
    </row>
    <row r="28" spans="1:96">
      <c r="A28" s="22" t="str">
        <f>$A$10</f>
        <v>1Q</v>
      </c>
      <c r="B28" s="22" t="str">
        <f>$B$10</f>
        <v>Apr</v>
      </c>
      <c r="D28" s="1853">
        <f>0.7031+0.4659-0.248</f>
        <v>0.92100000000000004</v>
      </c>
      <c r="E28" s="1053"/>
      <c r="F28" s="1853">
        <f>8.953+11.67-1.954</f>
        <v>18.668999999999997</v>
      </c>
      <c r="G28" s="1903">
        <f>(F28/D28-1)*100</f>
        <v>1927.0358306188921</v>
      </c>
      <c r="H28" s="1555">
        <f>H$10</f>
        <v>42.642847984956632</v>
      </c>
      <c r="I28" s="1904"/>
      <c r="J28" s="1853">
        <f>13.593+-1.008</f>
        <v>12.585000000000001</v>
      </c>
      <c r="K28" s="1903">
        <f>(J28/F28-1)*100</f>
        <v>-32.588783544914016</v>
      </c>
      <c r="L28" s="1555">
        <f>L$10</f>
        <v>52.859753722623367</v>
      </c>
      <c r="M28" s="1904"/>
      <c r="N28" s="1853">
        <f>22.831+12.339+0.249</f>
        <v>35.419000000000004</v>
      </c>
      <c r="O28" s="1903">
        <f>(N28/J28-1)*100</f>
        <v>181.43822010329757</v>
      </c>
      <c r="P28" s="1555">
        <f>P$10</f>
        <v>45.660525284202279</v>
      </c>
      <c r="Q28" s="1904"/>
      <c r="R28" s="1853">
        <v>11.593999999999999</v>
      </c>
      <c r="S28" s="1903">
        <f>(R28/N28-1)*100</f>
        <v>-67.266156582625143</v>
      </c>
      <c r="T28" s="1555">
        <f>T$10</f>
        <v>77.813660584530922</v>
      </c>
      <c r="U28" s="1904"/>
      <c r="V28" s="1853">
        <f>10.813</f>
        <v>10.813000000000001</v>
      </c>
      <c r="W28" s="1903">
        <f>(V28/R28-1)*100</f>
        <v>-6.7362428842504656</v>
      </c>
      <c r="X28" s="1555">
        <f>X$10</f>
        <v>41.078671752028086</v>
      </c>
      <c r="Z28" s="1853">
        <v>96.667000000000002</v>
      </c>
      <c r="AA28" s="1903">
        <f>(Z28/V28-1)*100</f>
        <v>793.9887172847499</v>
      </c>
      <c r="AB28" s="1555">
        <f>$AB22</f>
        <v>9.9658311296110682</v>
      </c>
      <c r="AD28" s="1853">
        <f>108.371+5.398</f>
        <v>113.76899999999999</v>
      </c>
      <c r="AE28" s="1903">
        <f>(AD28/Z28-1)*100</f>
        <v>17.691663132196076</v>
      </c>
      <c r="AF28" s="1555">
        <f>$AF22</f>
        <v>28.620625737783278</v>
      </c>
      <c r="AH28" s="1853">
        <f>120.44+10.314</f>
        <v>130.75399999999999</v>
      </c>
      <c r="AI28" s="1903">
        <f>(AH28/AD28-1)*100</f>
        <v>14.929374434160447</v>
      </c>
      <c r="AJ28" s="1555">
        <f>$AJ22</f>
        <v>18.62560679611649</v>
      </c>
      <c r="AL28" s="1853">
        <f>136.011+17.89</f>
        <v>153.90100000000001</v>
      </c>
      <c r="AM28" s="1903">
        <f>(AL28/AH28-1)*100</f>
        <v>17.702708903742923</v>
      </c>
      <c r="AN28" s="1555">
        <f>+AN22</f>
        <v>10.84746412951738</v>
      </c>
      <c r="AP28" s="1853">
        <f>182.714+27.989+4.165</f>
        <v>214.86799999999999</v>
      </c>
      <c r="AQ28" s="1903">
        <f>(AP28/AL28-1)*100</f>
        <v>39.614427456611701</v>
      </c>
      <c r="AR28" s="1555">
        <f>+AR22</f>
        <v>18.806998113762631</v>
      </c>
      <c r="AT28" s="1853">
        <f>177.182+30.331+2.351</f>
        <v>209.86399999999998</v>
      </c>
      <c r="AU28" s="1903">
        <f>(AT28/AP28-1)*100</f>
        <v>-2.3288716793566366</v>
      </c>
      <c r="AV28" s="1555">
        <f>+AV22</f>
        <v>32.743427281334192</v>
      </c>
      <c r="AX28" s="1853">
        <f>218.701+32.876</f>
        <v>251.577</v>
      </c>
      <c r="AY28" s="1903">
        <f>(AX28/AT28-1)*100</f>
        <v>19.876205542637159</v>
      </c>
      <c r="AZ28" s="1555">
        <f>+AZ22</f>
        <v>20.200983888370729</v>
      </c>
      <c r="BB28" s="1853">
        <f>222.391+36.385</f>
        <v>258.77600000000001</v>
      </c>
      <c r="BC28" s="1903">
        <f>(BB28/AX28-1)*100</f>
        <v>2.861549346720893</v>
      </c>
      <c r="BD28" s="1555">
        <f>+BD22</f>
        <v>12.953408867879457</v>
      </c>
      <c r="BF28" s="1905">
        <f>208.777+42.018</f>
        <v>250.79499999999999</v>
      </c>
      <c r="BG28" s="1903">
        <f>(BF28/BB28-1)*100</f>
        <v>-3.0841345410702825</v>
      </c>
      <c r="BH28" s="1555">
        <f>+BH22</f>
        <v>6.0248380275050195</v>
      </c>
      <c r="BJ28" s="1905">
        <f>194.454+42.127</f>
        <v>236.58100000000002</v>
      </c>
      <c r="BK28" s="1903">
        <f>(BJ28/BF28-1)*100</f>
        <v>-5.6675771048066981</v>
      </c>
      <c r="BL28" s="1555">
        <f>+BL22</f>
        <v>-23.554924860793324</v>
      </c>
      <c r="BN28" s="1905">
        <f>210.289+42.986+14.079</f>
        <v>267.35399999999998</v>
      </c>
      <c r="BO28" s="1903">
        <f>(BN28/BJ28-1)*100</f>
        <v>13.00738436307225</v>
      </c>
      <c r="BP28" s="1555">
        <f>+BP22</f>
        <v>14.304612209150624</v>
      </c>
      <c r="BR28" s="1905">
        <f>263.288+41.925+35.138</f>
        <v>340.351</v>
      </c>
      <c r="BS28" s="1903">
        <f>(BR28/BN28-1)*100</f>
        <v>27.303500228161926</v>
      </c>
      <c r="BT28" s="1555">
        <f>+BT22</f>
        <v>21.644247489110271</v>
      </c>
      <c r="BV28" s="1905">
        <f>323.573+41.544+19.85</f>
        <v>384.96699999999998</v>
      </c>
      <c r="BW28" s="1903">
        <f>(BV28/BR28-1)*100</f>
        <v>13.108820012281441</v>
      </c>
      <c r="BX28" s="1555">
        <f>+BX22</f>
        <v>10.104771990046292</v>
      </c>
      <c r="BZ28" s="1544">
        <f>301.488+38.472+32.304</f>
        <v>372.26400000000001</v>
      </c>
      <c r="CA28" s="1903">
        <f>(BZ28/BV28-1)*100</f>
        <v>-3.2997633563396245</v>
      </c>
      <c r="CB28" s="1555">
        <f>CB22</f>
        <v>-8.9499988059286721</v>
      </c>
      <c r="CC28" s="1555"/>
      <c r="CD28" s="1544">
        <f>282.878+32.787+17.362</f>
        <v>333.02699999999999</v>
      </c>
      <c r="CE28" s="1903">
        <f>(CD28/BZ28-1)*100</f>
        <v>-10.540100573786349</v>
      </c>
      <c r="CF28" s="1555">
        <f>CF22</f>
        <v>-1.9482122014523706</v>
      </c>
      <c r="CG28" s="1555"/>
      <c r="CH28" s="1544">
        <f>279.985+26.102+6.642</f>
        <v>312.72899999999998</v>
      </c>
      <c r="CI28" s="1903">
        <f>(CH28/CD28-1)*100</f>
        <v>-6.0950013062003983</v>
      </c>
      <c r="CJ28" s="1555">
        <f>CJ22</f>
        <v>-13.740534125783654</v>
      </c>
      <c r="CK28" s="1555"/>
      <c r="CL28" s="1544">
        <f>294.303+23.298+2.287</f>
        <v>319.88799999999998</v>
      </c>
      <c r="CM28" s="1903">
        <f>(CL28/CH28-1)*100</f>
        <v>2.289202472428209</v>
      </c>
      <c r="CN28" s="1555">
        <f>CN22</f>
        <v>-3.3744372179041693</v>
      </c>
      <c r="CO28" s="1555"/>
      <c r="CP28" s="1544">
        <f>248.915+19.522+5.264</f>
        <v>273.70100000000002</v>
      </c>
      <c r="CQ28" s="1903">
        <f>(CP28/CL28-1)*100</f>
        <v>-14.438490971840135</v>
      </c>
      <c r="CR28" s="1555">
        <f>CR22</f>
        <v>-3.5571998138538619</v>
      </c>
    </row>
    <row r="29" spans="1:96">
      <c r="A29" s="22" t="str">
        <f>$A$11</f>
        <v>2Q</v>
      </c>
      <c r="B29" s="22" t="str">
        <f>$B$11</f>
        <v>Jul</v>
      </c>
      <c r="D29" s="1906">
        <f>8.025+16.638-3.226</f>
        <v>21.437000000000005</v>
      </c>
      <c r="E29" s="1909"/>
      <c r="F29" s="1906">
        <f>9.89+24.613-2.306</f>
        <v>32.197000000000003</v>
      </c>
      <c r="G29" s="1903">
        <f>(F29/D29-1)*100</f>
        <v>50.193590521061694</v>
      </c>
      <c r="H29" s="1555">
        <f>H$11</f>
        <v>33.131347908417965</v>
      </c>
      <c r="I29" s="1904"/>
      <c r="J29" s="1906">
        <f>15.754+-0.708</f>
        <v>15.045999999999999</v>
      </c>
      <c r="K29" s="1903">
        <f>(J29/F29-1)*100</f>
        <v>-53.268938099822968</v>
      </c>
      <c r="L29" s="1555">
        <f>L$11</f>
        <v>48.52332678183511</v>
      </c>
      <c r="M29" s="1904"/>
      <c r="N29" s="1906">
        <f>30.762+33.808+0.119</f>
        <v>64.688999999999993</v>
      </c>
      <c r="O29" s="1903">
        <f>(N29/J29-1)*100</f>
        <v>329.9415126944038</v>
      </c>
      <c r="P29" s="1555">
        <f>P$11</f>
        <v>50.859292019989219</v>
      </c>
      <c r="Q29" s="1904"/>
      <c r="R29" s="1906">
        <f>36.085+55.377+3.201</f>
        <v>94.662999999999997</v>
      </c>
      <c r="S29" s="1903">
        <f>(R29/N29-1)*100</f>
        <v>46.335543910092916</v>
      </c>
      <c r="T29" s="1555">
        <f>T$11</f>
        <v>67.394967682363813</v>
      </c>
      <c r="U29" s="1904"/>
      <c r="V29" s="1906">
        <v>84.38</v>
      </c>
      <c r="W29" s="1903">
        <f>(V29/R29-1)*100</f>
        <v>-10.862744683772963</v>
      </c>
      <c r="X29" s="1555">
        <f>X$11</f>
        <v>35.300039301942341</v>
      </c>
      <c r="Z29" s="1906">
        <f>110.288+8.838</f>
        <v>119.12599999999999</v>
      </c>
      <c r="AA29" s="1903">
        <f>(Z29/V29-1)*100</f>
        <v>41.178004266413851</v>
      </c>
      <c r="AB29" s="1555">
        <f>$AB23</f>
        <v>16.717373246291277</v>
      </c>
      <c r="AD29" s="1906">
        <f>126.926+12.191</f>
        <v>139.11699999999999</v>
      </c>
      <c r="AE29" s="1903">
        <f>(AD29/Z29-1)*100</f>
        <v>16.781391132078639</v>
      </c>
      <c r="AF29" s="1555">
        <f>$AF23</f>
        <v>22.304840829407357</v>
      </c>
      <c r="AH29" s="1906">
        <v>158.56400000000002</v>
      </c>
      <c r="AI29" s="1903">
        <f>(AH29/AD29-1)*100</f>
        <v>13.978881085704863</v>
      </c>
      <c r="AJ29" s="1555">
        <f>$AJ23</f>
        <v>17.506318810778399</v>
      </c>
      <c r="AL29" s="1906">
        <f>143.811+25.798</f>
        <v>169.60900000000001</v>
      </c>
      <c r="AM29" s="1903">
        <f>(AL29/AH29-1)*100</f>
        <v>6.9656416336621119</v>
      </c>
      <c r="AN29" s="1555">
        <f>+AN23</f>
        <v>8.0706903151716247</v>
      </c>
      <c r="AP29" s="1906">
        <f>180.438+30.088+12.698</f>
        <v>223.22399999999999</v>
      </c>
      <c r="AQ29" s="1903">
        <f>(AP29/AL29-1)*100</f>
        <v>31.610940457169121</v>
      </c>
      <c r="AR29" s="1555">
        <f>+AR23</f>
        <v>12.826697477503313</v>
      </c>
      <c r="AT29" s="1906">
        <f>197.633+18.083+31.112</f>
        <v>246.828</v>
      </c>
      <c r="AU29" s="1903">
        <f>(AT29/AP29-1)*100</f>
        <v>10.57413181378346</v>
      </c>
      <c r="AV29" s="1555">
        <f>+AV23</f>
        <v>42.418511708102244</v>
      </c>
      <c r="AX29" s="1906">
        <f>224.323+34.399</f>
        <v>258.72199999999998</v>
      </c>
      <c r="AY29" s="1903">
        <f>(AX29/AT29-1)*100</f>
        <v>4.8187401753447601</v>
      </c>
      <c r="AZ29" s="1555">
        <f>+AZ23</f>
        <v>15.239043301941436</v>
      </c>
      <c r="BB29" s="1906">
        <f>264.902+37.739</f>
        <v>302.64099999999996</v>
      </c>
      <c r="BC29" s="1903">
        <f>(BB29/AX29-1)*100</f>
        <v>16.97536351759803</v>
      </c>
      <c r="BD29" s="1555">
        <f>+BD23</f>
        <v>22.141018011343625</v>
      </c>
      <c r="BF29" s="1907">
        <f>232.606+42.794</f>
        <v>275.39999999999998</v>
      </c>
      <c r="BG29" s="1903">
        <f>(BF29/BB29-1)*100</f>
        <v>-9.0010937050829192</v>
      </c>
      <c r="BH29" s="1555">
        <f>+BH23</f>
        <v>3.5747223872582667</v>
      </c>
      <c r="BJ29" s="1907">
        <f>232.049+45.787+1.412+4.82</f>
        <v>284.06799999999998</v>
      </c>
      <c r="BK29" s="1903">
        <f>(BJ29/BF29-1)*100</f>
        <v>3.14742193173565</v>
      </c>
      <c r="BL29" s="1555">
        <f>+BL23</f>
        <v>-23.530237682077715</v>
      </c>
      <c r="BN29" s="1907">
        <f>238.425+43.361+31.229</f>
        <v>313.01499999999999</v>
      </c>
      <c r="BO29" s="1903">
        <f>(BN29/BJ29-1)*100</f>
        <v>10.190165734964873</v>
      </c>
      <c r="BP29" s="1555">
        <f>+BP23</f>
        <v>17.039143405506096</v>
      </c>
      <c r="BR29" s="1907">
        <f>300.648+42.244+15.94</f>
        <v>358.83200000000005</v>
      </c>
      <c r="BS29" s="1903">
        <f>(BR29/BN29-1)*100</f>
        <v>14.637317700429708</v>
      </c>
      <c r="BT29" s="1555">
        <f>+BT23</f>
        <v>22.923767561725828</v>
      </c>
      <c r="BV29" s="1548">
        <f>353.853+39.996+32.284</f>
        <v>426.13299999999998</v>
      </c>
      <c r="BW29" s="1903">
        <f>(BV29/BR29-1)*100</f>
        <v>18.755573638917355</v>
      </c>
      <c r="BX29" s="1555">
        <f>+BX23</f>
        <v>3.7789483214309527</v>
      </c>
      <c r="BZ29" s="1906">
        <f>291.772+36.994+39.733</f>
        <v>368.49899999999997</v>
      </c>
      <c r="CA29" s="1903">
        <f>(BZ29/BV29-1)*100</f>
        <v>-13.524885423095611</v>
      </c>
      <c r="CB29" s="1555">
        <f>CB23</f>
        <v>-0.60005864997840774</v>
      </c>
      <c r="CC29" s="1555"/>
      <c r="CD29" s="1906">
        <f>277.592+31.397+14.955</f>
        <v>323.94399999999996</v>
      </c>
      <c r="CE29" s="1903">
        <f>(CD29/BZ29-1)*100</f>
        <v>-12.090941902148987</v>
      </c>
      <c r="CF29" s="1555">
        <f>CF23</f>
        <v>-5.8256441274064148</v>
      </c>
      <c r="CG29" s="1555"/>
      <c r="CH29" s="1906">
        <f>299.301+25.304+3.094</f>
        <v>327.69899999999996</v>
      </c>
      <c r="CI29" s="1903">
        <f>(CH29/CD29-1)*100</f>
        <v>1.1591509643642084</v>
      </c>
      <c r="CJ29" s="1555">
        <f>CJ23</f>
        <v>-8.1797205270574551</v>
      </c>
      <c r="CK29" s="1555"/>
      <c r="CL29" s="1906">
        <f>279.918+21.962+15.162</f>
        <v>317.04199999999997</v>
      </c>
      <c r="CM29" s="1903">
        <f>(CL29/CH29-1)*100</f>
        <v>-3.2520697347260707</v>
      </c>
      <c r="CN29" s="1555">
        <f>CN23</f>
        <v>-4.2306017931999289</v>
      </c>
      <c r="CO29" s="1555"/>
      <c r="CP29" s="1906">
        <f>267.745+19.723+2.88</f>
        <v>290.34800000000001</v>
      </c>
      <c r="CQ29" s="1903">
        <f>(CP29/CL29-1)*100</f>
        <v>-8.4197046448104551</v>
      </c>
      <c r="CR29" s="1555">
        <f>CR23</f>
        <v>-0.49019357474844316</v>
      </c>
    </row>
    <row r="30" spans="1:96">
      <c r="A30" s="22" t="str">
        <f>$A$12</f>
        <v>3Q</v>
      </c>
      <c r="B30" s="22" t="str">
        <f>$B$12</f>
        <v>Oct</v>
      </c>
      <c r="D30" s="1906">
        <f>9.921+23.801-3.471</f>
        <v>30.250999999999994</v>
      </c>
      <c r="E30" s="1909"/>
      <c r="F30" s="1906">
        <f>13.026+34.046-1.148</f>
        <v>45.923999999999999</v>
      </c>
      <c r="G30" s="1903">
        <f>(F30/D30-1)*100</f>
        <v>51.809857525371086</v>
      </c>
      <c r="H30" s="1555">
        <f>H$12</f>
        <v>48.304996889902554</v>
      </c>
      <c r="I30" s="1904"/>
      <c r="J30" s="1906">
        <f>21.198+29.733+8.616+1.485</f>
        <v>61.031999999999996</v>
      </c>
      <c r="K30" s="1903">
        <f>(J30/F30-1)*100</f>
        <v>32.89783119937286</v>
      </c>
      <c r="L30" s="1555">
        <f>L$12</f>
        <v>53.241760162175389</v>
      </c>
      <c r="M30" s="1904"/>
      <c r="N30" s="1906">
        <f>33.231+6.241+8.157</f>
        <v>47.629000000000005</v>
      </c>
      <c r="O30" s="1903">
        <f>(N30/J30-1)*100</f>
        <v>-21.960610827107075</v>
      </c>
      <c r="P30" s="1555">
        <f>P$12</f>
        <v>69.368670741720635</v>
      </c>
      <c r="Q30" s="1904"/>
      <c r="R30" s="1906">
        <f>61.966+4.986</f>
        <v>66.951999999999998</v>
      </c>
      <c r="S30" s="1903">
        <f>(R30/N30-1)*100</f>
        <v>40.569820907430334</v>
      </c>
      <c r="T30" s="1555">
        <f>T$12</f>
        <v>53.464946537746783</v>
      </c>
      <c r="U30" s="1904"/>
      <c r="V30" s="1906">
        <f>90.9+17.2</f>
        <v>108.10000000000001</v>
      </c>
      <c r="W30" s="1903">
        <f>(V30/R30-1)*100</f>
        <v>61.458955669733562</v>
      </c>
      <c r="X30" s="1555">
        <f>X$12</f>
        <v>24.828887328887326</v>
      </c>
      <c r="Z30" s="1906">
        <f>112.943+8.427</f>
        <v>121.37</v>
      </c>
      <c r="AA30" s="1903">
        <f>(Z30/V30-1)*100</f>
        <v>12.275670675300642</v>
      </c>
      <c r="AB30" s="1555">
        <f>$AB24</f>
        <v>27.982144740079452</v>
      </c>
      <c r="AD30" s="1906">
        <f>127.469+11.399</f>
        <v>138.86799999999999</v>
      </c>
      <c r="AE30" s="1903">
        <f>(AD30/Z30-1)*100</f>
        <v>14.417071764027355</v>
      </c>
      <c r="AF30" s="1555">
        <f>$AF24</f>
        <v>-2.6499360104580316</v>
      </c>
      <c r="AH30" s="1906">
        <f>134.552+22.544</f>
        <v>157.096</v>
      </c>
      <c r="AI30" s="1903">
        <f>(AH30/AD30-1)*100</f>
        <v>13.126134170579263</v>
      </c>
      <c r="AJ30" s="1555">
        <f>$AJ24</f>
        <v>18.296456993903632</v>
      </c>
      <c r="AL30" s="1906">
        <f>156.091+26.426</f>
        <v>182.517</v>
      </c>
      <c r="AM30" s="1903">
        <f>(AL30/AH30-1)*100</f>
        <v>16.181825126037587</v>
      </c>
      <c r="AN30" s="1555">
        <f>+AN24</f>
        <v>6.116915357630881</v>
      </c>
      <c r="AP30" s="1906">
        <f>227.722+30.939+13.756</f>
        <v>272.41700000000003</v>
      </c>
      <c r="AQ30" s="1903">
        <f>(AP30/AL30-1)*100</f>
        <v>49.25568577173636</v>
      </c>
      <c r="AR30" s="1555">
        <f>+AR24</f>
        <v>17.022151607154502</v>
      </c>
      <c r="AT30" s="1906">
        <f>234.529+31.504+56.935</f>
        <v>322.96800000000002</v>
      </c>
      <c r="AU30" s="1903">
        <f>(AT30/AP30-1)*100</f>
        <v>18.556477752856825</v>
      </c>
      <c r="AV30" s="1555">
        <f>+AV24</f>
        <v>35.372673431606749</v>
      </c>
      <c r="AX30" s="1906">
        <f>259.543+35.16</f>
        <v>294.70299999999997</v>
      </c>
      <c r="AY30" s="1903">
        <f>(AX30/AT30-1)*100</f>
        <v>-8.7516410294518501</v>
      </c>
      <c r="AZ30" s="1555">
        <f>+AZ24</f>
        <v>22.489140580890265</v>
      </c>
      <c r="BB30" s="1906">
        <f>260.453+37.489</f>
        <v>297.94199999999995</v>
      </c>
      <c r="BC30" s="1903">
        <f>(BB30/AX30-1)*100</f>
        <v>1.0990726256604022</v>
      </c>
      <c r="BD30" s="1555">
        <f>+BD24</f>
        <v>12.795443385125683</v>
      </c>
      <c r="BF30" s="1907">
        <f>311.819+42.584</f>
        <v>354.40300000000002</v>
      </c>
      <c r="BG30" s="1903">
        <f>(BF30/BB30-1)*100</f>
        <v>18.950332615072753</v>
      </c>
      <c r="BH30" s="1555">
        <f>+BH24</f>
        <v>-9.355805858737277</v>
      </c>
      <c r="BJ30" s="1907">
        <f>224.955+43.947+9.332</f>
        <v>278.23400000000004</v>
      </c>
      <c r="BK30" s="1903">
        <f>(BJ30/BF30-1)*100</f>
        <v>-21.492199558130142</v>
      </c>
      <c r="BL30" s="1555">
        <f>+BL24</f>
        <v>-14.626800073854994</v>
      </c>
      <c r="BN30" s="1907">
        <f>242.835+43.336+57.096</f>
        <v>343.267</v>
      </c>
      <c r="BO30" s="1903">
        <f>(BN30/BJ30-1)*100</f>
        <v>23.373491377761148</v>
      </c>
      <c r="BP30" s="1555">
        <f>+BP24</f>
        <v>17.526443443140629</v>
      </c>
      <c r="BR30" s="1907">
        <f>311.693+43.181+43.301</f>
        <v>398.17499999999995</v>
      </c>
      <c r="BS30" s="1903">
        <f>(BR30/BN30-1)*100</f>
        <v>15.995711792860945</v>
      </c>
      <c r="BT30" s="1555">
        <f>+BT24</f>
        <v>21.458875700231882</v>
      </c>
      <c r="BV30" s="1548">
        <f>361.804+39.822+70.775</f>
        <v>472.40099999999995</v>
      </c>
      <c r="BW30" s="1903">
        <f>(BV30/BR30-1)*100</f>
        <v>18.641552081371259</v>
      </c>
      <c r="BX30" s="1555">
        <f>+BX24</f>
        <v>8.7179882809595313</v>
      </c>
      <c r="BZ30" s="1906">
        <f>307.962+36.05+59.13</f>
        <v>403.142</v>
      </c>
      <c r="CA30" s="1903">
        <f>(BZ30/BV30-1)*100</f>
        <v>-14.661061259396146</v>
      </c>
      <c r="CB30" s="1555">
        <f>CB24</f>
        <v>-11.657856331258355</v>
      </c>
      <c r="CC30" s="1555"/>
      <c r="CD30" s="1906">
        <f>273.362+28.972+9.251</f>
        <v>311.58499999999998</v>
      </c>
      <c r="CE30" s="1903">
        <f>(CD30/BZ30-1)*100</f>
        <v>-22.710856224357677</v>
      </c>
      <c r="CF30" s="1555">
        <f>CF24</f>
        <v>-11.79142798799565</v>
      </c>
      <c r="CG30" s="1555"/>
      <c r="CH30" s="1906">
        <f>309.209+25.031+4.665</f>
        <v>338.90500000000003</v>
      </c>
      <c r="CI30" s="1903">
        <f>(CH30/CD30-1)*100</f>
        <v>8.7680729175024563</v>
      </c>
      <c r="CJ30" s="1555">
        <f>CJ24</f>
        <v>-3.6075365378137936</v>
      </c>
      <c r="CK30" s="1555"/>
      <c r="CL30" s="1906">
        <f>266.761+20.623+7.654</f>
        <v>295.03800000000001</v>
      </c>
      <c r="CM30" s="1903">
        <f>(CL30/CH30-1)*100</f>
        <v>-12.943745297354726</v>
      </c>
      <c r="CN30" s="1555">
        <f>CN24</f>
        <v>-6.4693616459436392</v>
      </c>
      <c r="CO30" s="1555"/>
      <c r="CP30" s="1906">
        <f>292.479+19.314+6.189</f>
        <v>317.98200000000003</v>
      </c>
      <c r="CQ30" s="1903">
        <f>(CP30/CL30-1)*100</f>
        <v>7.7766253838488675</v>
      </c>
      <c r="CR30" s="1555">
        <f>CR24</f>
        <v>4.5486739017735589</v>
      </c>
    </row>
    <row r="31" spans="1:96">
      <c r="A31" s="22" t="str">
        <f>$A$13</f>
        <v>4Q</v>
      </c>
      <c r="B31" s="22" t="str">
        <f>$B$13</f>
        <v>Jan</v>
      </c>
      <c r="D31" s="1906">
        <f>10.411-4.218+2.416</f>
        <v>8.609</v>
      </c>
      <c r="E31" s="1909"/>
      <c r="F31" s="1906">
        <f>14.5+6.19+12.79</f>
        <v>33.480000000000004</v>
      </c>
      <c r="G31" s="1903">
        <f>(F31/D31-1)*100</f>
        <v>288.89534208386578</v>
      </c>
      <c r="H31" s="1555">
        <f>H$13</f>
        <v>42.932760126284663</v>
      </c>
      <c r="I31" s="1904"/>
      <c r="J31" s="1906">
        <f>22.388+5.417+9.371</f>
        <v>37.176000000000002</v>
      </c>
      <c r="K31" s="1903">
        <f>(J31/F31-1)*100</f>
        <v>11.039426523297479</v>
      </c>
      <c r="L31" s="1555">
        <f>L$13</f>
        <v>30.867922400180483</v>
      </c>
      <c r="M31" s="1904"/>
      <c r="N31" s="1906">
        <v>69.120999999999995</v>
      </c>
      <c r="O31" s="1903">
        <f>(N31/J31-1)*100</f>
        <v>85.929094039165022</v>
      </c>
      <c r="P31" s="1555">
        <f>P$13</f>
        <v>52.366895779017916</v>
      </c>
      <c r="Q31" s="1904"/>
      <c r="R31" s="1906">
        <v>10.827999999999999</v>
      </c>
      <c r="S31" s="1903">
        <f>(R31/N31-1)*100</f>
        <v>-84.334717379667538</v>
      </c>
      <c r="T31" s="1555">
        <f>T$13</f>
        <v>41.452779938249762</v>
      </c>
      <c r="U31" s="1904"/>
      <c r="V31" s="1906">
        <v>11.06</v>
      </c>
      <c r="W31" s="1903">
        <f>(V31/R31-1)*100</f>
        <v>2.1425932766900635</v>
      </c>
      <c r="X31" s="1555">
        <f>X$13</f>
        <v>21.196994184980934</v>
      </c>
      <c r="Z31" s="1906">
        <f>101.302+19.318</f>
        <v>120.62</v>
      </c>
      <c r="AA31" s="1903">
        <f>(Z31/V31-1)*100</f>
        <v>990.59674502712483</v>
      </c>
      <c r="AB31" s="1555">
        <f>$AB25</f>
        <v>20.828223726539342</v>
      </c>
      <c r="AD31" s="1906">
        <f>109.586+22.096</f>
        <v>131.68199999999999</v>
      </c>
      <c r="AE31" s="1903">
        <f>(AD31/Z31-1)*100</f>
        <v>9.1709500911954844</v>
      </c>
      <c r="AF31" s="1555">
        <f>$AF25</f>
        <v>6.1757444048743393</v>
      </c>
      <c r="AH31" s="1906">
        <f>120.438+40.879</f>
        <v>161.31700000000001</v>
      </c>
      <c r="AI31" s="1903">
        <f>(AH31/AD31-1)*100</f>
        <v>22.504974104281537</v>
      </c>
      <c r="AJ31" s="1555">
        <f>$AJ25</f>
        <v>14.552149237864986</v>
      </c>
      <c r="AL31" s="1906">
        <f>163.389+26.627+29.692</f>
        <v>219.70800000000003</v>
      </c>
      <c r="AM31" s="1903">
        <f>(AL31/AH31-1)*100</f>
        <v>36.196433109963635</v>
      </c>
      <c r="AN31" s="1555">
        <f>+AN25</f>
        <v>4.8471230088197537</v>
      </c>
      <c r="AP31" s="1906">
        <f>205.153+29.777+31.687</f>
        <v>266.61700000000002</v>
      </c>
      <c r="AQ31" s="1903">
        <f>(AP31/AL31-1)*100</f>
        <v>21.350610810712389</v>
      </c>
      <c r="AR31" s="1555">
        <f>+AR25</f>
        <v>22.638738447756836</v>
      </c>
      <c r="AT31" s="1906">
        <f>215.034+31.727</f>
        <v>246.761</v>
      </c>
      <c r="AU31" s="1903">
        <f>(AT31/AP31-1)*100</f>
        <v>-7.4473870758428813</v>
      </c>
      <c r="AV31" s="1555">
        <f>+AV25</f>
        <v>39.888891152325058</v>
      </c>
      <c r="AX31" s="1906">
        <f>260.219+35.423</f>
        <v>295.642</v>
      </c>
      <c r="AY31" s="1903">
        <f>(AX31/AT31-1)*100</f>
        <v>19.809045999975684</v>
      </c>
      <c r="AZ31" s="1555">
        <f>+AZ25</f>
        <v>18.447313894852456</v>
      </c>
      <c r="BB31" s="1906">
        <f>280.91+37.925</f>
        <v>318.83500000000004</v>
      </c>
      <c r="BC31" s="1903">
        <f>(BB31/AX31-1)*100</f>
        <v>7.8449611354273197</v>
      </c>
      <c r="BD31" s="1555">
        <f>+BD25</f>
        <v>7.923297881962843</v>
      </c>
      <c r="BF31" s="1907">
        <f>241.231+42.358</f>
        <v>283.589</v>
      </c>
      <c r="BG31" s="1903">
        <f>(BF31/BB31-1)*100</f>
        <v>-11.054620728590036</v>
      </c>
      <c r="BH31" s="1555">
        <f>+BH25</f>
        <v>-20.192535369077667</v>
      </c>
      <c r="BJ31" s="1907">
        <f>246.289+43.597+9.352</f>
        <v>299.23799999999994</v>
      </c>
      <c r="BK31" s="1903">
        <f>(BJ31/BF31-1)*100</f>
        <v>5.518197109196743</v>
      </c>
      <c r="BL31" s="1555">
        <f>+BL25</f>
        <v>-4.5694931429055003</v>
      </c>
      <c r="BN31" s="1907">
        <f>306.587+41.538+73.491</f>
        <v>421.61599999999999</v>
      </c>
      <c r="BO31" s="1903">
        <f>(BN31/BJ31-1)*100</f>
        <v>40.896543888142567</v>
      </c>
      <c r="BP31" s="1555">
        <f>+BP25</f>
        <v>22.79989871697483</v>
      </c>
      <c r="BR31" s="1907">
        <f>382.995+41.047+72.945</f>
        <v>496.98700000000002</v>
      </c>
      <c r="BS31" s="1903">
        <f>(BR31/BN31-1)*100</f>
        <v>17.876693484118267</v>
      </c>
      <c r="BT31" s="1555">
        <f>+BT25</f>
        <v>15.605500628156022</v>
      </c>
      <c r="BV31" s="1906">
        <f>398.868+39.054+112.483</f>
        <v>550.40499999999997</v>
      </c>
      <c r="BW31" s="1903">
        <f>(BV31/BR31-1)*100</f>
        <v>10.748369675665547</v>
      </c>
      <c r="BX31" s="1555">
        <f>+BX25</f>
        <v>10.518488972843198</v>
      </c>
      <c r="BZ31" s="1906">
        <f>322.834+36.165+63.508</f>
        <v>422.50700000000001</v>
      </c>
      <c r="CA31" s="1903">
        <f>(BZ31/BV31-1)*100</f>
        <v>-23.23707088416711</v>
      </c>
      <c r="CB31" s="1555">
        <f>CB25</f>
        <v>-11.534928442096215</v>
      </c>
      <c r="CC31" s="1555"/>
      <c r="CD31" s="1906">
        <f>282.736+26.629+32.804</f>
        <v>342.16899999999998</v>
      </c>
      <c r="CE31" s="1903">
        <f>(CD31/BZ31-1)*100</f>
        <v>-19.014596207873481</v>
      </c>
      <c r="CF31" s="1555">
        <f>CF25</f>
        <v>-13.82402317846385</v>
      </c>
      <c r="CG31" s="1555"/>
      <c r="CH31" s="1906">
        <f>321.237+23.303+5.988</f>
        <v>350.52800000000002</v>
      </c>
      <c r="CI31" s="1903">
        <f>(CH31/CD31-1)*100</f>
        <v>2.4429448605806092</v>
      </c>
      <c r="CJ31" s="1555">
        <f>CJ25</f>
        <v>-0.59077624461387757</v>
      </c>
      <c r="CK31" s="1555"/>
      <c r="CL31" s="1906">
        <f>273.044+20.076+5.863</f>
        <v>298.983</v>
      </c>
      <c r="CM31" s="1903">
        <f>(CL31/CH31-1)*100</f>
        <v>-14.704959375570571</v>
      </c>
      <c r="CN31" s="1555">
        <f>CN25</f>
        <v>-6.8797678200785306</v>
      </c>
      <c r="CO31" s="1555"/>
      <c r="CP31" s="1906">
        <f>308.601+19.751+10.326</f>
        <v>338.678</v>
      </c>
      <c r="CQ31" s="1903">
        <f>(CP31/CL31-1)*100</f>
        <v>13.276674593538761</v>
      </c>
      <c r="CR31" s="1555">
        <f>CR25</f>
        <v>15.129351395215762</v>
      </c>
    </row>
    <row r="32" spans="1:96">
      <c r="BF32" s="252"/>
      <c r="BJ32" s="252"/>
      <c r="BN32" s="252"/>
      <c r="BR32" s="252"/>
      <c r="BZ32" s="1906"/>
    </row>
    <row r="33" spans="1:96">
      <c r="A33" s="1898" t="s">
        <v>264</v>
      </c>
      <c r="B33" s="366"/>
      <c r="N33" s="1576"/>
      <c r="BF33" s="252"/>
      <c r="BJ33" s="252"/>
      <c r="BN33" s="252"/>
      <c r="BR33" s="252"/>
      <c r="BZ33" s="1906"/>
    </row>
    <row r="34" spans="1:96">
      <c r="A34" s="22" t="str">
        <f>$A$10</f>
        <v>1Q</v>
      </c>
      <c r="B34" s="22" t="str">
        <f>$B$10</f>
        <v>Apr</v>
      </c>
      <c r="D34" s="379">
        <f>D10+D16-D22-D28</f>
        <v>13.314</v>
      </c>
      <c r="F34" s="379">
        <f>F10+F16-F22-F28</f>
        <v>3.0579999999999998</v>
      </c>
      <c r="G34" s="1903">
        <f>(F34/D34-1)*100</f>
        <v>-77.031695959140762</v>
      </c>
      <c r="H34" s="1555">
        <f>H$10</f>
        <v>42.642847984956632</v>
      </c>
      <c r="I34" s="1910"/>
      <c r="J34" s="379">
        <f>J10+J16-J22-J28</f>
        <v>23.729999999999997</v>
      </c>
      <c r="K34" s="1903">
        <f>(J34/F34-1)*100</f>
        <v>675.99738391105291</v>
      </c>
      <c r="L34" s="1555">
        <f>L$10</f>
        <v>52.859753722623367</v>
      </c>
      <c r="M34" s="1910"/>
      <c r="N34" s="379">
        <f>N10+N16-N22-N28</f>
        <v>-9.7350000000000065</v>
      </c>
      <c r="O34" s="1903">
        <f>(N34/J34-1)*100</f>
        <v>-141.0240202275601</v>
      </c>
      <c r="P34" s="1555">
        <f>P$10</f>
        <v>45.660525284202279</v>
      </c>
      <c r="Q34" s="1910"/>
      <c r="R34" s="379">
        <f>R10+R16-R22-R28</f>
        <v>14.785999999999996</v>
      </c>
      <c r="S34" s="1903">
        <f>(R34/N34-1)*100</f>
        <v>-251.88495120698497</v>
      </c>
      <c r="T34" s="1555">
        <f>T$10</f>
        <v>77.813660584530922</v>
      </c>
      <c r="U34" s="1910"/>
      <c r="V34" s="379">
        <f>V10+V16-V22-V28</f>
        <v>28.29</v>
      </c>
      <c r="W34" s="1903">
        <f>(V34/R34-1)*100</f>
        <v>91.329636142296806</v>
      </c>
      <c r="X34" s="1555">
        <f>X$10</f>
        <v>41.078671752028086</v>
      </c>
      <c r="Z34" s="379">
        <f>Z10+Z16-Z22-Z28</f>
        <v>-0.37300000000000466</v>
      </c>
      <c r="AA34" s="1903">
        <f>(Z34/V34-1)*100</f>
        <v>-101.31848709791447</v>
      </c>
      <c r="AB34" s="1555">
        <f>$AB28</f>
        <v>9.9658311296110682</v>
      </c>
      <c r="AD34" s="379">
        <f>AD10+AD16-AD22-AD28</f>
        <v>14.332000000000008</v>
      </c>
      <c r="AE34" s="1911" t="s">
        <v>444</v>
      </c>
      <c r="AF34" s="1555">
        <f>$AF28</f>
        <v>28.620625737783278</v>
      </c>
      <c r="AH34" s="379">
        <f>AH10+AH16-AH22-AH28</f>
        <v>10.614000000000004</v>
      </c>
      <c r="AI34" s="1903">
        <f>(AH34/AD34-1)*100</f>
        <v>-25.941948088194266</v>
      </c>
      <c r="AJ34" s="1555">
        <f>$AJ28</f>
        <v>18.62560679611649</v>
      </c>
      <c r="AL34" s="379">
        <f>AL10+AL16-AL22-AL28</f>
        <v>4.8569999999999993</v>
      </c>
      <c r="AM34" s="1903">
        <f>(AL34/AH34-1)*100</f>
        <v>-54.239683436970068</v>
      </c>
      <c r="AN34" s="1555">
        <f>+AN28</f>
        <v>10.84746412951738</v>
      </c>
      <c r="AP34" s="379">
        <f>AP10+AP16-AP22-AP28</f>
        <v>-82.096000000000004</v>
      </c>
      <c r="AQ34" s="1903">
        <f>(AP34/AL34-1)*100</f>
        <v>-1790.2614782787732</v>
      </c>
      <c r="AR34" s="1555">
        <f>+AR28</f>
        <v>18.806998113762631</v>
      </c>
      <c r="AT34" s="379">
        <f>AT10+AT16-AT22-AT28</f>
        <v>-13.568999999999932</v>
      </c>
      <c r="AU34" s="1903">
        <f>(AT34/AP34-1)*100</f>
        <v>-83.471789124927</v>
      </c>
      <c r="AV34" s="1555">
        <f>+AV28</f>
        <v>32.743427281334192</v>
      </c>
      <c r="AX34" s="379">
        <f>AX10+AX16-AX22-AX28</f>
        <v>87.197000000000003</v>
      </c>
      <c r="AY34" s="1903">
        <f>(AX34/AT34-1)*100</f>
        <v>-742.61920554204767</v>
      </c>
      <c r="AZ34" s="1555">
        <f>+AZ28</f>
        <v>20.200983888370729</v>
      </c>
      <c r="BB34" s="379">
        <f>BB10+BB16-BB22-BB28</f>
        <v>178.80500000000001</v>
      </c>
      <c r="BC34" s="1903">
        <f>(BB34/AX34-1)*100</f>
        <v>105.05866027500947</v>
      </c>
      <c r="BD34" s="1555">
        <f>+BD28</f>
        <v>12.953408867879457</v>
      </c>
      <c r="BF34" s="1912">
        <f>BF10+BF16-BF22-BF28</f>
        <v>114.85900000000007</v>
      </c>
      <c r="BG34" s="1903">
        <f>(BF34/BB34-1)*100</f>
        <v>-35.762982019518432</v>
      </c>
      <c r="BH34" s="1555">
        <f>+BH28</f>
        <v>6.0248380275050195</v>
      </c>
      <c r="BJ34" s="1912">
        <f>BJ10+BJ16-BJ22-BJ28</f>
        <v>151.04599999999999</v>
      </c>
      <c r="BK34" s="1903">
        <f>(BJ34/BF34-1)*100</f>
        <v>31.505585108698408</v>
      </c>
      <c r="BL34" s="1555">
        <f>+BL28</f>
        <v>-23.554924860793324</v>
      </c>
      <c r="BM34" s="379"/>
      <c r="BN34" s="1912">
        <f>BN10+BN16-BN22-BN28</f>
        <v>136.43500000000012</v>
      </c>
      <c r="BO34" s="1903">
        <f>(BN34/BJ34-1)*100</f>
        <v>-9.6732121340518002</v>
      </c>
      <c r="BP34" s="1555">
        <f>+BP28</f>
        <v>14.304612209150624</v>
      </c>
      <c r="BQ34" s="379"/>
      <c r="BR34" s="1912">
        <f>BR10+BR16-BR22-BR28</f>
        <v>105.923</v>
      </c>
      <c r="BS34" s="1903">
        <f>(BR34/BN34-1)*100</f>
        <v>-22.363762964048885</v>
      </c>
      <c r="BT34" s="1555">
        <f>+BT28</f>
        <v>21.644247489110271</v>
      </c>
      <c r="BU34" s="379"/>
      <c r="BV34" s="1912">
        <f>BV10+BV16-BV22-BV28</f>
        <v>204.98400000000004</v>
      </c>
      <c r="BW34" s="1903">
        <f>(BV34/BR34-1)*100</f>
        <v>93.521709166092393</v>
      </c>
      <c r="BX34" s="1555">
        <f>+BX28</f>
        <v>10.104771990046292</v>
      </c>
      <c r="BZ34" s="1536">
        <f>BZ10+BZ16-BZ22-BZ28</f>
        <v>186.851</v>
      </c>
      <c r="CA34" s="1903">
        <f>(BZ34/BV34-1)*100</f>
        <v>-8.8460562775631413</v>
      </c>
      <c r="CB34" s="1555">
        <f>CB28</f>
        <v>-8.9499988059286721</v>
      </c>
      <c r="CC34" s="1555"/>
      <c r="CD34" s="1536">
        <f>CD10+CD16-CD22-CD28</f>
        <v>240.80199999999996</v>
      </c>
      <c r="CE34" s="1903">
        <f>(CD34/BZ34-1)*100</f>
        <v>28.873808542635548</v>
      </c>
      <c r="CF34" s="1555">
        <f>CF28</f>
        <v>-1.9482122014523706</v>
      </c>
      <c r="CG34" s="1555"/>
      <c r="CH34" s="1536">
        <f>CH10+CH16-CH22-CH28</f>
        <v>228.03599999999989</v>
      </c>
      <c r="CI34" s="1903">
        <f>(CH34/CD34-1)*100</f>
        <v>-5.3014509846264097</v>
      </c>
      <c r="CJ34" s="1555">
        <f>CJ28</f>
        <v>-13.740534125783654</v>
      </c>
      <c r="CK34" s="1555"/>
      <c r="CL34" s="1536">
        <f>CL10+CL16-CL22-CL28</f>
        <v>126.64100000000002</v>
      </c>
      <c r="CM34" s="1903">
        <f>(CL34/CH34-1)*100</f>
        <v>-44.464470522198219</v>
      </c>
      <c r="CN34" s="1555">
        <f>CN28</f>
        <v>-3.3744372179041693</v>
      </c>
      <c r="CO34" s="1555"/>
      <c r="CP34" s="1536">
        <f>CP10+CP16-CP22-CP28</f>
        <v>159.42900000000003</v>
      </c>
      <c r="CQ34" s="1903">
        <f>(CP34/CL34-1)*100</f>
        <v>25.890509392692728</v>
      </c>
      <c r="CR34" s="1555">
        <f>CR28</f>
        <v>-3.5571998138538619</v>
      </c>
    </row>
    <row r="35" spans="1:96">
      <c r="A35" s="22" t="str">
        <f>$A$11</f>
        <v>2Q</v>
      </c>
      <c r="B35" s="22" t="str">
        <f>$B$11</f>
        <v>Jul</v>
      </c>
      <c r="D35" s="1500">
        <f>D11+D17-D23-D29</f>
        <v>3.2029999999999959</v>
      </c>
      <c r="E35" s="1500"/>
      <c r="F35" s="1500">
        <f>F11+F17-F23-F29</f>
        <v>1.9410000000000025</v>
      </c>
      <c r="G35" s="1903">
        <f>(F35/D35-1)*100</f>
        <v>-39.400561973150019</v>
      </c>
      <c r="H35" s="1555">
        <f>H$11</f>
        <v>33.131347908417965</v>
      </c>
      <c r="I35" s="1910"/>
      <c r="J35" s="1500">
        <f>J11+J17-J23-J29</f>
        <v>37.561</v>
      </c>
      <c r="K35" s="1903">
        <f>(J35/F35-1)*100</f>
        <v>1835.1365275631092</v>
      </c>
      <c r="L35" s="1555">
        <f>L$11</f>
        <v>48.52332678183511</v>
      </c>
      <c r="M35" s="1910"/>
      <c r="N35" s="1500">
        <f>N11+N17-N23-N29</f>
        <v>-7.9399999999999906</v>
      </c>
      <c r="O35" s="1903">
        <f>(N35/J35-1)*100</f>
        <v>-121.13894731237184</v>
      </c>
      <c r="P35" s="1555">
        <f>P$11</f>
        <v>50.859292019989219</v>
      </c>
      <c r="Q35" s="1910"/>
      <c r="R35" s="1500">
        <f>R11+R17-R23-R29</f>
        <v>-50.228000000000002</v>
      </c>
      <c r="S35" s="1911" t="s">
        <v>444</v>
      </c>
      <c r="T35" s="1555">
        <f>T$11</f>
        <v>67.394967682363813</v>
      </c>
      <c r="U35" s="1910"/>
      <c r="V35" s="1500">
        <f>V11+V17-V23-V29</f>
        <v>-22.54399999999999</v>
      </c>
      <c r="W35" s="1911" t="s">
        <v>444</v>
      </c>
      <c r="X35" s="1555">
        <f>X$11</f>
        <v>35.300039301942341</v>
      </c>
      <c r="Z35" s="1500">
        <f>Z11+Z17-Z23-Z29</f>
        <v>1.3070000000000022</v>
      </c>
      <c r="AA35" s="1911" t="s">
        <v>444</v>
      </c>
      <c r="AB35" s="1555">
        <f>$AB29</f>
        <v>16.717373246291277</v>
      </c>
      <c r="AD35" s="1500">
        <f>AD11+AD17-AD23-AD29</f>
        <v>24.512000000000029</v>
      </c>
      <c r="AE35" s="1911" t="s">
        <v>444</v>
      </c>
      <c r="AF35" s="1555">
        <f>$AF29</f>
        <v>22.304840829407357</v>
      </c>
      <c r="AH35" s="1500">
        <f>AH11+AH17-AH23-AH29</f>
        <v>17.474999999999994</v>
      </c>
      <c r="AI35" s="1903">
        <f>(AH35/AD35-1)*100</f>
        <v>-28.708387728459638</v>
      </c>
      <c r="AJ35" s="1555">
        <f>$AJ29</f>
        <v>17.506318810778399</v>
      </c>
      <c r="AL35" s="1500">
        <f>AL11+AL17-AL23-AL29</f>
        <v>10.872999999999962</v>
      </c>
      <c r="AM35" s="1903">
        <f>(AL35/AH35-1)*100</f>
        <v>-37.779685264663996</v>
      </c>
      <c r="AN35" s="1555">
        <f>+AN29</f>
        <v>8.0706903151716247</v>
      </c>
      <c r="AP35" s="1500">
        <f>AP11+AP17-AP23-AP29</f>
        <v>-87.597999999999985</v>
      </c>
      <c r="AQ35" s="1903">
        <f>(AP35/AL35-1)*100</f>
        <v>-905.64701554309102</v>
      </c>
      <c r="AR35" s="1555">
        <f>+AR29</f>
        <v>12.826697477503313</v>
      </c>
      <c r="AT35" s="1500">
        <f>AT11+AT17-AT23-AT29</f>
        <v>90.617000000000047</v>
      </c>
      <c r="AU35" s="1903">
        <f>(AT35/AP35-1)*100</f>
        <v>-203.44642571748221</v>
      </c>
      <c r="AV35" s="1555">
        <f>+AV29</f>
        <v>42.418511708102244</v>
      </c>
      <c r="AX35" s="1500">
        <f>AX11+AX17-AX23-AX29</f>
        <v>129.88699999999994</v>
      </c>
      <c r="AY35" s="1903">
        <f>(AX35/AT35-1)*100</f>
        <v>43.3362393369896</v>
      </c>
      <c r="AZ35" s="1555">
        <f>+AZ29</f>
        <v>15.239043301941436</v>
      </c>
      <c r="BB35" s="1500">
        <f>BB11+BB17-BB23-BB29</f>
        <v>165.37099999999998</v>
      </c>
      <c r="BC35" s="1903">
        <f>(BB35/AX35-1)*100</f>
        <v>27.319131244851324</v>
      </c>
      <c r="BD35" s="1555">
        <f>+BD29</f>
        <v>22.141018011343625</v>
      </c>
      <c r="BF35" s="1913">
        <f>BF11+BF17-BF23-BF29</f>
        <v>196.95300000000009</v>
      </c>
      <c r="BG35" s="1903">
        <f>(BF35/BB35-1)*100</f>
        <v>19.097665249650841</v>
      </c>
      <c r="BH35" s="1555">
        <f>+BH29</f>
        <v>3.5747223872582667</v>
      </c>
      <c r="BJ35" s="1913">
        <f>BJ11+BJ17-BJ23-BJ29</f>
        <v>113.93400000000008</v>
      </c>
      <c r="BK35" s="1903">
        <f>(BJ35/BF35-1)*100</f>
        <v>-42.151680857869636</v>
      </c>
      <c r="BL35" s="1555">
        <f>+BL29</f>
        <v>-23.530237682077715</v>
      </c>
      <c r="BN35" s="1913">
        <f>BN11+BN17-BN23-BN29</f>
        <v>192.755</v>
      </c>
      <c r="BO35" s="1903">
        <f>(BN35/BJ35-1)*100</f>
        <v>69.181280390401326</v>
      </c>
      <c r="BP35" s="1555">
        <f>+BP29</f>
        <v>17.039143405506096</v>
      </c>
      <c r="BR35" s="1913">
        <f>BR11+BR17-BR23-BR29</f>
        <v>189.44</v>
      </c>
      <c r="BS35" s="1903">
        <f>(BR35/BN35-1)*100</f>
        <v>-1.7197997457912839</v>
      </c>
      <c r="BT35" s="1555">
        <f>+BT29</f>
        <v>22.923767561725828</v>
      </c>
      <c r="BV35" s="1537">
        <f>BV11+BV17-BV23-BV29</f>
        <v>327.50600000000003</v>
      </c>
      <c r="BW35" s="1903">
        <f>(BV35/BR35-1)*100</f>
        <v>72.881123310810821</v>
      </c>
      <c r="BX35" s="1555">
        <f>+BX29</f>
        <v>3.7789483214309527</v>
      </c>
      <c r="BZ35" s="1537">
        <f>BZ11+BZ17-BZ23-BZ29</f>
        <v>316.82</v>
      </c>
      <c r="CA35" s="1903">
        <f>(BZ35/BV35-1)*100</f>
        <v>-3.262840986119353</v>
      </c>
      <c r="CB35" s="1555">
        <f>CB29</f>
        <v>-0.60005864997840774</v>
      </c>
      <c r="CC35" s="1555"/>
      <c r="CD35" s="1537">
        <f>CD11+CD17-CD23-CD29</f>
        <v>281.92900000000009</v>
      </c>
      <c r="CE35" s="1903">
        <f>(CD35/BZ35-1)*100</f>
        <v>-11.012877974875291</v>
      </c>
      <c r="CF35" s="1555">
        <f>CF29</f>
        <v>-5.8256441274064148</v>
      </c>
      <c r="CG35" s="1555"/>
      <c r="CH35" s="1537">
        <f>CH11+CH17-CH23-CH29</f>
        <v>167.72000000000003</v>
      </c>
      <c r="CI35" s="1903">
        <f>(CH35/CD35-1)*100</f>
        <v>-40.509844677205976</v>
      </c>
      <c r="CJ35" s="1555">
        <f>CJ29</f>
        <v>-8.1797205270574551</v>
      </c>
      <c r="CK35" s="1555"/>
      <c r="CL35" s="1537">
        <f>CL11+CL17-CL23-CL29</f>
        <v>143.18900000000008</v>
      </c>
      <c r="CM35" s="1903">
        <f>(CL35/CH35-1)*100</f>
        <v>-14.626162652039076</v>
      </c>
      <c r="CN35" s="1555">
        <f>CN29</f>
        <v>-4.2306017931999289</v>
      </c>
      <c r="CO35" s="1555"/>
      <c r="CP35" s="1537">
        <f>CP11+CP17-CP23-CP29</f>
        <v>155.06199999999995</v>
      </c>
      <c r="CQ35" s="1903">
        <f>(CP35/CL35-1)*100</f>
        <v>8.2918380601860964</v>
      </c>
      <c r="CR35" s="1555">
        <f>CR29</f>
        <v>-0.49019357474844316</v>
      </c>
    </row>
    <row r="36" spans="1:96">
      <c r="A36" s="22" t="str">
        <f>$A$12</f>
        <v>3Q</v>
      </c>
      <c r="B36" s="22" t="str">
        <f>$B$12</f>
        <v>Oct</v>
      </c>
      <c r="D36" s="1500">
        <f>D12+D18-D24-D30</f>
        <v>0.59000000000001052</v>
      </c>
      <c r="E36" s="1500"/>
      <c r="F36" s="1500">
        <f>F12+F18-F24-F30</f>
        <v>0.30499999999999972</v>
      </c>
      <c r="G36" s="1903">
        <f>(F36/D36-1)*100</f>
        <v>-48.305084745763679</v>
      </c>
      <c r="H36" s="1555">
        <f>H$12</f>
        <v>48.304996889902554</v>
      </c>
      <c r="I36" s="1910"/>
      <c r="J36" s="1500">
        <f>J12+J18-J24-J30</f>
        <v>-8.8199999999999932</v>
      </c>
      <c r="K36" s="1903">
        <f>(J36/F36-1)*100</f>
        <v>-2991.8032786885251</v>
      </c>
      <c r="L36" s="1555">
        <f>L$12</f>
        <v>53.241760162175389</v>
      </c>
      <c r="M36" s="1910"/>
      <c r="N36" s="1500">
        <f>N12+N18-N24-N30</f>
        <v>0.74199999999999022</v>
      </c>
      <c r="O36" s="1911" t="s">
        <v>444</v>
      </c>
      <c r="P36" s="1555">
        <f>P$12</f>
        <v>69.368670741720635</v>
      </c>
      <c r="Q36" s="1910"/>
      <c r="R36" s="1500">
        <f>R12+R18-R24-R30</f>
        <v>-26.817999999999998</v>
      </c>
      <c r="S36" s="1903">
        <f>(R36/N36-1)*100</f>
        <v>-3714.2857142857615</v>
      </c>
      <c r="T36" s="1555">
        <f>T$12</f>
        <v>53.464946537746783</v>
      </c>
      <c r="U36" s="1910"/>
      <c r="V36" s="1500">
        <f>V12+V18-V24-V30</f>
        <v>-55.700000000000017</v>
      </c>
      <c r="W36" s="1911" t="s">
        <v>444</v>
      </c>
      <c r="X36" s="1555">
        <f>X$12</f>
        <v>24.828887328887326</v>
      </c>
      <c r="Z36" s="1500">
        <f>Z12+Z18-Z24-Z30</f>
        <v>-22.36099999999999</v>
      </c>
      <c r="AA36" s="1911" t="s">
        <v>444</v>
      </c>
      <c r="AB36" s="1555">
        <f>$AB30</f>
        <v>27.982144740079452</v>
      </c>
      <c r="AD36" s="1500">
        <f>AD12+AD18-AD24-AD30</f>
        <v>42.717000000000013</v>
      </c>
      <c r="AE36" s="1911" t="s">
        <v>444</v>
      </c>
      <c r="AF36" s="1555">
        <f>$AF30</f>
        <v>-2.6499360104580316</v>
      </c>
      <c r="AH36" s="1500">
        <f>AH12+AH18-AH24-AH30</f>
        <v>20.130999999999972</v>
      </c>
      <c r="AI36" s="1903">
        <f>(AH36/AD36-1)*100</f>
        <v>-52.873563218390885</v>
      </c>
      <c r="AJ36" s="1555">
        <f>$AJ30</f>
        <v>18.296456993903632</v>
      </c>
      <c r="AL36" s="1500">
        <f>AL12+AL18-AL24-AL30</f>
        <v>-20.317999999999984</v>
      </c>
      <c r="AM36" s="1911" t="s">
        <v>444</v>
      </c>
      <c r="AN36" s="1555">
        <f>+AN30</f>
        <v>6.116915357630881</v>
      </c>
      <c r="AP36" s="1500">
        <f>AP12+AP18-AP24-AP30</f>
        <v>-118.16500000000002</v>
      </c>
      <c r="AQ36" s="1903">
        <f>(AP36/AL36-1)*100</f>
        <v>481.57791121173403</v>
      </c>
      <c r="AR36" s="1555">
        <f>+AR30</f>
        <v>17.022151607154502</v>
      </c>
      <c r="AT36" s="1500">
        <f>AT12+AT18-AT24-AT30</f>
        <v>64.41799999999995</v>
      </c>
      <c r="AU36" s="1903">
        <f>(AT36/AP36-1)*100</f>
        <v>-154.51529640756564</v>
      </c>
      <c r="AV36" s="1555">
        <f>+AV30</f>
        <v>35.372673431606749</v>
      </c>
      <c r="AX36" s="1500">
        <f>AX12+AX18-AX24-AX30</f>
        <v>107.50200000000001</v>
      </c>
      <c r="AY36" s="1903">
        <f>(AX36/AT36-1)*100</f>
        <v>66.881927411593182</v>
      </c>
      <c r="AZ36" s="1555">
        <f>+AZ30</f>
        <v>22.489140580890265</v>
      </c>
      <c r="BB36" s="1500">
        <f>BB12+BB18-BB24-BB30</f>
        <v>85.913000000000068</v>
      </c>
      <c r="BC36" s="1903">
        <f>(BB36/AX36-1)*100</f>
        <v>-20.082417071310243</v>
      </c>
      <c r="BD36" s="1555">
        <f>+BD30</f>
        <v>12.795443385125683</v>
      </c>
      <c r="BF36" s="1913">
        <f>BF12+BF18-BF24-BF30</f>
        <v>133.09100000000001</v>
      </c>
      <c r="BG36" s="1903">
        <f>(BF36/BB36-1)*100</f>
        <v>54.913691757941052</v>
      </c>
      <c r="BH36" s="1555">
        <f>+BH30</f>
        <v>-9.355805858737277</v>
      </c>
      <c r="BJ36" s="1913">
        <f>BJ12+BJ18-BJ24-BJ30</f>
        <v>139.81900000000007</v>
      </c>
      <c r="BK36" s="1903">
        <f>(BJ36/BF36-1)*100</f>
        <v>5.0551878038335163</v>
      </c>
      <c r="BL36" s="1555">
        <f>+BL30</f>
        <v>-14.626800073854994</v>
      </c>
      <c r="BN36" s="1913">
        <f>BN12+BN18-BN24-BN30</f>
        <v>202.56599999999997</v>
      </c>
      <c r="BO36" s="1903">
        <f>(BN36/BJ36-1)*100</f>
        <v>44.877305659459644</v>
      </c>
      <c r="BP36" s="1555">
        <f>+BP30</f>
        <v>17.526443443140629</v>
      </c>
      <c r="BR36" s="1913">
        <f>BR12+BR18-BR24-BR30</f>
        <v>230.59000000000003</v>
      </c>
      <c r="BS36" s="1903">
        <f>(BR36/BN36-1)*100</f>
        <v>13.834503322373969</v>
      </c>
      <c r="BT36" s="1555">
        <f>+BT30</f>
        <v>21.458875700231882</v>
      </c>
      <c r="BV36" s="1537">
        <f>BV12+BV18-BV24-BV30</f>
        <v>212.851</v>
      </c>
      <c r="BW36" s="1903">
        <f>(BV36/BR36-1)*100</f>
        <v>-7.6928747994275737</v>
      </c>
      <c r="BX36" s="1555">
        <f>+BX30</f>
        <v>8.7179882809595313</v>
      </c>
      <c r="BZ36" s="1537">
        <f>BZ12+BZ18-BZ24-BZ30</f>
        <v>440.50500000000005</v>
      </c>
      <c r="CA36" s="1903">
        <f>(BZ36/BV36-1)*100</f>
        <v>106.95463023429537</v>
      </c>
      <c r="CB36" s="1555">
        <f>CB30</f>
        <v>-11.657856331258355</v>
      </c>
      <c r="CC36" s="1555"/>
      <c r="CD36" s="1537">
        <f>CD12+CD18-CD24-CD30</f>
        <v>307.137</v>
      </c>
      <c r="CE36" s="1903">
        <f>(CD36/BZ36-1)*100</f>
        <v>-30.276160316000965</v>
      </c>
      <c r="CF36" s="1555">
        <f>CF30</f>
        <v>-11.79142798799565</v>
      </c>
      <c r="CG36" s="1555"/>
      <c r="CH36" s="1537">
        <f>CH12+CH18-CH24-CH30</f>
        <v>164.64700000000005</v>
      </c>
      <c r="CI36" s="1903">
        <f>(CH36/CD36-1)*100</f>
        <v>-46.392977726551976</v>
      </c>
      <c r="CJ36" s="1555">
        <f>CJ30</f>
        <v>-3.6075365378137936</v>
      </c>
      <c r="CK36" s="1555"/>
      <c r="CL36" s="1537">
        <f>CL12+CL18-CL24-CL30</f>
        <v>156.63299999999992</v>
      </c>
      <c r="CM36" s="1903">
        <f>(CL36/CH36-1)*100</f>
        <v>-4.867382946546317</v>
      </c>
      <c r="CN36" s="1555">
        <f>CN30</f>
        <v>-6.4693616459436392</v>
      </c>
      <c r="CO36" s="1555"/>
      <c r="CP36" s="1537">
        <f>CP12+CP18-CP24-CP30</f>
        <v>150.99600000000004</v>
      </c>
      <c r="CQ36" s="1903">
        <f>(CP36/CL36-1)*100</f>
        <v>-3.5988584780984101</v>
      </c>
      <c r="CR36" s="1555">
        <f>CR30</f>
        <v>4.5486739017735589</v>
      </c>
    </row>
    <row r="37" spans="1:96">
      <c r="A37" s="22" t="str">
        <f>$A$13</f>
        <v>4Q</v>
      </c>
      <c r="B37" s="22" t="str">
        <f>$B$13</f>
        <v>Jan</v>
      </c>
      <c r="D37" s="1500">
        <f>D13+D19-D25-D31</f>
        <v>9.525999999999998</v>
      </c>
      <c r="E37" s="1500"/>
      <c r="F37" s="1500">
        <f>F13+F19-F25-F31</f>
        <v>0.14299999999999358</v>
      </c>
      <c r="G37" s="1903">
        <f>(F37/D37-1)*100</f>
        <v>-98.498845265588983</v>
      </c>
      <c r="H37" s="1555">
        <f>H$13</f>
        <v>42.932760126284663</v>
      </c>
      <c r="I37" s="1910"/>
      <c r="J37" s="1500">
        <f>J13+J19-J25-J31</f>
        <v>1.3979999999999961</v>
      </c>
      <c r="K37" s="1903">
        <f>(J37/F37-1)*100</f>
        <v>877.62237762241887</v>
      </c>
      <c r="L37" s="1555">
        <f>L$13</f>
        <v>30.867922400180483</v>
      </c>
      <c r="M37" s="1910"/>
      <c r="N37" s="1500">
        <f>N13+N19-N25-N31</f>
        <v>-42.581999999999994</v>
      </c>
      <c r="O37" s="1903">
        <f>(N37/J37-1)*100</f>
        <v>-3145.9227467811238</v>
      </c>
      <c r="P37" s="1555">
        <f>P$13</f>
        <v>52.366895779017916</v>
      </c>
      <c r="Q37" s="1910"/>
      <c r="R37" s="1500">
        <f>R13+R19-R25-R31</f>
        <v>13.196999999999999</v>
      </c>
      <c r="S37" s="1903">
        <f>(R37/N37-1)*100</f>
        <v>-130.99196843736792</v>
      </c>
      <c r="T37" s="1555">
        <f>T$13</f>
        <v>41.452779938249762</v>
      </c>
      <c r="U37" s="1910"/>
      <c r="V37" s="1500">
        <f>V13+V19-V25-V31</f>
        <v>65.259999999999991</v>
      </c>
      <c r="W37" s="1903">
        <f>(V37/R37-1)*100</f>
        <v>394.50632719557473</v>
      </c>
      <c r="X37" s="1555">
        <f>X$13</f>
        <v>21.196994184980934</v>
      </c>
      <c r="Z37" s="1500">
        <f>Z13+Z19-Z25-Z31</f>
        <v>-6.3980000000000246</v>
      </c>
      <c r="AA37" s="1903">
        <f>(Z37/V37-1)*100</f>
        <v>-109.8038614771683</v>
      </c>
      <c r="AB37" s="1555">
        <f>$AB31</f>
        <v>20.828223726539342</v>
      </c>
      <c r="AD37" s="1500">
        <f>AD13+AD19-AD25-AD31</f>
        <v>73.952000000000027</v>
      </c>
      <c r="AE37" s="1911" t="s">
        <v>444</v>
      </c>
      <c r="AF37" s="1555">
        <f>$AF31</f>
        <v>6.1757444048743393</v>
      </c>
      <c r="AH37" s="1500">
        <f>AH13+AH19-AH25-AH31</f>
        <v>-11.349000000000018</v>
      </c>
      <c r="AI37" s="1903">
        <f>(AH37/AD37-1)*100</f>
        <v>-115.34644093466034</v>
      </c>
      <c r="AJ37" s="1555">
        <f>$AJ31</f>
        <v>14.552149237864986</v>
      </c>
      <c r="AL37" s="1500">
        <f>AL13+AL19-AL25-AL31</f>
        <v>-79.490000000000038</v>
      </c>
      <c r="AM37" s="1903">
        <f>(AL37/AH37-1)*100</f>
        <v>600.41413340382337</v>
      </c>
      <c r="AN37" s="1555">
        <f>+AN31</f>
        <v>4.8471230088197537</v>
      </c>
      <c r="AP37" s="1500">
        <f>AP13+AP19-AP25-AP31</f>
        <v>-102.04500000000002</v>
      </c>
      <c r="AQ37" s="1903">
        <f>(AP37/AL37-1)*100</f>
        <v>28.374638319285395</v>
      </c>
      <c r="AR37" s="1555">
        <f>+AR31</f>
        <v>22.638738447756836</v>
      </c>
      <c r="AT37" s="1500">
        <f>AT13+AT19-AT25-AT31</f>
        <v>93.156000000000034</v>
      </c>
      <c r="AU37" s="1903">
        <f>(AT37/AP37-1)*100</f>
        <v>-191.28913714537705</v>
      </c>
      <c r="AV37" s="1555">
        <f>+AV31</f>
        <v>39.888891152325058</v>
      </c>
      <c r="AX37" s="1500">
        <f>AX13+AX19-AX25-AX31</f>
        <v>138.37400000000002</v>
      </c>
      <c r="AY37" s="1903">
        <f>(AX37/AT37-1)*100</f>
        <v>48.540083301129265</v>
      </c>
      <c r="AZ37" s="1555">
        <f>+AZ31</f>
        <v>18.447313894852456</v>
      </c>
      <c r="BB37" s="1500">
        <f>BB13+BB19-BB25-BB31</f>
        <v>21.091999999999985</v>
      </c>
      <c r="BC37" s="1903">
        <f>(BB37/AX37-1)*100</f>
        <v>-84.757252084929263</v>
      </c>
      <c r="BD37" s="1555">
        <f>+BD31</f>
        <v>7.923297881962843</v>
      </c>
      <c r="BF37" s="1913">
        <f>BF13+BF19-BF25-BF31</f>
        <v>129.36099999999999</v>
      </c>
      <c r="BG37" s="1903">
        <f>(BF37/BB37-1)*100</f>
        <v>513.31784562867483</v>
      </c>
      <c r="BH37" s="1555">
        <f>+BH31</f>
        <v>-20.192535369077667</v>
      </c>
      <c r="BJ37" s="1913">
        <f>BJ13+BJ19-BJ25-BJ31</f>
        <v>73.905000000000086</v>
      </c>
      <c r="BK37" s="1903">
        <f>(BJ37/BF37-1)*100</f>
        <v>-42.869180046536371</v>
      </c>
      <c r="BL37" s="1555">
        <f>+BL31</f>
        <v>-4.5694931429055003</v>
      </c>
      <c r="BN37" s="1913">
        <f>BN13+BN19-BN25-BN31</f>
        <v>48.063999999999965</v>
      </c>
      <c r="BO37" s="1903">
        <f>(BN37/BJ37-1)*100</f>
        <v>-34.965157973073666</v>
      </c>
      <c r="BP37" s="1555">
        <f>+BP31</f>
        <v>22.79989871697483</v>
      </c>
      <c r="BR37" s="1913">
        <f>BR13+BR19-BR25-BR31</f>
        <v>114.3730000000001</v>
      </c>
      <c r="BS37" s="1903">
        <f>(BR37/BN37-1)*100</f>
        <v>137.95980359520678</v>
      </c>
      <c r="BT37" s="1555">
        <f>+BT31</f>
        <v>15.605500628156022</v>
      </c>
      <c r="BV37" s="1500">
        <f>BV13+BV19-BV25-BV31</f>
        <v>-26.481999999999971</v>
      </c>
      <c r="BW37" s="1903">
        <f>(BV37/BR37-1)*100</f>
        <v>-123.15406608202981</v>
      </c>
      <c r="BX37" s="1555">
        <f>+BX31</f>
        <v>10.518488972843198</v>
      </c>
      <c r="BZ37" s="1537">
        <f>BZ13+BZ19-BZ25-BZ31</f>
        <v>167.22800000000001</v>
      </c>
      <c r="CA37" s="1914" t="s">
        <v>251</v>
      </c>
      <c r="CB37" s="1555">
        <f>CB31</f>
        <v>-11.534928442096215</v>
      </c>
      <c r="CC37" s="1555"/>
      <c r="CD37" s="1537">
        <f>CD13+CD19-CD25-CD31</f>
        <v>160.41000000000003</v>
      </c>
      <c r="CE37" s="1903">
        <f>(CD37/BZ37-1)*100</f>
        <v>-4.0770684335159064</v>
      </c>
      <c r="CF37" s="1555">
        <f>CF31</f>
        <v>-13.82402317846385</v>
      </c>
      <c r="CG37" s="1555"/>
      <c r="CH37" s="1537">
        <f>CH13+CH19-CH25-CH31</f>
        <v>55.699000000000012</v>
      </c>
      <c r="CI37" s="1903">
        <f>(CH37/CD37-1)*100</f>
        <v>-65.277102425035835</v>
      </c>
      <c r="CJ37" s="1555">
        <f>CJ31</f>
        <v>-0.59077624461387757</v>
      </c>
      <c r="CK37" s="1555"/>
      <c r="CL37" s="1537">
        <f>CL13+CL19-CL25-CL31</f>
        <v>106.11099999999999</v>
      </c>
      <c r="CM37" s="1903">
        <f>(CL37/CH37-1)*100</f>
        <v>90.507908580046276</v>
      </c>
      <c r="CN37" s="1555">
        <f>CN31</f>
        <v>-6.8797678200785306</v>
      </c>
      <c r="CO37" s="1555"/>
      <c r="CP37" s="1537">
        <f>CP13+CP19-CP25-CP31</f>
        <v>81.435399999999902</v>
      </c>
      <c r="CQ37" s="1903">
        <f>(CP37/CL37-1)*100</f>
        <v>-23.254516496876001</v>
      </c>
      <c r="CR37" s="1555">
        <f>CR31</f>
        <v>15.129351395215762</v>
      </c>
    </row>
    <row r="39" spans="1:96">
      <c r="A39" s="1898" t="s">
        <v>207</v>
      </c>
      <c r="B39" s="366"/>
      <c r="N39" s="1576"/>
    </row>
    <row r="40" spans="1:96">
      <c r="A40" s="22" t="str">
        <f>$A$10</f>
        <v>1Q</v>
      </c>
      <c r="B40" s="22" t="str">
        <f>$B$10</f>
        <v>Apr</v>
      </c>
      <c r="D40" s="379"/>
      <c r="F40" s="379">
        <f>F34-D34</f>
        <v>-10.256</v>
      </c>
      <c r="G40" s="1903"/>
      <c r="H40" s="1555"/>
      <c r="I40" s="1910"/>
      <c r="J40" s="379">
        <f>J34-F34</f>
        <v>20.671999999999997</v>
      </c>
      <c r="K40" s="1903"/>
      <c r="L40" s="1555"/>
      <c r="M40" s="1910"/>
      <c r="N40" s="379">
        <f>N34-J34</f>
        <v>-33.465000000000003</v>
      </c>
      <c r="O40" s="1903"/>
      <c r="P40" s="1555"/>
      <c r="Q40" s="1910"/>
      <c r="R40" s="379">
        <f>R34-N34</f>
        <v>24.521000000000001</v>
      </c>
      <c r="S40" s="1903"/>
      <c r="T40" s="1555"/>
      <c r="U40" s="1910"/>
      <c r="V40" s="379">
        <f>V34-R34</f>
        <v>13.504000000000003</v>
      </c>
      <c r="W40" s="1903"/>
      <c r="X40" s="1555"/>
      <c r="Z40" s="379">
        <f>Z34-V34</f>
        <v>-28.663000000000004</v>
      </c>
      <c r="AA40" s="1903"/>
      <c r="AB40" s="1555"/>
      <c r="AD40" s="379">
        <f>AD34-Z34</f>
        <v>14.705000000000013</v>
      </c>
      <c r="AE40" s="1903"/>
      <c r="AF40" s="1555"/>
      <c r="AH40" s="379">
        <f>AH34-AD34</f>
        <v>-3.7180000000000035</v>
      </c>
      <c r="AI40" s="1903"/>
      <c r="AJ40" s="1555"/>
      <c r="AL40" s="379">
        <f>AL34-AH34</f>
        <v>-5.757000000000005</v>
      </c>
      <c r="AM40" s="1903"/>
      <c r="AN40" s="1555"/>
      <c r="AP40" s="379">
        <f>AP34-AL34</f>
        <v>-86.953000000000003</v>
      </c>
      <c r="AQ40" s="1903"/>
      <c r="AR40" s="1555"/>
      <c r="AT40" s="379">
        <f>AT34-AP34</f>
        <v>68.527000000000072</v>
      </c>
      <c r="AU40" s="1903"/>
      <c r="AV40" s="1555"/>
      <c r="AX40" s="379">
        <f>AX34-AT34</f>
        <v>100.76599999999993</v>
      </c>
      <c r="AY40" s="1903"/>
      <c r="AZ40" s="1555"/>
      <c r="BB40" s="379">
        <f>BB34-AX34</f>
        <v>91.608000000000004</v>
      </c>
      <c r="BC40" s="1903"/>
      <c r="BD40" s="1555"/>
      <c r="BF40" s="379">
        <f>BF34-BB34</f>
        <v>-63.945999999999941</v>
      </c>
      <c r="BG40" s="1903"/>
      <c r="BH40" s="1555"/>
      <c r="BJ40" s="379">
        <f>BJ34-BF34</f>
        <v>36.186999999999927</v>
      </c>
      <c r="BK40" s="1903"/>
      <c r="BL40" s="1555"/>
      <c r="BN40" s="379">
        <f>BN34-BJ34</f>
        <v>-14.610999999999876</v>
      </c>
      <c r="BO40" s="1903"/>
      <c r="BP40" s="1555"/>
      <c r="BR40" s="379">
        <f>BR34-BN34</f>
        <v>-30.512000000000114</v>
      </c>
      <c r="BS40" s="1903"/>
      <c r="BT40" s="1555"/>
      <c r="BV40" s="379">
        <f>BV34-BR34</f>
        <v>99.061000000000035</v>
      </c>
      <c r="BW40" s="1903"/>
      <c r="BX40" s="1555"/>
      <c r="BZ40" s="379">
        <f>BZ34-BV34</f>
        <v>-18.133000000000038</v>
      </c>
      <c r="CD40" s="379">
        <f>CD34-BZ34</f>
        <v>53.950999999999965</v>
      </c>
      <c r="CH40" s="379">
        <f>CH34-CD34</f>
        <v>-12.766000000000076</v>
      </c>
      <c r="CL40" s="379">
        <f>CL34-CH34</f>
        <v>-101.39499999999987</v>
      </c>
      <c r="CP40" s="379">
        <f>CP34-CL34</f>
        <v>32.788000000000011</v>
      </c>
    </row>
    <row r="41" spans="1:96">
      <c r="A41" s="22" t="str">
        <f>$A$11</f>
        <v>2Q</v>
      </c>
      <c r="B41" s="22" t="str">
        <f>$B$11</f>
        <v>Jul</v>
      </c>
      <c r="D41" s="1500"/>
      <c r="E41" s="1500"/>
      <c r="F41" s="1500">
        <f>F35-D35</f>
        <v>-1.2619999999999933</v>
      </c>
      <c r="G41" s="1500"/>
      <c r="H41" s="1500"/>
      <c r="I41" s="1500"/>
      <c r="J41" s="1500">
        <f>J35-F35</f>
        <v>35.619999999999997</v>
      </c>
      <c r="K41" s="1500"/>
      <c r="L41" s="1500"/>
      <c r="M41" s="1500"/>
      <c r="N41" s="1500">
        <f>N35-J35</f>
        <v>-45.500999999999991</v>
      </c>
      <c r="O41" s="1500"/>
      <c r="P41" s="1500"/>
      <c r="Q41" s="1500"/>
      <c r="R41" s="1500">
        <f>R35-N35</f>
        <v>-42.288000000000011</v>
      </c>
      <c r="S41" s="1500"/>
      <c r="T41" s="1500"/>
      <c r="U41" s="1500"/>
      <c r="V41" s="1500">
        <f>V35-R35</f>
        <v>27.684000000000012</v>
      </c>
      <c r="W41" s="1910"/>
      <c r="X41" s="1910"/>
      <c r="Z41" s="1500">
        <f>Z35-V35</f>
        <v>23.850999999999992</v>
      </c>
      <c r="AA41" s="1910"/>
      <c r="AB41" s="1910"/>
      <c r="AD41" s="1500">
        <f>AD35-Z35</f>
        <v>23.205000000000027</v>
      </c>
      <c r="AE41" s="1910"/>
      <c r="AF41" s="1910"/>
      <c r="AH41" s="1500">
        <f>AH35-AD35</f>
        <v>-7.0370000000000346</v>
      </c>
      <c r="AI41" s="1910"/>
      <c r="AJ41" s="1910"/>
      <c r="AL41" s="1500">
        <f>AL35-AH35</f>
        <v>-6.6020000000000323</v>
      </c>
      <c r="AM41" s="1910"/>
      <c r="AN41" s="1910"/>
      <c r="AP41" s="1500">
        <f>AP35-AL35</f>
        <v>-98.470999999999947</v>
      </c>
      <c r="AQ41" s="1910"/>
      <c r="AR41" s="1910"/>
      <c r="AT41" s="1500">
        <f>AT35-AP35</f>
        <v>178.21500000000003</v>
      </c>
      <c r="AU41" s="1910"/>
      <c r="AV41" s="1910"/>
      <c r="AX41" s="1500">
        <f>AX35-AT35</f>
        <v>39.269999999999897</v>
      </c>
      <c r="AY41" s="1910"/>
      <c r="AZ41" s="1910"/>
      <c r="BB41" s="1500">
        <f>BB35-AX35</f>
        <v>35.484000000000037</v>
      </c>
      <c r="BC41" s="1910"/>
      <c r="BD41" s="1910"/>
      <c r="BF41" s="1500">
        <f>BF35-BB35</f>
        <v>31.582000000000107</v>
      </c>
      <c r="BG41" s="1910"/>
      <c r="BH41" s="1910"/>
      <c r="BJ41" s="1500">
        <f>BJ35-BF35</f>
        <v>-83.019000000000005</v>
      </c>
      <c r="BK41" s="1910"/>
      <c r="BL41" s="1910"/>
      <c r="BN41" s="1500">
        <f>BN35-BJ35</f>
        <v>78.820999999999913</v>
      </c>
      <c r="BO41" s="1910"/>
      <c r="BP41" s="1910"/>
      <c r="BR41" s="1500">
        <f>BR35-BN35</f>
        <v>-3.3149999999999977</v>
      </c>
      <c r="BS41" s="1910"/>
      <c r="BT41" s="1910"/>
      <c r="BV41" s="1500">
        <f>BV35-BR35</f>
        <v>138.06600000000003</v>
      </c>
      <c r="BW41" s="1910"/>
      <c r="BX41" s="1910"/>
      <c r="BZ41" s="1500">
        <f>BZ35-BV35</f>
        <v>-10.686000000000035</v>
      </c>
      <c r="CD41" s="1500">
        <f>CD35-BZ35</f>
        <v>-34.890999999999906</v>
      </c>
      <c r="CH41" s="379">
        <f>CH35-CD35</f>
        <v>-114.20900000000006</v>
      </c>
      <c r="CL41" s="379">
        <f>CL35-CH35</f>
        <v>-24.530999999999949</v>
      </c>
      <c r="CP41" s="1500">
        <f>CP35-CL35</f>
        <v>11.872999999999877</v>
      </c>
    </row>
    <row r="42" spans="1:96">
      <c r="A42" s="22" t="str">
        <f>$A$12</f>
        <v>3Q</v>
      </c>
      <c r="B42" s="22" t="str">
        <f>$B$12</f>
        <v>Oct</v>
      </c>
      <c r="D42" s="1500"/>
      <c r="E42" s="1500"/>
      <c r="F42" s="1500">
        <f>F36-D36</f>
        <v>-0.2850000000000108</v>
      </c>
      <c r="G42" s="1500"/>
      <c r="H42" s="1500"/>
      <c r="I42" s="1500"/>
      <c r="J42" s="1500">
        <f>J36-F36</f>
        <v>-9.1249999999999929</v>
      </c>
      <c r="K42" s="1500"/>
      <c r="L42" s="1500"/>
      <c r="M42" s="1500"/>
      <c r="N42" s="1500">
        <f>N36-J36</f>
        <v>9.5619999999999834</v>
      </c>
      <c r="O42" s="1500"/>
      <c r="P42" s="1500"/>
      <c r="Q42" s="1500"/>
      <c r="R42" s="1500">
        <f>R36-N36</f>
        <v>-27.559999999999988</v>
      </c>
      <c r="S42" s="1500"/>
      <c r="T42" s="1500"/>
      <c r="U42" s="1500"/>
      <c r="V42" s="1500">
        <f>V36-R36</f>
        <v>-28.882000000000019</v>
      </c>
      <c r="W42" s="1910"/>
      <c r="X42" s="1910"/>
      <c r="Z42" s="1500">
        <f>Z36-V36</f>
        <v>33.339000000000027</v>
      </c>
      <c r="AA42" s="1910"/>
      <c r="AB42" s="1910"/>
      <c r="AD42" s="1500">
        <f>AD36-Z36</f>
        <v>65.078000000000003</v>
      </c>
      <c r="AE42" s="1910"/>
      <c r="AF42" s="1910"/>
      <c r="AH42" s="1500">
        <f>AH36-AD36</f>
        <v>-22.586000000000041</v>
      </c>
      <c r="AI42" s="1910"/>
      <c r="AJ42" s="1910"/>
      <c r="AL42" s="1500">
        <f>AL36-AH36</f>
        <v>-40.448999999999955</v>
      </c>
      <c r="AM42" s="1910"/>
      <c r="AN42" s="1910"/>
      <c r="AP42" s="1500">
        <f>AP36-AL36</f>
        <v>-97.847000000000037</v>
      </c>
      <c r="AQ42" s="1910"/>
      <c r="AR42" s="1910"/>
      <c r="AT42" s="1500">
        <f>AT36-AP36</f>
        <v>182.58299999999997</v>
      </c>
      <c r="AU42" s="1910"/>
      <c r="AV42" s="1910"/>
      <c r="AX42" s="1500">
        <f>AX36-AT36</f>
        <v>43.08400000000006</v>
      </c>
      <c r="AY42" s="1910"/>
      <c r="AZ42" s="1910"/>
      <c r="BB42" s="1500">
        <f>BB36-AX36</f>
        <v>-21.588999999999942</v>
      </c>
      <c r="BC42" s="1910"/>
      <c r="BD42" s="1910"/>
      <c r="BF42" s="1500">
        <f>BF36-BB36</f>
        <v>47.17799999999994</v>
      </c>
      <c r="BG42" s="1910"/>
      <c r="BH42" s="1910"/>
      <c r="BJ42" s="1500">
        <f>BJ36-BF36</f>
        <v>6.7280000000000655</v>
      </c>
      <c r="BK42" s="1910"/>
      <c r="BL42" s="1910"/>
      <c r="BN42" s="1500">
        <f>BN36-BJ36</f>
        <v>62.7469999999999</v>
      </c>
      <c r="BO42" s="1910"/>
      <c r="BP42" s="1910"/>
      <c r="BR42" s="1500">
        <f>BR36-BN36</f>
        <v>28.024000000000058</v>
      </c>
      <c r="BS42" s="1910"/>
      <c r="BT42" s="1910"/>
      <c r="BV42" s="1500">
        <f>BV36-BR36</f>
        <v>-17.739000000000033</v>
      </c>
      <c r="BW42" s="1910"/>
      <c r="BX42" s="1910"/>
      <c r="BZ42" s="1500">
        <f>BZ36-BV36</f>
        <v>227.65400000000005</v>
      </c>
      <c r="CD42" s="1500">
        <f>CD36-BZ36</f>
        <v>-133.36800000000005</v>
      </c>
      <c r="CH42" s="379">
        <f>CH36-CD36</f>
        <v>-142.48999999999995</v>
      </c>
      <c r="CL42" s="379">
        <f>CL36-CH36</f>
        <v>-8.0140000000001237</v>
      </c>
      <c r="CP42" s="1500">
        <f>CP36-CL36</f>
        <v>-5.6369999999998868</v>
      </c>
    </row>
    <row r="43" spans="1:96">
      <c r="A43" s="22" t="str">
        <f>$A$13</f>
        <v>4Q</v>
      </c>
      <c r="B43" s="22" t="str">
        <f>$B$13</f>
        <v>Jan</v>
      </c>
      <c r="D43" s="1500"/>
      <c r="E43" s="1500"/>
      <c r="F43" s="1500">
        <f>F37-D37</f>
        <v>-9.3830000000000044</v>
      </c>
      <c r="G43" s="1500"/>
      <c r="H43" s="1500"/>
      <c r="I43" s="1500"/>
      <c r="J43" s="1500">
        <f>J37-F37</f>
        <v>1.2550000000000026</v>
      </c>
      <c r="K43" s="1500"/>
      <c r="L43" s="1500"/>
      <c r="M43" s="1500"/>
      <c r="N43" s="1500">
        <f>N37-J37</f>
        <v>-43.97999999999999</v>
      </c>
      <c r="O43" s="1500"/>
      <c r="P43" s="1500"/>
      <c r="Q43" s="1500"/>
      <c r="R43" s="1500">
        <f>R37-N37</f>
        <v>55.778999999999996</v>
      </c>
      <c r="S43" s="1500"/>
      <c r="T43" s="1500"/>
      <c r="U43" s="1500"/>
      <c r="V43" s="1500">
        <f>V37-R37</f>
        <v>52.062999999999988</v>
      </c>
      <c r="W43" s="1910"/>
      <c r="X43" s="1910"/>
      <c r="Z43" s="1500">
        <f>Z37-V37</f>
        <v>-71.658000000000015</v>
      </c>
      <c r="AA43" s="1910"/>
      <c r="AB43" s="1910"/>
      <c r="AD43" s="1500">
        <f>AD37-Z37</f>
        <v>80.350000000000051</v>
      </c>
      <c r="AE43" s="1910"/>
      <c r="AF43" s="1910"/>
      <c r="AH43" s="1500">
        <f>AH37-AD37</f>
        <v>-85.301000000000045</v>
      </c>
      <c r="AI43" s="1910"/>
      <c r="AJ43" s="1910"/>
      <c r="AL43" s="1500">
        <f>AL37-AH37</f>
        <v>-68.14100000000002</v>
      </c>
      <c r="AM43" s="1910"/>
      <c r="AN43" s="1910"/>
      <c r="AP43" s="1500">
        <f>AP37-AL37</f>
        <v>-22.554999999999978</v>
      </c>
      <c r="AQ43" s="1910"/>
      <c r="AR43" s="1910"/>
      <c r="AT43" s="1500">
        <f>AT37-AP37</f>
        <v>195.20100000000005</v>
      </c>
      <c r="AU43" s="1910"/>
      <c r="AV43" s="1910"/>
      <c r="AX43" s="1500">
        <f>AX37-AT37</f>
        <v>45.217999999999989</v>
      </c>
      <c r="AY43" s="1910"/>
      <c r="AZ43" s="1910"/>
      <c r="BB43" s="1500">
        <f>BB37-AX37</f>
        <v>-117.28200000000004</v>
      </c>
      <c r="BC43" s="1910"/>
      <c r="BD43" s="1910"/>
      <c r="BF43" s="1500">
        <f>BF37-BB37</f>
        <v>108.26900000000001</v>
      </c>
      <c r="BG43" s="1910"/>
      <c r="BH43" s="1910"/>
      <c r="BJ43" s="1500">
        <f>BJ37-BF37</f>
        <v>-55.455999999999904</v>
      </c>
      <c r="BK43" s="1910"/>
      <c r="BL43" s="1910"/>
      <c r="BN43" s="1500">
        <f>BN37-BJ37</f>
        <v>-25.841000000000122</v>
      </c>
      <c r="BO43" s="1910"/>
      <c r="BP43" s="1910"/>
      <c r="BR43" s="1500">
        <f>BR37-BN37</f>
        <v>66.30900000000014</v>
      </c>
      <c r="BS43" s="1910"/>
      <c r="BT43" s="1910"/>
      <c r="BV43" s="1500">
        <f>BV37-BR37</f>
        <v>-140.85500000000008</v>
      </c>
      <c r="BW43" s="1910"/>
      <c r="BX43" s="1910"/>
      <c r="BZ43" s="1500">
        <f>BZ37-BV37</f>
        <v>193.70999999999998</v>
      </c>
      <c r="CD43" s="1500">
        <f>CD37-BZ37</f>
        <v>-6.8179999999999836</v>
      </c>
      <c r="CH43" s="379">
        <f>CH37-CD37</f>
        <v>-104.71100000000001</v>
      </c>
      <c r="CL43" s="379">
        <f>CL37-CH37</f>
        <v>50.411999999999978</v>
      </c>
      <c r="CP43" s="1500">
        <f>CP37-CL37</f>
        <v>-24.675600000000088</v>
      </c>
    </row>
    <row r="44" spans="1:96">
      <c r="AH44" s="1500"/>
      <c r="AL44" s="1500"/>
      <c r="AP44" s="1500"/>
      <c r="AT44" s="1500"/>
      <c r="AX44" s="1500"/>
      <c r="BB44" s="1500"/>
      <c r="BF44" s="1500"/>
      <c r="BJ44" s="1500"/>
      <c r="BN44" s="1500"/>
      <c r="BR44" s="1500"/>
      <c r="BV44" s="1500"/>
    </row>
    <row r="48" spans="1:96">
      <c r="A48" s="22" t="s">
        <v>280</v>
      </c>
    </row>
  </sheetData>
  <phoneticPr fontId="0" type="noConversion"/>
  <printOptions horizontalCentered="1"/>
  <pageMargins left="0.25" right="0.25" top="0.75" bottom="0.25" header="0.5" footer="0.5"/>
  <pageSetup orientation="portrait" r:id="rId1"/>
  <headerFooter alignWithMargins="0">
    <oddFooter>&amp;R&amp;8&amp;D/&amp;T
&amp;F/&amp;A</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O188"/>
  <sheetViews>
    <sheetView zoomScaleNormal="100" workbookViewId="0">
      <pane xSplit="3" ySplit="8" topLeftCell="D154" activePane="bottomRight" state="frozen"/>
      <selection activeCell="P42" sqref="P42"/>
      <selection pane="topRight" activeCell="P42" sqref="P42"/>
      <selection pane="bottomLeft" activeCell="P42" sqref="P42"/>
      <selection pane="bottomRight" activeCell="AF185" sqref="AF185"/>
    </sheetView>
  </sheetViews>
  <sheetFormatPr defaultRowHeight="12.75" outlineLevelRow="1"/>
  <cols>
    <col min="1" max="1" width="2.85546875" customWidth="1"/>
    <col min="2" max="2" width="6.140625" customWidth="1"/>
    <col min="3" max="3" width="1.7109375" customWidth="1"/>
    <col min="4" max="4" width="8.5703125" customWidth="1"/>
    <col min="5" max="5" width="1.7109375" customWidth="1"/>
    <col min="6" max="6" width="8.5703125" customWidth="1"/>
    <col min="7" max="7" width="1.7109375" customWidth="1"/>
    <col min="8" max="8" width="7.42578125" customWidth="1"/>
    <col min="9" max="9" width="1.7109375" customWidth="1"/>
    <col min="10" max="10" width="7.42578125" customWidth="1"/>
    <col min="11" max="11" width="1.7109375" customWidth="1"/>
    <col min="12" max="12" width="7.85546875" customWidth="1"/>
    <col min="13" max="13" width="1.7109375" customWidth="1"/>
    <col min="14" max="14" width="7.7109375" customWidth="1"/>
    <col min="15" max="15" width="1.7109375" customWidth="1"/>
    <col min="16" max="16" width="7.7109375" customWidth="1"/>
    <col min="17" max="17" width="1.7109375" customWidth="1"/>
    <col min="18" max="18" width="8.85546875" customWidth="1"/>
    <col min="19" max="19" width="1.7109375" customWidth="1"/>
    <col min="20" max="20" width="8.85546875" customWidth="1"/>
    <col min="21" max="21" width="1.7109375" customWidth="1"/>
    <col min="22" max="22" width="8.140625" customWidth="1"/>
    <col min="23" max="23" width="1.7109375" customWidth="1"/>
    <col min="24" max="24" width="8.140625" customWidth="1"/>
    <col min="25" max="25" width="1.7109375" customWidth="1"/>
    <col min="26" max="26" width="8.140625" customWidth="1"/>
    <col min="27" max="27" width="1.7109375" customWidth="1"/>
    <col min="28" max="28" width="8.140625" customWidth="1"/>
    <col min="29" max="29" width="1.7109375" customWidth="1"/>
    <col min="30" max="30" width="8.140625" customWidth="1"/>
    <col min="31" max="31" width="1.7109375" customWidth="1"/>
    <col min="32" max="32" width="8.140625" customWidth="1"/>
    <col min="33" max="33" width="4.5703125" bestFit="1" customWidth="1"/>
    <col min="34" max="34" width="12.42578125" bestFit="1" customWidth="1"/>
    <col min="35" max="35" width="1.42578125" customWidth="1"/>
    <col min="36" max="36" width="6.7109375" customWidth="1"/>
  </cols>
  <sheetData>
    <row r="1" spans="1:41">
      <c r="A1" s="24" t="str">
        <f>'qtrP&amp;L'!A1</f>
        <v>Abercrombie &amp; Fitch</v>
      </c>
      <c r="B1" s="64"/>
      <c r="C1" s="24"/>
      <c r="D1" s="24"/>
      <c r="E1" s="36"/>
      <c r="F1" s="24"/>
      <c r="G1" s="24"/>
      <c r="H1" s="24"/>
      <c r="I1" s="36"/>
      <c r="J1" s="40"/>
      <c r="K1" s="40"/>
      <c r="L1" s="40"/>
      <c r="M1" s="41"/>
      <c r="N1" s="40"/>
      <c r="O1" s="41"/>
      <c r="P1" s="40"/>
      <c r="Q1" s="40"/>
      <c r="R1" s="41"/>
      <c r="S1" s="40"/>
      <c r="T1" s="40"/>
      <c r="U1" s="41"/>
      <c r="V1" s="41"/>
      <c r="W1" s="40"/>
      <c r="X1" s="40"/>
      <c r="Y1" s="40"/>
      <c r="Z1" s="40"/>
      <c r="AA1" s="40"/>
      <c r="AB1" s="41"/>
      <c r="AC1" s="40"/>
      <c r="AD1" s="40"/>
      <c r="AE1" s="40"/>
      <c r="AF1" s="40"/>
      <c r="AG1" s="237"/>
      <c r="AH1" s="40"/>
      <c r="AI1" s="40"/>
      <c r="AJ1" s="40"/>
      <c r="AK1" s="40"/>
      <c r="AL1" s="40"/>
      <c r="AM1" s="40"/>
      <c r="AN1" s="40"/>
      <c r="AO1" s="40"/>
    </row>
    <row r="2" spans="1:41">
      <c r="A2" s="25" t="s">
        <v>739</v>
      </c>
      <c r="B2" s="65"/>
      <c r="C2" s="25"/>
      <c r="D2" s="25"/>
      <c r="E2" s="37"/>
      <c r="F2" s="25"/>
      <c r="G2" s="25"/>
      <c r="H2" s="25"/>
      <c r="I2" s="37"/>
      <c r="J2" s="25"/>
      <c r="K2" s="25"/>
      <c r="L2" s="25"/>
      <c r="M2" s="37"/>
      <c r="N2" s="25"/>
      <c r="O2" s="37"/>
      <c r="P2" s="25"/>
      <c r="Q2" s="25"/>
      <c r="R2" s="37"/>
      <c r="S2" s="25"/>
      <c r="T2" s="25"/>
      <c r="U2" s="37"/>
      <c r="V2" s="37"/>
      <c r="W2" s="25"/>
      <c r="X2" s="25"/>
      <c r="Y2" s="25"/>
      <c r="Z2" s="25"/>
      <c r="AA2" s="25"/>
      <c r="AB2" s="37"/>
      <c r="AC2" s="25"/>
      <c r="AD2" s="25"/>
      <c r="AE2" s="25"/>
      <c r="AF2" s="25"/>
      <c r="AG2" s="65"/>
      <c r="AH2" s="40"/>
      <c r="AI2" s="40"/>
      <c r="AJ2" s="40"/>
      <c r="AK2" s="40"/>
      <c r="AL2" s="40"/>
      <c r="AM2" s="40"/>
      <c r="AN2" s="40"/>
      <c r="AO2" s="40"/>
    </row>
    <row r="3" spans="1:41" ht="12.75" customHeight="1">
      <c r="A3" s="51" t="s">
        <v>285</v>
      </c>
      <c r="B3" s="52"/>
      <c r="C3" s="51"/>
      <c r="D3" s="52"/>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274"/>
      <c r="AH3" s="51"/>
      <c r="AI3" s="51"/>
      <c r="AJ3" s="51"/>
      <c r="AK3" s="51"/>
      <c r="AL3" s="51"/>
      <c r="AM3" s="51"/>
      <c r="AN3" s="51"/>
      <c r="AO3" s="51"/>
    </row>
    <row r="4" spans="1:41">
      <c r="A4" s="61"/>
      <c r="B4" s="61"/>
      <c r="C4" s="61"/>
      <c r="D4" s="61"/>
      <c r="E4" s="61"/>
      <c r="F4" s="61"/>
      <c r="G4" s="61"/>
      <c r="H4" s="61"/>
      <c r="I4" s="61"/>
      <c r="J4" s="61"/>
      <c r="K4" s="61"/>
      <c r="L4" s="61"/>
      <c r="M4" s="61"/>
      <c r="N4" s="61"/>
      <c r="O4" s="61"/>
      <c r="P4" s="61"/>
      <c r="Q4" s="61"/>
      <c r="R4" s="61"/>
      <c r="S4" s="61"/>
      <c r="T4" s="61"/>
      <c r="U4" s="61"/>
      <c r="V4" s="61"/>
      <c r="W4" s="61"/>
      <c r="X4" s="61"/>
      <c r="Y4" s="61"/>
      <c r="Z4" s="61"/>
      <c r="AA4" s="61"/>
      <c r="AB4" s="61"/>
      <c r="AC4" s="61"/>
      <c r="AD4" s="61"/>
      <c r="AE4" s="61"/>
      <c r="AF4" s="61"/>
      <c r="AG4" s="241"/>
      <c r="AH4" s="61"/>
      <c r="AI4" s="61"/>
      <c r="AJ4" s="61"/>
      <c r="AK4" s="61"/>
      <c r="AL4" s="61"/>
      <c r="AM4" s="61"/>
      <c r="AN4" s="61"/>
      <c r="AO4" s="61"/>
    </row>
    <row r="5" spans="1:41">
      <c r="A5" s="61"/>
      <c r="B5" s="61"/>
      <c r="C5" s="61"/>
      <c r="D5" s="60"/>
      <c r="E5" s="60"/>
      <c r="F5" s="60"/>
      <c r="G5" s="60" t="s">
        <v>156</v>
      </c>
      <c r="H5" s="60"/>
      <c r="I5" s="60"/>
      <c r="J5" s="60"/>
      <c r="K5" s="61"/>
      <c r="L5" s="60"/>
      <c r="M5" s="60"/>
      <c r="N5" s="60"/>
      <c r="O5" s="60" t="s">
        <v>157</v>
      </c>
      <c r="P5" s="60"/>
      <c r="Q5" s="61"/>
      <c r="R5" s="61"/>
      <c r="S5" s="61" t="s">
        <v>158</v>
      </c>
      <c r="T5" s="61"/>
      <c r="U5" s="61"/>
      <c r="V5" s="60"/>
      <c r="W5" s="60"/>
      <c r="X5" s="60" t="s">
        <v>159</v>
      </c>
      <c r="Y5" s="60"/>
      <c r="Z5" s="60"/>
      <c r="AA5" s="61"/>
      <c r="AB5" s="60"/>
      <c r="AC5" s="60"/>
      <c r="AD5" s="60" t="s">
        <v>270</v>
      </c>
      <c r="AE5" s="60"/>
      <c r="AF5" s="60"/>
      <c r="AG5" s="241"/>
      <c r="AH5" s="62"/>
      <c r="AI5" s="265" t="s">
        <v>30</v>
      </c>
      <c r="AJ5" s="61"/>
      <c r="AK5" s="61"/>
      <c r="AL5" s="61"/>
      <c r="AM5" s="61"/>
      <c r="AN5" s="61"/>
      <c r="AO5" s="61"/>
    </row>
    <row r="6" spans="1:41">
      <c r="A6" s="61"/>
      <c r="B6" s="61"/>
      <c r="C6" s="61"/>
      <c r="D6" s="62"/>
      <c r="E6" s="62"/>
      <c r="F6" s="62"/>
      <c r="G6" s="61"/>
      <c r="H6" s="60"/>
      <c r="I6" s="60" t="s">
        <v>160</v>
      </c>
      <c r="J6" s="60"/>
      <c r="K6" s="61"/>
      <c r="L6" s="61" t="s">
        <v>145</v>
      </c>
      <c r="M6" s="61"/>
      <c r="N6" s="69"/>
      <c r="O6" s="69" t="s">
        <v>161</v>
      </c>
      <c r="P6" s="69"/>
      <c r="Q6" s="61"/>
      <c r="R6" s="60"/>
      <c r="S6" s="60" t="s">
        <v>203</v>
      </c>
      <c r="T6" s="60"/>
      <c r="U6" s="61"/>
      <c r="V6" s="61" t="s">
        <v>162</v>
      </c>
      <c r="W6" s="61"/>
      <c r="X6" s="61" t="s">
        <v>160</v>
      </c>
      <c r="Y6" s="61"/>
      <c r="Z6" s="61" t="s">
        <v>163</v>
      </c>
      <c r="AA6" s="61"/>
      <c r="AB6" s="61" t="s">
        <v>271</v>
      </c>
      <c r="AC6" s="61"/>
      <c r="AD6" s="61" t="s">
        <v>160</v>
      </c>
      <c r="AE6" s="61"/>
      <c r="AF6" s="61" t="s">
        <v>163</v>
      </c>
      <c r="AG6" s="241"/>
      <c r="AH6" s="60"/>
      <c r="AI6" s="266" t="s">
        <v>31</v>
      </c>
      <c r="AJ6" s="61"/>
      <c r="AK6" s="61"/>
      <c r="AL6" s="61"/>
      <c r="AM6" s="61"/>
      <c r="AN6" s="61"/>
      <c r="AO6" s="61"/>
    </row>
    <row r="7" spans="1:41">
      <c r="A7" s="61"/>
      <c r="B7" s="61"/>
      <c r="C7" s="61"/>
      <c r="D7" s="61"/>
      <c r="E7" s="61"/>
      <c r="F7" s="61" t="s">
        <v>164</v>
      </c>
      <c r="G7" s="61"/>
      <c r="H7" s="61" t="s">
        <v>165</v>
      </c>
      <c r="I7" s="61"/>
      <c r="J7" s="61"/>
      <c r="K7" s="61"/>
      <c r="L7" s="61" t="s">
        <v>202</v>
      </c>
      <c r="M7" s="61"/>
      <c r="N7" s="61" t="s">
        <v>166</v>
      </c>
      <c r="O7" s="61"/>
      <c r="P7" s="61" t="s">
        <v>166</v>
      </c>
      <c r="Q7" s="61"/>
      <c r="R7" s="61"/>
      <c r="S7" s="61"/>
      <c r="T7" s="61" t="s">
        <v>167</v>
      </c>
      <c r="U7" s="61"/>
      <c r="V7" s="61" t="s">
        <v>168</v>
      </c>
      <c r="W7" s="61"/>
      <c r="X7" s="61" t="s">
        <v>169</v>
      </c>
      <c r="Y7" s="61"/>
      <c r="Z7" s="61" t="s">
        <v>76</v>
      </c>
      <c r="AA7" s="61"/>
      <c r="AB7" s="61" t="s">
        <v>165</v>
      </c>
      <c r="AC7" s="61"/>
      <c r="AD7" s="61" t="s">
        <v>169</v>
      </c>
      <c r="AE7" s="61"/>
      <c r="AF7" s="61" t="s">
        <v>76</v>
      </c>
      <c r="AG7" s="241"/>
      <c r="AH7" s="61"/>
      <c r="AI7" s="267" t="s">
        <v>11</v>
      </c>
      <c r="AJ7" s="61"/>
      <c r="AK7" s="61"/>
      <c r="AL7" s="61"/>
      <c r="AM7" s="61"/>
      <c r="AN7" s="61"/>
      <c r="AO7" s="61"/>
    </row>
    <row r="8" spans="1:41">
      <c r="A8" s="61"/>
      <c r="B8" s="61"/>
      <c r="C8" s="61"/>
      <c r="D8" s="60" t="s">
        <v>145</v>
      </c>
      <c r="E8" s="61"/>
      <c r="F8" s="60" t="s">
        <v>171</v>
      </c>
      <c r="G8" s="61"/>
      <c r="H8" s="60" t="s">
        <v>172</v>
      </c>
      <c r="I8" s="61"/>
      <c r="J8" s="60" t="s">
        <v>173</v>
      </c>
      <c r="K8" s="61"/>
      <c r="L8" s="60" t="s">
        <v>174</v>
      </c>
      <c r="M8" s="61"/>
      <c r="N8" s="60" t="s">
        <v>119</v>
      </c>
      <c r="O8" s="61"/>
      <c r="P8" s="60" t="s">
        <v>172</v>
      </c>
      <c r="Q8" s="61"/>
      <c r="R8" s="60" t="s">
        <v>204</v>
      </c>
      <c r="S8" s="61"/>
      <c r="T8" s="60" t="s">
        <v>205</v>
      </c>
      <c r="U8" s="61"/>
      <c r="V8" s="60" t="s">
        <v>206</v>
      </c>
      <c r="W8" s="61"/>
      <c r="X8" s="60" t="s">
        <v>175</v>
      </c>
      <c r="Y8" s="61"/>
      <c r="Z8" s="60" t="s">
        <v>176</v>
      </c>
      <c r="AA8" s="61"/>
      <c r="AB8" s="60" t="s">
        <v>172</v>
      </c>
      <c r="AC8" s="61"/>
      <c r="AD8" s="60" t="s">
        <v>272</v>
      </c>
      <c r="AE8" s="61"/>
      <c r="AF8" s="60" t="s">
        <v>176</v>
      </c>
      <c r="AG8" s="241"/>
      <c r="AH8" s="60"/>
      <c r="AI8" s="266" t="s">
        <v>33</v>
      </c>
      <c r="AJ8" s="61"/>
      <c r="AK8" s="61"/>
      <c r="AL8" s="61"/>
      <c r="AM8" s="61"/>
      <c r="AN8" s="61"/>
      <c r="AO8" s="61"/>
    </row>
    <row r="9" spans="1:41">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66"/>
      <c r="AH9" s="234"/>
      <c r="AI9" s="234"/>
      <c r="AJ9" s="23"/>
      <c r="AK9" s="23"/>
      <c r="AL9" s="23"/>
      <c r="AM9" s="23"/>
      <c r="AN9" s="23"/>
      <c r="AO9" s="23"/>
    </row>
    <row r="10" spans="1:41" hidden="1" outlineLevel="1">
      <c r="A10" s="23"/>
      <c r="B10" s="67">
        <v>1994</v>
      </c>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66"/>
      <c r="AH10" s="87"/>
      <c r="AI10" s="87"/>
      <c r="AJ10" s="23"/>
      <c r="AK10" s="23"/>
      <c r="AL10" s="23"/>
      <c r="AM10" s="23"/>
      <c r="AN10" s="23"/>
      <c r="AO10" s="23"/>
    </row>
    <row r="11" spans="1:41" hidden="1" outlineLevel="1">
      <c r="A11" s="23" t="str">
        <f>'qtrP&amp;L'!A10</f>
        <v>1Q</v>
      </c>
      <c r="B11" s="23" t="str">
        <f>'qtrP&amp;L'!B10</f>
        <v>Apr</v>
      </c>
      <c r="C11" s="23"/>
      <c r="D11" s="28">
        <f>'qtrP&amp;L'!D10</f>
        <v>23.399000000000001</v>
      </c>
      <c r="E11" s="23"/>
      <c r="F11" s="28">
        <f>'qtrP&amp;L'!D20</f>
        <v>17.756</v>
      </c>
      <c r="G11" s="23"/>
      <c r="H11" s="28">
        <f>work!D10</f>
        <v>15.055999999999999</v>
      </c>
      <c r="I11" s="23"/>
      <c r="J11" s="28"/>
      <c r="K11" s="23"/>
      <c r="L11" s="23"/>
      <c r="M11" s="23"/>
      <c r="N11" s="23"/>
      <c r="O11" s="23"/>
      <c r="P11" s="23"/>
      <c r="Q11" s="23"/>
      <c r="R11" s="23"/>
      <c r="S11" s="23"/>
      <c r="T11" s="23"/>
      <c r="U11" s="23"/>
      <c r="V11" s="23">
        <f>qtrSales!J13</f>
        <v>50</v>
      </c>
      <c r="W11" s="23"/>
      <c r="X11" s="30">
        <f>H11/V11</f>
        <v>0.30112</v>
      </c>
      <c r="Y11" s="23"/>
      <c r="Z11" s="23"/>
      <c r="AA11" s="23"/>
      <c r="AB11" s="104">
        <f>qtrSales!Z13</f>
        <v>0.41199999999999998</v>
      </c>
      <c r="AC11" s="23"/>
      <c r="AD11" s="28">
        <f>H11/AB11</f>
        <v>36.543689320388353</v>
      </c>
      <c r="AE11" s="23"/>
      <c r="AF11" s="23"/>
      <c r="AG11" s="66"/>
      <c r="AH11" s="87"/>
      <c r="AI11" s="87"/>
      <c r="AJ11" s="23"/>
      <c r="AK11" s="23"/>
      <c r="AL11" s="23"/>
      <c r="AM11" s="23"/>
      <c r="AN11" s="23"/>
      <c r="AO11" s="23"/>
    </row>
    <row r="12" spans="1:41" hidden="1" outlineLevel="1">
      <c r="A12" s="23" t="str">
        <f>'qtrP&amp;L'!A11</f>
        <v>2Q</v>
      </c>
      <c r="B12" s="23" t="str">
        <f>'qtrP&amp;L'!B11</f>
        <v>Jul</v>
      </c>
      <c r="C12" s="23"/>
      <c r="D12" s="29">
        <f>'qtrP&amp;L'!D11</f>
        <v>29.045000000000002</v>
      </c>
      <c r="E12" s="23"/>
      <c r="F12" s="29">
        <f>'qtrP&amp;L'!D21</f>
        <v>20.76</v>
      </c>
      <c r="G12" s="23"/>
      <c r="H12" s="29">
        <f>work!D11</f>
        <v>24.936</v>
      </c>
      <c r="I12" s="23"/>
      <c r="J12" s="29">
        <f>AVERAGE(H11:H12)</f>
        <v>19.995999999999999</v>
      </c>
      <c r="K12" s="23"/>
      <c r="L12" s="23"/>
      <c r="M12" s="23"/>
      <c r="N12" s="23"/>
      <c r="O12" s="23"/>
      <c r="P12" s="23"/>
      <c r="Q12" s="23"/>
      <c r="R12" s="23"/>
      <c r="S12" s="23"/>
      <c r="T12" s="23"/>
      <c r="U12" s="23"/>
      <c r="V12" s="23">
        <f>qtrSales!J14</f>
        <v>56</v>
      </c>
      <c r="W12" s="23"/>
      <c r="X12" s="33">
        <f>H12/V12</f>
        <v>0.44528571428571428</v>
      </c>
      <c r="Y12" s="23"/>
      <c r="Z12" s="23"/>
      <c r="AA12" s="23"/>
      <c r="AB12" s="104">
        <f>qtrSales!Z14</f>
        <v>0.46200000000000002</v>
      </c>
      <c r="AC12" s="23"/>
      <c r="AD12" s="29">
        <f>H12/AB12</f>
        <v>53.97402597402597</v>
      </c>
      <c r="AE12" s="23"/>
      <c r="AF12" s="23"/>
      <c r="AG12" s="66"/>
      <c r="AH12" s="87"/>
      <c r="AI12" s="87"/>
      <c r="AJ12" s="23"/>
      <c r="AK12" s="23"/>
      <c r="AL12" s="23"/>
      <c r="AM12" s="23"/>
      <c r="AN12" s="23"/>
      <c r="AO12" s="23"/>
    </row>
    <row r="13" spans="1:41" hidden="1" outlineLevel="1">
      <c r="A13" s="23" t="str">
        <f>'qtrP&amp;L'!A12</f>
        <v>3Q</v>
      </c>
      <c r="B13" s="23" t="str">
        <f>'qtrP&amp;L'!B12</f>
        <v>Oct</v>
      </c>
      <c r="C13" s="23"/>
      <c r="D13" s="29">
        <f>'qtrP&amp;L'!D12</f>
        <v>38.584000000000003</v>
      </c>
      <c r="E13" s="23"/>
      <c r="F13" s="29">
        <f>'qtrP&amp;L'!D22</f>
        <v>26.768999999999998</v>
      </c>
      <c r="G13" s="23"/>
      <c r="H13" s="29">
        <f>work!D12</f>
        <v>30.349</v>
      </c>
      <c r="I13" s="23"/>
      <c r="J13" s="29">
        <f>AVERAGE(H12:H13)</f>
        <v>27.642499999999998</v>
      </c>
      <c r="K13" s="23"/>
      <c r="L13" s="23"/>
      <c r="M13" s="23"/>
      <c r="N13" s="23"/>
      <c r="O13" s="23"/>
      <c r="P13" s="23"/>
      <c r="Q13" s="23"/>
      <c r="R13" s="23"/>
      <c r="S13" s="23"/>
      <c r="T13" s="23"/>
      <c r="U13" s="23"/>
      <c r="V13" s="23">
        <f>qtrSales!J15</f>
        <v>61</v>
      </c>
      <c r="W13" s="23"/>
      <c r="X13" s="33">
        <f>H13/V13</f>
        <v>0.49752459016393441</v>
      </c>
      <c r="Y13" s="23"/>
      <c r="Z13" s="23"/>
      <c r="AA13" s="23"/>
      <c r="AB13" s="104">
        <f>qtrSales!Z15</f>
        <v>0.499</v>
      </c>
      <c r="AC13" s="23"/>
      <c r="AD13" s="29">
        <f>H13/AB13</f>
        <v>60.819639278557112</v>
      </c>
      <c r="AE13" s="23"/>
      <c r="AF13" s="23"/>
      <c r="AG13" s="66"/>
      <c r="AH13" s="87"/>
      <c r="AI13" s="87"/>
      <c r="AJ13" s="23"/>
      <c r="AK13" s="23"/>
      <c r="AL13" s="23"/>
      <c r="AM13" s="23"/>
      <c r="AN13" s="23"/>
      <c r="AO13" s="23"/>
    </row>
    <row r="14" spans="1:41" hidden="1" outlineLevel="1">
      <c r="A14" s="23" t="str">
        <f>'qtrP&amp;L'!A13</f>
        <v>4Q</v>
      </c>
      <c r="B14" s="23" t="str">
        <f>'qtrP&amp;L'!B13</f>
        <v>Jan</v>
      </c>
      <c r="C14" s="23"/>
      <c r="D14" s="32">
        <f>'qtrP&amp;L'!D13</f>
        <v>74.435000000000002</v>
      </c>
      <c r="E14" s="23"/>
      <c r="F14" s="32">
        <f>'qtrP&amp;L'!D23</f>
        <v>43.357999999999997</v>
      </c>
      <c r="G14" s="23"/>
      <c r="H14" s="75">
        <f>work!D13</f>
        <v>16.550999999999998</v>
      </c>
      <c r="I14" s="23"/>
      <c r="J14" s="32">
        <f>AVERAGE(H13:H14)</f>
        <v>23.45</v>
      </c>
      <c r="K14" s="23"/>
      <c r="L14" s="59"/>
      <c r="M14" s="23"/>
      <c r="N14" s="23"/>
      <c r="O14" s="23"/>
      <c r="P14" s="23"/>
      <c r="Q14" s="23"/>
      <c r="R14" s="23"/>
      <c r="S14" s="23"/>
      <c r="T14" s="23"/>
      <c r="U14" s="23"/>
      <c r="V14" s="23">
        <f>qtrSales!J16</f>
        <v>67</v>
      </c>
      <c r="W14" s="23"/>
      <c r="X14" s="33">
        <f>H14/V14</f>
        <v>0.24702985074626863</v>
      </c>
      <c r="Y14" s="23"/>
      <c r="Z14" s="23"/>
      <c r="AA14" s="23"/>
      <c r="AB14" s="104">
        <f>qtrSales!Z16</f>
        <v>0.54061400000000004</v>
      </c>
      <c r="AC14" s="23"/>
      <c r="AD14" s="29">
        <f>H14/AB14</f>
        <v>30.61518939576111</v>
      </c>
      <c r="AE14" s="23"/>
      <c r="AF14" s="23"/>
      <c r="AG14" s="66"/>
      <c r="AH14" s="87"/>
      <c r="AI14" s="87"/>
      <c r="AJ14" s="23"/>
      <c r="AK14" s="23"/>
      <c r="AL14" s="23"/>
      <c r="AM14" s="23"/>
      <c r="AN14" s="23"/>
      <c r="AO14" s="23"/>
    </row>
    <row r="15" spans="1:41" hidden="1" outlineLevel="1">
      <c r="A15" s="23"/>
      <c r="B15" s="23" t="str">
        <f>'qtrP&amp;L'!B14</f>
        <v>Year</v>
      </c>
      <c r="C15" s="23"/>
      <c r="D15" s="28">
        <f>SUM(D11:D14)</f>
        <v>165.46300000000002</v>
      </c>
      <c r="E15" s="23"/>
      <c r="F15" s="28">
        <f>'qtrP&amp;L'!D24</f>
        <v>108.643</v>
      </c>
      <c r="G15" s="23"/>
      <c r="H15" s="23"/>
      <c r="I15" s="23"/>
      <c r="J15" s="28">
        <f>AVERAGE(J11:J14)</f>
        <v>23.696166666666667</v>
      </c>
      <c r="K15" s="23"/>
      <c r="L15" s="23"/>
      <c r="M15" s="23"/>
      <c r="N15" s="23"/>
      <c r="O15" s="23"/>
      <c r="P15" s="23"/>
      <c r="Q15" s="23"/>
      <c r="R15" s="70"/>
      <c r="S15" s="71"/>
      <c r="T15" s="23"/>
      <c r="U15" s="23"/>
      <c r="V15" s="23"/>
      <c r="W15" s="23"/>
      <c r="X15" s="23"/>
      <c r="Y15" s="23"/>
      <c r="Z15" s="23"/>
      <c r="AA15" s="23"/>
      <c r="AB15" s="104"/>
      <c r="AC15" s="23"/>
      <c r="AD15" s="23"/>
      <c r="AE15" s="23"/>
      <c r="AF15" s="23"/>
      <c r="AG15" s="66"/>
      <c r="AH15" s="87"/>
      <c r="AI15" s="87"/>
      <c r="AJ15" s="23"/>
      <c r="AK15" s="23"/>
      <c r="AL15" s="23"/>
      <c r="AM15" s="23"/>
      <c r="AN15" s="23"/>
      <c r="AO15" s="23"/>
    </row>
    <row r="16" spans="1:41" hidden="1" outlineLevel="1">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104"/>
      <c r="AC16" s="23"/>
      <c r="AD16" s="23"/>
      <c r="AE16" s="23"/>
      <c r="AF16" s="23"/>
      <c r="AG16" s="66"/>
      <c r="AH16" s="87"/>
      <c r="AI16" s="87"/>
      <c r="AJ16" s="23"/>
      <c r="AK16" s="23"/>
      <c r="AL16" s="23"/>
      <c r="AM16" s="23"/>
      <c r="AN16" s="23"/>
      <c r="AO16" s="23"/>
    </row>
    <row r="17" spans="1:41" hidden="1" outlineLevel="1">
      <c r="A17" s="23"/>
      <c r="B17" s="63">
        <f>B10+1</f>
        <v>1995</v>
      </c>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104"/>
      <c r="AC17" s="23"/>
      <c r="AD17" s="23"/>
      <c r="AE17" s="23"/>
      <c r="AF17" s="23"/>
      <c r="AG17" s="66"/>
      <c r="AH17" s="87"/>
      <c r="AI17" s="87"/>
      <c r="AJ17" s="23"/>
      <c r="AK17" s="23"/>
      <c r="AL17" s="23"/>
      <c r="AM17" s="23"/>
      <c r="AN17" s="23"/>
      <c r="AO17" s="23"/>
    </row>
    <row r="18" spans="1:41" hidden="1" outlineLevel="1">
      <c r="A18" s="23" t="str">
        <f>$A$11</f>
        <v>1Q</v>
      </c>
      <c r="B18" s="23" t="str">
        <f>$B$11</f>
        <v>Apr</v>
      </c>
      <c r="C18" s="23"/>
      <c r="D18" s="28">
        <f>'qtrP&amp;L'!H10</f>
        <v>33.377000000000002</v>
      </c>
      <c r="E18" s="23"/>
      <c r="F18" s="28">
        <f>'qtrP&amp;L'!H20</f>
        <v>24.949000000000002</v>
      </c>
      <c r="G18" s="23"/>
      <c r="H18" s="28">
        <f>work!F10</f>
        <v>20.922999999999998</v>
      </c>
      <c r="I18" s="23"/>
      <c r="J18" s="28">
        <f>AVERAGE(H18,H14)</f>
        <v>18.736999999999998</v>
      </c>
      <c r="K18" s="23"/>
      <c r="L18" s="35">
        <f>(D18/D11-1)*100</f>
        <v>42.642847984956632</v>
      </c>
      <c r="M18" s="23" t="s">
        <v>76</v>
      </c>
      <c r="N18" s="35">
        <f>(H18/H11-1)*100</f>
        <v>38.967853347502654</v>
      </c>
      <c r="O18" s="23" t="s">
        <v>76</v>
      </c>
      <c r="P18" s="35">
        <f>(H18/H14-1)*100</f>
        <v>26.41532233701891</v>
      </c>
      <c r="Q18" s="23" t="s">
        <v>76</v>
      </c>
      <c r="R18" s="33">
        <f>F18/J18</f>
        <v>1.331536531995517</v>
      </c>
      <c r="S18" s="23" t="s">
        <v>177</v>
      </c>
      <c r="T18" s="33">
        <f>F19/H18</f>
        <v>1.2734789466137744</v>
      </c>
      <c r="U18" s="23" t="s">
        <v>177</v>
      </c>
      <c r="V18" s="23">
        <f>qtrSales!J20</f>
        <v>72</v>
      </c>
      <c r="W18" s="23"/>
      <c r="X18" s="30">
        <f>H18/V18</f>
        <v>0.29059722222222217</v>
      </c>
      <c r="Y18" s="23"/>
      <c r="Z18" s="73">
        <f>(X18/X11-1)*100</f>
        <v>-3.4945462864565013</v>
      </c>
      <c r="AA18" s="99" t="s">
        <v>76</v>
      </c>
      <c r="AB18" s="104">
        <f>qtrSales!Z20</f>
        <v>0.70099999999999996</v>
      </c>
      <c r="AC18" s="23"/>
      <c r="AD18" s="28">
        <f>H18/AB18</f>
        <v>29.847360912981454</v>
      </c>
      <c r="AE18" s="23"/>
      <c r="AF18" s="73">
        <f>(AD18/AD11-1)*100</f>
        <v>-18.324171784349375</v>
      </c>
      <c r="AG18" s="66" t="s">
        <v>76</v>
      </c>
      <c r="AH18" s="87"/>
      <c r="AI18" s="87"/>
      <c r="AJ18" s="99"/>
      <c r="AK18" s="23"/>
      <c r="AL18" s="23"/>
      <c r="AM18" s="23"/>
      <c r="AN18" s="23"/>
      <c r="AO18" s="23"/>
    </row>
    <row r="19" spans="1:41" hidden="1" outlineLevel="1">
      <c r="A19" s="23" t="str">
        <f>$A$12</f>
        <v>2Q</v>
      </c>
      <c r="B19" s="23" t="str">
        <f>$B$12</f>
        <v>Jul</v>
      </c>
      <c r="C19" s="23"/>
      <c r="D19" s="29">
        <f>'qtrP&amp;L'!H11</f>
        <v>38.667999999999999</v>
      </c>
      <c r="E19" s="23"/>
      <c r="F19" s="29">
        <f>'qtrP&amp;L'!H21</f>
        <v>26.645</v>
      </c>
      <c r="G19" s="23"/>
      <c r="H19" s="29">
        <f>work!F11</f>
        <v>37.880000000000003</v>
      </c>
      <c r="I19" s="23"/>
      <c r="J19" s="29">
        <f>AVERAGE(H18:H19)</f>
        <v>29.401499999999999</v>
      </c>
      <c r="K19" s="23"/>
      <c r="L19" s="35">
        <f>(D19/D12-1)*100</f>
        <v>33.131347908417965</v>
      </c>
      <c r="M19" s="23"/>
      <c r="N19" s="35">
        <f>(H19/H12-1)*100</f>
        <v>51.908886750080207</v>
      </c>
      <c r="O19" s="23"/>
      <c r="P19" s="35">
        <f>(H19/H18-1)*100</f>
        <v>81.044783252879625</v>
      </c>
      <c r="Q19" s="23"/>
      <c r="R19" s="33">
        <f>F19/J19</f>
        <v>0.90624627995170315</v>
      </c>
      <c r="S19" s="23"/>
      <c r="T19" s="33">
        <f>F20/H19</f>
        <v>0.99574973600844774</v>
      </c>
      <c r="U19" s="23"/>
      <c r="V19" s="23">
        <f>qtrSales!J21</f>
        <v>77</v>
      </c>
      <c r="W19" s="23"/>
      <c r="X19" s="33">
        <f>H19/V19</f>
        <v>0.49194805194805197</v>
      </c>
      <c r="Y19" s="23"/>
      <c r="Z19" s="73">
        <f>(X19/X12-1)*100</f>
        <v>10.479190363694691</v>
      </c>
      <c r="AA19" s="23"/>
      <c r="AB19" s="104">
        <f>qtrSales!Z21</f>
        <v>0.745</v>
      </c>
      <c r="AC19" s="23"/>
      <c r="AD19" s="29">
        <f>H19/AB19</f>
        <v>50.845637583892618</v>
      </c>
      <c r="AE19" s="23"/>
      <c r="AF19" s="73">
        <f>(AD19/AD12-1)*100</f>
        <v>-5.7960997603529352</v>
      </c>
      <c r="AG19" s="66"/>
      <c r="AH19" s="87"/>
      <c r="AI19" s="87"/>
      <c r="AJ19" s="23"/>
      <c r="AK19" s="23"/>
      <c r="AL19" s="23"/>
      <c r="AM19" s="23"/>
      <c r="AN19" s="23"/>
      <c r="AO19" s="23"/>
    </row>
    <row r="20" spans="1:41" hidden="1" outlineLevel="1">
      <c r="A20" s="23" t="str">
        <f>$A$13</f>
        <v>3Q</v>
      </c>
      <c r="B20" s="23" t="str">
        <f>$B$13</f>
        <v>Oct</v>
      </c>
      <c r="C20" s="23"/>
      <c r="D20" s="29">
        <f>'qtrP&amp;L'!H12</f>
        <v>57.222000000000001</v>
      </c>
      <c r="E20" s="23"/>
      <c r="F20" s="29">
        <f>'qtrP&amp;L'!H22</f>
        <v>37.719000000000001</v>
      </c>
      <c r="G20" s="23"/>
      <c r="H20" s="29">
        <f>work!F12</f>
        <v>46.652999999999999</v>
      </c>
      <c r="I20" s="23"/>
      <c r="J20" s="29">
        <f>AVERAGE(H19:H20)</f>
        <v>42.266500000000001</v>
      </c>
      <c r="K20" s="23"/>
      <c r="L20" s="35">
        <f>(D20/D13-1)*100</f>
        <v>48.304996889902554</v>
      </c>
      <c r="M20" s="23"/>
      <c r="N20" s="35">
        <f>(H20/H13-1)*100</f>
        <v>53.72170417476687</v>
      </c>
      <c r="O20" s="23"/>
      <c r="P20" s="35">
        <f>(H20/H19-1)*100</f>
        <v>23.159978880675801</v>
      </c>
      <c r="Q20" s="23"/>
      <c r="R20" s="33">
        <f>F20/J20</f>
        <v>0.89240888173849264</v>
      </c>
      <c r="S20" s="23"/>
      <c r="T20" s="33">
        <f>F21/H20</f>
        <v>1.4265320558163463</v>
      </c>
      <c r="U20" s="23"/>
      <c r="V20" s="23">
        <f>qtrSales!J22</f>
        <v>87</v>
      </c>
      <c r="W20" s="23"/>
      <c r="X20" s="33">
        <f>H20/V20</f>
        <v>0.53624137931034477</v>
      </c>
      <c r="Y20" s="23"/>
      <c r="Z20" s="73">
        <f>(X20/X13-1)*100</f>
        <v>7.7818845363307965</v>
      </c>
      <c r="AA20" s="23"/>
      <c r="AB20" s="104">
        <f>qtrSales!Z22</f>
        <v>0.84</v>
      </c>
      <c r="AC20" s="23"/>
      <c r="AD20" s="29">
        <f>H20/AB20</f>
        <v>55.539285714285718</v>
      </c>
      <c r="AE20" s="23"/>
      <c r="AF20" s="73">
        <f>(AD20/AD13-1)*100</f>
        <v>-8.6819876390372812</v>
      </c>
      <c r="AG20" s="66"/>
      <c r="AH20" s="87"/>
      <c r="AI20" s="87"/>
      <c r="AJ20" s="23"/>
      <c r="AK20" s="23"/>
      <c r="AL20" s="23"/>
      <c r="AM20" s="23"/>
      <c r="AN20" s="23"/>
      <c r="AO20" s="23"/>
    </row>
    <row r="21" spans="1:41" hidden="1" outlineLevel="1">
      <c r="A21" s="23" t="str">
        <f>$A$14</f>
        <v>4Q</v>
      </c>
      <c r="B21" s="23" t="str">
        <f>$B$14</f>
        <v>Jan</v>
      </c>
      <c r="C21" s="23"/>
      <c r="D21" s="32">
        <f>'qtrP&amp;L'!H13</f>
        <v>106.392</v>
      </c>
      <c r="E21" s="23"/>
      <c r="F21" s="32">
        <f>'qtrP&amp;L'!H23</f>
        <v>66.552000000000007</v>
      </c>
      <c r="G21" s="23"/>
      <c r="H21" s="75">
        <f>work!F13</f>
        <v>30.388000000000002</v>
      </c>
      <c r="I21" s="23"/>
      <c r="J21" s="32">
        <f>AVERAGE(H20:H21)</f>
        <v>38.520499999999998</v>
      </c>
      <c r="K21" s="23"/>
      <c r="L21" s="72">
        <f>(D21/D14-1)*100</f>
        <v>42.932760126284663</v>
      </c>
      <c r="M21" s="23"/>
      <c r="N21" s="73">
        <f>(H21/H14-1)*100</f>
        <v>83.60219926288444</v>
      </c>
      <c r="O21" s="23"/>
      <c r="P21" s="73">
        <f>(H21/H20-1)*100</f>
        <v>-34.863781536021257</v>
      </c>
      <c r="Q21" s="23"/>
      <c r="R21" s="33">
        <f>F21/J21</f>
        <v>1.7277034306408279</v>
      </c>
      <c r="S21" s="23"/>
      <c r="T21" s="33">
        <f>F25/H21</f>
        <v>1.188824536001053</v>
      </c>
      <c r="U21" s="23"/>
      <c r="V21" s="23">
        <f>qtrSales!J23</f>
        <v>100</v>
      </c>
      <c r="W21" s="23"/>
      <c r="X21" s="33">
        <f>H21/V21</f>
        <v>0.30388000000000004</v>
      </c>
      <c r="Y21" s="23"/>
      <c r="Z21" s="73">
        <f>(X21/X14-1)*100</f>
        <v>23.013473506132588</v>
      </c>
      <c r="AA21" s="23"/>
      <c r="AB21" s="104">
        <f>qtrSales!Z23</f>
        <v>0.96156400000000009</v>
      </c>
      <c r="AC21" s="23"/>
      <c r="AD21" s="29">
        <f>H21/AB21</f>
        <v>31.602680632802393</v>
      </c>
      <c r="AE21" s="23"/>
      <c r="AF21" s="73">
        <f>(AD21/AD14-1)*100</f>
        <v>3.2254944572644328</v>
      </c>
      <c r="AG21" s="66"/>
      <c r="AH21" s="87"/>
      <c r="AI21" s="87"/>
      <c r="AJ21" s="23"/>
      <c r="AK21" s="23"/>
      <c r="AL21" s="23"/>
      <c r="AM21" s="23"/>
      <c r="AN21" s="23"/>
      <c r="AO21" s="23"/>
    </row>
    <row r="22" spans="1:41" hidden="1" outlineLevel="1">
      <c r="A22" s="23"/>
      <c r="B22" s="23" t="str">
        <f>$B$15</f>
        <v>Year</v>
      </c>
      <c r="C22" s="23"/>
      <c r="D22" s="28">
        <f>SUM(D18:D21)</f>
        <v>235.65899999999999</v>
      </c>
      <c r="E22" s="23"/>
      <c r="F22" s="28">
        <f>SUM(F18:F21)</f>
        <v>155.86500000000001</v>
      </c>
      <c r="G22" s="23"/>
      <c r="H22" s="23"/>
      <c r="I22" s="23"/>
      <c r="J22" s="28">
        <f>AVERAGE(J18:J21)</f>
        <v>32.231375</v>
      </c>
      <c r="K22" s="23"/>
      <c r="L22" s="35">
        <f>(D22/D15-1)*100</f>
        <v>42.423986027087615</v>
      </c>
      <c r="M22" s="23"/>
      <c r="N22" s="73"/>
      <c r="O22" s="23"/>
      <c r="P22" s="23"/>
      <c r="Q22" s="23"/>
      <c r="R22" s="74">
        <f>F22/J22</f>
        <v>4.835816033290544</v>
      </c>
      <c r="S22" s="71" t="s">
        <v>177</v>
      </c>
      <c r="T22" s="23"/>
      <c r="U22" s="23"/>
      <c r="V22" s="23"/>
      <c r="W22" s="23"/>
      <c r="X22" s="23"/>
      <c r="Y22" s="23"/>
      <c r="Z22" s="23"/>
      <c r="AA22" s="23"/>
      <c r="AB22" s="104"/>
      <c r="AC22" s="23"/>
      <c r="AD22" s="23"/>
      <c r="AE22" s="23"/>
      <c r="AF22" s="23"/>
      <c r="AG22" s="66"/>
      <c r="AH22" s="87"/>
      <c r="AI22" s="87"/>
      <c r="AJ22" s="23"/>
      <c r="AK22" s="23"/>
      <c r="AL22" s="23"/>
      <c r="AM22" s="23"/>
      <c r="AN22" s="23"/>
      <c r="AO22" s="23"/>
    </row>
    <row r="23" spans="1:41" hidden="1" outlineLevel="1">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104"/>
      <c r="AC23" s="23"/>
      <c r="AD23" s="23"/>
      <c r="AE23" s="23"/>
      <c r="AF23" s="23"/>
      <c r="AG23" s="66"/>
      <c r="AH23" s="87"/>
      <c r="AI23" s="87"/>
      <c r="AJ23" s="23"/>
      <c r="AK23" s="23"/>
      <c r="AL23" s="23"/>
      <c r="AM23" s="23"/>
      <c r="AN23" s="23"/>
      <c r="AO23" s="23"/>
    </row>
    <row r="24" spans="1:41" hidden="1" outlineLevel="1">
      <c r="A24" s="23"/>
      <c r="B24" s="63">
        <f>B17+1</f>
        <v>1996</v>
      </c>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104"/>
      <c r="AC24" s="23"/>
      <c r="AD24" s="23"/>
      <c r="AE24" s="23"/>
      <c r="AF24" s="23"/>
      <c r="AG24" s="66"/>
      <c r="AH24" s="87"/>
      <c r="AI24" s="87"/>
      <c r="AJ24" s="23"/>
      <c r="AK24" s="23"/>
      <c r="AL24" s="23"/>
      <c r="AM24" s="23"/>
      <c r="AN24" s="23"/>
      <c r="AO24" s="23"/>
    </row>
    <row r="25" spans="1:41" hidden="1" outlineLevel="1">
      <c r="A25" s="23" t="str">
        <f>$A$11</f>
        <v>1Q</v>
      </c>
      <c r="B25" s="23" t="str">
        <f>$B$11</f>
        <v>Apr</v>
      </c>
      <c r="C25" s="23"/>
      <c r="D25" s="28">
        <f>'qtrP&amp;L'!L10</f>
        <v>51.02</v>
      </c>
      <c r="E25" s="23"/>
      <c r="F25" s="28">
        <f>'qtrP&amp;L'!L20</f>
        <v>36.125999999999998</v>
      </c>
      <c r="G25" s="23"/>
      <c r="H25" s="28">
        <f>work!J10</f>
        <v>33.042000000000002</v>
      </c>
      <c r="I25" s="23"/>
      <c r="J25" s="28">
        <f>AVERAGE(H25,H21)</f>
        <v>31.715000000000003</v>
      </c>
      <c r="K25" s="23"/>
      <c r="L25" s="35">
        <f>(D25/D18-1)*100</f>
        <v>52.859753722623367</v>
      </c>
      <c r="M25" s="23" t="s">
        <v>76</v>
      </c>
      <c r="N25" s="35">
        <f>(H25/H18-1)*100</f>
        <v>57.921904124647526</v>
      </c>
      <c r="O25" s="23" t="s">
        <v>76</v>
      </c>
      <c r="P25" s="35">
        <f>(H25/H21-1)*100</f>
        <v>8.7337106752665594</v>
      </c>
      <c r="Q25" s="23" t="s">
        <v>76</v>
      </c>
      <c r="R25" s="33">
        <f>F25/J25</f>
        <v>1.1390824530979029</v>
      </c>
      <c r="S25" s="23" t="s">
        <v>177</v>
      </c>
      <c r="T25" s="33">
        <f>F26/H25</f>
        <v>1.1917862114884086</v>
      </c>
      <c r="U25" s="23" t="s">
        <v>177</v>
      </c>
      <c r="V25" s="23">
        <f>qtrSales!J27</f>
        <v>102</v>
      </c>
      <c r="W25" s="23"/>
      <c r="X25" s="30">
        <f>H25/V25</f>
        <v>0.32394117647058823</v>
      </c>
      <c r="Y25" s="23"/>
      <c r="Z25" s="73">
        <f>(X25/X18-1)*100</f>
        <v>11.474285264457084</v>
      </c>
      <c r="AA25" s="99" t="s">
        <v>76</v>
      </c>
      <c r="AB25" s="104">
        <f>qtrSales!Z27</f>
        <v>0.97699999999999998</v>
      </c>
      <c r="AC25" s="23"/>
      <c r="AD25" s="109">
        <f>H25/AB25</f>
        <v>33.819856704196525</v>
      </c>
      <c r="AE25" s="23"/>
      <c r="AF25" s="73">
        <f>(AD25/AD18-1)*100</f>
        <v>13.309370308472811</v>
      </c>
      <c r="AG25" s="66" t="s">
        <v>76</v>
      </c>
      <c r="AH25" s="87"/>
      <c r="AI25" s="87"/>
      <c r="AJ25" s="99"/>
      <c r="AK25" s="23"/>
      <c r="AL25" s="23"/>
      <c r="AM25" s="23"/>
      <c r="AN25" s="23"/>
      <c r="AO25" s="23"/>
    </row>
    <row r="26" spans="1:41" hidden="1" outlineLevel="1">
      <c r="A26" s="23" t="str">
        <f>$A$12</f>
        <v>2Q</v>
      </c>
      <c r="B26" s="23" t="str">
        <f>$B$12</f>
        <v>Jul</v>
      </c>
      <c r="C26" s="23"/>
      <c r="D26" s="29">
        <f>'qtrP&amp;L'!L11</f>
        <v>57.430999999999997</v>
      </c>
      <c r="E26" s="23"/>
      <c r="F26" s="29">
        <f>'qtrP&amp;L'!L21</f>
        <v>39.378999999999998</v>
      </c>
      <c r="G26" s="23"/>
      <c r="H26" s="29">
        <f>work!J11</f>
        <v>52.918999999999997</v>
      </c>
      <c r="I26" s="23"/>
      <c r="J26" s="29">
        <f>AVERAGE(H25:H26)</f>
        <v>42.980499999999999</v>
      </c>
      <c r="K26" s="23"/>
      <c r="L26" s="35">
        <f>(D26/D19-1)*100</f>
        <v>48.52332678183511</v>
      </c>
      <c r="M26" s="23"/>
      <c r="N26" s="35">
        <f>(H26/H19-1)*100</f>
        <v>39.701689545934514</v>
      </c>
      <c r="O26" s="23"/>
      <c r="P26" s="35">
        <f>(H26/H25-1)*100</f>
        <v>60.156770171297126</v>
      </c>
      <c r="Q26" s="23"/>
      <c r="R26" s="33">
        <f>F26/J26</f>
        <v>0.91620618652644803</v>
      </c>
      <c r="S26" s="23"/>
      <c r="T26" s="33">
        <f>F27/H26</f>
        <v>1.0720346189459364</v>
      </c>
      <c r="U26" s="23"/>
      <c r="V26" s="23">
        <f>qtrSales!J28</f>
        <v>106</v>
      </c>
      <c r="W26" s="23"/>
      <c r="X26" s="33">
        <f>H26/V26</f>
        <v>0.49923584905660373</v>
      </c>
      <c r="Y26" s="23"/>
      <c r="Z26" s="73">
        <f>(X26/X19-1)*100</f>
        <v>1.4814159909146918</v>
      </c>
      <c r="AA26" s="23"/>
      <c r="AB26" s="104">
        <f>qtrSales!Z28</f>
        <v>1.0089999999999999</v>
      </c>
      <c r="AC26" s="23"/>
      <c r="AD26" s="110">
        <f>H26/AB26</f>
        <v>52.446977205153622</v>
      </c>
      <c r="AE26" s="23"/>
      <c r="AF26" s="73">
        <f>(AD26/AD19-1)*100</f>
        <v>3.1494139858486037</v>
      </c>
      <c r="AG26" s="66"/>
      <c r="AH26" s="87"/>
      <c r="AI26" s="87"/>
      <c r="AJ26" s="23"/>
      <c r="AK26" s="23"/>
      <c r="AL26" s="23"/>
      <c r="AM26" s="23"/>
      <c r="AN26" s="23"/>
      <c r="AO26" s="23"/>
    </row>
    <row r="27" spans="1:41" hidden="1" outlineLevel="1">
      <c r="A27" s="23" t="str">
        <f>$A$13</f>
        <v>3Q</v>
      </c>
      <c r="B27" s="23" t="str">
        <f>$B$13</f>
        <v>Oct</v>
      </c>
      <c r="C27" s="23"/>
      <c r="D27" s="29">
        <f>'qtrP&amp;L'!L12</f>
        <v>87.688000000000002</v>
      </c>
      <c r="E27" s="23"/>
      <c r="F27" s="29">
        <f>'qtrP&amp;L'!L22</f>
        <v>56.731000000000002</v>
      </c>
      <c r="G27" s="23"/>
      <c r="H27" s="29">
        <f>work!J12</f>
        <v>51.338999999999999</v>
      </c>
      <c r="I27" s="23"/>
      <c r="J27" s="29">
        <f>AVERAGE(H26:H27)</f>
        <v>52.128999999999998</v>
      </c>
      <c r="K27" s="23"/>
      <c r="L27" s="35">
        <f>(D27/D20-1)*100</f>
        <v>53.241760162175389</v>
      </c>
      <c r="M27" s="23"/>
      <c r="N27" s="35">
        <f>(H27/H20-1)*100</f>
        <v>10.044370136968684</v>
      </c>
      <c r="O27" s="23"/>
      <c r="P27" s="35">
        <f>(H27/H26-1)*100</f>
        <v>-2.9856951189553782</v>
      </c>
      <c r="Q27" s="23"/>
      <c r="R27" s="33">
        <f>F27/J27</f>
        <v>1.0882809952233883</v>
      </c>
      <c r="S27" s="23"/>
      <c r="T27" s="33">
        <f>F28/H27</f>
        <v>1.5459981690332887</v>
      </c>
      <c r="U27" s="23"/>
      <c r="V27" s="23">
        <f>qtrSales!J29</f>
        <v>119</v>
      </c>
      <c r="W27" s="23"/>
      <c r="X27" s="33">
        <f>H27/V27</f>
        <v>0.43142016806722688</v>
      </c>
      <c r="Y27" s="23"/>
      <c r="Z27" s="73">
        <f>(X27/X20-1)*100</f>
        <v>-19.547393261207759</v>
      </c>
      <c r="AA27" s="23"/>
      <c r="AB27" s="104">
        <f>qtrSales!Z29</f>
        <v>1.133</v>
      </c>
      <c r="AC27" s="23"/>
      <c r="AD27" s="110">
        <f>H27/AB27</f>
        <v>45.312444836716679</v>
      </c>
      <c r="AE27" s="23"/>
      <c r="AF27" s="73">
        <f>(AD27/AD20-1)*100</f>
        <v>-18.413706165001166</v>
      </c>
      <c r="AG27" s="66"/>
      <c r="AH27" s="87"/>
      <c r="AI27" s="87"/>
      <c r="AJ27" s="23"/>
      <c r="AK27" s="23"/>
      <c r="AL27" s="23"/>
      <c r="AM27" s="23"/>
      <c r="AN27" s="23"/>
      <c r="AO27" s="23"/>
    </row>
    <row r="28" spans="1:41" hidden="1" outlineLevel="1">
      <c r="A28" s="23" t="str">
        <f>$A$14</f>
        <v>4Q</v>
      </c>
      <c r="B28" s="23" t="str">
        <f>$B$14</f>
        <v>Jan</v>
      </c>
      <c r="C28" s="23"/>
      <c r="D28" s="32">
        <f>'qtrP&amp;L'!L13</f>
        <v>139.233</v>
      </c>
      <c r="E28" s="23"/>
      <c r="F28" s="32">
        <f>'qtrP&amp;L'!L23</f>
        <v>79.37</v>
      </c>
      <c r="G28" s="23"/>
      <c r="H28" s="75">
        <f>work!J13</f>
        <v>34.942999999999998</v>
      </c>
      <c r="I28" s="23"/>
      <c r="J28" s="32">
        <f>AVERAGE(H27:H28)</f>
        <v>43.140999999999998</v>
      </c>
      <c r="K28" s="23"/>
      <c r="L28" s="72">
        <f>(D28/D21-1)*100</f>
        <v>30.867922400180483</v>
      </c>
      <c r="M28" s="23"/>
      <c r="N28" s="73">
        <f>(H28/H21-1)*100</f>
        <v>14.989469527445021</v>
      </c>
      <c r="O28" s="23"/>
      <c r="P28" s="73">
        <f>(H28/H27-1)*100</f>
        <v>-31.936734256608034</v>
      </c>
      <c r="Q28" s="23"/>
      <c r="R28" s="33">
        <f>F28/J28</f>
        <v>1.8397811826336896</v>
      </c>
      <c r="S28" s="23"/>
      <c r="T28" s="33">
        <f>F32/H28</f>
        <v>1.4416335174426924</v>
      </c>
      <c r="U28" s="23"/>
      <c r="V28" s="23">
        <f>qtrSales!J30</f>
        <v>127</v>
      </c>
      <c r="W28" s="23"/>
      <c r="X28" s="33">
        <f>H28/V28</f>
        <v>0.27514173228346456</v>
      </c>
      <c r="Y28" s="23"/>
      <c r="Z28" s="73">
        <f>(X28/X21-1)*100</f>
        <v>-9.4571106083110035</v>
      </c>
      <c r="AA28" s="23"/>
      <c r="AB28" s="104">
        <f>qtrSales!Z30</f>
        <v>1.2287640000000002</v>
      </c>
      <c r="AC28" s="23"/>
      <c r="AD28" s="110">
        <f>H28/AB28</f>
        <v>28.437519328365735</v>
      </c>
      <c r="AE28" s="23"/>
      <c r="AF28" s="73">
        <f>(AD28/AD21-1)*100</f>
        <v>-10.015483626889999</v>
      </c>
      <c r="AG28" s="66"/>
      <c r="AH28" s="87"/>
      <c r="AI28" s="87"/>
      <c r="AJ28" s="23"/>
      <c r="AK28" s="23"/>
      <c r="AL28" s="23"/>
      <c r="AM28" s="23"/>
      <c r="AN28" s="23"/>
      <c r="AO28" s="23"/>
    </row>
    <row r="29" spans="1:41" hidden="1" outlineLevel="1">
      <c r="A29" s="23"/>
      <c r="B29" s="23" t="str">
        <f>$B$15</f>
        <v>Year</v>
      </c>
      <c r="C29" s="23"/>
      <c r="D29" s="28">
        <f>SUM(D25:D28)</f>
        <v>335.37200000000001</v>
      </c>
      <c r="E29" s="23"/>
      <c r="F29" s="28">
        <f>SUM(F25:F28)</f>
        <v>211.60599999999999</v>
      </c>
      <c r="G29" s="23"/>
      <c r="H29" s="23"/>
      <c r="I29" s="23"/>
      <c r="J29" s="28">
        <f>AVERAGE(J25:J28)</f>
        <v>42.491374999999998</v>
      </c>
      <c r="K29" s="23"/>
      <c r="L29" s="35">
        <f>(D29/D22-1)*100</f>
        <v>42.312409031694109</v>
      </c>
      <c r="M29" s="23"/>
      <c r="N29" s="73"/>
      <c r="O29" s="23"/>
      <c r="P29" s="23"/>
      <c r="Q29" s="23"/>
      <c r="R29" s="74">
        <f>F29/J29</f>
        <v>4.9799753479382582</v>
      </c>
      <c r="S29" s="71" t="s">
        <v>177</v>
      </c>
      <c r="T29" s="23"/>
      <c r="U29" s="23"/>
      <c r="V29" s="23"/>
      <c r="W29" s="23"/>
      <c r="X29" s="23"/>
      <c r="Y29" s="23"/>
      <c r="Z29" s="23"/>
      <c r="AA29" s="23"/>
      <c r="AB29" s="104"/>
      <c r="AC29" s="23"/>
      <c r="AD29" s="23"/>
      <c r="AE29" s="23"/>
      <c r="AF29" s="23"/>
      <c r="AG29" s="66"/>
      <c r="AH29" s="87"/>
      <c r="AI29" s="87"/>
      <c r="AJ29" s="23"/>
      <c r="AK29" s="23"/>
      <c r="AL29" s="23"/>
      <c r="AM29" s="23"/>
      <c r="AN29" s="23"/>
      <c r="AO29" s="23"/>
    </row>
    <row r="30" spans="1:41" hidden="1" outlineLevel="1">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104"/>
      <c r="AC30" s="23"/>
      <c r="AD30" s="23"/>
      <c r="AE30" s="23"/>
      <c r="AF30" s="23"/>
      <c r="AG30" s="66"/>
      <c r="AH30" s="87"/>
      <c r="AI30" s="87"/>
      <c r="AJ30" s="23"/>
      <c r="AK30" s="23"/>
      <c r="AL30" s="23"/>
      <c r="AM30" s="23"/>
      <c r="AN30" s="23"/>
      <c r="AO30" s="23"/>
    </row>
    <row r="31" spans="1:41" hidden="1" outlineLevel="1" collapsed="1">
      <c r="A31" s="23"/>
      <c r="B31" s="63">
        <f>B24+1</f>
        <v>1997</v>
      </c>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104"/>
      <c r="AC31" s="23"/>
      <c r="AD31" s="23"/>
      <c r="AE31" s="23"/>
      <c r="AF31" s="23"/>
      <c r="AG31" s="66"/>
      <c r="AH31" s="87"/>
      <c r="AI31" s="87"/>
      <c r="AJ31" s="23"/>
      <c r="AK31" s="23"/>
      <c r="AL31" s="23"/>
      <c r="AM31" s="23"/>
      <c r="AN31" s="23"/>
      <c r="AO31" s="23"/>
    </row>
    <row r="32" spans="1:41" hidden="1" outlineLevel="1">
      <c r="A32" s="23" t="str">
        <f>$A$11</f>
        <v>1Q</v>
      </c>
      <c r="B32" s="23" t="str">
        <f>$B$11</f>
        <v>Apr</v>
      </c>
      <c r="C32" s="23"/>
      <c r="D32" s="28">
        <f>'qtrP&amp;L'!P10</f>
        <v>74.316000000000003</v>
      </c>
      <c r="E32" s="23"/>
      <c r="F32" s="28">
        <f>'qtrP&amp;L'!P20</f>
        <v>50.375</v>
      </c>
      <c r="G32" s="23"/>
      <c r="H32" s="28">
        <f>work!N10</f>
        <v>30.966000000000001</v>
      </c>
      <c r="I32" s="23"/>
      <c r="J32" s="28">
        <f>AVERAGE(H32,H28)</f>
        <v>32.954499999999996</v>
      </c>
      <c r="K32" s="23"/>
      <c r="L32" s="35">
        <f>(D32/D25-1)*100</f>
        <v>45.660525284202279</v>
      </c>
      <c r="M32" s="99" t="s">
        <v>76</v>
      </c>
      <c r="N32" s="35">
        <f>(H32/H25-1)*100</f>
        <v>-6.2829126566188549</v>
      </c>
      <c r="O32" s="23" t="s">
        <v>76</v>
      </c>
      <c r="P32" s="35">
        <f>(H32/H28-1)*100</f>
        <v>-11.381392553587267</v>
      </c>
      <c r="Q32" s="23" t="s">
        <v>76</v>
      </c>
      <c r="R32" s="33">
        <f>F32/J32</f>
        <v>1.5286227981004115</v>
      </c>
      <c r="S32" s="23" t="s">
        <v>177</v>
      </c>
      <c r="T32" s="33">
        <f>F33/H32</f>
        <v>1.9006006587870568</v>
      </c>
      <c r="U32" s="23" t="s">
        <v>177</v>
      </c>
      <c r="V32" s="23">
        <f>qtrSales!J34</f>
        <v>132</v>
      </c>
      <c r="W32" s="23"/>
      <c r="X32" s="30">
        <f>H32/V32</f>
        <v>0.2345909090909091</v>
      </c>
      <c r="Y32" s="23"/>
      <c r="Z32" s="73">
        <f>(X32/X25-1)*100</f>
        <v>-27.582250689205466</v>
      </c>
      <c r="AA32" s="99" t="s">
        <v>76</v>
      </c>
      <c r="AB32" s="104">
        <f>qtrSales!Z34</f>
        <v>1.2729999999999999</v>
      </c>
      <c r="AC32" s="23"/>
      <c r="AD32" s="109">
        <f>H32/AB32</f>
        <v>24.325216025137472</v>
      </c>
      <c r="AE32" s="23"/>
      <c r="AF32" s="73">
        <f>(AD32/AD25-1)*100</f>
        <v>-28.07415998862264</v>
      </c>
      <c r="AG32" s="66" t="s">
        <v>76</v>
      </c>
      <c r="AH32" s="87"/>
      <c r="AI32" s="87"/>
      <c r="AJ32" s="99"/>
      <c r="AK32" s="23"/>
      <c r="AL32" s="23"/>
      <c r="AM32" s="23"/>
      <c r="AN32" s="23"/>
      <c r="AO32" s="23"/>
    </row>
    <row r="33" spans="1:41" hidden="1" outlineLevel="1">
      <c r="A33" s="23" t="str">
        <f>$A$12</f>
        <v>2Q</v>
      </c>
      <c r="B33" s="23" t="str">
        <f>$B$12</f>
        <v>Jul</v>
      </c>
      <c r="C33" s="23"/>
      <c r="D33" s="29">
        <f>'qtrP&amp;L'!P11</f>
        <v>86.64</v>
      </c>
      <c r="E33" s="23"/>
      <c r="F33" s="29">
        <f>'qtrP&amp;L'!P21</f>
        <v>58.853999999999999</v>
      </c>
      <c r="G33" s="23"/>
      <c r="H33" s="29">
        <f>work!N11</f>
        <v>60.686</v>
      </c>
      <c r="I33" s="23"/>
      <c r="J33" s="29">
        <f>AVERAGE(H32:H33)</f>
        <v>45.826000000000001</v>
      </c>
      <c r="K33" s="23"/>
      <c r="L33" s="35">
        <f>(D33/D26-1)*100</f>
        <v>50.859292019989219</v>
      </c>
      <c r="M33" s="23"/>
      <c r="N33" s="35">
        <f>(H33/H26-1)*100</f>
        <v>14.677148094257264</v>
      </c>
      <c r="O33" s="23"/>
      <c r="P33" s="35">
        <f>(H33/H32-1)*100</f>
        <v>95.97623199638312</v>
      </c>
      <c r="Q33" s="23"/>
      <c r="R33" s="33">
        <f>F33/J33</f>
        <v>1.2842927595688036</v>
      </c>
      <c r="S33" s="23"/>
      <c r="T33" s="33">
        <f>F34/H33</f>
        <v>1.5741027584615892</v>
      </c>
      <c r="U33" s="23"/>
      <c r="V33" s="23">
        <f>qtrSales!J35</f>
        <v>139</v>
      </c>
      <c r="W33" s="23"/>
      <c r="X33" s="33">
        <f>H33/V33</f>
        <v>0.43658992805755398</v>
      </c>
      <c r="Y33" s="23"/>
      <c r="Z33" s="73">
        <f>(X33/X26-1)*100</f>
        <v>-12.548361884954884</v>
      </c>
      <c r="AA33" s="23"/>
      <c r="AB33" s="104">
        <f>qtrSales!Z35</f>
        <v>1.357</v>
      </c>
      <c r="AC33" s="23"/>
      <c r="AD33" s="110">
        <f>H33/AB33</f>
        <v>44.720707442888724</v>
      </c>
      <c r="AE33" s="23"/>
      <c r="AF33" s="73">
        <f>(AD33/AD26-1)*100</f>
        <v>-14.731582588721025</v>
      </c>
      <c r="AG33" s="66"/>
      <c r="AH33" s="87"/>
      <c r="AI33" s="87"/>
      <c r="AJ33" s="23"/>
      <c r="AK33" s="23"/>
      <c r="AL33" s="23"/>
      <c r="AM33" s="23"/>
      <c r="AN33" s="23"/>
      <c r="AO33" s="23"/>
    </row>
    <row r="34" spans="1:41" hidden="1" outlineLevel="1">
      <c r="A34" s="23" t="str">
        <f>$A$13</f>
        <v>3Q</v>
      </c>
      <c r="B34" s="23" t="str">
        <f>$B$13</f>
        <v>Oct</v>
      </c>
      <c r="C34" s="23"/>
      <c r="D34" s="29">
        <f>'qtrP&amp;L'!P12</f>
        <v>148.51599999999999</v>
      </c>
      <c r="E34" s="23"/>
      <c r="F34" s="29">
        <f>'qtrP&amp;L'!P22</f>
        <v>95.525999999999996</v>
      </c>
      <c r="G34" s="23"/>
      <c r="H34" s="29">
        <f>work!N12</f>
        <v>55.582999999999998</v>
      </c>
      <c r="I34" s="23"/>
      <c r="J34" s="29">
        <f>AVERAGE(H33:H34)</f>
        <v>58.134500000000003</v>
      </c>
      <c r="K34" s="23"/>
      <c r="L34" s="35">
        <f>(D34/D27-1)*100</f>
        <v>69.368670741720635</v>
      </c>
      <c r="M34" s="23"/>
      <c r="N34" s="35">
        <f>(H34/H27-1)*100</f>
        <v>8.266619918580421</v>
      </c>
      <c r="O34" s="23"/>
      <c r="P34" s="35">
        <f>(H34/H33-1)*100</f>
        <v>-8.4088587153544498</v>
      </c>
      <c r="Q34" s="23"/>
      <c r="R34" s="33">
        <f>F34/J34</f>
        <v>1.6431895002107182</v>
      </c>
      <c r="S34" s="23"/>
      <c r="T34" s="33">
        <f>F35/H34</f>
        <v>2.0830469747944513</v>
      </c>
      <c r="U34" s="23"/>
      <c r="V34" s="23">
        <f>qtrSales!J36</f>
        <v>149</v>
      </c>
      <c r="W34" s="23"/>
      <c r="X34" s="33">
        <f>H34/V34</f>
        <v>0.37304026845637583</v>
      </c>
      <c r="Y34" s="23"/>
      <c r="Z34" s="73">
        <f>(X34/X27-1)*100</f>
        <v>-13.532028387174034</v>
      </c>
      <c r="AA34" s="23"/>
      <c r="AB34" s="104">
        <f>qtrSales!Z36</f>
        <v>1.4470000000000001</v>
      </c>
      <c r="AC34" s="23"/>
      <c r="AD34" s="110">
        <f>H34/AB34</f>
        <v>38.412577747062883</v>
      </c>
      <c r="AE34" s="23"/>
      <c r="AF34" s="73">
        <f>(AD34/AD27-1)*100</f>
        <v>-15.227311425188939</v>
      </c>
      <c r="AG34" s="66"/>
      <c r="AH34" s="87"/>
      <c r="AI34" s="87"/>
      <c r="AJ34" s="23"/>
      <c r="AK34" s="23"/>
      <c r="AL34" s="23"/>
      <c r="AM34" s="23"/>
      <c r="AN34" s="23"/>
      <c r="AO34" s="23"/>
    </row>
    <row r="35" spans="1:41" hidden="1" outlineLevel="1">
      <c r="A35" s="23" t="str">
        <f>$A$14</f>
        <v>4Q</v>
      </c>
      <c r="B35" s="23" t="str">
        <f>$B$14</f>
        <v>Jan</v>
      </c>
      <c r="C35" s="23"/>
      <c r="D35" s="32">
        <f>'qtrP&amp;L'!P13</f>
        <v>212.14500000000001</v>
      </c>
      <c r="E35" s="23"/>
      <c r="F35" s="32">
        <f>'qtrP&amp;L'!P23</f>
        <v>115.782</v>
      </c>
      <c r="G35" s="23"/>
      <c r="H35" s="75">
        <f>work!N13</f>
        <v>33.927</v>
      </c>
      <c r="I35" s="23"/>
      <c r="J35" s="32">
        <f>AVERAGE(H34:H35)</f>
        <v>44.754999999999995</v>
      </c>
      <c r="K35" s="23"/>
      <c r="L35" s="72">
        <f>(D35/D28-1)*100</f>
        <v>52.366895779017916</v>
      </c>
      <c r="M35" s="23"/>
      <c r="N35" s="73">
        <f>(H35/H28-1)*100</f>
        <v>-2.9075923647082336</v>
      </c>
      <c r="O35" s="23"/>
      <c r="P35" s="73">
        <f>(H35/H34-1)*100</f>
        <v>-38.961552992821545</v>
      </c>
      <c r="Q35" s="23"/>
      <c r="R35" s="33">
        <f>F35/J35</f>
        <v>2.5870182102558377</v>
      </c>
      <c r="S35" s="23"/>
      <c r="T35" s="33">
        <f>F39/H35</f>
        <v>2.5164618150735403</v>
      </c>
      <c r="U35" s="23"/>
      <c r="V35" s="23">
        <f>qtrSales!J37</f>
        <v>156</v>
      </c>
      <c r="W35" s="23"/>
      <c r="X35" s="33">
        <f>H35/V35</f>
        <v>0.21748076923076923</v>
      </c>
      <c r="Y35" s="23"/>
      <c r="Z35" s="73">
        <f>(X35/X28-1)*100</f>
        <v>-20.956821989217602</v>
      </c>
      <c r="AA35" s="23"/>
      <c r="AB35" s="104">
        <f>qtrSales!Z37</f>
        <v>1.5217640000000001</v>
      </c>
      <c r="AC35" s="23"/>
      <c r="AD35" s="110">
        <f>H35/AB35</f>
        <v>22.294521358108089</v>
      </c>
      <c r="AE35" s="23"/>
      <c r="AF35" s="73">
        <f>(AD35/AD28-1)*100</f>
        <v>-21.601736421960528</v>
      </c>
      <c r="AG35" s="66"/>
      <c r="AH35" s="87"/>
      <c r="AI35" s="87"/>
      <c r="AJ35" s="23"/>
      <c r="AK35" s="23"/>
      <c r="AL35" s="23"/>
      <c r="AM35" s="23"/>
      <c r="AN35" s="23"/>
      <c r="AO35" s="23"/>
    </row>
    <row r="36" spans="1:41" hidden="1" outlineLevel="1">
      <c r="A36" s="23"/>
      <c r="B36" s="23" t="str">
        <f>$B$15</f>
        <v>Year</v>
      </c>
      <c r="C36" s="23"/>
      <c r="D36" s="28">
        <f>SUM(D32:D35)</f>
        <v>521.61699999999996</v>
      </c>
      <c r="E36" s="23"/>
      <c r="F36" s="28">
        <f>SUM(F32:F35)</f>
        <v>320.53699999999998</v>
      </c>
      <c r="G36" s="23"/>
      <c r="H36" s="23"/>
      <c r="I36" s="23"/>
      <c r="J36" s="28">
        <f>AVERAGE(J32:J35)</f>
        <v>45.417499999999997</v>
      </c>
      <c r="K36" s="23"/>
      <c r="L36" s="35">
        <f>(D36/D29-1)*100</f>
        <v>55.533854943167562</v>
      </c>
      <c r="M36" s="23"/>
      <c r="N36" s="73"/>
      <c r="O36" s="23"/>
      <c r="P36" s="23"/>
      <c r="Q36" s="23"/>
      <c r="R36" s="74">
        <f>F36/J36</f>
        <v>7.057565916221721</v>
      </c>
      <c r="S36" s="71" t="s">
        <v>177</v>
      </c>
      <c r="T36" s="33"/>
      <c r="U36" s="23"/>
      <c r="V36" s="23"/>
      <c r="W36" s="23"/>
      <c r="X36" s="23"/>
      <c r="Y36" s="23"/>
      <c r="Z36" s="23"/>
      <c r="AA36" s="23"/>
      <c r="AB36" s="104"/>
      <c r="AC36" s="23"/>
      <c r="AD36" s="23"/>
      <c r="AE36" s="23"/>
      <c r="AF36" s="23"/>
      <c r="AG36" s="66"/>
      <c r="AH36" s="87"/>
      <c r="AI36" s="87"/>
      <c r="AJ36" s="23"/>
      <c r="AK36" s="23"/>
      <c r="AL36" s="23"/>
      <c r="AM36" s="23"/>
      <c r="AN36" s="23"/>
      <c r="AO36" s="23"/>
    </row>
    <row r="37" spans="1:41" hidden="1" outlineLevel="1">
      <c r="A37" s="23"/>
      <c r="B37" s="23"/>
      <c r="C37" s="23"/>
      <c r="D37" s="23"/>
      <c r="E37" s="23"/>
      <c r="F37" s="23"/>
      <c r="G37" s="23"/>
      <c r="H37" s="23"/>
      <c r="I37" s="23"/>
      <c r="J37" s="23"/>
      <c r="K37" s="23"/>
      <c r="L37" s="23"/>
      <c r="M37" s="23"/>
      <c r="N37" s="23"/>
      <c r="O37" s="23"/>
      <c r="P37" s="23"/>
      <c r="Q37" s="23"/>
      <c r="R37" s="23"/>
      <c r="S37" s="23"/>
      <c r="T37" s="33"/>
      <c r="U37" s="23"/>
      <c r="V37" s="23"/>
      <c r="W37" s="23"/>
      <c r="X37" s="23"/>
      <c r="Y37" s="23"/>
      <c r="Z37" s="23"/>
      <c r="AA37" s="23"/>
      <c r="AB37" s="104"/>
      <c r="AC37" s="23"/>
      <c r="AD37" s="23"/>
      <c r="AE37" s="23"/>
      <c r="AF37" s="23"/>
      <c r="AG37" s="66"/>
      <c r="AH37" s="87"/>
      <c r="AI37" s="87"/>
      <c r="AJ37" s="23"/>
      <c r="AK37" s="23"/>
      <c r="AL37" s="23"/>
      <c r="AM37" s="23"/>
      <c r="AN37" s="23"/>
      <c r="AO37" s="23"/>
    </row>
    <row r="38" spans="1:41" hidden="1" outlineLevel="1">
      <c r="A38" s="23"/>
      <c r="B38" s="63">
        <f>B31+1</f>
        <v>1998</v>
      </c>
      <c r="C38" s="23"/>
      <c r="D38" s="23"/>
      <c r="E38" s="23"/>
      <c r="F38" s="23"/>
      <c r="G38" s="23"/>
      <c r="H38" s="23"/>
      <c r="I38" s="23"/>
      <c r="J38" s="23"/>
      <c r="K38" s="23"/>
      <c r="L38" s="23"/>
      <c r="M38" s="23"/>
      <c r="N38" s="23"/>
      <c r="O38" s="23"/>
      <c r="P38" s="23"/>
      <c r="Q38" s="23"/>
      <c r="R38" s="23"/>
      <c r="S38" s="23"/>
      <c r="T38" s="33"/>
      <c r="U38" s="23"/>
      <c r="V38" s="23"/>
      <c r="W38" s="23"/>
      <c r="X38" s="23"/>
      <c r="Y38" s="23"/>
      <c r="Z38" s="23"/>
      <c r="AA38" s="23"/>
      <c r="AB38" s="104"/>
      <c r="AC38" s="23"/>
      <c r="AD38" s="23"/>
      <c r="AE38" s="23"/>
      <c r="AF38" s="23"/>
      <c r="AG38" s="66"/>
      <c r="AH38" s="87"/>
      <c r="AI38" s="87"/>
      <c r="AJ38" s="23"/>
      <c r="AK38" s="23"/>
      <c r="AL38" s="23"/>
      <c r="AM38" s="23"/>
      <c r="AN38" s="23"/>
      <c r="AO38" s="23"/>
    </row>
    <row r="39" spans="1:41" hidden="1" outlineLevel="1">
      <c r="A39" s="23" t="str">
        <f>$A$11</f>
        <v>1Q</v>
      </c>
      <c r="B39" s="23" t="str">
        <f>$B$11</f>
        <v>Apr</v>
      </c>
      <c r="C39" s="23"/>
      <c r="D39" s="28">
        <f>'qtrP&amp;L'!T10</f>
        <v>132.14400000000001</v>
      </c>
      <c r="E39" s="23"/>
      <c r="F39" s="28">
        <f>'qtrP&amp;L'!T20</f>
        <v>85.376000000000005</v>
      </c>
      <c r="G39" s="23"/>
      <c r="H39" s="28">
        <f>work!R10</f>
        <v>36.707000000000001</v>
      </c>
      <c r="I39" s="23"/>
      <c r="J39" s="28">
        <f>AVERAGE(H39,H35)</f>
        <v>35.317</v>
      </c>
      <c r="K39" s="23"/>
      <c r="L39" s="35">
        <f>(D39/D32-1)*100</f>
        <v>77.813660584530922</v>
      </c>
      <c r="M39" s="99" t="s">
        <v>76</v>
      </c>
      <c r="N39" s="35">
        <f>(H39/H32-1)*100</f>
        <v>18.539688690822189</v>
      </c>
      <c r="O39" s="23" t="s">
        <v>76</v>
      </c>
      <c r="P39" s="35">
        <f>(H39/H35-1)*100</f>
        <v>8.1940637250567327</v>
      </c>
      <c r="Q39" s="23" t="s">
        <v>76</v>
      </c>
      <c r="R39" s="33">
        <f>F39/J39</f>
        <v>2.4174193731064362</v>
      </c>
      <c r="S39" s="23" t="s">
        <v>177</v>
      </c>
      <c r="T39" s="33">
        <f>F40/H39</f>
        <v>2.5156509657558503</v>
      </c>
      <c r="U39" s="23" t="s">
        <v>177</v>
      </c>
      <c r="V39" s="23">
        <f>qtrSales!J41</f>
        <v>158</v>
      </c>
      <c r="W39" s="23"/>
      <c r="X39" s="30">
        <f>H39/V39</f>
        <v>0.23232278481012658</v>
      </c>
      <c r="Y39" s="23"/>
      <c r="Z39" s="73">
        <f>(X39/X32-1)*100</f>
        <v>-0.96684235956627784</v>
      </c>
      <c r="AA39" s="99" t="s">
        <v>76</v>
      </c>
      <c r="AB39" s="104">
        <f>qtrSales!Z41</f>
        <v>1.534</v>
      </c>
      <c r="AC39" s="23"/>
      <c r="AD39" s="109">
        <f>H39/AB39</f>
        <v>23.928943937418513</v>
      </c>
      <c r="AE39" s="23"/>
      <c r="AF39" s="73">
        <f>(AD39/AD32-1)*100</f>
        <v>-1.6290588634832903</v>
      </c>
      <c r="AG39" s="66" t="s">
        <v>76</v>
      </c>
      <c r="AH39" s="87"/>
      <c r="AI39" s="87"/>
      <c r="AJ39" s="99"/>
      <c r="AK39" s="23"/>
      <c r="AL39" s="23"/>
      <c r="AM39" s="23"/>
      <c r="AN39" s="23"/>
      <c r="AO39" s="23"/>
    </row>
    <row r="40" spans="1:41" hidden="1" outlineLevel="1">
      <c r="A40" s="23" t="str">
        <f>$A$12</f>
        <v>2Q</v>
      </c>
      <c r="B40" s="23" t="str">
        <f>$B$12</f>
        <v>Jul</v>
      </c>
      <c r="C40" s="23"/>
      <c r="D40" s="29">
        <f>'qtrP&amp;L'!T11</f>
        <v>145.03100000000001</v>
      </c>
      <c r="E40" s="23"/>
      <c r="F40" s="29">
        <f>'qtrP&amp;L'!T21</f>
        <v>92.341999999999999</v>
      </c>
      <c r="G40" s="23"/>
      <c r="H40" s="29">
        <f>work!R11</f>
        <v>75.888999999999996</v>
      </c>
      <c r="I40" s="23"/>
      <c r="J40" s="29">
        <f>AVERAGE(H39:H40)</f>
        <v>56.298000000000002</v>
      </c>
      <c r="K40" s="23"/>
      <c r="L40" s="35">
        <f>(D40/D33-1)*100</f>
        <v>67.394967682363813</v>
      </c>
      <c r="M40" s="23"/>
      <c r="N40" s="35">
        <f>(H40/H33-1)*100</f>
        <v>25.051906535279954</v>
      </c>
      <c r="O40" s="23"/>
      <c r="P40" s="35">
        <f>(H40/H39-1)*100</f>
        <v>106.74258315852563</v>
      </c>
      <c r="Q40" s="23"/>
      <c r="R40" s="33">
        <f>F40/J40</f>
        <v>1.6402358875981384</v>
      </c>
      <c r="S40" s="23"/>
      <c r="T40" s="33">
        <f>F41/H40</f>
        <v>1.8568962563744418</v>
      </c>
      <c r="U40" s="23"/>
      <c r="V40" s="23">
        <f>qtrSales!J42</f>
        <v>171</v>
      </c>
      <c r="W40" s="23"/>
      <c r="X40" s="33">
        <f>H40/V40</f>
        <v>0.44379532163742685</v>
      </c>
      <c r="Y40" s="23"/>
      <c r="Z40" s="73">
        <f>(X40/X33-1)*100</f>
        <v>1.6503801661047479</v>
      </c>
      <c r="AA40" s="23"/>
      <c r="AB40" s="104">
        <f>qtrSales!Z42</f>
        <v>1.6080000000000001</v>
      </c>
      <c r="AC40" s="23"/>
      <c r="AD40" s="110">
        <f>H40/AB40</f>
        <v>47.194651741293526</v>
      </c>
      <c r="AE40" s="23"/>
      <c r="AF40" s="73">
        <f>(AD40/AD33-1)*100</f>
        <v>5.5319882887903571</v>
      </c>
      <c r="AG40" s="66"/>
      <c r="AH40" s="268"/>
      <c r="AI40" s="269"/>
      <c r="AJ40" s="23"/>
      <c r="AK40" s="23"/>
      <c r="AL40" s="23"/>
      <c r="AM40" s="23"/>
      <c r="AN40" s="23"/>
      <c r="AO40" s="23"/>
    </row>
    <row r="41" spans="1:41" hidden="1" outlineLevel="1">
      <c r="A41" s="23" t="str">
        <f>$A$13</f>
        <v>3Q</v>
      </c>
      <c r="B41" s="23" t="str">
        <f>$B$13</f>
        <v>Oct</v>
      </c>
      <c r="C41" s="23"/>
      <c r="D41" s="29">
        <f>'qtrP&amp;L'!T12</f>
        <v>227.92</v>
      </c>
      <c r="E41" s="23"/>
      <c r="F41" s="29">
        <f>'qtrP&amp;L'!T22</f>
        <v>140.91800000000001</v>
      </c>
      <c r="G41" s="23"/>
      <c r="H41" s="29">
        <f>work!R12</f>
        <v>75.34</v>
      </c>
      <c r="I41" s="23"/>
      <c r="J41" s="29">
        <f>AVERAGE(H40:H41)</f>
        <v>75.614499999999992</v>
      </c>
      <c r="K41" s="23"/>
      <c r="L41" s="35">
        <f>(D41/D34-1)*100</f>
        <v>53.464946537746783</v>
      </c>
      <c r="M41" s="23"/>
      <c r="N41" s="35">
        <f>(H41/H34-1)*100</f>
        <v>35.545040749869571</v>
      </c>
      <c r="O41" s="23"/>
      <c r="P41" s="35">
        <f>(H41/H40-1)*100</f>
        <v>-0.7234250023059885</v>
      </c>
      <c r="Q41" s="23"/>
      <c r="R41" s="33">
        <f>F41/J41</f>
        <v>1.8636372653393201</v>
      </c>
      <c r="S41" s="23"/>
      <c r="T41" s="33">
        <f>F42/H41</f>
        <v>2.059861959118662</v>
      </c>
      <c r="U41" s="23"/>
      <c r="V41" s="23">
        <f>qtrSales!J43</f>
        <v>177</v>
      </c>
      <c r="W41" s="23"/>
      <c r="X41" s="33">
        <f>H41/V41</f>
        <v>0.42564971751412434</v>
      </c>
      <c r="Y41" s="23"/>
      <c r="Z41" s="73">
        <f>(X41/X34-1)*100</f>
        <v>14.102887410907151</v>
      </c>
      <c r="AA41" s="23"/>
      <c r="AB41" s="104">
        <f>qtrSales!Z43</f>
        <v>1.639</v>
      </c>
      <c r="AC41" s="23"/>
      <c r="AD41" s="110">
        <f>H41/AB41</f>
        <v>45.967053081147043</v>
      </c>
      <c r="AE41" s="23"/>
      <c r="AF41" s="73">
        <f>(AD41/AD34-1)*100</f>
        <v>19.666671119622503</v>
      </c>
      <c r="AG41" s="66"/>
      <c r="AH41" s="268"/>
      <c r="AI41" s="269"/>
      <c r="AJ41" s="23"/>
      <c r="AK41" s="23"/>
      <c r="AL41" s="23"/>
      <c r="AM41" s="23"/>
      <c r="AN41" s="23"/>
      <c r="AO41" s="23"/>
    </row>
    <row r="42" spans="1:41" hidden="1" outlineLevel="1">
      <c r="A42" s="23" t="str">
        <f>$A$14</f>
        <v>4Q</v>
      </c>
      <c r="B42" s="23" t="str">
        <f>$B$14</f>
        <v>Jan</v>
      </c>
      <c r="C42" s="23"/>
      <c r="D42" s="32">
        <f>'qtrP&amp;L'!T13</f>
        <v>300.08499999999998</v>
      </c>
      <c r="E42" s="23"/>
      <c r="F42" s="32">
        <f>'qtrP&amp;L'!T23</f>
        <v>155.19</v>
      </c>
      <c r="G42" s="23"/>
      <c r="H42" s="75">
        <f>work!R13</f>
        <v>43.991999999999997</v>
      </c>
      <c r="I42" s="23"/>
      <c r="J42" s="32">
        <f>AVERAGE(H41:H42)</f>
        <v>59.665999999999997</v>
      </c>
      <c r="K42" s="23"/>
      <c r="L42" s="72">
        <f>(D42/D35-1)*100</f>
        <v>41.452779938249762</v>
      </c>
      <c r="M42" s="23"/>
      <c r="N42" s="73">
        <f>(H42/H35-1)*100</f>
        <v>29.666637191617284</v>
      </c>
      <c r="O42" s="23"/>
      <c r="P42" s="73">
        <f>(H42/H41-1)*100</f>
        <v>-41.608707194053629</v>
      </c>
      <c r="Q42" s="23"/>
      <c r="R42" s="33">
        <f>F42/J42</f>
        <v>2.6009787818858312</v>
      </c>
      <c r="S42" s="23"/>
      <c r="T42" s="33">
        <f>F46/H42</f>
        <v>2.6609156210220042</v>
      </c>
      <c r="U42" s="23"/>
      <c r="V42" s="23">
        <f>qtrSales!J44</f>
        <v>196</v>
      </c>
      <c r="W42" s="23"/>
      <c r="X42" s="33">
        <f>H42/V42</f>
        <v>0.22444897959183671</v>
      </c>
      <c r="Y42" s="23"/>
      <c r="Z42" s="73">
        <f>(X42/X35-1)*100</f>
        <v>3.204058172919888</v>
      </c>
      <c r="AA42" s="23"/>
      <c r="AB42" s="104">
        <f>qtrSales!Z44</f>
        <v>1.7906640000000003</v>
      </c>
      <c r="AC42" s="23"/>
      <c r="AD42" s="110">
        <f>H42/AB42</f>
        <v>24.567423034137054</v>
      </c>
      <c r="AE42" s="23"/>
      <c r="AF42" s="73">
        <f>(AD42/AD35-1)*100</f>
        <v>10.19488886762916</v>
      </c>
      <c r="AG42" s="66"/>
      <c r="AH42" s="268"/>
      <c r="AI42" s="269"/>
      <c r="AJ42" s="23"/>
      <c r="AK42" s="23"/>
      <c r="AL42" s="23"/>
      <c r="AM42" s="23"/>
      <c r="AN42" s="23"/>
      <c r="AO42" s="23"/>
    </row>
    <row r="43" spans="1:41" hidden="1" outlineLevel="1">
      <c r="A43" s="23"/>
      <c r="B43" s="23" t="str">
        <f>$B$15</f>
        <v>Year</v>
      </c>
      <c r="C43" s="23"/>
      <c r="D43" s="28">
        <f>SUM(D39:D42)</f>
        <v>805.18000000000006</v>
      </c>
      <c r="E43" s="23"/>
      <c r="F43" s="28">
        <f>SUM(F39:F42)</f>
        <v>473.82600000000002</v>
      </c>
      <c r="G43" s="23"/>
      <c r="H43" s="23"/>
      <c r="I43" s="23"/>
      <c r="J43" s="28">
        <f>AVERAGE(J39:J42)</f>
        <v>56.723875</v>
      </c>
      <c r="K43" s="23"/>
      <c r="L43" s="35">
        <f>(D43/D36-1)*100</f>
        <v>54.362300308463894</v>
      </c>
      <c r="M43" s="23"/>
      <c r="N43" s="73"/>
      <c r="O43" s="23"/>
      <c r="P43" s="23"/>
      <c r="Q43" s="23"/>
      <c r="R43" s="74">
        <f>F43/J43</f>
        <v>8.3532022450863952</v>
      </c>
      <c r="S43" s="71" t="s">
        <v>177</v>
      </c>
      <c r="T43" s="33"/>
      <c r="U43" s="23"/>
      <c r="V43" s="23"/>
      <c r="W43" s="23"/>
      <c r="X43" s="23"/>
      <c r="Y43" s="23"/>
      <c r="Z43" s="23"/>
      <c r="AA43" s="23"/>
      <c r="AB43" s="104"/>
      <c r="AC43" s="23"/>
      <c r="AD43" s="23"/>
      <c r="AE43" s="23"/>
      <c r="AF43" s="23"/>
      <c r="AG43" s="66"/>
      <c r="AH43" s="270"/>
      <c r="AI43" s="271"/>
      <c r="AJ43" s="23"/>
      <c r="AK43" s="23"/>
      <c r="AL43" s="23"/>
      <c r="AM43" s="23"/>
      <c r="AN43" s="23"/>
      <c r="AO43" s="23"/>
    </row>
    <row r="44" spans="1:41" hidden="1" outlineLevel="1">
      <c r="A44" s="23"/>
      <c r="B44" s="23"/>
      <c r="C44" s="23"/>
      <c r="D44" s="23"/>
      <c r="E44" s="23"/>
      <c r="F44" s="23"/>
      <c r="G44" s="23"/>
      <c r="H44" s="23"/>
      <c r="I44" s="23"/>
      <c r="J44" s="23"/>
      <c r="K44" s="23"/>
      <c r="L44" s="23"/>
      <c r="M44" s="23"/>
      <c r="N44" s="23"/>
      <c r="O44" s="23"/>
      <c r="P44" s="23"/>
      <c r="Q44" s="23"/>
      <c r="R44" s="23"/>
      <c r="S44" s="23"/>
      <c r="T44" s="33"/>
      <c r="U44" s="23"/>
      <c r="V44" s="23"/>
      <c r="W44" s="23"/>
      <c r="X44" s="23"/>
      <c r="Y44" s="23"/>
      <c r="Z44" s="23"/>
      <c r="AA44" s="23"/>
      <c r="AB44" s="104"/>
      <c r="AC44" s="23"/>
      <c r="AD44" s="23"/>
      <c r="AE44" s="23"/>
      <c r="AF44" s="23"/>
      <c r="AG44" s="66"/>
      <c r="AH44" s="272"/>
      <c r="AI44" s="273"/>
      <c r="AJ44" s="23"/>
      <c r="AK44" s="23"/>
      <c r="AL44" s="23"/>
      <c r="AM44" s="23"/>
      <c r="AN44" s="23"/>
      <c r="AO44" s="23"/>
    </row>
    <row r="45" spans="1:41" hidden="1" outlineLevel="1" collapsed="1">
      <c r="A45" s="23"/>
      <c r="B45" s="63">
        <f>B38+1</f>
        <v>1999</v>
      </c>
      <c r="C45" s="23"/>
      <c r="D45" s="23"/>
      <c r="E45" s="23"/>
      <c r="F45" s="23"/>
      <c r="G45" s="23"/>
      <c r="H45" s="23"/>
      <c r="I45" s="23"/>
      <c r="J45" s="23"/>
      <c r="K45" s="23"/>
      <c r="L45" s="23"/>
      <c r="M45" s="23"/>
      <c r="N45" s="23"/>
      <c r="O45" s="23"/>
      <c r="P45" s="23"/>
      <c r="Q45" s="23"/>
      <c r="R45" s="23"/>
      <c r="S45" s="23"/>
      <c r="T45" s="33"/>
      <c r="U45" s="23"/>
      <c r="V45" s="23"/>
      <c r="W45" s="23"/>
      <c r="X45" s="23"/>
      <c r="Y45" s="23"/>
      <c r="Z45" s="23"/>
      <c r="AA45" s="23"/>
      <c r="AB45" s="104"/>
      <c r="AC45" s="23"/>
      <c r="AD45" s="23"/>
      <c r="AE45" s="23"/>
      <c r="AF45" s="23"/>
      <c r="AG45" s="66"/>
      <c r="AH45" s="23"/>
      <c r="AI45" s="23"/>
      <c r="AJ45" s="23"/>
      <c r="AK45" s="23"/>
      <c r="AL45" s="23"/>
      <c r="AM45" s="23"/>
      <c r="AN45" s="23"/>
      <c r="AO45" s="23"/>
    </row>
    <row r="46" spans="1:41" hidden="1" outlineLevel="1">
      <c r="A46" s="23" t="str">
        <f>$A$11</f>
        <v>1Q</v>
      </c>
      <c r="B46" s="23" t="str">
        <f>$B$11</f>
        <v>Apr</v>
      </c>
      <c r="C46" s="23"/>
      <c r="D46" s="28">
        <f>'qtrP&amp;L'!X10</f>
        <v>186.42699999999999</v>
      </c>
      <c r="E46" s="23"/>
      <c r="F46" s="28">
        <f>'qtrP&amp;L'!X20</f>
        <v>117.059</v>
      </c>
      <c r="G46" s="23"/>
      <c r="H46" s="28">
        <f>work!V10</f>
        <v>59.581000000000003</v>
      </c>
      <c r="I46" s="23"/>
      <c r="J46" s="28">
        <f>AVERAGE(H46,H42)</f>
        <v>51.786500000000004</v>
      </c>
      <c r="K46" s="23"/>
      <c r="L46" s="35">
        <f>(D46/D39-1)*100</f>
        <v>41.078671752028086</v>
      </c>
      <c r="M46" s="99" t="s">
        <v>76</v>
      </c>
      <c r="N46" s="35">
        <f>(H46/H39-1)*100</f>
        <v>62.315089764894992</v>
      </c>
      <c r="O46" s="23" t="s">
        <v>76</v>
      </c>
      <c r="P46" s="35">
        <f>(H46/H42-1)*100</f>
        <v>35.435988361520288</v>
      </c>
      <c r="Q46" s="23" t="s">
        <v>76</v>
      </c>
      <c r="R46" s="33">
        <f>F46/J46</f>
        <v>2.2604153592152394</v>
      </c>
      <c r="S46" s="23" t="s">
        <v>177</v>
      </c>
      <c r="T46" s="33">
        <f>F47/H46</f>
        <v>1.9952837313908796</v>
      </c>
      <c r="U46" s="23" t="s">
        <v>177</v>
      </c>
      <c r="V46" s="23">
        <f>qtrSales!J48</f>
        <v>200</v>
      </c>
      <c r="W46" s="23"/>
      <c r="X46" s="30">
        <f>H46/V46</f>
        <v>0.29790500000000003</v>
      </c>
      <c r="Y46" s="23"/>
      <c r="Z46" s="73">
        <f>(X46/X39-1)*100</f>
        <v>28.228920914267054</v>
      </c>
      <c r="AA46" s="99" t="s">
        <v>76</v>
      </c>
      <c r="AB46" s="104">
        <f>qtrSales!Z48</f>
        <v>1.831</v>
      </c>
      <c r="AC46" s="23"/>
      <c r="AD46" s="109">
        <f>H46/AB46</f>
        <v>32.5401419989077</v>
      </c>
      <c r="AE46" s="23"/>
      <c r="AF46" s="73">
        <f>(AD46/AD39-1)*100</f>
        <v>35.986536154750894</v>
      </c>
      <c r="AG46" s="66" t="s">
        <v>76</v>
      </c>
      <c r="AH46" s="268">
        <f>((F46-('yrP&amp;L'!$G$21/4))/J46)</f>
        <v>1.9615633417975724</v>
      </c>
      <c r="AI46" s="269" t="s">
        <v>177</v>
      </c>
      <c r="AJ46" s="99"/>
      <c r="AK46" s="23"/>
      <c r="AL46" s="23"/>
      <c r="AM46" s="23"/>
      <c r="AN46" s="23"/>
      <c r="AO46" s="23"/>
    </row>
    <row r="47" spans="1:41" hidden="1" outlineLevel="1">
      <c r="A47" s="23" t="str">
        <f>$A$12</f>
        <v>2Q</v>
      </c>
      <c r="B47" s="23" t="str">
        <f>$B$12</f>
        <v>Jul</v>
      </c>
      <c r="C47" s="23"/>
      <c r="D47" s="29">
        <f>'qtrP&amp;L'!X11</f>
        <v>196.227</v>
      </c>
      <c r="E47" s="23"/>
      <c r="F47" s="29">
        <f>'qtrP&amp;L'!X21</f>
        <v>118.881</v>
      </c>
      <c r="G47" s="23"/>
      <c r="H47" s="29">
        <f>work!V11</f>
        <v>97.629000000000005</v>
      </c>
      <c r="I47" s="23"/>
      <c r="J47" s="29">
        <f>AVERAGE(H46:H47)</f>
        <v>78.605000000000004</v>
      </c>
      <c r="K47" s="23"/>
      <c r="L47" s="35">
        <f>(D47/D40-1)*100</f>
        <v>35.300039301942341</v>
      </c>
      <c r="M47" s="23"/>
      <c r="N47" s="35">
        <f>(H47/H40-1)*100</f>
        <v>28.64710300570572</v>
      </c>
      <c r="O47" s="23"/>
      <c r="P47" s="35">
        <f>(H47/H46-1)*100</f>
        <v>63.859283999932856</v>
      </c>
      <c r="Q47" s="23"/>
      <c r="R47" s="33">
        <f>F47/J47</f>
        <v>1.512384708351886</v>
      </c>
      <c r="S47" s="23"/>
      <c r="T47" s="33">
        <f>F48/H47</f>
        <v>1.6993925985106884</v>
      </c>
      <c r="U47" s="23"/>
      <c r="V47" s="23">
        <f>qtrSales!J49</f>
        <v>208</v>
      </c>
      <c r="W47" s="23"/>
      <c r="X47" s="33">
        <f>H47/V47</f>
        <v>0.46937019230769234</v>
      </c>
      <c r="Y47" s="23"/>
      <c r="Z47" s="73">
        <f>(X47/X40-1)*100</f>
        <v>5.7627625671907712</v>
      </c>
      <c r="AA47" s="23"/>
      <c r="AB47" s="104">
        <f>qtrSales!Z49</f>
        <v>1.877</v>
      </c>
      <c r="AC47" s="23"/>
      <c r="AD47" s="110">
        <f>H47/AB47</f>
        <v>52.013319126265323</v>
      </c>
      <c r="AE47" s="23"/>
      <c r="AF47" s="73">
        <f>(AD47/AD40-1)*100</f>
        <v>10.210197993167181</v>
      </c>
      <c r="AG47" s="66"/>
      <c r="AH47" s="268">
        <f>((F47-('yrP&amp;L'!$G$21/4))/J47)</f>
        <v>1.3154951975065199</v>
      </c>
      <c r="AI47" s="269"/>
      <c r="AJ47" s="23"/>
      <c r="AK47" s="23"/>
      <c r="AL47" s="23"/>
      <c r="AM47" s="23"/>
      <c r="AN47" s="23"/>
      <c r="AO47" s="23"/>
    </row>
    <row r="48" spans="1:41" hidden="1" outlineLevel="1">
      <c r="A48" s="23" t="str">
        <f>$A$13</f>
        <v>3Q</v>
      </c>
      <c r="B48" s="23" t="str">
        <f>$B$13</f>
        <v>Oct</v>
      </c>
      <c r="C48" s="23"/>
      <c r="D48" s="29">
        <f>'qtrP&amp;L'!X12</f>
        <v>284.51</v>
      </c>
      <c r="E48" s="23"/>
      <c r="F48" s="29">
        <f>'qtrP&amp;L'!X22</f>
        <v>165.91</v>
      </c>
      <c r="G48" s="23"/>
      <c r="H48" s="29">
        <f>work!V12</f>
        <v>97.3</v>
      </c>
      <c r="I48" s="23"/>
      <c r="J48" s="29">
        <f>AVERAGE(H47:H48)</f>
        <v>97.464500000000001</v>
      </c>
      <c r="K48" s="23"/>
      <c r="L48" s="35">
        <f>(D48/D41-1)*100</f>
        <v>24.828887328887326</v>
      </c>
      <c r="M48" s="23"/>
      <c r="N48" s="35">
        <f>(H48/H41-1)*100</f>
        <v>29.147863020971588</v>
      </c>
      <c r="O48" s="23"/>
      <c r="P48" s="35">
        <f>(H48/H47-1)*100</f>
        <v>-0.33699003369901392</v>
      </c>
      <c r="Q48" s="23"/>
      <c r="R48" s="33">
        <f>F48/J48</f>
        <v>1.7022608231715137</v>
      </c>
      <c r="S48" s="23"/>
      <c r="T48" s="33">
        <f>F49/H48</f>
        <v>1.8358170606372046</v>
      </c>
      <c r="U48" s="23"/>
      <c r="V48" s="23">
        <f>qtrSales!J50</f>
        <v>220</v>
      </c>
      <c r="W48" s="23"/>
      <c r="X48" s="33">
        <f>H48/V48</f>
        <v>0.44227272727272726</v>
      </c>
      <c r="Y48" s="23"/>
      <c r="Z48" s="73">
        <f>(X48/X41-1)*100</f>
        <v>3.9053261577816745</v>
      </c>
      <c r="AA48" s="23"/>
      <c r="AB48" s="104">
        <f>qtrSales!Z50</f>
        <v>1.952</v>
      </c>
      <c r="AC48" s="23"/>
      <c r="AD48" s="110">
        <f>H48/AB48</f>
        <v>49.846311475409834</v>
      </c>
      <c r="AE48" s="23"/>
      <c r="AF48" s="73">
        <f>(AD48/AD41-1)*100</f>
        <v>8.4392149033670307</v>
      </c>
      <c r="AG48" s="66"/>
      <c r="AH48" s="268">
        <f>((F48-('yrP&amp;L'!$G$21/4))/J48)</f>
        <v>1.543469673573455</v>
      </c>
      <c r="AI48" s="269"/>
      <c r="AJ48" s="23"/>
      <c r="AK48" s="23"/>
      <c r="AL48" s="23"/>
      <c r="AM48" s="23"/>
      <c r="AN48" s="23"/>
      <c r="AO48" s="23"/>
    </row>
    <row r="49" spans="1:41" hidden="1" outlineLevel="1">
      <c r="A49" s="23" t="str">
        <f>$A$14</f>
        <v>4Q</v>
      </c>
      <c r="B49" s="23" t="str">
        <f>$B$14</f>
        <v>Jan</v>
      </c>
      <c r="C49" s="23"/>
      <c r="D49" s="32">
        <f>'qtrP&amp;L'!X13</f>
        <v>363.69400000000002</v>
      </c>
      <c r="E49" s="23"/>
      <c r="F49" s="32">
        <f>'qtrP&amp;L'!X23</f>
        <v>178.625</v>
      </c>
      <c r="G49" s="23"/>
      <c r="H49" s="75">
        <f>work!V13</f>
        <v>75.262</v>
      </c>
      <c r="I49" s="23"/>
      <c r="J49" s="32">
        <f>AVERAGE(H48:H49)</f>
        <v>86.281000000000006</v>
      </c>
      <c r="K49" s="23"/>
      <c r="L49" s="72">
        <f>(D49/D42-1)*100</f>
        <v>21.196994184980934</v>
      </c>
      <c r="M49" s="23"/>
      <c r="N49" s="73">
        <f>(H49/H42-1)*100</f>
        <v>71.081105655573751</v>
      </c>
      <c r="O49" s="23"/>
      <c r="P49" s="35">
        <f>(H49/H48-1)*100</f>
        <v>-22.649537512846862</v>
      </c>
      <c r="Q49" s="23"/>
      <c r="R49" s="33">
        <f>F49/J49</f>
        <v>2.0702703955679698</v>
      </c>
      <c r="S49" s="23"/>
      <c r="T49" s="33">
        <f>F53/H49</f>
        <v>1.7220243947808989</v>
      </c>
      <c r="U49" s="23"/>
      <c r="V49" s="23">
        <f>qtrSales!J51</f>
        <v>250</v>
      </c>
      <c r="W49" s="23"/>
      <c r="X49" s="33">
        <f>H49/V49</f>
        <v>0.30104799999999998</v>
      </c>
      <c r="Y49" s="23"/>
      <c r="Z49" s="73">
        <f>(X49/X42-1)*100</f>
        <v>34.127586833969815</v>
      </c>
      <c r="AA49" s="23"/>
      <c r="AB49" s="104">
        <f>qtrSales!Z51</f>
        <v>2.1739999999999999</v>
      </c>
      <c r="AC49" s="23"/>
      <c r="AD49" s="110">
        <f>H49/AB49</f>
        <v>34.619135234590615</v>
      </c>
      <c r="AE49" s="23"/>
      <c r="AF49" s="73">
        <f>(AD49/AD42-1)*100</f>
        <v>40.914800817678177</v>
      </c>
      <c r="AG49" s="66"/>
      <c r="AH49" s="268">
        <f>((F49-('yrP&amp;L'!$G$21/4))/J49)</f>
        <v>1.8908971847799632</v>
      </c>
      <c r="AI49" s="276"/>
      <c r="AJ49" s="23"/>
      <c r="AK49" s="23"/>
      <c r="AL49" s="23"/>
      <c r="AM49" s="23"/>
      <c r="AN49" s="23"/>
      <c r="AO49" s="23"/>
    </row>
    <row r="50" spans="1:41" hidden="1" outlineLevel="1">
      <c r="A50" s="23"/>
      <c r="B50" s="23" t="str">
        <f>$B$15</f>
        <v>Year</v>
      </c>
      <c r="C50" s="23"/>
      <c r="D50" s="28">
        <f>SUM(D46:D49)</f>
        <v>1030.8579999999999</v>
      </c>
      <c r="E50" s="23"/>
      <c r="F50" s="28">
        <f>SUM(F46:F49)</f>
        <v>580.47500000000002</v>
      </c>
      <c r="G50" s="23"/>
      <c r="H50" s="23"/>
      <c r="I50" s="23"/>
      <c r="J50" s="28">
        <f>AVERAGE(J46:J49)</f>
        <v>78.53425</v>
      </c>
      <c r="K50" s="23"/>
      <c r="L50" s="35">
        <f>(D50/D43-1)*100</f>
        <v>28.028266971360427</v>
      </c>
      <c r="M50" s="23"/>
      <c r="N50" s="73"/>
      <c r="O50" s="23"/>
      <c r="P50" s="73"/>
      <c r="Q50" s="23"/>
      <c r="R50" s="74">
        <f>F50/J50</f>
        <v>7.3913610940449548</v>
      </c>
      <c r="S50" s="71" t="s">
        <v>177</v>
      </c>
      <c r="T50" s="33"/>
      <c r="U50" s="23"/>
      <c r="V50" s="23"/>
      <c r="W50" s="23"/>
      <c r="X50" s="23"/>
      <c r="Y50" s="23"/>
      <c r="Z50" s="23"/>
      <c r="AA50" s="23"/>
      <c r="AB50" s="104"/>
      <c r="AC50" s="23"/>
      <c r="AD50" s="23"/>
      <c r="AE50" s="23"/>
      <c r="AF50" s="23"/>
      <c r="AG50" s="66"/>
      <c r="AH50" s="272">
        <f>((F50-('yrP&amp;L'!$G$21))/J50)</f>
        <v>6.6030935547229399</v>
      </c>
      <c r="AI50" s="273" t="s">
        <v>177</v>
      </c>
      <c r="AJ50" s="23"/>
      <c r="AK50" s="23"/>
      <c r="AL50" s="23"/>
      <c r="AM50" s="23"/>
      <c r="AN50" s="23"/>
      <c r="AO50" s="23"/>
    </row>
    <row r="51" spans="1:41" hidden="1" outlineLevel="1">
      <c r="A51" s="23"/>
      <c r="B51" s="23"/>
      <c r="C51" s="23"/>
      <c r="D51" s="23"/>
      <c r="E51" s="23"/>
      <c r="F51" s="23"/>
      <c r="G51" s="23"/>
      <c r="H51" s="23"/>
      <c r="I51" s="23"/>
      <c r="J51" s="23"/>
      <c r="K51" s="23"/>
      <c r="L51" s="23"/>
      <c r="M51" s="23"/>
      <c r="N51" s="23"/>
      <c r="O51" s="23"/>
      <c r="P51" s="23"/>
      <c r="Q51" s="23"/>
      <c r="R51" s="23"/>
      <c r="S51" s="23"/>
      <c r="T51" s="33"/>
      <c r="U51" s="23"/>
      <c r="V51" s="23"/>
      <c r="W51" s="23"/>
      <c r="X51" s="23"/>
      <c r="Y51" s="23"/>
      <c r="Z51" s="23"/>
      <c r="AA51" s="23"/>
      <c r="AB51" s="104"/>
      <c r="AC51" s="23"/>
      <c r="AD51" s="23"/>
      <c r="AE51" s="23"/>
      <c r="AF51" s="23"/>
      <c r="AG51" s="66"/>
      <c r="AH51" s="23"/>
      <c r="AI51" s="23"/>
      <c r="AJ51" s="23"/>
      <c r="AK51" s="23"/>
      <c r="AL51" s="23"/>
      <c r="AM51" s="23"/>
      <c r="AN51" s="23"/>
      <c r="AO51" s="23"/>
    </row>
    <row r="52" spans="1:41" collapsed="1">
      <c r="A52" s="23"/>
      <c r="B52" s="63">
        <f>B45+1</f>
        <v>2000</v>
      </c>
      <c r="C52" s="23"/>
      <c r="D52" s="23"/>
      <c r="E52" s="23"/>
      <c r="F52" s="23"/>
      <c r="G52" s="23"/>
      <c r="H52" s="23"/>
      <c r="I52" s="23"/>
      <c r="J52" s="23"/>
      <c r="K52" s="23"/>
      <c r="L52" s="23"/>
      <c r="M52" s="23"/>
      <c r="N52" s="23"/>
      <c r="O52" s="23"/>
      <c r="P52" s="23"/>
      <c r="Q52" s="23"/>
      <c r="R52" s="23"/>
      <c r="S52" s="23"/>
      <c r="T52" s="33"/>
      <c r="U52" s="23"/>
      <c r="V52" s="23"/>
      <c r="W52" s="23"/>
      <c r="X52" s="23"/>
      <c r="Y52" s="23"/>
      <c r="Z52" s="23"/>
      <c r="AA52" s="23"/>
      <c r="AB52" s="104"/>
      <c r="AC52" s="23"/>
      <c r="AD52" s="23"/>
      <c r="AE52" s="23"/>
      <c r="AF52" s="23"/>
      <c r="AG52" s="66"/>
      <c r="AH52" s="23"/>
      <c r="AI52" s="23"/>
      <c r="AJ52" s="23"/>
      <c r="AK52" s="23"/>
      <c r="AL52" s="23"/>
      <c r="AM52" s="23"/>
      <c r="AN52" s="23"/>
      <c r="AO52" s="23"/>
    </row>
    <row r="53" spans="1:41">
      <c r="A53" s="23" t="str">
        <f>$A$11</f>
        <v>1Q</v>
      </c>
      <c r="B53" s="23" t="str">
        <f>$B$11</f>
        <v>Apr</v>
      </c>
      <c r="C53" s="23"/>
      <c r="D53" s="28">
        <f>'qtrP&amp;L'!AB10</f>
        <v>205.006</v>
      </c>
      <c r="E53" s="23"/>
      <c r="F53" s="28">
        <f>'qtrP&amp;L'!AB20</f>
        <v>129.60300000000001</v>
      </c>
      <c r="G53" s="23"/>
      <c r="H53" s="28">
        <f>work!Z10</f>
        <v>86.632999999999996</v>
      </c>
      <c r="I53" s="23"/>
      <c r="J53" s="28">
        <f>AVERAGE(H53,H48)</f>
        <v>91.966499999999996</v>
      </c>
      <c r="K53" s="23"/>
      <c r="L53" s="35">
        <f>(D53/D46-1)*100</f>
        <v>9.9658311296110682</v>
      </c>
      <c r="M53" s="99" t="s">
        <v>76</v>
      </c>
      <c r="N53" s="35">
        <f>(H53/H46-1)*100</f>
        <v>45.403736090364369</v>
      </c>
      <c r="O53" s="23" t="s">
        <v>76</v>
      </c>
      <c r="P53" s="35">
        <f>(H53/H49-1)*100</f>
        <v>15.10855411761578</v>
      </c>
      <c r="Q53" s="23" t="s">
        <v>76</v>
      </c>
      <c r="R53" s="33">
        <f>F53/J53</f>
        <v>1.4092414085563767</v>
      </c>
      <c r="S53" s="23" t="s">
        <v>177</v>
      </c>
      <c r="T53" s="33">
        <f>F57/H53</f>
        <v>8.4059076795216612</v>
      </c>
      <c r="U53" s="23"/>
      <c r="V53" s="23">
        <f>qtrSales!J55</f>
        <v>258</v>
      </c>
      <c r="W53" s="23"/>
      <c r="X53" s="30">
        <f>H53/V53</f>
        <v>0.33578682170542634</v>
      </c>
      <c r="Y53" s="23"/>
      <c r="Z53" s="73">
        <f>(X53/X46-1)*100</f>
        <v>12.716074488654549</v>
      </c>
      <c r="AA53" s="99" t="s">
        <v>76</v>
      </c>
      <c r="AB53" s="104">
        <f>qtrSales!Z55</f>
        <v>2.2280000000000002</v>
      </c>
      <c r="AC53" s="23"/>
      <c r="AD53" s="109">
        <f>H53/AB53</f>
        <v>38.883752244165166</v>
      </c>
      <c r="AE53" s="23"/>
      <c r="AF53" s="73">
        <f>(AD53/AD46-1)*100</f>
        <v>19.49472207426264</v>
      </c>
      <c r="AG53" s="66" t="s">
        <v>76</v>
      </c>
      <c r="AH53" s="268">
        <f>((F53-('yrP&amp;L'!$H$21/4))/J53)</f>
        <v>1.2038079083144406</v>
      </c>
      <c r="AI53" s="269" t="s">
        <v>177</v>
      </c>
      <c r="AJ53" s="99"/>
      <c r="AK53" s="23"/>
      <c r="AL53" s="23"/>
      <c r="AM53" s="23"/>
      <c r="AN53" s="23"/>
      <c r="AO53" s="23"/>
    </row>
    <row r="54" spans="1:41">
      <c r="A54" s="23" t="str">
        <f>$A$12</f>
        <v>2Q</v>
      </c>
      <c r="B54" s="23" t="str">
        <f>$B$12</f>
        <v>Jul</v>
      </c>
      <c r="C54" s="23"/>
      <c r="D54" s="29">
        <f>'qtrP&amp;L'!AB11</f>
        <v>229.03100000000001</v>
      </c>
      <c r="E54" s="23"/>
      <c r="F54" s="29">
        <f>'qtrP&amp;L'!AB21</f>
        <v>141.26599999999999</v>
      </c>
      <c r="G54" s="23"/>
      <c r="H54" s="29">
        <f>work!Z11</f>
        <v>124.74</v>
      </c>
      <c r="I54" s="23"/>
      <c r="J54" s="29">
        <f>AVERAGE(H53:H54)</f>
        <v>105.6865</v>
      </c>
      <c r="K54" s="23"/>
      <c r="L54" s="35">
        <f>(D54/D47-1)*100</f>
        <v>16.717373246291277</v>
      </c>
      <c r="M54" s="99"/>
      <c r="N54" s="35">
        <f>(H54/H47-1)*100</f>
        <v>27.769412776941273</v>
      </c>
      <c r="O54" s="99"/>
      <c r="P54" s="35">
        <f>(H54/H53-1)*100</f>
        <v>43.98670252675079</v>
      </c>
      <c r="Q54" s="99"/>
      <c r="R54" s="33">
        <f>F54/J54</f>
        <v>1.3366513225435603</v>
      </c>
      <c r="S54" s="23"/>
      <c r="T54" s="33">
        <f>F55/H54</f>
        <v>1.7703944203944204</v>
      </c>
      <c r="U54" s="23"/>
      <c r="V54" s="23">
        <f>qtrSales!J56</f>
        <v>294</v>
      </c>
      <c r="W54" s="23"/>
      <c r="X54" s="33">
        <f>H54/V54</f>
        <v>0.42428571428571427</v>
      </c>
      <c r="Y54" s="23"/>
      <c r="Z54" s="73">
        <f>(X54/X47-1)*100</f>
        <v>-9.6053134095109414</v>
      </c>
      <c r="AA54" s="99"/>
      <c r="AB54" s="104">
        <f>qtrSales!Z56</f>
        <v>2.472</v>
      </c>
      <c r="AC54" s="23"/>
      <c r="AD54" s="110">
        <f>H54/AB54</f>
        <v>50.461165048543691</v>
      </c>
      <c r="AE54" s="23"/>
      <c r="AF54" s="73">
        <f>(AD54/AD47-1)*100</f>
        <v>-2.9841473372496874</v>
      </c>
      <c r="AG54" s="66"/>
      <c r="AH54" s="268">
        <f>((F54-('yrP&amp;L'!$H$21/4))/J54)</f>
        <v>1.1578867688872279</v>
      </c>
      <c r="AI54" s="269"/>
      <c r="AJ54" s="99"/>
      <c r="AK54" s="137">
        <f>J54/(F54/(365/4))</f>
        <v>68.267616588563428</v>
      </c>
      <c r="AL54" s="23"/>
      <c r="AM54" s="137">
        <f>H54/(F55/(365/4))</f>
        <v>51.542186841998017</v>
      </c>
      <c r="AN54" s="92"/>
      <c r="AO54" s="23"/>
    </row>
    <row r="55" spans="1:41">
      <c r="A55" s="23" t="str">
        <f>$A$13</f>
        <v>3Q</v>
      </c>
      <c r="B55" s="23" t="str">
        <f>$B$13</f>
        <v>Oct</v>
      </c>
      <c r="C55" s="23"/>
      <c r="D55" s="29">
        <f>'qtrP&amp;L'!AB12</f>
        <v>364.12200000000001</v>
      </c>
      <c r="E55" s="23"/>
      <c r="F55" s="29">
        <f>'qtrP&amp;L'!AB22</f>
        <v>220.839</v>
      </c>
      <c r="G55" s="23"/>
      <c r="H55" s="29">
        <f>work!Z12</f>
        <v>122.374</v>
      </c>
      <c r="I55" s="23"/>
      <c r="J55" s="29">
        <f>AVERAGE(H54:H55)</f>
        <v>123.55699999999999</v>
      </c>
      <c r="K55" s="23"/>
      <c r="L55" s="35">
        <f>(D55/D48-1)*100</f>
        <v>27.982144740079452</v>
      </c>
      <c r="M55" s="99"/>
      <c r="N55" s="35">
        <f>(H55/H48-1)*100</f>
        <v>25.769784172661868</v>
      </c>
      <c r="O55" s="99"/>
      <c r="P55" s="35">
        <f>(H55/H54-1)*100</f>
        <v>-1.896745230078567</v>
      </c>
      <c r="Q55" s="99"/>
      <c r="R55" s="33">
        <f>F55/J55</f>
        <v>1.787345111972612</v>
      </c>
      <c r="S55" s="23"/>
      <c r="T55" s="33">
        <f>F56/H55</f>
        <v>1.9327716671842057</v>
      </c>
      <c r="U55" s="23"/>
      <c r="V55" s="23">
        <f>qtrSales!J57</f>
        <v>325</v>
      </c>
      <c r="W55" s="23"/>
      <c r="X55" s="33">
        <f>H55/V55</f>
        <v>0.37653538461538461</v>
      </c>
      <c r="Y55" s="23"/>
      <c r="Z55" s="73">
        <f>(X55/X48-1)*100</f>
        <v>-14.863530713890427</v>
      </c>
      <c r="AA55" s="99"/>
      <c r="AB55" s="104">
        <f>qtrSales!Z57</f>
        <v>2.6579999999999999</v>
      </c>
      <c r="AC55" s="23"/>
      <c r="AD55" s="110">
        <f>H55/AB55</f>
        <v>46.03987960872837</v>
      </c>
      <c r="AE55" s="23"/>
      <c r="AF55" s="73">
        <f>(AD55/AD48-1)*100</f>
        <v>-7.6363360778645584</v>
      </c>
      <c r="AG55" s="66"/>
      <c r="AH55" s="268">
        <f>((F55-('yrP&amp;L'!$H$21/4))/J55)</f>
        <v>1.6344359283569527</v>
      </c>
      <c r="AI55" s="269"/>
      <c r="AJ55" s="99"/>
      <c r="AK55" s="137">
        <f>J55/(F55/(365/4))</f>
        <v>51.053374856796125</v>
      </c>
      <c r="AL55" s="23"/>
      <c r="AM55" s="137">
        <f>H55/(F56/(365/4))</f>
        <v>47.211991747033032</v>
      </c>
      <c r="AN55" s="92"/>
      <c r="AO55" s="23"/>
    </row>
    <row r="56" spans="1:41">
      <c r="A56" s="23" t="str">
        <f>$A$14</f>
        <v>4Q</v>
      </c>
      <c r="B56" s="23" t="str">
        <f>$B$14</f>
        <v>Jan</v>
      </c>
      <c r="C56" s="23"/>
      <c r="D56" s="32">
        <f>'qtrP&amp;L'!AB13</f>
        <v>439.44499999999999</v>
      </c>
      <c r="E56" s="23"/>
      <c r="F56" s="32">
        <f>'qtrP&amp;L'!AB23</f>
        <v>236.52099999999999</v>
      </c>
      <c r="G56" s="23"/>
      <c r="H56" s="29">
        <f>work!Z13</f>
        <v>120.997</v>
      </c>
      <c r="I56" s="23"/>
      <c r="J56" s="32">
        <f>AVERAGE(H55:H56)</f>
        <v>121.68549999999999</v>
      </c>
      <c r="K56" s="23"/>
      <c r="L56" s="72">
        <f>(D56/D49-1)*100</f>
        <v>20.828223726539342</v>
      </c>
      <c r="M56" s="99"/>
      <c r="N56" s="73">
        <f>(H56/H49-1)*100</f>
        <v>60.767718104754053</v>
      </c>
      <c r="O56" s="99"/>
      <c r="P56" s="35">
        <f>(H56/H55-1)*100</f>
        <v>-1.1252390213607466</v>
      </c>
      <c r="Q56" s="99"/>
      <c r="R56" s="33">
        <f>F56/J56</f>
        <v>1.9437073439316928</v>
      </c>
      <c r="S56" s="23"/>
      <c r="T56" s="33">
        <f>F60/H56</f>
        <v>1.3706124945246576</v>
      </c>
      <c r="U56" s="23"/>
      <c r="V56" s="23">
        <f>qtrSales!J58</f>
        <v>354</v>
      </c>
      <c r="W56" s="23"/>
      <c r="X56" s="33">
        <f>H56/V56</f>
        <v>0.34179943502824861</v>
      </c>
      <c r="Y56" s="23"/>
      <c r="Z56" s="73">
        <f>(X56/X49-1)*100</f>
        <v>13.536524085278302</v>
      </c>
      <c r="AA56" s="99"/>
      <c r="AB56" s="104">
        <f>qtrSales!Z58</f>
        <v>2.8490000000000002</v>
      </c>
      <c r="AC56" s="23"/>
      <c r="AD56" s="110">
        <f>H56/AB56</f>
        <v>42.469989469989464</v>
      </c>
      <c r="AE56" s="23"/>
      <c r="AF56" s="73">
        <f>(AD56/AD49-1)*100</f>
        <v>22.67778840285548</v>
      </c>
      <c r="AG56" s="66"/>
      <c r="AH56" s="268">
        <f>((F56-('yrP&amp;L'!$H$21/4))/J56)</f>
        <v>1.7884464459611047</v>
      </c>
      <c r="AI56" s="276"/>
      <c r="AJ56" s="99"/>
      <c r="AK56" s="137">
        <f>J56/(F56/(365/4))</f>
        <v>46.946367870083414</v>
      </c>
      <c r="AL56" s="23"/>
      <c r="AM56" s="137">
        <f>H56/(F60/(365/4))</f>
        <v>66.576074831162572</v>
      </c>
      <c r="AN56" s="92"/>
      <c r="AO56" s="23"/>
    </row>
    <row r="57" spans="1:41">
      <c r="A57" s="23"/>
      <c r="B57" s="23" t="str">
        <f>$B$15</f>
        <v>Year</v>
      </c>
      <c r="C57" s="23"/>
      <c r="D57" s="28">
        <f>SUM(D53:D56)</f>
        <v>1237.604</v>
      </c>
      <c r="E57" s="23"/>
      <c r="F57" s="28">
        <f>SUM(F53:F56)</f>
        <v>728.22900000000004</v>
      </c>
      <c r="G57" s="23"/>
      <c r="H57" s="23"/>
      <c r="I57" s="23"/>
      <c r="J57" s="28">
        <f>AVERAGE(J53:J56)</f>
        <v>110.72387499999999</v>
      </c>
      <c r="K57" s="23"/>
      <c r="L57" s="35">
        <f>(D57/D50-1)*100</f>
        <v>20.055720574511724</v>
      </c>
      <c r="M57" s="99"/>
      <c r="N57" s="23"/>
      <c r="O57" s="99"/>
      <c r="P57" s="23"/>
      <c r="Q57" s="99"/>
      <c r="R57" s="74">
        <f>F57/J57</f>
        <v>6.576982606506502</v>
      </c>
      <c r="S57" s="71" t="s">
        <v>177</v>
      </c>
      <c r="T57" s="33"/>
      <c r="U57" s="23"/>
      <c r="V57" s="23"/>
      <c r="W57" s="23"/>
      <c r="X57" s="23"/>
      <c r="Y57" s="23"/>
      <c r="Z57" s="23"/>
      <c r="AA57" s="99"/>
      <c r="AB57" s="104"/>
      <c r="AC57" s="23"/>
      <c r="AD57" s="23"/>
      <c r="AE57" s="23"/>
      <c r="AF57" s="23"/>
      <c r="AG57" s="66"/>
      <c r="AH57" s="272">
        <f>((F57-('yrP&amp;L'!$H$21))/J57)</f>
        <v>5.8944559156731113</v>
      </c>
      <c r="AI57" s="273" t="s">
        <v>177</v>
      </c>
      <c r="AJ57" s="99"/>
      <c r="AK57" s="137">
        <f>J57/(F57/(365/4))</f>
        <v>13.874143427067581</v>
      </c>
      <c r="AL57" s="23"/>
      <c r="AM57" s="23"/>
      <c r="AN57" s="23"/>
      <c r="AO57" s="23"/>
    </row>
    <row r="58" spans="1:41">
      <c r="A58" s="23"/>
      <c r="B58" s="23"/>
      <c r="C58" s="23"/>
      <c r="D58" s="23"/>
      <c r="E58" s="23"/>
      <c r="F58" s="23"/>
      <c r="G58" s="23"/>
      <c r="H58" s="23"/>
      <c r="I58" s="23"/>
      <c r="J58" s="23"/>
      <c r="K58" s="23"/>
      <c r="L58" s="23"/>
      <c r="M58" s="99"/>
      <c r="N58" s="23"/>
      <c r="O58" s="99"/>
      <c r="P58" s="23"/>
      <c r="Q58" s="99"/>
      <c r="R58" s="23"/>
      <c r="S58" s="23"/>
      <c r="T58" s="33"/>
      <c r="U58" s="23"/>
      <c r="V58" s="23"/>
      <c r="W58" s="23"/>
      <c r="X58" s="23"/>
      <c r="Y58" s="23"/>
      <c r="Z58" s="23"/>
      <c r="AA58" s="99"/>
      <c r="AB58" s="104"/>
      <c r="AC58" s="23"/>
      <c r="AD58" s="23"/>
      <c r="AE58" s="23"/>
      <c r="AF58" s="23"/>
      <c r="AG58" s="66"/>
      <c r="AH58" s="99"/>
      <c r="AI58" s="99"/>
      <c r="AJ58" s="99"/>
      <c r="AK58" s="23"/>
      <c r="AL58" s="23"/>
      <c r="AM58" s="23"/>
      <c r="AN58" s="23"/>
      <c r="AO58" s="23"/>
    </row>
    <row r="59" spans="1:41">
      <c r="A59" s="23"/>
      <c r="B59" s="63">
        <f>B52+1</f>
        <v>2001</v>
      </c>
      <c r="C59" s="23"/>
      <c r="D59" s="23"/>
      <c r="E59" s="23"/>
      <c r="F59" s="23"/>
      <c r="G59" s="23"/>
      <c r="H59" s="23"/>
      <c r="I59" s="23"/>
      <c r="J59" s="23"/>
      <c r="K59" s="23"/>
      <c r="L59" s="23"/>
      <c r="M59" s="99"/>
      <c r="N59" s="23"/>
      <c r="O59" s="99"/>
      <c r="P59" s="23"/>
      <c r="Q59" s="99"/>
      <c r="R59" s="23"/>
      <c r="S59" s="23"/>
      <c r="T59" s="33"/>
      <c r="U59" s="23"/>
      <c r="V59" s="23"/>
      <c r="W59" s="23"/>
      <c r="X59" s="23"/>
      <c r="Y59" s="23"/>
      <c r="Z59" s="23"/>
      <c r="AA59" s="99"/>
      <c r="AB59" s="104"/>
      <c r="AC59" s="23"/>
      <c r="AD59" s="23"/>
      <c r="AE59" s="23"/>
      <c r="AF59" s="23"/>
      <c r="AG59" s="66"/>
      <c r="AH59" s="99"/>
      <c r="AI59" s="99"/>
      <c r="AJ59" s="99"/>
      <c r="AK59" s="23"/>
      <c r="AL59" s="23"/>
      <c r="AM59" s="23"/>
      <c r="AN59" s="23"/>
      <c r="AO59" s="23"/>
    </row>
    <row r="60" spans="1:41">
      <c r="A60" s="23" t="str">
        <f>$A$11</f>
        <v>1Q</v>
      </c>
      <c r="B60" s="23" t="str">
        <f>$B$11</f>
        <v>Apr</v>
      </c>
      <c r="C60" s="99"/>
      <c r="D60" s="28">
        <f>'qtrP&amp;L'!$AF10</f>
        <v>263.68</v>
      </c>
      <c r="E60" s="23"/>
      <c r="F60" s="28">
        <f>'qtrP&amp;L'!$AF20</f>
        <v>165.84</v>
      </c>
      <c r="G60" s="23"/>
      <c r="H60" s="28">
        <f>work!AD10</f>
        <v>109.29600000000001</v>
      </c>
      <c r="I60" s="23"/>
      <c r="J60" s="28">
        <f>AVERAGE(H60,H56)</f>
        <v>115.1465</v>
      </c>
      <c r="K60" s="23"/>
      <c r="L60" s="35">
        <f>(D60/D53-1)*100</f>
        <v>28.620625737783278</v>
      </c>
      <c r="M60" s="99" t="s">
        <v>76</v>
      </c>
      <c r="N60" s="35">
        <f>(H60/H53-1)*100</f>
        <v>26.159777452010214</v>
      </c>
      <c r="O60" s="99" t="s">
        <v>76</v>
      </c>
      <c r="P60" s="35">
        <f>(H60/H56-1)*100</f>
        <v>-9.6704876980420966</v>
      </c>
      <c r="Q60" s="99" t="s">
        <v>76</v>
      </c>
      <c r="R60" s="33">
        <f>F60/J60</f>
        <v>1.4402522004576779</v>
      </c>
      <c r="S60" s="23" t="s">
        <v>177</v>
      </c>
      <c r="T60" s="33">
        <f>F61/H60</f>
        <v>1.5717775581906015</v>
      </c>
      <c r="U60" s="23"/>
      <c r="V60" s="23">
        <f>qtrSales!J62</f>
        <v>355</v>
      </c>
      <c r="W60" s="23"/>
      <c r="X60" s="30">
        <f>H60/V60</f>
        <v>0.30787605633802817</v>
      </c>
      <c r="Y60" s="23"/>
      <c r="Z60" s="73">
        <f>(X60/X53-1)*100</f>
        <v>-8.3120490630460999</v>
      </c>
      <c r="AA60" s="99" t="s">
        <v>76</v>
      </c>
      <c r="AB60" s="104">
        <f>qtrSales!Z62</f>
        <v>2.8559999999999999</v>
      </c>
      <c r="AC60" s="23"/>
      <c r="AD60" s="109">
        <f>H60/AB60</f>
        <v>38.268907563025216</v>
      </c>
      <c r="AE60" s="23"/>
      <c r="AF60" s="139">
        <f>(AD60/AD53-1)*100</f>
        <v>-1.5812380381376667</v>
      </c>
      <c r="AG60" s="66" t="s">
        <v>76</v>
      </c>
      <c r="AH60" s="268">
        <f>((F60-('yrP&amp;L'!$I$21/4))/J60)</f>
        <v>1.2446948018393957</v>
      </c>
      <c r="AI60" s="269" t="s">
        <v>177</v>
      </c>
      <c r="AJ60" s="99"/>
      <c r="AK60" s="137">
        <f>J60/(F60/(365/4))</f>
        <v>63.356959267969131</v>
      </c>
      <c r="AL60" s="23"/>
      <c r="AM60" s="137">
        <f>H60/(F61/(365/4))</f>
        <v>58.055288755391793</v>
      </c>
      <c r="AN60" s="92"/>
      <c r="AO60" s="23"/>
    </row>
    <row r="61" spans="1:41">
      <c r="A61" s="23" t="str">
        <f>$A$12</f>
        <v>2Q</v>
      </c>
      <c r="B61" s="23" t="str">
        <f>$B$12</f>
        <v>Jul</v>
      </c>
      <c r="C61" s="99"/>
      <c r="D61" s="29">
        <f>'qtrP&amp;L'!AF11</f>
        <v>280.11599999999999</v>
      </c>
      <c r="E61" s="23"/>
      <c r="F61" s="29">
        <f>'qtrP&amp;L'!$AF21</f>
        <v>171.78899999999999</v>
      </c>
      <c r="G61" s="23"/>
      <c r="H61" s="28">
        <f>work!AD11</f>
        <v>157.727</v>
      </c>
      <c r="I61" s="23"/>
      <c r="J61" s="29">
        <f>AVERAGE(H60:H61)</f>
        <v>133.51150000000001</v>
      </c>
      <c r="K61" s="23"/>
      <c r="L61" s="35">
        <f>(D61/D54-1)*100</f>
        <v>22.304840829407357</v>
      </c>
      <c r="M61" s="99"/>
      <c r="N61" s="35">
        <f>(H61/H54-1)*100</f>
        <v>26.444604777938132</v>
      </c>
      <c r="O61" s="99"/>
      <c r="P61" s="35">
        <f>(H61/H60-1)*100</f>
        <v>44.311777192211977</v>
      </c>
      <c r="Q61" s="99"/>
      <c r="R61" s="33">
        <f>F61/J61</f>
        <v>1.2866981495976</v>
      </c>
      <c r="S61" s="23"/>
      <c r="T61" s="33">
        <f>F62/H61</f>
        <v>1.3381982793053819</v>
      </c>
      <c r="U61" s="23"/>
      <c r="V61" s="23">
        <f>qtrSales!J63</f>
        <v>405</v>
      </c>
      <c r="W61" s="23"/>
      <c r="X61" s="33">
        <f>H61/V61</f>
        <v>0.3894493827160494</v>
      </c>
      <c r="Y61" s="23"/>
      <c r="Z61" s="73">
        <f>(X61/X54-1)*100</f>
        <v>-8.2105831982375079</v>
      </c>
      <c r="AA61" s="99"/>
      <c r="AB61" s="104">
        <f>qtrSales!Z63</f>
        <v>3.1419999999999999</v>
      </c>
      <c r="AC61" s="23"/>
      <c r="AD61" s="110">
        <f>H61/AB61</f>
        <v>50.199554423933805</v>
      </c>
      <c r="AE61" s="23"/>
      <c r="AF61" s="136">
        <f>(AD61/AD54-1)*100</f>
        <v>-0.51843952544142757</v>
      </c>
      <c r="AG61" s="66"/>
      <c r="AH61" s="268">
        <f>((F61-('yrP&amp;L'!$I$21/4))/J61)</f>
        <v>1.1180403935241532</v>
      </c>
      <c r="AI61" s="269"/>
      <c r="AJ61" s="99"/>
      <c r="AK61" s="137">
        <f>J61/(F61/(365/4))</f>
        <v>70.917953856184056</v>
      </c>
      <c r="AL61" s="23"/>
      <c r="AM61" s="137">
        <f>H61/(F62/(365/4))</f>
        <v>68.188699246695407</v>
      </c>
      <c r="AN61" s="92"/>
      <c r="AO61" s="23"/>
    </row>
    <row r="62" spans="1:41">
      <c r="A62" s="23" t="str">
        <f>$A$13</f>
        <v>3Q</v>
      </c>
      <c r="B62" s="23" t="str">
        <f>$B$13</f>
        <v>Oct</v>
      </c>
      <c r="C62" s="99"/>
      <c r="D62" s="29">
        <f>'qtrP&amp;L'!AF12</f>
        <v>354.47300000000001</v>
      </c>
      <c r="E62" s="23"/>
      <c r="F62" s="29">
        <f>'qtrP&amp;L'!$AF22</f>
        <v>211.07</v>
      </c>
      <c r="G62" s="23"/>
      <c r="H62" s="28">
        <f>work!AD12</f>
        <v>153.20400000000001</v>
      </c>
      <c r="I62" s="23"/>
      <c r="J62" s="29">
        <f>AVERAGE(H61:H62)</f>
        <v>155.46550000000002</v>
      </c>
      <c r="K62" s="23"/>
      <c r="L62" s="35">
        <f>(D62/D55-1)*100</f>
        <v>-2.6499360104580316</v>
      </c>
      <c r="M62" s="99"/>
      <c r="N62" s="35">
        <f>(H62/H55-1)*100</f>
        <v>25.193260006210473</v>
      </c>
      <c r="O62" s="99"/>
      <c r="P62" s="35">
        <f>(H62/H61-1)*100</f>
        <v>-2.8676130275729572</v>
      </c>
      <c r="Q62" s="99"/>
      <c r="R62" s="33">
        <f>F62/J62</f>
        <v>1.3576645622340646</v>
      </c>
      <c r="S62" s="23"/>
      <c r="T62" s="33">
        <f>F63/H62</f>
        <v>1.6848124069867627</v>
      </c>
      <c r="U62" s="23"/>
      <c r="V62" s="23">
        <f>qtrSales!J64</f>
        <v>454</v>
      </c>
      <c r="W62" s="23"/>
      <c r="X62" s="33">
        <f>H62/V62</f>
        <v>0.3374537444933921</v>
      </c>
      <c r="Y62" s="23"/>
      <c r="Z62" s="73">
        <f>(X62/X55-1)*100</f>
        <v>-10.379274224629054</v>
      </c>
      <c r="AA62" s="99"/>
      <c r="AB62" s="104">
        <f>qtrSales!Z64</f>
        <v>3.448</v>
      </c>
      <c r="AC62" s="23"/>
      <c r="AD62" s="110">
        <f>H62/AB62</f>
        <v>44.432714617169374</v>
      </c>
      <c r="AE62" s="23"/>
      <c r="AF62" s="136">
        <f>(AD62/AD55-1)*100</f>
        <v>-3.4908105868597938</v>
      </c>
      <c r="AG62" s="66"/>
      <c r="AH62" s="268">
        <f>((F62-('yrP&amp;L'!$I$21/4))/J62)</f>
        <v>1.2128237454612114</v>
      </c>
      <c r="AI62" s="269"/>
      <c r="AJ62" s="99"/>
      <c r="AK62" s="137">
        <f>J62/(F62/(365/4))</f>
        <v>67.211005235230033</v>
      </c>
      <c r="AL62" s="23"/>
      <c r="AM62" s="137">
        <f>H62/(F63/(365/4))</f>
        <v>54.160332403533246</v>
      </c>
      <c r="AN62" s="92"/>
      <c r="AO62" s="23"/>
    </row>
    <row r="63" spans="1:41">
      <c r="A63" s="23" t="str">
        <f>$A$14</f>
        <v>4Q</v>
      </c>
      <c r="B63" s="23" t="str">
        <f>$B$14</f>
        <v>Jan</v>
      </c>
      <c r="C63" s="23"/>
      <c r="D63" s="32">
        <f>'qtrP&amp;L'!AF13</f>
        <v>466.584</v>
      </c>
      <c r="E63" s="23"/>
      <c r="F63" s="32">
        <f>'qtrP&amp;L'!$AF23</f>
        <v>258.12</v>
      </c>
      <c r="G63" s="23"/>
      <c r="H63" s="28">
        <f>work!AD13</f>
        <v>108.876</v>
      </c>
      <c r="I63" s="23"/>
      <c r="J63" s="32">
        <f>AVERAGE(H62:H63)</f>
        <v>131.04000000000002</v>
      </c>
      <c r="K63" s="23"/>
      <c r="L63" s="72">
        <f>(D63/D56-1)*100</f>
        <v>6.1757444048743393</v>
      </c>
      <c r="M63" s="99"/>
      <c r="N63" s="73">
        <f>(H63/H56-1)*100</f>
        <v>-10.017603742241544</v>
      </c>
      <c r="O63" s="99"/>
      <c r="P63" s="35">
        <f>(H63/H62-1)*100</f>
        <v>-28.933970392417951</v>
      </c>
      <c r="Q63" s="99"/>
      <c r="R63" s="33">
        <f>F63/J63</f>
        <v>1.9697802197802194</v>
      </c>
      <c r="S63" s="23"/>
      <c r="T63" s="33">
        <f>F67/H63</f>
        <v>1.1282559976487012</v>
      </c>
      <c r="U63" s="23"/>
      <c r="V63" s="23">
        <f>qtrSales!J65</f>
        <v>491</v>
      </c>
      <c r="W63" s="23"/>
      <c r="X63" s="33">
        <f>H63/V63</f>
        <v>0.22174338085539716</v>
      </c>
      <c r="Y63" s="23"/>
      <c r="Z63" s="73">
        <f>(X63/X56-1)*100</f>
        <v>-35.124708197053991</v>
      </c>
      <c r="AA63" s="99"/>
      <c r="AB63" s="104">
        <f>qtrSales!Z65</f>
        <v>3.673</v>
      </c>
      <c r="AC63" s="23"/>
      <c r="AD63" s="110">
        <f>H63/AB63</f>
        <v>29.642254288047919</v>
      </c>
      <c r="AE63" s="23"/>
      <c r="AF63" s="73">
        <f>(AD63/AD56-1)*100</f>
        <v>-30.204234430069732</v>
      </c>
      <c r="AG63" s="66"/>
      <c r="AH63" s="268">
        <f>((F63-('yrP&amp;L'!$I$21/4))/J63)</f>
        <v>1.7979414682539681</v>
      </c>
      <c r="AI63" s="276"/>
      <c r="AJ63" s="99"/>
      <c r="AK63" s="137">
        <f>J63/(F63/(365/4))</f>
        <v>46.324965132496523</v>
      </c>
      <c r="AL63" s="23"/>
      <c r="AM63" s="137">
        <f>H63/(F67/(365/4))</f>
        <v>80.877035167697812</v>
      </c>
      <c r="AN63" s="92"/>
      <c r="AO63" s="23"/>
    </row>
    <row r="64" spans="1:41">
      <c r="A64" s="23"/>
      <c r="B64" s="23" t="str">
        <f>$B$15</f>
        <v>Year</v>
      </c>
      <c r="C64" s="23"/>
      <c r="D64" s="28">
        <f>SUM(D60:D63)</f>
        <v>1364.8530000000001</v>
      </c>
      <c r="E64" s="23"/>
      <c r="F64" s="28">
        <f>SUM(F60:F63)</f>
        <v>806.81900000000007</v>
      </c>
      <c r="G64" s="23"/>
      <c r="H64" s="23"/>
      <c r="I64" s="23"/>
      <c r="J64" s="28">
        <f>AVERAGE(J60:J63)</f>
        <v>133.79087500000003</v>
      </c>
      <c r="K64" s="23"/>
      <c r="L64" s="35">
        <f>(D64/D57-1)*100</f>
        <v>10.281883381113822</v>
      </c>
      <c r="M64" s="99"/>
      <c r="N64" s="23"/>
      <c r="O64" s="99"/>
      <c r="P64" s="23"/>
      <c r="Q64" s="99"/>
      <c r="R64" s="74">
        <f>F64/J64</f>
        <v>6.0304486385936249</v>
      </c>
      <c r="S64" s="71" t="s">
        <v>177</v>
      </c>
      <c r="T64" s="33"/>
      <c r="U64" s="23"/>
      <c r="V64" s="23"/>
      <c r="W64" s="23"/>
      <c r="X64" s="23"/>
      <c r="Y64" s="23"/>
      <c r="Z64" s="23"/>
      <c r="AA64" s="99"/>
      <c r="AB64" s="104"/>
      <c r="AC64" s="23"/>
      <c r="AD64" s="23"/>
      <c r="AE64" s="23"/>
      <c r="AF64" s="23"/>
      <c r="AG64" s="66"/>
      <c r="AH64" s="272">
        <f>((F64-('yrP&amp;L'!$I$21))/J64)</f>
        <v>5.3572263429774258</v>
      </c>
      <c r="AI64" s="273" t="s">
        <v>177</v>
      </c>
      <c r="AJ64" s="99"/>
      <c r="AK64" s="23"/>
      <c r="AL64" s="23"/>
      <c r="AM64" s="23"/>
      <c r="AN64" s="23"/>
      <c r="AO64" s="23"/>
    </row>
    <row r="65" spans="1:41">
      <c r="A65" s="23"/>
      <c r="B65" s="23"/>
      <c r="C65" s="23"/>
      <c r="D65" s="23"/>
      <c r="E65" s="23"/>
      <c r="F65" s="23"/>
      <c r="G65" s="23"/>
      <c r="H65" s="23"/>
      <c r="I65" s="23"/>
      <c r="J65" s="23"/>
      <c r="K65" s="23"/>
      <c r="L65" s="23"/>
      <c r="M65" s="99"/>
      <c r="N65" s="23"/>
      <c r="O65" s="99"/>
      <c r="P65" s="23"/>
      <c r="Q65" s="99"/>
      <c r="R65" s="23"/>
      <c r="S65" s="23"/>
      <c r="T65" s="33"/>
      <c r="U65" s="23"/>
      <c r="V65" s="23"/>
      <c r="W65" s="23"/>
      <c r="X65" s="23"/>
      <c r="Y65" s="23"/>
      <c r="Z65" s="23"/>
      <c r="AA65" s="99"/>
      <c r="AB65" s="104"/>
      <c r="AC65" s="23"/>
      <c r="AD65" s="23"/>
      <c r="AE65" s="23"/>
      <c r="AF65" s="23"/>
      <c r="AG65" s="66"/>
      <c r="AH65" s="344" t="s">
        <v>34</v>
      </c>
      <c r="AI65" s="345" t="s">
        <v>32</v>
      </c>
      <c r="AJ65" s="99"/>
      <c r="AK65" s="23"/>
      <c r="AL65" s="23"/>
      <c r="AM65" s="23"/>
      <c r="AN65" s="23"/>
      <c r="AO65" s="23"/>
    </row>
    <row r="66" spans="1:41">
      <c r="A66" s="23"/>
      <c r="B66" s="63" t="s">
        <v>694</v>
      </c>
      <c r="C66" s="23"/>
      <c r="D66" s="23"/>
      <c r="E66" s="23"/>
      <c r="F66" s="23"/>
      <c r="G66" s="23"/>
      <c r="H66" s="23"/>
      <c r="I66" s="23"/>
      <c r="J66" s="23"/>
      <c r="K66" s="23"/>
      <c r="L66" s="23"/>
      <c r="M66" s="99"/>
      <c r="N66" s="23"/>
      <c r="O66" s="99"/>
      <c r="P66" s="23"/>
      <c r="Q66" s="99"/>
      <c r="R66" s="23"/>
      <c r="S66" s="23"/>
      <c r="T66" s="33"/>
      <c r="U66" s="23"/>
      <c r="V66" s="23"/>
      <c r="W66" s="23"/>
      <c r="X66" s="23"/>
      <c r="Y66" s="23"/>
      <c r="Z66" s="23"/>
      <c r="AA66" s="99"/>
      <c r="AB66" s="104"/>
      <c r="AC66" s="23"/>
      <c r="AD66" s="23"/>
      <c r="AE66" s="23"/>
      <c r="AF66" s="23"/>
      <c r="AG66" s="66"/>
      <c r="AH66" s="346"/>
      <c r="AI66" s="347" t="s">
        <v>33</v>
      </c>
      <c r="AJ66" s="99"/>
      <c r="AK66" s="23"/>
      <c r="AL66" s="23"/>
      <c r="AM66" s="23"/>
      <c r="AN66" s="23"/>
      <c r="AO66" s="23"/>
    </row>
    <row r="67" spans="1:41">
      <c r="A67" s="23" t="str">
        <f>$A$11</f>
        <v>1Q</v>
      </c>
      <c r="B67" s="23" t="str">
        <f>$B$11</f>
        <v>Apr</v>
      </c>
      <c r="C67" s="99"/>
      <c r="D67" s="28">
        <f>'qtrP&amp;L'!$AJ10</f>
        <v>312.79199999999997</v>
      </c>
      <c r="E67" s="23"/>
      <c r="F67" s="28">
        <f>'qtrP&amp;L'!$AJ20</f>
        <v>122.84</v>
      </c>
      <c r="G67" s="23"/>
      <c r="H67" s="28">
        <f>work!AH10</f>
        <v>117.166</v>
      </c>
      <c r="I67" s="23"/>
      <c r="J67" s="28">
        <f>AVERAGE(H67,H63)</f>
        <v>113.021</v>
      </c>
      <c r="K67" s="23"/>
      <c r="L67" s="35">
        <f>(D67/D60-1)*100</f>
        <v>18.62560679611649</v>
      </c>
      <c r="M67" s="99" t="s">
        <v>76</v>
      </c>
      <c r="N67" s="35">
        <f>(H67/H60-1)*100</f>
        <v>7.2006294832381634</v>
      </c>
      <c r="O67" s="99" t="s">
        <v>76</v>
      </c>
      <c r="P67" s="35">
        <f>(H67/H63-1)*100</f>
        <v>7.614166574819059</v>
      </c>
      <c r="Q67" s="99" t="s">
        <v>76</v>
      </c>
      <c r="R67" s="33">
        <f>F67/J67</f>
        <v>1.0868776599039116</v>
      </c>
      <c r="S67" s="23" t="s">
        <v>177</v>
      </c>
      <c r="T67" s="33">
        <f>F68/H67</f>
        <v>1.0158919823156889</v>
      </c>
      <c r="U67" s="23"/>
      <c r="V67" s="23">
        <f>qtrSales!J69</f>
        <v>507</v>
      </c>
      <c r="W67" s="23"/>
      <c r="X67" s="30">
        <f>H67/V67</f>
        <v>0.23109664694280077</v>
      </c>
      <c r="Y67" s="23"/>
      <c r="Z67" s="73">
        <f>(X67/X60-1)*100</f>
        <v>-24.938415253353941</v>
      </c>
      <c r="AA67" s="99" t="s">
        <v>76</v>
      </c>
      <c r="AB67" s="104">
        <f>qtrSales!Z69</f>
        <v>3.7719999999999998</v>
      </c>
      <c r="AC67" s="23"/>
      <c r="AD67" s="109">
        <f>H67/AB67</f>
        <v>31.06203605514316</v>
      </c>
      <c r="AE67" s="23"/>
      <c r="AF67" s="139">
        <f>(AD67/AD60-1)*100</f>
        <v>-18.83218509964788</v>
      </c>
      <c r="AG67" s="66" t="s">
        <v>76</v>
      </c>
      <c r="AH67" s="268">
        <f>((F67+('yrP&amp;L'!$J$21/4))/J67)</f>
        <v>1.3347784924925457</v>
      </c>
      <c r="AI67" s="269" t="s">
        <v>177</v>
      </c>
      <c r="AJ67" s="99"/>
      <c r="AK67" s="137">
        <f>J67/(F67/(365/4))</f>
        <v>83.956091256919564</v>
      </c>
      <c r="AL67" s="23"/>
      <c r="AM67" s="137">
        <f>H67/(F68/(365/4))</f>
        <v>89.8225417548812</v>
      </c>
      <c r="AN67" s="92"/>
      <c r="AO67" s="23"/>
    </row>
    <row r="68" spans="1:41">
      <c r="A68" s="23" t="str">
        <f>$A$12</f>
        <v>2Q</v>
      </c>
      <c r="B68" s="23" t="str">
        <f>$B$12</f>
        <v>Jul</v>
      </c>
      <c r="C68" s="23"/>
      <c r="D68" s="29">
        <f>'qtrP&amp;L'!AJ11</f>
        <v>329.154</v>
      </c>
      <c r="E68" s="23"/>
      <c r="F68" s="29">
        <f>'qtrP&amp;L'!$AJ21</f>
        <v>119.02800000000001</v>
      </c>
      <c r="G68" s="23"/>
      <c r="H68" s="75">
        <f>work!AH11</f>
        <v>179.56200000000001</v>
      </c>
      <c r="I68" s="23"/>
      <c r="J68" s="29">
        <f>AVERAGE(H67:H68)</f>
        <v>148.364</v>
      </c>
      <c r="K68" s="23"/>
      <c r="L68" s="35">
        <f>(D68/D61-1)*100</f>
        <v>17.506318810778399</v>
      </c>
      <c r="M68" s="99"/>
      <c r="N68" s="35">
        <f>(H68/H61-1)*100</f>
        <v>13.843539787100511</v>
      </c>
      <c r="O68" s="99"/>
      <c r="P68" s="35">
        <f>(H68/H67-1)*100</f>
        <v>53.25435706604307</v>
      </c>
      <c r="Q68" s="99"/>
      <c r="R68" s="33">
        <f>F68/J68</f>
        <v>0.8022700924752636</v>
      </c>
      <c r="S68" s="23"/>
      <c r="T68" s="33">
        <f>F69/H68</f>
        <v>0.94654214143304249</v>
      </c>
      <c r="U68" s="23"/>
      <c r="V68" s="23">
        <f>qtrSales!J70</f>
        <v>533</v>
      </c>
      <c r="W68" s="23"/>
      <c r="X68" s="33">
        <f>H68/V68</f>
        <v>0.33688930581613513</v>
      </c>
      <c r="Y68" s="23"/>
      <c r="Z68" s="73">
        <f>(X68/X61-1)*100</f>
        <v>-13.495996972278224</v>
      </c>
      <c r="AA68" s="99"/>
      <c r="AB68" s="104">
        <f>qtrSales!Z70</f>
        <v>3.9359999999999999</v>
      </c>
      <c r="AC68" s="23"/>
      <c r="AD68" s="110">
        <f>H68/AB68</f>
        <v>45.620426829268297</v>
      </c>
      <c r="AE68" s="23"/>
      <c r="AF68" s="136">
        <f>(AD68/AD61-1)*100</f>
        <v>-9.1218490825534122</v>
      </c>
      <c r="AG68" s="66"/>
      <c r="AH68" s="268">
        <f>((F68+('yrP&amp;L'!$J$21/4))/J68)</f>
        <v>0.99111644334205051</v>
      </c>
      <c r="AI68" s="269"/>
      <c r="AJ68" s="99"/>
      <c r="AK68" s="137">
        <f>J68/(F68/(365/4))</f>
        <v>113.73975031085122</v>
      </c>
      <c r="AL68" s="23"/>
      <c r="AM68" s="137">
        <f>H68/(F69/(365/4))</f>
        <v>96.403526061554587</v>
      </c>
      <c r="AN68" s="92"/>
      <c r="AO68" s="23"/>
    </row>
    <row r="69" spans="1:41">
      <c r="A69" s="23" t="str">
        <f>$A$13</f>
        <v>3Q</v>
      </c>
      <c r="B69" s="23" t="str">
        <f>$B$13</f>
        <v>Oct</v>
      </c>
      <c r="C69" s="23"/>
      <c r="D69" s="29">
        <f>'qtrP&amp;L'!AJ12</f>
        <v>419.32900000000001</v>
      </c>
      <c r="E69" s="23"/>
      <c r="F69" s="29">
        <f>'qtrP&amp;L'!$AJ22</f>
        <v>169.96299999999999</v>
      </c>
      <c r="G69" s="23"/>
      <c r="H69" s="75">
        <f>work!AH12</f>
        <v>189.23</v>
      </c>
      <c r="I69" s="23"/>
      <c r="J69" s="29">
        <f>AVERAGE(H68:H69)</f>
        <v>184.39600000000002</v>
      </c>
      <c r="K69" s="23"/>
      <c r="L69" s="35">
        <f>(D69/D62-1)*100</f>
        <v>18.296456993903632</v>
      </c>
      <c r="M69" s="99"/>
      <c r="N69" s="35">
        <f>(H69/H62-1)*100</f>
        <v>23.515051826323052</v>
      </c>
      <c r="O69" s="99"/>
      <c r="P69" s="35">
        <f>(H69/H68-1)*100</f>
        <v>5.3842126953364211</v>
      </c>
      <c r="Q69" s="99"/>
      <c r="R69" s="33">
        <f>F69/J69</f>
        <v>0.92172823705503359</v>
      </c>
      <c r="S69" s="23"/>
      <c r="T69" s="33">
        <f>F70/H69</f>
        <v>1.0747238809913862</v>
      </c>
      <c r="U69" s="23"/>
      <c r="V69" s="23">
        <f>qtrSales!J71</f>
        <v>560</v>
      </c>
      <c r="W69" s="23"/>
      <c r="X69" s="33">
        <f>H69/V69</f>
        <v>0.33791071428571429</v>
      </c>
      <c r="Y69" s="23"/>
      <c r="Z69" s="73">
        <f>(X69/X62-1)*100</f>
        <v>0.13541701634047776</v>
      </c>
      <c r="AA69" s="99"/>
      <c r="AB69" s="104">
        <f>qtrSales!Z71</f>
        <v>4.1100000000000003</v>
      </c>
      <c r="AC69" s="23"/>
      <c r="AD69" s="110">
        <f>H69/AB69</f>
        <v>46.041362530413622</v>
      </c>
      <c r="AE69" s="23"/>
      <c r="AF69" s="221">
        <f>(AD69/AD62-1)*100</f>
        <v>3.6204133083119094</v>
      </c>
      <c r="AG69" s="66"/>
      <c r="AH69" s="268">
        <f>((F69+('yrP&amp;L'!$J$21/4))/J69)</f>
        <v>1.0736729647063927</v>
      </c>
      <c r="AI69" s="269"/>
      <c r="AJ69" s="99"/>
      <c r="AK69" s="137">
        <f>J69/(F69/(365/4))</f>
        <v>98.998811506033675</v>
      </c>
      <c r="AL69" s="23"/>
      <c r="AM69" s="137">
        <f>H69/(F70/(365/4))</f>
        <v>84.905529330776403</v>
      </c>
      <c r="AN69" s="92"/>
      <c r="AO69" s="23"/>
    </row>
    <row r="70" spans="1:41">
      <c r="A70" s="23" t="str">
        <f>$A$14</f>
        <v>4Q</v>
      </c>
      <c r="B70" s="23" t="str">
        <f>$B$14</f>
        <v>Jan</v>
      </c>
      <c r="C70" s="23"/>
      <c r="D70" s="32">
        <f>'qtrP&amp;L'!AJ13</f>
        <v>534.48199999999997</v>
      </c>
      <c r="E70" s="23"/>
      <c r="F70" s="32">
        <f>'qtrP&amp;L'!$AJ23</f>
        <v>203.37</v>
      </c>
      <c r="G70" s="23"/>
      <c r="H70" s="75">
        <f>bal!U12</f>
        <v>143.30600000000001</v>
      </c>
      <c r="I70" s="23"/>
      <c r="J70" s="32">
        <f>AVERAGE(H69:H70)</f>
        <v>166.268</v>
      </c>
      <c r="K70" s="23"/>
      <c r="L70" s="72">
        <f>(D70/D63-1)*100</f>
        <v>14.552149237864986</v>
      </c>
      <c r="M70" s="99"/>
      <c r="N70" s="73">
        <f>(H70/H63-1)*100</f>
        <v>31.623130901208718</v>
      </c>
      <c r="O70" s="99"/>
      <c r="P70" s="35">
        <f>(H70/H69-1)*100</f>
        <v>-24.268879141785117</v>
      </c>
      <c r="Q70" s="99"/>
      <c r="R70" s="33">
        <f>F70/J70</f>
        <v>1.2231457646690884</v>
      </c>
      <c r="S70" s="23"/>
      <c r="T70" s="33">
        <f>F74/H70</f>
        <v>0.90884540772891564</v>
      </c>
      <c r="U70" s="23"/>
      <c r="V70" s="23">
        <f>qtrSales!J72</f>
        <v>597</v>
      </c>
      <c r="W70" s="23"/>
      <c r="X70" s="33">
        <f>H70/V70</f>
        <v>0.24004355108877723</v>
      </c>
      <c r="Y70" s="23"/>
      <c r="Z70" s="73">
        <f>(X70/X63-1)*100</f>
        <v>8.2528597529204042</v>
      </c>
      <c r="AA70" s="99"/>
      <c r="AB70" s="104">
        <f>qtrSales!Z72</f>
        <v>4.3575140000000001</v>
      </c>
      <c r="AC70" s="23"/>
      <c r="AD70" s="110">
        <f>H70/AB70</f>
        <v>32.887100305357599</v>
      </c>
      <c r="AE70" s="23"/>
      <c r="AF70" s="73">
        <f>(AD70/AD63-1)*100</f>
        <v>10.946691117949282</v>
      </c>
      <c r="AG70" s="66"/>
      <c r="AH70" s="268">
        <f>((F70+('yrP&amp;L'!$J$21/4))/J70)</f>
        <v>1.3916568431688598</v>
      </c>
      <c r="AI70" s="276"/>
      <c r="AJ70" s="99"/>
      <c r="AK70" s="137">
        <f>J70/(F70/(365/4))</f>
        <v>74.602719181786881</v>
      </c>
      <c r="AL70" s="23"/>
      <c r="AM70" s="138" t="s">
        <v>251</v>
      </c>
      <c r="AN70" s="92"/>
      <c r="AO70" s="23"/>
    </row>
    <row r="71" spans="1:41">
      <c r="A71" s="23"/>
      <c r="B71" s="23" t="str">
        <f>$B$15</f>
        <v>Year</v>
      </c>
      <c r="C71" s="23"/>
      <c r="D71" s="28">
        <f>SUM(D67:D70)</f>
        <v>1595.7569999999998</v>
      </c>
      <c r="E71" s="23"/>
      <c r="F71" s="28">
        <f>SUM(F67:F70)</f>
        <v>615.20100000000002</v>
      </c>
      <c r="G71" s="23"/>
      <c r="H71" s="23"/>
      <c r="I71" s="23"/>
      <c r="J71" s="28">
        <f>AVERAGE(J67:J70)</f>
        <v>153.01224999999999</v>
      </c>
      <c r="K71" s="23"/>
      <c r="L71" s="35">
        <f>(D71/D64-1)*100</f>
        <v>16.91786588006179</v>
      </c>
      <c r="M71" s="99"/>
      <c r="N71" s="23"/>
      <c r="O71" s="99"/>
      <c r="P71" s="23"/>
      <c r="Q71" s="99"/>
      <c r="R71" s="74">
        <f>F71/J71</f>
        <v>4.0205996578705303</v>
      </c>
      <c r="S71" s="71" t="s">
        <v>177</v>
      </c>
      <c r="T71" s="33"/>
      <c r="U71" s="23"/>
      <c r="V71" s="23"/>
      <c r="W71" s="23"/>
      <c r="X71" s="23"/>
      <c r="Y71" s="23"/>
      <c r="Z71" s="23"/>
      <c r="AA71" s="99"/>
      <c r="AB71" s="23"/>
      <c r="AC71" s="23"/>
      <c r="AD71" s="23"/>
      <c r="AE71" s="23"/>
      <c r="AF71" s="23"/>
      <c r="AG71" s="66"/>
      <c r="AH71" s="272">
        <f>((F71+('yrP&amp;L'!$J$21))/J71)</f>
        <v>4.7530377469777747</v>
      </c>
      <c r="AI71" s="273" t="s">
        <v>177</v>
      </c>
      <c r="AJ71" s="99"/>
      <c r="AK71" s="23"/>
      <c r="AL71" s="23"/>
      <c r="AM71" s="23"/>
      <c r="AN71" s="23"/>
      <c r="AO71" s="23"/>
    </row>
    <row r="72" spans="1:41">
      <c r="A72" s="23"/>
      <c r="B72" s="23"/>
      <c r="C72" s="23"/>
      <c r="D72" s="23"/>
      <c r="E72" s="23"/>
      <c r="F72" s="23"/>
      <c r="G72" s="23"/>
      <c r="H72" s="23"/>
      <c r="I72" s="23"/>
      <c r="J72" s="23"/>
      <c r="K72" s="23"/>
      <c r="L72" s="23"/>
      <c r="M72" s="99"/>
      <c r="N72" s="23"/>
      <c r="O72" s="99"/>
      <c r="P72" s="23"/>
      <c r="Q72" s="99"/>
      <c r="R72" s="23"/>
      <c r="S72" s="23"/>
      <c r="T72" s="33"/>
      <c r="U72" s="23"/>
      <c r="V72" s="23"/>
      <c r="W72" s="23"/>
      <c r="X72" s="23"/>
      <c r="Y72" s="23"/>
      <c r="Z72" s="23"/>
      <c r="AA72" s="99"/>
      <c r="AB72" s="104"/>
      <c r="AC72" s="23"/>
      <c r="AD72" s="23"/>
      <c r="AE72" s="23"/>
      <c r="AF72" s="23"/>
      <c r="AG72" s="66"/>
      <c r="AH72" s="344" t="s">
        <v>34</v>
      </c>
      <c r="AI72" s="345" t="s">
        <v>32</v>
      </c>
      <c r="AJ72" s="99"/>
      <c r="AK72" s="23"/>
      <c r="AL72" s="23"/>
      <c r="AM72" s="23"/>
      <c r="AN72" s="23"/>
      <c r="AO72" s="23"/>
    </row>
    <row r="73" spans="1:41">
      <c r="A73" s="23"/>
      <c r="B73" s="63" t="s">
        <v>714</v>
      </c>
      <c r="C73" s="23"/>
      <c r="D73" s="23"/>
      <c r="E73" s="23"/>
      <c r="F73" s="23"/>
      <c r="G73" s="23"/>
      <c r="H73" s="23"/>
      <c r="I73" s="23"/>
      <c r="J73" s="23"/>
      <c r="K73" s="23"/>
      <c r="L73" s="23"/>
      <c r="M73" s="99"/>
      <c r="N73" s="23"/>
      <c r="O73" s="99"/>
      <c r="P73" s="23"/>
      <c r="Q73" s="99"/>
      <c r="R73" s="23"/>
      <c r="S73" s="23"/>
      <c r="T73" s="33"/>
      <c r="U73" s="23"/>
      <c r="V73" s="23"/>
      <c r="W73" s="23"/>
      <c r="X73" s="23"/>
      <c r="Y73" s="23"/>
      <c r="Z73" s="23"/>
      <c r="AA73" s="99"/>
      <c r="AB73" s="104"/>
      <c r="AC73" s="23"/>
      <c r="AD73" s="23"/>
      <c r="AE73" s="23"/>
      <c r="AF73" s="23"/>
      <c r="AG73" s="66"/>
      <c r="AH73" s="346"/>
      <c r="AI73" s="347" t="s">
        <v>33</v>
      </c>
      <c r="AJ73" s="99"/>
      <c r="AK73" s="23"/>
      <c r="AL73" s="23"/>
      <c r="AM73" s="23"/>
      <c r="AN73" s="23"/>
      <c r="AO73" s="23"/>
    </row>
    <row r="74" spans="1:41">
      <c r="A74" s="23" t="str">
        <f>$A$11</f>
        <v>1Q</v>
      </c>
      <c r="B74" s="23" t="str">
        <f>$B$11</f>
        <v>Apr</v>
      </c>
      <c r="C74" s="99"/>
      <c r="D74" s="28">
        <f>+'qtrP&amp;L'!AN10</f>
        <v>346.72199999999998</v>
      </c>
      <c r="E74" s="23"/>
      <c r="F74" s="28">
        <f>+'qtrP&amp;L'!AN20</f>
        <v>130.24299999999999</v>
      </c>
      <c r="G74" s="23"/>
      <c r="H74" s="28">
        <f>+work!AL10</f>
        <v>145.71899999999999</v>
      </c>
      <c r="I74" s="23"/>
      <c r="J74" s="28">
        <f>AVERAGE(H74,H70)</f>
        <v>144.51249999999999</v>
      </c>
      <c r="K74" s="23"/>
      <c r="L74" s="35">
        <f>(D74/D67-1)*100</f>
        <v>10.84746412951738</v>
      </c>
      <c r="M74" s="99" t="s">
        <v>76</v>
      </c>
      <c r="N74" s="35">
        <f>(H74/H67-1)*100</f>
        <v>24.369697693870229</v>
      </c>
      <c r="O74" s="99" t="s">
        <v>76</v>
      </c>
      <c r="P74" s="35">
        <f>(H74/H70-1)*100</f>
        <v>1.6838094706432161</v>
      </c>
      <c r="Q74" s="99" t="s">
        <v>76</v>
      </c>
      <c r="R74" s="33">
        <f>F74/J74</f>
        <v>0.9012576766715682</v>
      </c>
      <c r="S74" s="23" t="s">
        <v>177</v>
      </c>
      <c r="T74" s="33">
        <f>F75/H74</f>
        <v>0.83769446674764447</v>
      </c>
      <c r="U74" s="23"/>
      <c r="V74" s="23">
        <f>qtrSales!J76</f>
        <v>602</v>
      </c>
      <c r="W74" s="23"/>
      <c r="X74" s="30">
        <f>H74/V74</f>
        <v>0.2420581395348837</v>
      </c>
      <c r="Y74" s="23"/>
      <c r="Z74" s="73">
        <f>(X74/X67-1)*100</f>
        <v>4.7432503833757522</v>
      </c>
      <c r="AA74" s="99" t="s">
        <v>76</v>
      </c>
      <c r="AB74" s="104">
        <f>qtrSales!Z76</f>
        <v>4.3920000000000003</v>
      </c>
      <c r="AC74" s="23"/>
      <c r="AD74" s="109">
        <f>H74/AB74</f>
        <v>33.178278688524586</v>
      </c>
      <c r="AE74" s="23"/>
      <c r="AF74" s="221">
        <f>(AD74/AD67-1)*100</f>
        <v>6.8129553053912772</v>
      </c>
      <c r="AG74" s="66" t="s">
        <v>76</v>
      </c>
      <c r="AH74" s="268">
        <f>((F74+('yrP&amp;L'!$K$21/4))/J74)</f>
        <v>1.1234080096877432</v>
      </c>
      <c r="AI74" s="269" t="s">
        <v>177</v>
      </c>
      <c r="AJ74" s="99"/>
      <c r="AK74" s="137">
        <f>J74/(F74/(365/4))</f>
        <v>101.24740389118801</v>
      </c>
      <c r="AL74" s="23"/>
      <c r="AM74" s="137">
        <f>H74/(F75/(365/4))</f>
        <v>108.92993044860242</v>
      </c>
      <c r="AN74" s="92"/>
      <c r="AO74" s="93">
        <f>(+L75-N74)/100</f>
        <v>-0.16299007378698604</v>
      </c>
    </row>
    <row r="75" spans="1:41">
      <c r="A75" s="23" t="str">
        <f>$A$12</f>
        <v>2Q</v>
      </c>
      <c r="B75" s="23" t="str">
        <f>$B$12</f>
        <v>Jul</v>
      </c>
      <c r="C75" s="23"/>
      <c r="D75" s="29">
        <f>+'qtrP&amp;L'!AN11</f>
        <v>355.71899999999999</v>
      </c>
      <c r="E75" s="23"/>
      <c r="F75" s="29">
        <f>+'qtrP&amp;L'!AN21</f>
        <v>122.068</v>
      </c>
      <c r="G75" s="23"/>
      <c r="H75" s="75">
        <f>+work!AL11</f>
        <v>199.58099999999999</v>
      </c>
      <c r="I75" s="23"/>
      <c r="J75" s="29">
        <f>AVERAGE(H74:H75)</f>
        <v>172.64999999999998</v>
      </c>
      <c r="K75" s="23"/>
      <c r="L75" s="35">
        <f>(D75/D68-1)*100</f>
        <v>8.0706903151716247</v>
      </c>
      <c r="M75" s="99"/>
      <c r="N75" s="35">
        <f>(H75/H68-1)*100</f>
        <v>11.148795402145218</v>
      </c>
      <c r="O75" s="99"/>
      <c r="P75" s="35">
        <f>(H75/H74-1)*100</f>
        <v>36.962921787824499</v>
      </c>
      <c r="Q75" s="99"/>
      <c r="R75" s="33">
        <f>F75/J75</f>
        <v>0.70702577468867656</v>
      </c>
      <c r="S75" s="23"/>
      <c r="T75" s="33">
        <f>F76/H75</f>
        <v>0.83839644054293749</v>
      </c>
      <c r="U75" s="23"/>
      <c r="V75" s="23">
        <f>qtrSales!J77</f>
        <v>625</v>
      </c>
      <c r="W75" s="23"/>
      <c r="X75" s="33">
        <f>H75/V75</f>
        <v>0.31932959999999999</v>
      </c>
      <c r="Y75" s="23"/>
      <c r="Z75" s="73">
        <f>(X75/X68-1)*100</f>
        <v>-5.2123072810505766</v>
      </c>
      <c r="AA75" s="99"/>
      <c r="AB75" s="104">
        <f>qtrSales!Z77</f>
        <v>4.5380000000000003</v>
      </c>
      <c r="AC75" s="23"/>
      <c r="AD75" s="110">
        <f>H75/AB75</f>
        <v>43.979947113265752</v>
      </c>
      <c r="AE75" s="23"/>
      <c r="AF75" s="136">
        <f>(AD75/AD68-1)*100</f>
        <v>-3.5959324145342642</v>
      </c>
      <c r="AG75" s="66"/>
      <c r="AH75" s="268">
        <f>((F75+('yrP&amp;L'!$K$21/4))/J75)</f>
        <v>0.89297132927888789</v>
      </c>
      <c r="AI75" s="269"/>
      <c r="AJ75" s="99"/>
      <c r="AK75" s="137">
        <f>J75/(F75/(365/4))</f>
        <v>129.06177294622668</v>
      </c>
      <c r="AL75" s="23"/>
      <c r="AM75" s="137">
        <f>H75/(F76/(365/4))</f>
        <v>108.83872543746413</v>
      </c>
      <c r="AN75" s="92"/>
      <c r="AO75" s="93">
        <f>(+L76-N75)/100</f>
        <v>-5.031880044514337E-2</v>
      </c>
    </row>
    <row r="76" spans="1:41">
      <c r="A76" s="23" t="str">
        <f>$A$13</f>
        <v>3Q</v>
      </c>
      <c r="B76" s="23" t="str">
        <f>$B$13</f>
        <v>Oct</v>
      </c>
      <c r="C76" s="23"/>
      <c r="D76" s="29">
        <f>+'qtrP&amp;L'!AN12</f>
        <v>444.97899999999998</v>
      </c>
      <c r="E76" s="23"/>
      <c r="F76" s="29">
        <f>+'qtrP&amp;L'!AN22</f>
        <v>167.328</v>
      </c>
      <c r="G76" s="23"/>
      <c r="H76" s="75">
        <f>+work!AL12</f>
        <v>212.291</v>
      </c>
      <c r="I76" s="23"/>
      <c r="J76" s="29">
        <f>AVERAGE(H75:H76)</f>
        <v>205.93599999999998</v>
      </c>
      <c r="K76" s="23"/>
      <c r="L76" s="35">
        <f>(D76/D69-1)*100</f>
        <v>6.116915357630881</v>
      </c>
      <c r="M76" s="99"/>
      <c r="N76" s="35">
        <f>(H76/H69-1)*100</f>
        <v>12.186756856735204</v>
      </c>
      <c r="O76" s="99"/>
      <c r="P76" s="35">
        <f>(H76/H75-1)*100</f>
        <v>6.368341675810818</v>
      </c>
      <c r="Q76" s="99"/>
      <c r="R76" s="33">
        <f>F76/J76</f>
        <v>0.81252427938777105</v>
      </c>
      <c r="S76" s="23"/>
      <c r="T76" s="33">
        <f>F77/H76</f>
        <v>0.96566034358498476</v>
      </c>
      <c r="U76" s="23"/>
      <c r="V76" s="23">
        <f>qtrSales!J78</f>
        <v>651</v>
      </c>
      <c r="W76" s="23"/>
      <c r="X76" s="33">
        <f>H76/V76</f>
        <v>0.32609984639016898</v>
      </c>
      <c r="Y76" s="23"/>
      <c r="Z76" s="73">
        <f>(X76/X69-1)*100</f>
        <v>-3.4952629189374695</v>
      </c>
      <c r="AA76" s="99"/>
      <c r="AB76" s="104">
        <f>qtrSales!Z78</f>
        <v>4.7089999999999996</v>
      </c>
      <c r="AC76" s="23"/>
      <c r="AD76" s="110">
        <f>H76/AB76</f>
        <v>45.081970694414956</v>
      </c>
      <c r="AE76" s="23"/>
      <c r="AF76" s="139">
        <f>(AD76/AD69-1)*100</f>
        <v>-2.0837607387594548</v>
      </c>
      <c r="AG76" s="66"/>
      <c r="AH76" s="268">
        <f>((F76+('yrP&amp;L'!$K$21/4))/J76)</f>
        <v>0.96841494444876086</v>
      </c>
      <c r="AI76" s="269"/>
      <c r="AJ76" s="99"/>
      <c r="AK76" s="137">
        <f>J76/(F76/(365/4))</f>
        <v>112.30433639319179</v>
      </c>
      <c r="AL76" s="23"/>
      <c r="AM76" s="137">
        <f>H76/(F77/(365/4))</f>
        <v>94.494923195496611</v>
      </c>
      <c r="AN76" s="92"/>
      <c r="AO76" s="93">
        <f>(+L77-N76)/100</f>
        <v>-7.3396338479154513E-2</v>
      </c>
    </row>
    <row r="77" spans="1:41">
      <c r="A77" s="23" t="str">
        <f>$A$14</f>
        <v>4Q</v>
      </c>
      <c r="B77" s="23" t="str">
        <f>$B$14</f>
        <v>Jan</v>
      </c>
      <c r="C77" s="23"/>
      <c r="D77" s="32">
        <f>+'qtrP&amp;L'!AN13</f>
        <v>560.38900000000001</v>
      </c>
      <c r="E77" s="23"/>
      <c r="F77" s="32">
        <f>+'qtrP&amp;L'!AN23</f>
        <v>205.001</v>
      </c>
      <c r="G77" s="23"/>
      <c r="H77" s="75">
        <f>+bal!W12</f>
        <v>170.703</v>
      </c>
      <c r="I77" s="23"/>
      <c r="J77" s="32">
        <f>AVERAGE(H76:H77)</f>
        <v>191.49700000000001</v>
      </c>
      <c r="K77" s="23"/>
      <c r="L77" s="72">
        <f>(D77/D70-1)*100</f>
        <v>4.8471230088197537</v>
      </c>
      <c r="M77" s="99"/>
      <c r="N77" s="73">
        <f>(H77/H70-1)*100</f>
        <v>19.117831772570582</v>
      </c>
      <c r="O77" s="99"/>
      <c r="P77" s="35">
        <f>(H77/H76-1)*100</f>
        <v>-19.590090960050123</v>
      </c>
      <c r="Q77" s="99"/>
      <c r="R77" s="33">
        <f>F77/J77</f>
        <v>1.0705180760011905</v>
      </c>
      <c r="S77" s="23"/>
      <c r="T77" s="33">
        <f>F81/H77</f>
        <v>0.84360556053496427</v>
      </c>
      <c r="U77" s="23"/>
      <c r="V77" s="23">
        <f>qtrSales!J79</f>
        <v>700</v>
      </c>
      <c r="W77" s="23"/>
      <c r="X77" s="33">
        <f>H77/V77</f>
        <v>0.24386142857142856</v>
      </c>
      <c r="Y77" s="23"/>
      <c r="Z77" s="73">
        <f>(X77/X70-1)*100</f>
        <v>1.5904936688923232</v>
      </c>
      <c r="AA77" s="99"/>
      <c r="AB77" s="104">
        <f>qtrSales!Z79</f>
        <v>5.0209999999999999</v>
      </c>
      <c r="AC77" s="23"/>
      <c r="AD77" s="110">
        <f>H77/AB77</f>
        <v>33.997809201354315</v>
      </c>
      <c r="AE77" s="23"/>
      <c r="AF77" s="73">
        <f>(AD77/AD70-1)*100</f>
        <v>3.3773390955230242</v>
      </c>
      <c r="AG77" s="66"/>
      <c r="AH77" s="268">
        <f>((F77+('yrP&amp;L'!$K$21/4))/J77)</f>
        <v>1.2381629999425579</v>
      </c>
      <c r="AI77" s="276"/>
      <c r="AJ77" s="99"/>
      <c r="AK77" s="137">
        <f>J77/(F77/(365/4))</f>
        <v>85.239102492182965</v>
      </c>
      <c r="AL77" s="23"/>
      <c r="AM77" s="138" t="s">
        <v>251</v>
      </c>
      <c r="AN77" s="92"/>
      <c r="AO77" s="93">
        <f>(+L81-N77)/100</f>
        <v>-3.1083365880795102E-3</v>
      </c>
    </row>
    <row r="78" spans="1:41">
      <c r="A78" s="23"/>
      <c r="B78" s="23" t="str">
        <f>$B$15</f>
        <v>Year</v>
      </c>
      <c r="C78" s="23"/>
      <c r="D78" s="28">
        <f>SUM(D74:D77)</f>
        <v>1707.8090000000002</v>
      </c>
      <c r="E78" s="23"/>
      <c r="F78" s="28">
        <f>SUM(F74:F77)</f>
        <v>624.64</v>
      </c>
      <c r="G78" s="23"/>
      <c r="H78" s="23"/>
      <c r="I78" s="23"/>
      <c r="J78" s="28">
        <f>AVERAGE(J74:J77)</f>
        <v>178.64887499999998</v>
      </c>
      <c r="K78" s="23"/>
      <c r="L78" s="35">
        <f>(D78/D71-1)*100</f>
        <v>7.0218711244882659</v>
      </c>
      <c r="M78" s="99"/>
      <c r="N78" s="23"/>
      <c r="O78" s="99"/>
      <c r="P78" s="23"/>
      <c r="Q78" s="99"/>
      <c r="R78" s="74">
        <f>F78/J78</f>
        <v>3.4964675820096827</v>
      </c>
      <c r="S78" s="71" t="s">
        <v>177</v>
      </c>
      <c r="T78" s="33"/>
      <c r="U78" s="23"/>
      <c r="V78" s="23"/>
      <c r="W78" s="23"/>
      <c r="X78" s="23"/>
      <c r="Y78" s="23"/>
      <c r="Z78" s="23"/>
      <c r="AA78" s="99"/>
      <c r="AB78" s="23"/>
      <c r="AC78" s="23"/>
      <c r="AD78" s="23"/>
      <c r="AE78" s="23"/>
      <c r="AF78" s="23"/>
      <c r="AG78" s="66"/>
      <c r="AH78" s="272">
        <f>((F78+('yrP&amp;L'!$K$21))/J78)</f>
        <v>4.2152742355640367</v>
      </c>
      <c r="AI78" s="273" t="s">
        <v>177</v>
      </c>
      <c r="AJ78" s="99"/>
      <c r="AK78" s="23"/>
      <c r="AL78" s="23"/>
      <c r="AM78" s="23"/>
      <c r="AN78" s="23"/>
      <c r="AO78" s="23"/>
    </row>
    <row r="79" spans="1:41">
      <c r="A79" s="23"/>
      <c r="B79" s="23"/>
      <c r="C79" s="23"/>
      <c r="D79" s="23"/>
      <c r="E79" s="23"/>
      <c r="F79" s="23"/>
      <c r="G79" s="23"/>
      <c r="H79" s="23"/>
      <c r="I79" s="23"/>
      <c r="J79" s="23"/>
      <c r="K79" s="23"/>
      <c r="L79" s="23"/>
      <c r="M79" s="99"/>
      <c r="N79" s="23"/>
      <c r="O79" s="99"/>
      <c r="P79" s="23"/>
      <c r="Q79" s="99"/>
      <c r="R79" s="23"/>
      <c r="S79" s="23"/>
      <c r="T79" s="33"/>
      <c r="U79" s="23"/>
      <c r="V79" s="23"/>
      <c r="W79" s="23"/>
      <c r="X79" s="23"/>
      <c r="Y79" s="23"/>
      <c r="Z79" s="23"/>
      <c r="AA79" s="99"/>
      <c r="AB79" s="104"/>
      <c r="AC79" s="23"/>
      <c r="AD79" s="23"/>
      <c r="AE79" s="23"/>
      <c r="AF79" s="23"/>
      <c r="AG79" s="66"/>
      <c r="AH79" s="344" t="s">
        <v>34</v>
      </c>
      <c r="AI79" s="345" t="s">
        <v>32</v>
      </c>
      <c r="AJ79" s="99"/>
      <c r="AK79" s="23"/>
      <c r="AL79" s="23"/>
      <c r="AM79" s="23"/>
      <c r="AN79" s="23"/>
      <c r="AO79" s="23"/>
    </row>
    <row r="80" spans="1:41">
      <c r="A80" s="23"/>
      <c r="B80" s="63" t="s">
        <v>62</v>
      </c>
      <c r="C80" s="23"/>
      <c r="D80" s="23"/>
      <c r="E80" s="23"/>
      <c r="F80" s="23"/>
      <c r="G80" s="23"/>
      <c r="H80" s="23"/>
      <c r="I80" s="23"/>
      <c r="J80" s="23"/>
      <c r="K80" s="23"/>
      <c r="L80" s="23"/>
      <c r="M80" s="99"/>
      <c r="N80" s="23"/>
      <c r="O80" s="99"/>
      <c r="P80" s="23"/>
      <c r="Q80" s="99"/>
      <c r="R80" s="23"/>
      <c r="S80" s="23"/>
      <c r="T80" s="33"/>
      <c r="U80" s="23"/>
      <c r="V80" s="23"/>
      <c r="W80" s="23"/>
      <c r="X80" s="23"/>
      <c r="Y80" s="23"/>
      <c r="Z80" s="23"/>
      <c r="AA80" s="99"/>
      <c r="AB80" s="104"/>
      <c r="AC80" s="23"/>
      <c r="AD80" s="23"/>
      <c r="AE80" s="23"/>
      <c r="AF80" s="23"/>
      <c r="AG80" s="66"/>
      <c r="AH80" s="346"/>
      <c r="AI80" s="347" t="s">
        <v>33</v>
      </c>
      <c r="AJ80" s="99"/>
      <c r="AK80" s="23"/>
      <c r="AL80" s="23"/>
      <c r="AM80" s="23"/>
      <c r="AN80" s="23"/>
      <c r="AO80" s="23"/>
    </row>
    <row r="81" spans="1:41">
      <c r="A81" s="23" t="str">
        <f>$A$11</f>
        <v>1Q</v>
      </c>
      <c r="B81" s="23" t="str">
        <f>$B$11</f>
        <v>Apr</v>
      </c>
      <c r="C81" s="99"/>
      <c r="D81" s="28">
        <f>+'qtrP&amp;L'!AR$10</f>
        <v>411.93</v>
      </c>
      <c r="E81" s="23"/>
      <c r="F81" s="28">
        <f>+'qtrP&amp;L'!AR$20</f>
        <v>144.006</v>
      </c>
      <c r="G81" s="23"/>
      <c r="H81" s="28">
        <f>work!AP10</f>
        <v>132.268</v>
      </c>
      <c r="I81" s="23"/>
      <c r="J81" s="28">
        <f>AVERAGE(H81,H77)</f>
        <v>151.4855</v>
      </c>
      <c r="K81" s="23"/>
      <c r="L81" s="35">
        <f>(D81/D74-1)*100</f>
        <v>18.806998113762631</v>
      </c>
      <c r="M81" s="99" t="s">
        <v>76</v>
      </c>
      <c r="N81" s="35">
        <f>(H81/H74-1)*100</f>
        <v>-9.2307797884970348</v>
      </c>
      <c r="O81" s="99" t="s">
        <v>76</v>
      </c>
      <c r="P81" s="35">
        <f>(H81/H77-1)*100</f>
        <v>-22.515714427983102</v>
      </c>
      <c r="Q81" s="99" t="s">
        <v>76</v>
      </c>
      <c r="R81" s="33">
        <f>F81/J81</f>
        <v>0.95062563743724648</v>
      </c>
      <c r="S81" s="23" t="s">
        <v>177</v>
      </c>
      <c r="T81" s="33">
        <f>F82/H81</f>
        <v>0.91049233374663563</v>
      </c>
      <c r="U81" s="23"/>
      <c r="V81" s="23">
        <f>qtrSales!J83</f>
        <v>706</v>
      </c>
      <c r="W81" s="23"/>
      <c r="X81" s="30">
        <f>H81/V81</f>
        <v>0.18734844192634562</v>
      </c>
      <c r="Y81" s="23"/>
      <c r="Z81" s="73">
        <f>(X81/X74-1)*100</f>
        <v>-22.601883049115024</v>
      </c>
      <c r="AA81" s="99" t="s">
        <v>76</v>
      </c>
      <c r="AB81" s="104">
        <f>qtrSales!Z83</f>
        <v>5.0650000000000004</v>
      </c>
      <c r="AC81" s="23"/>
      <c r="AD81" s="109">
        <f>H81/AB81</f>
        <v>26.114116485686079</v>
      </c>
      <c r="AE81" s="23"/>
      <c r="AF81" s="73">
        <f>(AD81/AD74-1)*100</f>
        <v>-21.291527113737207</v>
      </c>
      <c r="AG81" s="66" t="s">
        <v>76</v>
      </c>
      <c r="AH81" s="268">
        <f>((F81+('yrP&amp;L'!$L$21/4))/J81)</f>
        <v>1.1982483472015473</v>
      </c>
      <c r="AI81" s="269" t="s">
        <v>177</v>
      </c>
      <c r="AJ81" s="99"/>
      <c r="AK81" s="137">
        <f>J81/(F81/(365/4))</f>
        <v>95.989416239601127</v>
      </c>
      <c r="AL81" s="23"/>
      <c r="AM81" s="137">
        <f>H81/(F82/(365/4))</f>
        <v>100.22050336712917</v>
      </c>
      <c r="AN81" s="92"/>
      <c r="AO81" s="93">
        <f>(+L82-N81)/100</f>
        <v>0.22057477266000347</v>
      </c>
    </row>
    <row r="82" spans="1:41">
      <c r="A82" s="23" t="str">
        <f>$A$12</f>
        <v>2Q</v>
      </c>
      <c r="B82" s="23" t="str">
        <f>$B$12</f>
        <v>Jul</v>
      </c>
      <c r="C82" s="23"/>
      <c r="D82" s="29">
        <f>+'qtrP&amp;L'!AR$11</f>
        <v>401.346</v>
      </c>
      <c r="E82" s="23"/>
      <c r="F82" s="29">
        <f>+'qtrP&amp;L'!AR$21</f>
        <v>120.429</v>
      </c>
      <c r="G82" s="23"/>
      <c r="H82" s="75">
        <f>work!AP11</f>
        <v>199.05500000000001</v>
      </c>
      <c r="I82" s="23"/>
      <c r="J82" s="29">
        <f>AVERAGE(H81:H82)</f>
        <v>165.66149999999999</v>
      </c>
      <c r="K82" s="23"/>
      <c r="L82" s="35">
        <f>(D82/D75-1)*100</f>
        <v>12.826697477503313</v>
      </c>
      <c r="M82" s="99"/>
      <c r="N82" s="35">
        <f>(H82/H75-1)*100</f>
        <v>-0.26355214173693353</v>
      </c>
      <c r="O82" s="99"/>
      <c r="P82" s="35">
        <f>(H82/H81-1)*100</f>
        <v>50.493694620013919</v>
      </c>
      <c r="Q82" s="99"/>
      <c r="R82" s="33">
        <f>F82/J82</f>
        <v>0.72695828541936425</v>
      </c>
      <c r="S82" s="23"/>
      <c r="T82" s="33">
        <f>F83/H82</f>
        <v>0.92490517696114138</v>
      </c>
      <c r="U82" s="23"/>
      <c r="V82" s="23">
        <f>qtrSales!J84</f>
        <v>727</v>
      </c>
      <c r="W82" s="23"/>
      <c r="X82" s="33">
        <f>H82/V82</f>
        <v>0.27380330123796426</v>
      </c>
      <c r="Y82" s="23"/>
      <c r="Z82" s="73">
        <f>(X82/X75-1)*100</f>
        <v>-14.256836435468479</v>
      </c>
      <c r="AA82" s="99"/>
      <c r="AB82" s="104">
        <f>qtrSales!Z84</f>
        <v>5.1920000000000002</v>
      </c>
      <c r="AC82" s="23"/>
      <c r="AD82" s="110">
        <f>H82/AB82</f>
        <v>38.338790446841294</v>
      </c>
      <c r="AE82" s="23"/>
      <c r="AF82" s="73">
        <f>(AD82/AD75-1)*100</f>
        <v>-12.826656321109819</v>
      </c>
      <c r="AG82" s="66"/>
      <c r="AH82" s="268">
        <f>((F82+('yrP&amp;L'!$L$21/4))/J82)</f>
        <v>0.9533914035548392</v>
      </c>
      <c r="AI82" s="269"/>
      <c r="AJ82" s="99"/>
      <c r="AK82" s="137">
        <f>J82/(F82/(365/4))</f>
        <v>125.52302082554866</v>
      </c>
      <c r="AL82" s="23"/>
      <c r="AM82" s="137">
        <f>H82/(F83/(365/4))</f>
        <v>98.658762295838827</v>
      </c>
      <c r="AN82" s="92"/>
      <c r="AO82" s="93">
        <f>(+L83-N82)/100</f>
        <v>0.17285703748891434</v>
      </c>
    </row>
    <row r="83" spans="1:41">
      <c r="A83" s="23" t="str">
        <f>$A$13</f>
        <v>3Q</v>
      </c>
      <c r="B83" s="23" t="str">
        <f>$B$13</f>
        <v>Oct</v>
      </c>
      <c r="C83" s="23"/>
      <c r="D83" s="29">
        <f>+'qtrP&amp;L'!AR$12</f>
        <v>520.72400000000005</v>
      </c>
      <c r="E83" s="23"/>
      <c r="F83" s="29">
        <f>+'qtrP&amp;L'!AR$22</f>
        <v>184.107</v>
      </c>
      <c r="G83" s="23"/>
      <c r="H83" s="75">
        <f>work!AP12</f>
        <v>209.00200000000001</v>
      </c>
      <c r="I83" s="23"/>
      <c r="J83" s="29">
        <f>AVERAGE(H82:H83)</f>
        <v>204.02850000000001</v>
      </c>
      <c r="K83" s="23"/>
      <c r="L83" s="35">
        <f>(D83/D76-1)*100</f>
        <v>17.022151607154502</v>
      </c>
      <c r="M83" s="99"/>
      <c r="N83" s="35">
        <f>(H83/H76-1)*100</f>
        <v>-1.549288476666455</v>
      </c>
      <c r="O83" s="99"/>
      <c r="P83" s="35">
        <f>(H83/H82-1)*100</f>
        <v>4.9971113511341203</v>
      </c>
      <c r="Q83" s="99"/>
      <c r="R83" s="33">
        <f>F83/J83</f>
        <v>0.90235922922532874</v>
      </c>
      <c r="S83" s="23"/>
      <c r="T83" s="33">
        <f>F84/H83</f>
        <v>1.1075827025578702</v>
      </c>
      <c r="U83" s="23"/>
      <c r="V83" s="23">
        <f>qtrSales!J85</f>
        <v>764</v>
      </c>
      <c r="W83" s="23"/>
      <c r="X83" s="33">
        <f>H83/V83</f>
        <v>0.27356282722513092</v>
      </c>
      <c r="Y83" s="23"/>
      <c r="Z83" s="73">
        <f>(X83/X76-1)*100</f>
        <v>-16.110715704594057</v>
      </c>
      <c r="AA83" s="99"/>
      <c r="AB83" s="104">
        <f>qtrSales!Z85</f>
        <v>5.4390000000000001</v>
      </c>
      <c r="AC83" s="23"/>
      <c r="AD83" s="110">
        <f>H83/AB83</f>
        <v>38.426548997977569</v>
      </c>
      <c r="AE83" s="23"/>
      <c r="AF83" s="73">
        <f>(AD83/AD76-1)*100</f>
        <v>-14.762934259353266</v>
      </c>
      <c r="AG83" s="66"/>
      <c r="AH83" s="268">
        <f>((F83+('yrP&amp;L'!$L$21/4))/J83)</f>
        <v>1.0862122203515685</v>
      </c>
      <c r="AI83" s="269"/>
      <c r="AJ83" s="99"/>
      <c r="AK83" s="137">
        <f>J83/(F83/(365/4))</f>
        <v>101.12380640062571</v>
      </c>
      <c r="AL83" s="23"/>
      <c r="AM83" s="137">
        <f>H83/(F84/(365/4))</f>
        <v>82.386624302876626</v>
      </c>
      <c r="AN83" s="92"/>
      <c r="AO83" s="93">
        <f>(+L84-N83)/100</f>
        <v>0.24188026924423289</v>
      </c>
    </row>
    <row r="84" spans="1:41">
      <c r="A84" s="23" t="str">
        <f>$A$14</f>
        <v>4Q</v>
      </c>
      <c r="B84" s="23" t="str">
        <f>$B$14</f>
        <v>Jan</v>
      </c>
      <c r="C84" s="23"/>
      <c r="D84" s="32">
        <f>+'qtrP&amp;L'!AR$13</f>
        <v>687.25400000000002</v>
      </c>
      <c r="E84" s="23"/>
      <c r="F84" s="32">
        <f>+'qtrP&amp;L'!AR$23</f>
        <v>231.48699999999999</v>
      </c>
      <c r="G84" s="23"/>
      <c r="H84" s="75">
        <f>+bal!Y$12</f>
        <v>211.19800000000001</v>
      </c>
      <c r="I84" s="23"/>
      <c r="J84" s="32">
        <f>AVERAGE(H83:H84)</f>
        <v>210.10000000000002</v>
      </c>
      <c r="K84" s="23"/>
      <c r="L84" s="72">
        <f>(D84/D77-1)*100</f>
        <v>22.638738447756836</v>
      </c>
      <c r="M84" s="99"/>
      <c r="N84" s="73">
        <f>(H84/H77-1)*100</f>
        <v>23.722488767039842</v>
      </c>
      <c r="O84" s="99"/>
      <c r="P84" s="35">
        <f>(H84/H83-1)*100</f>
        <v>1.050707648730631</v>
      </c>
      <c r="Q84" s="99"/>
      <c r="R84" s="33">
        <f>F84/J84</f>
        <v>1.1017943836268442</v>
      </c>
      <c r="S84" s="23"/>
      <c r="T84" s="33">
        <f>F88/H84</f>
        <v>0.89753690849345158</v>
      </c>
      <c r="U84" s="23"/>
      <c r="V84" s="23">
        <f>qtrSales!J86</f>
        <v>788</v>
      </c>
      <c r="W84" s="23"/>
      <c r="X84" s="33">
        <f>H84/V84</f>
        <v>0.26801776649746195</v>
      </c>
      <c r="Y84" s="23"/>
      <c r="Z84" s="73">
        <f>(X84/X77-1)*100</f>
        <v>9.9057641331572235</v>
      </c>
      <c r="AA84" s="99"/>
      <c r="AB84" s="104">
        <f>qtrSales!Z86</f>
        <v>5.5903639999999992</v>
      </c>
      <c r="AC84" s="23"/>
      <c r="AD84" s="110">
        <f>H84/AB84</f>
        <v>37.778935325141624</v>
      </c>
      <c r="AE84" s="23"/>
      <c r="AF84" s="73">
        <f>(AD84/AD77-1)*100</f>
        <v>11.121675815618982</v>
      </c>
      <c r="AG84" s="66"/>
      <c r="AH84" s="268">
        <f>((F84+('yrP&amp;L'!$L$21/4))/J84)</f>
        <v>1.280334364588291</v>
      </c>
      <c r="AI84" s="276"/>
      <c r="AJ84" s="99"/>
      <c r="AK84" s="137">
        <f>J84/(F84/(365/4))</f>
        <v>82.819445584417267</v>
      </c>
      <c r="AL84" s="23"/>
      <c r="AM84" s="138" t="s">
        <v>251</v>
      </c>
      <c r="AN84" s="92"/>
      <c r="AO84" s="93">
        <f>(+L88-N84)/100</f>
        <v>9.0209385142943507E-2</v>
      </c>
    </row>
    <row r="85" spans="1:41">
      <c r="A85" s="23"/>
      <c r="B85" s="23" t="str">
        <f>$B$15</f>
        <v>Year</v>
      </c>
      <c r="C85" s="23"/>
      <c r="D85" s="28">
        <f>SUM(D81:D84)</f>
        <v>2021.2539999999999</v>
      </c>
      <c r="E85" s="23"/>
      <c r="F85" s="28">
        <f>SUM(F81:F84)</f>
        <v>680.029</v>
      </c>
      <c r="G85" s="23"/>
      <c r="H85" s="23"/>
      <c r="I85" s="23"/>
      <c r="J85" s="28">
        <f>AVERAGE(J81:J84)</f>
        <v>182.81887500000002</v>
      </c>
      <c r="K85" s="23"/>
      <c r="L85" s="35">
        <f>(D85/D78-1)*100</f>
        <v>18.353633222450494</v>
      </c>
      <c r="M85" s="99"/>
      <c r="N85" s="23"/>
      <c r="O85" s="99"/>
      <c r="P85" s="23"/>
      <c r="Q85" s="99"/>
      <c r="R85" s="74">
        <f>F85/J85</f>
        <v>3.7196870399733064</v>
      </c>
      <c r="S85" s="71" t="s">
        <v>177</v>
      </c>
      <c r="T85" s="33"/>
      <c r="U85" s="23"/>
      <c r="V85" s="23"/>
      <c r="W85" s="23"/>
      <c r="X85" s="23"/>
      <c r="Y85" s="23"/>
      <c r="Z85" s="23"/>
      <c r="AA85" s="99"/>
      <c r="AB85" s="23"/>
      <c r="AC85" s="23"/>
      <c r="AD85" s="23"/>
      <c r="AE85" s="23"/>
      <c r="AF85" s="23"/>
      <c r="AG85" s="66"/>
      <c r="AH85" s="272">
        <f>((F85+('yrP&amp;L'!$L$21))/J85)</f>
        <v>4.5404173939917305</v>
      </c>
      <c r="AI85" s="273" t="s">
        <v>177</v>
      </c>
      <c r="AJ85" s="99"/>
      <c r="AK85" s="23"/>
      <c r="AL85" s="23"/>
      <c r="AM85" s="23"/>
      <c r="AN85" s="23"/>
      <c r="AO85" s="23"/>
    </row>
    <row r="86" spans="1:41">
      <c r="A86" s="23"/>
      <c r="B86" s="23"/>
      <c r="C86" s="23"/>
      <c r="D86" s="23"/>
      <c r="E86" s="23"/>
      <c r="F86" s="23"/>
      <c r="G86" s="23"/>
      <c r="H86" s="23"/>
      <c r="I86" s="23"/>
      <c r="J86" s="23"/>
      <c r="K86" s="23"/>
      <c r="L86" s="23"/>
      <c r="M86" s="99"/>
      <c r="N86" s="23"/>
      <c r="O86" s="99"/>
      <c r="P86" s="23"/>
      <c r="Q86" s="99"/>
      <c r="R86" s="23"/>
      <c r="S86" s="23"/>
      <c r="T86" s="110"/>
      <c r="U86" s="23"/>
      <c r="V86" s="23"/>
      <c r="W86" s="23"/>
      <c r="X86" s="23"/>
      <c r="Y86" s="23"/>
      <c r="Z86" s="23"/>
      <c r="AA86" s="99"/>
      <c r="AB86" s="104"/>
      <c r="AC86" s="23"/>
      <c r="AD86" s="23"/>
      <c r="AE86" s="23"/>
      <c r="AF86" s="23"/>
      <c r="AG86" s="66"/>
      <c r="AH86" s="344" t="s">
        <v>34</v>
      </c>
      <c r="AI86" s="345" t="s">
        <v>32</v>
      </c>
      <c r="AJ86" s="99"/>
      <c r="AK86" s="23"/>
      <c r="AL86" s="23"/>
      <c r="AM86" s="23"/>
      <c r="AN86" s="23"/>
      <c r="AO86" s="23"/>
    </row>
    <row r="87" spans="1:41">
      <c r="A87" s="23"/>
      <c r="B87" s="63" t="s">
        <v>28</v>
      </c>
      <c r="C87" s="23"/>
      <c r="D87" s="23"/>
      <c r="E87" s="23"/>
      <c r="F87" s="23"/>
      <c r="G87" s="23"/>
      <c r="H87" s="23"/>
      <c r="I87" s="23"/>
      <c r="J87" s="23"/>
      <c r="K87" s="23"/>
      <c r="L87" s="23"/>
      <c r="M87" s="99"/>
      <c r="N87" s="23"/>
      <c r="O87" s="99"/>
      <c r="P87" s="23"/>
      <c r="Q87" s="99"/>
      <c r="R87" s="23"/>
      <c r="S87" s="23"/>
      <c r="T87" s="264"/>
      <c r="U87" s="23"/>
      <c r="V87" s="23"/>
      <c r="W87" s="23"/>
      <c r="X87" s="23"/>
      <c r="Y87" s="23"/>
      <c r="Z87" s="23"/>
      <c r="AA87" s="99"/>
      <c r="AB87" s="104"/>
      <c r="AC87" s="23"/>
      <c r="AD87" s="23"/>
      <c r="AE87" s="23"/>
      <c r="AF87" s="23"/>
      <c r="AG87" s="66"/>
      <c r="AH87" s="346"/>
      <c r="AI87" s="347" t="s">
        <v>33</v>
      </c>
      <c r="AJ87" s="99"/>
      <c r="AK87" s="23"/>
      <c r="AL87" s="23"/>
      <c r="AM87" s="23"/>
      <c r="AN87" s="23"/>
      <c r="AO87" s="23"/>
    </row>
    <row r="88" spans="1:41">
      <c r="A88" s="23" t="str">
        <f>$A$11</f>
        <v>1Q</v>
      </c>
      <c r="B88" s="23" t="str">
        <f>$B$11</f>
        <v>Apr</v>
      </c>
      <c r="C88" s="99"/>
      <c r="D88" s="28">
        <f>+'qtrP&amp;L'!AV$10</f>
        <v>546.80999999999995</v>
      </c>
      <c r="E88" s="23"/>
      <c r="F88" s="28">
        <f>+'qtrP&amp;L'!AV$20</f>
        <v>189.55799999999999</v>
      </c>
      <c r="G88" s="23"/>
      <c r="H88" s="28">
        <f>work!AT10</f>
        <v>227.20500000000001</v>
      </c>
      <c r="I88" s="23"/>
      <c r="J88" s="28">
        <f>AVERAGE(H88,H84)</f>
        <v>219.20150000000001</v>
      </c>
      <c r="K88" s="23"/>
      <c r="L88" s="35">
        <f>(D88/D81-1)*100</f>
        <v>32.743427281334192</v>
      </c>
      <c r="M88" s="99" t="s">
        <v>76</v>
      </c>
      <c r="N88" s="35">
        <f>(H88/H81-1)*100</f>
        <v>71.776242174978094</v>
      </c>
      <c r="O88" s="99" t="s">
        <v>76</v>
      </c>
      <c r="P88" s="35">
        <f>(H88/H84-1)*100</f>
        <v>7.5791437418915031</v>
      </c>
      <c r="Q88" s="99" t="s">
        <v>76</v>
      </c>
      <c r="R88" s="33">
        <f>F88/J88</f>
        <v>0.86476598015980721</v>
      </c>
      <c r="S88" s="23" t="s">
        <v>177</v>
      </c>
      <c r="T88" s="33">
        <f>F89/H88</f>
        <v>0.80073501903567268</v>
      </c>
      <c r="U88" s="23"/>
      <c r="V88" s="23">
        <f>qtrSales!J90</f>
        <v>783</v>
      </c>
      <c r="W88" s="23"/>
      <c r="X88" s="30">
        <f>H88/V88</f>
        <v>0.29017241379310349</v>
      </c>
      <c r="Y88" s="23"/>
      <c r="Z88" s="73">
        <f>(X88/X81-1)*100</f>
        <v>54.883814783569008</v>
      </c>
      <c r="AA88" s="99" t="s">
        <v>76</v>
      </c>
      <c r="AB88" s="104">
        <f>qtrSales!Z90</f>
        <v>5.5720000000000001</v>
      </c>
      <c r="AC88" s="23"/>
      <c r="AD88" s="109">
        <f>H88/AB88</f>
        <v>40.776202440775307</v>
      </c>
      <c r="AE88" s="23"/>
      <c r="AF88" s="221">
        <f>(AD88/AD81-1)*100</f>
        <v>56.146207217563536</v>
      </c>
      <c r="AG88" s="66" t="s">
        <v>76</v>
      </c>
      <c r="AH88" s="268">
        <f>((F88+('yrP&amp;L'!$M$21/4))/J88)</f>
        <v>1.0808092097909914</v>
      </c>
      <c r="AI88" s="269" t="s">
        <v>177</v>
      </c>
      <c r="AJ88" s="99"/>
      <c r="AK88" s="137">
        <f>J88/(F88/(365/4))</f>
        <v>105.51987716160754</v>
      </c>
      <c r="AL88" s="23"/>
      <c r="AM88" s="137">
        <f>H88/(F89/(365/4))</f>
        <v>113.95779856099291</v>
      </c>
      <c r="AN88" s="92"/>
      <c r="AO88" s="93">
        <f>(+L89-N88)/100</f>
        <v>-0.29357730466875848</v>
      </c>
    </row>
    <row r="89" spans="1:41">
      <c r="A89" s="23" t="str">
        <f>$A$12</f>
        <v>2Q</v>
      </c>
      <c r="B89" s="23" t="str">
        <f>$B$12</f>
        <v>Jul</v>
      </c>
      <c r="C89" s="23"/>
      <c r="D89" s="29">
        <f>+'qtrP&amp;L'!AV$11</f>
        <v>571.59100000000001</v>
      </c>
      <c r="E89" s="23"/>
      <c r="F89" s="29">
        <f>+'qtrP&amp;L'!AV$21</f>
        <v>181.93100000000001</v>
      </c>
      <c r="G89" s="23"/>
      <c r="H89" s="75">
        <f>work!AT11</f>
        <v>363.98500000000001</v>
      </c>
      <c r="I89" s="23"/>
      <c r="J89" s="29">
        <f>AVERAGE(H88:H89)</f>
        <v>295.59500000000003</v>
      </c>
      <c r="K89" s="23"/>
      <c r="L89" s="35">
        <f>(D89/D82-1)*100</f>
        <v>42.418511708102244</v>
      </c>
      <c r="M89" s="99"/>
      <c r="N89" s="35">
        <f>(H89/H82-1)*100</f>
        <v>82.85649694807968</v>
      </c>
      <c r="O89" s="99"/>
      <c r="P89" s="35">
        <f>(H89/H88-1)*100</f>
        <v>60.201139939702017</v>
      </c>
      <c r="Q89" s="99"/>
      <c r="R89" s="33">
        <f>F89/J89</f>
        <v>0.61547387472724502</v>
      </c>
      <c r="S89" s="23"/>
      <c r="T89" s="33">
        <f>F90/H89</f>
        <v>0.65890627361017617</v>
      </c>
      <c r="U89" s="23"/>
      <c r="V89" s="23">
        <f>qtrSales!J91</f>
        <v>804</v>
      </c>
      <c r="W89" s="23"/>
      <c r="X89" s="33">
        <f>H89/V89</f>
        <v>0.45271766169154232</v>
      </c>
      <c r="Y89" s="23"/>
      <c r="Z89" s="73">
        <f>(X89/X82-1)*100</f>
        <v>65.344120996584493</v>
      </c>
      <c r="AA89" s="99"/>
      <c r="AB89" s="104">
        <f>qtrSales!Z91</f>
        <v>5.673</v>
      </c>
      <c r="AC89" s="23"/>
      <c r="AD89" s="110">
        <f>H89/AB89</f>
        <v>64.16093777542747</v>
      </c>
      <c r="AE89" s="23"/>
      <c r="AF89" s="221">
        <f>(AD89/AD82-1)*100</f>
        <v>67.352535193800421</v>
      </c>
      <c r="AG89" s="66"/>
      <c r="AH89" s="268">
        <f>((F89+('yrP&amp;L'!$M$21/4))/J89)</f>
        <v>0.77568294456942777</v>
      </c>
      <c r="AI89" s="269"/>
      <c r="AJ89" s="99"/>
      <c r="AK89" s="137">
        <f>J89/(F89/(365/4))</f>
        <v>148.25974545294645</v>
      </c>
      <c r="AL89" s="23"/>
      <c r="AM89" s="137">
        <f>H89/(F90/(365/4))</f>
        <v>138.48707115814403</v>
      </c>
      <c r="AN89" s="92"/>
      <c r="AO89" s="93">
        <f>(+L90-N89)/100</f>
        <v>-0.47483823516472934</v>
      </c>
    </row>
    <row r="90" spans="1:41">
      <c r="A90" s="23" t="str">
        <f>$A$13</f>
        <v>3Q</v>
      </c>
      <c r="B90" s="23" t="str">
        <f>$B$13</f>
        <v>Oct</v>
      </c>
      <c r="C90" s="23"/>
      <c r="D90" s="29">
        <f>+'qtrP&amp;L'!AV$12</f>
        <v>704.91800000000001</v>
      </c>
      <c r="E90" s="23"/>
      <c r="F90" s="29">
        <f>+'qtrP&amp;L'!AV$22</f>
        <v>239.83199999999999</v>
      </c>
      <c r="G90" s="23"/>
      <c r="H90" s="75">
        <f>work!AT12</f>
        <v>415.62099999999998</v>
      </c>
      <c r="I90" s="23"/>
      <c r="J90" s="29">
        <f>AVERAGE(H89:H90)</f>
        <v>389.803</v>
      </c>
      <c r="K90" s="23"/>
      <c r="L90" s="35">
        <f>(D90/D83-1)*100</f>
        <v>35.372673431606749</v>
      </c>
      <c r="M90" s="99"/>
      <c r="N90" s="35">
        <f>(H90/H83-1)*100</f>
        <v>98.859819523258125</v>
      </c>
      <c r="O90" s="99"/>
      <c r="P90" s="35">
        <f>(H90/H89-1)*100</f>
        <v>14.186298885943094</v>
      </c>
      <c r="Q90" s="99"/>
      <c r="R90" s="33">
        <f>F90/J90</f>
        <v>0.61526463367393269</v>
      </c>
      <c r="S90" s="23"/>
      <c r="T90" s="33">
        <f>F91/H90</f>
        <v>0.77468174129796141</v>
      </c>
      <c r="U90" s="23"/>
      <c r="V90" s="23">
        <f>qtrSales!J92</f>
        <v>820</v>
      </c>
      <c r="W90" s="23"/>
      <c r="X90" s="33">
        <f>H90/V90</f>
        <v>0.50685487804878049</v>
      </c>
      <c r="Y90" s="23"/>
      <c r="Z90" s="73">
        <f>(X90/X83-1)*100</f>
        <v>85.279148921669773</v>
      </c>
      <c r="AA90" s="99"/>
      <c r="AB90" s="104">
        <f>qtrSales!Z92</f>
        <v>5.79</v>
      </c>
      <c r="AC90" s="23"/>
      <c r="AD90" s="110">
        <f>H90/AB90</f>
        <v>71.78255613126079</v>
      </c>
      <c r="AE90" s="23"/>
      <c r="AF90" s="221">
        <f>(AD90/AD83-1)*100</f>
        <v>86.804586940760103</v>
      </c>
      <c r="AG90" s="66"/>
      <c r="AH90" s="268">
        <f>((F90+('yrP&amp;L'!$M$21/4))/J90)</f>
        <v>0.73675420661205782</v>
      </c>
      <c r="AI90" s="269"/>
      <c r="AJ90" s="99"/>
      <c r="AK90" s="137">
        <f>J90/(F90/(365/4))</f>
        <v>148.31016607458554</v>
      </c>
      <c r="AL90" s="23"/>
      <c r="AM90" s="137">
        <f>H90/(F91/(365/4))</f>
        <v>117.790306826017</v>
      </c>
      <c r="AN90" s="92"/>
      <c r="AO90" s="93">
        <f>(+L91-N90)/100</f>
        <v>-0.58970928370933062</v>
      </c>
    </row>
    <row r="91" spans="1:41">
      <c r="A91" s="23" t="str">
        <f>$A$14</f>
        <v>4Q</v>
      </c>
      <c r="B91" s="23" t="str">
        <f>$B$14</f>
        <v>Jan</v>
      </c>
      <c r="C91" s="23"/>
      <c r="D91" s="32">
        <f>+'qtrP&amp;L'!AV$13</f>
        <v>961.39200000000005</v>
      </c>
      <c r="E91" s="23"/>
      <c r="F91" s="32">
        <f>+'qtrP&amp;L'!AV$23</f>
        <v>321.97399999999999</v>
      </c>
      <c r="G91" s="23"/>
      <c r="H91" s="75">
        <f>+bal!AA$12</f>
        <v>362.536</v>
      </c>
      <c r="I91" s="23"/>
      <c r="J91" s="32">
        <f>AVERAGE(H90:H91)</f>
        <v>389.07849999999996</v>
      </c>
      <c r="K91" s="23"/>
      <c r="L91" s="72">
        <f>(D91/D84-1)*100</f>
        <v>39.888891152325058</v>
      </c>
      <c r="M91" s="99"/>
      <c r="N91" s="73">
        <f>(H91/H84-1)*100</f>
        <v>71.656928569399341</v>
      </c>
      <c r="O91" s="99"/>
      <c r="P91" s="35">
        <f>(H91/H90-1)*100</f>
        <v>-12.772453749930824</v>
      </c>
      <c r="Q91" s="99"/>
      <c r="R91" s="33">
        <f>F91/J91</f>
        <v>0.8275296630371507</v>
      </c>
      <c r="S91" s="23"/>
      <c r="T91" s="33">
        <f>F95/H91</f>
        <v>0.62712668534986871</v>
      </c>
      <c r="U91" s="23"/>
      <c r="V91" s="23">
        <f>qtrSales!J93</f>
        <v>851</v>
      </c>
      <c r="W91" s="23"/>
      <c r="X91" s="33">
        <f>H91/V91</f>
        <v>0.4260117508813161</v>
      </c>
      <c r="Y91" s="23"/>
      <c r="Z91" s="73">
        <f>(X91/X84-1)*100</f>
        <v>58.949071342757534</v>
      </c>
      <c r="AA91" s="99"/>
      <c r="AB91" s="104">
        <f>qtrSales!Z93</f>
        <v>6.0253639999999997</v>
      </c>
      <c r="AC91" s="23"/>
      <c r="AD91" s="110">
        <f>H91/AB91</f>
        <v>60.168315142454468</v>
      </c>
      <c r="AE91" s="23"/>
      <c r="AF91" s="73">
        <f>(AD91/AD84-1)*100</f>
        <v>59.264189487131638</v>
      </c>
      <c r="AG91" s="66"/>
      <c r="AH91" s="268">
        <f>((F91+('yrP&amp;L'!$M$21/4))/J91)</f>
        <v>0.94924546074892358</v>
      </c>
      <c r="AI91" s="276"/>
      <c r="AJ91" s="99"/>
      <c r="AK91" s="137">
        <f>J91/(F91/(365/4))</f>
        <v>110.26795059538968</v>
      </c>
      <c r="AL91" s="23"/>
      <c r="AM91" s="138" t="s">
        <v>251</v>
      </c>
      <c r="AN91" s="92"/>
      <c r="AO91" s="93">
        <f>(+L95-N91)/100</f>
        <v>-0.51455944681028609</v>
      </c>
    </row>
    <row r="92" spans="1:41">
      <c r="A92" s="23"/>
      <c r="B92" s="23" t="str">
        <f>$B$15</f>
        <v>Year</v>
      </c>
      <c r="C92" s="23"/>
      <c r="D92" s="28">
        <f>SUM(D88:D91)</f>
        <v>2784.7110000000002</v>
      </c>
      <c r="E92" s="23"/>
      <c r="F92" s="28">
        <f>SUM(F88:F91)</f>
        <v>933.29500000000007</v>
      </c>
      <c r="G92" s="23"/>
      <c r="H92" s="23"/>
      <c r="I92" s="23"/>
      <c r="J92" s="28">
        <f>AVERAGE(J88:J91)</f>
        <v>323.41949999999997</v>
      </c>
      <c r="K92" s="23"/>
      <c r="L92" s="35">
        <f>(D92/D85-1)*100</f>
        <v>37.771452771398373</v>
      </c>
      <c r="M92" s="99"/>
      <c r="N92" s="23"/>
      <c r="O92" s="99"/>
      <c r="P92" s="23"/>
      <c r="Q92" s="99"/>
      <c r="R92" s="74">
        <f>F92/J92</f>
        <v>2.8857103545086185</v>
      </c>
      <c r="S92" s="71" t="s">
        <v>177</v>
      </c>
      <c r="T92" s="33"/>
      <c r="U92" s="23"/>
      <c r="V92" s="23"/>
      <c r="W92" s="23"/>
      <c r="X92" s="23"/>
      <c r="Y92" s="23"/>
      <c r="Z92" s="23"/>
      <c r="AA92" s="99"/>
      <c r="AB92" s="23"/>
      <c r="AC92" s="23"/>
      <c r="AD92" s="23"/>
      <c r="AE92" s="23"/>
      <c r="AF92" s="23"/>
      <c r="AG92" s="66"/>
      <c r="AH92" s="272">
        <f>((F92+('yrP&amp;L'!$M$21))/J92)</f>
        <v>3.4714140613042814</v>
      </c>
      <c r="AI92" s="273" t="s">
        <v>177</v>
      </c>
      <c r="AJ92" s="99"/>
      <c r="AK92" s="23"/>
      <c r="AL92" s="23"/>
      <c r="AM92" s="23"/>
      <c r="AN92" s="23"/>
      <c r="AO92" s="23"/>
    </row>
    <row r="93" spans="1:41">
      <c r="A93" s="23"/>
      <c r="B93" s="23"/>
      <c r="C93" s="23"/>
      <c r="D93" s="28"/>
      <c r="E93" s="23"/>
      <c r="F93" s="28"/>
      <c r="G93" s="23"/>
      <c r="H93" s="28"/>
      <c r="I93" s="23"/>
      <c r="J93" s="28"/>
      <c r="K93" s="23"/>
      <c r="L93" s="35"/>
      <c r="M93" s="23"/>
      <c r="N93" s="35"/>
      <c r="O93" s="23"/>
      <c r="P93" s="35"/>
      <c r="Q93" s="23"/>
      <c r="R93" s="33"/>
      <c r="S93" s="23"/>
      <c r="T93" s="88"/>
      <c r="U93" s="23"/>
      <c r="V93" s="23"/>
      <c r="W93" s="23"/>
      <c r="X93" s="23"/>
      <c r="Y93" s="23"/>
      <c r="Z93" s="73"/>
      <c r="AA93" s="99"/>
      <c r="AB93" s="105"/>
      <c r="AC93" s="23"/>
      <c r="AD93" s="109"/>
      <c r="AE93" s="23"/>
      <c r="AF93" s="73"/>
      <c r="AG93" s="66"/>
      <c r="AH93" s="344" t="s">
        <v>34</v>
      </c>
      <c r="AI93" s="345" t="s">
        <v>32</v>
      </c>
      <c r="AJ93" s="99"/>
      <c r="AK93" s="23"/>
      <c r="AL93" s="23"/>
      <c r="AM93" s="23"/>
      <c r="AN93" s="23"/>
      <c r="AO93" s="23"/>
    </row>
    <row r="94" spans="1:41">
      <c r="A94" s="23"/>
      <c r="B94" s="63" t="s">
        <v>58</v>
      </c>
      <c r="C94" s="23"/>
      <c r="D94" s="23"/>
      <c r="E94" s="23"/>
      <c r="F94" s="23"/>
      <c r="G94" s="23"/>
      <c r="H94" s="23"/>
      <c r="I94" s="23"/>
      <c r="J94" s="23"/>
      <c r="K94" s="23"/>
      <c r="L94" s="23"/>
      <c r="M94" s="99"/>
      <c r="N94" s="23"/>
      <c r="O94" s="99"/>
      <c r="P94" s="23"/>
      <c r="Q94" s="99"/>
      <c r="R94" s="23"/>
      <c r="S94" s="23"/>
      <c r="T94" s="264"/>
      <c r="U94" s="23"/>
      <c r="V94" s="23"/>
      <c r="W94" s="23"/>
      <c r="X94" s="23"/>
      <c r="Y94" s="23"/>
      <c r="Z94" s="23"/>
      <c r="AA94" s="99"/>
      <c r="AB94" s="92"/>
      <c r="AC94" s="23"/>
      <c r="AD94" s="23"/>
      <c r="AE94" s="23"/>
      <c r="AF94" s="23"/>
      <c r="AG94" s="66"/>
      <c r="AH94" s="346"/>
      <c r="AI94" s="347" t="s">
        <v>33</v>
      </c>
      <c r="AJ94" s="99"/>
      <c r="AK94" s="23"/>
      <c r="AL94" s="23"/>
      <c r="AM94" s="23"/>
      <c r="AN94" s="23"/>
      <c r="AO94" s="23"/>
    </row>
    <row r="95" spans="1:41">
      <c r="A95" s="23" t="str">
        <f>$A$11</f>
        <v>1Q</v>
      </c>
      <c r="B95" s="23" t="str">
        <f>$B$11</f>
        <v>Apr</v>
      </c>
      <c r="C95" s="99"/>
      <c r="D95" s="28">
        <f>'qtrP&amp;L'!AZ10</f>
        <v>657.27099999999996</v>
      </c>
      <c r="E95" s="23"/>
      <c r="F95" s="28">
        <f>+'qtrP&amp;L'!AZ$20</f>
        <v>227.35599999999999</v>
      </c>
      <c r="G95" s="23"/>
      <c r="H95" s="28">
        <f>+work!AX10</f>
        <v>336.654</v>
      </c>
      <c r="I95" s="23"/>
      <c r="J95" s="28">
        <f>AVERAGE(H95,H91)</f>
        <v>349.59500000000003</v>
      </c>
      <c r="K95" s="23"/>
      <c r="L95" s="35">
        <f>(D95/D88-1)*100</f>
        <v>20.200983888370729</v>
      </c>
      <c r="M95" s="99" t="s">
        <v>76</v>
      </c>
      <c r="N95" s="35">
        <f>(H95/H88-1)*100</f>
        <v>48.171915230738762</v>
      </c>
      <c r="O95" s="99" t="s">
        <v>76</v>
      </c>
      <c r="P95" s="35">
        <f>(H95/H91-1)*100</f>
        <v>-7.1391530772116463</v>
      </c>
      <c r="Q95" s="99" t="s">
        <v>76</v>
      </c>
      <c r="R95" s="33">
        <f>F95/J95</f>
        <v>0.65034110899755426</v>
      </c>
      <c r="S95" s="23" t="s">
        <v>177</v>
      </c>
      <c r="T95" s="33">
        <f>F96/H95</f>
        <v>0.60429402294343748</v>
      </c>
      <c r="U95" s="23"/>
      <c r="V95" s="23">
        <f>qtrSales!J97</f>
        <v>846</v>
      </c>
      <c r="W95" s="23"/>
      <c r="X95" s="30">
        <f>H95/V95</f>
        <v>0.39793617021276595</v>
      </c>
      <c r="Y95" s="23"/>
      <c r="Z95" s="73">
        <f>(X95/X88-1)*100</f>
        <v>37.137836436960313</v>
      </c>
      <c r="AA95" s="99" t="s">
        <v>76</v>
      </c>
      <c r="AB95" s="104">
        <f>qtrSales!Z97</f>
        <v>5.9630000000000001</v>
      </c>
      <c r="AC95" s="23"/>
      <c r="AD95" s="109">
        <f>H95/AB95</f>
        <v>56.457152440046954</v>
      </c>
      <c r="AE95" s="23"/>
      <c r="AF95" s="221">
        <f>(AD95/AD88-1)*100</f>
        <v>38.456131421377869</v>
      </c>
      <c r="AG95" s="66" t="s">
        <v>76</v>
      </c>
      <c r="AH95" s="268">
        <f>((F95+('yrP&amp;L'!$O$21/4))/J95)</f>
        <v>0.80947381970565935</v>
      </c>
      <c r="AI95" s="269" t="s">
        <v>177</v>
      </c>
      <c r="AJ95" s="99"/>
      <c r="AK95" s="137">
        <f>J95/(F95/(365/4))</f>
        <v>140.3109825559915</v>
      </c>
      <c r="AL95" s="23"/>
      <c r="AM95" s="137">
        <f>H95/(F96/(365/4))</f>
        <v>151.00265191360515</v>
      </c>
      <c r="AN95" s="92"/>
      <c r="AO95" s="93">
        <f>(+L96-N95)/100</f>
        <v>-0.32932871928797325</v>
      </c>
    </row>
    <row r="96" spans="1:41">
      <c r="A96" s="23" t="str">
        <f>$A$12</f>
        <v>2Q</v>
      </c>
      <c r="B96" s="23" t="str">
        <f>$B$12</f>
        <v>Jul</v>
      </c>
      <c r="C96" s="23"/>
      <c r="D96" s="29">
        <f>+'qtrP&amp;L'!AZ$11</f>
        <v>658.69600000000003</v>
      </c>
      <c r="E96" s="23"/>
      <c r="F96" s="29">
        <f>+'qtrP&amp;L'!AZ$21</f>
        <v>203.43799999999999</v>
      </c>
      <c r="G96" s="23"/>
      <c r="H96" s="75">
        <f>+work!AX11</f>
        <v>434.26799999999997</v>
      </c>
      <c r="I96" s="23"/>
      <c r="J96" s="29">
        <f>AVERAGE(H95:H96)</f>
        <v>385.46100000000001</v>
      </c>
      <c r="K96" s="23"/>
      <c r="L96" s="35">
        <f>(D96/D89-1)*100</f>
        <v>15.239043301941436</v>
      </c>
      <c r="M96" s="99"/>
      <c r="N96" s="35">
        <f>(H96/H89-1)*100</f>
        <v>19.309312196931174</v>
      </c>
      <c r="O96" s="99"/>
      <c r="P96" s="35">
        <f>(H96/H95-1)*100</f>
        <v>28.995348339838522</v>
      </c>
      <c r="Q96" s="99"/>
      <c r="R96" s="33">
        <f>F96/J96</f>
        <v>0.52777842635182282</v>
      </c>
      <c r="S96" s="23"/>
      <c r="T96" s="33">
        <f>F97/H96</f>
        <v>0.67987970561957134</v>
      </c>
      <c r="U96" s="23"/>
      <c r="V96" s="23">
        <f>qtrSales!J98</f>
        <v>880</v>
      </c>
      <c r="W96" s="23"/>
      <c r="X96" s="33">
        <f>H96/V96</f>
        <v>0.49348636363636361</v>
      </c>
      <c r="Y96" s="23"/>
      <c r="Z96" s="73">
        <f>(X96/X89-1)*100</f>
        <v>9.0053261435598451</v>
      </c>
      <c r="AA96" s="99"/>
      <c r="AB96" s="104">
        <f>qtrSales!Z98</f>
        <v>6.22</v>
      </c>
      <c r="AC96" s="23"/>
      <c r="AD96" s="110">
        <f>H96/AB96</f>
        <v>69.818006430868166</v>
      </c>
      <c r="AE96" s="23"/>
      <c r="AF96" s="221">
        <f>(AD96/AD89-1)*100</f>
        <v>8.816998085721961</v>
      </c>
      <c r="AG96" s="66"/>
      <c r="AH96" s="268">
        <f>((F96+('yrP&amp;L'!$O$21/4))/J96)</f>
        <v>0.67210431146082217</v>
      </c>
      <c r="AI96" s="269"/>
      <c r="AJ96" s="99"/>
      <c r="AK96" s="137">
        <f>J96/(F96/(365/4))</f>
        <v>172.894524375977</v>
      </c>
      <c r="AL96" s="23"/>
      <c r="AM96" s="137">
        <f>H96/(F97/(365/4))</f>
        <v>134.21491955969515</v>
      </c>
      <c r="AN96" s="92"/>
      <c r="AO96" s="93">
        <f>(+L97-N96)/100</f>
        <v>3.1798283839590907E-2</v>
      </c>
    </row>
    <row r="97" spans="1:41">
      <c r="A97" s="23" t="str">
        <f>$A$13</f>
        <v>3Q</v>
      </c>
      <c r="B97" s="23" t="str">
        <f>$B$13</f>
        <v>Oct</v>
      </c>
      <c r="C97" s="23"/>
      <c r="D97" s="29">
        <f>+'qtrP&amp;L'!AZ$12</f>
        <v>863.44799999999998</v>
      </c>
      <c r="E97" s="23"/>
      <c r="F97" s="29">
        <f>+'qtrP&amp;L'!AZ$22</f>
        <v>295.25</v>
      </c>
      <c r="G97" s="23"/>
      <c r="H97" s="75">
        <f>+work!AX12</f>
        <v>431.00200000000001</v>
      </c>
      <c r="I97" s="23"/>
      <c r="J97" s="29">
        <f>AVERAGE(H96:H97)</f>
        <v>432.63499999999999</v>
      </c>
      <c r="K97" s="23"/>
      <c r="L97" s="35">
        <f>(D97/D90-1)*100</f>
        <v>22.489140580890265</v>
      </c>
      <c r="M97" s="99"/>
      <c r="N97" s="35">
        <f>(H97/H90-1)*100</f>
        <v>3.7007273453458778</v>
      </c>
      <c r="O97" s="99"/>
      <c r="P97" s="35">
        <f>(H97/H96-1)*100</f>
        <v>-0.75207015022979995</v>
      </c>
      <c r="Q97" s="99"/>
      <c r="R97" s="33">
        <f>F97/J97</f>
        <v>0.68244594172917128</v>
      </c>
      <c r="S97" s="23"/>
      <c r="T97" s="33">
        <f>F98/H97</f>
        <v>0.88887754581185241</v>
      </c>
      <c r="U97" s="23"/>
      <c r="V97" s="23">
        <f>qtrSales!J99</f>
        <v>912</v>
      </c>
      <c r="W97" s="23"/>
      <c r="X97" s="33">
        <f>H97/V97</f>
        <v>0.47258991228070174</v>
      </c>
      <c r="Y97" s="23"/>
      <c r="Z97" s="73">
        <f>(X97/X90-1)*100</f>
        <v>-6.7603109394916423</v>
      </c>
      <c r="AA97" s="99"/>
      <c r="AB97" s="104">
        <f>qtrSales!Z99</f>
        <v>6.4409999999999998</v>
      </c>
      <c r="AC97" s="23"/>
      <c r="AD97" s="110">
        <f>H97/AB97</f>
        <v>66.915385809656883</v>
      </c>
      <c r="AE97" s="23"/>
      <c r="AF97" s="221">
        <f>(AD97/AD90-1)*100</f>
        <v>-6.7804360612400805</v>
      </c>
      <c r="AG97" s="66"/>
      <c r="AH97" s="268">
        <f>((F97+('yrP&amp;L'!$O$21/4))/J97)</f>
        <v>0.81103470592994098</v>
      </c>
      <c r="AI97" s="269"/>
      <c r="AJ97" s="99"/>
      <c r="AK97" s="137">
        <f>J97/(F97/(365/4))</f>
        <v>133.71022438611345</v>
      </c>
      <c r="AL97" s="23"/>
      <c r="AM97" s="137">
        <f>H97/(F98/(365/4))</f>
        <v>102.65756000918802</v>
      </c>
      <c r="AN97" s="92"/>
      <c r="AO97" s="93">
        <f>(+L98-N97)/100</f>
        <v>0.14746586549506577</v>
      </c>
    </row>
    <row r="98" spans="1:41">
      <c r="A98" s="23" t="str">
        <f>$A$14</f>
        <v>4Q</v>
      </c>
      <c r="B98" s="23" t="str">
        <f>$B$14</f>
        <v>Jan</v>
      </c>
      <c r="C98" s="23"/>
      <c r="D98" s="32">
        <f>+'qtrP&amp;L'!AZ$13</f>
        <v>1138.7429999999999</v>
      </c>
      <c r="E98" s="23"/>
      <c r="F98" s="32">
        <f>+'qtrP&amp;L'!AZ$23</f>
        <v>383.108</v>
      </c>
      <c r="G98" s="23"/>
      <c r="H98" s="75">
        <f>bal!AC12</f>
        <v>427.447</v>
      </c>
      <c r="I98" s="23"/>
      <c r="J98" s="32">
        <f>AVERAGE(H97:H98)</f>
        <v>429.22450000000003</v>
      </c>
      <c r="K98" s="23"/>
      <c r="L98" s="72">
        <f>(D98/D91-1)*100</f>
        <v>18.447313894852456</v>
      </c>
      <c r="M98" s="99"/>
      <c r="N98" s="73">
        <f>(H98/H91-1)*100</f>
        <v>17.904704636229241</v>
      </c>
      <c r="O98" s="99"/>
      <c r="P98" s="35">
        <f>(H98/H97-1)*100</f>
        <v>-0.824822158597871</v>
      </c>
      <c r="Q98" s="99"/>
      <c r="R98" s="33">
        <f>F98/J98</f>
        <v>0.89255855618679725</v>
      </c>
      <c r="S98" s="23"/>
      <c r="T98" s="33">
        <f>F102/H98</f>
        <v>0.59689505365577489</v>
      </c>
      <c r="U98" s="23"/>
      <c r="V98" s="23">
        <f>qtrSales!J100</f>
        <v>944</v>
      </c>
      <c r="W98" s="23"/>
      <c r="X98" s="33">
        <f>H98/V98</f>
        <v>0.45280402542372883</v>
      </c>
      <c r="Y98" s="23"/>
      <c r="Z98" s="73">
        <f>(X98/X91-1)*100</f>
        <v>6.2890928447363104</v>
      </c>
      <c r="AA98" s="99"/>
      <c r="AB98" s="104">
        <f>qtrSales!Z100</f>
        <v>6.6933639999999999</v>
      </c>
      <c r="AC98" s="23"/>
      <c r="AD98" s="110">
        <f>H98/AB98</f>
        <v>63.861310993993456</v>
      </c>
      <c r="AE98" s="23"/>
      <c r="AF98" s="73">
        <f>(AD98/AD91-1)*100</f>
        <v>6.1377750777887874</v>
      </c>
      <c r="AG98" s="66"/>
      <c r="AH98" s="268">
        <f>((F98+('yrP&amp;L'!$O$21/4))/J98)</f>
        <v>1.0221690513938508</v>
      </c>
      <c r="AI98" s="276"/>
      <c r="AJ98" s="99"/>
      <c r="AK98" s="137">
        <f>J98/(F98/(365/4))</f>
        <v>102.23418885797217</v>
      </c>
      <c r="AL98" s="23"/>
      <c r="AM98" s="138" t="s">
        <v>251</v>
      </c>
      <c r="AN98" s="92"/>
      <c r="AO98" s="93">
        <f>(+L102-N98)/100</f>
        <v>-4.9512957683497838E-2</v>
      </c>
    </row>
    <row r="99" spans="1:41">
      <c r="A99" s="23"/>
      <c r="B99" s="23" t="str">
        <f>$B$15</f>
        <v>Year</v>
      </c>
      <c r="C99" s="23"/>
      <c r="D99" s="28">
        <f>SUM(D95:D98)</f>
        <v>3318.1579999999999</v>
      </c>
      <c r="E99" s="23"/>
      <c r="F99" s="28">
        <f>SUM(F95:F98)</f>
        <v>1109.152</v>
      </c>
      <c r="G99" s="23"/>
      <c r="H99" s="23"/>
      <c r="I99" s="23"/>
      <c r="J99" s="28">
        <f>AVERAGE(J95:J98)</f>
        <v>399.22887500000002</v>
      </c>
      <c r="K99" s="23"/>
      <c r="L99" s="35">
        <f>(D99/D92-1)*100</f>
        <v>19.156278694629346</v>
      </c>
      <c r="M99" s="99"/>
      <c r="N99" s="23"/>
      <c r="O99" s="99"/>
      <c r="P99" s="23"/>
      <c r="Q99" s="99"/>
      <c r="R99" s="74">
        <f>F99/J99</f>
        <v>2.7782359179305356</v>
      </c>
      <c r="S99" s="71" t="s">
        <v>177</v>
      </c>
      <c r="T99" s="33"/>
      <c r="U99" s="23"/>
      <c r="V99" s="23"/>
      <c r="W99" s="23"/>
      <c r="X99" s="23"/>
      <c r="Y99" s="23"/>
      <c r="Z99" s="23"/>
      <c r="AA99" s="99"/>
      <c r="AB99" s="23"/>
      <c r="AC99" s="23"/>
      <c r="AD99" s="23"/>
      <c r="AE99" s="23"/>
      <c r="AF99" s="23"/>
      <c r="AG99" s="66"/>
      <c r="AH99" s="272">
        <f>((F99+('yrP&amp;L'!$O$21))/J99)</f>
        <v>3.33563047011567</v>
      </c>
      <c r="AI99" s="273" t="s">
        <v>177</v>
      </c>
      <c r="AJ99" s="99"/>
      <c r="AK99" s="23"/>
      <c r="AL99" s="23"/>
      <c r="AM99" s="23"/>
      <c r="AN99" s="23"/>
      <c r="AO99" s="23"/>
    </row>
    <row r="100" spans="1:41">
      <c r="A100" s="23"/>
      <c r="B100" s="23"/>
      <c r="C100" s="23"/>
      <c r="D100" s="28"/>
      <c r="E100" s="23"/>
      <c r="F100" s="28"/>
      <c r="G100" s="23"/>
      <c r="H100" s="28"/>
      <c r="I100" s="23"/>
      <c r="J100" s="28"/>
      <c r="K100" s="23"/>
      <c r="L100" s="35"/>
      <c r="M100" s="23"/>
      <c r="N100" s="35"/>
      <c r="O100" s="23"/>
      <c r="P100" s="35"/>
      <c r="Q100" s="23"/>
      <c r="R100" s="33"/>
      <c r="S100" s="23"/>
      <c r="T100" s="88"/>
      <c r="U100" s="23"/>
      <c r="V100" s="23"/>
      <c r="W100" s="23"/>
      <c r="X100" s="23"/>
      <c r="Y100" s="23"/>
      <c r="Z100" s="73"/>
      <c r="AA100" s="99"/>
      <c r="AB100" s="105"/>
      <c r="AC100" s="23"/>
      <c r="AD100" s="109"/>
      <c r="AE100" s="23"/>
      <c r="AF100" s="73"/>
      <c r="AG100" s="66"/>
      <c r="AH100" s="344" t="s">
        <v>34</v>
      </c>
      <c r="AI100" s="345" t="s">
        <v>32</v>
      </c>
      <c r="AJ100" s="99"/>
      <c r="AK100" s="23"/>
      <c r="AL100" s="23"/>
      <c r="AM100" s="23"/>
      <c r="AN100" s="23"/>
      <c r="AO100" s="23"/>
    </row>
    <row r="101" spans="1:41">
      <c r="A101" s="23"/>
      <c r="B101" s="63" t="s">
        <v>26</v>
      </c>
      <c r="C101" s="23"/>
      <c r="D101" s="23"/>
      <c r="E101" s="23"/>
      <c r="F101" s="23"/>
      <c r="G101" s="23"/>
      <c r="H101" s="23"/>
      <c r="I101" s="23"/>
      <c r="J101" s="23"/>
      <c r="K101" s="23"/>
      <c r="L101" s="23"/>
      <c r="M101" s="99"/>
      <c r="N101" s="23"/>
      <c r="O101" s="99"/>
      <c r="P101" s="23"/>
      <c r="Q101" s="99"/>
      <c r="R101" s="93"/>
      <c r="S101" s="23"/>
      <c r="T101" s="264"/>
      <c r="U101" s="23"/>
      <c r="V101" s="23"/>
      <c r="W101" s="23"/>
      <c r="X101" s="23"/>
      <c r="Y101" s="23"/>
      <c r="Z101" s="23"/>
      <c r="AA101" s="99"/>
      <c r="AB101" s="92"/>
      <c r="AC101" s="23"/>
      <c r="AD101" s="23"/>
      <c r="AE101" s="23"/>
      <c r="AF101" s="23"/>
      <c r="AG101" s="66"/>
      <c r="AH101" s="346"/>
      <c r="AI101" s="347" t="s">
        <v>33</v>
      </c>
      <c r="AJ101" s="99"/>
      <c r="AK101" s="23"/>
      <c r="AL101" s="23"/>
      <c r="AM101" s="23"/>
      <c r="AN101" s="23"/>
      <c r="AO101" s="23"/>
    </row>
    <row r="102" spans="1:41">
      <c r="A102" s="23" t="str">
        <f>$A$11</f>
        <v>1Q</v>
      </c>
      <c r="B102" s="23" t="str">
        <f>$B$11</f>
        <v>Apr</v>
      </c>
      <c r="C102" s="99"/>
      <c r="D102" s="28">
        <f>+'qtrP&amp;L'!BD10</f>
        <v>742.41</v>
      </c>
      <c r="E102" s="23"/>
      <c r="F102" s="28">
        <f>+'qtrP&amp;L'!BD20</f>
        <v>255.14099999999999</v>
      </c>
      <c r="G102" s="23"/>
      <c r="H102" s="28">
        <f>work!BB10</f>
        <v>401.75299999999999</v>
      </c>
      <c r="I102" s="23"/>
      <c r="J102" s="28">
        <f>AVERAGE(H102,H98)</f>
        <v>414.6</v>
      </c>
      <c r="K102" s="23"/>
      <c r="L102" s="35">
        <f>(D102/D95-1)*100</f>
        <v>12.953408867879457</v>
      </c>
      <c r="M102" s="99" t="s">
        <v>76</v>
      </c>
      <c r="N102" s="35">
        <f>(H102/H95-1)*100</f>
        <v>19.337064166770634</v>
      </c>
      <c r="O102" s="99" t="s">
        <v>76</v>
      </c>
      <c r="P102" s="35">
        <f>(H102/H98-1)*100</f>
        <v>-6.011037625717341</v>
      </c>
      <c r="Q102" s="99" t="s">
        <v>76</v>
      </c>
      <c r="R102" s="33">
        <f>F102/J102</f>
        <v>0.61539073806078137</v>
      </c>
      <c r="S102" s="23" t="s">
        <v>177</v>
      </c>
      <c r="T102" s="33">
        <f>F103/H102</f>
        <v>0.62501088977555863</v>
      </c>
      <c r="U102" s="23"/>
      <c r="V102" s="23">
        <f>qtrSales!J104</f>
        <v>954</v>
      </c>
      <c r="W102" s="23"/>
      <c r="X102" s="30">
        <f>H102/V102</f>
        <v>0.42112473794549266</v>
      </c>
      <c r="Y102" s="23"/>
      <c r="Z102" s="73">
        <f>(X102/X95-1)*100</f>
        <v>5.8272078460041454</v>
      </c>
      <c r="AA102" s="99" t="s">
        <v>76</v>
      </c>
      <c r="AB102" s="104">
        <f>qtrSales!Z104</f>
        <v>6.774</v>
      </c>
      <c r="AC102" s="23"/>
      <c r="AD102" s="109">
        <f>H102/AB102</f>
        <v>59.308089754945378</v>
      </c>
      <c r="AE102" s="23"/>
      <c r="AF102" s="221">
        <f>(AD102/AD95-1)*100</f>
        <v>5.0497362897037545</v>
      </c>
      <c r="AG102" s="66" t="s">
        <v>76</v>
      </c>
      <c r="AH102" s="268">
        <f>((F102+('yrP&amp;L'!$Q$21/4))/J102)</f>
        <v>0.76198022190062698</v>
      </c>
      <c r="AI102" s="269" t="s">
        <v>177</v>
      </c>
      <c r="AJ102" s="99"/>
      <c r="AK102" s="137">
        <f>J102/(F102/(365/4))</f>
        <v>148.27977471280587</v>
      </c>
      <c r="AL102" s="23"/>
      <c r="AM102" s="137">
        <f>H102/(F103/(365/4))</f>
        <v>145.99745619275188</v>
      </c>
      <c r="AN102" s="92"/>
      <c r="AO102" s="93">
        <f>(+L103-N102)/100</f>
        <v>2.8039538445729911E-2</v>
      </c>
    </row>
    <row r="103" spans="1:41">
      <c r="A103" s="23" t="str">
        <f>$A$12</f>
        <v>2Q</v>
      </c>
      <c r="B103" s="23" t="str">
        <f>$B$12</f>
        <v>Jul</v>
      </c>
      <c r="C103" s="23"/>
      <c r="D103" s="29">
        <f>+'qtrP&amp;L'!BD11</f>
        <v>804.53800000000001</v>
      </c>
      <c r="E103" s="23"/>
      <c r="F103" s="29">
        <f>+'qtrP&amp;L'!BD21</f>
        <v>251.1</v>
      </c>
      <c r="G103" s="23"/>
      <c r="H103" s="75">
        <f>work!BB11</f>
        <v>431.39499999999998</v>
      </c>
      <c r="I103" s="23"/>
      <c r="J103" s="29">
        <f>AVERAGE(H102:H103)</f>
        <v>416.57399999999996</v>
      </c>
      <c r="K103" s="23"/>
      <c r="L103" s="35">
        <f>(D103/D96-1)*100</f>
        <v>22.141018011343625</v>
      </c>
      <c r="M103" s="99"/>
      <c r="N103" s="35">
        <f>(H103/H96-1)*100</f>
        <v>-0.66157303784759591</v>
      </c>
      <c r="O103" s="99"/>
      <c r="P103" s="35">
        <f>(H103/H102-1)*100</f>
        <v>7.3781651910502122</v>
      </c>
      <c r="Q103" s="99"/>
      <c r="R103" s="33">
        <f>F103/J103</f>
        <v>0.60277405695026576</v>
      </c>
      <c r="S103" s="23"/>
      <c r="T103" s="33">
        <f>F104/H103</f>
        <v>0.76238018521308781</v>
      </c>
      <c r="U103" s="23"/>
      <c r="V103" s="23">
        <v>984</v>
      </c>
      <c r="W103" s="23"/>
      <c r="X103" s="33">
        <f>H103/V103</f>
        <v>0.43840955284552846</v>
      </c>
      <c r="Y103" s="23"/>
      <c r="Z103" s="73">
        <f>(X103/X96-1)*100</f>
        <v>-11.160756375310854</v>
      </c>
      <c r="AA103" s="99"/>
      <c r="AB103" s="104">
        <f>qtrSales!Z105</f>
        <v>6.9939999999999998</v>
      </c>
      <c r="AC103" s="23"/>
      <c r="AD103" s="110">
        <f>H103/AB103</f>
        <v>61.680726336860168</v>
      </c>
      <c r="AE103" s="23"/>
      <c r="AF103" s="221">
        <f>(AD103/AD96-1)*100</f>
        <v>-11.654987745983991</v>
      </c>
      <c r="AG103" s="66"/>
      <c r="AH103" s="268">
        <f>((F103+('yrP&amp;L'!$Q$21/4))/J103)</f>
        <v>0.74866890396424168</v>
      </c>
      <c r="AI103" s="269"/>
      <c r="AJ103" s="99"/>
      <c r="AK103" s="137">
        <f>J103/(F103/(365/4))</f>
        <v>151.38342293906808</v>
      </c>
      <c r="AL103" s="23"/>
      <c r="AM103" s="137">
        <f>H103/(F104/(365/4))</f>
        <v>119.69093868106675</v>
      </c>
      <c r="AN103" s="92"/>
      <c r="AO103" s="93">
        <f>(+L104-N103)/100</f>
        <v>0.13457016422973278</v>
      </c>
    </row>
    <row r="104" spans="1:41">
      <c r="A104" s="23" t="str">
        <f>$A$13</f>
        <v>3Q</v>
      </c>
      <c r="B104" s="23" t="str">
        <f>$B$13</f>
        <v>Oct</v>
      </c>
      <c r="C104" s="23"/>
      <c r="D104" s="29">
        <f>+'qtrP&amp;L'!BD12</f>
        <v>973.93</v>
      </c>
      <c r="E104" s="23"/>
      <c r="F104" s="29">
        <f>+'qtrP&amp;L'!BD22</f>
        <v>328.887</v>
      </c>
      <c r="G104" s="23"/>
      <c r="H104" s="75">
        <f>work!BB12</f>
        <v>407.12299999999999</v>
      </c>
      <c r="I104" s="23"/>
      <c r="J104" s="29">
        <f>AVERAGE(H103:H104)</f>
        <v>419.25900000000001</v>
      </c>
      <c r="K104" s="23"/>
      <c r="L104" s="35">
        <f>(D104/D97-1)*100</f>
        <v>12.795443385125683</v>
      </c>
      <c r="M104" s="99"/>
      <c r="N104" s="35">
        <f>(H104/H97-1)*100</f>
        <v>-5.5403455204384278</v>
      </c>
      <c r="O104" s="99"/>
      <c r="P104" s="35">
        <f>(H104/H103-1)*100</f>
        <v>-5.6263980806453446</v>
      </c>
      <c r="Q104" s="99"/>
      <c r="R104" s="33">
        <f>F104/J104</f>
        <v>0.78444827660229111</v>
      </c>
      <c r="S104" s="23"/>
      <c r="T104" s="33">
        <f>F105/H104</f>
        <v>0.9907374429840613</v>
      </c>
      <c r="U104" s="23"/>
      <c r="V104" s="23">
        <f>qtrSales!J106</f>
        <v>1014</v>
      </c>
      <c r="W104" s="23"/>
      <c r="X104" s="33">
        <f>H104/V104</f>
        <v>0.40150197238658775</v>
      </c>
      <c r="Y104" s="23"/>
      <c r="Z104" s="73">
        <f>(X104/X97-1)*100</f>
        <v>-15.042204255068881</v>
      </c>
      <c r="AA104" s="99"/>
      <c r="AB104" s="104">
        <f>qtrSales!Z106</f>
        <v>7.1879999999999997</v>
      </c>
      <c r="AC104" s="23"/>
      <c r="AD104" s="110">
        <f>H104/AB104</f>
        <v>56.639259877573735</v>
      </c>
      <c r="AE104" s="23"/>
      <c r="AF104" s="221">
        <f>(AD104/AD97-1)*100</f>
        <v>-15.35689558947465</v>
      </c>
      <c r="AG104" s="66"/>
      <c r="AH104" s="268">
        <f>((F104+('yrP&amp;L'!$Q$21/4))/J104)</f>
        <v>0.92940879027045331</v>
      </c>
      <c r="AI104" s="269"/>
      <c r="AJ104" s="99"/>
      <c r="AK104" s="137">
        <f>J104/(F104/(365/4))</f>
        <v>116.32379434273778</v>
      </c>
      <c r="AL104" s="23"/>
      <c r="AM104" s="137">
        <f>H104/(F105/(365/4))</f>
        <v>92.103110310597202</v>
      </c>
      <c r="AN104" s="92"/>
      <c r="AO104" s="93">
        <f>(+L105-N104)/100</f>
        <v>0.13463643402401271</v>
      </c>
    </row>
    <row r="105" spans="1:41">
      <c r="A105" s="23" t="str">
        <f>$A$14</f>
        <v>4Q</v>
      </c>
      <c r="B105" s="23" t="str">
        <f>$B$14</f>
        <v>Jan</v>
      </c>
      <c r="C105" s="23"/>
      <c r="D105" s="32">
        <f>+'qtrP&amp;L'!BD13</f>
        <v>1228.9690000000001</v>
      </c>
      <c r="E105" s="23"/>
      <c r="F105" s="32">
        <f>+'qtrP&amp;L'!BD23</f>
        <v>403.35199999999998</v>
      </c>
      <c r="G105" s="23"/>
      <c r="H105" s="75">
        <f>+bal!AE12</f>
        <v>333.15300000000002</v>
      </c>
      <c r="I105" s="23"/>
      <c r="J105" s="32">
        <f>AVERAGE(H104:H105)</f>
        <v>370.13800000000003</v>
      </c>
      <c r="K105" s="23"/>
      <c r="L105" s="72">
        <f>(D105/D98-1)*100</f>
        <v>7.923297881962843</v>
      </c>
      <c r="M105" s="99"/>
      <c r="N105" s="73">
        <f>(H105/H98-1)*100</f>
        <v>-22.059810923927405</v>
      </c>
      <c r="O105" s="99"/>
      <c r="P105" s="35">
        <f>(H105/H104-1)*100</f>
        <v>-18.16895631050075</v>
      </c>
      <c r="Q105" s="99"/>
      <c r="R105" s="33">
        <f>F105/J105</f>
        <v>1.0897340991738216</v>
      </c>
      <c r="S105" s="23"/>
      <c r="T105" s="33">
        <f>F109/H105</f>
        <v>0.78163486446167374</v>
      </c>
      <c r="U105" s="23"/>
      <c r="V105" s="23">
        <f>qtrSales!J107</f>
        <v>1035</v>
      </c>
      <c r="W105" s="23"/>
      <c r="X105" s="33">
        <f>H105/V105</f>
        <v>0.32188695652173915</v>
      </c>
      <c r="Y105" s="23"/>
      <c r="Z105" s="73">
        <f>(X105/X98-1)*100</f>
        <v>-28.912523200181127</v>
      </c>
      <c r="AA105" s="99"/>
      <c r="AB105" s="104">
        <f>qtrSales!Z107</f>
        <v>7.337364</v>
      </c>
      <c r="AC105" s="23"/>
      <c r="AD105" s="110">
        <f>H105/AB105</f>
        <v>45.404998307294015</v>
      </c>
      <c r="AE105" s="23"/>
      <c r="AF105" s="73">
        <f>(AD105/AD98-1)*100</f>
        <v>-28.900616663562339</v>
      </c>
      <c r="AG105" s="66"/>
      <c r="AH105" s="268">
        <f>((F105+('yrP&amp;L'!$Q$21/4))/J105)</f>
        <v>1.2539323171357708</v>
      </c>
      <c r="AI105" s="276"/>
      <c r="AJ105" s="99"/>
      <c r="AK105" s="137">
        <f>J105/(F105/(365/4))</f>
        <v>83.736023374124841</v>
      </c>
      <c r="AL105" s="23"/>
      <c r="AM105" s="138" t="s">
        <v>251</v>
      </c>
      <c r="AN105" s="92"/>
      <c r="AO105" s="93">
        <f>(+L109-N105)/100</f>
        <v>0.28084648951432423</v>
      </c>
    </row>
    <row r="106" spans="1:41">
      <c r="A106" s="23"/>
      <c r="B106" s="23" t="str">
        <f>$B$15</f>
        <v>Year</v>
      </c>
      <c r="C106" s="23"/>
      <c r="D106" s="28">
        <f>SUM(D102:D105)</f>
        <v>3749.8469999999998</v>
      </c>
      <c r="E106" s="23"/>
      <c r="F106" s="28">
        <f>SUM(F102:F105)</f>
        <v>1238.48</v>
      </c>
      <c r="G106" s="23"/>
      <c r="H106" s="23"/>
      <c r="I106" s="23"/>
      <c r="J106" s="28">
        <f>AVERAGE(J102:J105)</f>
        <v>405.14274999999998</v>
      </c>
      <c r="K106" s="23"/>
      <c r="L106" s="35">
        <f>(D106/D99-1)*100</f>
        <v>13.009898865575419</v>
      </c>
      <c r="M106" s="99"/>
      <c r="N106" s="23"/>
      <c r="O106" s="99"/>
      <c r="P106" s="23"/>
      <c r="Q106" s="99"/>
      <c r="R106" s="74">
        <f>F106/J106</f>
        <v>3.0568978464997834</v>
      </c>
      <c r="S106" s="71" t="s">
        <v>177</v>
      </c>
      <c r="T106" s="33"/>
      <c r="U106" s="23"/>
      <c r="V106" s="23"/>
      <c r="W106" s="23"/>
      <c r="X106" s="23"/>
      <c r="Y106" s="23"/>
      <c r="Z106" s="23"/>
      <c r="AA106" s="99"/>
      <c r="AB106" s="92"/>
      <c r="AC106" s="23"/>
      <c r="AD106" s="23"/>
      <c r="AE106" s="23"/>
      <c r="AF106" s="23"/>
      <c r="AG106" s="66"/>
      <c r="AH106" s="272">
        <f>((F106+('yrP&amp;L'!$Q$21))/J106)</f>
        <v>3.6569431391774878</v>
      </c>
      <c r="AI106" s="273" t="s">
        <v>177</v>
      </c>
      <c r="AJ106" s="99"/>
      <c r="AK106" s="23"/>
      <c r="AL106" s="23"/>
      <c r="AM106" s="23"/>
      <c r="AN106" s="23"/>
      <c r="AO106" s="23"/>
    </row>
    <row r="107" spans="1:41">
      <c r="A107" s="23"/>
      <c r="B107" s="23"/>
      <c r="C107" s="23"/>
      <c r="D107" s="28"/>
      <c r="E107" s="23"/>
      <c r="F107" s="28"/>
      <c r="G107" s="23"/>
      <c r="H107" s="23"/>
      <c r="I107" s="23"/>
      <c r="J107" s="28"/>
      <c r="K107" s="23"/>
      <c r="L107" s="35"/>
      <c r="M107" s="99"/>
      <c r="N107" s="23"/>
      <c r="O107" s="99"/>
      <c r="P107" s="23"/>
      <c r="Q107" s="99"/>
      <c r="R107" s="340"/>
      <c r="S107" s="27"/>
      <c r="T107" s="33"/>
      <c r="U107" s="23"/>
      <c r="V107" s="23"/>
      <c r="W107" s="23"/>
      <c r="X107" s="23"/>
      <c r="Y107" s="23"/>
      <c r="Z107" s="23"/>
      <c r="AA107" s="99"/>
      <c r="AB107" s="23"/>
      <c r="AC107" s="23"/>
      <c r="AD107" s="230"/>
      <c r="AE107" s="23"/>
      <c r="AF107" s="23"/>
      <c r="AG107" s="66"/>
      <c r="AH107" s="268"/>
      <c r="AI107" s="276"/>
      <c r="AJ107" s="99"/>
      <c r="AK107" s="23"/>
      <c r="AL107" s="23"/>
      <c r="AM107" s="23"/>
      <c r="AN107" s="23"/>
      <c r="AO107" s="23"/>
    </row>
    <row r="108" spans="1:41">
      <c r="A108" s="23"/>
      <c r="B108" s="63" t="s">
        <v>20</v>
      </c>
      <c r="C108" s="23"/>
      <c r="D108" s="23"/>
      <c r="E108" s="23"/>
      <c r="F108" s="23"/>
      <c r="G108" s="23"/>
      <c r="H108" s="23"/>
      <c r="I108" s="23"/>
      <c r="J108" s="23"/>
      <c r="K108" s="23"/>
      <c r="L108" s="23"/>
      <c r="M108" s="99"/>
      <c r="N108" s="23"/>
      <c r="O108" s="99"/>
      <c r="P108" s="23"/>
      <c r="Q108" s="99"/>
      <c r="R108" s="93"/>
      <c r="S108" s="23"/>
      <c r="T108" s="264"/>
      <c r="U108" s="23"/>
      <c r="V108" s="23"/>
      <c r="W108" s="23"/>
      <c r="X108" s="23"/>
      <c r="Y108" s="23"/>
      <c r="Z108" s="23"/>
      <c r="AA108" s="99"/>
      <c r="AB108" s="92"/>
      <c r="AC108" s="23"/>
      <c r="AD108" s="93"/>
      <c r="AE108" s="23"/>
      <c r="AF108" s="23"/>
      <c r="AG108" s="66"/>
      <c r="AH108" s="99"/>
      <c r="AI108" s="99"/>
      <c r="AJ108" s="99"/>
      <c r="AK108" s="23"/>
      <c r="AL108" s="23"/>
      <c r="AM108" s="23"/>
      <c r="AN108" s="23"/>
      <c r="AO108" s="23"/>
    </row>
    <row r="109" spans="1:41">
      <c r="A109" s="23" t="str">
        <f>$A$11</f>
        <v>1Q</v>
      </c>
      <c r="B109" s="23" t="str">
        <f>$B$11</f>
        <v>Apr</v>
      </c>
      <c r="C109" s="99"/>
      <c r="D109" s="28">
        <f>'qtrP&amp;L'!BH10</f>
        <v>787.13900000000001</v>
      </c>
      <c r="E109" s="23"/>
      <c r="F109" s="28">
        <f>+'qtrP&amp;L'!BH20</f>
        <v>260.404</v>
      </c>
      <c r="G109" s="23"/>
      <c r="H109" s="28">
        <f>work!BF10</f>
        <v>347.62799999999999</v>
      </c>
      <c r="I109" s="23"/>
      <c r="J109" s="28">
        <f>AVERAGE(H109,H105)</f>
        <v>340.39049999999997</v>
      </c>
      <c r="K109" s="23"/>
      <c r="L109" s="35">
        <f>(D109/D102-1)*100</f>
        <v>6.0248380275050195</v>
      </c>
      <c r="M109" s="99" t="s">
        <v>76</v>
      </c>
      <c r="N109" s="35">
        <f>(H109/H102-1)*100</f>
        <v>-13.472208048228641</v>
      </c>
      <c r="O109" s="99" t="s">
        <v>76</v>
      </c>
      <c r="P109" s="35">
        <f>(H109/H105-1)*100</f>
        <v>4.3448505641551893</v>
      </c>
      <c r="Q109" s="99" t="s">
        <v>76</v>
      </c>
      <c r="R109" s="33">
        <f>F109/J109</f>
        <v>0.76501547487371124</v>
      </c>
      <c r="S109" s="23" t="s">
        <v>177</v>
      </c>
      <c r="T109" s="33">
        <f>F110/H109</f>
        <v>0.71269000195611409</v>
      </c>
      <c r="U109" s="23"/>
      <c r="V109" s="23">
        <f>qtrSales!J111</f>
        <v>1047</v>
      </c>
      <c r="W109" s="23"/>
      <c r="X109" s="30">
        <f>H109/V109</f>
        <v>0.33202292263610311</v>
      </c>
      <c r="Y109" s="23"/>
      <c r="Z109" s="73">
        <f>(X109/X102-1)*100</f>
        <v>-21.158057763142434</v>
      </c>
      <c r="AA109" s="99" t="s">
        <v>76</v>
      </c>
      <c r="AB109" s="104">
        <f>qtrSales!Z111</f>
        <v>7.4370000000000003</v>
      </c>
      <c r="AC109" s="23"/>
      <c r="AD109" s="109">
        <f>H109/AB109</f>
        <v>46.743041549011693</v>
      </c>
      <c r="AE109" s="23"/>
      <c r="AF109" s="221">
        <f>(AD109/AD102-1)*100</f>
        <v>-21.18606122343698</v>
      </c>
      <c r="AG109" s="66" t="s">
        <v>76</v>
      </c>
      <c r="AH109" s="268">
        <f>((F109+('yrP&amp;L'!$O$21/4))/J109)</f>
        <v>0.9284512934409157</v>
      </c>
      <c r="AI109" s="269" t="s">
        <v>177</v>
      </c>
      <c r="AJ109" s="99"/>
      <c r="AK109" s="137">
        <f>J109/(F109/(365/4))</f>
        <v>119.27863291270486</v>
      </c>
      <c r="AL109" s="23"/>
      <c r="AM109" s="137">
        <f>H109/(F110/(365/4))</f>
        <v>128.03603214517801</v>
      </c>
      <c r="AN109" s="92"/>
      <c r="AO109" s="93">
        <f>(+L110-N109)/100</f>
        <v>0.17046930435486907</v>
      </c>
    </row>
    <row r="110" spans="1:41">
      <c r="A110" s="23" t="str">
        <f>$A$12</f>
        <v>2Q</v>
      </c>
      <c r="B110" s="23" t="str">
        <f>$B$12</f>
        <v>Jul</v>
      </c>
      <c r="C110" s="23"/>
      <c r="D110" s="29">
        <f>'qtrP&amp;L'!BH11</f>
        <v>833.298</v>
      </c>
      <c r="E110" s="23"/>
      <c r="F110" s="29">
        <f>+'qtrP&amp;L'!BH21</f>
        <v>247.751</v>
      </c>
      <c r="G110" s="23"/>
      <c r="H110" s="75">
        <f>work!BF11</f>
        <v>470.68200000000002</v>
      </c>
      <c r="I110" s="23"/>
      <c r="J110" s="29">
        <f>AVERAGE(H109:H110)</f>
        <v>409.15499999999997</v>
      </c>
      <c r="K110" s="23"/>
      <c r="L110" s="35">
        <f>(D110/D103-1)*100</f>
        <v>3.5747223872582667</v>
      </c>
      <c r="M110" s="99"/>
      <c r="N110" s="35">
        <f>(H110/H103-1)*100</f>
        <v>9.1069669328573752</v>
      </c>
      <c r="O110" s="99"/>
      <c r="P110" s="35">
        <f>(H110/H109-1)*100</f>
        <v>35.398184265939456</v>
      </c>
      <c r="Q110" s="99"/>
      <c r="R110" s="33">
        <f>F110/J110</f>
        <v>0.60551869096063848</v>
      </c>
      <c r="S110" s="23"/>
      <c r="T110" s="33">
        <f>F111/H110</f>
        <v>0.63279878984112414</v>
      </c>
      <c r="U110" s="23"/>
      <c r="V110" s="23">
        <f>qtrSales!J112</f>
        <v>1081</v>
      </c>
      <c r="W110" s="23"/>
      <c r="X110" s="33">
        <f>H110/V110</f>
        <v>0.43541350601295098</v>
      </c>
      <c r="Y110" s="23"/>
      <c r="Z110" s="73">
        <f>(X110/X103-1)*100</f>
        <v>-0.68338995195963426</v>
      </c>
      <c r="AA110" s="99"/>
      <c r="AB110" s="104">
        <f>qtrSales!Z112</f>
        <v>7.6740000000000004</v>
      </c>
      <c r="AC110" s="23"/>
      <c r="AD110" s="110">
        <f>H110/AB110</f>
        <v>61.334636434714618</v>
      </c>
      <c r="AE110" s="23"/>
      <c r="AF110" s="221">
        <f>(AD110/AD103-1)*100</f>
        <v>-0.56109894078650857</v>
      </c>
      <c r="AG110" s="66"/>
      <c r="AH110" s="268">
        <f>((F110+('yrP&amp;L'!$O$21/4))/J110)</f>
        <v>0.74148672263567594</v>
      </c>
      <c r="AI110" s="269"/>
      <c r="AJ110" s="99"/>
      <c r="AK110" s="137">
        <f>J110/(F110/(365/4))</f>
        <v>150.6972474379518</v>
      </c>
      <c r="AL110" s="23"/>
      <c r="AM110" s="137">
        <f>H110/(F111/(365/4))</f>
        <v>144.20065503429615</v>
      </c>
      <c r="AN110" s="92"/>
      <c r="AO110" s="93">
        <f>(+L111-N110)/100</f>
        <v>-0.18462772791594653</v>
      </c>
    </row>
    <row r="111" spans="1:41">
      <c r="A111" s="23" t="str">
        <f>$A$13</f>
        <v>3Q</v>
      </c>
      <c r="B111" s="23" t="str">
        <f>$B$13</f>
        <v>Oct</v>
      </c>
      <c r="C111" s="23"/>
      <c r="D111" s="29">
        <f>'qtrP&amp;L'!BH12</f>
        <v>882.81100000000004</v>
      </c>
      <c r="E111" s="23"/>
      <c r="F111" s="29">
        <f>+'qtrP&amp;L'!BH22</f>
        <v>297.84699999999998</v>
      </c>
      <c r="G111" s="23"/>
      <c r="H111" s="75">
        <f>work!BF12</f>
        <v>504.89800000000002</v>
      </c>
      <c r="I111" s="23"/>
      <c r="J111" s="29">
        <f>AVERAGE(H110:H111)</f>
        <v>487.79</v>
      </c>
      <c r="K111" s="23"/>
      <c r="L111" s="35">
        <f>(D111/D104-1)*100</f>
        <v>-9.355805858737277</v>
      </c>
      <c r="M111" s="99"/>
      <c r="N111" s="35">
        <f>(H111/H104-1)*100</f>
        <v>24.016083591445337</v>
      </c>
      <c r="O111" s="99"/>
      <c r="P111" s="35">
        <f>(H111/H110-1)*100</f>
        <v>7.2694515617763189</v>
      </c>
      <c r="Q111" s="99"/>
      <c r="R111" s="33">
        <f>F111/J111</f>
        <v>0.61060497345169018</v>
      </c>
      <c r="S111" s="23"/>
      <c r="T111" s="33">
        <f>F112/H111</f>
        <v>0.68718830338008863</v>
      </c>
      <c r="U111" s="23"/>
      <c r="V111" s="23">
        <f>qtrSales!J113</f>
        <v>1107</v>
      </c>
      <c r="W111" s="23"/>
      <c r="X111" s="33">
        <f>H111/V111</f>
        <v>0.45609575429087629</v>
      </c>
      <c r="Y111" s="23"/>
      <c r="Z111" s="73">
        <f>(X111/X104-1)*100</f>
        <v>13.597388221974338</v>
      </c>
      <c r="AA111" s="99"/>
      <c r="AB111" s="104">
        <f>qtrSales!Z113</f>
        <v>7.8579999999999997</v>
      </c>
      <c r="AC111" s="23"/>
      <c r="AD111" s="110">
        <f>H111/AB111</f>
        <v>64.25273606515654</v>
      </c>
      <c r="AE111" s="23"/>
      <c r="AF111" s="221">
        <f>(AD111/AD104-1)*100</f>
        <v>13.442047449135819</v>
      </c>
      <c r="AG111" s="363">
        <f>AF111-AF110</f>
        <v>14.003146389922328</v>
      </c>
      <c r="AH111" s="268">
        <f>((F111+('yrP&amp;L'!$O$21/4))/J111)</f>
        <v>0.72465405194858434</v>
      </c>
      <c r="AI111" s="269"/>
      <c r="AJ111" s="99"/>
      <c r="AK111" s="137">
        <f>J111/(F111/(365/4))</f>
        <v>149.4419534190373</v>
      </c>
      <c r="AL111" s="23"/>
      <c r="AM111" s="137">
        <f>H111/(F112/(365/4))</f>
        <v>132.78747550149873</v>
      </c>
      <c r="AN111" s="92"/>
      <c r="AO111" s="93">
        <f>(+L112-N111)/100</f>
        <v>-0.44208618960523005</v>
      </c>
    </row>
    <row r="112" spans="1:41">
      <c r="A112" s="23" t="str">
        <f>$A$14</f>
        <v>4Q</v>
      </c>
      <c r="B112" s="23" t="str">
        <f>$B$14</f>
        <v>Jan</v>
      </c>
      <c r="C112" s="23"/>
      <c r="D112" s="32">
        <f>'qtrP&amp;L'!BH13</f>
        <v>980.80899999999997</v>
      </c>
      <c r="E112" s="23"/>
      <c r="F112" s="32">
        <f>+'qtrP&amp;L'!BH23</f>
        <v>346.96</v>
      </c>
      <c r="G112" s="23"/>
      <c r="H112" s="75">
        <f>+bal!AG12</f>
        <v>372.42200000000003</v>
      </c>
      <c r="I112" s="23"/>
      <c r="J112" s="32">
        <f>AVERAGE(H111:H112)</f>
        <v>438.66</v>
      </c>
      <c r="K112" s="23"/>
      <c r="L112" s="72">
        <f>(D112/D105-1)*100</f>
        <v>-20.192535369077667</v>
      </c>
      <c r="M112" s="99"/>
      <c r="N112" s="73">
        <f>(H112/H105-1)*100</f>
        <v>11.787076808553421</v>
      </c>
      <c r="O112" s="99"/>
      <c r="P112" s="35">
        <f>(H112/H111-1)*100</f>
        <v>-26.23817087807835</v>
      </c>
      <c r="Q112" s="99"/>
      <c r="R112" s="33">
        <f>F112/J112</f>
        <v>0.79095426982172967</v>
      </c>
      <c r="S112" s="23"/>
      <c r="T112" s="33">
        <f>F116/H112</f>
        <v>0.59147150275762439</v>
      </c>
      <c r="U112" s="23"/>
      <c r="V112" s="23">
        <f>qtrSales!J114</f>
        <v>1125</v>
      </c>
      <c r="W112" s="23"/>
      <c r="X112" s="33">
        <f>H112/V112</f>
        <v>0.33104177777777782</v>
      </c>
      <c r="Y112" s="23"/>
      <c r="Z112" s="73">
        <f>(X112/X105-1)*100</f>
        <v>2.8441106638691593</v>
      </c>
      <c r="AA112" s="99"/>
      <c r="AB112" s="104">
        <f>qtrSales!Z114</f>
        <v>8.0223639999999996</v>
      </c>
      <c r="AC112" s="23"/>
      <c r="AD112" s="110">
        <f>H112/AB112</f>
        <v>46.422974574576777</v>
      </c>
      <c r="AE112" s="23"/>
      <c r="AF112" s="73">
        <f>(AD112/AD105-1)*100</f>
        <v>2.2419916424030184</v>
      </c>
      <c r="AG112" s="66"/>
      <c r="AH112" s="268">
        <f>((F112+('yrP&amp;L'!$O$21/4))/J112)</f>
        <v>0.91777686590981622</v>
      </c>
      <c r="AI112" s="276"/>
      <c r="AJ112" s="99"/>
      <c r="AK112" s="137">
        <f>J112/(F112/(365/4))</f>
        <v>115.36697313811392</v>
      </c>
      <c r="AL112" s="23"/>
      <c r="AM112" s="138" t="s">
        <v>251</v>
      </c>
      <c r="AN112" s="92"/>
      <c r="AO112" s="93">
        <f>(+L116-N112)/100</f>
        <v>-0.35342001669346745</v>
      </c>
    </row>
    <row r="113" spans="1:41">
      <c r="A113" s="23"/>
      <c r="B113" s="23" t="str">
        <f>$B$15</f>
        <v>Year</v>
      </c>
      <c r="C113" s="23"/>
      <c r="D113" s="28">
        <f>SUM(D109:D112)</f>
        <v>3484.0569999999998</v>
      </c>
      <c r="E113" s="23"/>
      <c r="F113" s="28">
        <f>SUM(F109:F112)</f>
        <v>1152.962</v>
      </c>
      <c r="G113" s="23"/>
      <c r="H113" s="23"/>
      <c r="I113" s="23"/>
      <c r="J113" s="28">
        <f>AVERAGE(J109:J112)</f>
        <v>418.998875</v>
      </c>
      <c r="K113" s="23"/>
      <c r="L113" s="35">
        <f>(D113/D106-1)*100</f>
        <v>-7.0880225246523381</v>
      </c>
      <c r="M113" s="99"/>
      <c r="N113" s="23"/>
      <c r="O113" s="99"/>
      <c r="P113" s="23"/>
      <c r="Q113" s="99"/>
      <c r="R113" s="74">
        <f>F113/J113</f>
        <v>2.7517066722434516</v>
      </c>
      <c r="S113" s="71" t="s">
        <v>177</v>
      </c>
      <c r="T113" s="33"/>
      <c r="U113" s="23"/>
      <c r="V113" s="23"/>
      <c r="W113" s="23"/>
      <c r="X113" s="23"/>
      <c r="Y113" s="23"/>
      <c r="Z113" s="23"/>
      <c r="AA113" s="99"/>
      <c r="AB113" s="23"/>
      <c r="AC113" s="23"/>
      <c r="AD113" s="23"/>
      <c r="AE113" s="23"/>
      <c r="AF113" s="23"/>
      <c r="AG113" s="66"/>
      <c r="AH113" s="272">
        <f>((F113+('yrP&amp;L'!$O$21))/J113)</f>
        <v>3.2828011769721339</v>
      </c>
      <c r="AI113" s="273" t="s">
        <v>177</v>
      </c>
      <c r="AJ113" s="99"/>
      <c r="AK113" s="23"/>
      <c r="AL113" s="23"/>
      <c r="AM113" s="23"/>
      <c r="AN113" s="23"/>
      <c r="AO113" s="23"/>
    </row>
    <row r="114" spans="1:41">
      <c r="A114" s="23"/>
      <c r="B114" s="23"/>
      <c r="C114" s="23"/>
      <c r="D114" s="28"/>
      <c r="E114" s="23"/>
      <c r="F114" s="28"/>
      <c r="G114" s="23"/>
      <c r="H114" s="23"/>
      <c r="I114" s="23"/>
      <c r="J114" s="28"/>
      <c r="K114" s="23"/>
      <c r="L114" s="35"/>
      <c r="M114" s="99"/>
      <c r="N114" s="23"/>
      <c r="O114" s="99"/>
      <c r="P114" s="23"/>
      <c r="Q114" s="99"/>
      <c r="R114" s="340"/>
      <c r="S114" s="27"/>
      <c r="T114" s="33"/>
      <c r="U114" s="23"/>
      <c r="V114" s="23"/>
      <c r="W114" s="23"/>
      <c r="X114" s="23"/>
      <c r="Y114" s="23"/>
      <c r="Z114" s="23"/>
      <c r="AA114" s="99"/>
      <c r="AB114" s="23"/>
      <c r="AC114" s="23"/>
      <c r="AD114" s="23"/>
      <c r="AE114" s="23"/>
      <c r="AF114" s="23"/>
      <c r="AG114" s="66"/>
      <c r="AH114" s="268"/>
      <c r="AI114" s="276"/>
      <c r="AJ114" s="99"/>
      <c r="AK114" s="23"/>
      <c r="AL114" s="23"/>
      <c r="AM114" s="23"/>
      <c r="AN114" s="23"/>
      <c r="AO114" s="23"/>
    </row>
    <row r="115" spans="1:41">
      <c r="A115" s="23"/>
      <c r="B115" s="63" t="s">
        <v>19</v>
      </c>
      <c r="C115" s="23"/>
      <c r="D115" s="23"/>
      <c r="E115" s="23"/>
      <c r="F115" s="23"/>
      <c r="G115" s="23"/>
      <c r="H115" s="23"/>
      <c r="I115" s="23"/>
      <c r="J115" s="23"/>
      <c r="K115" s="23"/>
      <c r="L115" s="23"/>
      <c r="M115" s="99"/>
      <c r="N115" s="23"/>
      <c r="O115" s="99"/>
      <c r="P115" s="23"/>
      <c r="Q115" s="99"/>
      <c r="R115" s="93"/>
      <c r="S115" s="23"/>
      <c r="T115" s="264"/>
      <c r="U115" s="23"/>
      <c r="V115" s="23"/>
      <c r="W115" s="23"/>
      <c r="X115" s="23"/>
      <c r="Y115" s="23"/>
      <c r="Z115" s="23"/>
      <c r="AA115" s="99"/>
      <c r="AB115" s="92"/>
      <c r="AC115" s="23"/>
      <c r="AD115" s="93"/>
      <c r="AE115" s="23"/>
      <c r="AF115" s="23"/>
      <c r="AG115" s="66"/>
      <c r="AH115" s="99"/>
      <c r="AI115" s="99"/>
      <c r="AJ115" s="99"/>
      <c r="AK115" s="23"/>
      <c r="AL115" s="23"/>
      <c r="AM115" s="23"/>
      <c r="AN115" s="23"/>
      <c r="AO115" s="23"/>
    </row>
    <row r="116" spans="1:41">
      <c r="A116" s="23" t="str">
        <f>$A$11</f>
        <v>1Q</v>
      </c>
      <c r="B116" s="23" t="str">
        <f>$B$11</f>
        <v>Apr</v>
      </c>
      <c r="C116" s="99"/>
      <c r="D116" s="28">
        <f>'qtrP&amp;L'!BL10</f>
        <v>601.72900000000004</v>
      </c>
      <c r="E116" s="23"/>
      <c r="F116" s="28">
        <f>'qtrP&amp;L'!BL20</f>
        <v>220.27699999999999</v>
      </c>
      <c r="G116" s="23"/>
      <c r="H116" s="28">
        <f>work!BJ10</f>
        <v>274.74200000000002</v>
      </c>
      <c r="I116" s="23"/>
      <c r="J116" s="28">
        <f>AVERAGE(H116,H112)</f>
        <v>323.58199999999999</v>
      </c>
      <c r="K116" s="23"/>
      <c r="L116" s="35">
        <f>(D116/D109-1)*100</f>
        <v>-23.554924860793324</v>
      </c>
      <c r="M116" s="99" t="s">
        <v>76</v>
      </c>
      <c r="N116" s="35">
        <f>(H116/H109-1)*100</f>
        <v>-20.966665516011361</v>
      </c>
      <c r="O116" s="99" t="s">
        <v>76</v>
      </c>
      <c r="P116" s="35">
        <f>(H116/H112-1)*100</f>
        <v>-26.22831089463028</v>
      </c>
      <c r="Q116" s="99" t="s">
        <v>76</v>
      </c>
      <c r="R116" s="33">
        <f>F116/J116</f>
        <v>0.68074552972662261</v>
      </c>
      <c r="S116" s="23" t="s">
        <v>177</v>
      </c>
      <c r="T116" s="33">
        <f>F117/H116</f>
        <v>0.77420270653922585</v>
      </c>
      <c r="U116" s="23"/>
      <c r="V116" s="23">
        <f>qtrSales!J118</f>
        <v>1126</v>
      </c>
      <c r="W116" s="23"/>
      <c r="X116" s="30">
        <f>H116/V116</f>
        <v>0.24399822380106573</v>
      </c>
      <c r="Y116" s="23"/>
      <c r="Z116" s="73">
        <f>(X116/X109-1)*100</f>
        <v>-26.511633033094039</v>
      </c>
      <c r="AA116" s="99" t="s">
        <v>76</v>
      </c>
      <c r="AB116" s="104">
        <f>qtrSales!Z118</f>
        <v>7.7610000000000001</v>
      </c>
      <c r="AC116" s="23"/>
      <c r="AD116" s="109">
        <f>H116/AB116</f>
        <v>35.400335008375208</v>
      </c>
      <c r="AE116" s="23"/>
      <c r="AF116" s="221">
        <f>(AD116/AD109-1)*100</f>
        <v>-24.266085741860131</v>
      </c>
      <c r="AG116" s="66" t="s">
        <v>76</v>
      </c>
      <c r="AH116" s="268">
        <f>((F116+('yrP&amp;L'!$O$21/4))/J116)</f>
        <v>0.85267103856209558</v>
      </c>
      <c r="AI116" s="269" t="s">
        <v>177</v>
      </c>
      <c r="AJ116" s="99"/>
      <c r="AK116" s="137">
        <f>J116/(F116/(365/4))</f>
        <v>134.04421478411274</v>
      </c>
      <c r="AL116" s="23"/>
      <c r="AM116" s="137">
        <f>H116/(F117/(365/4))</f>
        <v>117.86318909668746</v>
      </c>
      <c r="AN116" s="92"/>
      <c r="AO116" s="93">
        <f>(+L117-N116)/100</f>
        <v>-2.5635721660663541E-2</v>
      </c>
    </row>
    <row r="117" spans="1:41">
      <c r="A117" s="23" t="str">
        <f>$A$12</f>
        <v>2Q</v>
      </c>
      <c r="B117" s="23" t="str">
        <f>$B$12</f>
        <v>Jul</v>
      </c>
      <c r="C117" s="23"/>
      <c r="D117" s="29">
        <f>'qtrP&amp;L'!BL11</f>
        <v>637.221</v>
      </c>
      <c r="E117" s="23"/>
      <c r="F117" s="29">
        <f>'qtrP&amp;L'!BL21</f>
        <v>212.70599999999999</v>
      </c>
      <c r="G117" s="23"/>
      <c r="H117" s="75">
        <f>work!BJ11</f>
        <v>325.596</v>
      </c>
      <c r="I117" s="23"/>
      <c r="J117" s="29">
        <f>AVERAGE(H116:H117)</f>
        <v>300.16899999999998</v>
      </c>
      <c r="K117" s="23"/>
      <c r="L117" s="35">
        <f>(D117/D110-1)*100</f>
        <v>-23.530237682077715</v>
      </c>
      <c r="M117" s="99"/>
      <c r="N117" s="35">
        <f>(H117/H110-1)*100</f>
        <v>-30.824633191836526</v>
      </c>
      <c r="O117" s="99"/>
      <c r="P117" s="35">
        <f>(H117/H116-1)*100</f>
        <v>18.509729127690711</v>
      </c>
      <c r="Q117" s="99"/>
      <c r="R117" s="33">
        <f>F117/J117</f>
        <v>0.7086208102768774</v>
      </c>
      <c r="S117" s="23"/>
      <c r="T117" s="33">
        <f>F118/H117</f>
        <v>0.83108207717539517</v>
      </c>
      <c r="U117" s="23"/>
      <c r="V117" s="23">
        <f>qtrSales!J119</f>
        <v>1132</v>
      </c>
      <c r="W117" s="23"/>
      <c r="X117" s="33">
        <f>H117/V117</f>
        <v>0.28762897526501768</v>
      </c>
      <c r="Y117" s="23"/>
      <c r="Z117" s="73">
        <f>(X117/X110-1)*100</f>
        <v>-33.941191237080638</v>
      </c>
      <c r="AA117" s="99"/>
      <c r="AB117" s="104">
        <f>qtrSales!Z119</f>
        <v>7.843</v>
      </c>
      <c r="AC117" s="23"/>
      <c r="AD117" s="110">
        <f>H117/AB117</f>
        <v>41.514216498788727</v>
      </c>
      <c r="AE117" s="23"/>
      <c r="AF117" s="221">
        <f>(AD117/AD110-1)*100</f>
        <v>-32.315215493325702</v>
      </c>
      <c r="AG117" s="66"/>
      <c r="AH117" s="268">
        <f>((F117+('yrP&amp;L'!$O$21/4))/J117)</f>
        <v>0.89395640455876513</v>
      </c>
      <c r="AI117" s="269"/>
      <c r="AJ117" s="99"/>
      <c r="AK117" s="137">
        <f>J117/(F117/(365/4))</f>
        <v>128.77126761821481</v>
      </c>
      <c r="AL117" s="23"/>
      <c r="AM117" s="137">
        <f>H117/(F118/(365/4))</f>
        <v>109.79661637046975</v>
      </c>
      <c r="AN117" s="92"/>
      <c r="AO117" s="93">
        <f>(+L118-N117)/100</f>
        <v>0.1619783311798153</v>
      </c>
    </row>
    <row r="118" spans="1:41">
      <c r="A118" s="23" t="str">
        <f>$A$13</f>
        <v>3Q</v>
      </c>
      <c r="B118" s="23" t="str">
        <f>$B$13</f>
        <v>Oct</v>
      </c>
      <c r="C118" s="23"/>
      <c r="D118" s="29">
        <f>'qtrP&amp;L'!BL12</f>
        <v>753.68399999999997</v>
      </c>
      <c r="E118" s="23"/>
      <c r="F118" s="29">
        <f>'qtrP&amp;L'!BL22</f>
        <v>270.59699999999998</v>
      </c>
      <c r="G118" s="23"/>
      <c r="H118" s="75">
        <f>work!BJ12</f>
        <v>347.18</v>
      </c>
      <c r="I118" s="23"/>
      <c r="J118" s="29">
        <f>AVERAGE(H117:H118)</f>
        <v>336.38800000000003</v>
      </c>
      <c r="K118" s="23"/>
      <c r="L118" s="35">
        <f>(D118/D111-1)*100</f>
        <v>-14.626800073854994</v>
      </c>
      <c r="M118" s="99"/>
      <c r="N118" s="35">
        <f>(H118/H111-1)*100</f>
        <v>-31.237596504640543</v>
      </c>
      <c r="O118" s="99"/>
      <c r="P118" s="35">
        <f>(H118/H117-1)*100</f>
        <v>6.6290740672489745</v>
      </c>
      <c r="Q118" s="99"/>
      <c r="R118" s="33">
        <f>F118/J118</f>
        <v>0.80441930152086272</v>
      </c>
      <c r="S118" s="23"/>
      <c r="T118" s="33">
        <f>F119/H118</f>
        <v>0.98349271271386607</v>
      </c>
      <c r="U118" s="23"/>
      <c r="V118" s="23">
        <f>qtrSales!J120</f>
        <v>1130</v>
      </c>
      <c r="W118" s="23"/>
      <c r="X118" s="33">
        <f>H118/V118</f>
        <v>0.30723893805309738</v>
      </c>
      <c r="Y118" s="23"/>
      <c r="Z118" s="73">
        <f>(X118/X111-1)*100</f>
        <v>-32.6371852483514</v>
      </c>
      <c r="AA118" s="99"/>
      <c r="AB118" s="104">
        <f>qtrSales!Z120</f>
        <v>7.8639999999999999</v>
      </c>
      <c r="AC118" s="23"/>
      <c r="AD118" s="110">
        <f>H118/AB118</f>
        <v>44.14801627670397</v>
      </c>
      <c r="AE118" s="23"/>
      <c r="AF118" s="221">
        <f>(AD118/AD111-1)*100</f>
        <v>-31.290060189911685</v>
      </c>
      <c r="AG118" s="66"/>
      <c r="AH118" s="268">
        <f>((F118+('yrP&amp;L'!$O$21/4))/J118)</f>
        <v>0.96979975504476956</v>
      </c>
      <c r="AI118" s="269"/>
      <c r="AJ118" s="99"/>
      <c r="AK118" s="137">
        <f>J118/(F118/(365/4))</f>
        <v>113.43586588173558</v>
      </c>
      <c r="AL118" s="23"/>
      <c r="AM118" s="137">
        <f>H118/(F119/(365/4))</f>
        <v>92.78157206493502</v>
      </c>
      <c r="AN118" s="92"/>
      <c r="AO118" s="93">
        <f>(+L119-N118)/100</f>
        <v>0.2666810336173504</v>
      </c>
    </row>
    <row r="119" spans="1:41">
      <c r="A119" s="23" t="str">
        <f>$A$14</f>
        <v>4Q</v>
      </c>
      <c r="B119" s="23" t="str">
        <f>$B$14</f>
        <v>Jan</v>
      </c>
      <c r="C119" s="23"/>
      <c r="D119" s="32">
        <f>'qtrP&amp;L'!BL13</f>
        <v>935.99099999999999</v>
      </c>
      <c r="E119" s="23"/>
      <c r="F119" s="32">
        <f>'qtrP&amp;L'!BL23</f>
        <v>341.44900000000001</v>
      </c>
      <c r="G119" s="23"/>
      <c r="H119" s="75">
        <f>work!BJ13</f>
        <v>310.54500000000002</v>
      </c>
      <c r="I119" s="23"/>
      <c r="J119" s="32">
        <f>AVERAGE(H118:H119)</f>
        <v>328.86250000000001</v>
      </c>
      <c r="K119" s="23"/>
      <c r="L119" s="72">
        <f>(D119/D112-1)*100</f>
        <v>-4.5694931429055003</v>
      </c>
      <c r="M119" s="99"/>
      <c r="N119" s="73">
        <f>(H119/H112-1)*100</f>
        <v>-16.61475423041604</v>
      </c>
      <c r="O119" s="99"/>
      <c r="P119" s="35">
        <f>(H119/H118-1)*100</f>
        <v>-10.552163143038197</v>
      </c>
      <c r="Q119" s="99"/>
      <c r="R119" s="33">
        <f>F119/J119</f>
        <v>1.038272834391273</v>
      </c>
      <c r="S119" s="23"/>
      <c r="T119" s="33">
        <f>F123/H119</f>
        <v>0.82560659485742793</v>
      </c>
      <c r="U119" s="23"/>
      <c r="V119" s="23">
        <f>qtrSales!J121</f>
        <v>1096</v>
      </c>
      <c r="W119" s="23"/>
      <c r="X119" s="33">
        <f>H119/V119</f>
        <v>0.28334397810218981</v>
      </c>
      <c r="Y119" s="23"/>
      <c r="Z119" s="73">
        <f>(X119/X112-1)*100</f>
        <v>-14.408392800381421</v>
      </c>
      <c r="AA119" s="99"/>
      <c r="AB119" s="104">
        <f>qtrSales!Z121</f>
        <v>7.8471839999999995</v>
      </c>
      <c r="AC119" s="23"/>
      <c r="AD119" s="110">
        <f>H119/AB119</f>
        <v>39.574068863429233</v>
      </c>
      <c r="AE119" s="23"/>
      <c r="AF119" s="73">
        <f>(AD119/AD112-1)*100</f>
        <v>-14.753267695384388</v>
      </c>
      <c r="AG119" s="66"/>
      <c r="AH119" s="268">
        <f>((F119+('yrP&amp;L'!$O$21/4))/J119)</f>
        <v>1.207437758941807</v>
      </c>
      <c r="AI119" s="276"/>
      <c r="AJ119" s="99"/>
      <c r="AK119" s="137">
        <f>J119/(F119/(365/4))</f>
        <v>87.886340639451277</v>
      </c>
      <c r="AL119" s="23"/>
      <c r="AM119" s="138" t="s">
        <v>251</v>
      </c>
      <c r="AN119" s="92"/>
      <c r="AO119" s="93">
        <f>(+L123-N119)/100</f>
        <v>0.30919366439566665</v>
      </c>
    </row>
    <row r="120" spans="1:41">
      <c r="A120" s="23"/>
      <c r="B120" s="23" t="str">
        <f>$B$15</f>
        <v>Year</v>
      </c>
      <c r="C120" s="23"/>
      <c r="D120" s="28">
        <f>SUM(D116:D119)</f>
        <v>2928.625</v>
      </c>
      <c r="E120" s="23"/>
      <c r="F120" s="28">
        <f>SUM(F116:F119)</f>
        <v>1045.029</v>
      </c>
      <c r="G120" s="23"/>
      <c r="H120" s="23"/>
      <c r="I120" s="23"/>
      <c r="J120" s="28">
        <f>AVERAGE(J116:J119)</f>
        <v>322.25037500000002</v>
      </c>
      <c r="K120" s="23"/>
      <c r="L120" s="35">
        <f>(D120/D113-1)*100</f>
        <v>-15.942104276709589</v>
      </c>
      <c r="M120" s="99"/>
      <c r="N120" s="23"/>
      <c r="O120" s="99"/>
      <c r="P120" s="23"/>
      <c r="Q120" s="99"/>
      <c r="R120" s="74">
        <f>F120/J120</f>
        <v>3.2429101129828006</v>
      </c>
      <c r="S120" s="71" t="s">
        <v>177</v>
      </c>
      <c r="T120" s="33"/>
      <c r="U120" s="23"/>
      <c r="V120" s="23"/>
      <c r="W120" s="23"/>
      <c r="X120" s="23"/>
      <c r="Y120" s="23"/>
      <c r="Z120" s="23"/>
      <c r="AA120" s="99"/>
      <c r="AB120" s="23"/>
      <c r="AC120" s="23"/>
      <c r="AD120" s="23"/>
      <c r="AE120" s="23"/>
      <c r="AF120" s="23"/>
      <c r="AG120" s="66"/>
      <c r="AH120" s="272">
        <f>((F120+('yrP&amp;L'!$O$21))/J120)</f>
        <v>3.9334539176253864</v>
      </c>
      <c r="AI120" s="273" t="s">
        <v>177</v>
      </c>
      <c r="AJ120" s="99"/>
      <c r="AK120" s="23"/>
      <c r="AL120" s="23"/>
      <c r="AM120" s="23"/>
      <c r="AN120" s="23"/>
      <c r="AO120" s="23"/>
    </row>
    <row r="121" spans="1:41">
      <c r="A121" s="23"/>
      <c r="B121" s="23"/>
      <c r="C121" s="23"/>
      <c r="D121" s="23"/>
      <c r="E121" s="23"/>
      <c r="F121" s="23"/>
      <c r="G121" s="23"/>
      <c r="H121" s="23"/>
      <c r="I121" s="23"/>
      <c r="J121" s="23"/>
      <c r="K121" s="23"/>
      <c r="L121" s="23"/>
      <c r="M121" s="23"/>
      <c r="N121" s="23"/>
      <c r="O121" s="23"/>
      <c r="P121" s="23"/>
      <c r="Q121" s="23"/>
      <c r="R121" s="93"/>
      <c r="S121" s="23"/>
      <c r="T121" s="33"/>
      <c r="U121" s="23"/>
      <c r="V121" s="23"/>
      <c r="W121" s="23"/>
      <c r="X121" s="23"/>
      <c r="Y121" s="23"/>
      <c r="Z121" s="23"/>
      <c r="AA121" s="23"/>
      <c r="AB121" s="105"/>
      <c r="AC121" s="23"/>
      <c r="AD121" s="23"/>
      <c r="AE121" s="23"/>
      <c r="AF121" s="23"/>
      <c r="AG121" s="66"/>
      <c r="AH121" s="23"/>
      <c r="AI121" s="23"/>
      <c r="AJ121" s="23"/>
      <c r="AK121" s="23"/>
      <c r="AL121" s="23"/>
      <c r="AM121" s="23"/>
      <c r="AN121" s="23"/>
      <c r="AO121" s="23"/>
    </row>
    <row r="122" spans="1:41">
      <c r="A122" s="23"/>
      <c r="B122" s="63" t="s">
        <v>10</v>
      </c>
      <c r="C122" s="23"/>
      <c r="D122" s="23"/>
      <c r="E122" s="23"/>
      <c r="F122" s="23"/>
      <c r="G122" s="23"/>
      <c r="H122" s="23"/>
      <c r="I122" s="23"/>
      <c r="J122" s="23"/>
      <c r="K122" s="23"/>
      <c r="L122" s="23"/>
      <c r="M122" s="99"/>
      <c r="N122" s="23"/>
      <c r="O122" s="99"/>
      <c r="P122" s="23"/>
      <c r="Q122" s="99"/>
      <c r="R122" s="93"/>
      <c r="S122" s="23"/>
      <c r="T122" s="264"/>
      <c r="U122" s="23"/>
      <c r="V122" s="23"/>
      <c r="W122" s="23"/>
      <c r="X122" s="23"/>
      <c r="Y122" s="23"/>
      <c r="Z122" s="23"/>
      <c r="AA122" s="99"/>
      <c r="AB122" s="92"/>
      <c r="AC122" s="23"/>
      <c r="AD122" s="93"/>
      <c r="AE122" s="23"/>
      <c r="AF122" s="23"/>
      <c r="AG122" s="66"/>
      <c r="AH122" s="99"/>
      <c r="AI122" s="99"/>
      <c r="AJ122" s="99"/>
      <c r="AK122" s="23"/>
      <c r="AL122" s="23"/>
      <c r="AM122" s="23"/>
      <c r="AN122" s="23"/>
      <c r="AO122" s="23"/>
    </row>
    <row r="123" spans="1:41">
      <c r="A123" s="23" t="str">
        <f>$A$11</f>
        <v>1Q</v>
      </c>
      <c r="B123" s="23" t="str">
        <f>$B$11</f>
        <v>Apr</v>
      </c>
      <c r="C123" s="99"/>
      <c r="D123" s="28">
        <f>'qtrP&amp;L'!BP10</f>
        <v>687.80399999999997</v>
      </c>
      <c r="E123" s="23"/>
      <c r="F123" s="28">
        <f>'qtrP&amp;L'!BP20</f>
        <v>256.38799999999998</v>
      </c>
      <c r="G123" s="23"/>
      <c r="H123" s="28">
        <f>work!BN10</f>
        <v>316.447</v>
      </c>
      <c r="I123" s="23"/>
      <c r="J123" s="28">
        <f>AVERAGE(H123,H119)</f>
        <v>313.49599999999998</v>
      </c>
      <c r="K123" s="23"/>
      <c r="L123" s="35">
        <f>(D123/D116-1)*100</f>
        <v>14.304612209150624</v>
      </c>
      <c r="M123" s="99" t="s">
        <v>76</v>
      </c>
      <c r="N123" s="35">
        <f>(H123/H116-1)*100</f>
        <v>15.179695860116027</v>
      </c>
      <c r="O123" s="99" t="s">
        <v>76</v>
      </c>
      <c r="P123" s="35">
        <f>(H123/H119-1)*100</f>
        <v>1.9005297138900978</v>
      </c>
      <c r="Q123" s="99" t="s">
        <v>76</v>
      </c>
      <c r="R123" s="33">
        <f>F123/J123</f>
        <v>0.81783499629979328</v>
      </c>
      <c r="S123" s="23" t="s">
        <v>177</v>
      </c>
      <c r="T123" s="33">
        <f>F124/H123</f>
        <v>0.82304461726608247</v>
      </c>
      <c r="U123" s="23"/>
      <c r="V123" s="23">
        <f>qtrSales!J125</f>
        <v>1100</v>
      </c>
      <c r="W123" s="23"/>
      <c r="X123" s="30">
        <f>H123/V123</f>
        <v>0.28767909090909088</v>
      </c>
      <c r="Y123" s="23"/>
      <c r="Z123" s="73">
        <f>(X123/X116-1)*100</f>
        <v>17.902125034991489</v>
      </c>
      <c r="AA123" s="99" t="s">
        <v>76</v>
      </c>
      <c r="AB123" s="104">
        <f>qtrSales!Z125</f>
        <v>7.875</v>
      </c>
      <c r="AC123" s="23"/>
      <c r="AD123" s="109">
        <f>H123/AB123</f>
        <v>40.183746031746033</v>
      </c>
      <c r="AE123" s="23"/>
      <c r="AF123" s="221">
        <f>(AD123/AD116-1)*100</f>
        <v>13.512332643855318</v>
      </c>
      <c r="AG123" s="66" t="s">
        <v>76</v>
      </c>
      <c r="AH123" s="268">
        <f>((F123+('yrP&amp;L'!$O$21/4))/J123)</f>
        <v>0.99529180595605682</v>
      </c>
      <c r="AI123" s="269" t="s">
        <v>177</v>
      </c>
      <c r="AJ123" s="137"/>
      <c r="AK123" s="137">
        <f>J123/(F123/(365/4))</f>
        <v>111.57507371639859</v>
      </c>
      <c r="AL123" s="23"/>
      <c r="AM123" s="137">
        <f>H123/(F124/(365/4))</f>
        <v>110.86883758878865</v>
      </c>
      <c r="AN123" s="92"/>
      <c r="AO123" s="93">
        <f>(+L124-N123)/100</f>
        <v>1.8594475453900684E-2</v>
      </c>
    </row>
    <row r="124" spans="1:41">
      <c r="A124" s="23" t="str">
        <f>$A$12</f>
        <v>2Q</v>
      </c>
      <c r="B124" s="23" t="str">
        <f>$B$12</f>
        <v>Jul</v>
      </c>
      <c r="C124" s="23"/>
      <c r="D124" s="29">
        <f>'qtrP&amp;L'!BP11</f>
        <v>745.798</v>
      </c>
      <c r="E124" s="23"/>
      <c r="F124" s="29">
        <f>'qtrP&amp;L'!BP21</f>
        <v>260.45</v>
      </c>
      <c r="G124" s="23"/>
      <c r="H124" s="75">
        <f>work!BN11</f>
        <v>480.12799999999999</v>
      </c>
      <c r="I124" s="23"/>
      <c r="J124" s="29">
        <f>AVERAGE(H123:H124)</f>
        <v>398.28750000000002</v>
      </c>
      <c r="K124" s="23"/>
      <c r="L124" s="35">
        <f>(D124/D117-1)*100</f>
        <v>17.039143405506096</v>
      </c>
      <c r="M124" s="99"/>
      <c r="N124" s="35">
        <f>(H124/H117-1)*100</f>
        <v>47.461271022985542</v>
      </c>
      <c r="O124" s="99"/>
      <c r="P124" s="35">
        <f>(H124/H123-1)*100</f>
        <v>51.724617392485953</v>
      </c>
      <c r="Q124" s="99"/>
      <c r="R124" s="33">
        <f>F124/J124</f>
        <v>0.65392461475692798</v>
      </c>
      <c r="S124" s="23"/>
      <c r="T124" s="33">
        <f>F125/H124</f>
        <v>0.6692923553719009</v>
      </c>
      <c r="U124" s="23"/>
      <c r="V124" s="23">
        <f>qtrSales!J126</f>
        <v>1098</v>
      </c>
      <c r="W124" s="23"/>
      <c r="X124" s="33">
        <f>H124/V124</f>
        <v>0.43727504553734059</v>
      </c>
      <c r="Y124" s="23"/>
      <c r="Z124" s="73">
        <f>(X124/X117-1)*100</f>
        <v>52.02746702916177</v>
      </c>
      <c r="AA124" s="99"/>
      <c r="AB124" s="104">
        <f>qtrSales!Z126</f>
        <v>7.8680000000000003</v>
      </c>
      <c r="AC124" s="23"/>
      <c r="AD124" s="110">
        <f>H124/AB124</f>
        <v>61.02287747839349</v>
      </c>
      <c r="AE124" s="23"/>
      <c r="AF124" s="221">
        <f>(AD124/AD117-1)*100</f>
        <v>46.992723517193127</v>
      </c>
      <c r="AG124" s="66"/>
      <c r="AH124" s="268">
        <f>((F124+('yrP&amp;L'!$O$21/4))/J124)</f>
        <v>0.79360261117911046</v>
      </c>
      <c r="AI124" s="269"/>
      <c r="AJ124" s="137"/>
      <c r="AK124" s="137">
        <f>J124/(F124/(365/4))</f>
        <v>139.54207861393743</v>
      </c>
      <c r="AL124" s="23"/>
      <c r="AM124" s="137">
        <f>H124/(F125/(365/4))</f>
        <v>136.33802816901408</v>
      </c>
      <c r="AN124" s="92"/>
      <c r="AO124" s="93">
        <f>(+L125-N124)/100</f>
        <v>-0.29934827579844914</v>
      </c>
    </row>
    <row r="125" spans="1:41">
      <c r="A125" s="23" t="str">
        <f>$A$13</f>
        <v>3Q</v>
      </c>
      <c r="B125" s="23" t="str">
        <f>$B$13</f>
        <v>Oct</v>
      </c>
      <c r="C125" s="23"/>
      <c r="D125" s="29">
        <f>'qtrP&amp;L'!BP12</f>
        <v>885.77800000000002</v>
      </c>
      <c r="E125" s="23"/>
      <c r="F125" s="29">
        <f>'qtrP&amp;L'!BP22</f>
        <v>321.346</v>
      </c>
      <c r="G125" s="23"/>
      <c r="H125" s="75">
        <f>work!BN12</f>
        <v>511.82100000000003</v>
      </c>
      <c r="I125" s="23"/>
      <c r="J125" s="29">
        <f>AVERAGE(H124:H125)</f>
        <v>495.97450000000003</v>
      </c>
      <c r="K125" s="23"/>
      <c r="L125" s="35">
        <f>(D125/D118-1)*100</f>
        <v>17.526443443140629</v>
      </c>
      <c r="M125" s="99"/>
      <c r="N125" s="35">
        <f>(H125/H118-1)*100</f>
        <v>47.422374560746583</v>
      </c>
      <c r="O125" s="99"/>
      <c r="P125" s="35">
        <f>(H125/H124-1)*100</f>
        <v>6.6009480805118814</v>
      </c>
      <c r="Q125" s="99"/>
      <c r="R125" s="33">
        <f>F125/J125</f>
        <v>0.64790830980221759</v>
      </c>
      <c r="S125" s="23"/>
      <c r="T125" s="33">
        <f>F126/H125</f>
        <v>0.81749283440890463</v>
      </c>
      <c r="U125" s="23"/>
      <c r="V125" s="23">
        <f>qtrSales!J127</f>
        <v>1106</v>
      </c>
      <c r="W125" s="23"/>
      <c r="X125" s="33">
        <f>H125/V125</f>
        <v>0.46276763110307417</v>
      </c>
      <c r="Y125" s="23"/>
      <c r="Z125" s="73">
        <f>(X125/X118-1)*100</f>
        <v>50.621413430057551</v>
      </c>
      <c r="AA125" s="99"/>
      <c r="AB125" s="104">
        <f>qtrSales!Z127</f>
        <v>7.94</v>
      </c>
      <c r="AC125" s="23"/>
      <c r="AD125" s="110">
        <f>H125/AB125</f>
        <v>64.461083123425695</v>
      </c>
      <c r="AE125" s="23"/>
      <c r="AF125" s="221">
        <f>(AD125/AD118-1)*100</f>
        <v>46.011278784094614</v>
      </c>
      <c r="AG125" s="66"/>
      <c r="AH125" s="268">
        <f>((F125+('yrP&amp;L'!$O$21/4))/J125)</f>
        <v>0.76007536677792908</v>
      </c>
      <c r="AI125" s="269"/>
      <c r="AJ125" s="137"/>
      <c r="AK125" s="137">
        <f>J125/(F125/(365/4))</f>
        <v>140.83782939572924</v>
      </c>
      <c r="AL125" s="23"/>
      <c r="AM125" s="137">
        <f>H125/(F126/(365/4))</f>
        <v>111.62177349967735</v>
      </c>
      <c r="AN125" s="92"/>
      <c r="AO125" s="93">
        <f>(+L126-N125)/100</f>
        <v>-0.24622475843771752</v>
      </c>
    </row>
    <row r="126" spans="1:41">
      <c r="A126" s="23" t="str">
        <f>$A$14</f>
        <v>4Q</v>
      </c>
      <c r="B126" s="23" t="str">
        <f>$B$14</f>
        <v>Jan</v>
      </c>
      <c r="C126" s="23"/>
      <c r="D126" s="32">
        <f>'qtrP&amp;L'!BP13</f>
        <v>1149.396</v>
      </c>
      <c r="E126" s="23"/>
      <c r="F126" s="32">
        <f>'qtrP&amp;L'!BP23</f>
        <v>418.41</v>
      </c>
      <c r="G126" s="23"/>
      <c r="H126" s="75">
        <f>work!BN13</f>
        <v>385.85700000000003</v>
      </c>
      <c r="I126" s="23"/>
      <c r="J126" s="32">
        <f>AVERAGE(H125:H126)</f>
        <v>448.83900000000006</v>
      </c>
      <c r="K126" s="23"/>
      <c r="L126" s="72">
        <f>(D126/D119-1)*100</f>
        <v>22.79989871697483</v>
      </c>
      <c r="M126" s="99"/>
      <c r="N126" s="73">
        <f>(H126/H119-1)*100</f>
        <v>24.251557745254317</v>
      </c>
      <c r="O126" s="99"/>
      <c r="P126" s="35">
        <f>(H126/H125-1)*100</f>
        <v>-24.610947968137296</v>
      </c>
      <c r="Q126" s="99"/>
      <c r="R126" s="33">
        <f>F126/J126</f>
        <v>0.93220508912995526</v>
      </c>
      <c r="S126" s="23"/>
      <c r="T126" s="33">
        <f>F130/H126</f>
        <v>0.8063557224567649</v>
      </c>
      <c r="U126" s="23"/>
      <c r="V126" s="23">
        <f>qtrSales!J128</f>
        <v>1069</v>
      </c>
      <c r="W126" s="23"/>
      <c r="X126" s="33">
        <f>H126/V126</f>
        <v>0.36095135640785786</v>
      </c>
      <c r="Y126" s="23"/>
      <c r="Z126" s="73">
        <f>(X126/X119-1)*100</f>
        <v>27.389810373057742</v>
      </c>
      <c r="AA126" s="99"/>
      <c r="AB126" s="104">
        <f>qtrSales!Z128</f>
        <v>7.7565140000000001</v>
      </c>
      <c r="AC126" s="23"/>
      <c r="AD126" s="110">
        <f>H126/AB126</f>
        <v>49.746187527025675</v>
      </c>
      <c r="AE126" s="23"/>
      <c r="AF126" s="73">
        <f>(AD126/AD119-1)*100</f>
        <v>25.704000007430604</v>
      </c>
      <c r="AG126" s="66"/>
      <c r="AH126" s="268">
        <f>((F126+('yrP&amp;L'!$O$21/4))/J126)</f>
        <v>1.0561515376337618</v>
      </c>
      <c r="AI126" s="276"/>
      <c r="AJ126" s="137"/>
      <c r="AK126" s="137">
        <f>J126/(F126/(365/4))</f>
        <v>97.886185201118522</v>
      </c>
      <c r="AL126" s="23"/>
      <c r="AM126" s="138" t="s">
        <v>251</v>
      </c>
      <c r="AN126" s="92"/>
      <c r="AO126" s="93">
        <f>(+'qtrP&amp;L'!BU10-N126)/100</f>
        <v>-2.6073102561440464E-2</v>
      </c>
    </row>
    <row r="127" spans="1:41">
      <c r="A127" s="23"/>
      <c r="B127" s="23" t="str">
        <f>$B$15</f>
        <v>Year</v>
      </c>
      <c r="C127" s="23"/>
      <c r="D127" s="28">
        <f>'qtrP&amp;L'!BP14</f>
        <v>3468.7759999999998</v>
      </c>
      <c r="E127" s="23"/>
      <c r="F127" s="28">
        <f>SUM(F123:F126)</f>
        <v>1256.5940000000001</v>
      </c>
      <c r="G127" s="23"/>
      <c r="H127" s="23"/>
      <c r="I127" s="23"/>
      <c r="J127" s="28">
        <f>AVERAGE(J123:J126)</f>
        <v>414.14925000000005</v>
      </c>
      <c r="K127" s="23"/>
      <c r="L127" s="35">
        <f>(D127/D120-1)*100</f>
        <v>18.443843100431078</v>
      </c>
      <c r="M127" s="99"/>
      <c r="N127" s="23"/>
      <c r="O127" s="99"/>
      <c r="P127" s="23"/>
      <c r="Q127" s="99"/>
      <c r="R127" s="74">
        <f>F127/J127</f>
        <v>3.0341573720102111</v>
      </c>
      <c r="S127" s="71" t="s">
        <v>177</v>
      </c>
      <c r="T127" s="33"/>
      <c r="U127" s="23"/>
      <c r="V127" s="23"/>
      <c r="W127" s="23"/>
      <c r="X127" s="23"/>
      <c r="Y127" s="23"/>
      <c r="Z127" s="23"/>
      <c r="AA127" s="99"/>
      <c r="AB127" s="23"/>
      <c r="AC127" s="23"/>
      <c r="AD127" s="23"/>
      <c r="AE127" s="23"/>
      <c r="AF127" s="23"/>
      <c r="AG127" s="66"/>
      <c r="AH127" s="272">
        <f>((F127+('yrP&amp;L'!$O$21))/J127)</f>
        <v>3.5714709129619333</v>
      </c>
      <c r="AI127" s="273" t="s">
        <v>177</v>
      </c>
      <c r="AJ127" s="99"/>
      <c r="AK127" s="23"/>
      <c r="AL127" s="23"/>
      <c r="AM127" s="23"/>
      <c r="AN127" s="23"/>
      <c r="AO127" s="23"/>
    </row>
    <row r="128" spans="1:41">
      <c r="A128" s="23"/>
      <c r="B128" s="23"/>
      <c r="C128" s="23"/>
      <c r="D128" s="23"/>
      <c r="E128" s="23"/>
      <c r="F128" s="23"/>
      <c r="G128" s="23"/>
      <c r="H128" s="23"/>
      <c r="I128" s="23"/>
      <c r="J128" s="23"/>
      <c r="K128" s="23"/>
      <c r="L128" s="23"/>
      <c r="M128" s="23"/>
      <c r="N128" s="23"/>
      <c r="O128" s="23"/>
      <c r="P128" s="23"/>
      <c r="Q128" s="23"/>
      <c r="R128" s="93"/>
      <c r="S128" s="23"/>
      <c r="T128" s="33"/>
      <c r="U128" s="23"/>
      <c r="V128" s="23"/>
      <c r="W128" s="23"/>
      <c r="X128" s="23"/>
      <c r="Y128" s="23"/>
      <c r="Z128" s="23"/>
      <c r="AA128" s="23"/>
      <c r="AB128" s="105"/>
      <c r="AC128" s="23"/>
      <c r="AD128" s="23"/>
      <c r="AE128" s="23"/>
      <c r="AF128" s="23"/>
      <c r="AG128" s="66"/>
      <c r="AH128" s="23"/>
      <c r="AI128" s="23"/>
      <c r="AJ128" s="23"/>
      <c r="AK128" s="23"/>
      <c r="AL128" s="23"/>
      <c r="AM128" s="23"/>
      <c r="AN128" s="23"/>
      <c r="AO128" s="23"/>
    </row>
    <row r="129" spans="1:41">
      <c r="A129" s="23"/>
      <c r="B129" s="63" t="s">
        <v>68</v>
      </c>
      <c r="C129" s="23"/>
      <c r="D129" s="23"/>
      <c r="E129" s="23"/>
      <c r="F129" s="23"/>
      <c r="G129" s="23"/>
      <c r="H129" s="23"/>
      <c r="I129" s="23"/>
      <c r="J129" s="23"/>
      <c r="K129" s="23"/>
      <c r="L129" s="23"/>
      <c r="M129" s="99"/>
      <c r="N129" s="23"/>
      <c r="O129" s="99"/>
      <c r="P129" s="23"/>
      <c r="Q129" s="99"/>
      <c r="R129" s="93"/>
      <c r="S129" s="23"/>
      <c r="T129" s="264"/>
      <c r="U129" s="23"/>
      <c r="V129" s="23"/>
      <c r="W129" s="23"/>
      <c r="X129" s="23"/>
      <c r="Y129" s="23"/>
      <c r="Z129" s="23"/>
      <c r="AA129" s="99"/>
      <c r="AB129" s="92"/>
      <c r="AC129" s="23"/>
      <c r="AD129" s="93"/>
      <c r="AE129" s="23"/>
      <c r="AF129" s="23"/>
      <c r="AG129" s="66"/>
      <c r="AH129" s="99"/>
      <c r="AI129" s="99"/>
      <c r="AJ129" s="99"/>
      <c r="AK129" s="23"/>
      <c r="AL129" s="23"/>
      <c r="AM129" s="23"/>
      <c r="AN129" s="23"/>
      <c r="AO129" s="23"/>
    </row>
    <row r="130" spans="1:41">
      <c r="A130" s="23" t="str">
        <f>$A$11</f>
        <v>1Q</v>
      </c>
      <c r="B130" s="23" t="str">
        <f>$B$11</f>
        <v>Apr</v>
      </c>
      <c r="C130" s="99"/>
      <c r="D130" s="28">
        <f>+'qtrP&amp;L'!BT10</f>
        <v>836.67399999999998</v>
      </c>
      <c r="E130" s="23"/>
      <c r="F130" s="28">
        <f>+'qtrP&amp;L'!BT20</f>
        <v>311.13799999999998</v>
      </c>
      <c r="G130" s="23"/>
      <c r="H130" s="28">
        <f>+work!BR10</f>
        <v>358.37099999999998</v>
      </c>
      <c r="I130" s="23"/>
      <c r="J130" s="28">
        <f>AVERAGE(H130,H126)</f>
        <v>372.11400000000003</v>
      </c>
      <c r="K130" s="23"/>
      <c r="L130" s="35">
        <f>(D130/D123-1)*100</f>
        <v>21.644247489110271</v>
      </c>
      <c r="M130" s="99" t="s">
        <v>76</v>
      </c>
      <c r="N130" s="35">
        <f>(H130/H123-1)*100</f>
        <v>13.248348064604798</v>
      </c>
      <c r="O130" s="99" t="s">
        <v>76</v>
      </c>
      <c r="P130" s="35">
        <f>(H130/H126-1)*100</f>
        <v>-7.1233643551885883</v>
      </c>
      <c r="Q130" s="99" t="s">
        <v>76</v>
      </c>
      <c r="R130" s="33">
        <f>F130/J130</f>
        <v>0.83613623781959279</v>
      </c>
      <c r="S130" s="23" t="s">
        <v>177</v>
      </c>
      <c r="T130" s="33">
        <f>F131/H130</f>
        <v>0.94398821333199401</v>
      </c>
      <c r="U130" s="23"/>
      <c r="V130" s="23">
        <f>qtrSales!J132</f>
        <v>1071</v>
      </c>
      <c r="W130" s="23"/>
      <c r="X130" s="30">
        <f>H130/V130</f>
        <v>0.33461344537815124</v>
      </c>
      <c r="Y130" s="23"/>
      <c r="Z130" s="73">
        <f>(X130/X123-1)*100</f>
        <v>16.314829944972264</v>
      </c>
      <c r="AA130" s="99" t="s">
        <v>76</v>
      </c>
      <c r="AB130" s="104">
        <f>qtrSales!Z132</f>
        <v>7.7380000000000004</v>
      </c>
      <c r="AC130" s="23"/>
      <c r="AD130" s="109">
        <f>H130/AB130</f>
        <v>46.313130007753934</v>
      </c>
      <c r="AE130" s="23"/>
      <c r="AF130" s="221">
        <f>(AD130/AD123-1)*100</f>
        <v>15.253391187485498</v>
      </c>
      <c r="AG130" s="66" t="s">
        <v>76</v>
      </c>
      <c r="AH130" s="268">
        <f>((F130+('yrP&amp;L'!$O$21/4))/J130)</f>
        <v>0.98563880961210804</v>
      </c>
      <c r="AI130" s="269" t="s">
        <v>177</v>
      </c>
      <c r="AJ130" s="137"/>
      <c r="AK130" s="137">
        <f>J130/(F130/(365/4))</f>
        <v>109.1329329750786</v>
      </c>
      <c r="AL130" s="23"/>
      <c r="AM130" s="137">
        <f>H130/(F131/(365/4))</f>
        <v>96.664342532323573</v>
      </c>
      <c r="AN130" s="92"/>
      <c r="AO130" s="93">
        <f>(+L131-N130)/100</f>
        <v>9.6754194971210308E-2</v>
      </c>
    </row>
    <row r="131" spans="1:41">
      <c r="A131" s="23" t="str">
        <f>$A$12</f>
        <v>2Q</v>
      </c>
      <c r="B131" s="23" t="str">
        <f>$B$12</f>
        <v>Jul</v>
      </c>
      <c r="C131" s="23"/>
      <c r="D131" s="29">
        <f>+'qtrP&amp;L'!BT11</f>
        <v>916.76300000000003</v>
      </c>
      <c r="E131" s="23"/>
      <c r="F131" s="29">
        <f>+'qtrP&amp;L'!BT21</f>
        <v>338.298</v>
      </c>
      <c r="G131" s="23"/>
      <c r="H131" s="75">
        <f>+work!BR11</f>
        <v>516.12800000000004</v>
      </c>
      <c r="I131" s="23"/>
      <c r="J131" s="29">
        <f>AVERAGE(H130:H131)</f>
        <v>437.24950000000001</v>
      </c>
      <c r="K131" s="23"/>
      <c r="L131" s="35">
        <f>(D131/D124-1)*100</f>
        <v>22.923767561725828</v>
      </c>
      <c r="M131" s="99"/>
      <c r="N131" s="35">
        <f>(H131/H124-1)*100</f>
        <v>7.4980005331911626</v>
      </c>
      <c r="O131" s="99"/>
      <c r="P131" s="35">
        <f>(H131/H130-1)*100</f>
        <v>44.020582022540907</v>
      </c>
      <c r="Q131" s="99"/>
      <c r="R131" s="33">
        <f>F131/J131</f>
        <v>0.77369556740487977</v>
      </c>
      <c r="S131" s="23"/>
      <c r="T131" s="33">
        <f>F132/H131</f>
        <v>0.81298050096100183</v>
      </c>
      <c r="U131" s="23"/>
      <c r="V131" s="23">
        <f>qtrSales!J133</f>
        <v>1073</v>
      </c>
      <c r="W131" s="23"/>
      <c r="X131" s="33">
        <f>H131/V131</f>
        <v>0.48101397949673813</v>
      </c>
      <c r="Y131" s="23"/>
      <c r="Z131" s="73">
        <f>(X131/X124-1)*100</f>
        <v>10.00261377953764</v>
      </c>
      <c r="AA131" s="99"/>
      <c r="AB131" s="104">
        <f>qtrSales!Z133</f>
        <v>7.8010000000000002</v>
      </c>
      <c r="AC131" s="23"/>
      <c r="AD131" s="110">
        <f>H131/AB131</f>
        <v>66.161774131521611</v>
      </c>
      <c r="AE131" s="23"/>
      <c r="AF131" s="221">
        <f>(AD131/AD124-1)*100</f>
        <v>8.4212624272719019</v>
      </c>
      <c r="AG131" s="66"/>
      <c r="AH131" s="268">
        <f>((F131+('yrP&amp;L'!$O$21/4))/J131)</f>
        <v>0.90092727378762005</v>
      </c>
      <c r="AI131" s="269"/>
      <c r="AJ131" s="137"/>
      <c r="AK131" s="137">
        <f>J131/(F131/(365/4))</f>
        <v>117.94044562781926</v>
      </c>
      <c r="AL131" s="23"/>
      <c r="AM131" s="137">
        <f>H131/(F132/(365/4))</f>
        <v>112.24131438839663</v>
      </c>
      <c r="AN131" s="92"/>
      <c r="AO131" s="93">
        <f>(+L132-N131)/100</f>
        <v>0.13960875167040718</v>
      </c>
    </row>
    <row r="132" spans="1:41">
      <c r="A132" s="23" t="str">
        <f>$A$13</f>
        <v>3Q</v>
      </c>
      <c r="B132" s="23" t="str">
        <f>$B$13</f>
        <v>Oct</v>
      </c>
      <c r="C132" s="23"/>
      <c r="D132" s="29">
        <f>+'qtrP&amp;L'!BT12</f>
        <v>1075.856</v>
      </c>
      <c r="E132" s="23"/>
      <c r="F132" s="29">
        <f>+'qtrP&amp;L'!BT22</f>
        <v>419.60199999999998</v>
      </c>
      <c r="G132" s="23"/>
      <c r="H132" s="75">
        <f>+work!BR12</f>
        <v>679.34100000000001</v>
      </c>
      <c r="I132" s="23"/>
      <c r="J132" s="29">
        <f>AVERAGE(H131:H132)</f>
        <v>597.73450000000003</v>
      </c>
      <c r="K132" s="23"/>
      <c r="L132" s="35">
        <f>(D132/D125-1)*100</f>
        <v>21.458875700231882</v>
      </c>
      <c r="M132" s="99"/>
      <c r="N132" s="35">
        <f>(H132/H125-1)*100</f>
        <v>32.730192782242227</v>
      </c>
      <c r="O132" s="99"/>
      <c r="P132" s="35">
        <f>(H132/H131-1)*100</f>
        <v>31.622581995163991</v>
      </c>
      <c r="Q132" s="99"/>
      <c r="R132" s="33">
        <f>F132/J132</f>
        <v>0.70198725353815106</v>
      </c>
      <c r="S132" s="23"/>
      <c r="T132" s="33">
        <f>F133/H132</f>
        <v>0.793115681226365</v>
      </c>
      <c r="U132" s="23"/>
      <c r="V132" s="23">
        <f>qtrSales!J134</f>
        <v>1092</v>
      </c>
      <c r="W132" s="23"/>
      <c r="X132" s="33">
        <f>H132/V132</f>
        <v>0.62210714285714286</v>
      </c>
      <c r="Y132" s="23"/>
      <c r="Z132" s="73">
        <f>(X132/X125-1)*100</f>
        <v>34.431861920476095</v>
      </c>
      <c r="AA132" s="99"/>
      <c r="AB132" s="104">
        <f>qtrSales!Z134</f>
        <v>7.9669999999999996</v>
      </c>
      <c r="AC132" s="23"/>
      <c r="AD132" s="110">
        <f>H132/AB132</f>
        <v>85.269361114597714</v>
      </c>
      <c r="AE132" s="23"/>
      <c r="AF132" s="221">
        <f>(AD132/AD125-1)*100</f>
        <v>32.280372874482644</v>
      </c>
      <c r="AG132" s="66"/>
      <c r="AH132" s="268">
        <f>((F132+('yrP&amp;L'!$O$21/4))/J132)</f>
        <v>0.79505867571639244</v>
      </c>
      <c r="AI132" s="269"/>
      <c r="AJ132" s="137"/>
      <c r="AK132" s="137">
        <f>J132/(F132/(365/4))</f>
        <v>129.98811522585689</v>
      </c>
      <c r="AL132" s="23"/>
      <c r="AM132" s="137">
        <f>H132/(F133/(365/4))</f>
        <v>115.05257323736627</v>
      </c>
      <c r="AN132" s="92"/>
      <c r="AO132" s="93">
        <f>(+L133-N132)/100</f>
        <v>-0.17124692154086205</v>
      </c>
    </row>
    <row r="133" spans="1:41">
      <c r="A133" s="23" t="str">
        <f>$A$14</f>
        <v>4Q</v>
      </c>
      <c r="B133" s="23" t="str">
        <f>$B$14</f>
        <v>Jan</v>
      </c>
      <c r="C133" s="23"/>
      <c r="D133" s="32">
        <f>+'qtrP&amp;L'!BT13</f>
        <v>1328.7650000000001</v>
      </c>
      <c r="E133" s="23"/>
      <c r="F133" s="32">
        <f>+'qtrP&amp;L'!BT23</f>
        <v>538.79600000000005</v>
      </c>
      <c r="G133" s="23"/>
      <c r="H133" s="75">
        <f>+bal!AM12</f>
        <v>679.93499999999995</v>
      </c>
      <c r="I133" s="23"/>
      <c r="J133" s="32">
        <f>AVERAGE(H132:H133)</f>
        <v>679.63799999999992</v>
      </c>
      <c r="K133" s="23"/>
      <c r="L133" s="72">
        <f>(D133/D126-1)*100</f>
        <v>15.605500628156022</v>
      </c>
      <c r="M133" s="99"/>
      <c r="N133" s="73">
        <f>(H133/H126-1)*100</f>
        <v>76.214245173730149</v>
      </c>
      <c r="O133" s="99"/>
      <c r="P133" s="35">
        <f>(H133/H132-1)*100</f>
        <v>8.7437678573776267E-2</v>
      </c>
      <c r="Q133" s="99"/>
      <c r="R133" s="33">
        <f>F133/J133</f>
        <v>0.79276909178121313</v>
      </c>
      <c r="S133" s="23"/>
      <c r="T133" s="33">
        <f>F137/H133</f>
        <v>0.55906226330458064</v>
      </c>
      <c r="U133" s="23"/>
      <c r="V133" s="23">
        <f>qtrSales!J135</f>
        <v>1040</v>
      </c>
      <c r="W133" s="23"/>
      <c r="X133" s="33">
        <f>H133/V133</f>
        <v>0.65378365384615378</v>
      </c>
      <c r="Y133" s="23"/>
      <c r="Z133" s="73">
        <f>(X133/X126-1)*100</f>
        <v>81.127911625689904</v>
      </c>
      <c r="AA133" s="99"/>
      <c r="AB133" s="104">
        <f>qtrSales!Z135</f>
        <v>7.742534</v>
      </c>
      <c r="AC133" s="23"/>
      <c r="AD133" s="110">
        <f>H133/AB133</f>
        <v>87.818148425308806</v>
      </c>
      <c r="AE133" s="23"/>
      <c r="AF133" s="595">
        <f>(AD133/AD126-1)*100</f>
        <v>76.532419449429611</v>
      </c>
      <c r="AG133" s="66"/>
      <c r="AH133" s="268">
        <f>((F133+('yrP&amp;L'!$O$21/4))/J133)</f>
        <v>0.87462443241843457</v>
      </c>
      <c r="AI133" s="276"/>
      <c r="AJ133" s="137"/>
      <c r="AK133" s="137">
        <f>J133/(F133/(365/4))</f>
        <v>115.10287288695534</v>
      </c>
      <c r="AL133" s="23"/>
      <c r="AM133" s="138" t="s">
        <v>251</v>
      </c>
      <c r="AN133" s="92"/>
      <c r="AO133" s="93">
        <f>(+'qtrP&amp;L'!BU17-N133)/100</f>
        <v>-0.76214245173730144</v>
      </c>
    </row>
    <row r="134" spans="1:41">
      <c r="A134" s="23"/>
      <c r="B134" s="23" t="str">
        <f>$B$15</f>
        <v>Year</v>
      </c>
      <c r="C134" s="23"/>
      <c r="D134" s="28">
        <f>+'qtrP&amp;L'!BT14</f>
        <v>4158.058</v>
      </c>
      <c r="E134" s="23"/>
      <c r="F134" s="28">
        <f>+'qtrP&amp;L'!BT24</f>
        <v>1607.8340000000001</v>
      </c>
      <c r="G134" s="23"/>
      <c r="H134" s="23"/>
      <c r="I134" s="23"/>
      <c r="J134" s="28">
        <f>AVERAGE(J130:J133)</f>
        <v>521.68399999999997</v>
      </c>
      <c r="K134" s="23"/>
      <c r="L134" s="35">
        <f>(D134/D127-1)*100</f>
        <v>19.871043849473136</v>
      </c>
      <c r="M134" s="99"/>
      <c r="N134" s="23"/>
      <c r="O134" s="99"/>
      <c r="P134" s="23"/>
      <c r="Q134" s="99"/>
      <c r="R134" s="74">
        <f>F134/J134</f>
        <v>3.0820074987923727</v>
      </c>
      <c r="S134" s="71" t="s">
        <v>177</v>
      </c>
      <c r="T134" s="33"/>
      <c r="U134" s="23"/>
      <c r="V134" s="23"/>
      <c r="W134" s="23"/>
      <c r="X134" s="23"/>
      <c r="Y134" s="23"/>
      <c r="Z134" s="23"/>
      <c r="AA134" s="99"/>
      <c r="AB134" s="23"/>
      <c r="AC134" s="23"/>
      <c r="AD134" s="23"/>
      <c r="AE134" s="23"/>
      <c r="AF134" s="23"/>
      <c r="AG134" s="66"/>
      <c r="AH134" s="272">
        <f>((F134+('yrP&amp;L'!$O$21))/J134)</f>
        <v>3.5085645716564056</v>
      </c>
      <c r="AI134" s="273" t="s">
        <v>177</v>
      </c>
      <c r="AJ134" s="99"/>
      <c r="AK134" s="23"/>
      <c r="AL134" s="23"/>
      <c r="AM134" s="23"/>
      <c r="AN134" s="23"/>
      <c r="AO134" s="23"/>
    </row>
    <row r="135" spans="1:41">
      <c r="A135" s="23"/>
      <c r="B135" s="23"/>
      <c r="C135" s="23"/>
      <c r="D135" s="28"/>
      <c r="E135" s="23"/>
      <c r="F135" s="28"/>
      <c r="G135" s="23"/>
      <c r="H135" s="23"/>
      <c r="I135" s="23"/>
      <c r="J135" s="28"/>
      <c r="K135" s="23"/>
      <c r="L135" s="35"/>
      <c r="M135" s="99"/>
      <c r="N135" s="23"/>
      <c r="O135" s="99"/>
      <c r="P135" s="23"/>
      <c r="Q135" s="99"/>
      <c r="R135" s="340"/>
      <c r="S135" s="27"/>
      <c r="T135" s="33"/>
      <c r="U135" s="23"/>
      <c r="V135" s="23"/>
      <c r="W135" s="23"/>
      <c r="X135" s="23"/>
      <c r="Y135" s="23"/>
      <c r="Z135" s="23"/>
      <c r="AA135" s="99"/>
      <c r="AB135" s="23"/>
      <c r="AC135" s="23"/>
      <c r="AD135" s="23"/>
      <c r="AE135" s="23"/>
      <c r="AF135" s="23"/>
      <c r="AG135" s="66"/>
      <c r="AH135" s="268"/>
      <c r="AI135" s="276"/>
      <c r="AJ135" s="99"/>
      <c r="AK135" s="23"/>
      <c r="AL135" s="23"/>
      <c r="AM135" s="23"/>
      <c r="AN135" s="23"/>
      <c r="AO135" s="23"/>
    </row>
    <row r="136" spans="1:41">
      <c r="A136" s="116"/>
      <c r="B136" s="63" t="s">
        <v>552</v>
      </c>
      <c r="C136" s="116"/>
      <c r="D136" s="116"/>
      <c r="E136" s="116"/>
      <c r="F136" s="116"/>
      <c r="G136" s="116"/>
      <c r="H136" s="116"/>
      <c r="I136" s="116"/>
      <c r="J136" s="116"/>
      <c r="K136" s="116"/>
      <c r="L136" s="116"/>
      <c r="M136" s="258"/>
      <c r="N136" s="116"/>
      <c r="O136" s="258"/>
      <c r="P136" s="116"/>
      <c r="Q136" s="258"/>
      <c r="R136" s="336"/>
      <c r="S136" s="116"/>
      <c r="T136" s="597"/>
      <c r="U136" s="116"/>
      <c r="V136" s="116"/>
      <c r="W136" s="116"/>
      <c r="X136" s="116"/>
      <c r="Y136" s="116"/>
      <c r="Z136" s="116"/>
      <c r="AA136" s="258"/>
      <c r="AB136" s="220"/>
      <c r="AC136" s="116"/>
      <c r="AD136" s="336"/>
      <c r="AE136" s="116"/>
      <c r="AF136" s="220"/>
      <c r="AG136" s="277"/>
      <c r="AH136" s="258"/>
      <c r="AI136" s="258"/>
      <c r="AJ136" s="258"/>
      <c r="AK136" s="116"/>
      <c r="AL136" s="116"/>
      <c r="AM136" s="116"/>
      <c r="AN136" s="116"/>
      <c r="AO136" s="116"/>
    </row>
    <row r="137" spans="1:41">
      <c r="A137" s="116" t="str">
        <f>$A$11</f>
        <v>1Q</v>
      </c>
      <c r="B137" s="116" t="str">
        <f>$B$11</f>
        <v>Apr</v>
      </c>
      <c r="C137" s="258"/>
      <c r="D137" s="319">
        <f>+'qtrP&amp;L'!BX10</f>
        <v>921.21799999999996</v>
      </c>
      <c r="E137" s="116"/>
      <c r="F137" s="319">
        <f>+'qtrP&amp;L'!BX20</f>
        <v>380.12599999999998</v>
      </c>
      <c r="G137" s="116"/>
      <c r="H137" s="28">
        <f>work!BV10</f>
        <v>517.56399999999996</v>
      </c>
      <c r="I137" s="116"/>
      <c r="J137" s="319">
        <f>AVERAGE(H137,H133)</f>
        <v>598.7494999999999</v>
      </c>
      <c r="K137" s="116"/>
      <c r="L137" s="599">
        <f>(D137/D130-1)*100</f>
        <v>10.104771990046292</v>
      </c>
      <c r="M137" s="258" t="s">
        <v>76</v>
      </c>
      <c r="N137" s="599">
        <f>(H137/H130-1)*100</f>
        <v>44.421284088277233</v>
      </c>
      <c r="O137" s="258" t="s">
        <v>76</v>
      </c>
      <c r="P137" s="599">
        <f>(H137/H133-1)*100</f>
        <v>-23.880370917808325</v>
      </c>
      <c r="Q137" s="258" t="s">
        <v>76</v>
      </c>
      <c r="R137" s="321">
        <f>F137/J137</f>
        <v>0.63486650093235997</v>
      </c>
      <c r="S137" s="116" t="s">
        <v>177</v>
      </c>
      <c r="T137" s="33">
        <f>F141/H137</f>
        <v>3.2732106560734522</v>
      </c>
      <c r="U137" s="23"/>
      <c r="V137" s="23">
        <f>qtrSales!J139</f>
        <v>1049</v>
      </c>
      <c r="W137" s="23"/>
      <c r="X137" s="33">
        <f>H137/V137</f>
        <v>0.49338798856053379</v>
      </c>
      <c r="Y137" s="23"/>
      <c r="Z137" s="73">
        <f>(X137/X130-1)*100</f>
        <v>47.450138473350712</v>
      </c>
      <c r="AA137" s="99"/>
      <c r="AB137" s="104">
        <f>qtrSales!Z139</f>
        <v>7.84</v>
      </c>
      <c r="AC137" s="23"/>
      <c r="AD137" s="110">
        <f>H137/AB137</f>
        <v>66.015816326530611</v>
      </c>
      <c r="AE137" s="23"/>
      <c r="AF137" s="595">
        <f>(AD137/AD130-1)*100</f>
        <v>42.542333708557308</v>
      </c>
      <c r="AG137" s="277" t="s">
        <v>76</v>
      </c>
      <c r="AH137" s="600">
        <f>((F137+('yrP&amp;L'!$W$21/4))/J137)</f>
        <v>0.81477855096329943</v>
      </c>
      <c r="AI137" s="601" t="s">
        <v>177</v>
      </c>
      <c r="AJ137" s="602"/>
      <c r="AK137" s="602">
        <f>J137/(F137/(365/4))</f>
        <v>143.73100465372008</v>
      </c>
      <c r="AL137" s="116"/>
      <c r="AM137" s="602">
        <f>H137/(F138/(365/4))</f>
        <v>131.56964920491646</v>
      </c>
      <c r="AN137" s="220"/>
      <c r="AO137" s="336">
        <f>(+L138-N137)/100</f>
        <v>-0.40642335766846283</v>
      </c>
    </row>
    <row r="138" spans="1:41">
      <c r="A138" s="116" t="str">
        <f>$A$12</f>
        <v>2Q</v>
      </c>
      <c r="B138" s="116" t="str">
        <f>$B$12</f>
        <v>Jul</v>
      </c>
      <c r="C138" s="116"/>
      <c r="D138" s="320">
        <f>+'qtrP&amp;L'!BX11</f>
        <v>951.40700000000004</v>
      </c>
      <c r="E138" s="116"/>
      <c r="F138" s="320">
        <f>+'qtrP&amp;L'!BX21</f>
        <v>358.95600000000002</v>
      </c>
      <c r="G138" s="116"/>
      <c r="H138" s="28">
        <f>work!BV11</f>
        <v>694.2</v>
      </c>
      <c r="I138" s="116"/>
      <c r="J138" s="320">
        <f>AVERAGE(H137:H138)</f>
        <v>605.88200000000006</v>
      </c>
      <c r="K138" s="116"/>
      <c r="L138" s="599">
        <f>(D138/D131-1)*100</f>
        <v>3.7789483214309527</v>
      </c>
      <c r="M138" s="258"/>
      <c r="N138" s="599">
        <f>(H138/H131-1)*100</f>
        <v>34.501519003037998</v>
      </c>
      <c r="O138" s="258"/>
      <c r="P138" s="599">
        <f>(H138/H137-1)*100</f>
        <v>34.128339683594703</v>
      </c>
      <c r="Q138" s="258"/>
      <c r="R138" s="321">
        <f>F138/J138</f>
        <v>0.59245199560310424</v>
      </c>
      <c r="S138" s="116"/>
      <c r="T138" s="321">
        <f>F139/H138</f>
        <v>0.60088591184096796</v>
      </c>
      <c r="U138" s="116"/>
      <c r="V138" s="116">
        <f>qtrSales!J140</f>
        <v>1055</v>
      </c>
      <c r="W138" s="116"/>
      <c r="X138" s="321">
        <f>H138/V138</f>
        <v>0.65800947867298587</v>
      </c>
      <c r="Y138" s="116"/>
      <c r="Z138" s="595">
        <f>(X138/X131-1)*100</f>
        <v>36.796331649535354</v>
      </c>
      <c r="AA138" s="258"/>
      <c r="AB138" s="235">
        <f>qtrSales!Z140</f>
        <v>7.9</v>
      </c>
      <c r="AC138" s="116"/>
      <c r="AD138" s="110">
        <f>H138/AB138</f>
        <v>87.87341772151899</v>
      </c>
      <c r="AE138" s="23"/>
      <c r="AF138" s="595">
        <f>(AD138/AD131-1)*100</f>
        <v>32.815993638316378</v>
      </c>
      <c r="AG138" s="277"/>
      <c r="AH138" s="600">
        <f>((F138+('yrP&amp;L'!$W$21/4))/J138)</f>
        <v>0.77024610402685667</v>
      </c>
      <c r="AI138" s="601"/>
      <c r="AJ138" s="602"/>
      <c r="AK138" s="602">
        <f>J138/(F138/(365/4))</f>
        <v>154.02091760550041</v>
      </c>
      <c r="AL138" s="116"/>
      <c r="AM138" s="602">
        <f>H138/(F139/(365/4))</f>
        <v>151.85911035995542</v>
      </c>
      <c r="AN138" s="220"/>
      <c r="AO138" s="336">
        <f>(+L139-N138)/100</f>
        <v>-0.25783530722078468</v>
      </c>
    </row>
    <row r="139" spans="1:41">
      <c r="A139" s="116" t="str">
        <f>$A$13</f>
        <v>3Q</v>
      </c>
      <c r="B139" s="116" t="str">
        <f>$B$13</f>
        <v>Oct</v>
      </c>
      <c r="C139" s="116"/>
      <c r="D139" s="320">
        <f>+'qtrP&amp;L'!BX12</f>
        <v>1169.6489999999999</v>
      </c>
      <c r="E139" s="116"/>
      <c r="F139" s="320">
        <f>+'qtrP&amp;L'!BX22</f>
        <v>417.13499999999999</v>
      </c>
      <c r="G139" s="116"/>
      <c r="H139" s="319">
        <f>work!BV12</f>
        <v>629.95699999999999</v>
      </c>
      <c r="I139" s="116"/>
      <c r="J139" s="320">
        <f>AVERAGE(H138:H139)</f>
        <v>662.07850000000008</v>
      </c>
      <c r="K139" s="116"/>
      <c r="L139" s="599">
        <f>(D139/D132-1)*100</f>
        <v>8.7179882809595313</v>
      </c>
      <c r="M139" s="258"/>
      <c r="N139" s="599">
        <f>(H139/H132-1)*100</f>
        <v>-7.2693978429095303</v>
      </c>
      <c r="O139" s="258"/>
      <c r="P139" s="599">
        <f>(H139/H138-1)*100</f>
        <v>-9.2542494958225419</v>
      </c>
      <c r="Q139" s="258"/>
      <c r="R139" s="321">
        <f>F139/J139</f>
        <v>0.630038583038114</v>
      </c>
      <c r="S139" s="116"/>
      <c r="T139" s="321">
        <f>F140/H139</f>
        <v>0.85383446806686814</v>
      </c>
      <c r="U139" s="116"/>
      <c r="V139" s="116">
        <f>qtrSales!J141</f>
        <v>1058</v>
      </c>
      <c r="W139" s="116"/>
      <c r="X139" s="321">
        <f>H139/V139</f>
        <v>0.59542249527410207</v>
      </c>
      <c r="Y139" s="116"/>
      <c r="Z139" s="595">
        <f>(X139/X132-1)*100</f>
        <v>-4.2893973955172022</v>
      </c>
      <c r="AA139" s="258"/>
      <c r="AB139" s="235">
        <f>qtrSales!Z141</f>
        <v>8.0410000000000004</v>
      </c>
      <c r="AC139" s="116"/>
      <c r="AD139" s="110">
        <f>H139/AB139</f>
        <v>78.343116527795047</v>
      </c>
      <c r="AE139" s="116"/>
      <c r="AF139" s="595">
        <f>(AD139/AD132-1)*100</f>
        <v>-8.1227823174306995</v>
      </c>
      <c r="AG139" s="277"/>
      <c r="AH139" s="600">
        <f>((F139+('yrP&amp;L'!$W$21/4))/J139)</f>
        <v>0.79274172171426793</v>
      </c>
      <c r="AI139" s="601"/>
      <c r="AJ139" s="602"/>
      <c r="AK139" s="602">
        <f>J139/(F139/(365/4))</f>
        <v>144.83239988253206</v>
      </c>
      <c r="AL139" s="116"/>
      <c r="AM139" s="602">
        <f>H139/(F140/(365/4))</f>
        <v>106.87083200868597</v>
      </c>
      <c r="AN139" s="220"/>
      <c r="AO139" s="336">
        <f>(+L140-N139)/100</f>
        <v>0.17787886815752729</v>
      </c>
    </row>
    <row r="140" spans="1:41">
      <c r="A140" s="116" t="str">
        <f>$A$14</f>
        <v>4Q</v>
      </c>
      <c r="B140" s="116" t="str">
        <f>$B$14</f>
        <v>Jan</v>
      </c>
      <c r="C140" s="116"/>
      <c r="D140" s="279">
        <f>+'qtrP&amp;L'!BX13</f>
        <v>1468.5309999999999</v>
      </c>
      <c r="E140" s="116"/>
      <c r="F140" s="279">
        <f>+'qtrP&amp;L'!BX23</f>
        <v>537.87900000000002</v>
      </c>
      <c r="G140" s="116"/>
      <c r="H140" s="319">
        <f>work!BV13</f>
        <v>426.96199999999999</v>
      </c>
      <c r="I140" s="116"/>
      <c r="J140" s="279">
        <f>AVERAGE(H139:H140)</f>
        <v>528.45949999999993</v>
      </c>
      <c r="K140" s="116"/>
      <c r="L140" s="603">
        <f>(D140/D133-1)*100</f>
        <v>10.518488972843198</v>
      </c>
      <c r="M140" s="258"/>
      <c r="N140" s="595">
        <f>(H140/H133-1)*100</f>
        <v>-37.205468169751519</v>
      </c>
      <c r="O140" s="258"/>
      <c r="P140" s="599">
        <f>(H140/H139-1)*100</f>
        <v>-32.223627961908505</v>
      </c>
      <c r="Q140" s="258"/>
      <c r="R140" s="321">
        <f>F140/J140</f>
        <v>1.017824450123425</v>
      </c>
      <c r="S140" s="116"/>
      <c r="T140" s="604" t="s">
        <v>251</v>
      </c>
      <c r="U140" s="116"/>
      <c r="V140" s="116">
        <f>qtrSales!J142</f>
        <v>1044</v>
      </c>
      <c r="W140" s="116"/>
      <c r="X140" s="321">
        <f>H140/V140</f>
        <v>0.40896743295019156</v>
      </c>
      <c r="Y140" s="116"/>
      <c r="Z140" s="595">
        <f>(X140/X133-1)*100</f>
        <v>-37.446060245729484</v>
      </c>
      <c r="AA140" s="258"/>
      <c r="AB140" s="235">
        <f>qtrSales!Z142</f>
        <v>7.9580000000000002</v>
      </c>
      <c r="AC140" s="116"/>
      <c r="AD140" s="322">
        <f>H140/AB140</f>
        <v>53.651922593616483</v>
      </c>
      <c r="AE140" s="116"/>
      <c r="AF140" s="595">
        <f>(AD140/AD133-1)*100</f>
        <v>-38.905654974895562</v>
      </c>
      <c r="AG140" s="277"/>
      <c r="AH140" s="600">
        <f>((F140+('yrP&amp;L'!$W$21/4))/J140)</f>
        <v>1.2216664663990338</v>
      </c>
      <c r="AI140" s="605"/>
      <c r="AJ140" s="602"/>
      <c r="AK140" s="602">
        <f>J140/(F140/(365/4))</f>
        <v>89.652002355548362</v>
      </c>
      <c r="AL140" s="116"/>
      <c r="AM140" s="606" t="s">
        <v>251</v>
      </c>
      <c r="AN140" s="220"/>
      <c r="AO140" s="336">
        <f>(+'qtrP&amp;L'!BU24-N140)/100</f>
        <v>0.98537561180479116</v>
      </c>
    </row>
    <row r="141" spans="1:41">
      <c r="A141" s="116"/>
      <c r="B141" s="116" t="str">
        <f>$B$15</f>
        <v>Year</v>
      </c>
      <c r="C141" s="116"/>
      <c r="D141" s="319">
        <f>+'qtrP&amp;L'!BX14</f>
        <v>4510.8050000000003</v>
      </c>
      <c r="E141" s="116"/>
      <c r="F141" s="319">
        <f>+'qtrP&amp;L'!BX24</f>
        <v>1694.096</v>
      </c>
      <c r="G141" s="116"/>
      <c r="H141" s="116"/>
      <c r="I141" s="116"/>
      <c r="J141" s="319">
        <f>AVERAGE(J137:J140)</f>
        <v>598.79237499999999</v>
      </c>
      <c r="K141" s="116"/>
      <c r="L141" s="599">
        <f>(D141/D134-1)*100</f>
        <v>8.48345549773477</v>
      </c>
      <c r="M141" s="258"/>
      <c r="N141" s="116"/>
      <c r="O141" s="258"/>
      <c r="P141" s="116"/>
      <c r="Q141" s="258"/>
      <c r="R141" s="607">
        <f>F141/J141</f>
        <v>2.8291876629190544</v>
      </c>
      <c r="S141" s="608" t="s">
        <v>177</v>
      </c>
      <c r="T141" s="321"/>
      <c r="U141" s="116"/>
      <c r="V141" s="116"/>
      <c r="W141" s="116"/>
      <c r="X141" s="116"/>
      <c r="Y141" s="116"/>
      <c r="Z141" s="116"/>
      <c r="AA141" s="258"/>
      <c r="AB141" s="116"/>
      <c r="AC141" s="116"/>
      <c r="AD141" s="116"/>
      <c r="AE141" s="116"/>
      <c r="AF141" s="116"/>
      <c r="AG141" s="277"/>
      <c r="AH141" s="609">
        <f>((F141+('yrP&amp;L'!$W$21))/J141)</f>
        <v>3.5487843344698571</v>
      </c>
      <c r="AI141" s="610" t="s">
        <v>177</v>
      </c>
      <c r="AJ141" s="258"/>
      <c r="AK141" s="116"/>
      <c r="AL141" s="116"/>
      <c r="AM141" s="116"/>
      <c r="AN141" s="116"/>
      <c r="AO141" s="116"/>
    </row>
    <row r="142" spans="1:41">
      <c r="A142" s="23"/>
      <c r="B142" s="23"/>
      <c r="C142" s="23"/>
      <c r="D142" s="28"/>
      <c r="E142" s="23"/>
      <c r="F142" s="28"/>
      <c r="G142" s="23"/>
      <c r="H142" s="23"/>
      <c r="I142" s="23"/>
      <c r="J142" s="28"/>
      <c r="K142" s="23"/>
      <c r="L142" s="35"/>
      <c r="M142" s="99"/>
      <c r="N142" s="23"/>
      <c r="O142" s="99"/>
      <c r="P142" s="23"/>
      <c r="Q142" s="99"/>
      <c r="R142" s="340"/>
      <c r="S142" s="27"/>
      <c r="T142" s="33"/>
      <c r="U142" s="23"/>
      <c r="V142" s="23"/>
      <c r="W142" s="23"/>
      <c r="X142" s="23"/>
      <c r="Y142" s="23"/>
      <c r="Z142" s="23"/>
      <c r="AA142" s="99"/>
      <c r="AB142" s="23"/>
      <c r="AC142" s="23"/>
      <c r="AD142" s="23"/>
      <c r="AE142" s="23"/>
      <c r="AF142" s="23"/>
      <c r="AG142" s="66"/>
      <c r="AH142" s="268"/>
      <c r="AI142" s="276"/>
      <c r="AJ142" s="99"/>
      <c r="AK142" s="23"/>
      <c r="AL142" s="23"/>
      <c r="AM142" s="23"/>
      <c r="AN142" s="23"/>
      <c r="AO142" s="23"/>
    </row>
    <row r="143" spans="1:41">
      <c r="A143" s="116"/>
      <c r="B143" s="721" t="s">
        <v>679</v>
      </c>
      <c r="C143" s="23"/>
      <c r="D143" s="28"/>
      <c r="E143" s="23"/>
      <c r="F143" s="28"/>
      <c r="G143" s="23"/>
      <c r="H143" s="23"/>
      <c r="I143" s="23"/>
      <c r="J143" s="28"/>
      <c r="K143" s="23"/>
      <c r="L143" s="35"/>
      <c r="M143" s="99"/>
      <c r="N143" s="23"/>
      <c r="O143" s="99"/>
      <c r="P143" s="23"/>
      <c r="Q143" s="99"/>
      <c r="R143" s="340"/>
      <c r="S143" s="27"/>
      <c r="T143" s="33"/>
      <c r="U143" s="23"/>
      <c r="V143" s="23"/>
      <c r="W143" s="23"/>
      <c r="X143" s="23"/>
      <c r="Y143" s="23"/>
      <c r="Z143" s="23"/>
      <c r="AA143" s="99"/>
      <c r="AB143" s="23"/>
      <c r="AC143" s="23"/>
      <c r="AD143" s="23"/>
      <c r="AE143" s="23"/>
      <c r="AF143" s="23"/>
      <c r="AG143" s="66"/>
      <c r="AH143" s="268"/>
      <c r="AI143" s="276"/>
      <c r="AJ143" s="99"/>
      <c r="AK143" s="23"/>
      <c r="AL143" s="23"/>
      <c r="AM143" s="23"/>
      <c r="AN143" s="23"/>
      <c r="AO143" s="23"/>
    </row>
    <row r="144" spans="1:41">
      <c r="A144" s="116" t="str">
        <f>$A$11</f>
        <v>1Q</v>
      </c>
      <c r="B144" s="116" t="str">
        <f>$B$11</f>
        <v>Apr</v>
      </c>
      <c r="C144" s="23"/>
      <c r="D144" s="319">
        <f>'qtrP&amp;L'!CB10</f>
        <v>838.76900000000001</v>
      </c>
      <c r="E144" s="23"/>
      <c r="F144" s="319">
        <f>'qtrP&amp;L'!CB20</f>
        <v>285.60300000000001</v>
      </c>
      <c r="G144" s="23"/>
      <c r="H144" s="283">
        <f>work!BZ10</f>
        <v>458.63</v>
      </c>
      <c r="I144" s="23"/>
      <c r="J144" s="319">
        <f>AVERAGE(H144,H140)</f>
        <v>442.79599999999999</v>
      </c>
      <c r="K144" s="23"/>
      <c r="L144" s="599">
        <f>(D144/D137-1)*100</f>
        <v>-8.9499988059286721</v>
      </c>
      <c r="M144" s="258" t="s">
        <v>76</v>
      </c>
      <c r="N144" s="31">
        <f>(H144/H137-1)*100</f>
        <v>-11.386804337241374</v>
      </c>
      <c r="O144" s="99" t="s">
        <v>76</v>
      </c>
      <c r="P144" s="599">
        <f>(H144/H140-1)*100</f>
        <v>7.4170535082747513</v>
      </c>
      <c r="Q144" s="258" t="s">
        <v>76</v>
      </c>
      <c r="R144" s="321">
        <f>F144/J144</f>
        <v>0.64499905148194658</v>
      </c>
      <c r="S144" s="116" t="s">
        <v>177</v>
      </c>
      <c r="T144" s="33">
        <f>F148/H144</f>
        <v>3.361014325273096</v>
      </c>
      <c r="U144" s="23"/>
      <c r="V144" s="68">
        <f>qtrSales!J146</f>
        <v>1053</v>
      </c>
      <c r="W144" s="23"/>
      <c r="X144" s="33">
        <f>H144/V144</f>
        <v>0.43554605887939218</v>
      </c>
      <c r="Y144" s="23"/>
      <c r="Z144" s="73">
        <f>(X144/X137-1)*100</f>
        <v>-11.723416666444642</v>
      </c>
      <c r="AA144" s="99"/>
      <c r="AB144" s="104">
        <f>qtrSales!Z146</f>
        <v>7.97</v>
      </c>
      <c r="AC144" s="23"/>
      <c r="AD144" s="110">
        <f>H144/AB144</f>
        <v>57.544542032622338</v>
      </c>
      <c r="AE144" s="23"/>
      <c r="AF144" s="595">
        <f>(AD144/AD137-1)*100</f>
        <v>-12.832188959093148</v>
      </c>
      <c r="AG144" s="277" t="s">
        <v>76</v>
      </c>
      <c r="AH144" s="600">
        <f>((F144+('yrP&amp;L'!$X$21/4))/J144)</f>
        <v>0.91236878833593793</v>
      </c>
      <c r="AI144" s="601" t="s">
        <v>177</v>
      </c>
      <c r="AJ144" s="99"/>
      <c r="AK144" s="602">
        <f>J144/(F144/(365/4))</f>
        <v>141.47307626320452</v>
      </c>
      <c r="AL144" s="23"/>
      <c r="AM144" s="602">
        <f>H144/(F145/(365/4))</f>
        <v>122.52028099163876</v>
      </c>
      <c r="AN144" s="23"/>
      <c r="AO144" s="336">
        <f>(+L145-N144)/100</f>
        <v>0.10786745687262966</v>
      </c>
    </row>
    <row r="145" spans="1:41">
      <c r="A145" s="116" t="str">
        <f>$A$12</f>
        <v>2Q</v>
      </c>
      <c r="B145" s="116" t="str">
        <f>$B$12</f>
        <v>Jul</v>
      </c>
      <c r="C145" s="23"/>
      <c r="D145" s="320">
        <f>'qtrP&amp;L'!CB11</f>
        <v>945.69799999999998</v>
      </c>
      <c r="E145" s="23"/>
      <c r="F145" s="320">
        <f>'qtrP&amp;L'!CB21</f>
        <v>341.57600000000002</v>
      </c>
      <c r="G145" s="23"/>
      <c r="H145" s="283">
        <f>work!BZ11</f>
        <v>633.48299999999995</v>
      </c>
      <c r="I145" s="23"/>
      <c r="J145" s="320">
        <f>AVERAGE(H144:H145)</f>
        <v>546.05649999999991</v>
      </c>
      <c r="K145" s="23"/>
      <c r="L145" s="599">
        <f>(D145/D138-1)*100</f>
        <v>-0.60005864997840774</v>
      </c>
      <c r="M145" s="258"/>
      <c r="N145" s="31">
        <f>(H145/H138-1)*100</f>
        <v>-8.7463267070008737</v>
      </c>
      <c r="O145" s="99"/>
      <c r="P145" s="599">
        <f>(H145/H144-1)*100</f>
        <v>38.125068137714479</v>
      </c>
      <c r="Q145" s="258"/>
      <c r="R145" s="321">
        <f>F145/J145</f>
        <v>0.62553233960222077</v>
      </c>
      <c r="S145" s="116"/>
      <c r="T145" s="321">
        <f>F146/H145</f>
        <v>0.60341477198283144</v>
      </c>
      <c r="U145" s="23"/>
      <c r="V145" s="68">
        <f>qtrSales!J147</f>
        <v>1057</v>
      </c>
      <c r="W145" s="23"/>
      <c r="X145" s="321">
        <f>H145/V145</f>
        <v>0.59932166508987694</v>
      </c>
      <c r="Y145" s="23"/>
      <c r="Z145" s="595">
        <f>(X145/X138-1)*100</f>
        <v>-8.918992124773828</v>
      </c>
      <c r="AA145" s="99"/>
      <c r="AB145" s="235">
        <f>qtrSales!Z147</f>
        <v>8.0060000000000002</v>
      </c>
      <c r="AC145" s="23"/>
      <c r="AD145" s="110">
        <f>H145/AB145</f>
        <v>79.126030477142137</v>
      </c>
      <c r="AE145" s="23"/>
      <c r="AF145" s="595">
        <f>(AD145/AD138-1)*100</f>
        <v>-9.954531724370085</v>
      </c>
      <c r="AG145" s="66"/>
      <c r="AH145" s="600">
        <f>((F145+('yrP&amp;L'!$X$21/4))/J145)</f>
        <v>0.84234186389137411</v>
      </c>
      <c r="AI145" s="601"/>
      <c r="AJ145" s="99"/>
      <c r="AK145" s="602">
        <f>J145/(F145/(365/4))</f>
        <v>145.87575129692951</v>
      </c>
      <c r="AL145" s="23"/>
      <c r="AM145" s="602">
        <f>H145/(F146/(365/4))</f>
        <v>151.22268170557197</v>
      </c>
      <c r="AN145" s="23"/>
      <c r="AO145" s="336">
        <f>(+L146-N145)/100</f>
        <v>-2.911529624257481E-2</v>
      </c>
    </row>
    <row r="146" spans="1:41">
      <c r="A146" s="116" t="str">
        <f>$A$13</f>
        <v>3Q</v>
      </c>
      <c r="B146" s="116" t="str">
        <f>$B$13</f>
        <v>Oct</v>
      </c>
      <c r="C146" s="23"/>
      <c r="D146" s="320">
        <f>'qtrP&amp;L'!CB12</f>
        <v>1033.2929999999999</v>
      </c>
      <c r="E146" s="23"/>
      <c r="F146" s="320">
        <f>'qtrP&amp;L'!CB22</f>
        <v>382.25299999999999</v>
      </c>
      <c r="G146" s="23"/>
      <c r="H146" s="283">
        <f>work!BZ12</f>
        <v>768.94600000000003</v>
      </c>
      <c r="I146" s="23"/>
      <c r="J146" s="320">
        <f>AVERAGE(H145:H146)</f>
        <v>701.21450000000004</v>
      </c>
      <c r="K146" s="23"/>
      <c r="L146" s="599">
        <f>(D146/D139-1)*100</f>
        <v>-11.657856331258355</v>
      </c>
      <c r="M146" s="258"/>
      <c r="N146" s="31">
        <f>(H146/H139-1)*100</f>
        <v>22.063251936243276</v>
      </c>
      <c r="O146" s="99"/>
      <c r="P146" s="599">
        <f>(H146/H145-1)*100</f>
        <v>21.383841397480285</v>
      </c>
      <c r="Q146" s="258"/>
      <c r="R146" s="321">
        <f>F146/J146</f>
        <v>0.54512991388512355</v>
      </c>
      <c r="S146" s="116"/>
      <c r="T146" s="321">
        <f>F147/H146</f>
        <v>0.69189513958067272</v>
      </c>
      <c r="U146" s="23"/>
      <c r="V146" s="68">
        <f>qtrSales!J148</f>
        <v>1059</v>
      </c>
      <c r="W146" s="23"/>
      <c r="X146" s="321">
        <f>H146/V146</f>
        <v>0.72610576015108597</v>
      </c>
      <c r="Y146" s="23"/>
      <c r="Z146" s="595">
        <f>(X146/X139-1)*100</f>
        <v>21.947989186539552</v>
      </c>
      <c r="AA146" s="99"/>
      <c r="AB146" s="235">
        <f>qtrSales!Z148</f>
        <v>8.0690000000000008</v>
      </c>
      <c r="AC146" s="23"/>
      <c r="AD146" s="110">
        <f>H146/AB146</f>
        <v>95.296319246498939</v>
      </c>
      <c r="AE146" s="23"/>
      <c r="AF146" s="595">
        <f>(AD146/AD139-1)*100</f>
        <v>21.639683829388034</v>
      </c>
      <c r="AG146" s="66"/>
      <c r="AH146" s="600">
        <f>((F146+('yrP&amp;L'!$X$21/4))/J146)</f>
        <v>0.71396591199982307</v>
      </c>
      <c r="AI146" s="601"/>
      <c r="AJ146" s="99"/>
      <c r="AK146" s="602">
        <f>J146/(F146/(365/4))</f>
        <v>167.39129091203995</v>
      </c>
      <c r="AL146" s="23"/>
      <c r="AM146" s="602">
        <f>H146/(F147/(365/4))</f>
        <v>131.88414657068211</v>
      </c>
      <c r="AN146" s="23"/>
      <c r="AO146" s="336">
        <f>(+L147-N146)/100</f>
        <v>-0.33598180378339493</v>
      </c>
    </row>
    <row r="147" spans="1:41">
      <c r="A147" s="116" t="str">
        <f>$A$14</f>
        <v>4Q</v>
      </c>
      <c r="B147" s="116" t="str">
        <f>$B$14</f>
        <v>Jan</v>
      </c>
      <c r="C147" s="23"/>
      <c r="D147" s="279">
        <f>'qtrP&amp;L'!CB13</f>
        <v>1299.1369999999999</v>
      </c>
      <c r="E147" s="23"/>
      <c r="F147" s="279">
        <f>'qtrP&amp;L'!CB23</f>
        <v>532.03</v>
      </c>
      <c r="G147" s="23"/>
      <c r="H147" s="283">
        <f>work!BZ13</f>
        <v>530.19200000000001</v>
      </c>
      <c r="I147" s="23"/>
      <c r="J147" s="279">
        <f>AVERAGE(H146:H147)</f>
        <v>649.56899999999996</v>
      </c>
      <c r="K147" s="23"/>
      <c r="L147" s="603">
        <f>(D147/D140-1)*100</f>
        <v>-11.534928442096215</v>
      </c>
      <c r="M147" s="258"/>
      <c r="N147" s="31">
        <f>(H147/H140-1)*100</f>
        <v>24.17779568205134</v>
      </c>
      <c r="O147" s="99"/>
      <c r="P147" s="599">
        <f>(H147/H146-1)*100</f>
        <v>-31.049514530279112</v>
      </c>
      <c r="Q147" s="258"/>
      <c r="R147" s="321">
        <f>F147/J147</f>
        <v>0.81905078598270542</v>
      </c>
      <c r="S147" s="116"/>
      <c r="T147" s="604" t="s">
        <v>251</v>
      </c>
      <c r="U147" s="23"/>
      <c r="V147" s="68">
        <f>qtrSales!J149</f>
        <v>1005</v>
      </c>
      <c r="W147" s="23"/>
      <c r="X147" s="321">
        <f>H147/V147</f>
        <v>0.52755422885572145</v>
      </c>
      <c r="Y147" s="23"/>
      <c r="Z147" s="595">
        <f>(X147/X140-1)*100</f>
        <v>28.996635514489167</v>
      </c>
      <c r="AA147" s="99"/>
      <c r="AB147" s="235">
        <f>qtrSales!Z149</f>
        <v>7.7359999999999998</v>
      </c>
      <c r="AC147" s="23"/>
      <c r="AD147" s="322">
        <f>H147/AB147</f>
        <v>68.535677352637023</v>
      </c>
      <c r="AE147" s="23"/>
      <c r="AF147" s="595">
        <f>(AD147/AD140-1)*100</f>
        <v>27.741326013154666</v>
      </c>
      <c r="AG147" s="66"/>
      <c r="AH147" s="600">
        <f>((F147+('yrP&amp;L'!$X$21/4))/J147)</f>
        <v>1.001310484336537</v>
      </c>
      <c r="AI147" s="605"/>
      <c r="AJ147" s="99"/>
      <c r="AK147" s="602">
        <f>J147/(F147/(365/4))</f>
        <v>111.40945294438283</v>
      </c>
      <c r="AL147" s="23"/>
      <c r="AM147" s="606" t="s">
        <v>251</v>
      </c>
      <c r="AN147" s="23"/>
      <c r="AO147" s="336">
        <f>(+'qtrP&amp;L'!BY31-N147)/100</f>
        <v>0.23970368037576534</v>
      </c>
    </row>
    <row r="148" spans="1:41">
      <c r="A148" s="116"/>
      <c r="B148" s="116" t="str">
        <f>$B$15</f>
        <v>Year</v>
      </c>
      <c r="C148" s="23"/>
      <c r="D148" s="319">
        <f>'qtrP&amp;L'!CB14</f>
        <v>4116.8969999999999</v>
      </c>
      <c r="E148" s="23"/>
      <c r="F148" s="319">
        <f>'qtrP&amp;L'!CB24</f>
        <v>1541.462</v>
      </c>
      <c r="G148" s="23"/>
      <c r="H148" s="23"/>
      <c r="I148" s="23"/>
      <c r="J148" s="319">
        <f>AVERAGE(J144:J147)</f>
        <v>584.90899999999999</v>
      </c>
      <c r="K148" s="23"/>
      <c r="L148" s="599">
        <f>(D148/D141-1)*100</f>
        <v>-8.7325433043547775</v>
      </c>
      <c r="M148" s="258"/>
      <c r="N148" s="23"/>
      <c r="O148" s="99"/>
      <c r="P148" s="23"/>
      <c r="Q148" s="99"/>
      <c r="R148" s="607">
        <f>F148/J148</f>
        <v>2.6353877269797525</v>
      </c>
      <c r="S148" s="608" t="s">
        <v>177</v>
      </c>
      <c r="T148" s="33"/>
      <c r="U148" s="23"/>
      <c r="V148" s="23"/>
      <c r="W148" s="23"/>
      <c r="X148" s="23"/>
      <c r="Y148" s="23"/>
      <c r="Z148" s="23"/>
      <c r="AA148" s="99"/>
      <c r="AB148" s="116"/>
      <c r="AC148" s="23"/>
      <c r="AD148" s="23"/>
      <c r="AE148" s="23"/>
      <c r="AF148" s="23"/>
      <c r="AG148" s="66"/>
      <c r="AH148" s="609">
        <f>((F148+('yrP&amp;L'!$X$21/4))/J148)</f>
        <v>2.8377957083922456</v>
      </c>
      <c r="AI148" s="610" t="s">
        <v>177</v>
      </c>
      <c r="AJ148" s="99"/>
      <c r="AK148" s="23"/>
      <c r="AL148" s="23"/>
      <c r="AM148" s="23"/>
      <c r="AN148" s="23"/>
      <c r="AO148" s="23"/>
    </row>
    <row r="149" spans="1:41">
      <c r="A149" s="23"/>
      <c r="B149" s="23"/>
      <c r="C149" s="23"/>
      <c r="D149" s="28"/>
      <c r="E149" s="23"/>
      <c r="F149" s="28"/>
      <c r="G149" s="23"/>
      <c r="H149" s="23"/>
      <c r="I149" s="23"/>
      <c r="J149" s="28"/>
      <c r="K149" s="23"/>
      <c r="L149" s="35"/>
      <c r="M149" s="99"/>
      <c r="N149" s="35"/>
      <c r="O149" s="99"/>
      <c r="P149" s="23"/>
      <c r="Q149" s="99"/>
      <c r="R149" s="340"/>
      <c r="S149" s="27"/>
      <c r="T149" s="33"/>
      <c r="U149" s="23"/>
      <c r="V149" s="23"/>
      <c r="W149" s="23"/>
      <c r="X149" s="23"/>
      <c r="Y149" s="23"/>
      <c r="Z149" s="23"/>
      <c r="AA149" s="99"/>
      <c r="AB149" s="23"/>
      <c r="AC149" s="23"/>
      <c r="AD149" s="23"/>
      <c r="AE149" s="23"/>
      <c r="AF149" s="23"/>
      <c r="AG149" s="66"/>
      <c r="AH149" s="268"/>
      <c r="AI149" s="276"/>
      <c r="AJ149" s="99"/>
      <c r="AK149" s="23"/>
      <c r="AL149" s="23"/>
      <c r="AM149" s="23"/>
      <c r="AN149" s="23"/>
      <c r="AO149" s="23"/>
    </row>
    <row r="150" spans="1:41">
      <c r="A150" s="116"/>
      <c r="B150" s="721" t="s">
        <v>790</v>
      </c>
      <c r="C150" s="23"/>
      <c r="D150" s="28"/>
      <c r="E150" s="23"/>
      <c r="F150" s="28"/>
      <c r="G150" s="23"/>
      <c r="H150" s="23"/>
      <c r="I150" s="23"/>
      <c r="J150" s="28"/>
      <c r="K150" s="23"/>
      <c r="L150" s="35"/>
      <c r="M150" s="99"/>
      <c r="N150" s="23"/>
      <c r="O150" s="99"/>
      <c r="P150" s="23"/>
      <c r="Q150" s="99"/>
      <c r="R150" s="340"/>
      <c r="S150" s="27"/>
      <c r="T150" s="33"/>
      <c r="U150" s="23"/>
      <c r="V150" s="23"/>
      <c r="W150" s="23"/>
      <c r="X150" s="23"/>
      <c r="Y150" s="23"/>
      <c r="Z150" s="23"/>
      <c r="AA150" s="99"/>
      <c r="AB150" s="23"/>
      <c r="AC150" s="23"/>
      <c r="AD150" s="23"/>
      <c r="AE150" s="23"/>
      <c r="AF150" s="23"/>
      <c r="AG150" s="66"/>
      <c r="AH150" s="268"/>
      <c r="AI150" s="276"/>
      <c r="AJ150" s="99"/>
      <c r="AK150" s="23"/>
      <c r="AL150" s="23"/>
      <c r="AM150" s="23"/>
      <c r="AN150" s="23"/>
      <c r="AO150" s="23"/>
    </row>
    <row r="151" spans="1:41">
      <c r="A151" s="116" t="str">
        <f>$A$11</f>
        <v>1Q</v>
      </c>
      <c r="B151" s="116" t="str">
        <f>$B$11</f>
        <v>Apr</v>
      </c>
      <c r="C151" s="23"/>
      <c r="D151" s="319">
        <f>'qtrP&amp;L'!CF10</f>
        <v>822.428</v>
      </c>
      <c r="E151" s="23"/>
      <c r="F151" s="319">
        <f>'qtrP&amp;L'!CF20</f>
        <v>310.76900000000001</v>
      </c>
      <c r="G151" s="23"/>
      <c r="H151" s="283">
        <f>work!CD10</f>
        <v>486.02600000000001</v>
      </c>
      <c r="I151" s="23"/>
      <c r="J151" s="319">
        <f>AVERAGE(H151,H147)</f>
        <v>508.10900000000004</v>
      </c>
      <c r="K151" s="23"/>
      <c r="L151" s="599">
        <f>(D151/D144-1)*100</f>
        <v>-1.9482122014523706</v>
      </c>
      <c r="M151" s="258" t="s">
        <v>76</v>
      </c>
      <c r="N151" s="31">
        <f>(H151/H144-1)*100</f>
        <v>5.9734426443974531</v>
      </c>
      <c r="O151" s="99" t="s">
        <v>76</v>
      </c>
      <c r="P151" s="599">
        <f>(H151/H147-1)*100</f>
        <v>-8.3301898180281881</v>
      </c>
      <c r="Q151" s="258" t="s">
        <v>76</v>
      </c>
      <c r="R151" s="321">
        <f>F151/J151</f>
        <v>0.61161876683939864</v>
      </c>
      <c r="S151" s="116" t="s">
        <v>177</v>
      </c>
      <c r="T151" s="33">
        <f>F155/H151</f>
        <v>2.9431758794796985</v>
      </c>
      <c r="U151" s="23"/>
      <c r="V151" s="68">
        <f>qtrSales!J153</f>
        <v>998</v>
      </c>
      <c r="W151" s="23"/>
      <c r="X151" s="33">
        <f>H151/V151</f>
        <v>0.48699999999999999</v>
      </c>
      <c r="Y151" s="23"/>
      <c r="Z151" s="73">
        <f>(X151/X144-1)*100</f>
        <v>11.813662429409334</v>
      </c>
      <c r="AA151" s="99"/>
      <c r="AB151" s="104">
        <f>qtrSales!Z153</f>
        <v>7.6820000000000004</v>
      </c>
      <c r="AC151" s="23"/>
      <c r="AD151" s="109">
        <f>H151/AB151</f>
        <v>63.268159333506894</v>
      </c>
      <c r="AE151" s="23"/>
      <c r="AF151" s="595">
        <f>(AD151/AD144-1)*100</f>
        <v>9.9464121160957486</v>
      </c>
      <c r="AG151" s="277" t="s">
        <v>76</v>
      </c>
      <c r="AH151" s="600">
        <f>((F151+('yrP&amp;L'!$Y$21/4))/J151)</f>
        <v>0.82893434282801526</v>
      </c>
      <c r="AI151" s="601" t="s">
        <v>177</v>
      </c>
      <c r="AJ151" s="99"/>
      <c r="AK151" s="602">
        <f>J151/(F151/(365/4))</f>
        <v>149.19424476057779</v>
      </c>
      <c r="AL151" s="23"/>
      <c r="AM151" s="602">
        <f>H151/(F152/(365/4))</f>
        <v>131.34904146021461</v>
      </c>
      <c r="AN151" s="23"/>
      <c r="AO151" s="336">
        <f>(+L152-N151)/100</f>
        <v>-0.11799086771803868</v>
      </c>
    </row>
    <row r="152" spans="1:41">
      <c r="A152" s="116" t="str">
        <f>$A$12</f>
        <v>2Q</v>
      </c>
      <c r="B152" s="116" t="str">
        <f>$B$12</f>
        <v>Jul</v>
      </c>
      <c r="C152" s="23"/>
      <c r="D152" s="320">
        <f>'qtrP&amp;L'!CF11</f>
        <v>890.60500000000002</v>
      </c>
      <c r="E152" s="23"/>
      <c r="F152" s="319">
        <f>'qtrP&amp;L'!CF21</f>
        <v>337.649</v>
      </c>
      <c r="G152" s="23"/>
      <c r="H152" s="283">
        <f>work!CD11</f>
        <v>550.22699999999998</v>
      </c>
      <c r="I152" s="23"/>
      <c r="J152" s="320">
        <f>AVERAGE(H151:H152)</f>
        <v>518.12649999999996</v>
      </c>
      <c r="K152" s="23"/>
      <c r="L152" s="599">
        <f>(D152/D145-1)*100</f>
        <v>-5.8256441274064148</v>
      </c>
      <c r="M152" s="258"/>
      <c r="N152" s="31">
        <f>(H152/H145-1)*100</f>
        <v>-13.142578411733219</v>
      </c>
      <c r="O152" s="99"/>
      <c r="P152" s="599">
        <f>(H152/H151-1)*100</f>
        <v>13.209375630110308</v>
      </c>
      <c r="Q152" s="258"/>
      <c r="R152" s="321">
        <f>F152/J152</f>
        <v>0.65167290227386565</v>
      </c>
      <c r="S152" s="116"/>
      <c r="T152" s="321">
        <f>F153/H152</f>
        <v>0.6258925861508069</v>
      </c>
      <c r="U152" s="23"/>
      <c r="V152" s="68">
        <f>qtrSales!J154</f>
        <v>997</v>
      </c>
      <c r="W152" s="23"/>
      <c r="X152" s="321">
        <f>H152/V152</f>
        <v>0.55188264794383146</v>
      </c>
      <c r="Y152" s="23"/>
      <c r="Z152" s="595">
        <f>(X152/X145-1)*100</f>
        <v>-7.9154517364112493</v>
      </c>
      <c r="AA152" s="99"/>
      <c r="AB152" s="235">
        <f>qtrSales!Z154</f>
        <v>7.6829999999999998</v>
      </c>
      <c r="AC152" s="23"/>
      <c r="AD152" s="110">
        <f>H152/AB152</f>
        <v>71.616165560328</v>
      </c>
      <c r="AE152" s="23"/>
      <c r="AF152" s="595">
        <f>(AD152/AD145-1)*100</f>
        <v>-9.4910168898003526</v>
      </c>
      <c r="AG152" s="66"/>
      <c r="AH152" s="600">
        <f>((F152+('yrP&amp;L'!$Y$21/4))/J152)</f>
        <v>0.86478688119600144</v>
      </c>
      <c r="AI152" s="601"/>
      <c r="AJ152" s="99"/>
      <c r="AK152" s="602">
        <f>J152/(F152/(365/4))</f>
        <v>140.02423559672914</v>
      </c>
      <c r="AL152" s="23"/>
      <c r="AM152" s="602">
        <f>H152/(F153/(365/4))</f>
        <v>145.79178922885276</v>
      </c>
      <c r="AN152" s="23"/>
      <c r="AO152" s="336">
        <f>(+L153-N152)/100</f>
        <v>1.3511504237375682E-2</v>
      </c>
    </row>
    <row r="153" spans="1:41">
      <c r="A153" s="116" t="str">
        <f>$A$13</f>
        <v>3Q</v>
      </c>
      <c r="B153" s="116" t="str">
        <f>$B$13</f>
        <v>Oct</v>
      </c>
      <c r="C153" s="23"/>
      <c r="D153" s="320">
        <f>'qtrP&amp;L'!CF12</f>
        <v>911.45299999999997</v>
      </c>
      <c r="E153" s="23"/>
      <c r="F153" s="319">
        <f>'qtrP&amp;L'!CF22</f>
        <v>344.38299999999998</v>
      </c>
      <c r="G153" s="23"/>
      <c r="H153" s="283">
        <f>work!CD12</f>
        <v>617.54200000000003</v>
      </c>
      <c r="I153" s="23"/>
      <c r="J153" s="320">
        <f>AVERAGE(H152:H153)</f>
        <v>583.8845</v>
      </c>
      <c r="K153" s="23"/>
      <c r="L153" s="599">
        <f>(D153/D146-1)*100</f>
        <v>-11.79142798799565</v>
      </c>
      <c r="M153" s="258"/>
      <c r="N153" s="31">
        <f>(H153/H146-1)*100</f>
        <v>-19.689809167353754</v>
      </c>
      <c r="O153" s="99"/>
      <c r="P153" s="599">
        <f>(H153/H152-1)*100</f>
        <v>12.2340415864725</v>
      </c>
      <c r="Q153" s="258"/>
      <c r="R153" s="321">
        <f>F153/J153</f>
        <v>0.58981356758057457</v>
      </c>
      <c r="S153" s="116"/>
      <c r="T153" s="321">
        <f>F154/H153</f>
        <v>0.70871131032383217</v>
      </c>
      <c r="U153" s="23"/>
      <c r="V153" s="68">
        <f>qtrSales!J155</f>
        <v>1000</v>
      </c>
      <c r="W153" s="23"/>
      <c r="X153" s="321">
        <f>H153/V153</f>
        <v>0.61754200000000004</v>
      </c>
      <c r="Y153" s="23"/>
      <c r="Z153" s="595">
        <f>(X153/X146-1)*100</f>
        <v>-14.951507908227624</v>
      </c>
      <c r="AA153" s="99"/>
      <c r="AB153" s="235">
        <f>qtrSales!Z155</f>
        <v>7.7149999999999999</v>
      </c>
      <c r="AC153" s="23"/>
      <c r="AD153" s="110">
        <f>H153/AB153</f>
        <v>80.044329228775112</v>
      </c>
      <c r="AE153" s="23"/>
      <c r="AF153" s="595">
        <f>(AD153/AD146-1)*100</f>
        <v>-16.004804947683393</v>
      </c>
      <c r="AG153" s="66"/>
      <c r="AH153" s="600">
        <f>((F153+('yrP&amp;L'!$Y$21/4))/J153)</f>
        <v>0.77892631162498749</v>
      </c>
      <c r="AI153" s="601"/>
      <c r="AJ153" s="99"/>
      <c r="AK153" s="602">
        <f>J153/(F153/(365/4))</f>
        <v>154.70990329081286</v>
      </c>
      <c r="AL153" s="23"/>
      <c r="AM153" s="602">
        <f>H153/(F154/(365/4))</f>
        <v>128.75482396112042</v>
      </c>
      <c r="AN153" s="23"/>
      <c r="AO153" s="336">
        <f>(+L154-N153)/100</f>
        <v>5.8657859888899037E-2</v>
      </c>
    </row>
    <row r="154" spans="1:41">
      <c r="A154" s="116" t="str">
        <f>$A$14</f>
        <v>4Q</v>
      </c>
      <c r="B154" s="116" t="str">
        <f>$B$14</f>
        <v>Jan</v>
      </c>
      <c r="C154" s="23"/>
      <c r="D154" s="279">
        <f>'qtrP&amp;L'!CF13</f>
        <v>1119.5440000000001</v>
      </c>
      <c r="E154" s="23"/>
      <c r="F154" s="341">
        <f>'qtrP&amp;L'!CF23</f>
        <v>437.65899999999999</v>
      </c>
      <c r="G154" s="23"/>
      <c r="H154" s="283">
        <f>work!CD13</f>
        <v>460.79399999999998</v>
      </c>
      <c r="I154" s="23"/>
      <c r="J154" s="279">
        <f>AVERAGE(H153:H154)</f>
        <v>539.16800000000001</v>
      </c>
      <c r="K154" s="23"/>
      <c r="L154" s="603">
        <f>(D154/D147-1)*100</f>
        <v>-13.82402317846385</v>
      </c>
      <c r="M154" s="258"/>
      <c r="N154" s="31">
        <f>(H154/H147-1)*100</f>
        <v>-13.089220508796817</v>
      </c>
      <c r="O154" s="99"/>
      <c r="P154" s="599">
        <f>(H154/H153-1)*100</f>
        <v>-25.382565072497098</v>
      </c>
      <c r="Q154" s="258"/>
      <c r="R154" s="321">
        <f>F154/J154</f>
        <v>0.81173029556650245</v>
      </c>
      <c r="S154" s="116"/>
      <c r="T154" s="604" t="s">
        <v>251</v>
      </c>
      <c r="U154" s="23"/>
      <c r="V154" s="68">
        <f>qtrSales!J156</f>
        <v>964</v>
      </c>
      <c r="W154" s="23"/>
      <c r="X154" s="321">
        <f>H154/V154</f>
        <v>0.47800207468879669</v>
      </c>
      <c r="Y154" s="23"/>
      <c r="Z154" s="595">
        <f>(X154/X147-1)*100</f>
        <v>-9.3928076881128693</v>
      </c>
      <c r="AA154" s="99"/>
      <c r="AB154" s="235">
        <f>qtrSales!Z156</f>
        <v>7.5170000000000003</v>
      </c>
      <c r="AC154" s="23"/>
      <c r="AD154" s="322">
        <f>H154/AB154</f>
        <v>61.300252760409734</v>
      </c>
      <c r="AE154" s="23"/>
      <c r="AF154" s="595">
        <f>(AD154/AD147-1)*100</f>
        <v>-10.557165073307463</v>
      </c>
      <c r="AG154" s="66"/>
      <c r="AH154" s="600">
        <f>((F154+('yrP&amp;L'!$Y$21/4))/J154)</f>
        <v>1.0165273161611965</v>
      </c>
      <c r="AI154" s="605"/>
      <c r="AJ154" s="99"/>
      <c r="AK154" s="602">
        <f>J154/(F154/(365/4))</f>
        <v>112.41418547316518</v>
      </c>
      <c r="AL154" s="23"/>
      <c r="AM154" s="606" t="s">
        <v>251</v>
      </c>
      <c r="AN154" s="23"/>
      <c r="AO154" s="336">
        <f>(+'qtrP&amp;L'!CC38-N154)/100</f>
        <v>0.13089220508796817</v>
      </c>
    </row>
    <row r="155" spans="1:41">
      <c r="A155" s="116"/>
      <c r="B155" s="116" t="str">
        <f>$B$15</f>
        <v>Year</v>
      </c>
      <c r="C155" s="23"/>
      <c r="D155" s="319">
        <f>'qtrP&amp;L'!CF14</f>
        <v>3744.0299999999997</v>
      </c>
      <c r="E155" s="23"/>
      <c r="F155" s="319">
        <f>'qtrP&amp;L'!CF24</f>
        <v>1430.46</v>
      </c>
      <c r="G155" s="23"/>
      <c r="H155" s="23"/>
      <c r="I155" s="23"/>
      <c r="J155" s="319">
        <f>AVERAGE(J151:J154)</f>
        <v>537.322</v>
      </c>
      <c r="K155" s="23"/>
      <c r="L155" s="599">
        <f>(D155/D148-1)*100</f>
        <v>-9.0569912242157162</v>
      </c>
      <c r="M155" s="258"/>
      <c r="N155" s="23"/>
      <c r="O155" s="99"/>
      <c r="P155" s="23"/>
      <c r="Q155" s="99"/>
      <c r="R155" s="607">
        <f>F155/J155</f>
        <v>2.6622025526592994</v>
      </c>
      <c r="S155" s="608" t="s">
        <v>177</v>
      </c>
      <c r="T155" s="33"/>
      <c r="U155" s="23"/>
      <c r="V155" s="23"/>
      <c r="W155" s="23"/>
      <c r="X155" s="23"/>
      <c r="Y155" s="23"/>
      <c r="Z155" s="23"/>
      <c r="AA155" s="99"/>
      <c r="AB155" s="116"/>
      <c r="AC155" s="23"/>
      <c r="AD155" s="23"/>
      <c r="AE155" s="23"/>
      <c r="AF155" s="23"/>
      <c r="AG155" s="66"/>
      <c r="AH155" s="609">
        <f>((F155+('yrP&amp;L'!$Y$21/4))/J155)</f>
        <v>2.8677031649550924</v>
      </c>
      <c r="AI155" s="610" t="s">
        <v>177</v>
      </c>
      <c r="AJ155" s="99"/>
      <c r="AK155" s="23"/>
      <c r="AL155" s="23"/>
      <c r="AM155" s="23"/>
      <c r="AN155" s="23"/>
      <c r="AO155" s="23"/>
    </row>
    <row r="156" spans="1:41">
      <c r="A156" s="23"/>
      <c r="B156" s="23"/>
      <c r="C156" s="23"/>
      <c r="D156" s="28"/>
      <c r="E156" s="23"/>
      <c r="F156" s="28"/>
      <c r="G156" s="23"/>
      <c r="H156" s="23"/>
      <c r="I156" s="23"/>
      <c r="J156" s="28"/>
      <c r="K156" s="23"/>
      <c r="L156" s="35"/>
      <c r="M156" s="99"/>
      <c r="N156" s="35"/>
      <c r="O156" s="99"/>
      <c r="P156" s="23"/>
      <c r="Q156" s="99"/>
      <c r="R156" s="340"/>
      <c r="S156" s="27"/>
      <c r="T156" s="33"/>
      <c r="U156" s="23"/>
      <c r="V156" s="23"/>
      <c r="W156" s="23"/>
      <c r="X156" s="23"/>
      <c r="Y156" s="23"/>
      <c r="Z156" s="23"/>
      <c r="AA156" s="99"/>
      <c r="AB156" s="23"/>
      <c r="AC156" s="23"/>
      <c r="AD156" s="23"/>
      <c r="AE156" s="23"/>
      <c r="AF156" s="23"/>
      <c r="AG156" s="66"/>
      <c r="AH156" s="268"/>
      <c r="AI156" s="276"/>
      <c r="AJ156" s="99"/>
      <c r="AK156" s="23"/>
      <c r="AL156" s="23"/>
      <c r="AM156" s="23"/>
      <c r="AN156" s="23"/>
      <c r="AO156" s="23"/>
    </row>
    <row r="157" spans="1:41">
      <c r="A157" s="116"/>
      <c r="B157" s="721" t="s">
        <v>1431</v>
      </c>
      <c r="C157" s="23"/>
      <c r="D157" s="28"/>
      <c r="E157" s="23"/>
      <c r="F157" s="28"/>
      <c r="G157" s="23"/>
      <c r="H157" s="23"/>
      <c r="I157" s="23"/>
      <c r="J157" s="28"/>
      <c r="K157" s="23"/>
      <c r="L157" s="35"/>
      <c r="M157" s="99"/>
      <c r="N157" s="23"/>
      <c r="O157" s="99"/>
      <c r="P157" s="23"/>
      <c r="Q157" s="99"/>
      <c r="R157" s="340"/>
      <c r="S157" s="27"/>
      <c r="T157" s="33"/>
      <c r="U157" s="23"/>
      <c r="V157" s="23"/>
      <c r="W157" s="23"/>
      <c r="X157" s="23"/>
      <c r="Y157" s="23"/>
      <c r="Z157" s="23"/>
      <c r="AA157" s="99"/>
      <c r="AB157" s="23"/>
      <c r="AC157" s="23"/>
      <c r="AD157" s="23"/>
      <c r="AE157" s="23"/>
      <c r="AF157" s="23"/>
      <c r="AG157" s="66"/>
      <c r="AH157" s="268"/>
      <c r="AI157" s="276"/>
      <c r="AJ157" s="99"/>
      <c r="AK157" s="23"/>
      <c r="AL157" s="23"/>
      <c r="AM157" s="23"/>
      <c r="AN157" s="23"/>
      <c r="AO157" s="23"/>
    </row>
    <row r="158" spans="1:41">
      <c r="A158" s="116" t="str">
        <f>$A$11</f>
        <v>1Q</v>
      </c>
      <c r="B158" s="116" t="str">
        <f>$B$11</f>
        <v>Apr</v>
      </c>
      <c r="C158" s="23"/>
      <c r="D158" s="319">
        <f>'qtrP&amp;L'!CJ10</f>
        <v>709.42200000000003</v>
      </c>
      <c r="E158" s="23"/>
      <c r="F158" s="319">
        <f>'qtrP&amp;L'!CJ20</f>
        <v>271.012</v>
      </c>
      <c r="G158" s="23"/>
      <c r="H158" s="283">
        <f>work!CH10</f>
        <v>441.005</v>
      </c>
      <c r="I158" s="23"/>
      <c r="J158" s="319">
        <f>AVERAGE(H158,H154)</f>
        <v>450.89949999999999</v>
      </c>
      <c r="K158" s="23"/>
      <c r="L158" s="599">
        <f>(D158/D151-1)*100</f>
        <v>-13.740534125783654</v>
      </c>
      <c r="M158" s="258" t="s">
        <v>76</v>
      </c>
      <c r="N158" s="31">
        <f>(H158/H151-1)*100</f>
        <v>-9.263084690942458</v>
      </c>
      <c r="O158" s="99" t="s">
        <v>76</v>
      </c>
      <c r="P158" s="599">
        <f>(H158/H154-1)*100</f>
        <v>-4.2945437657608387</v>
      </c>
      <c r="Q158" s="258" t="s">
        <v>76</v>
      </c>
      <c r="R158" s="321">
        <f>F158/J158</f>
        <v>0.60104746179581037</v>
      </c>
      <c r="S158" s="116" t="s">
        <v>177</v>
      </c>
      <c r="T158" s="33">
        <f>F162/H158</f>
        <v>3.0396254010725503</v>
      </c>
      <c r="U158" s="23"/>
      <c r="V158" s="68">
        <f>qtrSales!J160</f>
        <v>962</v>
      </c>
      <c r="W158" s="23"/>
      <c r="X158" s="33">
        <f>H158/V158</f>
        <v>0.45842515592515592</v>
      </c>
      <c r="Y158" s="23"/>
      <c r="Z158" s="73">
        <f>(X158/X151-1)*100</f>
        <v>-5.8675244506866679</v>
      </c>
      <c r="AA158" s="99"/>
      <c r="AB158" s="104">
        <f>qtrSales!Z160</f>
        <v>7.4560000000000004</v>
      </c>
      <c r="AC158" s="23"/>
      <c r="AD158" s="109">
        <f>H158/AB158</f>
        <v>59.14766630901287</v>
      </c>
      <c r="AE158" s="23"/>
      <c r="AF158" s="595">
        <f>(AD158/AD151-1)*100</f>
        <v>-6.5127436421432368</v>
      </c>
      <c r="AG158" s="277" t="s">
        <v>76</v>
      </c>
      <c r="AH158" s="600">
        <f>((F158+('yrP&amp;L'!$Z$21/4))/J158)</f>
        <v>0.83114141843138001</v>
      </c>
      <c r="AI158" s="601" t="s">
        <v>177</v>
      </c>
      <c r="AJ158" s="99"/>
      <c r="AK158" s="602">
        <f>J158/(F158/(365/4))</f>
        <v>151.81829356264669</v>
      </c>
      <c r="AL158" s="23"/>
      <c r="AM158" s="602">
        <f>H158/(F159/(365/4))</f>
        <v>129.59665797143455</v>
      </c>
      <c r="AN158" s="23"/>
      <c r="AO158" s="336">
        <f>(+L159-N158)/100</f>
        <v>1.0833641638850028E-2</v>
      </c>
    </row>
    <row r="159" spans="1:41">
      <c r="A159" s="116" t="str">
        <f>$A$12</f>
        <v>2Q</v>
      </c>
      <c r="B159" s="116" t="str">
        <f>$B$12</f>
        <v>Jul</v>
      </c>
      <c r="C159" s="23"/>
      <c r="D159" s="320">
        <f>'qtrP&amp;L'!CJ11</f>
        <v>817.75599999999997</v>
      </c>
      <c r="E159" s="23"/>
      <c r="F159" s="320">
        <f>'qtrP&amp;L'!CJ21</f>
        <v>310.51499999999999</v>
      </c>
      <c r="G159" s="23"/>
      <c r="H159" s="283">
        <f>work!CH11</f>
        <v>478.61799999999999</v>
      </c>
      <c r="I159" s="23"/>
      <c r="J159" s="320">
        <f>AVERAGE(H158:H159)</f>
        <v>459.81150000000002</v>
      </c>
      <c r="K159" s="23"/>
      <c r="L159" s="599">
        <f>(D159/D152-1)*100</f>
        <v>-8.1797205270574551</v>
      </c>
      <c r="M159" s="258"/>
      <c r="N159" s="31">
        <f>(H159/H152-1)*100</f>
        <v>-13.014446764698928</v>
      </c>
      <c r="O159" s="99"/>
      <c r="P159" s="599">
        <f>(H159/H158-1)*100</f>
        <v>8.5289282434439571</v>
      </c>
      <c r="Q159" s="258"/>
      <c r="R159" s="321">
        <f>F159/J159</f>
        <v>0.67530933871814858</v>
      </c>
      <c r="S159" s="116"/>
      <c r="T159" s="321">
        <f>F160/H159</f>
        <v>0.67142898929835482</v>
      </c>
      <c r="U159" s="23"/>
      <c r="V159" s="68">
        <f>qtrSales!J161</f>
        <v>954</v>
      </c>
      <c r="W159" s="23"/>
      <c r="X159" s="321">
        <f>H159/V159</f>
        <v>0.50169601677148845</v>
      </c>
      <c r="Y159" s="23"/>
      <c r="Z159" s="595">
        <f>(X159/X152-1)*100</f>
        <v>-9.0937142813467879</v>
      </c>
      <c r="AA159" s="99"/>
      <c r="AB159" s="235">
        <f>qtrSales!Z161</f>
        <v>7.4340000000000002</v>
      </c>
      <c r="AC159" s="23"/>
      <c r="AD159" s="110">
        <f>H159/AB159</f>
        <v>64.38229755178908</v>
      </c>
      <c r="AE159" s="23"/>
      <c r="AF159" s="595">
        <f>(AD159/AD152-1)*100</f>
        <v>-10.100887071991105</v>
      </c>
      <c r="AG159" s="66"/>
      <c r="AH159" s="600">
        <f>((F159+('yrP&amp;L'!$Z$21/4))/J159)</f>
        <v>0.90094364755992395</v>
      </c>
      <c r="AI159" s="601"/>
      <c r="AJ159" s="99"/>
      <c r="AK159" s="602">
        <f>J159/(F159/(365/4))</f>
        <v>135.12326095357713</v>
      </c>
      <c r="AL159" s="23"/>
      <c r="AM159" s="602">
        <f>H159/(F160/(365/4))</f>
        <v>135.90417073793091</v>
      </c>
      <c r="AN159" s="23"/>
      <c r="AO159" s="336">
        <f>(+L160-N159)/100</f>
        <v>9.4069102268851346E-2</v>
      </c>
    </row>
    <row r="160" spans="1:41">
      <c r="A160" s="116" t="str">
        <f>$A$13</f>
        <v>3Q</v>
      </c>
      <c r="B160" s="116" t="str">
        <f>$B$13</f>
        <v>Oct</v>
      </c>
      <c r="C160" s="23"/>
      <c r="D160" s="320">
        <f>'qtrP&amp;L'!CJ12</f>
        <v>878.572</v>
      </c>
      <c r="E160" s="23"/>
      <c r="F160" s="320">
        <f>'qtrP&amp;L'!CJ22</f>
        <v>321.358</v>
      </c>
      <c r="G160" s="23"/>
      <c r="H160" s="283">
        <f>work!CH12</f>
        <v>601.54100000000005</v>
      </c>
      <c r="I160" s="23"/>
      <c r="J160" s="320">
        <f>AVERAGE(H159:H160)</f>
        <v>540.07950000000005</v>
      </c>
      <c r="K160" s="23"/>
      <c r="L160" s="599">
        <f>(D160/D153-1)*100</f>
        <v>-3.6075365378137936</v>
      </c>
      <c r="M160" s="258"/>
      <c r="N160" s="31">
        <f>(H160/H153-1)*100</f>
        <v>-2.5910788254078221</v>
      </c>
      <c r="O160" s="99"/>
      <c r="P160" s="599">
        <f>(H160/H159-1)*100</f>
        <v>25.682903693551019</v>
      </c>
      <c r="Q160" s="258"/>
      <c r="R160" s="321">
        <f>F160/J160</f>
        <v>0.59501980726911496</v>
      </c>
      <c r="S160" s="116"/>
      <c r="T160" s="321">
        <f>F161/H160</f>
        <v>0.72747327281099694</v>
      </c>
      <c r="U160" s="23"/>
      <c r="V160" s="68">
        <f>qtrSales!J162</f>
        <v>965</v>
      </c>
      <c r="W160" s="23"/>
      <c r="X160" s="321">
        <f>H160/V160</f>
        <v>0.62335854922279799</v>
      </c>
      <c r="Y160" s="23"/>
      <c r="Z160" s="595">
        <f>(X160/X153-1)*100</f>
        <v>0.94188722755665921</v>
      </c>
      <c r="AA160" s="99"/>
      <c r="AB160" s="235">
        <f>qtrSales!Z162</f>
        <v>7.4770000000000003</v>
      </c>
      <c r="AC160" s="23"/>
      <c r="AD160" s="110">
        <f>H160/AB160</f>
        <v>80.452186705898086</v>
      </c>
      <c r="AE160" s="23"/>
      <c r="AF160" s="595">
        <f>(AD160/AD153-1)*100</f>
        <v>0.50953950273888715</v>
      </c>
      <c r="AG160" s="66"/>
      <c r="AH160" s="600">
        <f>((F160+('yrP&amp;L'!$Z$21/4))/J160)</f>
        <v>0.78711976662695027</v>
      </c>
      <c r="AI160" s="601"/>
      <c r="AJ160" s="99"/>
      <c r="AK160" s="602">
        <f>J160/(F160/(365/4))</f>
        <v>153.3562393810019</v>
      </c>
      <c r="AL160" s="23"/>
      <c r="AM160" s="602">
        <f>H160/(F161/(365/4))</f>
        <v>125.43416151552201</v>
      </c>
      <c r="AN160" s="23"/>
      <c r="AO160" s="336">
        <f>(+L161-N160)/100</f>
        <v>2.0003025807939445E-2</v>
      </c>
    </row>
    <row r="161" spans="1:41">
      <c r="A161" s="116" t="str">
        <f>$A$14</f>
        <v>4Q</v>
      </c>
      <c r="B161" s="116" t="str">
        <f>$B$14</f>
        <v>Jan</v>
      </c>
      <c r="C161" s="23"/>
      <c r="D161" s="279">
        <f>'qtrP&amp;L'!CJ13</f>
        <v>1112.93</v>
      </c>
      <c r="E161" s="23"/>
      <c r="F161" s="279">
        <f>'qtrP&amp;L'!CJ23</f>
        <v>437.60499999999996</v>
      </c>
      <c r="G161" s="23"/>
      <c r="H161" s="283">
        <f>work!CH13</f>
        <v>436.70100000000002</v>
      </c>
      <c r="I161" s="23"/>
      <c r="J161" s="279">
        <f>AVERAGE(H160:H161)</f>
        <v>519.12100000000009</v>
      </c>
      <c r="K161" s="23"/>
      <c r="L161" s="603">
        <f>(D161/D154-1)*100</f>
        <v>-0.59077624461387757</v>
      </c>
      <c r="M161" s="258"/>
      <c r="N161" s="31">
        <f>(H161/H154-1)*100</f>
        <v>-5.2285837055169875</v>
      </c>
      <c r="O161" s="99"/>
      <c r="P161" s="599">
        <f>(H161/H160-1)*100</f>
        <v>-27.402953414646714</v>
      </c>
      <c r="Q161" s="258"/>
      <c r="R161" s="321">
        <f>F161/J161</f>
        <v>0.84297302555666187</v>
      </c>
      <c r="S161" s="116"/>
      <c r="T161" s="604" t="s">
        <v>251</v>
      </c>
      <c r="U161" s="23"/>
      <c r="V161" s="68">
        <f>qtrSales!J163</f>
        <v>932</v>
      </c>
      <c r="W161" s="23"/>
      <c r="X161" s="321">
        <f>H161/V161</f>
        <v>0.46856330472103008</v>
      </c>
      <c r="Y161" s="23"/>
      <c r="Z161" s="595">
        <f>(X161/X154-1)*100</f>
        <v>-1.9746294979810952</v>
      </c>
      <c r="AA161" s="99"/>
      <c r="AB161" s="235">
        <f>qtrSales!Z163</f>
        <v>7.2919999999999998</v>
      </c>
      <c r="AC161" s="23"/>
      <c r="AD161" s="322">
        <f>H161/AB161</f>
        <v>59.887685134393863</v>
      </c>
      <c r="AE161" s="23"/>
      <c r="AF161" s="595">
        <f>(AD161/AD154-1)*100</f>
        <v>-2.3043422537535885</v>
      </c>
      <c r="AG161" s="66"/>
      <c r="AH161" s="600">
        <f>((F161+('yrP&amp;L'!$Z$21/4))/J161)</f>
        <v>1.0428286468857932</v>
      </c>
      <c r="AI161" s="605"/>
      <c r="AJ161" s="99"/>
      <c r="AK161" s="602">
        <f>J161/(F161/(365/4))</f>
        <v>108.24782909244641</v>
      </c>
      <c r="AL161" s="23"/>
      <c r="AM161" s="606" t="s">
        <v>251</v>
      </c>
      <c r="AN161" s="23"/>
      <c r="AO161" s="336">
        <f>(+'qtrP&amp;L'!CG45-N161)/100</f>
        <v>0.18345377135649393</v>
      </c>
    </row>
    <row r="162" spans="1:41">
      <c r="A162" s="116"/>
      <c r="B162" s="116" t="str">
        <f>$B$15</f>
        <v>Year</v>
      </c>
      <c r="C162" s="23"/>
      <c r="D162" s="319">
        <f>'qtrP&amp;L'!CJ14</f>
        <v>3518.6800000000003</v>
      </c>
      <c r="E162" s="23"/>
      <c r="F162" s="319">
        <f>'qtrP&amp;L'!CJ24</f>
        <v>1340.49</v>
      </c>
      <c r="G162" s="23"/>
      <c r="H162" s="23"/>
      <c r="I162" s="23"/>
      <c r="J162" s="319">
        <f>AVERAGE(J158:J161)</f>
        <v>492.47787500000004</v>
      </c>
      <c r="K162" s="23"/>
      <c r="L162" s="599">
        <f>(D162/D155-1)*100</f>
        <v>-6.0189154467245043</v>
      </c>
      <c r="M162" s="258"/>
      <c r="N162" s="23"/>
      <c r="O162" s="99"/>
      <c r="P162" s="23"/>
      <c r="Q162" s="99"/>
      <c r="R162" s="607">
        <f>F162/J162</f>
        <v>2.7219293861678557</v>
      </c>
      <c r="S162" s="608" t="s">
        <v>177</v>
      </c>
      <c r="T162" s="33"/>
      <c r="U162" s="23"/>
      <c r="V162" s="23"/>
      <c r="W162" s="23"/>
      <c r="X162" s="23"/>
      <c r="Y162" s="23"/>
      <c r="Z162" s="23"/>
      <c r="AA162" s="99"/>
      <c r="AB162" s="116"/>
      <c r="AC162" s="23"/>
      <c r="AD162" s="23"/>
      <c r="AE162" s="23"/>
      <c r="AF162" s="23"/>
      <c r="AG162" s="66"/>
      <c r="AH162" s="609">
        <f>((F162+('yrP&amp;L'!$Z$21/4))/J162)</f>
        <v>2.932597225814459</v>
      </c>
      <c r="AI162" s="610" t="s">
        <v>177</v>
      </c>
      <c r="AJ162" s="99"/>
      <c r="AK162" s="23"/>
      <c r="AL162" s="23"/>
      <c r="AM162" s="23"/>
      <c r="AN162" s="23"/>
      <c r="AO162" s="23"/>
    </row>
    <row r="163" spans="1:41">
      <c r="A163" s="23"/>
      <c r="B163" s="23"/>
      <c r="C163" s="23"/>
      <c r="D163" s="28"/>
      <c r="E163" s="23"/>
      <c r="F163" s="28"/>
      <c r="G163" s="23"/>
      <c r="H163" s="23"/>
      <c r="I163" s="23"/>
      <c r="J163" s="28"/>
      <c r="K163" s="23"/>
      <c r="L163" s="35"/>
      <c r="M163" s="99"/>
      <c r="N163" s="35"/>
      <c r="O163" s="99"/>
      <c r="P163" s="23"/>
      <c r="Q163" s="99"/>
      <c r="R163" s="340"/>
      <c r="S163" s="27"/>
      <c r="T163" s="33"/>
      <c r="U163" s="23"/>
      <c r="V163" s="23"/>
      <c r="W163" s="23"/>
      <c r="X163" s="23"/>
      <c r="Y163" s="23"/>
      <c r="Z163" s="23"/>
      <c r="AA163" s="99"/>
      <c r="AB163" s="23"/>
      <c r="AC163" s="23"/>
      <c r="AD163" s="23"/>
      <c r="AE163" s="23"/>
      <c r="AF163" s="23"/>
      <c r="AG163" s="66"/>
      <c r="AH163" s="268"/>
      <c r="AI163" s="276"/>
      <c r="AJ163" s="99"/>
      <c r="AK163" s="23"/>
      <c r="AL163" s="23"/>
      <c r="AM163" s="23"/>
      <c r="AN163" s="23"/>
      <c r="AO163" s="23"/>
    </row>
    <row r="164" spans="1:41">
      <c r="A164" s="116"/>
      <c r="B164" s="721" t="s">
        <v>1433</v>
      </c>
      <c r="C164" s="23"/>
      <c r="D164" s="28"/>
      <c r="E164" s="23"/>
      <c r="F164" s="28"/>
      <c r="G164" s="23"/>
      <c r="H164" s="23"/>
      <c r="I164" s="23"/>
      <c r="J164" s="28"/>
      <c r="K164" s="23"/>
      <c r="L164" s="35"/>
      <c r="M164" s="99"/>
      <c r="N164" s="23"/>
      <c r="O164" s="99"/>
      <c r="P164" s="23"/>
      <c r="Q164" s="99"/>
      <c r="R164" s="340"/>
      <c r="S164" s="27"/>
      <c r="T164" s="33"/>
      <c r="U164" s="23"/>
      <c r="V164" s="23"/>
      <c r="W164" s="23"/>
      <c r="X164" s="23"/>
      <c r="Y164" s="23"/>
      <c r="Z164" s="23"/>
      <c r="AA164" s="99"/>
      <c r="AB164" s="23"/>
      <c r="AC164" s="23"/>
      <c r="AD164" s="23"/>
      <c r="AE164" s="23"/>
      <c r="AF164" s="23"/>
      <c r="AG164" s="66"/>
      <c r="AH164" s="268"/>
      <c r="AI164" s="276"/>
      <c r="AJ164" s="99"/>
      <c r="AK164" s="23"/>
      <c r="AL164" s="23"/>
      <c r="AM164" s="23"/>
      <c r="AN164" s="23"/>
      <c r="AO164" s="23"/>
    </row>
    <row r="165" spans="1:41">
      <c r="A165" s="116" t="str">
        <f>$A$11</f>
        <v>1Q</v>
      </c>
      <c r="B165" s="116" t="str">
        <f>$B$11</f>
        <v>Apr</v>
      </c>
      <c r="C165" s="23"/>
      <c r="D165" s="319">
        <f>'qtrP&amp;L'!CN10</f>
        <v>685.48299999999995</v>
      </c>
      <c r="E165" s="23"/>
      <c r="F165" s="319">
        <f>'qtrP&amp;L'!CN20</f>
        <v>259.762</v>
      </c>
      <c r="G165" s="23"/>
      <c r="H165" s="283">
        <f>work!CL10</f>
        <v>435.66300000000001</v>
      </c>
      <c r="I165" s="23"/>
      <c r="J165" s="319">
        <f>AVERAGE(H165,H161)</f>
        <v>436.18200000000002</v>
      </c>
      <c r="K165" s="23"/>
      <c r="L165" s="599">
        <f>(D165/D158-1)*100</f>
        <v>-3.3744372179041693</v>
      </c>
      <c r="M165" s="258" t="s">
        <v>76</v>
      </c>
      <c r="N165" s="31">
        <f>(H165/H158-1)*100</f>
        <v>-1.2113241346469961</v>
      </c>
      <c r="O165" s="99" t="s">
        <v>76</v>
      </c>
      <c r="P165" s="599">
        <f>(H165/H161-1)*100</f>
        <v>-0.23769123496396594</v>
      </c>
      <c r="Q165" s="258" t="s">
        <v>76</v>
      </c>
      <c r="R165" s="321">
        <f>F165/J165</f>
        <v>0.59553580844693266</v>
      </c>
      <c r="S165" s="116" t="s">
        <v>177</v>
      </c>
      <c r="T165" s="33">
        <f>F169/H165</f>
        <v>2.9797618801688461</v>
      </c>
      <c r="U165" s="23"/>
      <c r="V165" s="68">
        <f>qtrSales!J167</f>
        <v>925</v>
      </c>
      <c r="W165" s="23"/>
      <c r="X165" s="33">
        <f>H165/V165</f>
        <v>0.47098702702702705</v>
      </c>
      <c r="Y165" s="23"/>
      <c r="Z165" s="73">
        <f>(X165/X158-1)*100</f>
        <v>2.7402228999671152</v>
      </c>
      <c r="AA165" s="99"/>
      <c r="AB165" s="104">
        <f>qtrSales!Z167</f>
        <v>7.2089999999999996</v>
      </c>
      <c r="AC165" s="23"/>
      <c r="AD165" s="109">
        <f>H165/AB165</f>
        <v>60.433208489388271</v>
      </c>
      <c r="AE165" s="23"/>
      <c r="AF165" s="595">
        <f>(AD165/AD158-1)*100</f>
        <v>2.1734453117037145</v>
      </c>
      <c r="AG165" s="277" t="s">
        <v>76</v>
      </c>
      <c r="AH165" s="600">
        <f>((F165+('yrP&amp;L'!$AA$21/4))/J165)</f>
        <v>0.83641289645148131</v>
      </c>
      <c r="AI165" s="601" t="s">
        <v>177</v>
      </c>
      <c r="AJ165" s="99"/>
      <c r="AK165" s="602">
        <f>J165/(F165/(365/4))</f>
        <v>153.22336407942655</v>
      </c>
      <c r="AL165" s="23"/>
      <c r="AM165" s="602">
        <f>H165/(F166/(365/4))</f>
        <v>129.89334772081961</v>
      </c>
      <c r="AN165" s="23"/>
      <c r="AO165" s="336">
        <f>(+L166-N165)/100</f>
        <v>-3.0192776585529327E-2</v>
      </c>
    </row>
    <row r="166" spans="1:41">
      <c r="A166" s="116" t="str">
        <f>$A$12</f>
        <v>2Q</v>
      </c>
      <c r="B166" s="116" t="str">
        <f>$B$12</f>
        <v>Jul</v>
      </c>
      <c r="C166" s="23"/>
      <c r="D166" s="320">
        <f>'qtrP&amp;L'!CN11</f>
        <v>783.16</v>
      </c>
      <c r="E166" s="23"/>
      <c r="F166" s="320">
        <f>'qtrP&amp;L'!CN21</f>
        <v>306.053</v>
      </c>
      <c r="G166" s="23"/>
      <c r="H166" s="283">
        <f>work!CL11</f>
        <v>453.17500000000001</v>
      </c>
      <c r="I166" s="23"/>
      <c r="J166" s="320">
        <f>AVERAGE(H165:H166)</f>
        <v>444.41899999999998</v>
      </c>
      <c r="K166" s="23"/>
      <c r="L166" s="599">
        <f>(D166/D159-1)*100</f>
        <v>-4.2306017931999289</v>
      </c>
      <c r="M166" s="258"/>
      <c r="N166" s="31">
        <f>(H166/H159-1)*100</f>
        <v>-5.3159304497532478</v>
      </c>
      <c r="O166" s="99"/>
      <c r="P166" s="599">
        <f>(H166/H165-1)*100</f>
        <v>4.0196206701051063</v>
      </c>
      <c r="Q166" s="258"/>
      <c r="R166" s="321">
        <f>F166/J166</f>
        <v>0.68865867570918438</v>
      </c>
      <c r="S166" s="116"/>
      <c r="T166" s="321">
        <f>F167/H166</f>
        <v>0.68625806807524681</v>
      </c>
      <c r="U166" s="23"/>
      <c r="V166" s="68">
        <f>qtrSales!J168</f>
        <v>926</v>
      </c>
      <c r="W166" s="23"/>
      <c r="X166" s="321">
        <f>H166/V166</f>
        <v>0.48938984881209502</v>
      </c>
      <c r="Y166" s="23"/>
      <c r="Z166" s="595">
        <f>(X166/X159-1)*100</f>
        <v>-2.4529132279315302</v>
      </c>
      <c r="AA166" s="99"/>
      <c r="AB166" s="104">
        <f>qtrSales!Z168</f>
        <v>7.2089999999999996</v>
      </c>
      <c r="AC166" s="23"/>
      <c r="AD166" s="110">
        <f>H166/AB166</f>
        <v>62.862394229435431</v>
      </c>
      <c r="AE166" s="23"/>
      <c r="AF166" s="595">
        <f>(AD166/AD159-1)*100</f>
        <v>-2.3607472553010989</v>
      </c>
      <c r="AG166" s="66"/>
      <c r="AH166" s="600">
        <f>((F166+('yrP&amp;L'!$AA$21/4))/J166)</f>
        <v>0.9250712728303695</v>
      </c>
      <c r="AI166" s="601"/>
      <c r="AJ166" s="99"/>
      <c r="AK166" s="602">
        <f>J166/(F166/(365/4))</f>
        <v>132.50395764785836</v>
      </c>
      <c r="AL166" s="23"/>
      <c r="AM166" s="602">
        <f>H166/(F167/(365/4))</f>
        <v>132.96747134198299</v>
      </c>
      <c r="AN166" s="23"/>
      <c r="AO166" s="336">
        <f>(+L167-N166)/100</f>
        <v>-1.1534311961903914E-2</v>
      </c>
    </row>
    <row r="167" spans="1:41">
      <c r="A167" s="116" t="str">
        <f>$A$13</f>
        <v>3Q</v>
      </c>
      <c r="B167" s="116" t="str">
        <f>$B$13</f>
        <v>Oct</v>
      </c>
      <c r="C167" s="23"/>
      <c r="D167" s="320">
        <f>'qtrP&amp;L'!CN12</f>
        <v>821.73400000000004</v>
      </c>
      <c r="E167" s="23"/>
      <c r="F167" s="320">
        <f>'qtrP&amp;L'!CN22</f>
        <v>310.995</v>
      </c>
      <c r="G167" s="23"/>
      <c r="H167" s="283">
        <f>work!CL12</f>
        <v>516.14599999999996</v>
      </c>
      <c r="I167" s="23"/>
      <c r="J167" s="320">
        <f>AVERAGE(H166:H167)</f>
        <v>484.66049999999996</v>
      </c>
      <c r="K167" s="23"/>
      <c r="L167" s="599">
        <f>(D167/D160-1)*100</f>
        <v>-6.4693616459436392</v>
      </c>
      <c r="M167" s="258"/>
      <c r="N167" s="31">
        <f>(H167/H160-1)*100</f>
        <v>-14.196039837683561</v>
      </c>
      <c r="O167" s="99"/>
      <c r="P167" s="599">
        <f>(H167/H166-1)*100</f>
        <v>13.895514977657619</v>
      </c>
      <c r="Q167" s="258"/>
      <c r="R167" s="321">
        <f>F167/J167</f>
        <v>0.64167597730782688</v>
      </c>
      <c r="S167" s="116"/>
      <c r="T167" s="321">
        <f>F168/H167</f>
        <v>0.81636203709803057</v>
      </c>
      <c r="U167" s="23"/>
      <c r="V167" s="68">
        <f>qtrSales!J169</f>
        <v>930</v>
      </c>
      <c r="W167" s="23"/>
      <c r="X167" s="321">
        <f>H167/V167</f>
        <v>0.55499569892473111</v>
      </c>
      <c r="Y167" s="23"/>
      <c r="Z167" s="595">
        <f>(X167/X160-1)*100</f>
        <v>-10.966858541252311</v>
      </c>
      <c r="AA167" s="99"/>
      <c r="AB167" s="104">
        <f>qtrSales!Z169</f>
        <v>7.2190000000000003</v>
      </c>
      <c r="AC167" s="23"/>
      <c r="AD167" s="110">
        <f>H167/AB167</f>
        <v>71.498268458235202</v>
      </c>
      <c r="AE167" s="23"/>
      <c r="AF167" s="595">
        <f>(AD167/AD160-1)*100</f>
        <v>-11.129490215592186</v>
      </c>
      <c r="AG167" s="66"/>
      <c r="AH167" s="600">
        <f>((F167+('yrP&amp;L'!$AA$21/4))/J167)</f>
        <v>0.85845916884086904</v>
      </c>
      <c r="AI167" s="601"/>
      <c r="AJ167" s="99"/>
      <c r="AK167" s="602">
        <f>J167/(F167/(365/4))</f>
        <v>142.20572878985192</v>
      </c>
      <c r="AL167" s="23"/>
      <c r="AM167" s="602">
        <f>H167/(F168/(365/4))</f>
        <v>111.77638823624341</v>
      </c>
      <c r="AN167" s="23"/>
      <c r="AO167" s="336">
        <f>(+L168-N167)/100</f>
        <v>7.31627201760503E-2</v>
      </c>
    </row>
    <row r="168" spans="1:41">
      <c r="A168" s="116" t="str">
        <f>$A$14</f>
        <v>4Q</v>
      </c>
      <c r="B168" s="116" t="str">
        <f>$B$14</f>
        <v>Jan</v>
      </c>
      <c r="C168" s="23"/>
      <c r="D168" s="279">
        <f>'qtrP&amp;L'!CN13</f>
        <v>1036.3630000000001</v>
      </c>
      <c r="E168" s="23"/>
      <c r="F168" s="279">
        <f>'qtrP&amp;L'!CN23</f>
        <v>421.36200000000002</v>
      </c>
      <c r="G168" s="23"/>
      <c r="H168" s="283">
        <f>work!CL13</f>
        <v>399.79500000000002</v>
      </c>
      <c r="I168" s="23"/>
      <c r="J168" s="279">
        <f>AVERAGE(H167:H168)</f>
        <v>457.97050000000002</v>
      </c>
      <c r="K168" s="23"/>
      <c r="L168" s="603">
        <f>(D168/D161-1)*100</f>
        <v>-6.8797678200785306</v>
      </c>
      <c r="M168" s="258"/>
      <c r="N168" s="31">
        <f>(H168/H161-1)*100</f>
        <v>-8.4510912500772797</v>
      </c>
      <c r="O168" s="99"/>
      <c r="P168" s="599">
        <f>(H168/H167-1)*100</f>
        <v>-22.542265173032426</v>
      </c>
      <c r="Q168" s="258"/>
      <c r="R168" s="321">
        <f>F168/J168</f>
        <v>0.92006362855249413</v>
      </c>
      <c r="S168" s="116"/>
      <c r="T168" s="604" t="s">
        <v>251</v>
      </c>
      <c r="U168" s="23"/>
      <c r="V168" s="68">
        <f>qtrSales!J170</f>
        <v>898</v>
      </c>
      <c r="W168" s="23"/>
      <c r="X168" s="321">
        <f>H168/V168</f>
        <v>0.44520601336302895</v>
      </c>
      <c r="Y168" s="23"/>
      <c r="Z168" s="595">
        <f>(X168/X161-1)*100</f>
        <v>-4.9848742150022662</v>
      </c>
      <c r="AA168" s="99"/>
      <c r="AB168" s="104">
        <f>qtrSales!Z170</f>
        <v>7.0069999999999997</v>
      </c>
      <c r="AC168" s="23"/>
      <c r="AD168" s="322">
        <f>H168/AB168</f>
        <v>57.056514913657779</v>
      </c>
      <c r="AE168" s="23"/>
      <c r="AF168" s="595">
        <f>(AD168/AD161-1)*100</f>
        <v>-4.7274664472047316</v>
      </c>
      <c r="AG168" s="66"/>
      <c r="AH168" s="600">
        <f>((F168+('yrP&amp;L'!$AA$21/4))/J168)</f>
        <v>1.1494806979925563</v>
      </c>
      <c r="AI168" s="605"/>
      <c r="AJ168" s="99"/>
      <c r="AK168" s="602">
        <f>J168/(F168/(365/4))</f>
        <v>99.177923317717315</v>
      </c>
      <c r="AL168" s="23"/>
      <c r="AM168" s="606" t="s">
        <v>251</v>
      </c>
      <c r="AN168" s="23"/>
      <c r="AO168" s="336">
        <f>(+'qtrP&amp;L'!CG52-N168)/100</f>
        <v>0.64950987569470597</v>
      </c>
    </row>
    <row r="169" spans="1:41">
      <c r="A169" s="116"/>
      <c r="B169" s="116" t="str">
        <f>$B$15</f>
        <v>Year</v>
      </c>
      <c r="C169" s="23"/>
      <c r="D169" s="319">
        <f>'qtrP&amp;L'!CN14</f>
        <v>3326.74</v>
      </c>
      <c r="E169" s="23"/>
      <c r="F169" s="319">
        <f>'qtrP&amp;L'!CN24</f>
        <v>1298.172</v>
      </c>
      <c r="G169" s="23"/>
      <c r="H169" s="23"/>
      <c r="I169" s="23"/>
      <c r="J169" s="319">
        <f>AVERAGE(J165:J168)</f>
        <v>455.80799999999999</v>
      </c>
      <c r="K169" s="23"/>
      <c r="L169" s="599">
        <f>(D169/D162-1)*100</f>
        <v>-5.4548864915252455</v>
      </c>
      <c r="M169" s="258"/>
      <c r="N169" s="23"/>
      <c r="O169" s="99"/>
      <c r="P169" s="23"/>
      <c r="Q169" s="99"/>
      <c r="R169" s="607">
        <f>F169/J169</f>
        <v>2.8480676074136482</v>
      </c>
      <c r="S169" s="608" t="s">
        <v>177</v>
      </c>
      <c r="T169" s="33"/>
      <c r="U169" s="23"/>
      <c r="V169" s="23"/>
      <c r="W169" s="23"/>
      <c r="X169" s="23"/>
      <c r="Y169" s="23"/>
      <c r="Z169" s="23"/>
      <c r="AA169" s="99"/>
      <c r="AB169" s="116"/>
      <c r="AC169" s="23"/>
      <c r="AD169" s="23"/>
      <c r="AE169" s="23"/>
      <c r="AF169" s="23"/>
      <c r="AG169" s="66"/>
      <c r="AH169" s="609">
        <f>((F169+('yrP&amp;L'!$AA$21/4))/J169)</f>
        <v>3.0785731053426009</v>
      </c>
      <c r="AI169" s="610" t="s">
        <v>177</v>
      </c>
      <c r="AJ169" s="99"/>
      <c r="AK169" s="23"/>
      <c r="AL169" s="23"/>
      <c r="AM169" s="23"/>
      <c r="AN169" s="23"/>
      <c r="AO169" s="23"/>
    </row>
    <row r="170" spans="1:41">
      <c r="A170" s="23"/>
      <c r="B170" s="23"/>
      <c r="C170" s="23"/>
      <c r="D170" s="319"/>
      <c r="E170" s="23"/>
      <c r="F170" s="28"/>
      <c r="G170" s="23"/>
      <c r="H170" s="23"/>
      <c r="I170" s="23"/>
      <c r="J170" s="28"/>
      <c r="K170" s="23"/>
      <c r="L170" s="35"/>
      <c r="M170" s="99"/>
      <c r="N170" s="23"/>
      <c r="O170" s="99"/>
      <c r="P170" s="23"/>
      <c r="Q170" s="99"/>
      <c r="R170" s="340"/>
      <c r="S170" s="27"/>
      <c r="T170" s="33"/>
      <c r="U170" s="23"/>
      <c r="V170" s="23"/>
      <c r="W170" s="23"/>
      <c r="X170" s="23"/>
      <c r="Y170" s="23"/>
      <c r="Z170" s="23"/>
      <c r="AA170" s="99"/>
      <c r="AB170" s="23"/>
      <c r="AC170" s="23"/>
      <c r="AD170" s="23"/>
      <c r="AE170" s="23"/>
      <c r="AF170" s="23"/>
      <c r="AG170" s="66"/>
      <c r="AH170" s="268"/>
      <c r="AI170" s="276"/>
      <c r="AJ170" s="99"/>
      <c r="AK170" s="23"/>
      <c r="AL170" s="23"/>
      <c r="AM170" s="23"/>
      <c r="AN170" s="23"/>
      <c r="AO170" s="23"/>
    </row>
    <row r="171" spans="1:41">
      <c r="A171" s="116"/>
      <c r="B171" s="721" t="s">
        <v>1437</v>
      </c>
      <c r="C171" s="23"/>
      <c r="D171" s="28"/>
      <c r="E171" s="23"/>
      <c r="F171" s="28"/>
      <c r="G171" s="23"/>
      <c r="H171" s="23"/>
      <c r="I171" s="23"/>
      <c r="J171" s="28"/>
      <c r="K171" s="23"/>
      <c r="L171" s="35"/>
      <c r="M171" s="99"/>
      <c r="N171" s="23"/>
      <c r="O171" s="99"/>
      <c r="P171" s="23"/>
      <c r="Q171" s="99"/>
      <c r="R171" s="340"/>
      <c r="S171" s="27"/>
      <c r="T171" s="33"/>
      <c r="U171" s="23"/>
      <c r="V171" s="23"/>
      <c r="W171" s="23"/>
      <c r="X171" s="23"/>
      <c r="Y171" s="23"/>
      <c r="Z171" s="23"/>
      <c r="AA171" s="99"/>
      <c r="AB171" s="23"/>
      <c r="AC171" s="23"/>
      <c r="AD171" s="23"/>
      <c r="AE171" s="23"/>
      <c r="AF171" s="23"/>
      <c r="AG171" s="66"/>
      <c r="AH171" s="268"/>
      <c r="AI171" s="276"/>
      <c r="AJ171" s="99"/>
      <c r="AK171" s="23"/>
      <c r="AL171" s="23"/>
      <c r="AM171" s="23"/>
      <c r="AN171" s="23"/>
      <c r="AO171" s="23"/>
    </row>
    <row r="172" spans="1:41">
      <c r="A172" s="116" t="str">
        <f>$A$11</f>
        <v>1Q</v>
      </c>
      <c r="B172" s="116" t="str">
        <f>$B$11</f>
        <v>Apr</v>
      </c>
      <c r="C172" s="23"/>
      <c r="D172" s="319">
        <f>'qtrP&amp;L'!CR10</f>
        <v>661.09900000000005</v>
      </c>
      <c r="E172" s="23"/>
      <c r="F172" s="319">
        <f>'qtrP&amp;L'!CR20</f>
        <v>262.17399999999998</v>
      </c>
      <c r="G172" s="23"/>
      <c r="H172" s="283">
        <f>work!CP10</f>
        <v>398.75</v>
      </c>
      <c r="I172" s="23"/>
      <c r="J172" s="319">
        <f>AVERAGE(H172,H168)</f>
        <v>399.27250000000004</v>
      </c>
      <c r="K172" s="23"/>
      <c r="L172" s="599">
        <f>(D172/D165-1)*100</f>
        <v>-3.5571998138538619</v>
      </c>
      <c r="M172" s="258" t="s">
        <v>76</v>
      </c>
      <c r="N172" s="31">
        <f>(H172/H165-1)*100</f>
        <v>-8.4728333597298811</v>
      </c>
      <c r="O172" s="99" t="s">
        <v>76</v>
      </c>
      <c r="P172" s="599">
        <f>(H172/H168-1)*100</f>
        <v>-0.26138395927913782</v>
      </c>
      <c r="Q172" s="258" t="s">
        <v>76</v>
      </c>
      <c r="R172" s="321">
        <f>F172/J172</f>
        <v>0.65662924443832205</v>
      </c>
      <c r="S172" s="116" t="s">
        <v>177</v>
      </c>
      <c r="T172" s="33">
        <f>F176/H172</f>
        <v>3.255603761755486</v>
      </c>
      <c r="U172" s="23"/>
      <c r="V172" s="68">
        <f>qtrSales!J174</f>
        <v>893</v>
      </c>
      <c r="W172" s="23"/>
      <c r="X172" s="33">
        <f>H172/V172</f>
        <v>0.44652855543113101</v>
      </c>
      <c r="Y172" s="23"/>
      <c r="Z172" s="73">
        <f>(X172/X165-1)*100</f>
        <v>-5.1930244767638856</v>
      </c>
      <c r="AA172" s="99"/>
      <c r="AB172" s="104">
        <f>qtrSales!Z174</f>
        <v>6.9390000000000001</v>
      </c>
      <c r="AC172" s="23"/>
      <c r="AD172" s="109">
        <f>H172/AB172</f>
        <v>57.465052601239371</v>
      </c>
      <c r="AE172" s="23"/>
      <c r="AF172" s="595">
        <f>(AD172/AD165-1)*100</f>
        <v>-4.9114650079684079</v>
      </c>
      <c r="AG172" s="277" t="s">
        <v>76</v>
      </c>
      <c r="AH172" s="600">
        <f>((F172+('yrP&amp;L'!$AB$21/4))/J172)</f>
        <v>0.908875705188812</v>
      </c>
      <c r="AI172" s="601" t="s">
        <v>177</v>
      </c>
      <c r="AJ172" s="99"/>
      <c r="AK172" s="602">
        <f>J172/(F172/(365/4))</f>
        <v>138.96731035495515</v>
      </c>
      <c r="AL172" s="23"/>
      <c r="AM172" s="602">
        <f>H172/(F173/(365/4))</f>
        <v>114.26811095827603</v>
      </c>
      <c r="AN172" s="23"/>
      <c r="AO172" s="336">
        <f>(+L173-N172)/100</f>
        <v>7.9826397849814379E-2</v>
      </c>
    </row>
    <row r="173" spans="1:41">
      <c r="A173" s="116" t="str">
        <f>$A$12</f>
        <v>2Q</v>
      </c>
      <c r="B173" s="116" t="str">
        <f>$B$12</f>
        <v>Jul</v>
      </c>
      <c r="C173" s="23"/>
      <c r="D173" s="320">
        <f>'qtrP&amp;L'!CR11</f>
        <v>779.32100000000003</v>
      </c>
      <c r="E173" s="23"/>
      <c r="F173" s="320">
        <f>'qtrP&amp;L'!CR21</f>
        <v>318.42599999999999</v>
      </c>
      <c r="G173" s="23"/>
      <c r="H173" s="283">
        <f>work!CP11</f>
        <v>471.03699999999998</v>
      </c>
      <c r="I173" s="23"/>
      <c r="J173" s="320">
        <f>AVERAGE(H172:H173)</f>
        <v>434.89350000000002</v>
      </c>
      <c r="K173" s="23"/>
      <c r="L173" s="599">
        <f>(D173/D166-1)*100</f>
        <v>-0.49019357474844316</v>
      </c>
      <c r="M173" s="258"/>
      <c r="N173" s="31">
        <f>(H173/H166-1)*100</f>
        <v>3.94152369393721</v>
      </c>
      <c r="O173" s="99"/>
      <c r="P173" s="599">
        <f>(H173/H172-1)*100</f>
        <v>18.128401253918479</v>
      </c>
      <c r="Q173" s="258"/>
      <c r="R173" s="321">
        <f>F173/J173</f>
        <v>0.73219305416153602</v>
      </c>
      <c r="S173" s="116"/>
      <c r="T173" s="321">
        <f>F174/H173</f>
        <v>0.70585750163999861</v>
      </c>
      <c r="U173" s="23"/>
      <c r="V173" s="68">
        <f>qtrSales!J175</f>
        <v>891</v>
      </c>
      <c r="W173" s="23"/>
      <c r="X173" s="321">
        <f>H173/V173</f>
        <v>0.52866105499438831</v>
      </c>
      <c r="Y173" s="23"/>
      <c r="Z173" s="595">
        <f>(X173/X166-1)*100</f>
        <v>8.0245240635082649</v>
      </c>
      <c r="AA173" s="99"/>
      <c r="AB173" s="104">
        <f>qtrSales!Z175</f>
        <v>6.9080000000000004</v>
      </c>
      <c r="AC173" s="23"/>
      <c r="AD173" s="110">
        <f>H173/AB173</f>
        <v>68.187174290677476</v>
      </c>
      <c r="AE173" s="23"/>
      <c r="AF173" s="595">
        <f>(AD173/AD166-1)*100</f>
        <v>8.4705333395473925</v>
      </c>
      <c r="AG173" s="66"/>
      <c r="AH173" s="600">
        <f>((F173+('yrP&amp;L'!$AB$21/4))/J173)</f>
        <v>0.96377866075257501</v>
      </c>
      <c r="AI173" s="601"/>
      <c r="AJ173" s="99"/>
      <c r="AK173" s="602">
        <f>J173/(F173/(365/4))</f>
        <v>124.62560178817057</v>
      </c>
      <c r="AL173" s="23"/>
      <c r="AM173" s="602">
        <f>H173/(F174/(365/4))</f>
        <v>129.27538460381669</v>
      </c>
      <c r="AN173" s="23"/>
      <c r="AO173" s="336">
        <f>(+L174-N173)/100</f>
        <v>6.0715020783634888E-3</v>
      </c>
    </row>
    <row r="174" spans="1:41">
      <c r="A174" s="116" t="str">
        <f>$A$13</f>
        <v>3Q</v>
      </c>
      <c r="B174" s="116" t="str">
        <f>$B$13</f>
        <v>Oct</v>
      </c>
      <c r="C174" s="23"/>
      <c r="D174" s="320">
        <f>'qtrP&amp;L'!CR12</f>
        <v>859.11199999999997</v>
      </c>
      <c r="E174" s="23"/>
      <c r="F174" s="320">
        <f>'qtrP&amp;L'!CR22</f>
        <v>332.48500000000001</v>
      </c>
      <c r="G174" s="23"/>
      <c r="H174" s="283">
        <f>work!CP12</f>
        <v>570.48400000000004</v>
      </c>
      <c r="I174" s="23"/>
      <c r="J174" s="320">
        <f>AVERAGE(H173:H174)</f>
        <v>520.76049999999998</v>
      </c>
      <c r="K174" s="23"/>
      <c r="L174" s="599">
        <f>(D174/D167-1)*100</f>
        <v>4.5486739017735589</v>
      </c>
      <c r="M174" s="258"/>
      <c r="N174" s="31">
        <f>(H174/H167-1)*100</f>
        <v>10.527641403788856</v>
      </c>
      <c r="O174" s="99"/>
      <c r="P174" s="599">
        <f>(H174/H173-1)*100</f>
        <v>21.112354231196285</v>
      </c>
      <c r="Q174" s="258"/>
      <c r="R174" s="321">
        <f>F174/J174</f>
        <v>0.63846048231384678</v>
      </c>
      <c r="S174" s="116"/>
      <c r="T174" s="321">
        <f>F175/H174</f>
        <v>0.86902174294108148</v>
      </c>
      <c r="U174" s="23"/>
      <c r="V174" s="68">
        <f>qtrSales!J176</f>
        <v>889</v>
      </c>
      <c r="W174" s="23"/>
      <c r="X174" s="321">
        <f>H174/V174</f>
        <v>0.64171428571428579</v>
      </c>
      <c r="Y174" s="23"/>
      <c r="Z174" s="595">
        <f>(X174/X167-1)*100</f>
        <v>15.625091682253833</v>
      </c>
      <c r="AA174" s="99"/>
      <c r="AB174" s="104">
        <f>qtrSales!Z176</f>
        <v>6.88</v>
      </c>
      <c r="AC174" s="23"/>
      <c r="AD174" s="110">
        <f>H174/AB174</f>
        <v>82.919186046511641</v>
      </c>
      <c r="AE174" s="23"/>
      <c r="AF174" s="595">
        <f>(AD174/AD167-1)*100</f>
        <v>15.973698153190696</v>
      </c>
      <c r="AG174" s="66"/>
      <c r="AH174" s="600">
        <f>((F174+('yrP&amp;L'!$AB$21/4))/J174)</f>
        <v>0.8318604713683162</v>
      </c>
      <c r="AI174" s="601"/>
      <c r="AJ174" s="99"/>
      <c r="AK174" s="602">
        <f>J174/(F174/(365/4))</f>
        <v>142.92192316946628</v>
      </c>
      <c r="AL174" s="23"/>
      <c r="AM174" s="602">
        <f>H174/(F175/(365/4))</f>
        <v>105.00312649390941</v>
      </c>
      <c r="AN174" s="23"/>
      <c r="AO174" s="336">
        <f>(+L175-N174)/100</f>
        <v>4.6017099914269062E-2</v>
      </c>
    </row>
    <row r="175" spans="1:41">
      <c r="A175" s="116" t="str">
        <f>$A$14</f>
        <v>4Q</v>
      </c>
      <c r="B175" s="116" t="str">
        <f>$B$14</f>
        <v>Jan</v>
      </c>
      <c r="C175" s="23"/>
      <c r="D175" s="279">
        <f>'qtrP&amp;L'!CR13</f>
        <v>1193.1579999999999</v>
      </c>
      <c r="E175" s="23"/>
      <c r="F175" s="279">
        <f>'qtrP&amp;L'!CR23</f>
        <v>495.76299999999998</v>
      </c>
      <c r="G175" s="23"/>
      <c r="H175" s="283">
        <f>work!CP13</f>
        <v>424.39299999999997</v>
      </c>
      <c r="I175" s="23"/>
      <c r="J175" s="279">
        <f>AVERAGE(H174:H175)</f>
        <v>497.43849999999998</v>
      </c>
      <c r="K175" s="23"/>
      <c r="L175" s="603">
        <f>(D175/D168-1)*100</f>
        <v>15.129351395215762</v>
      </c>
      <c r="M175" s="258"/>
      <c r="N175" s="31">
        <f>(H175/H168-1)*100</f>
        <v>6.1526532347828233</v>
      </c>
      <c r="O175" s="99"/>
      <c r="P175" s="599">
        <f>(H175/H174-1)*100</f>
        <v>-25.60825544625267</v>
      </c>
      <c r="Q175" s="258"/>
      <c r="R175" s="321">
        <f>F175/J175</f>
        <v>0.996631744426698</v>
      </c>
      <c r="S175" s="116"/>
      <c r="T175" s="604" t="s">
        <v>251</v>
      </c>
      <c r="U175" s="23"/>
      <c r="V175" s="68">
        <f>qtrSales!J177</f>
        <v>868</v>
      </c>
      <c r="W175" s="23"/>
      <c r="X175" s="321">
        <f>H175/V175</f>
        <v>0.48893202764976956</v>
      </c>
      <c r="Y175" s="23"/>
      <c r="Z175" s="595">
        <f>(X175/X168-1)*100</f>
        <v>9.8215237382891516</v>
      </c>
      <c r="AA175" s="99"/>
      <c r="AB175" s="104">
        <f>qtrSales!Z177</f>
        <v>6.8868139999999984</v>
      </c>
      <c r="AC175" s="23"/>
      <c r="AD175" s="322">
        <f>H175/AB175</f>
        <v>61.62399623396248</v>
      </c>
      <c r="AE175" s="23"/>
      <c r="AF175" s="35">
        <f>(AD175/AD168-1)*100</f>
        <v>8.0051880617253879</v>
      </c>
      <c r="AG175" s="66"/>
      <c r="AH175" s="600">
        <f>((F175+('yrP&amp;L'!$AB$21/4))/J175)</f>
        <v>1.1990991348679285</v>
      </c>
      <c r="AI175" s="605"/>
      <c r="AJ175" s="99"/>
      <c r="AK175" s="602">
        <f>J175/(F175/(365/4))</f>
        <v>91.558392064353328</v>
      </c>
      <c r="AL175" s="23"/>
      <c r="AM175" s="606" t="s">
        <v>251</v>
      </c>
      <c r="AN175" s="23"/>
      <c r="AO175" s="336">
        <f>(+'qtrP&amp;L'!CG59-N175)/100</f>
        <v>-6.1526532347828233E-2</v>
      </c>
    </row>
    <row r="176" spans="1:41">
      <c r="A176" s="116"/>
      <c r="B176" s="116" t="str">
        <f>$B$15</f>
        <v>Year</v>
      </c>
      <c r="C176" s="23"/>
      <c r="D176" s="319">
        <f>'qtrP&amp;L'!CR14</f>
        <v>3492.69</v>
      </c>
      <c r="E176" s="23"/>
      <c r="F176" s="319">
        <f>'qtrP&amp;L'!CN24</f>
        <v>1298.172</v>
      </c>
      <c r="G176" s="23"/>
      <c r="H176" s="23"/>
      <c r="I176" s="23"/>
      <c r="J176" s="319">
        <f>AVERAGE(J172:J175)</f>
        <v>463.09125</v>
      </c>
      <c r="K176" s="23"/>
      <c r="L176" s="599">
        <f>(D176/D169-1)*100</f>
        <v>4.9883669899060346</v>
      </c>
      <c r="M176" s="258"/>
      <c r="N176" s="23"/>
      <c r="O176" s="99"/>
      <c r="P176" s="23"/>
      <c r="Q176" s="99"/>
      <c r="R176" s="607">
        <f>F176/J176</f>
        <v>2.8032747325716043</v>
      </c>
      <c r="S176" s="608" t="s">
        <v>177</v>
      </c>
      <c r="T176" s="33"/>
      <c r="U176" s="23"/>
      <c r="V176" s="23"/>
      <c r="W176" s="23"/>
      <c r="X176" s="23"/>
      <c r="Y176" s="23"/>
      <c r="Z176" s="23"/>
      <c r="AA176" s="99"/>
      <c r="AB176" s="116"/>
      <c r="AC176" s="23"/>
      <c r="AD176" s="23"/>
      <c r="AE176" s="23"/>
      <c r="AF176" s="23"/>
      <c r="AG176" s="66"/>
      <c r="AH176" s="609">
        <f>((F176+('yrP&amp;L'!$AB$21/4))/J176)</f>
        <v>3.0207590296728779</v>
      </c>
      <c r="AI176" s="610" t="s">
        <v>177</v>
      </c>
      <c r="AJ176" s="99"/>
      <c r="AK176" s="23"/>
      <c r="AL176" s="23"/>
      <c r="AM176" s="23"/>
      <c r="AN176" s="23"/>
      <c r="AO176" s="23"/>
    </row>
    <row r="177" spans="1:41" s="2197" customFormat="1">
      <c r="A177" s="23"/>
      <c r="B177" s="23"/>
      <c r="C177" s="23"/>
      <c r="D177" s="319"/>
      <c r="E177" s="23"/>
      <c r="F177" s="28"/>
      <c r="G177" s="23"/>
      <c r="H177" s="23"/>
      <c r="I177" s="23"/>
      <c r="J177" s="28"/>
      <c r="K177" s="23"/>
      <c r="L177" s="35"/>
      <c r="M177" s="99"/>
      <c r="N177" s="23"/>
      <c r="O177" s="99"/>
      <c r="P177" s="23"/>
      <c r="Q177" s="99"/>
      <c r="R177" s="340"/>
      <c r="S177" s="27"/>
      <c r="T177" s="33"/>
      <c r="U177" s="23"/>
      <c r="V177" s="23"/>
      <c r="W177" s="23"/>
      <c r="X177" s="23"/>
      <c r="Y177" s="23"/>
      <c r="Z177" s="23"/>
      <c r="AA177" s="99"/>
      <c r="AB177" s="23"/>
      <c r="AC177" s="23"/>
      <c r="AD177" s="23"/>
      <c r="AE177" s="23"/>
      <c r="AF177" s="23"/>
      <c r="AG177" s="66"/>
      <c r="AH177" s="268"/>
      <c r="AI177" s="276"/>
      <c r="AJ177" s="99"/>
      <c r="AK177" s="23"/>
      <c r="AL177" s="23"/>
      <c r="AM177" s="23"/>
      <c r="AN177" s="23"/>
      <c r="AO177" s="23"/>
    </row>
    <row r="178" spans="1:41" s="2197" customFormat="1">
      <c r="A178" s="116"/>
      <c r="B178" s="596" t="s">
        <v>375</v>
      </c>
      <c r="C178" s="23"/>
      <c r="D178" s="28"/>
      <c r="E178" s="23"/>
      <c r="F178" s="28"/>
      <c r="G178" s="23"/>
      <c r="H178" s="23"/>
      <c r="I178" s="23"/>
      <c r="J178" s="28"/>
      <c r="K178" s="23"/>
      <c r="L178" s="35"/>
      <c r="M178" s="99"/>
      <c r="N178" s="23"/>
      <c r="O178" s="99"/>
      <c r="P178" s="23"/>
      <c r="Q178" s="99"/>
      <c r="R178" s="340"/>
      <c r="S178" s="27"/>
      <c r="T178" s="33"/>
      <c r="U178" s="23"/>
      <c r="V178" s="23"/>
      <c r="W178" s="23"/>
      <c r="X178" s="23"/>
      <c r="Y178" s="23"/>
      <c r="Z178" s="23"/>
      <c r="AA178" s="99"/>
      <c r="AB178" s="23"/>
      <c r="AC178" s="23"/>
      <c r="AD178" s="23"/>
      <c r="AE178" s="23"/>
      <c r="AF178" s="23"/>
      <c r="AG178" s="66"/>
      <c r="AH178" s="268"/>
      <c r="AI178" s="276"/>
      <c r="AJ178" s="99"/>
      <c r="AK178" s="23"/>
      <c r="AL178" s="23"/>
      <c r="AM178" s="23"/>
      <c r="AN178" s="23"/>
      <c r="AO178" s="23"/>
    </row>
    <row r="179" spans="1:41" s="2197" customFormat="1">
      <c r="A179" s="116" t="str">
        <f>$A$11</f>
        <v>1Q</v>
      </c>
      <c r="B179" s="116" t="str">
        <f>$B$11</f>
        <v>Apr</v>
      </c>
      <c r="C179" s="23"/>
      <c r="D179" s="319">
        <f>'qtrP&amp;L'!CV10</f>
        <v>699.03953011499993</v>
      </c>
      <c r="E179" s="23"/>
      <c r="F179" s="319">
        <f>'qtrP&amp;L'!CV20</f>
        <v>280.31485157611502</v>
      </c>
      <c r="G179" s="23"/>
      <c r="H179" s="283">
        <f t="shared" ref="H179:H180" si="0">AB179*AD179</f>
        <v>422.48206453379441</v>
      </c>
      <c r="I179" s="23"/>
      <c r="J179" s="319">
        <f>AVERAGE(H179,H175)</f>
        <v>423.43753226689716</v>
      </c>
      <c r="K179" s="23"/>
      <c r="L179" s="599">
        <f>(D179/D172-1)*100</f>
        <v>5.7390088496579006</v>
      </c>
      <c r="M179" s="258" t="s">
        <v>76</v>
      </c>
      <c r="N179" s="31">
        <f>(H179/H172-1)*100</f>
        <v>5.9516149301051868</v>
      </c>
      <c r="O179" s="99" t="s">
        <v>76</v>
      </c>
      <c r="P179" s="599">
        <f>(H179/H175-1)*100</f>
        <v>-0.45027497300982322</v>
      </c>
      <c r="Q179" s="258" t="s">
        <v>76</v>
      </c>
      <c r="R179" s="321">
        <f>F179/J179</f>
        <v>0.66199812301813055</v>
      </c>
      <c r="S179" s="116" t="s">
        <v>177</v>
      </c>
      <c r="T179" s="33">
        <f>F183/H179</f>
        <v>3.3621119459096342</v>
      </c>
      <c r="U179" s="23"/>
      <c r="V179" s="68">
        <f>qtrSales!J181</f>
        <v>889</v>
      </c>
      <c r="W179" s="23"/>
      <c r="X179" s="33">
        <f>H179/V179</f>
        <v>0.47523291848570798</v>
      </c>
      <c r="Y179" s="23"/>
      <c r="Z179" s="73">
        <f>(X179/X172-1)*100</f>
        <v>6.4283376069560472</v>
      </c>
      <c r="AA179" s="99"/>
      <c r="AB179" s="104">
        <f>qtrSales!Z181</f>
        <v>7.0692139999999979</v>
      </c>
      <c r="AC179" s="23"/>
      <c r="AD179" s="109">
        <f t="shared" ref="AD179:AD180" si="1">+AD172*(1+AF179/100)</f>
        <v>59.76365470528895</v>
      </c>
      <c r="AE179" s="23"/>
      <c r="AF179" s="2154">
        <v>4</v>
      </c>
      <c r="AG179" s="277" t="s">
        <v>76</v>
      </c>
      <c r="AH179" s="600">
        <f>((F179+('yrP&amp;L'!$AB$21/4))/J179)</f>
        <v>0.89984920452433548</v>
      </c>
      <c r="AI179" s="601" t="s">
        <v>177</v>
      </c>
      <c r="AJ179" s="99"/>
      <c r="AK179" s="602">
        <f>J179/(F179/(365/4))</f>
        <v>137.84026997535895</v>
      </c>
      <c r="AL179" s="23"/>
      <c r="AM179" s="602">
        <f>H179/(F180/(365/4))</f>
        <v>112.72487240496666</v>
      </c>
      <c r="AN179" s="23"/>
      <c r="AO179" s="336">
        <f>(+L180-N179)/100</f>
        <v>8.218156126365006E-3</v>
      </c>
    </row>
    <row r="180" spans="1:41" s="2197" customFormat="1">
      <c r="A180" s="116" t="str">
        <f>$A$12</f>
        <v>2Q</v>
      </c>
      <c r="B180" s="116" t="str">
        <f>$B$12</f>
        <v>Jul</v>
      </c>
      <c r="C180" s="23"/>
      <c r="D180" s="320">
        <f>'qtrP&amp;L'!CV11</f>
        <v>832.10776663999991</v>
      </c>
      <c r="E180" s="23"/>
      <c r="F180" s="320">
        <f>'qtrP&amp;L'!CV21</f>
        <v>341.99629208903997</v>
      </c>
      <c r="G180" s="23"/>
      <c r="H180" s="283">
        <f t="shared" si="0"/>
        <v>497.73681727312089</v>
      </c>
      <c r="I180" s="23"/>
      <c r="J180" s="320">
        <f>AVERAGE(H179:H180)</f>
        <v>460.10944090345765</v>
      </c>
      <c r="K180" s="23"/>
      <c r="L180" s="599">
        <f>(D180/D173-1)*100</f>
        <v>6.7734305427416874</v>
      </c>
      <c r="M180" s="258"/>
      <c r="N180" s="31">
        <f>(H180/H173-1)*100</f>
        <v>5.6683057324840469</v>
      </c>
      <c r="O180" s="99"/>
      <c r="P180" s="599">
        <f>(H180/H179-1)*100</f>
        <v>17.812531952656862</v>
      </c>
      <c r="Q180" s="258"/>
      <c r="R180" s="321">
        <f>F180/J180</f>
        <v>0.74329335954834119</v>
      </c>
      <c r="S180" s="116"/>
      <c r="T180" s="321">
        <f>F181/H180</f>
        <v>0.67350649378330252</v>
      </c>
      <c r="U180" s="23"/>
      <c r="V180" s="68">
        <f>qtrSales!J182</f>
        <v>883</v>
      </c>
      <c r="W180" s="23"/>
      <c r="X180" s="321">
        <f>H180/V180</f>
        <v>0.56368835478269641</v>
      </c>
      <c r="Y180" s="23"/>
      <c r="Z180" s="595">
        <f>(X180/X173-1)*100</f>
        <v>6.6256629758134844</v>
      </c>
      <c r="AA180" s="99"/>
      <c r="AB180" s="104">
        <f>qtrSales!Z182</f>
        <v>7.0188139999999981</v>
      </c>
      <c r="AC180" s="23"/>
      <c r="AD180" s="110">
        <f t="shared" si="1"/>
        <v>70.914661262304577</v>
      </c>
      <c r="AE180" s="23"/>
      <c r="AF180" s="2154">
        <v>4</v>
      </c>
      <c r="AG180" s="66"/>
      <c r="AH180" s="600">
        <f>((F180+('yrP&amp;L'!$AB$21/4))/J180)</f>
        <v>0.96218709666062208</v>
      </c>
      <c r="AI180" s="601"/>
      <c r="AJ180" s="99"/>
      <c r="AK180" s="602">
        <f>J180/(F180/(365/4))</f>
        <v>122.76444936282984</v>
      </c>
      <c r="AL180" s="23"/>
      <c r="AM180" s="602">
        <f>H180/(F181/(365/4))</f>
        <v>135.48495945067941</v>
      </c>
      <c r="AN180" s="23"/>
      <c r="AO180" s="336">
        <f>(+L181-N180)/100</f>
        <v>-5.1002525613026428E-2</v>
      </c>
    </row>
    <row r="181" spans="1:41" s="2197" customFormat="1">
      <c r="A181" s="116" t="str">
        <f>$A$13</f>
        <v>3Q</v>
      </c>
      <c r="B181" s="116" t="str">
        <f>$B$13</f>
        <v>Oct</v>
      </c>
      <c r="C181" s="23"/>
      <c r="D181" s="320">
        <f>'qtrP&amp;L'!CV12</f>
        <v>863.99221295999996</v>
      </c>
      <c r="E181" s="23"/>
      <c r="F181" s="320">
        <f>'qtrP&amp;L'!CV22</f>
        <v>335.22897862847998</v>
      </c>
      <c r="G181" s="23"/>
      <c r="H181" s="283">
        <f>AB181*AD181</f>
        <v>599.41007281032557</v>
      </c>
      <c r="I181" s="23"/>
      <c r="J181" s="320">
        <f>AVERAGE(H180:H181)</f>
        <v>548.57344504172329</v>
      </c>
      <c r="K181" s="23"/>
      <c r="L181" s="599">
        <f>(D181/D174-1)*100</f>
        <v>0.56805317118140408</v>
      </c>
      <c r="M181" s="258"/>
      <c r="N181" s="31">
        <f>(H181/H174-1)*100</f>
        <v>5.0704441860464966</v>
      </c>
      <c r="O181" s="99"/>
      <c r="P181" s="599">
        <f>(H181/H180-1)*100</f>
        <v>20.427111680069654</v>
      </c>
      <c r="Q181" s="258"/>
      <c r="R181" s="321">
        <f>F181/J181</f>
        <v>0.61109224600360157</v>
      </c>
      <c r="S181" s="116"/>
      <c r="T181" s="321">
        <f>F182/H181</f>
        <v>0.77224573760954351</v>
      </c>
      <c r="U181" s="23"/>
      <c r="V181" s="68">
        <f>qtrSales!J183</f>
        <v>875</v>
      </c>
      <c r="W181" s="23"/>
      <c r="X181" s="321">
        <f>H181/V181</f>
        <v>0.68504008321180065</v>
      </c>
      <c r="Y181" s="23"/>
      <c r="Z181" s="595">
        <f>(X181/X174-1)*100</f>
        <v>6.7515712930232397</v>
      </c>
      <c r="AA181" s="99"/>
      <c r="AB181" s="104">
        <f>qtrSales!Z183</f>
        <v>6.9508139999999985</v>
      </c>
      <c r="AC181" s="23"/>
      <c r="AD181" s="110">
        <f>+AD174*(1+AF181/100)</f>
        <v>86.235953488372104</v>
      </c>
      <c r="AE181" s="23"/>
      <c r="AF181" s="2154">
        <v>4</v>
      </c>
      <c r="AG181" s="66"/>
      <c r="AH181" s="600">
        <f>((F181+('yrP&amp;L'!$AB$21/4))/J181)</f>
        <v>0.79468675993844917</v>
      </c>
      <c r="AI181" s="601"/>
      <c r="AJ181" s="99"/>
      <c r="AK181" s="602">
        <f>J181/(F181/(365/4))</f>
        <v>149.32279143902309</v>
      </c>
      <c r="AL181" s="23"/>
      <c r="AM181" s="602">
        <f>H181/(F182/(365/4))</f>
        <v>118.16186941019683</v>
      </c>
      <c r="AN181" s="23"/>
      <c r="AO181" s="336">
        <f>(+L182-N181)/100</f>
        <v>-0.11811977956092022</v>
      </c>
    </row>
    <row r="182" spans="1:41" s="2197" customFormat="1">
      <c r="A182" s="116" t="str">
        <f>$A$14</f>
        <v>4Q</v>
      </c>
      <c r="B182" s="116" t="str">
        <f>$B$14</f>
        <v>Jan</v>
      </c>
      <c r="C182" s="23"/>
      <c r="D182" s="279">
        <f>'qtrP&amp;L'!CV13</f>
        <v>1112.7208505000001</v>
      </c>
      <c r="E182" s="23"/>
      <c r="F182" s="279">
        <f>'qtrP&amp;L'!CV23</f>
        <v>462.89187380800007</v>
      </c>
      <c r="G182" s="23"/>
      <c r="H182" s="283">
        <f>bal!BA12</f>
        <v>421.56135818012706</v>
      </c>
      <c r="I182" s="23"/>
      <c r="J182" s="279">
        <f>AVERAGE(H181:H182)</f>
        <v>510.48571549522632</v>
      </c>
      <c r="K182" s="23"/>
      <c r="L182" s="603">
        <f>(D182/D175-1)*100</f>
        <v>-6.7415337700455265</v>
      </c>
      <c r="M182" s="258"/>
      <c r="N182" s="31">
        <f>(H182/H175-1)*100</f>
        <v>-0.66722161295612592</v>
      </c>
      <c r="O182" s="99"/>
      <c r="P182" s="599">
        <f>(H182/H181-1)*100</f>
        <v>-29.670624952356462</v>
      </c>
      <c r="Q182" s="258"/>
      <c r="R182" s="321">
        <f>F182/J182</f>
        <v>0.90676753483482864</v>
      </c>
      <c r="S182" s="116"/>
      <c r="T182" s="604" t="s">
        <v>251</v>
      </c>
      <c r="U182" s="23"/>
      <c r="V182" s="68">
        <f>qtrSales!J184</f>
        <v>834</v>
      </c>
      <c r="W182" s="23"/>
      <c r="X182" s="321">
        <f>H182/V182</f>
        <v>0.50546925441262236</v>
      </c>
      <c r="Y182" s="23"/>
      <c r="Z182" s="595">
        <f>(X182/X175-1)*100</f>
        <v>3.3823161150528414</v>
      </c>
      <c r="AA182" s="99"/>
      <c r="AB182" s="104">
        <f>qtrSales!Z184</f>
        <v>6.5972139999999984</v>
      </c>
      <c r="AC182" s="23"/>
      <c r="AD182" s="322">
        <f>H182/AB182</f>
        <v>63.899906563608084</v>
      </c>
      <c r="AE182" s="23"/>
      <c r="AF182" s="35">
        <f>+((AD182/AD175)-1)*100</f>
        <v>3.6932209345931666</v>
      </c>
      <c r="AG182" s="66"/>
      <c r="AH182" s="600">
        <f>((F182+('yrP&amp;L'!$AB$21/4))/J182)</f>
        <v>1.1040601758292892</v>
      </c>
      <c r="AI182" s="605"/>
      <c r="AJ182" s="99"/>
      <c r="AK182" s="602">
        <f>J182/(F182/(365/4))</f>
        <v>100.63218685550046</v>
      </c>
      <c r="AL182" s="23"/>
      <c r="AM182" s="606" t="s">
        <v>251</v>
      </c>
      <c r="AN182" s="23"/>
      <c r="AO182" s="336">
        <f>(+'qtrP&amp;L'!CG66-N182)/100</f>
        <v>6.6722161295612592E-3</v>
      </c>
    </row>
    <row r="183" spans="1:41" s="2197" customFormat="1">
      <c r="A183" s="116"/>
      <c r="B183" s="116" t="str">
        <f>$B$15</f>
        <v>Year</v>
      </c>
      <c r="C183" s="23"/>
      <c r="D183" s="319">
        <f>'qtrP&amp;L'!CV14</f>
        <v>3507.8603602149997</v>
      </c>
      <c r="E183" s="23"/>
      <c r="F183" s="319">
        <f>'qtrP&amp;L'!CV24</f>
        <v>1420.4319961016351</v>
      </c>
      <c r="G183" s="23"/>
      <c r="H183" s="23"/>
      <c r="I183" s="23"/>
      <c r="J183" s="319">
        <f>AVERAGE(J179:J182)</f>
        <v>485.65153342682612</v>
      </c>
      <c r="K183" s="23"/>
      <c r="L183" s="599">
        <f>(D183/D176-1)*100</f>
        <v>0.43434602598568794</v>
      </c>
      <c r="M183" s="258"/>
      <c r="N183" s="23"/>
      <c r="O183" s="99"/>
      <c r="P183" s="23"/>
      <c r="Q183" s="99"/>
      <c r="R183" s="607">
        <f>F183/J183</f>
        <v>2.9247966872025821</v>
      </c>
      <c r="S183" s="608" t="s">
        <v>177</v>
      </c>
      <c r="T183" s="33"/>
      <c r="U183" s="23"/>
      <c r="V183" s="23"/>
      <c r="W183" s="23"/>
      <c r="X183" s="23"/>
      <c r="Y183" s="23"/>
      <c r="Z183" s="23"/>
      <c r="AA183" s="99"/>
      <c r="AB183" s="116"/>
      <c r="AC183" s="23"/>
      <c r="AD183" s="23"/>
      <c r="AE183" s="23"/>
      <c r="AF183" s="23"/>
      <c r="AG183" s="66"/>
      <c r="AH183" s="609">
        <f>((F183+('yrP&amp;L'!$AB$21/4))/J183)</f>
        <v>3.1321780461974571</v>
      </c>
      <c r="AI183" s="610" t="s">
        <v>177</v>
      </c>
      <c r="AJ183" s="99"/>
      <c r="AK183" s="23"/>
      <c r="AL183" s="23"/>
      <c r="AM183" s="23"/>
      <c r="AN183" s="23"/>
      <c r="AO183" s="23"/>
    </row>
    <row r="184" spans="1:41">
      <c r="A184" s="23"/>
      <c r="B184" s="23"/>
      <c r="C184" s="23"/>
      <c r="D184" s="319"/>
      <c r="E184" s="23"/>
      <c r="F184" s="28"/>
      <c r="G184" s="23"/>
      <c r="H184" s="23"/>
      <c r="I184" s="23"/>
      <c r="J184" s="28"/>
      <c r="K184" s="23"/>
      <c r="L184" s="35"/>
      <c r="M184" s="99"/>
      <c r="N184" s="23"/>
      <c r="O184" s="99"/>
      <c r="P184" s="23"/>
      <c r="Q184" s="99"/>
      <c r="R184" s="340"/>
      <c r="S184" s="27"/>
      <c r="T184" s="33"/>
      <c r="U184" s="23"/>
      <c r="V184" s="23"/>
      <c r="W184" s="23"/>
      <c r="X184" s="23"/>
      <c r="Y184" s="23"/>
      <c r="Z184" s="23"/>
      <c r="AA184" s="99"/>
      <c r="AB184" s="23"/>
      <c r="AC184" s="23"/>
      <c r="AD184" s="23"/>
      <c r="AE184" s="23"/>
      <c r="AF184" s="23"/>
      <c r="AG184" s="66"/>
      <c r="AH184" s="268"/>
      <c r="AI184" s="276"/>
      <c r="AJ184" s="99"/>
      <c r="AK184" s="23"/>
      <c r="AL184" s="23"/>
      <c r="AM184" s="23"/>
      <c r="AN184" s="23"/>
      <c r="AO184" s="23"/>
    </row>
    <row r="185" spans="1:41" ht="10.5" customHeight="1">
      <c r="A185" s="56" t="s">
        <v>178</v>
      </c>
      <c r="B185" s="51"/>
      <c r="C185" s="51"/>
      <c r="D185" s="51"/>
      <c r="E185" s="51"/>
      <c r="F185" s="51"/>
      <c r="G185" s="51"/>
      <c r="H185" s="51"/>
      <c r="I185" s="51"/>
      <c r="J185" s="51"/>
      <c r="K185" s="51"/>
      <c r="L185" s="51"/>
      <c r="M185" s="51"/>
      <c r="N185" s="51"/>
      <c r="O185" s="51"/>
      <c r="P185" s="51"/>
      <c r="Q185" s="51"/>
      <c r="R185" s="354"/>
      <c r="S185" s="51"/>
      <c r="T185" s="33"/>
      <c r="U185" s="51"/>
      <c r="V185" s="51"/>
      <c r="W185" s="51"/>
      <c r="X185" s="57"/>
      <c r="Y185" s="51"/>
      <c r="Z185" s="51"/>
      <c r="AA185" s="51"/>
      <c r="AB185" s="195"/>
      <c r="AC185" s="51"/>
      <c r="AD185" s="57"/>
      <c r="AE185" s="51"/>
      <c r="AF185" s="51"/>
      <c r="AG185" s="274"/>
      <c r="AH185" s="51"/>
      <c r="AI185" s="51"/>
      <c r="AJ185" s="51"/>
      <c r="AK185" s="51"/>
      <c r="AL185" s="51"/>
      <c r="AM185" s="51"/>
      <c r="AN185" s="51"/>
      <c r="AO185" s="51"/>
    </row>
    <row r="186" spans="1:41" ht="10.5" customHeight="1">
      <c r="A186" s="56" t="s">
        <v>179</v>
      </c>
      <c r="B186" s="51"/>
      <c r="C186" s="51"/>
      <c r="D186" s="51"/>
      <c r="E186" s="51"/>
      <c r="F186" s="51"/>
      <c r="G186" s="51"/>
      <c r="H186" s="51"/>
      <c r="I186" s="51"/>
      <c r="J186" s="51"/>
      <c r="K186" s="51"/>
      <c r="L186" s="51"/>
      <c r="M186" s="51"/>
      <c r="N186" s="51"/>
      <c r="O186" s="51"/>
      <c r="P186" s="51"/>
      <c r="Q186" s="51"/>
      <c r="R186" s="51"/>
      <c r="S186" s="51"/>
      <c r="T186" s="33"/>
      <c r="U186" s="51"/>
      <c r="V186" s="51"/>
      <c r="W186" s="51"/>
      <c r="X186" s="57"/>
      <c r="Y186" s="51"/>
      <c r="Z186" s="51"/>
      <c r="AA186" s="51"/>
      <c r="AB186" s="51"/>
      <c r="AC186" s="51"/>
      <c r="AD186" s="57"/>
      <c r="AE186" s="51"/>
      <c r="AF186" s="51"/>
      <c r="AG186" s="274"/>
      <c r="AH186" s="51"/>
      <c r="AI186" s="51"/>
      <c r="AJ186" s="51"/>
      <c r="AK186" s="51"/>
      <c r="AL186" s="51"/>
      <c r="AM186" s="51"/>
      <c r="AN186" s="51"/>
      <c r="AO186" s="51"/>
    </row>
    <row r="187" spans="1:41" ht="10.5" customHeight="1">
      <c r="A187" s="54"/>
      <c r="B187" s="53"/>
      <c r="C187" s="53"/>
      <c r="D187" s="53"/>
      <c r="E187" s="53"/>
      <c r="F187" s="53"/>
      <c r="G187" s="53"/>
      <c r="H187" s="53"/>
      <c r="I187" s="53"/>
      <c r="J187" s="53"/>
      <c r="K187" s="53"/>
      <c r="L187" s="53"/>
      <c r="M187" s="53"/>
      <c r="N187" s="53"/>
      <c r="O187" s="53"/>
      <c r="P187" s="53"/>
      <c r="Q187" s="53"/>
      <c r="R187" s="362"/>
      <c r="S187" s="53"/>
      <c r="T187" s="33"/>
      <c r="U187" s="53"/>
      <c r="V187" s="53"/>
      <c r="W187" s="53"/>
      <c r="X187" s="55"/>
      <c r="Y187" s="53"/>
      <c r="Z187" s="53"/>
      <c r="AA187" s="53"/>
      <c r="AB187" s="53"/>
      <c r="AC187" s="53"/>
      <c r="AD187" s="55"/>
      <c r="AE187" s="53"/>
      <c r="AF187" s="53"/>
      <c r="AG187" s="275"/>
      <c r="AH187" s="53"/>
      <c r="AI187" s="53"/>
      <c r="AJ187" s="53"/>
      <c r="AK187" s="53"/>
      <c r="AL187" s="53"/>
      <c r="AM187" s="53"/>
      <c r="AN187" s="53"/>
      <c r="AO187" s="53"/>
    </row>
    <row r="188" spans="1:41" ht="10.5" customHeight="1">
      <c r="A188" s="19" t="s">
        <v>6</v>
      </c>
      <c r="B188" s="53"/>
      <c r="C188" s="53"/>
      <c r="D188" s="53"/>
      <c r="E188" s="53"/>
      <c r="F188" s="53"/>
      <c r="G188" s="53"/>
      <c r="H188" s="53"/>
      <c r="I188" s="53"/>
      <c r="J188" s="53"/>
      <c r="K188" s="53"/>
      <c r="L188" s="53"/>
      <c r="M188" s="53"/>
      <c r="N188" s="53"/>
      <c r="O188" s="53"/>
      <c r="P188" s="58"/>
      <c r="Q188" s="53"/>
      <c r="R188" s="53"/>
      <c r="S188" s="53"/>
      <c r="T188" s="33"/>
      <c r="U188" s="53"/>
      <c r="V188" s="53"/>
      <c r="W188" s="53"/>
      <c r="X188" s="55"/>
      <c r="Y188" s="53"/>
      <c r="Z188" s="53"/>
      <c r="AA188" s="53"/>
      <c r="AB188" s="53"/>
      <c r="AC188" s="53"/>
      <c r="AD188" s="55"/>
      <c r="AE188" s="53"/>
      <c r="AF188" s="53"/>
      <c r="AG188" s="275"/>
      <c r="AH188" s="53"/>
      <c r="AI188" s="53"/>
      <c r="AJ188" s="53"/>
      <c r="AK188" s="53"/>
      <c r="AL188" s="53"/>
      <c r="AM188" s="53"/>
      <c r="AN188" s="53"/>
      <c r="AO188" s="53"/>
    </row>
  </sheetData>
  <phoneticPr fontId="0" type="noConversion"/>
  <dataValidations count="1">
    <dataValidation type="custom" allowBlank="1" showInputMessage="1" showErrorMessage="1" sqref="B79 AH108:AI108 A108 V71:V73 C101:C120 AJ94:IV99 E101:E120 F106:F108 AB106:AB108 F120 V106:V108 D106:D108 D113:D115 AI86:AI87 A101 AC101:AG120 AB113:AB115 F113:F115 F101 D101 V101 AB101 AC94:AG99 G94:U99 AI79:AI80 D99 A94 V99 E94:E99 AB99 F99 AJ54:IV92 F94 D94 V94 C94:C99 AB94 W94:AA99 H82:H92 AI93:AI94 AI100:AI101 AI65:AI66 AH58:AI59 AI72:AI73 I54:U92 AI5:AI8 D92 A86:A87 V92 E54:E92 AB92 B86 F92 A65:A66 A58:A59 F85:F87 D85:D87 A79:A80 A72:A73 V85:V87 C54:C92 AB78:AB80 F78:F80 D78:D80 V78:V80 B72 AB57:AB59 H68:H73 V64:V66 V57:V59 AB71:AB73 AB85:AB87 H57:H59 F57:F59 W54:AA92 F64:F66 D57:D59 H75:H80 F71:F73 D64:D66 H64:H66 AC54:AG92 D71:D73 AB64:AB66 G54:G92 B58 B65 W101:AA120 AH115:AI115 A115 D120 V120 AB120 V113:V115 A136 AJ101:IV120 D122 A150 AB122 F122 AH122:AI122 A122 V122 V129 G101:U120 AB127 V127 W122:AA127 AC122:AG127 F127 E122:E127 C122:C127 AJ122:IV127 G122:U127 D129 AB129 F129 AH129:AI129 A129 A143 AB134:AB136 V134:V136 F134:F136 D136 AH136:AI136 A157 A171 AF183:AF184 A164 AF129:AF171 G129:U184 AG129:AG184 F142:F184 AF176:AF178 A178 AB141:AB184 V141:V184 AJ129:IV184 C129:C184 E129:E184 W129:AA184 AC129:AE184">
      <formula1>-1</formula1>
    </dataValidation>
  </dataValidations>
  <printOptions horizontalCentered="1"/>
  <pageMargins left="0.25" right="0.25" top="0.28000000000000003" bottom="0" header="0.5" footer="0.34"/>
  <pageSetup scale="74" orientation="landscape" r:id="rId1"/>
  <headerFooter alignWithMargins="0">
    <oddFooter>&amp;R&amp;8&amp;D/&amp;T
&amp;F/&amp;A</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1"/>
  <sheetViews>
    <sheetView workbookViewId="0"/>
  </sheetViews>
  <sheetFormatPr defaultRowHeight="12.75"/>
  <sheetData>
    <row r="1" spans="1:2">
      <c r="B1" t="s">
        <v>675</v>
      </c>
    </row>
  </sheetData>
  <phoneticPr fontId="0"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2:V11"/>
  <sheetViews>
    <sheetView workbookViewId="0">
      <selection activeCell="S4" sqref="S4"/>
    </sheetView>
  </sheetViews>
  <sheetFormatPr defaultRowHeight="12.75"/>
  <cols>
    <col min="2" max="2" width="18.140625" customWidth="1"/>
    <col min="3" max="8" width="9.140625" style="2286"/>
  </cols>
  <sheetData>
    <row r="2" spans="2:22">
      <c r="B2" s="2143"/>
      <c r="D2" s="24" t="s">
        <v>786</v>
      </c>
      <c r="E2" s="24" t="s">
        <v>1503</v>
      </c>
      <c r="F2" s="24" t="s">
        <v>1504</v>
      </c>
      <c r="G2" s="24" t="s">
        <v>780</v>
      </c>
      <c r="H2" s="24" t="s">
        <v>781</v>
      </c>
      <c r="I2" s="38" t="s">
        <v>1438</v>
      </c>
      <c r="J2" s="38" t="s">
        <v>1439</v>
      </c>
      <c r="K2" s="38" t="s">
        <v>1440</v>
      </c>
      <c r="L2" s="38" t="s">
        <v>1441</v>
      </c>
      <c r="M2" s="38" t="s">
        <v>1485</v>
      </c>
      <c r="N2" s="38" t="s">
        <v>1486</v>
      </c>
      <c r="O2" s="38" t="s">
        <v>1487</v>
      </c>
      <c r="P2" s="38" t="s">
        <v>1488</v>
      </c>
      <c r="Q2" s="38" t="s">
        <v>1489</v>
      </c>
      <c r="R2" s="38" t="s">
        <v>1490</v>
      </c>
      <c r="S2" s="38" t="s">
        <v>1497</v>
      </c>
      <c r="T2" s="38" t="s">
        <v>1502</v>
      </c>
      <c r="U2" s="38" t="s">
        <v>1506</v>
      </c>
    </row>
    <row r="3" spans="2:22">
      <c r="B3" s="24" t="s">
        <v>1491</v>
      </c>
      <c r="C3" s="24"/>
      <c r="D3" s="24"/>
      <c r="E3" s="2196">
        <f t="array" ref="E3:H3">TRANSPOSE(work!CE10:CE13/100)</f>
        <v>5.9734426443974531E-2</v>
      </c>
      <c r="F3" s="2196">
        <v>-0.13142578411733219</v>
      </c>
      <c r="G3" s="2196">
        <v>-0.19689809167353756</v>
      </c>
      <c r="H3" s="2196">
        <v>-0.13089220508796817</v>
      </c>
      <c r="I3" s="224">
        <f>(work!CI10)/100</f>
        <v>-9.263084690942458E-2</v>
      </c>
      <c r="J3" s="224">
        <f>(work!CI11)/100</f>
        <v>-0.13014446764698928</v>
      </c>
      <c r="K3" s="224">
        <f>(work!CI12)/100</f>
        <v>-2.5910788254078221E-2</v>
      </c>
      <c r="L3" s="224">
        <f>(work!CI13)/100</f>
        <v>-5.2285837055169877E-2</v>
      </c>
      <c r="M3" s="224">
        <f>(work!CM10)/100</f>
        <v>-1.2113241346469961E-2</v>
      </c>
      <c r="N3" s="224">
        <f>(work!CM11)/100</f>
        <v>-5.3159304497532478E-2</v>
      </c>
      <c r="O3" s="224">
        <f>(work!CM12)/100</f>
        <v>-0.14196039837683561</v>
      </c>
      <c r="P3" s="224">
        <f>(work!CM13)/100</f>
        <v>-8.4510912500772792E-2</v>
      </c>
      <c r="Q3" s="224">
        <f>(work!CQ10)/100</f>
        <v>-8.4728333597298811E-2</v>
      </c>
      <c r="R3" s="224">
        <f>(work!CQ11)/100</f>
        <v>3.94152369393721E-2</v>
      </c>
      <c r="S3" s="224">
        <f>(work!CQ12)/100</f>
        <v>0.10527641403788855</v>
      </c>
      <c r="T3" s="2273">
        <f>(work!CQ13)/100</f>
        <v>6.1526532347828233E-2</v>
      </c>
    </row>
    <row r="4" spans="2:22">
      <c r="B4" s="24" t="s">
        <v>1492</v>
      </c>
      <c r="C4" s="24"/>
      <c r="D4" s="24"/>
      <c r="E4" s="24"/>
      <c r="F4" s="24"/>
      <c r="G4" s="24"/>
      <c r="H4" s="24"/>
      <c r="I4" s="224">
        <f>('qtrP&amp;L'!CK11)/100</f>
        <v>-8.1797205270574547E-2</v>
      </c>
      <c r="J4" s="224">
        <f>('qtrP&amp;L'!CK12)/100</f>
        <v>-3.6075365378137936E-2</v>
      </c>
      <c r="K4" s="224">
        <f>('qtrP&amp;L'!CK13)/100</f>
        <v>-5.9077624461387757E-3</v>
      </c>
      <c r="L4" s="224">
        <f>('qtrP&amp;L'!CO10)/100</f>
        <v>-3.3744372179041693E-2</v>
      </c>
      <c r="M4" s="224">
        <f>('qtrP&amp;L'!CO11)/100</f>
        <v>-4.2306017931999292E-2</v>
      </c>
      <c r="N4" s="224">
        <f>('qtrP&amp;L'!CO12)/100</f>
        <v>-6.4693616459436387E-2</v>
      </c>
      <c r="O4" s="224">
        <f>('qtrP&amp;L'!CO13)/100</f>
        <v>-6.8797678200785306E-2</v>
      </c>
      <c r="P4" s="224">
        <f>('qtrP&amp;L'!CS10)/100</f>
        <v>-3.5571998138538619E-2</v>
      </c>
      <c r="Q4" s="224">
        <f>('qtrP&amp;L'!CS11)/100</f>
        <v>-4.9019357474844316E-3</v>
      </c>
      <c r="R4" s="224">
        <f>('qtrP&amp;L'!CS12)/100</f>
        <v>4.5486739017735589E-2</v>
      </c>
      <c r="S4" s="224">
        <f>('qtrP&amp;L'!CS13)/100</f>
        <v>0.15129351395215762</v>
      </c>
      <c r="T4" s="2273">
        <f>'qtrP&amp;L'!CW10/100</f>
        <v>5.7390088496579006E-2</v>
      </c>
    </row>
    <row r="5" spans="2:22">
      <c r="B5" s="24" t="s">
        <v>183</v>
      </c>
      <c r="C5" s="24"/>
      <c r="D5" s="24"/>
      <c r="E5" s="24"/>
      <c r="F5" s="24"/>
      <c r="G5" s="24"/>
      <c r="H5" s="24"/>
      <c r="I5" s="225">
        <f>I4-I3</f>
        <v>1.0833641638850033E-2</v>
      </c>
      <c r="J5" s="225">
        <f t="shared" ref="J5:Q5" si="0">J4-J3</f>
        <v>9.4069102268851346E-2</v>
      </c>
      <c r="K5" s="225">
        <f t="shared" si="0"/>
        <v>2.0003025807939445E-2</v>
      </c>
      <c r="L5" s="225">
        <f t="shared" si="0"/>
        <v>1.8541464876128184E-2</v>
      </c>
      <c r="M5" s="225">
        <f t="shared" si="0"/>
        <v>-3.0192776585529331E-2</v>
      </c>
      <c r="N5" s="225">
        <f>N4-N3</f>
        <v>-1.1534311961903909E-2</v>
      </c>
      <c r="O5" s="225">
        <f t="shared" si="0"/>
        <v>7.31627201760503E-2</v>
      </c>
      <c r="P5" s="225">
        <f t="shared" si="0"/>
        <v>4.8938914362234173E-2</v>
      </c>
      <c r="Q5" s="225">
        <f t="shared" si="0"/>
        <v>7.9826397849814379E-2</v>
      </c>
      <c r="R5" s="225">
        <f>R4-R3</f>
        <v>6.0715020783634888E-3</v>
      </c>
      <c r="S5" s="225">
        <f>S4-S3</f>
        <v>4.6017099914269069E-2</v>
      </c>
      <c r="T5" s="225">
        <f>T4-T3</f>
        <v>-4.1364438512492274E-3</v>
      </c>
    </row>
    <row r="6" spans="2:22" s="2286" customFormat="1">
      <c r="B6" s="24"/>
      <c r="C6" s="24"/>
      <c r="D6" s="24"/>
      <c r="E6" s="24"/>
      <c r="F6" s="24"/>
      <c r="G6" s="24"/>
      <c r="H6" s="24"/>
      <c r="I6" s="225"/>
      <c r="J6" s="225"/>
      <c r="K6" s="225"/>
      <c r="L6" s="225"/>
      <c r="M6" s="225"/>
      <c r="N6" s="225"/>
      <c r="O6" s="225"/>
      <c r="P6" s="225"/>
      <c r="Q6" s="225"/>
      <c r="R6" s="225"/>
      <c r="S6" s="225"/>
      <c r="T6" s="225"/>
    </row>
    <row r="7" spans="2:22" s="2285" customFormat="1">
      <c r="B7" s="24"/>
      <c r="C7" s="24"/>
      <c r="D7" s="24" t="s">
        <v>1503</v>
      </c>
      <c r="E7" s="24" t="s">
        <v>1504</v>
      </c>
      <c r="F7" s="24" t="s">
        <v>780</v>
      </c>
      <c r="G7" s="24" t="s">
        <v>781</v>
      </c>
      <c r="H7" s="24" t="s">
        <v>1438</v>
      </c>
      <c r="I7" s="2288" t="s">
        <v>1439</v>
      </c>
      <c r="J7" s="2288" t="s">
        <v>1440</v>
      </c>
      <c r="K7" s="2288" t="s">
        <v>1441</v>
      </c>
      <c r="L7" s="2288" t="s">
        <v>1485</v>
      </c>
      <c r="M7" s="2288" t="s">
        <v>1486</v>
      </c>
      <c r="N7" s="2288" t="s">
        <v>1487</v>
      </c>
      <c r="O7" s="2288" t="s">
        <v>1488</v>
      </c>
      <c r="P7" s="2288" t="s">
        <v>1489</v>
      </c>
      <c r="Q7" s="2288" t="s">
        <v>1490</v>
      </c>
      <c r="R7" s="2288" t="s">
        <v>1497</v>
      </c>
      <c r="S7" s="2288" t="s">
        <v>1502</v>
      </c>
      <c r="T7" s="2288" t="s">
        <v>1506</v>
      </c>
    </row>
    <row r="8" spans="2:22">
      <c r="B8" s="24" t="s">
        <v>1507</v>
      </c>
      <c r="C8" s="24"/>
      <c r="D8" s="2196">
        <f t="array" ref="D8:G8">TRANSPOSE('qtrP&amp;L'!CH20:CH23/100)</f>
        <v>-3.7365158401360149E-2</v>
      </c>
      <c r="E8" s="2196">
        <v>-1.7933878862828934E-2</v>
      </c>
      <c r="F8" s="2196">
        <v>-7.9028619434607355E-3</v>
      </c>
      <c r="G8" s="2196">
        <v>1.8599581154129508E-2</v>
      </c>
      <c r="H8" s="224">
        <f>+'qtrP&amp;L'!CL20/100</f>
        <v>-4.150308980207313E-3</v>
      </c>
      <c r="I8" s="224">
        <f>+'qtrP&amp;L'!CL21/100</f>
        <v>-5.9277408224964743E-4</v>
      </c>
      <c r="J8" s="224">
        <f>+'qtrP&amp;L'!CL22/100</f>
        <v>1.2066464040489252E-2</v>
      </c>
      <c r="K8" s="224">
        <f>+'qtrP&amp;L'!CL23/100</f>
        <v>-2.2747031748760094E-3</v>
      </c>
      <c r="L8" s="224">
        <f>+'qtrP&amp;L'!CP20/100</f>
        <v>3.0706380858658375E-3</v>
      </c>
      <c r="M8" s="224">
        <f>+'qtrP&amp;L'!CP21/100</f>
        <v>-1.1076476273245248E-2</v>
      </c>
      <c r="N8" s="224">
        <f>+'qtrP&amp;L'!CP22/100</f>
        <v>-1.2688791261127789E-2</v>
      </c>
      <c r="O8" s="224">
        <f>+'qtrP&amp;L'!CP23/100</f>
        <v>-1.3376787833080358E-2</v>
      </c>
      <c r="P8" s="224">
        <f>+'qtrP&amp;L'!CT20/100</f>
        <v>-1.7625580102924161E-2</v>
      </c>
      <c r="Q8" s="224">
        <f>+'qtrP&amp;L'!CT21/100</f>
        <v>-1.7801717317157965E-2</v>
      </c>
      <c r="R8" s="224">
        <f>+'qtrP&amp;L'!CT22/100</f>
        <v>-8.5481888265782398E-3</v>
      </c>
      <c r="S8" s="224">
        <f>+'qtrP&amp;L'!CT23/100</f>
        <v>-8.9272857191510721E-3</v>
      </c>
      <c r="T8" s="224">
        <f>'qtrP&amp;L'!CX20/100</f>
        <v>-4.4270207639098662E-3</v>
      </c>
    </row>
    <row r="9" spans="2:22">
      <c r="B9" s="24" t="s">
        <v>1505</v>
      </c>
      <c r="C9" s="24"/>
      <c r="D9" s="2195">
        <f>-work!CA13/100</f>
        <v>-0.2417779568205134</v>
      </c>
      <c r="E9" s="224">
        <f>E3</f>
        <v>5.9734426443974531E-2</v>
      </c>
      <c r="F9" s="224">
        <f t="shared" ref="F9:T9" si="1">+F3*-1</f>
        <v>0.13142578411733219</v>
      </c>
      <c r="G9" s="224">
        <f t="shared" si="1"/>
        <v>0.19689809167353756</v>
      </c>
      <c r="H9" s="224">
        <f t="shared" si="1"/>
        <v>0.13089220508796817</v>
      </c>
      <c r="I9" s="224">
        <f t="shared" si="1"/>
        <v>9.263084690942458E-2</v>
      </c>
      <c r="J9" s="224">
        <f t="shared" si="1"/>
        <v>0.13014446764698928</v>
      </c>
      <c r="K9" s="224">
        <f t="shared" si="1"/>
        <v>2.5910788254078221E-2</v>
      </c>
      <c r="L9" s="224">
        <f t="shared" si="1"/>
        <v>5.2285837055169877E-2</v>
      </c>
      <c r="M9" s="224">
        <f t="shared" si="1"/>
        <v>1.2113241346469961E-2</v>
      </c>
      <c r="N9" s="224">
        <f t="shared" si="1"/>
        <v>5.3159304497532478E-2</v>
      </c>
      <c r="O9" s="224">
        <f t="shared" si="1"/>
        <v>0.14196039837683561</v>
      </c>
      <c r="P9" s="224">
        <f t="shared" si="1"/>
        <v>8.4510912500772792E-2</v>
      </c>
      <c r="Q9" s="224">
        <f t="shared" si="1"/>
        <v>8.4728333597298811E-2</v>
      </c>
      <c r="R9" s="224">
        <f t="shared" si="1"/>
        <v>-3.94152369393721E-2</v>
      </c>
      <c r="S9" s="224">
        <f t="shared" si="1"/>
        <v>-0.10527641403788855</v>
      </c>
      <c r="T9" s="224">
        <f t="shared" si="1"/>
        <v>-6.1526532347828233E-2</v>
      </c>
    </row>
    <row r="10" spans="2:22">
      <c r="D10" s="2145" t="s">
        <v>786</v>
      </c>
      <c r="E10" s="2145" t="s">
        <v>1503</v>
      </c>
      <c r="F10" s="2145" t="s">
        <v>1504</v>
      </c>
      <c r="G10" s="2145" t="s">
        <v>780</v>
      </c>
      <c r="H10" s="2145" t="s">
        <v>781</v>
      </c>
      <c r="I10" s="2287" t="s">
        <v>1438</v>
      </c>
      <c r="J10" s="2287" t="s">
        <v>1439</v>
      </c>
      <c r="K10" s="2287" t="s">
        <v>1440</v>
      </c>
      <c r="L10" s="2287" t="s">
        <v>1441</v>
      </c>
      <c r="M10" s="2287" t="s">
        <v>1485</v>
      </c>
      <c r="N10" s="2287" t="s">
        <v>1486</v>
      </c>
      <c r="O10" s="2287" t="s">
        <v>1487</v>
      </c>
      <c r="P10" s="2287" t="s">
        <v>1488</v>
      </c>
      <c r="Q10" s="2287" t="s">
        <v>1489</v>
      </c>
      <c r="R10" s="2287" t="s">
        <v>1490</v>
      </c>
      <c r="S10" s="2287" t="s">
        <v>1497</v>
      </c>
      <c r="T10" s="2287" t="s">
        <v>1502</v>
      </c>
      <c r="V10" s="224" t="e">
        <f>CORREL(I3:T3,H8:O8)</f>
        <v>#N/A</v>
      </c>
    </row>
    <row r="11" spans="2:22">
      <c r="V11" s="224">
        <f>+RSQ(I3:T3,H8:S8)</f>
        <v>2.7448336967455405E-4</v>
      </c>
    </row>
  </sheetData>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WALease"/>
  <dimension ref="A1:AJ172"/>
  <sheetViews>
    <sheetView showGridLines="0" zoomScale="85" workbookViewId="0">
      <pane xSplit="7" ySplit="9" topLeftCell="H10" activePane="bottomRight" state="frozen"/>
      <selection activeCell="P42" sqref="P42"/>
      <selection pane="topRight" activeCell="P42" sqref="P42"/>
      <selection pane="bottomLeft" activeCell="P42" sqref="P42"/>
      <selection pane="bottomRight" activeCell="Y25" sqref="Y25"/>
    </sheetView>
  </sheetViews>
  <sheetFormatPr defaultColWidth="6.7109375" defaultRowHeight="12.75" outlineLevelRow="1" outlineLevelCol="1"/>
  <cols>
    <col min="1" max="1" width="1" customWidth="1"/>
    <col min="2" max="2" width="1.140625" customWidth="1"/>
    <col min="3" max="4" width="13.42578125" customWidth="1"/>
    <col min="5" max="5" width="13.28515625" customWidth="1"/>
    <col min="6" max="6" width="11.28515625" customWidth="1"/>
    <col min="7" max="7" width="7.28515625" customWidth="1"/>
    <col min="8" max="22" width="8.5703125" customWidth="1"/>
    <col min="23" max="23" width="9.7109375" bestFit="1" customWidth="1"/>
    <col min="24" max="29" width="8.5703125" customWidth="1"/>
    <col min="30" max="30" width="8.5703125" style="2270" customWidth="1"/>
    <col min="31" max="31" width="46.5703125" customWidth="1" outlineLevel="1"/>
    <col min="32" max="32" width="6.7109375" customWidth="1" outlineLevel="1"/>
    <col min="33" max="33" width="32.85546875" customWidth="1" outlineLevel="1"/>
    <col min="34" max="36" width="6.7109375" customWidth="1" outlineLevel="1"/>
  </cols>
  <sheetData>
    <row r="1" spans="1:30" ht="45" customHeight="1" thickBot="1">
      <c r="A1" s="384" t="s">
        <v>471</v>
      </c>
      <c r="B1" s="385"/>
      <c r="C1" s="386"/>
      <c r="D1" s="387"/>
      <c r="E1" s="387"/>
      <c r="F1" s="386"/>
      <c r="G1" s="386" t="s">
        <v>472</v>
      </c>
      <c r="H1" s="388"/>
      <c r="I1" s="388"/>
      <c r="J1" s="388"/>
      <c r="K1" s="388"/>
      <c r="L1" s="388"/>
      <c r="M1" s="388"/>
      <c r="N1" s="388"/>
      <c r="O1" s="388"/>
      <c r="P1" s="388"/>
      <c r="Q1" s="388"/>
      <c r="R1" s="388"/>
      <c r="S1" s="388"/>
      <c r="T1" s="388"/>
      <c r="U1" s="387"/>
      <c r="V1" s="387"/>
      <c r="W1" s="387"/>
      <c r="X1" s="389"/>
      <c r="Y1" s="389"/>
      <c r="Z1" s="389"/>
      <c r="AA1" s="389"/>
      <c r="AB1" s="389"/>
      <c r="AC1" s="389"/>
      <c r="AD1" s="389"/>
    </row>
    <row r="2" spans="1:30" ht="32.25" customHeight="1">
      <c r="A2" s="390"/>
      <c r="B2" s="391"/>
      <c r="C2" s="392"/>
      <c r="D2" s="392"/>
      <c r="E2" s="392"/>
      <c r="F2" s="392"/>
      <c r="G2" s="392"/>
      <c r="H2" s="393"/>
      <c r="I2" s="393"/>
      <c r="J2" s="393"/>
      <c r="K2" s="393"/>
      <c r="L2" s="393"/>
      <c r="M2" s="393"/>
      <c r="N2" s="393"/>
      <c r="O2" s="393"/>
      <c r="P2" s="393"/>
      <c r="Q2" s="393"/>
      <c r="R2" s="393"/>
      <c r="S2" s="393"/>
      <c r="T2" s="393"/>
      <c r="U2" s="394"/>
      <c r="V2" s="394"/>
      <c r="W2" s="394"/>
      <c r="X2" s="394"/>
      <c r="Y2" s="394"/>
      <c r="Z2" s="394"/>
      <c r="AA2" s="394"/>
      <c r="AB2" s="394"/>
      <c r="AC2" s="394"/>
      <c r="AD2" s="394"/>
    </row>
    <row r="3" spans="1:30" ht="6.75" customHeight="1">
      <c r="A3" s="396"/>
      <c r="B3" s="397"/>
      <c r="C3" s="398"/>
      <c r="D3" s="398"/>
      <c r="E3" s="398"/>
      <c r="F3" s="398"/>
      <c r="G3" s="398"/>
      <c r="H3" s="399"/>
      <c r="I3" s="400" t="s">
        <v>473</v>
      </c>
      <c r="J3" s="399"/>
      <c r="K3" s="399"/>
      <c r="L3" s="399"/>
      <c r="M3" s="399"/>
      <c r="N3" s="399"/>
      <c r="O3" s="399"/>
      <c r="P3" s="399"/>
      <c r="Q3" s="399"/>
      <c r="R3" s="399"/>
      <c r="S3" s="399"/>
      <c r="T3" s="399"/>
      <c r="U3" s="401"/>
      <c r="V3" s="401"/>
      <c r="W3" s="401"/>
      <c r="X3" s="401"/>
      <c r="Y3" s="401"/>
      <c r="Z3" s="401"/>
      <c r="AA3" s="401"/>
      <c r="AB3" s="401"/>
      <c r="AC3" s="401"/>
      <c r="AD3" s="401"/>
    </row>
    <row r="4" spans="1:30" ht="15.75" customHeight="1">
      <c r="A4" s="402"/>
      <c r="B4" s="403"/>
      <c r="C4" s="404" t="s">
        <v>357</v>
      </c>
      <c r="D4" s="405"/>
      <c r="E4" s="406"/>
      <c r="F4" s="407" t="s">
        <v>564</v>
      </c>
      <c r="G4" s="408"/>
      <c r="H4" s="409" t="s">
        <v>436</v>
      </c>
      <c r="I4" s="410"/>
      <c r="J4" s="411" t="s">
        <v>419</v>
      </c>
      <c r="K4" s="412"/>
      <c r="L4" s="412"/>
      <c r="M4" s="412"/>
      <c r="N4" s="412"/>
      <c r="O4" s="412"/>
      <c r="P4" s="412"/>
      <c r="Q4" s="412"/>
      <c r="R4" s="412"/>
      <c r="S4" s="412"/>
      <c r="T4" s="412"/>
      <c r="U4" s="395"/>
      <c r="V4" s="395"/>
      <c r="W4" s="395"/>
      <c r="X4" s="395"/>
      <c r="Y4" s="395"/>
      <c r="Z4" s="395"/>
      <c r="AA4" s="395"/>
      <c r="AB4" s="395"/>
      <c r="AC4" s="395"/>
      <c r="AD4" s="395"/>
    </row>
    <row r="5" spans="1:30" ht="15.75" customHeight="1">
      <c r="A5" s="402"/>
      <c r="B5" s="403"/>
      <c r="C5" s="404" t="s">
        <v>475</v>
      </c>
      <c r="D5" s="405"/>
      <c r="E5" s="406"/>
      <c r="F5" s="413">
        <v>1998</v>
      </c>
      <c r="G5" s="406"/>
      <c r="H5" s="412"/>
      <c r="I5" s="412"/>
      <c r="J5" s="412"/>
      <c r="K5" s="412"/>
      <c r="L5" s="412"/>
      <c r="M5" s="412"/>
      <c r="N5" s="412"/>
      <c r="O5" s="412"/>
      <c r="P5" s="412"/>
      <c r="Q5" s="412"/>
      <c r="R5" s="412"/>
      <c r="S5" s="412"/>
      <c r="T5" s="412"/>
      <c r="U5" s="395"/>
      <c r="V5" s="395"/>
      <c r="W5" s="395"/>
      <c r="X5" s="395"/>
      <c r="Y5" s="395"/>
      <c r="Z5" s="395"/>
      <c r="AA5" s="395"/>
      <c r="AB5" s="395"/>
      <c r="AC5" s="395"/>
      <c r="AD5" s="395"/>
    </row>
    <row r="6" spans="1:30" ht="13.5" customHeight="1">
      <c r="AD6"/>
    </row>
    <row r="7" spans="1:30">
      <c r="A7" s="402"/>
      <c r="B7" s="403"/>
      <c r="C7" s="406"/>
      <c r="D7" s="406"/>
      <c r="E7" s="406"/>
      <c r="F7" s="406"/>
      <c r="G7" s="406"/>
      <c r="H7" s="415"/>
      <c r="I7" s="415"/>
      <c r="J7" s="415"/>
      <c r="K7" s="415"/>
      <c r="L7" s="415"/>
      <c r="M7" s="415"/>
      <c r="N7" s="415"/>
      <c r="O7" s="415"/>
      <c r="P7" s="415"/>
      <c r="Q7" s="415"/>
      <c r="R7" s="415"/>
      <c r="S7" s="415"/>
      <c r="T7" s="412"/>
      <c r="U7" s="395"/>
      <c r="V7" s="395"/>
      <c r="W7" s="395"/>
      <c r="X7" s="395"/>
      <c r="Y7" s="395"/>
      <c r="Z7" s="395"/>
      <c r="AA7" s="395"/>
      <c r="AB7" s="395"/>
      <c r="AC7" s="395"/>
      <c r="AD7" s="395"/>
    </row>
    <row r="8" spans="1:30" hidden="1" outlineLevel="1">
      <c r="A8" s="416"/>
      <c r="B8" s="403"/>
      <c r="C8" s="414"/>
      <c r="D8" s="414"/>
      <c r="E8" s="414"/>
      <c r="F8" s="414"/>
      <c r="G8" s="414"/>
      <c r="H8" s="417">
        <v>1998</v>
      </c>
      <c r="I8" s="417">
        <v>1999</v>
      </c>
      <c r="J8" s="417">
        <v>2000</v>
      </c>
      <c r="K8" s="417">
        <v>2001</v>
      </c>
      <c r="L8" s="417">
        <v>2002</v>
      </c>
      <c r="M8" s="417">
        <v>2003</v>
      </c>
      <c r="N8" s="417">
        <v>2004</v>
      </c>
      <c r="O8" s="417">
        <v>2005</v>
      </c>
      <c r="P8" s="417">
        <v>2006</v>
      </c>
      <c r="Q8" s="417">
        <v>2007</v>
      </c>
      <c r="R8" s="417">
        <v>2008</v>
      </c>
      <c r="S8" s="417">
        <v>2009</v>
      </c>
      <c r="T8" s="417">
        <v>2010</v>
      </c>
      <c r="U8" s="417">
        <v>2011</v>
      </c>
      <c r="V8" s="417">
        <v>2012</v>
      </c>
      <c r="W8" s="417">
        <v>2013</v>
      </c>
      <c r="X8" s="417">
        <v>2014</v>
      </c>
      <c r="Y8" s="417">
        <v>2014</v>
      </c>
      <c r="Z8" s="417">
        <v>2014</v>
      </c>
      <c r="AA8" s="417">
        <v>2014</v>
      </c>
      <c r="AB8" s="417">
        <v>2014</v>
      </c>
      <c r="AC8" s="417">
        <v>2014</v>
      </c>
      <c r="AD8" s="417">
        <v>2014</v>
      </c>
    </row>
    <row r="9" spans="1:30" ht="14.25" customHeight="1" collapsed="1">
      <c r="A9" s="402"/>
      <c r="B9" s="403"/>
      <c r="C9" s="418" t="s">
        <v>289</v>
      </c>
      <c r="D9" s="419"/>
      <c r="E9" s="419"/>
      <c r="F9" s="419"/>
      <c r="G9" s="419"/>
      <c r="H9" s="420" t="str">
        <f t="shared" ref="H9:R9" si="0">LEFT(I9,3)&amp;RIGHT(I9,4)-1</f>
        <v>01/1999</v>
      </c>
      <c r="I9" s="420" t="str">
        <f t="shared" si="0"/>
        <v>01/2000</v>
      </c>
      <c r="J9" s="420" t="str">
        <f t="shared" si="0"/>
        <v>01/2001</v>
      </c>
      <c r="K9" s="420" t="str">
        <f t="shared" si="0"/>
        <v>01/2002</v>
      </c>
      <c r="L9" s="420" t="str">
        <f t="shared" si="0"/>
        <v>01/2003</v>
      </c>
      <c r="M9" s="420" t="str">
        <f t="shared" si="0"/>
        <v>01/2004</v>
      </c>
      <c r="N9" s="420" t="str">
        <f t="shared" si="0"/>
        <v>01/2005</v>
      </c>
      <c r="O9" s="420" t="str">
        <f t="shared" si="0"/>
        <v>01/2006</v>
      </c>
      <c r="P9" s="420" t="str">
        <f t="shared" si="0"/>
        <v>01/2007</v>
      </c>
      <c r="Q9" s="420" t="str">
        <f t="shared" si="0"/>
        <v>01/2008</v>
      </c>
      <c r="R9" s="420" t="str">
        <f t="shared" si="0"/>
        <v>01/2009</v>
      </c>
      <c r="S9" s="420" t="str">
        <f>+H4</f>
        <v>01/2010</v>
      </c>
      <c r="T9" s="420" t="str">
        <f t="shared" ref="T9:Y9" si="1">LEFT(S9,3)&amp;RIGHT(S9,4)+1</f>
        <v>01/2011</v>
      </c>
      <c r="U9" s="420" t="str">
        <f t="shared" si="1"/>
        <v>01/2012</v>
      </c>
      <c r="V9" s="420" t="str">
        <f t="shared" si="1"/>
        <v>01/2013</v>
      </c>
      <c r="W9" s="420" t="str">
        <f t="shared" si="1"/>
        <v>01/2014</v>
      </c>
      <c r="X9" s="420" t="str">
        <f t="shared" si="1"/>
        <v>01/2015</v>
      </c>
      <c r="Y9" s="420" t="str">
        <f t="shared" si="1"/>
        <v>01/2016</v>
      </c>
      <c r="Z9" s="420" t="str">
        <f>LEFT(Y9,3)&amp;RIGHT(Y9,4)+1</f>
        <v>01/2017</v>
      </c>
      <c r="AA9" s="420" t="str">
        <f>LEFT(Z9,3)&amp;RIGHT(Z9,4)+1</f>
        <v>01/2018</v>
      </c>
      <c r="AB9" s="420" t="str">
        <f>LEFT(AA9,3)&amp;RIGHT(AA9,4)+1</f>
        <v>01/2019</v>
      </c>
      <c r="AC9" s="420" t="str">
        <f>LEFT(AB9,3)&amp;RIGHT(AB9,4)+1</f>
        <v>01/2020</v>
      </c>
      <c r="AD9" s="420" t="str">
        <f>LEFT(AC9,3)&amp;RIGHT(AC9,4)+1</f>
        <v>01/2021</v>
      </c>
    </row>
    <row r="10" spans="1:30">
      <c r="A10" s="402"/>
      <c r="B10" s="403"/>
      <c r="C10" s="421"/>
      <c r="D10" s="419"/>
      <c r="E10" s="419"/>
      <c r="F10" s="419"/>
      <c r="G10" s="419"/>
      <c r="H10" s="412"/>
      <c r="I10" s="412"/>
      <c r="J10" s="412"/>
      <c r="K10" s="412"/>
      <c r="L10" s="412"/>
      <c r="M10" s="412"/>
      <c r="N10" s="412"/>
      <c r="O10" s="422"/>
      <c r="P10" s="412"/>
      <c r="Q10" s="412"/>
      <c r="R10" s="412"/>
      <c r="S10" s="412"/>
      <c r="T10" s="412"/>
      <c r="U10" s="412"/>
      <c r="V10" s="412"/>
      <c r="W10" s="412"/>
      <c r="X10" s="412"/>
      <c r="Y10" s="412"/>
      <c r="Z10" s="412"/>
      <c r="AA10" s="412"/>
      <c r="AB10" s="412"/>
      <c r="AC10" s="412"/>
      <c r="AD10" s="412"/>
    </row>
    <row r="11" spans="1:30">
      <c r="A11" s="402"/>
      <c r="B11" s="403"/>
      <c r="C11" s="423" t="s">
        <v>476</v>
      </c>
      <c r="D11" s="423"/>
      <c r="E11" s="423"/>
      <c r="F11" s="423"/>
      <c r="G11" s="423"/>
      <c r="H11" s="424">
        <f>H76</f>
        <v>50.97</v>
      </c>
      <c r="I11" s="424">
        <f t="shared" ref="I11:X11" si="2">IF(I8&gt;$F$5,I76,0)</f>
        <v>61.905999999999999</v>
      </c>
      <c r="J11" s="424">
        <f t="shared" si="2"/>
        <v>75.572000000000003</v>
      </c>
      <c r="K11" s="424">
        <f t="shared" si="2"/>
        <v>90.070999999999998</v>
      </c>
      <c r="L11" s="424">
        <f t="shared" si="2"/>
        <v>111.77</v>
      </c>
      <c r="M11" s="424">
        <f t="shared" si="2"/>
        <v>128.41399999999999</v>
      </c>
      <c r="N11" s="424">
        <f t="shared" si="2"/>
        <v>150.04499999999999</v>
      </c>
      <c r="O11" s="424">
        <f t="shared" si="2"/>
        <v>189.428</v>
      </c>
      <c r="P11" s="424">
        <f t="shared" si="2"/>
        <v>222.52799999999999</v>
      </c>
      <c r="Q11" s="424">
        <f>IF(Q8&gt;$F$5,Q76,0)</f>
        <v>259.238</v>
      </c>
      <c r="R11" s="424">
        <f t="shared" si="2"/>
        <v>300.79700000000003</v>
      </c>
      <c r="S11" s="424">
        <f t="shared" si="2"/>
        <v>312.34500000000003</v>
      </c>
      <c r="T11" s="424">
        <f>IF(T8&gt;$F$5,T76,0)</f>
        <v>347.71300000000002</v>
      </c>
      <c r="U11" s="424">
        <f>IF(U8&gt;$F$5,U76,0)</f>
        <v>409.66500000000002</v>
      </c>
      <c r="V11" s="424">
        <f t="shared" si="2"/>
        <v>440.8</v>
      </c>
      <c r="W11" s="424">
        <f t="shared" si="2"/>
        <v>484.88000000000005</v>
      </c>
      <c r="X11" s="424">
        <f t="shared" si="2"/>
        <v>533.36800000000005</v>
      </c>
      <c r="Y11" s="424">
        <f t="shared" ref="Y11:AD11" si="3">IF(Y8&gt;$F$5,Y76,0)</f>
        <v>586.70480000000009</v>
      </c>
      <c r="Z11" s="424">
        <f t="shared" si="3"/>
        <v>645.3752800000002</v>
      </c>
      <c r="AA11" s="424">
        <f t="shared" si="3"/>
        <v>709.91280800000027</v>
      </c>
      <c r="AB11" s="424">
        <f t="shared" si="3"/>
        <v>780.90408880000041</v>
      </c>
      <c r="AC11" s="424">
        <f t="shared" si="3"/>
        <v>858.99449768000056</v>
      </c>
      <c r="AD11" s="424">
        <f t="shared" si="3"/>
        <v>944.89394744800074</v>
      </c>
    </row>
    <row r="12" spans="1:30">
      <c r="A12" s="402"/>
      <c r="B12" s="403"/>
      <c r="C12" s="425" t="s">
        <v>477</v>
      </c>
      <c r="D12" s="425"/>
      <c r="E12" s="425"/>
      <c r="F12" s="425"/>
      <c r="G12" s="425"/>
      <c r="H12" s="426">
        <f>H23</f>
        <v>-48.349744974057806</v>
      </c>
      <c r="I12" s="426">
        <f t="shared" ref="I12:X12" si="4">IF(I8&gt;$F$5,I23,0)</f>
        <v>-63.163054851203839</v>
      </c>
      <c r="J12" s="426">
        <f t="shared" si="4"/>
        <v>-84.849127669754054</v>
      </c>
      <c r="K12" s="426">
        <f t="shared" si="4"/>
        <v>-108.69292178145011</v>
      </c>
      <c r="L12" s="426">
        <f t="shared" si="4"/>
        <v>-142.82606048064122</v>
      </c>
      <c r="M12" s="426">
        <f t="shared" si="4"/>
        <v>-175.72250342229665</v>
      </c>
      <c r="N12" s="426">
        <f t="shared" si="4"/>
        <v>-148.98708727265264</v>
      </c>
      <c r="O12" s="426">
        <f t="shared" si="4"/>
        <v>-181.00959031120036</v>
      </c>
      <c r="P12" s="426">
        <f t="shared" si="4"/>
        <v>-219.57072272481321</v>
      </c>
      <c r="Q12" s="426">
        <f t="shared" si="4"/>
        <v>-248.77076860408758</v>
      </c>
      <c r="R12" s="426">
        <f t="shared" si="4"/>
        <v>-319.47408756882737</v>
      </c>
      <c r="S12" s="426">
        <f t="shared" si="4"/>
        <v>-306.8756195993563</v>
      </c>
      <c r="T12" s="426">
        <f>IF(T8&gt;$F$5,T23,0)</f>
        <v>-307.79789710340947</v>
      </c>
      <c r="U12" s="426">
        <f>IF(U8&gt;$F$5,U23,0)</f>
        <v>-386.69446523092279</v>
      </c>
      <c r="V12" s="426">
        <f t="shared" si="4"/>
        <v>-346.53219244666434</v>
      </c>
      <c r="W12" s="426">
        <f t="shared" si="4"/>
        <v>-382.33559474711694</v>
      </c>
      <c r="X12" s="426">
        <f t="shared" si="4"/>
        <v>-424.76161665395284</v>
      </c>
      <c r="Y12" s="426">
        <f t="shared" ref="Y12:AD12" si="5">IF(Y8&gt;$F$5,Y23,0)</f>
        <v>-468.03316721991814</v>
      </c>
      <c r="Z12" s="426">
        <f t="shared" si="5"/>
        <v>-409.03854789693668</v>
      </c>
      <c r="AA12" s="426">
        <f t="shared" si="5"/>
        <v>-335.83872402240996</v>
      </c>
      <c r="AB12" s="426">
        <f t="shared" si="5"/>
        <v>-310.17639215410429</v>
      </c>
      <c r="AC12" s="426">
        <f t="shared" si="5"/>
        <v>-242.55798538875064</v>
      </c>
      <c r="AD12" s="426">
        <f t="shared" si="5"/>
        <v>-262.17552811480164</v>
      </c>
    </row>
    <row r="13" spans="1:30">
      <c r="A13" s="402"/>
      <c r="B13" s="403"/>
      <c r="C13" s="427" t="s">
        <v>478</v>
      </c>
      <c r="D13" s="423"/>
      <c r="E13" s="423"/>
      <c r="F13" s="423"/>
      <c r="G13" s="423"/>
      <c r="H13" s="428">
        <f t="shared" ref="H13:Z13" si="6">SUM(H11:H12)</f>
        <v>2.6202550259421926</v>
      </c>
      <c r="I13" s="428">
        <f t="shared" si="6"/>
        <v>-1.25705485120384</v>
      </c>
      <c r="J13" s="428">
        <f t="shared" si="6"/>
        <v>-9.2771276697540515</v>
      </c>
      <c r="K13" s="428">
        <f t="shared" si="6"/>
        <v>-18.621921781450112</v>
      </c>
      <c r="L13" s="428">
        <f t="shared" si="6"/>
        <v>-31.056060480641221</v>
      </c>
      <c r="M13" s="428">
        <f t="shared" si="6"/>
        <v>-47.308503422296667</v>
      </c>
      <c r="N13" s="428">
        <f t="shared" si="6"/>
        <v>1.0579127273473432</v>
      </c>
      <c r="O13" s="428">
        <f t="shared" si="6"/>
        <v>8.4184096887996418</v>
      </c>
      <c r="P13" s="428">
        <f t="shared" si="6"/>
        <v>2.9572772751867831</v>
      </c>
      <c r="Q13" s="428">
        <f t="shared" si="6"/>
        <v>10.467231395912421</v>
      </c>
      <c r="R13" s="428">
        <f t="shared" si="6"/>
        <v>-18.677087568827346</v>
      </c>
      <c r="S13" s="428">
        <f t="shared" si="6"/>
        <v>5.469380400643729</v>
      </c>
      <c r="T13" s="428">
        <f t="shared" si="6"/>
        <v>39.915102896590554</v>
      </c>
      <c r="U13" s="428">
        <f t="shared" si="6"/>
        <v>22.970534769077233</v>
      </c>
      <c r="V13" s="428">
        <f t="shared" si="6"/>
        <v>94.267807553335672</v>
      </c>
      <c r="W13" s="428">
        <f t="shared" si="6"/>
        <v>102.54440525288311</v>
      </c>
      <c r="X13" s="428">
        <f t="shared" si="6"/>
        <v>108.60638334604721</v>
      </c>
      <c r="Y13" s="428">
        <f t="shared" si="6"/>
        <v>118.67163278008195</v>
      </c>
      <c r="Z13" s="428">
        <f t="shared" si="6"/>
        <v>236.33673210306353</v>
      </c>
      <c r="AA13" s="428">
        <f>SUM(AA11:AA12)</f>
        <v>374.07408397759031</v>
      </c>
      <c r="AB13" s="428">
        <f>SUM(AB11:AB12)</f>
        <v>470.72769664589612</v>
      </c>
      <c r="AC13" s="428">
        <f>SUM(AC11:AC12)</f>
        <v>616.43651229124998</v>
      </c>
      <c r="AD13" s="428">
        <f>SUM(AD11:AD12)</f>
        <v>682.71841933319911</v>
      </c>
    </row>
    <row r="14" spans="1:30">
      <c r="A14" s="402"/>
      <c r="B14" s="403"/>
      <c r="C14" s="423"/>
      <c r="D14" s="423"/>
      <c r="E14" s="423"/>
      <c r="F14" s="423"/>
      <c r="G14" s="423"/>
      <c r="H14" s="429"/>
      <c r="I14" s="429"/>
      <c r="J14" s="429"/>
      <c r="K14" s="429"/>
      <c r="L14" s="429"/>
      <c r="M14" s="429"/>
      <c r="N14" s="429"/>
      <c r="O14" s="429"/>
      <c r="P14" s="429"/>
      <c r="Q14" s="429"/>
      <c r="R14" s="429"/>
      <c r="S14" s="429"/>
      <c r="T14" s="429"/>
      <c r="U14" s="429"/>
      <c r="V14" s="429"/>
      <c r="W14" s="429"/>
      <c r="X14" s="429"/>
      <c r="Y14" s="429"/>
      <c r="Z14" s="429"/>
      <c r="AA14" s="429"/>
      <c r="AB14" s="429"/>
      <c r="AC14" s="429"/>
      <c r="AD14" s="429"/>
    </row>
    <row r="15" spans="1:30">
      <c r="A15" s="402"/>
      <c r="B15" s="403"/>
      <c r="C15" s="423" t="s">
        <v>479</v>
      </c>
      <c r="D15" s="423"/>
      <c r="E15" s="423"/>
      <c r="F15" s="423"/>
      <c r="G15" s="423"/>
      <c r="H15" s="426">
        <f t="shared" ref="H15:X15" si="7">IF(OR(H8&gt;$F$5,H8=$F$5),-H30,0)</f>
        <v>-18.849446086372044</v>
      </c>
      <c r="I15" s="426">
        <f t="shared" si="7"/>
        <v>-7.5745462927810507</v>
      </c>
      <c r="J15" s="426">
        <f t="shared" si="7"/>
        <v>-33.801237606319816</v>
      </c>
      <c r="K15" s="426">
        <f t="shared" si="7"/>
        <v>-42.44261506862</v>
      </c>
      <c r="L15" s="426">
        <f t="shared" si="7"/>
        <v>-55.354381925917806</v>
      </c>
      <c r="M15" s="426">
        <f t="shared" si="7"/>
        <v>-65.785950876968158</v>
      </c>
      <c r="N15" s="426">
        <f t="shared" si="7"/>
        <v>-77.221192980533104</v>
      </c>
      <c r="O15" s="426">
        <f t="shared" si="7"/>
        <v>-88.090171668771092</v>
      </c>
      <c r="P15" s="426">
        <f t="shared" si="7"/>
        <v>-100.38949906531657</v>
      </c>
      <c r="Q15" s="426">
        <f t="shared" si="7"/>
        <v>-125.3887951448157</v>
      </c>
      <c r="R15" s="426">
        <f t="shared" si="7"/>
        <v>-151.17082745436454</v>
      </c>
      <c r="S15" s="426">
        <f t="shared" si="7"/>
        <v>-147.91467423042516</v>
      </c>
      <c r="T15" s="426">
        <f>IF(OR(T8&gt;$F$5,T8=$F$5),-T30,0)</f>
        <v>-155.19264183072801</v>
      </c>
      <c r="U15" s="426">
        <f>IF(OR(U8&gt;$F$5,U8=$F$5),-U30,0)</f>
        <v>-181.39449251636114</v>
      </c>
      <c r="V15" s="426">
        <f t="shared" si="7"/>
        <v>-164.09572882798477</v>
      </c>
      <c r="W15" s="426">
        <f t="shared" si="7"/>
        <v>-179.75939449621751</v>
      </c>
      <c r="X15" s="426">
        <f t="shared" si="7"/>
        <v>-196.94467229839958</v>
      </c>
      <c r="Y15" s="426">
        <f t="shared" ref="Y15:AD15" si="8">IF(OR(Y8&gt;$F$5,Y8=$F$5),-Y30,0)</f>
        <v>-215.80103818195349</v>
      </c>
      <c r="Z15" s="426">
        <f t="shared" si="8"/>
        <v>-236.49275457308565</v>
      </c>
      <c r="AA15" s="426">
        <f t="shared" si="8"/>
        <v>-259.20033935770721</v>
      </c>
      <c r="AB15" s="426">
        <f t="shared" si="8"/>
        <v>-284.12218118042972</v>
      </c>
      <c r="AC15" s="426">
        <f t="shared" si="8"/>
        <v>-311.47631565864157</v>
      </c>
      <c r="AD15" s="426">
        <f t="shared" si="8"/>
        <v>-341.50237856628479</v>
      </c>
    </row>
    <row r="16" spans="1:30">
      <c r="A16" s="402"/>
      <c r="B16" s="403"/>
      <c r="C16" s="427" t="s">
        <v>480</v>
      </c>
      <c r="D16" s="430"/>
      <c r="E16" s="430"/>
      <c r="F16" s="430"/>
      <c r="G16" s="430"/>
      <c r="H16" s="428">
        <f t="shared" ref="H16:Z16" si="9">H13+H15</f>
        <v>-16.229191060429851</v>
      </c>
      <c r="I16" s="428">
        <f t="shared" si="9"/>
        <v>-8.8316011439848907</v>
      </c>
      <c r="J16" s="428">
        <f t="shared" si="9"/>
        <v>-43.078365276073868</v>
      </c>
      <c r="K16" s="428">
        <f t="shared" si="9"/>
        <v>-61.064536850070112</v>
      </c>
      <c r="L16" s="428">
        <f t="shared" si="9"/>
        <v>-86.410442406559028</v>
      </c>
      <c r="M16" s="428">
        <f t="shared" si="9"/>
        <v>-113.09445429926483</v>
      </c>
      <c r="N16" s="428">
        <f t="shared" si="9"/>
        <v>-76.163280253185761</v>
      </c>
      <c r="O16" s="428">
        <f t="shared" si="9"/>
        <v>-79.67176197997145</v>
      </c>
      <c r="P16" s="428">
        <f t="shared" si="9"/>
        <v>-97.432221790129788</v>
      </c>
      <c r="Q16" s="428">
        <f t="shared" si="9"/>
        <v>-114.92156374890328</v>
      </c>
      <c r="R16" s="428">
        <f t="shared" si="9"/>
        <v>-169.84791502319189</v>
      </c>
      <c r="S16" s="428">
        <f t="shared" si="9"/>
        <v>-142.44529382978143</v>
      </c>
      <c r="T16" s="428">
        <f t="shared" si="9"/>
        <v>-115.27753893413745</v>
      </c>
      <c r="U16" s="428">
        <f t="shared" si="9"/>
        <v>-158.42395774728391</v>
      </c>
      <c r="V16" s="428">
        <f t="shared" si="9"/>
        <v>-69.8279212746491</v>
      </c>
      <c r="W16" s="428">
        <f t="shared" si="9"/>
        <v>-77.214989243334401</v>
      </c>
      <c r="X16" s="428">
        <f t="shared" si="9"/>
        <v>-88.338288952352372</v>
      </c>
      <c r="Y16" s="428">
        <f t="shared" si="9"/>
        <v>-97.129405401871537</v>
      </c>
      <c r="Z16" s="428">
        <f t="shared" si="9"/>
        <v>-0.15602247002212266</v>
      </c>
      <c r="AA16" s="428">
        <f>AA13+AA15</f>
        <v>114.8737446198831</v>
      </c>
      <c r="AB16" s="428">
        <f>AB13+AB15</f>
        <v>186.6055154654664</v>
      </c>
      <c r="AC16" s="428">
        <f>AC13+AC15</f>
        <v>304.96019663260842</v>
      </c>
      <c r="AD16" s="428">
        <f>AD13+AD15</f>
        <v>341.21604076691432</v>
      </c>
    </row>
    <row r="17" spans="1:30">
      <c r="A17" s="402"/>
      <c r="B17" s="403"/>
      <c r="C17" s="423"/>
      <c r="D17" s="423"/>
      <c r="E17" s="423"/>
      <c r="F17" s="423"/>
      <c r="G17" s="423"/>
      <c r="H17" s="429"/>
      <c r="I17" s="424"/>
      <c r="J17" s="424"/>
      <c r="K17" s="424"/>
      <c r="L17" s="424"/>
      <c r="M17" s="424"/>
      <c r="N17" s="424"/>
      <c r="O17" s="424"/>
      <c r="P17" s="424"/>
      <c r="Q17" s="424"/>
      <c r="R17" s="424"/>
      <c r="S17" s="424"/>
      <c r="T17" s="424"/>
      <c r="U17" s="424"/>
      <c r="V17" s="424"/>
      <c r="W17" s="424"/>
      <c r="X17" s="424"/>
      <c r="Y17" s="424"/>
      <c r="Z17" s="424"/>
      <c r="AA17" s="424"/>
      <c r="AB17" s="424"/>
      <c r="AC17" s="424"/>
      <c r="AD17" s="424"/>
    </row>
    <row r="18" spans="1:30">
      <c r="A18" s="402"/>
      <c r="B18" s="403"/>
      <c r="C18" s="423"/>
      <c r="D18" s="423"/>
      <c r="E18" s="423"/>
      <c r="F18" s="423"/>
      <c r="G18" s="423"/>
      <c r="H18" s="431"/>
      <c r="I18" s="432"/>
      <c r="J18" s="432"/>
      <c r="K18" s="432"/>
      <c r="L18" s="432"/>
      <c r="M18" s="432"/>
      <c r="N18" s="432"/>
      <c r="O18" s="432"/>
      <c r="P18" s="432"/>
      <c r="Q18" s="432"/>
      <c r="R18" s="432"/>
      <c r="S18" s="432"/>
      <c r="T18" s="432"/>
      <c r="U18" s="432"/>
      <c r="V18" s="432"/>
      <c r="W18" s="432"/>
      <c r="X18" s="432"/>
      <c r="Y18" s="432"/>
      <c r="Z18" s="432"/>
      <c r="AA18" s="432"/>
      <c r="AB18" s="432"/>
      <c r="AC18" s="432"/>
      <c r="AD18" s="432"/>
    </row>
    <row r="19" spans="1:30" ht="14.25" customHeight="1">
      <c r="A19" s="433"/>
      <c r="B19" s="406"/>
      <c r="C19" s="418" t="s">
        <v>122</v>
      </c>
      <c r="D19" s="434"/>
      <c r="E19" s="434"/>
      <c r="F19" s="434"/>
      <c r="G19" s="434"/>
      <c r="H19" s="435"/>
      <c r="I19" s="435"/>
      <c r="J19" s="435"/>
      <c r="K19" s="435"/>
      <c r="L19" s="435"/>
      <c r="M19" s="435"/>
      <c r="N19" s="435"/>
      <c r="O19" s="435"/>
      <c r="P19" s="435"/>
      <c r="Q19" s="436"/>
      <c r="R19" s="436"/>
      <c r="S19" s="436"/>
      <c r="T19" s="436"/>
      <c r="U19" s="436"/>
      <c r="V19" s="436"/>
      <c r="W19" s="436"/>
      <c r="X19" s="436"/>
      <c r="Y19" s="436"/>
      <c r="Z19" s="436"/>
      <c r="AA19" s="436"/>
      <c r="AB19" s="436"/>
      <c r="AC19" s="436"/>
      <c r="AD19" s="436"/>
    </row>
    <row r="20" spans="1:30">
      <c r="A20" s="433"/>
      <c r="B20" s="408"/>
      <c r="C20" s="421"/>
      <c r="D20" s="434"/>
      <c r="E20" s="434"/>
      <c r="F20" s="434"/>
      <c r="G20" s="434"/>
      <c r="H20" s="435"/>
      <c r="I20" s="435"/>
      <c r="J20" s="435"/>
      <c r="K20" s="435"/>
      <c r="L20" s="435"/>
      <c r="M20" s="435"/>
      <c r="N20" s="435"/>
      <c r="O20" s="435"/>
      <c r="P20" s="435"/>
      <c r="Q20" s="436"/>
      <c r="R20" s="436"/>
      <c r="S20" s="436"/>
      <c r="T20" s="436"/>
      <c r="U20" s="436"/>
      <c r="V20" s="436"/>
      <c r="W20" s="436"/>
      <c r="X20" s="436"/>
      <c r="Y20" s="436"/>
      <c r="Z20" s="436"/>
      <c r="AA20" s="436"/>
      <c r="AB20" s="436"/>
      <c r="AC20" s="436"/>
      <c r="AD20" s="436"/>
    </row>
    <row r="21" spans="1:30">
      <c r="A21" s="402"/>
      <c r="B21" s="403"/>
      <c r="C21" s="437" t="s">
        <v>481</v>
      </c>
      <c r="D21" s="437"/>
      <c r="E21" s="437"/>
      <c r="F21" s="437"/>
      <c r="G21" s="437"/>
      <c r="H21" s="438"/>
      <c r="I21" s="438">
        <f t="shared" ref="I21:AD21" si="10">H24</f>
        <v>263.07543587879917</v>
      </c>
      <c r="J21" s="438">
        <f t="shared" si="10"/>
        <v>326.15481924061282</v>
      </c>
      <c r="K21" s="438">
        <f t="shared" si="10"/>
        <v>399.74178631115097</v>
      </c>
      <c r="L21" s="438">
        <f t="shared" si="10"/>
        <v>476.84258462838409</v>
      </c>
      <c r="M21" s="438">
        <f t="shared" si="10"/>
        <v>596.84102336741967</v>
      </c>
      <c r="N21" s="438">
        <f t="shared" si="10"/>
        <v>651.39362053671096</v>
      </c>
      <c r="O21" s="438">
        <f t="shared" si="10"/>
        <v>755.62195077983938</v>
      </c>
      <c r="P21" s="438">
        <f t="shared" si="10"/>
        <v>828.58581229207266</v>
      </c>
      <c r="Q21" s="438">
        <f t="shared" si="10"/>
        <v>915.34170784091327</v>
      </c>
      <c r="R21" s="438">
        <f t="shared" si="10"/>
        <v>1205.3643748298277</v>
      </c>
      <c r="S21" s="438">
        <f t="shared" si="10"/>
        <v>1449.4400306086652</v>
      </c>
      <c r="T21" s="438">
        <f t="shared" si="10"/>
        <v>1237.9213631559546</v>
      </c>
      <c r="U21" s="438">
        <f t="shared" si="10"/>
        <v>1215.8532518271677</v>
      </c>
      <c r="V21" s="438">
        <f t="shared" si="10"/>
        <v>1458.3766561927362</v>
      </c>
      <c r="W21" s="438">
        <f t="shared" si="10"/>
        <v>1051.8022430901046</v>
      </c>
      <c r="X21" s="438">
        <f t="shared" si="10"/>
        <v>1207.2320139855492</v>
      </c>
      <c r="Y21" s="438">
        <f t="shared" si="10"/>
        <v>1374.0122995384138</v>
      </c>
      <c r="Z21" s="438">
        <f t="shared" si="10"/>
        <v>1556.6752247459949</v>
      </c>
      <c r="AA21" s="438">
        <f t="shared" si="10"/>
        <v>1863.4023785193074</v>
      </c>
      <c r="AB21" s="438">
        <f t="shared" si="10"/>
        <v>2314.9059263341715</v>
      </c>
      <c r="AC21" s="438">
        <f t="shared" si="10"/>
        <v>2870.8060332010691</v>
      </c>
      <c r="AD21" s="438">
        <f t="shared" si="10"/>
        <v>3580.9321967354203</v>
      </c>
    </row>
    <row r="22" spans="1:30">
      <c r="A22" s="402"/>
      <c r="B22" s="439"/>
      <c r="C22" s="440" t="s">
        <v>482</v>
      </c>
      <c r="D22" s="440"/>
      <c r="E22" s="440"/>
      <c r="F22" s="440"/>
      <c r="G22" s="440"/>
      <c r="H22" s="438">
        <f>H143</f>
        <v>362.24234043324475</v>
      </c>
      <c r="I22" s="438">
        <f t="shared" ref="I22:X22" si="11">IF((I8&gt;$F$5),I143,0)</f>
        <v>126.24243821301752</v>
      </c>
      <c r="J22" s="438">
        <f t="shared" si="11"/>
        <v>158.43609474029225</v>
      </c>
      <c r="K22" s="438">
        <f t="shared" si="11"/>
        <v>185.79372009868325</v>
      </c>
      <c r="L22" s="438">
        <f t="shared" si="11"/>
        <v>262.82449921967674</v>
      </c>
      <c r="M22" s="438">
        <f t="shared" si="11"/>
        <v>230.275100591588</v>
      </c>
      <c r="N22" s="438">
        <f t="shared" si="11"/>
        <v>253.21541751578101</v>
      </c>
      <c r="O22" s="438">
        <f t="shared" si="11"/>
        <v>253.97345182343361</v>
      </c>
      <c r="P22" s="438">
        <f t="shared" si="11"/>
        <v>306.32661827365371</v>
      </c>
      <c r="Q22" s="438">
        <f t="shared" si="11"/>
        <v>538.79343559300219</v>
      </c>
      <c r="R22" s="438">
        <f t="shared" si="11"/>
        <v>563.54974334766484</v>
      </c>
      <c r="S22" s="438">
        <f t="shared" si="11"/>
        <v>95.356952146645597</v>
      </c>
      <c r="T22" s="438">
        <f>IF((T8&gt;$F$5),T143,0)</f>
        <v>285.72978577462266</v>
      </c>
      <c r="U22" s="438">
        <f>IF((U8&gt;$F$5),U143,0)</f>
        <v>629.21786959649114</v>
      </c>
      <c r="V22" s="438">
        <f t="shared" si="11"/>
        <v>-60.04222065596727</v>
      </c>
      <c r="W22" s="438">
        <f t="shared" si="11"/>
        <v>537.76536564256128</v>
      </c>
      <c r="X22" s="438">
        <f t="shared" si="11"/>
        <v>591.54190220681744</v>
      </c>
      <c r="Y22" s="438">
        <f t="shared" ref="Y22:AD22" si="12">IF((Y8&gt;$F$5),Y143,0)</f>
        <v>650.69609242749914</v>
      </c>
      <c r="Z22" s="438">
        <f t="shared" si="12"/>
        <v>715.7657016702492</v>
      </c>
      <c r="AA22" s="438">
        <f t="shared" si="12"/>
        <v>787.34227183727444</v>
      </c>
      <c r="AB22" s="438">
        <f t="shared" si="12"/>
        <v>866.07649902100161</v>
      </c>
      <c r="AC22" s="438">
        <f t="shared" si="12"/>
        <v>952.68414892310193</v>
      </c>
      <c r="AD22" s="438">
        <f t="shared" si="12"/>
        <v>1047.9525638154125</v>
      </c>
    </row>
    <row r="23" spans="1:30">
      <c r="A23" s="402"/>
      <c r="B23" s="403"/>
      <c r="C23" s="440" t="s">
        <v>483</v>
      </c>
      <c r="D23" s="398"/>
      <c r="E23" s="398"/>
      <c r="F23" s="398"/>
      <c r="G23" s="398"/>
      <c r="H23" s="441">
        <f>-H172</f>
        <v>-48.349744974057806</v>
      </c>
      <c r="I23" s="441">
        <f t="shared" ref="I23:X23" si="13">IF(I8&gt;$F$5,-I172,0)</f>
        <v>-63.163054851203839</v>
      </c>
      <c r="J23" s="441">
        <f t="shared" si="13"/>
        <v>-84.849127669754054</v>
      </c>
      <c r="K23" s="441">
        <f t="shared" si="13"/>
        <v>-108.69292178145011</v>
      </c>
      <c r="L23" s="441">
        <f t="shared" si="13"/>
        <v>-142.82606048064122</v>
      </c>
      <c r="M23" s="441">
        <f t="shared" si="13"/>
        <v>-175.72250342229665</v>
      </c>
      <c r="N23" s="441">
        <f t="shared" si="13"/>
        <v>-148.98708727265264</v>
      </c>
      <c r="O23" s="441">
        <f t="shared" si="13"/>
        <v>-181.00959031120036</v>
      </c>
      <c r="P23" s="441">
        <f t="shared" si="13"/>
        <v>-219.57072272481321</v>
      </c>
      <c r="Q23" s="441">
        <f t="shared" si="13"/>
        <v>-248.77076860408758</v>
      </c>
      <c r="R23" s="441">
        <f t="shared" si="13"/>
        <v>-319.47408756882737</v>
      </c>
      <c r="S23" s="441">
        <f t="shared" si="13"/>
        <v>-306.8756195993563</v>
      </c>
      <c r="T23" s="441">
        <f>IF(T8&gt;$F$5,-T172,0)</f>
        <v>-307.79789710340947</v>
      </c>
      <c r="U23" s="441">
        <f>IF(U8&gt;$F$5,-U172,0)</f>
        <v>-386.69446523092279</v>
      </c>
      <c r="V23" s="441">
        <f t="shared" si="13"/>
        <v>-346.53219244666434</v>
      </c>
      <c r="W23" s="441">
        <f t="shared" si="13"/>
        <v>-382.33559474711694</v>
      </c>
      <c r="X23" s="441">
        <f t="shared" si="13"/>
        <v>-424.76161665395284</v>
      </c>
      <c r="Y23" s="441">
        <f t="shared" ref="Y23:AD23" si="14">IF(Y8&gt;$F$5,-Y172,0)</f>
        <v>-468.03316721991814</v>
      </c>
      <c r="Z23" s="441">
        <f t="shared" si="14"/>
        <v>-409.03854789693668</v>
      </c>
      <c r="AA23" s="441">
        <f t="shared" si="14"/>
        <v>-335.83872402240996</v>
      </c>
      <c r="AB23" s="441">
        <f t="shared" si="14"/>
        <v>-310.17639215410429</v>
      </c>
      <c r="AC23" s="441">
        <f t="shared" si="14"/>
        <v>-242.55798538875064</v>
      </c>
      <c r="AD23" s="441">
        <f t="shared" si="14"/>
        <v>-262.17552811480164</v>
      </c>
    </row>
    <row r="24" spans="1:30">
      <c r="A24" s="402"/>
      <c r="B24" s="403"/>
      <c r="C24" s="442" t="s">
        <v>484</v>
      </c>
      <c r="D24" s="434"/>
      <c r="E24" s="434"/>
      <c r="F24" s="434"/>
      <c r="G24" s="434"/>
      <c r="H24" s="443">
        <f t="shared" ref="H24:Z24" si="15">IF(H8=$F$5,H33*H35,IF(H8&gt;$F$5,SUM(H21:H23),0))</f>
        <v>263.07543587879917</v>
      </c>
      <c r="I24" s="443">
        <f t="shared" si="15"/>
        <v>326.15481924061282</v>
      </c>
      <c r="J24" s="443">
        <f t="shared" si="15"/>
        <v>399.74178631115097</v>
      </c>
      <c r="K24" s="443">
        <f t="shared" si="15"/>
        <v>476.84258462838409</v>
      </c>
      <c r="L24" s="443">
        <f t="shared" si="15"/>
        <v>596.84102336741967</v>
      </c>
      <c r="M24" s="443">
        <f t="shared" si="15"/>
        <v>651.39362053671096</v>
      </c>
      <c r="N24" s="443">
        <f t="shared" si="15"/>
        <v>755.62195077983938</v>
      </c>
      <c r="O24" s="443">
        <f t="shared" si="15"/>
        <v>828.58581229207266</v>
      </c>
      <c r="P24" s="443">
        <f t="shared" si="15"/>
        <v>915.34170784091327</v>
      </c>
      <c r="Q24" s="443">
        <f t="shared" si="15"/>
        <v>1205.3643748298277</v>
      </c>
      <c r="R24" s="443">
        <f t="shared" si="15"/>
        <v>1449.4400306086652</v>
      </c>
      <c r="S24" s="443">
        <f t="shared" si="15"/>
        <v>1237.9213631559546</v>
      </c>
      <c r="T24" s="443">
        <f t="shared" si="15"/>
        <v>1215.8532518271677</v>
      </c>
      <c r="U24" s="443">
        <f t="shared" si="15"/>
        <v>1458.3766561927362</v>
      </c>
      <c r="V24" s="443">
        <f t="shared" si="15"/>
        <v>1051.8022430901046</v>
      </c>
      <c r="W24" s="443">
        <f t="shared" si="15"/>
        <v>1207.2320139855492</v>
      </c>
      <c r="X24" s="443">
        <f t="shared" si="15"/>
        <v>1374.0122995384138</v>
      </c>
      <c r="Y24" s="443">
        <f t="shared" si="15"/>
        <v>1556.6752247459949</v>
      </c>
      <c r="Z24" s="443">
        <f t="shared" si="15"/>
        <v>1863.4023785193074</v>
      </c>
      <c r="AA24" s="443">
        <f>IF(AA8=$F$5,AA33*AA35,IF(AA8&gt;$F$5,SUM(AA21:AA23),0))</f>
        <v>2314.9059263341715</v>
      </c>
      <c r="AB24" s="443">
        <f>IF(AB8=$F$5,AB33*AB35,IF(AB8&gt;$F$5,SUM(AB21:AB23),0))</f>
        <v>2870.8060332010691</v>
      </c>
      <c r="AC24" s="443">
        <f>IF(AC8=$F$5,AC33*AC35,IF(AC8&gt;$F$5,SUM(AC21:AC23),0))</f>
        <v>3580.9321967354203</v>
      </c>
      <c r="AD24" s="443">
        <f>IF(AD8=$F$5,AD33*AD35,IF(AD8&gt;$F$5,SUM(AD21:AD23),0))</f>
        <v>4366.709232436031</v>
      </c>
    </row>
    <row r="25" spans="1:30">
      <c r="A25" s="402"/>
      <c r="B25" s="403"/>
      <c r="C25" s="398"/>
      <c r="D25" s="398"/>
      <c r="E25" s="398"/>
      <c r="F25" s="398"/>
      <c r="G25" s="398"/>
      <c r="H25" s="412"/>
      <c r="I25" s="438"/>
      <c r="J25" s="438"/>
      <c r="K25" s="438"/>
      <c r="L25" s="438"/>
      <c r="M25" s="438"/>
      <c r="N25" s="438"/>
      <c r="O25" s="438"/>
      <c r="P25" s="438"/>
      <c r="Q25" s="438"/>
      <c r="R25" s="438"/>
      <c r="S25" s="438"/>
      <c r="T25" s="438"/>
      <c r="U25" s="438"/>
      <c r="V25" s="438"/>
      <c r="W25" s="438"/>
      <c r="X25" s="438"/>
      <c r="Y25" s="438"/>
      <c r="Z25" s="438"/>
      <c r="AA25" s="438"/>
      <c r="AB25" s="438"/>
      <c r="AC25" s="438"/>
      <c r="AD25" s="438"/>
    </row>
    <row r="26" spans="1:30">
      <c r="A26" s="402"/>
      <c r="B26" s="403"/>
      <c r="C26" s="398"/>
      <c r="D26" s="398"/>
      <c r="E26" s="398"/>
      <c r="F26" s="398"/>
      <c r="G26" s="398"/>
      <c r="H26" s="438"/>
      <c r="I26" s="438"/>
      <c r="J26" s="438"/>
      <c r="K26" s="438"/>
      <c r="L26" s="438"/>
      <c r="M26" s="438"/>
      <c r="N26" s="438"/>
      <c r="O26" s="438"/>
      <c r="P26" s="438"/>
      <c r="Q26" s="438"/>
      <c r="R26" s="438"/>
      <c r="S26" s="438"/>
      <c r="T26" s="438"/>
      <c r="U26" s="438"/>
      <c r="V26" s="438"/>
      <c r="W26" s="438"/>
      <c r="X26" s="438"/>
      <c r="Y26" s="438"/>
      <c r="Z26" s="438"/>
      <c r="AA26" s="438"/>
      <c r="AB26" s="438"/>
      <c r="AC26" s="438"/>
      <c r="AD26" s="438"/>
    </row>
    <row r="27" spans="1:30" ht="14.25" customHeight="1">
      <c r="A27" s="433"/>
      <c r="B27" s="408"/>
      <c r="C27" s="418" t="s">
        <v>485</v>
      </c>
      <c r="D27" s="434"/>
      <c r="E27" s="434"/>
      <c r="F27" s="434"/>
      <c r="G27" s="434"/>
      <c r="H27" s="444"/>
      <c r="I27" s="444"/>
      <c r="J27" s="444"/>
      <c r="K27" s="444"/>
      <c r="L27" s="444"/>
      <c r="M27" s="444"/>
      <c r="N27" s="444"/>
      <c r="O27" s="444"/>
      <c r="P27" s="444"/>
      <c r="Q27" s="445"/>
      <c r="R27" s="445"/>
      <c r="S27" s="445"/>
      <c r="T27" s="445"/>
      <c r="U27" s="445"/>
      <c r="V27" s="445"/>
      <c r="W27" s="445"/>
      <c r="X27" s="445"/>
      <c r="Y27" s="445"/>
      <c r="Z27" s="445"/>
      <c r="AA27" s="445"/>
      <c r="AB27" s="445"/>
      <c r="AC27" s="445"/>
      <c r="AD27" s="445"/>
    </row>
    <row r="28" spans="1:30">
      <c r="A28" s="433"/>
      <c r="B28" s="408"/>
      <c r="C28" s="421"/>
      <c r="D28" s="434"/>
      <c r="E28" s="434"/>
      <c r="F28" s="434"/>
      <c r="G28" s="434"/>
      <c r="H28" s="444"/>
      <c r="I28" s="444"/>
      <c r="J28" s="444"/>
      <c r="K28" s="444"/>
      <c r="L28" s="444"/>
      <c r="M28" s="444"/>
      <c r="N28" s="444"/>
      <c r="O28" s="444"/>
      <c r="P28" s="444"/>
      <c r="Q28" s="445"/>
      <c r="R28" s="445"/>
      <c r="S28" s="445"/>
      <c r="T28" s="445"/>
      <c r="U28" s="445"/>
      <c r="V28" s="445"/>
      <c r="W28" s="445"/>
      <c r="X28" s="445"/>
      <c r="Y28" s="445"/>
      <c r="Z28" s="445"/>
      <c r="AA28" s="445"/>
      <c r="AB28" s="445"/>
      <c r="AC28" s="445"/>
      <c r="AD28" s="445"/>
    </row>
    <row r="29" spans="1:30">
      <c r="A29" s="402"/>
      <c r="B29" s="403"/>
      <c r="C29" s="437" t="s">
        <v>486</v>
      </c>
      <c r="D29" s="446"/>
      <c r="E29" s="446"/>
      <c r="F29" s="446"/>
      <c r="G29" s="446"/>
      <c r="H29" s="438">
        <f>H33-H30-H31-H32</f>
        <v>365.12743477286745</v>
      </c>
      <c r="I29" s="438">
        <f t="shared" ref="I29:AD29" si="16">H33</f>
        <v>333.00688085923946</v>
      </c>
      <c r="J29" s="438">
        <f t="shared" si="16"/>
        <v>404.91786536503804</v>
      </c>
      <c r="K29" s="438">
        <f t="shared" si="16"/>
        <v>521.58319771165009</v>
      </c>
      <c r="L29" s="438">
        <f t="shared" si="16"/>
        <v>659.74853287895337</v>
      </c>
      <c r="M29" s="438">
        <f t="shared" si="16"/>
        <v>866.15741402454796</v>
      </c>
      <c r="N29" s="438">
        <f t="shared" si="16"/>
        <v>1033.8044654931041</v>
      </c>
      <c r="O29" s="438">
        <f t="shared" si="16"/>
        <v>1214.1960759894182</v>
      </c>
      <c r="P29" s="438">
        <f t="shared" si="16"/>
        <v>1366.8316994816228</v>
      </c>
      <c r="Q29" s="438">
        <f t="shared" si="16"/>
        <v>1551.019816820593</v>
      </c>
      <c r="R29" s="438">
        <f t="shared" si="16"/>
        <v>1955.9640475584108</v>
      </c>
      <c r="S29" s="438">
        <f t="shared" si="16"/>
        <v>2369.8876183604402</v>
      </c>
      <c r="T29" s="438">
        <f t="shared" si="16"/>
        <v>2300.8142447375108</v>
      </c>
      <c r="U29" s="438">
        <f t="shared" si="16"/>
        <v>2394.0236723428611</v>
      </c>
      <c r="V29" s="438">
        <f t="shared" si="16"/>
        <v>2794.9710344557134</v>
      </c>
      <c r="W29" s="438">
        <f t="shared" si="16"/>
        <v>2458.2245426277304</v>
      </c>
      <c r="X29" s="438">
        <f t="shared" si="16"/>
        <v>2690.869302766509</v>
      </c>
      <c r="Y29" s="438">
        <f t="shared" si="16"/>
        <v>2945.9878772717257</v>
      </c>
      <c r="Z29" s="438">
        <f t="shared" si="16"/>
        <v>3225.7802078811783</v>
      </c>
      <c r="AA29" s="438">
        <f t="shared" si="16"/>
        <v>3532.663384124513</v>
      </c>
      <c r="AB29" s="438">
        <f t="shared" si="16"/>
        <v>3869.2931873194943</v>
      </c>
      <c r="AC29" s="438">
        <f t="shared" si="16"/>
        <v>4238.5877787209247</v>
      </c>
      <c r="AD29" s="438">
        <f t="shared" si="16"/>
        <v>4643.7537456226673</v>
      </c>
    </row>
    <row r="30" spans="1:30">
      <c r="A30" s="402"/>
      <c r="B30" s="403"/>
      <c r="C30" s="440" t="s">
        <v>487</v>
      </c>
      <c r="D30" s="447"/>
      <c r="E30" s="447"/>
      <c r="F30" s="447"/>
      <c r="G30" s="447"/>
      <c r="H30" s="438">
        <f>H33/(1+H44)*H44</f>
        <v>18.849446086372044</v>
      </c>
      <c r="I30" s="438">
        <f>IF(I8=$F$5,0,IF(I8&gt;$F$5,I29*G44+I45*I32,0))</f>
        <v>7.5745462927810507</v>
      </c>
      <c r="J30" s="438">
        <f>IF(J8=$F$5,0,IF(J8&gt;$F$5,J29*H44+J45*J32,0))</f>
        <v>33.801237606319816</v>
      </c>
      <c r="K30" s="438">
        <f>IF(K8=$F$5,0,IF(K8&gt;$F$5,K29*I44+K45*K32,0))</f>
        <v>42.44261506862</v>
      </c>
      <c r="L30" s="438">
        <f>IF(L8=$F$5,0,IF(L8&gt;$F$5,L29*J44+L45*L32,0))</f>
        <v>55.354381925917806</v>
      </c>
      <c r="M30" s="438">
        <f>IF(M8=$F$5,0,IF(M8&gt;$F$5,M29*K44+M45*M32,0))</f>
        <v>65.785950876968158</v>
      </c>
      <c r="N30" s="438">
        <f t="shared" ref="N30:AD30" si="17">IF(N8=$F$5,0,IF(N8&gt;$F$5,N29*M44+N45*N32,0))</f>
        <v>77.221192980533104</v>
      </c>
      <c r="O30" s="438">
        <f t="shared" si="17"/>
        <v>88.090171668771092</v>
      </c>
      <c r="P30" s="438">
        <f t="shared" si="17"/>
        <v>100.38949906531657</v>
      </c>
      <c r="Q30" s="438">
        <f t="shared" si="17"/>
        <v>125.3887951448157</v>
      </c>
      <c r="R30" s="438">
        <f t="shared" si="17"/>
        <v>151.17082745436454</v>
      </c>
      <c r="S30" s="438">
        <f t="shared" si="17"/>
        <v>147.91467423042516</v>
      </c>
      <c r="T30" s="438">
        <f t="shared" si="17"/>
        <v>155.19264183072801</v>
      </c>
      <c r="U30" s="438">
        <f t="shared" si="17"/>
        <v>181.39449251636114</v>
      </c>
      <c r="V30" s="438">
        <f t="shared" si="17"/>
        <v>164.09572882798477</v>
      </c>
      <c r="W30" s="438">
        <f t="shared" si="17"/>
        <v>179.75939449621751</v>
      </c>
      <c r="X30" s="438">
        <f t="shared" si="17"/>
        <v>196.94467229839958</v>
      </c>
      <c r="Y30" s="438">
        <f t="shared" si="17"/>
        <v>215.80103818195349</v>
      </c>
      <c r="Z30" s="438">
        <f t="shared" si="17"/>
        <v>236.49275457308565</v>
      </c>
      <c r="AA30" s="438">
        <f t="shared" si="17"/>
        <v>259.20033935770721</v>
      </c>
      <c r="AB30" s="438">
        <f t="shared" si="17"/>
        <v>284.12218118042972</v>
      </c>
      <c r="AC30" s="438">
        <f t="shared" si="17"/>
        <v>311.47631565864157</v>
      </c>
      <c r="AD30" s="438">
        <f t="shared" si="17"/>
        <v>341.50237856628479</v>
      </c>
    </row>
    <row r="31" spans="1:30">
      <c r="A31" s="402"/>
      <c r="B31" s="403"/>
      <c r="C31" s="440" t="s">
        <v>488</v>
      </c>
      <c r="D31" s="447"/>
      <c r="E31" s="447"/>
      <c r="F31" s="447"/>
      <c r="G31" s="447"/>
      <c r="H31" s="438">
        <f t="shared" ref="H31:X31" si="18">-H11</f>
        <v>-50.97</v>
      </c>
      <c r="I31" s="438">
        <f t="shared" si="18"/>
        <v>-61.905999999999999</v>
      </c>
      <c r="J31" s="438">
        <f t="shared" si="18"/>
        <v>-75.572000000000003</v>
      </c>
      <c r="K31" s="438">
        <f t="shared" si="18"/>
        <v>-90.070999999999998</v>
      </c>
      <c r="L31" s="438">
        <f t="shared" si="18"/>
        <v>-111.77</v>
      </c>
      <c r="M31" s="438">
        <f t="shared" si="18"/>
        <v>-128.41399999999999</v>
      </c>
      <c r="N31" s="438">
        <f t="shared" si="18"/>
        <v>-150.04499999999999</v>
      </c>
      <c r="O31" s="438">
        <f t="shared" si="18"/>
        <v>-189.428</v>
      </c>
      <c r="P31" s="438">
        <f t="shared" si="18"/>
        <v>-222.52799999999999</v>
      </c>
      <c r="Q31" s="438">
        <f t="shared" si="18"/>
        <v>-259.238</v>
      </c>
      <c r="R31" s="438">
        <f t="shared" si="18"/>
        <v>-300.79700000000003</v>
      </c>
      <c r="S31" s="438">
        <f t="shared" si="18"/>
        <v>-312.34500000000003</v>
      </c>
      <c r="T31" s="438">
        <f>-T11</f>
        <v>-347.71300000000002</v>
      </c>
      <c r="U31" s="438">
        <f>-U11</f>
        <v>-409.66500000000002</v>
      </c>
      <c r="V31" s="438">
        <f t="shared" si="18"/>
        <v>-440.8</v>
      </c>
      <c r="W31" s="438">
        <f t="shared" si="18"/>
        <v>-484.88000000000005</v>
      </c>
      <c r="X31" s="438">
        <f t="shared" si="18"/>
        <v>-533.36800000000005</v>
      </c>
      <c r="Y31" s="438">
        <f t="shared" ref="Y31:AD31" si="19">-Y11</f>
        <v>-586.70480000000009</v>
      </c>
      <c r="Z31" s="438">
        <f t="shared" si="19"/>
        <v>-645.3752800000002</v>
      </c>
      <c r="AA31" s="438">
        <f t="shared" si="19"/>
        <v>-709.91280800000027</v>
      </c>
      <c r="AB31" s="438">
        <f t="shared" si="19"/>
        <v>-780.90408880000041</v>
      </c>
      <c r="AC31" s="438">
        <f t="shared" si="19"/>
        <v>-858.99449768000056</v>
      </c>
      <c r="AD31" s="438">
        <f t="shared" si="19"/>
        <v>-944.89394744800074</v>
      </c>
    </row>
    <row r="32" spans="1:30">
      <c r="A32" s="402"/>
      <c r="B32" s="403"/>
      <c r="C32" s="440" t="s">
        <v>489</v>
      </c>
      <c r="D32" s="447"/>
      <c r="E32" s="447"/>
      <c r="F32" s="447"/>
      <c r="G32" s="447"/>
      <c r="H32" s="441">
        <f t="shared" ref="H32:X32" si="20">IF(H8&gt;$F$5,H22,0)</f>
        <v>0</v>
      </c>
      <c r="I32" s="441">
        <f t="shared" si="20"/>
        <v>126.24243821301752</v>
      </c>
      <c r="J32" s="441">
        <f t="shared" si="20"/>
        <v>158.43609474029225</v>
      </c>
      <c r="K32" s="441">
        <f t="shared" si="20"/>
        <v>185.79372009868325</v>
      </c>
      <c r="L32" s="441">
        <f t="shared" si="20"/>
        <v>262.82449921967674</v>
      </c>
      <c r="M32" s="441">
        <f t="shared" si="20"/>
        <v>230.275100591588</v>
      </c>
      <c r="N32" s="441">
        <f t="shared" si="20"/>
        <v>253.21541751578101</v>
      </c>
      <c r="O32" s="441">
        <f t="shared" si="20"/>
        <v>253.97345182343361</v>
      </c>
      <c r="P32" s="441">
        <f t="shared" si="20"/>
        <v>306.32661827365371</v>
      </c>
      <c r="Q32" s="441">
        <f t="shared" si="20"/>
        <v>538.79343559300219</v>
      </c>
      <c r="R32" s="441">
        <f t="shared" si="20"/>
        <v>563.54974334766484</v>
      </c>
      <c r="S32" s="441">
        <f t="shared" si="20"/>
        <v>95.356952146645597</v>
      </c>
      <c r="T32" s="441">
        <f>IF(T8&gt;$F$5,T22,0)</f>
        <v>285.72978577462266</v>
      </c>
      <c r="U32" s="441">
        <f>IF(U8&gt;$F$5,U22,0)</f>
        <v>629.21786959649114</v>
      </c>
      <c r="V32" s="441">
        <f t="shared" si="20"/>
        <v>-60.04222065596727</v>
      </c>
      <c r="W32" s="441">
        <f t="shared" si="20"/>
        <v>537.76536564256128</v>
      </c>
      <c r="X32" s="441">
        <f t="shared" si="20"/>
        <v>591.54190220681744</v>
      </c>
      <c r="Y32" s="441">
        <f t="shared" ref="Y32:AD32" si="21">IF(Y8&gt;$F$5,Y22,0)</f>
        <v>650.69609242749914</v>
      </c>
      <c r="Z32" s="441">
        <f t="shared" si="21"/>
        <v>715.7657016702492</v>
      </c>
      <c r="AA32" s="441">
        <f t="shared" si="21"/>
        <v>787.34227183727444</v>
      </c>
      <c r="AB32" s="441">
        <f t="shared" si="21"/>
        <v>866.07649902100161</v>
      </c>
      <c r="AC32" s="441">
        <f t="shared" si="21"/>
        <v>952.68414892310193</v>
      </c>
      <c r="AD32" s="441">
        <f t="shared" si="21"/>
        <v>1047.9525638154125</v>
      </c>
    </row>
    <row r="33" spans="1:30">
      <c r="A33" s="448"/>
      <c r="B33" s="449"/>
      <c r="C33" s="442" t="s">
        <v>490</v>
      </c>
      <c r="D33" s="450"/>
      <c r="E33" s="450"/>
      <c r="F33" s="450"/>
      <c r="G33" s="450"/>
      <c r="H33" s="443">
        <f>NPV(H44,H77:H95)</f>
        <v>333.00688085923946</v>
      </c>
      <c r="I33" s="443">
        <f t="shared" ref="I33:Z33" si="22">IF(I8=$F$5,NPV(I44,I77:I95),IF(I8&lt;$F$5,0,SUM(I29:I32)))</f>
        <v>404.91786536503804</v>
      </c>
      <c r="J33" s="443">
        <f t="shared" si="22"/>
        <v>521.58319771165009</v>
      </c>
      <c r="K33" s="443">
        <f t="shared" si="22"/>
        <v>659.74853287895337</v>
      </c>
      <c r="L33" s="443">
        <f t="shared" si="22"/>
        <v>866.15741402454796</v>
      </c>
      <c r="M33" s="443">
        <f t="shared" si="22"/>
        <v>1033.8044654931041</v>
      </c>
      <c r="N33" s="443">
        <f t="shared" si="22"/>
        <v>1214.1960759894182</v>
      </c>
      <c r="O33" s="443">
        <f t="shared" si="22"/>
        <v>1366.8316994816228</v>
      </c>
      <c r="P33" s="443">
        <f t="shared" si="22"/>
        <v>1551.019816820593</v>
      </c>
      <c r="Q33" s="443">
        <f>IF(Q8=$F$5,NPV(Q44,Q77:Q95),IF(Q8&lt;$F$5,0,SUM(Q29:Q32)))</f>
        <v>1955.9640475584108</v>
      </c>
      <c r="R33" s="443">
        <f t="shared" si="22"/>
        <v>2369.8876183604402</v>
      </c>
      <c r="S33" s="443">
        <f t="shared" si="22"/>
        <v>2300.8142447375108</v>
      </c>
      <c r="T33" s="443">
        <f t="shared" si="22"/>
        <v>2394.0236723428611</v>
      </c>
      <c r="U33" s="443">
        <f t="shared" si="22"/>
        <v>2794.9710344557134</v>
      </c>
      <c r="V33" s="443">
        <f t="shared" si="22"/>
        <v>2458.2245426277304</v>
      </c>
      <c r="W33" s="443">
        <f t="shared" si="22"/>
        <v>2690.869302766509</v>
      </c>
      <c r="X33" s="443">
        <f t="shared" si="22"/>
        <v>2945.9878772717257</v>
      </c>
      <c r="Y33" s="443">
        <f t="shared" si="22"/>
        <v>3225.7802078811783</v>
      </c>
      <c r="Z33" s="443">
        <f t="shared" si="22"/>
        <v>3532.663384124513</v>
      </c>
      <c r="AA33" s="443">
        <f>IF(AA8=$F$5,NPV(AA44,AA77:AA95),IF(AA8&lt;$F$5,0,SUM(AA29:AA32)))</f>
        <v>3869.2931873194943</v>
      </c>
      <c r="AB33" s="443">
        <f>IF(AB8=$F$5,NPV(AB44,AB77:AB95),IF(AB8&lt;$F$5,0,SUM(AB29:AB32)))</f>
        <v>4238.5877787209247</v>
      </c>
      <c r="AC33" s="443">
        <f>IF(AC8=$F$5,NPV(AC44,AC77:AC95),IF(AC8&lt;$F$5,0,SUM(AC29:AC32)))</f>
        <v>4643.7537456226673</v>
      </c>
      <c r="AD33" s="443">
        <f>IF(AD8=$F$5,NPV(AD44,AD77:AD95),IF(AD8&lt;$F$5,0,SUM(AD29:AD32)))</f>
        <v>5088.3147405563641</v>
      </c>
    </row>
    <row r="34" spans="1:30">
      <c r="A34" s="402"/>
      <c r="B34" s="403"/>
      <c r="C34" s="451"/>
      <c r="D34" s="446"/>
      <c r="E34" s="446"/>
      <c r="F34" s="446"/>
      <c r="G34" s="446"/>
      <c r="H34" s="452"/>
      <c r="I34" s="452"/>
      <c r="J34" s="452"/>
      <c r="K34" s="452"/>
      <c r="L34" s="452"/>
      <c r="M34" s="452"/>
      <c r="N34" s="452"/>
      <c r="O34" s="452"/>
      <c r="P34" s="452"/>
      <c r="Q34" s="452"/>
      <c r="R34" s="452"/>
      <c r="S34" s="452"/>
      <c r="T34" s="452"/>
      <c r="U34" s="452"/>
      <c r="V34" s="452"/>
      <c r="W34" s="452"/>
      <c r="X34" s="452"/>
      <c r="Y34" s="452"/>
      <c r="Z34" s="452"/>
      <c r="AA34" s="452"/>
      <c r="AB34" s="452"/>
      <c r="AC34" s="452"/>
      <c r="AD34" s="452"/>
    </row>
    <row r="35" spans="1:30">
      <c r="A35" s="453"/>
      <c r="B35" s="454"/>
      <c r="C35" s="455" t="s">
        <v>493</v>
      </c>
      <c r="D35" s="456"/>
      <c r="E35" s="456"/>
      <c r="F35" s="456"/>
      <c r="G35" s="457">
        <v>0.79</v>
      </c>
      <c r="H35" s="458">
        <f t="shared" ref="H35:X35" si="23">IF(ISERROR(IF($F$5=H8,$G$35,IF(H8&gt;$F$5,H24/H33,""))),0,IF($F$5=H8,$G$35,IF(H8&gt;$F$5,H24/H33,"")))</f>
        <v>0.79</v>
      </c>
      <c r="I35" s="458">
        <f t="shared" si="23"/>
        <v>0.80548389473154158</v>
      </c>
      <c r="J35" s="458">
        <f t="shared" si="23"/>
        <v>0.7664008121138568</v>
      </c>
      <c r="K35" s="458">
        <f t="shared" si="23"/>
        <v>0.72276414552614432</v>
      </c>
      <c r="L35" s="458">
        <f t="shared" si="23"/>
        <v>0.68906761485101653</v>
      </c>
      <c r="M35" s="458">
        <f t="shared" si="23"/>
        <v>0.63009364176620108</v>
      </c>
      <c r="N35" s="458">
        <f t="shared" si="23"/>
        <v>0.62232284037329133</v>
      </c>
      <c r="O35" s="458">
        <f t="shared" si="23"/>
        <v>0.60620909846202542</v>
      </c>
      <c r="P35" s="458">
        <f t="shared" si="23"/>
        <v>0.59015474716322802</v>
      </c>
      <c r="Q35" s="458">
        <f t="shared" si="23"/>
        <v>0.61625078248982079</v>
      </c>
      <c r="R35" s="458">
        <f t="shared" si="23"/>
        <v>0.61160707342377341</v>
      </c>
      <c r="S35" s="458">
        <f t="shared" si="23"/>
        <v>0.53803620435129185</v>
      </c>
      <c r="T35" s="458">
        <f>IF(ISERROR(IF($F$5=T8,$G$35,IF(T8&gt;$F$5,T24/T33,""))),0,IF($F$5=T8,$G$35,IF(T8&gt;$F$5,T24/T33,"")))</f>
        <v>0.50787018769839409</v>
      </c>
      <c r="U35" s="458">
        <f>IF(ISERROR(IF($F$5=U8,$G$35,IF(U8&gt;$F$5,U24/U33,""))),0,IF($F$5=U8,$G$35,IF(U8&gt;$F$5,U24/U33,"")))</f>
        <v>0.52178596422439749</v>
      </c>
      <c r="V35" s="458">
        <f t="shared" si="23"/>
        <v>0.42787069482504464</v>
      </c>
      <c r="W35" s="458">
        <f t="shared" si="23"/>
        <v>0.44864015236428695</v>
      </c>
      <c r="X35" s="458">
        <f t="shared" si="23"/>
        <v>0.46640120624355191</v>
      </c>
      <c r="Y35" s="458">
        <f t="shared" ref="Y35:AD35" si="24">IF(ISERROR(IF($F$5=Y8,$G$35,IF(Y8&gt;$F$5,Y24/Y33,""))),0,IF($F$5=Y8,$G$35,IF(Y8&gt;$F$5,Y24/Y33,"")))</f>
        <v>0.48257324567332555</v>
      </c>
      <c r="Z35" s="458">
        <f t="shared" si="24"/>
        <v>0.52747804585437674</v>
      </c>
      <c r="AA35" s="458">
        <f t="shared" si="24"/>
        <v>0.59827617455317572</v>
      </c>
      <c r="AB35" s="458">
        <f t="shared" si="24"/>
        <v>0.67730248447689101</v>
      </c>
      <c r="AC35" s="458">
        <f t="shared" si="24"/>
        <v>0.77112878780682714</v>
      </c>
      <c r="AD35" s="458">
        <f t="shared" si="24"/>
        <v>0.85818379072175244</v>
      </c>
    </row>
    <row r="36" spans="1:30">
      <c r="A36" s="402"/>
      <c r="B36" s="403"/>
      <c r="C36" s="459"/>
      <c r="D36" s="406"/>
      <c r="E36" s="406"/>
      <c r="F36" s="406"/>
      <c r="G36" s="406"/>
      <c r="H36" s="460"/>
      <c r="I36" s="460"/>
      <c r="J36" s="460"/>
      <c r="K36" s="460"/>
      <c r="L36" s="460"/>
      <c r="M36" s="460"/>
      <c r="N36" s="460"/>
      <c r="O36" s="460"/>
      <c r="P36" s="460"/>
      <c r="Q36" s="460"/>
      <c r="R36" s="460"/>
      <c r="S36" s="460"/>
      <c r="T36" s="460"/>
      <c r="U36" s="460"/>
      <c r="V36" s="460"/>
      <c r="W36" s="460"/>
      <c r="X36" s="460"/>
      <c r="Y36" s="460"/>
      <c r="Z36" s="460"/>
      <c r="AA36" s="460"/>
      <c r="AB36" s="460"/>
      <c r="AC36" s="460"/>
      <c r="AD36" s="460"/>
    </row>
    <row r="37" spans="1:30">
      <c r="A37" s="402"/>
      <c r="B37" s="403"/>
      <c r="C37" s="461" t="s">
        <v>494</v>
      </c>
      <c r="D37" s="462"/>
      <c r="E37" s="462"/>
      <c r="F37" s="462"/>
      <c r="G37" s="462"/>
      <c r="H37" s="443"/>
      <c r="I37" s="443">
        <f t="shared" ref="I37:X37" si="25">(I24-I33)*(1-$G$56)</f>
        <v>-49.541956012263462</v>
      </c>
      <c r="J37" s="443">
        <f t="shared" si="25"/>
        <v>-76.638247770913935</v>
      </c>
      <c r="K37" s="443">
        <f t="shared" si="25"/>
        <v>-115.04784144960807</v>
      </c>
      <c r="L37" s="443">
        <f t="shared" si="25"/>
        <v>-169.40000972333371</v>
      </c>
      <c r="M37" s="443">
        <f t="shared" si="25"/>
        <v>-240.53642147757128</v>
      </c>
      <c r="N37" s="443">
        <f t="shared" si="25"/>
        <v>-288.44312475682506</v>
      </c>
      <c r="O37" s="443">
        <f t="shared" si="25"/>
        <v>-338.556663042227</v>
      </c>
      <c r="P37" s="443">
        <f t="shared" si="25"/>
        <v>-399.84153054821854</v>
      </c>
      <c r="Q37" s="443">
        <f t="shared" si="25"/>
        <v>-472.12719414627878</v>
      </c>
      <c r="R37" s="443">
        <f t="shared" si="25"/>
        <v>-578.96153269586648</v>
      </c>
      <c r="S37" s="443">
        <f t="shared" si="25"/>
        <v>-668.55962251479878</v>
      </c>
      <c r="T37" s="443">
        <f>(T24-T33)*(1-$G$56)</f>
        <v>-741.06919450437113</v>
      </c>
      <c r="U37" s="443">
        <f>(U24-U33)*(1-$G$56)</f>
        <v>-840.71786392741262</v>
      </c>
      <c r="V37" s="443">
        <f t="shared" si="25"/>
        <v>-884.63962640916668</v>
      </c>
      <c r="W37" s="443">
        <f t="shared" si="25"/>
        <v>-933.20785464322375</v>
      </c>
      <c r="X37" s="443">
        <f t="shared" si="25"/>
        <v>-988.77263839425314</v>
      </c>
      <c r="Y37" s="443">
        <f t="shared" ref="Y37:AD37" si="26">(Y24-Y33)*(1-$G$56)</f>
        <v>-1049.8670343920303</v>
      </c>
      <c r="Z37" s="443">
        <f t="shared" si="26"/>
        <v>-1049.9651725256742</v>
      </c>
      <c r="AA37" s="443">
        <f t="shared" si="26"/>
        <v>-977.70958715976815</v>
      </c>
      <c r="AB37" s="443">
        <f t="shared" si="26"/>
        <v>-860.33471793198919</v>
      </c>
      <c r="AC37" s="443">
        <f t="shared" si="26"/>
        <v>-668.51475425007834</v>
      </c>
      <c r="AD37" s="443">
        <f t="shared" si="26"/>
        <v>-453.8898646076895</v>
      </c>
    </row>
    <row r="38" spans="1:30">
      <c r="A38" s="402"/>
      <c r="B38" s="403"/>
      <c r="C38" s="463" t="s">
        <v>495</v>
      </c>
      <c r="D38" s="423"/>
      <c r="E38" s="423"/>
      <c r="F38" s="423"/>
      <c r="G38" s="423"/>
      <c r="H38" s="429"/>
      <c r="I38" s="428">
        <f t="shared" ref="I38:X38" si="27">I11+I15</f>
        <v>54.331453707218948</v>
      </c>
      <c r="J38" s="428">
        <f t="shared" si="27"/>
        <v>41.770762393680187</v>
      </c>
      <c r="K38" s="428">
        <f t="shared" si="27"/>
        <v>47.628384931379998</v>
      </c>
      <c r="L38" s="428">
        <f t="shared" si="27"/>
        <v>56.41561807408219</v>
      </c>
      <c r="M38" s="428">
        <f t="shared" si="27"/>
        <v>62.628049123031829</v>
      </c>
      <c r="N38" s="428">
        <f t="shared" si="27"/>
        <v>72.823807019466884</v>
      </c>
      <c r="O38" s="428">
        <f t="shared" si="27"/>
        <v>101.33782833122891</v>
      </c>
      <c r="P38" s="428">
        <f t="shared" si="27"/>
        <v>122.13850093468342</v>
      </c>
      <c r="Q38" s="428">
        <f t="shared" si="27"/>
        <v>133.8492048551843</v>
      </c>
      <c r="R38" s="428">
        <f t="shared" si="27"/>
        <v>149.62617254563548</v>
      </c>
      <c r="S38" s="428">
        <f t="shared" si="27"/>
        <v>164.43032576957486</v>
      </c>
      <c r="T38" s="428">
        <f>T11+T15</f>
        <v>192.52035816927201</v>
      </c>
      <c r="U38" s="428">
        <f>U11+U15</f>
        <v>228.27050748363888</v>
      </c>
      <c r="V38" s="428">
        <f t="shared" si="27"/>
        <v>276.70427117201524</v>
      </c>
      <c r="W38" s="428">
        <f t="shared" si="27"/>
        <v>305.12060550378254</v>
      </c>
      <c r="X38" s="428">
        <f t="shared" si="27"/>
        <v>336.42332770160044</v>
      </c>
      <c r="Y38" s="428">
        <f t="shared" ref="Y38:AD38" si="28">Y11+Y15</f>
        <v>370.90376181804663</v>
      </c>
      <c r="Z38" s="428">
        <f t="shared" si="28"/>
        <v>408.88252542691453</v>
      </c>
      <c r="AA38" s="428">
        <f t="shared" si="28"/>
        <v>450.71246864229306</v>
      </c>
      <c r="AB38" s="428">
        <f t="shared" si="28"/>
        <v>496.78190761957069</v>
      </c>
      <c r="AC38" s="428">
        <f t="shared" si="28"/>
        <v>547.51818202135905</v>
      </c>
      <c r="AD38" s="428">
        <f t="shared" si="28"/>
        <v>603.39156888171601</v>
      </c>
    </row>
    <row r="39" spans="1:30">
      <c r="A39" s="402"/>
      <c r="B39" s="403"/>
      <c r="C39" s="464" t="s">
        <v>496</v>
      </c>
      <c r="D39" s="465"/>
      <c r="E39" s="465"/>
      <c r="F39" s="465"/>
      <c r="G39" s="465"/>
      <c r="H39" s="466"/>
      <c r="I39" s="466"/>
      <c r="J39" s="466">
        <f t="shared" ref="J39:AD39" si="29">J37-I37</f>
        <v>-27.096291758650473</v>
      </c>
      <c r="K39" s="466">
        <f t="shared" si="29"/>
        <v>-38.409593678694137</v>
      </c>
      <c r="L39" s="466">
        <f t="shared" si="29"/>
        <v>-54.352168273725638</v>
      </c>
      <c r="M39" s="466">
        <f t="shared" si="29"/>
        <v>-71.136411754237571</v>
      </c>
      <c r="N39" s="466">
        <f t="shared" si="29"/>
        <v>-47.906703279253776</v>
      </c>
      <c r="O39" s="466">
        <f t="shared" si="29"/>
        <v>-50.113538285401944</v>
      </c>
      <c r="P39" s="466">
        <f t="shared" si="29"/>
        <v>-61.284867505991542</v>
      </c>
      <c r="Q39" s="466">
        <f t="shared" si="29"/>
        <v>-72.285663598060239</v>
      </c>
      <c r="R39" s="466">
        <f t="shared" si="29"/>
        <v>-106.8343385495877</v>
      </c>
      <c r="S39" s="466">
        <f t="shared" si="29"/>
        <v>-89.598089818932294</v>
      </c>
      <c r="T39" s="466">
        <f t="shared" si="29"/>
        <v>-72.509571989572351</v>
      </c>
      <c r="U39" s="466">
        <f t="shared" si="29"/>
        <v>-99.648669423041497</v>
      </c>
      <c r="V39" s="466">
        <f t="shared" si="29"/>
        <v>-43.921762481754058</v>
      </c>
      <c r="W39" s="466">
        <f t="shared" si="29"/>
        <v>-48.568228234057074</v>
      </c>
      <c r="X39" s="466">
        <f t="shared" si="29"/>
        <v>-55.564783751029381</v>
      </c>
      <c r="Y39" s="466">
        <f t="shared" si="29"/>
        <v>-61.094395997777156</v>
      </c>
      <c r="Z39" s="466">
        <f t="shared" si="29"/>
        <v>-9.8138133643942638E-2</v>
      </c>
      <c r="AA39" s="466">
        <f t="shared" si="29"/>
        <v>72.255585365906086</v>
      </c>
      <c r="AB39" s="466">
        <f t="shared" si="29"/>
        <v>117.37486922777896</v>
      </c>
      <c r="AC39" s="466">
        <f t="shared" si="29"/>
        <v>191.81996368191085</v>
      </c>
      <c r="AD39" s="466">
        <f t="shared" si="29"/>
        <v>214.62488964238884</v>
      </c>
    </row>
    <row r="40" spans="1:30">
      <c r="A40" s="402"/>
      <c r="B40" s="403"/>
      <c r="C40" s="406"/>
      <c r="D40" s="406"/>
      <c r="E40" s="406"/>
      <c r="F40" s="406"/>
      <c r="G40" s="406"/>
      <c r="H40" s="467"/>
      <c r="I40" s="467"/>
      <c r="J40" s="467"/>
      <c r="K40" s="467"/>
      <c r="L40" s="467"/>
      <c r="M40" s="467"/>
      <c r="N40" s="467"/>
      <c r="O40" s="467"/>
      <c r="P40" s="467"/>
      <c r="Q40" s="467"/>
      <c r="R40" s="467"/>
      <c r="S40" s="467"/>
      <c r="T40" s="467"/>
      <c r="U40" s="467"/>
      <c r="V40" s="467"/>
      <c r="W40" s="467"/>
      <c r="X40" s="467"/>
      <c r="Y40" s="467"/>
      <c r="Z40" s="467"/>
      <c r="AA40" s="467"/>
      <c r="AB40" s="467"/>
      <c r="AC40" s="467"/>
      <c r="AD40" s="467"/>
    </row>
    <row r="41" spans="1:30">
      <c r="A41" s="402"/>
      <c r="B41" s="403"/>
      <c r="C41" s="406"/>
      <c r="D41" s="406"/>
      <c r="E41" s="406"/>
      <c r="F41" s="406"/>
      <c r="G41" s="406"/>
      <c r="H41" s="467"/>
      <c r="I41" s="467"/>
      <c r="J41" s="467"/>
      <c r="K41" s="467"/>
      <c r="L41" s="467"/>
      <c r="M41" s="467"/>
      <c r="N41" s="467"/>
      <c r="O41" s="467"/>
      <c r="P41" s="467"/>
      <c r="Q41" s="467"/>
      <c r="R41" s="467"/>
      <c r="S41" s="467"/>
      <c r="T41" s="467"/>
      <c r="U41" s="467"/>
      <c r="V41" s="467"/>
      <c r="W41" s="467"/>
      <c r="X41" s="467"/>
      <c r="Y41" s="467"/>
      <c r="Z41" s="467"/>
      <c r="AA41" s="467"/>
      <c r="AB41" s="467"/>
      <c r="AC41" s="467"/>
      <c r="AD41" s="467"/>
    </row>
    <row r="42" spans="1:30" ht="14.25" customHeight="1">
      <c r="A42" s="433"/>
      <c r="B42" s="408"/>
      <c r="C42" s="468" t="s">
        <v>431</v>
      </c>
      <c r="D42" s="469"/>
      <c r="E42" s="469"/>
      <c r="F42" s="469"/>
      <c r="G42" s="469"/>
      <c r="H42" s="470"/>
      <c r="I42" s="470"/>
      <c r="J42" s="470"/>
      <c r="K42" s="470"/>
      <c r="L42" s="470"/>
      <c r="M42" s="470"/>
      <c r="N42" s="444"/>
      <c r="O42" s="444"/>
      <c r="P42" s="444"/>
      <c r="Q42" s="445"/>
      <c r="R42" s="445"/>
      <c r="S42" s="445"/>
      <c r="T42" s="445"/>
      <c r="U42" s="445"/>
      <c r="V42" s="445"/>
      <c r="W42" s="445"/>
      <c r="X42" s="445"/>
      <c r="Y42" s="445"/>
      <c r="Z42" s="445"/>
      <c r="AA42" s="445"/>
      <c r="AB42" s="445"/>
      <c r="AC42" s="445"/>
      <c r="AD42" s="445"/>
    </row>
    <row r="43" spans="1:30">
      <c r="A43" s="471"/>
      <c r="B43" s="472"/>
      <c r="C43" s="473"/>
      <c r="D43" s="474"/>
      <c r="E43" s="474"/>
      <c r="F43" s="474"/>
      <c r="G43" s="474"/>
      <c r="H43" s="474"/>
      <c r="I43" s="474"/>
      <c r="J43" s="474"/>
      <c r="K43" s="474"/>
      <c r="L43" s="474"/>
      <c r="M43" s="474"/>
      <c r="N43" s="474"/>
      <c r="O43" s="474"/>
      <c r="P43" s="474"/>
      <c r="Q43" s="474"/>
      <c r="R43" s="474"/>
      <c r="S43" s="474"/>
      <c r="T43" s="474"/>
      <c r="U43" s="474"/>
      <c r="V43" s="474"/>
      <c r="W43" s="474"/>
      <c r="X43" s="474"/>
      <c r="Y43" s="474"/>
      <c r="Z43" s="474"/>
      <c r="AA43" s="474"/>
      <c r="AB43" s="474"/>
      <c r="AC43" s="474"/>
      <c r="AD43" s="474"/>
    </row>
    <row r="44" spans="1:30" ht="14.25" customHeight="1">
      <c r="A44" s="402"/>
      <c r="B44" s="403"/>
      <c r="C44" s="475" t="s">
        <v>497</v>
      </c>
      <c r="D44" s="469"/>
      <c r="E44" s="469"/>
      <c r="F44" s="469"/>
      <c r="G44" s="469"/>
      <c r="H44" s="476">
        <v>0.06</v>
      </c>
      <c r="I44" s="477">
        <f t="shared" ref="I44:X44" si="30">(H44*(I29+I30+I31)+I45*I32)/I33</f>
        <v>0.06</v>
      </c>
      <c r="J44" s="477">
        <f t="shared" si="30"/>
        <v>6.0000000000000005E-2</v>
      </c>
      <c r="K44" s="477">
        <f t="shared" si="30"/>
        <v>0.06</v>
      </c>
      <c r="L44" s="477">
        <f t="shared" si="30"/>
        <v>5.9999999999999991E-2</v>
      </c>
      <c r="M44" s="477">
        <f t="shared" si="30"/>
        <v>0.06</v>
      </c>
      <c r="N44" s="477">
        <f t="shared" si="30"/>
        <v>5.9999999999999991E-2</v>
      </c>
      <c r="O44" s="477">
        <f t="shared" si="30"/>
        <v>5.9999999999999991E-2</v>
      </c>
      <c r="P44" s="477">
        <f t="shared" si="30"/>
        <v>5.9999999999999991E-2</v>
      </c>
      <c r="Q44" s="477">
        <f t="shared" si="30"/>
        <v>0.06</v>
      </c>
      <c r="R44" s="478">
        <f t="shared" si="30"/>
        <v>0.06</v>
      </c>
      <c r="S44" s="478">
        <f t="shared" si="30"/>
        <v>0.06</v>
      </c>
      <c r="T44" s="478">
        <f>(S44*(T29+T30+T31)+T45*T32)/T33</f>
        <v>6.0000000000000005E-2</v>
      </c>
      <c r="U44" s="478">
        <f>(T44*(U29+U30+U31)+U45*U32)/U33</f>
        <v>0.06</v>
      </c>
      <c r="V44" s="478">
        <f t="shared" si="30"/>
        <v>6.0000000000000005E-2</v>
      </c>
      <c r="W44" s="478">
        <f t="shared" si="30"/>
        <v>0.06</v>
      </c>
      <c r="X44" s="478">
        <f t="shared" si="30"/>
        <v>0.06</v>
      </c>
      <c r="Y44" s="478">
        <f t="shared" ref="Y44:AD44" si="31">(X44*(Y29+Y30+Y31)+Y45*Y32)/Y33</f>
        <v>0.06</v>
      </c>
      <c r="Z44" s="478">
        <f t="shared" si="31"/>
        <v>5.9999999999999991E-2</v>
      </c>
      <c r="AA44" s="478">
        <f t="shared" si="31"/>
        <v>5.9999999999999991E-2</v>
      </c>
      <c r="AB44" s="478">
        <f t="shared" si="31"/>
        <v>0.06</v>
      </c>
      <c r="AC44" s="478">
        <f t="shared" si="31"/>
        <v>0.06</v>
      </c>
      <c r="AD44" s="478">
        <f t="shared" si="31"/>
        <v>6.0000000000000005E-2</v>
      </c>
    </row>
    <row r="45" spans="1:30" ht="15" customHeight="1">
      <c r="A45" s="402"/>
      <c r="B45" s="403"/>
      <c r="C45" s="475" t="s">
        <v>498</v>
      </c>
      <c r="D45" s="469"/>
      <c r="E45" s="469"/>
      <c r="F45" s="469"/>
      <c r="G45" s="469"/>
      <c r="H45" s="476">
        <v>0.06</v>
      </c>
      <c r="I45" s="476">
        <v>0.06</v>
      </c>
      <c r="J45" s="476">
        <v>0.06</v>
      </c>
      <c r="K45" s="476">
        <v>0.06</v>
      </c>
      <c r="L45" s="476">
        <v>0.06</v>
      </c>
      <c r="M45" s="476">
        <v>0.06</v>
      </c>
      <c r="N45" s="476">
        <v>0.06</v>
      </c>
      <c r="O45" s="476">
        <v>0.06</v>
      </c>
      <c r="P45" s="476">
        <v>0.06</v>
      </c>
      <c r="Q45" s="476">
        <v>0.06</v>
      </c>
      <c r="R45" s="479">
        <v>0.06</v>
      </c>
      <c r="S45" s="479">
        <v>0.06</v>
      </c>
      <c r="T45" s="479">
        <v>0.06</v>
      </c>
      <c r="U45" s="479">
        <v>0.06</v>
      </c>
      <c r="V45" s="479">
        <v>0.06</v>
      </c>
      <c r="W45" s="479">
        <v>0.06</v>
      </c>
      <c r="X45" s="479">
        <v>0.06</v>
      </c>
      <c r="Y45" s="479">
        <v>0.06</v>
      </c>
      <c r="Z45" s="479">
        <v>0.06</v>
      </c>
      <c r="AA45" s="479">
        <v>0.06</v>
      </c>
      <c r="AB45" s="479">
        <v>0.06</v>
      </c>
      <c r="AC45" s="479">
        <v>0.06</v>
      </c>
      <c r="AD45" s="479">
        <v>0.06</v>
      </c>
    </row>
    <row r="46" spans="1:30">
      <c r="A46" s="402"/>
      <c r="B46" s="403"/>
      <c r="C46" s="459"/>
      <c r="D46" s="406"/>
      <c r="E46" s="406"/>
      <c r="F46" s="406"/>
      <c r="G46" s="406"/>
      <c r="H46" s="412"/>
      <c r="I46" s="412"/>
      <c r="J46" s="412"/>
      <c r="K46" s="412"/>
      <c r="L46" s="412"/>
      <c r="M46" s="412"/>
      <c r="N46" s="412"/>
      <c r="O46" s="412"/>
      <c r="P46" s="412"/>
      <c r="Q46" s="412"/>
      <c r="R46" s="412"/>
      <c r="S46" s="412"/>
      <c r="T46" s="412"/>
      <c r="U46" s="412"/>
      <c r="V46" s="412"/>
      <c r="W46" s="412"/>
      <c r="X46" s="412"/>
      <c r="Y46" s="412"/>
      <c r="Z46" s="412"/>
      <c r="AA46" s="412"/>
      <c r="AB46" s="412"/>
      <c r="AC46" s="412"/>
      <c r="AD46" s="412"/>
    </row>
    <row r="47" spans="1:30">
      <c r="A47" s="402"/>
      <c r="B47" s="403"/>
      <c r="C47" s="475" t="s">
        <v>499</v>
      </c>
      <c r="D47" s="469"/>
      <c r="E47" s="469"/>
      <c r="F47" s="469"/>
      <c r="G47" s="469"/>
      <c r="H47" s="480">
        <f>+yrSales!F218</f>
        <v>196</v>
      </c>
      <c r="I47" s="480">
        <f>+yrSales!G218</f>
        <v>250</v>
      </c>
      <c r="J47" s="480">
        <f>+yrSales!H218</f>
        <v>354</v>
      </c>
      <c r="K47" s="480">
        <f>+yrSales!I218</f>
        <v>491</v>
      </c>
      <c r="L47" s="480">
        <f>+yrSales!J218</f>
        <v>597</v>
      </c>
      <c r="M47" s="480">
        <f>+yrSales!K218</f>
        <v>700</v>
      </c>
      <c r="N47" s="480">
        <f>+yrSales!L218</f>
        <v>788</v>
      </c>
      <c r="O47" s="480">
        <f>+yrSales!M218</f>
        <v>851</v>
      </c>
      <c r="P47" s="480">
        <f>+yrSales!N218</f>
        <v>944</v>
      </c>
      <c r="Q47" s="480">
        <f>+yrSales!O218</f>
        <v>1035</v>
      </c>
      <c r="R47" s="480">
        <f>+yrSales!P218</f>
        <v>1125</v>
      </c>
      <c r="S47" s="480">
        <f>+yrSales!Q218</f>
        <v>1097</v>
      </c>
      <c r="T47" s="480">
        <f>+yrSales!R218</f>
        <v>1069</v>
      </c>
      <c r="U47" s="480">
        <f>+yrSales!S218</f>
        <v>1041</v>
      </c>
      <c r="V47" s="480">
        <f>+yrSales!T218</f>
        <v>1041</v>
      </c>
      <c r="W47" s="480">
        <f>+yrSales!U218</f>
        <v>1006</v>
      </c>
      <c r="X47" s="480">
        <f>+yrSales!V218</f>
        <v>961</v>
      </c>
      <c r="Y47" s="480">
        <f>+yrSales!W218</f>
        <v>932</v>
      </c>
      <c r="Z47" s="480">
        <f>+yrSales!X218</f>
        <v>898</v>
      </c>
      <c r="AA47" s="480">
        <f>+yrSales!Y218</f>
        <v>868</v>
      </c>
      <c r="AB47" s="480">
        <f>+yrSales!Z218</f>
        <v>834</v>
      </c>
      <c r="AC47" s="480">
        <f>+yrSales!AA218</f>
        <v>788</v>
      </c>
      <c r="AD47" s="480">
        <f>+yrSales!AB218</f>
        <v>752</v>
      </c>
    </row>
    <row r="48" spans="1:30">
      <c r="A48" s="402"/>
      <c r="B48" s="408"/>
      <c r="C48" s="459" t="s">
        <v>500</v>
      </c>
      <c r="D48" s="406"/>
      <c r="E48" s="406"/>
      <c r="F48" s="406"/>
      <c r="G48" s="406"/>
      <c r="H48" s="481"/>
      <c r="I48" s="481">
        <f>IF(ISERROR(I47/H47-1),"NM",(I47/H47-1))</f>
        <v>0.27551020408163263</v>
      </c>
      <c r="J48" s="481">
        <f>IF(ISERROR(J47/I47-1),"NM",(J47/I47-1))</f>
        <v>0.41599999999999993</v>
      </c>
      <c r="K48" s="481">
        <f t="shared" ref="K48:V48" si="32">K47/J47-1</f>
        <v>0.38700564971751406</v>
      </c>
      <c r="L48" s="481">
        <f t="shared" si="32"/>
        <v>0.21588594704684327</v>
      </c>
      <c r="M48" s="481">
        <f t="shared" si="32"/>
        <v>0.17252931323283072</v>
      </c>
      <c r="N48" s="481">
        <f t="shared" si="32"/>
        <v>0.12571428571428567</v>
      </c>
      <c r="O48" s="481">
        <f t="shared" si="32"/>
        <v>7.9949238578680193E-2</v>
      </c>
      <c r="P48" s="481">
        <f t="shared" si="32"/>
        <v>0.10928319623971805</v>
      </c>
      <c r="Q48" s="481">
        <f t="shared" si="32"/>
        <v>9.6398305084745672E-2</v>
      </c>
      <c r="R48" s="481">
        <f t="shared" si="32"/>
        <v>8.6956521739130377E-2</v>
      </c>
      <c r="S48" s="481">
        <f t="shared" si="32"/>
        <v>-2.4888888888888849E-2</v>
      </c>
      <c r="T48" s="481">
        <f t="shared" si="32"/>
        <v>-2.5524156791248864E-2</v>
      </c>
      <c r="U48" s="481">
        <f t="shared" si="32"/>
        <v>-2.6192703461178635E-2</v>
      </c>
      <c r="V48" s="481">
        <f t="shared" si="32"/>
        <v>0</v>
      </c>
      <c r="W48" s="481">
        <f t="shared" ref="W48:AD48" si="33">W47/V47-1</f>
        <v>-3.3621517771373677E-2</v>
      </c>
      <c r="X48" s="481">
        <f t="shared" si="33"/>
        <v>-4.4731610337972127E-2</v>
      </c>
      <c r="Y48" s="481">
        <f t="shared" si="33"/>
        <v>-3.0176899063475537E-2</v>
      </c>
      <c r="Z48" s="481">
        <f t="shared" si="33"/>
        <v>-3.648068669527893E-2</v>
      </c>
      <c r="AA48" s="481">
        <f t="shared" si="33"/>
        <v>-3.3407572383073458E-2</v>
      </c>
      <c r="AB48" s="481">
        <f t="shared" si="33"/>
        <v>-3.9170506912442393E-2</v>
      </c>
      <c r="AC48" s="481">
        <f t="shared" si="33"/>
        <v>-5.5155875299760182E-2</v>
      </c>
      <c r="AD48" s="481">
        <f t="shared" si="33"/>
        <v>-4.5685279187817285E-2</v>
      </c>
    </row>
    <row r="49" spans="1:30">
      <c r="A49" s="402"/>
      <c r="B49" s="408"/>
      <c r="C49" s="459" t="s">
        <v>501</v>
      </c>
      <c r="D49" s="406"/>
      <c r="E49" s="406"/>
      <c r="F49" s="406"/>
      <c r="G49" s="406"/>
      <c r="H49" s="482"/>
      <c r="I49" s="482"/>
      <c r="J49" s="482"/>
      <c r="K49" s="482"/>
      <c r="L49" s="482"/>
      <c r="M49" s="482"/>
      <c r="N49" s="482"/>
      <c r="O49" s="483"/>
      <c r="P49" s="483"/>
      <c r="Q49" s="483"/>
      <c r="R49" s="483"/>
      <c r="S49" s="483"/>
      <c r="T49" s="483"/>
      <c r="U49" s="483"/>
      <c r="V49" s="483"/>
      <c r="W49" s="483"/>
      <c r="X49" s="483"/>
      <c r="Y49" s="483"/>
      <c r="Z49" s="483"/>
      <c r="AA49" s="483"/>
      <c r="AB49" s="483"/>
      <c r="AC49" s="483"/>
      <c r="AD49" s="483"/>
    </row>
    <row r="50" spans="1:30">
      <c r="A50" s="402"/>
      <c r="B50" s="408"/>
      <c r="C50" s="459"/>
      <c r="D50" s="406"/>
      <c r="E50" s="406"/>
      <c r="F50" s="406"/>
      <c r="G50" s="406"/>
      <c r="H50" s="482"/>
      <c r="I50" s="482"/>
      <c r="J50" s="482"/>
      <c r="K50" s="482"/>
      <c r="L50" s="482"/>
      <c r="M50" s="482"/>
      <c r="N50" s="482"/>
      <c r="O50" s="483"/>
      <c r="P50" s="483"/>
      <c r="Q50" s="483"/>
      <c r="R50" s="483"/>
      <c r="S50" s="483"/>
      <c r="T50" s="483"/>
      <c r="U50" s="483"/>
      <c r="V50" s="483"/>
      <c r="W50" s="483"/>
      <c r="X50" s="483"/>
      <c r="Y50" s="483"/>
      <c r="Z50" s="483"/>
      <c r="AA50" s="483"/>
      <c r="AB50" s="483"/>
      <c r="AC50" s="483"/>
      <c r="AD50" s="483"/>
    </row>
    <row r="51" spans="1:30">
      <c r="A51" s="402"/>
      <c r="B51" s="408"/>
      <c r="C51" s="459" t="s">
        <v>502</v>
      </c>
      <c r="D51" s="406"/>
      <c r="E51" s="406"/>
      <c r="F51" s="406"/>
      <c r="G51" s="406"/>
      <c r="H51" s="484">
        <f t="shared" ref="H51:S51" si="34">IF(ISERROR(H54/H47),0,H54/H47)</f>
        <v>1.8481752062920651</v>
      </c>
      <c r="I51" s="484">
        <f t="shared" si="34"/>
        <v>0.50496975285207013</v>
      </c>
      <c r="J51" s="484">
        <f t="shared" si="34"/>
        <v>0.44755958966184251</v>
      </c>
      <c r="K51" s="484">
        <f t="shared" si="34"/>
        <v>0.37839861527226731</v>
      </c>
      <c r="L51" s="484">
        <f t="shared" si="34"/>
        <v>0.44024204224401464</v>
      </c>
      <c r="M51" s="484">
        <f t="shared" si="34"/>
        <v>0.32896442941655429</v>
      </c>
      <c r="N51" s="484">
        <f t="shared" si="34"/>
        <v>0.32133936232967136</v>
      </c>
      <c r="O51" s="484">
        <f t="shared" si="34"/>
        <v>0.29844118898170813</v>
      </c>
      <c r="P51" s="484">
        <f t="shared" si="34"/>
        <v>0.32449853630683656</v>
      </c>
      <c r="Q51" s="484">
        <f t="shared" si="34"/>
        <v>0.52057336772270746</v>
      </c>
      <c r="R51" s="484">
        <f t="shared" si="34"/>
        <v>0.50093310519792433</v>
      </c>
      <c r="S51" s="484">
        <f t="shared" si="34"/>
        <v>8.6925207061664178E-2</v>
      </c>
      <c r="T51" s="484">
        <f>IF(ISERROR(T54/T47),0,T54/T47)</f>
        <v>0.26728698388645711</v>
      </c>
      <c r="U51" s="484">
        <f t="shared" ref="U51:Z51" si="35">IF(ISERROR(U54/U47),0,U54/U47)</f>
        <v>0.60443599384869462</v>
      </c>
      <c r="V51" s="484">
        <f t="shared" si="35"/>
        <v>-5.7677445394781236E-2</v>
      </c>
      <c r="W51" s="484">
        <f t="shared" si="35"/>
        <v>0.53455801753733723</v>
      </c>
      <c r="X51" s="484">
        <f t="shared" si="35"/>
        <v>0.61554828533487771</v>
      </c>
      <c r="Y51" s="484">
        <f t="shared" si="35"/>
        <v>0.69817177299087896</v>
      </c>
      <c r="Z51" s="484">
        <f t="shared" si="35"/>
        <v>0.79706648292900806</v>
      </c>
      <c r="AA51" s="484">
        <f>IF(ISERROR(AA54/AA47),0,AA54/AA47)</f>
        <v>0.90707635004294285</v>
      </c>
      <c r="AB51" s="484">
        <f>IF(ISERROR(AB54/AB47),0,AB54/AB47)</f>
        <v>1.0384610300012009</v>
      </c>
      <c r="AC51" s="484">
        <f>IF(ISERROR(AC54/AC47),0,AC54/AC47)</f>
        <v>1.2089900367044442</v>
      </c>
      <c r="AD51" s="484">
        <f>IF(ISERROR(AD54/AD47),0,AD54/AD47)</f>
        <v>1.3935539412438998</v>
      </c>
    </row>
    <row r="52" spans="1:30">
      <c r="A52" s="402"/>
      <c r="B52" s="408"/>
      <c r="C52" s="459" t="s">
        <v>503</v>
      </c>
      <c r="D52" s="406"/>
      <c r="E52" s="406"/>
      <c r="F52" s="406"/>
      <c r="G52" s="406"/>
      <c r="H52" s="481"/>
      <c r="I52" s="485">
        <f t="shared" ref="I52:AD52" si="36">IF(ISERROR(I51/H51-1),0,I51/H51-1)</f>
        <v>-0.72677387342232835</v>
      </c>
      <c r="J52" s="485">
        <f t="shared" si="36"/>
        <v>-0.11369030098530641</v>
      </c>
      <c r="K52" s="485">
        <f t="shared" si="36"/>
        <v>-0.15452908615326588</v>
      </c>
      <c r="L52" s="485">
        <f t="shared" si="36"/>
        <v>0.16343460170235935</v>
      </c>
      <c r="M52" s="485">
        <f t="shared" si="36"/>
        <v>-0.2527646207078561</v>
      </c>
      <c r="N52" s="485">
        <f t="shared" si="36"/>
        <v>-2.3179001755316286E-2</v>
      </c>
      <c r="O52" s="485">
        <f t="shared" si="36"/>
        <v>-7.1258538580378894E-2</v>
      </c>
      <c r="P52" s="485">
        <f t="shared" si="36"/>
        <v>8.731149816832251E-2</v>
      </c>
      <c r="Q52" s="485">
        <f t="shared" si="36"/>
        <v>0.60423949410504618</v>
      </c>
      <c r="R52" s="485">
        <f t="shared" si="36"/>
        <v>-3.7728135441697952E-2</v>
      </c>
      <c r="S52" s="485">
        <f t="shared" si="36"/>
        <v>-0.82647342297866488</v>
      </c>
      <c r="T52" s="485">
        <f t="shared" si="36"/>
        <v>2.074907646718005</v>
      </c>
      <c r="U52" s="485">
        <f t="shared" si="36"/>
        <v>1.2613745909357772</v>
      </c>
      <c r="V52" s="485">
        <f>IF(ISERROR(V51/U51-1),0,V51/U51-1)</f>
        <v>-1.0954235783139337</v>
      </c>
      <c r="W52" s="485">
        <f>IF(ISERROR(W51/V51-1),0,W51/V51-1)</f>
        <v>-10.268059878146147</v>
      </c>
      <c r="X52" s="485">
        <f t="shared" si="36"/>
        <v>0.15150884495317407</v>
      </c>
      <c r="Y52" s="485">
        <f t="shared" si="36"/>
        <v>0.1342274678111588</v>
      </c>
      <c r="Z52" s="485">
        <f t="shared" si="36"/>
        <v>0.14164810690423191</v>
      </c>
      <c r="AA52" s="485">
        <f t="shared" si="36"/>
        <v>0.13801843317972384</v>
      </c>
      <c r="AB52" s="485">
        <f t="shared" si="36"/>
        <v>0.14484412470023944</v>
      </c>
      <c r="AC52" s="485">
        <f t="shared" si="36"/>
        <v>0.16421319796954337</v>
      </c>
      <c r="AD52" s="485">
        <f t="shared" si="36"/>
        <v>0.15265957446808565</v>
      </c>
    </row>
    <row r="53" spans="1:30">
      <c r="A53" s="402"/>
      <c r="B53" s="408"/>
      <c r="C53" s="459"/>
      <c r="D53" s="406"/>
      <c r="E53" s="406"/>
      <c r="F53" s="406"/>
      <c r="G53" s="406"/>
      <c r="H53" s="481"/>
      <c r="I53" s="481"/>
      <c r="J53" s="481"/>
      <c r="K53" s="481"/>
      <c r="L53" s="481"/>
      <c r="M53" s="481"/>
      <c r="N53" s="481"/>
      <c r="O53" s="481"/>
      <c r="P53" s="481"/>
      <c r="Q53" s="481"/>
      <c r="R53" s="481"/>
      <c r="S53" s="481"/>
      <c r="T53" s="481"/>
      <c r="U53" s="481"/>
      <c r="V53" s="481"/>
      <c r="W53" s="481"/>
      <c r="X53" s="481"/>
      <c r="Y53" s="481"/>
      <c r="Z53" s="481"/>
      <c r="AA53" s="481"/>
      <c r="AB53" s="481"/>
      <c r="AC53" s="481"/>
      <c r="AD53" s="481"/>
    </row>
    <row r="54" spans="1:30">
      <c r="A54" s="402"/>
      <c r="B54" s="408"/>
      <c r="C54" s="459" t="s">
        <v>504</v>
      </c>
      <c r="D54" s="406"/>
      <c r="E54" s="406"/>
      <c r="F54" s="406"/>
      <c r="G54" s="406"/>
      <c r="H54" s="486">
        <f t="shared" ref="H54:X54" si="37">IF(ISERROR(H143),0,H143)</f>
        <v>362.24234043324475</v>
      </c>
      <c r="I54" s="486">
        <f t="shared" si="37"/>
        <v>126.24243821301752</v>
      </c>
      <c r="J54" s="486">
        <f t="shared" si="37"/>
        <v>158.43609474029225</v>
      </c>
      <c r="K54" s="486">
        <f t="shared" si="37"/>
        <v>185.79372009868325</v>
      </c>
      <c r="L54" s="486">
        <f t="shared" si="37"/>
        <v>262.82449921967674</v>
      </c>
      <c r="M54" s="486">
        <f t="shared" si="37"/>
        <v>230.275100591588</v>
      </c>
      <c r="N54" s="486">
        <f t="shared" si="37"/>
        <v>253.21541751578101</v>
      </c>
      <c r="O54" s="486">
        <f t="shared" si="37"/>
        <v>253.97345182343361</v>
      </c>
      <c r="P54" s="486">
        <f t="shared" si="37"/>
        <v>306.32661827365371</v>
      </c>
      <c r="Q54" s="486">
        <f t="shared" si="37"/>
        <v>538.79343559300219</v>
      </c>
      <c r="R54" s="486">
        <f t="shared" si="37"/>
        <v>563.54974334766484</v>
      </c>
      <c r="S54" s="486">
        <f t="shared" si="37"/>
        <v>95.356952146645597</v>
      </c>
      <c r="T54" s="486">
        <f>IF(ISERROR(T143),0,T143)</f>
        <v>285.72978577462266</v>
      </c>
      <c r="U54" s="486">
        <f>IF(ISERROR(U143),0,U143)</f>
        <v>629.21786959649114</v>
      </c>
      <c r="V54" s="486">
        <f t="shared" si="37"/>
        <v>-60.04222065596727</v>
      </c>
      <c r="W54" s="486">
        <f t="shared" si="37"/>
        <v>537.76536564256128</v>
      </c>
      <c r="X54" s="486">
        <f t="shared" si="37"/>
        <v>591.54190220681744</v>
      </c>
      <c r="Y54" s="486">
        <f t="shared" ref="Y54:AD54" si="38">IF(ISERROR(Y143),0,Y143)</f>
        <v>650.69609242749914</v>
      </c>
      <c r="Z54" s="486">
        <f t="shared" si="38"/>
        <v>715.7657016702492</v>
      </c>
      <c r="AA54" s="486">
        <f t="shared" si="38"/>
        <v>787.34227183727444</v>
      </c>
      <c r="AB54" s="486">
        <f t="shared" si="38"/>
        <v>866.07649902100161</v>
      </c>
      <c r="AC54" s="486">
        <f t="shared" si="38"/>
        <v>952.68414892310193</v>
      </c>
      <c r="AD54" s="486">
        <f t="shared" si="38"/>
        <v>1047.9525638154125</v>
      </c>
    </row>
    <row r="55" spans="1:30">
      <c r="A55" s="402"/>
      <c r="B55" s="408"/>
      <c r="C55" s="459"/>
      <c r="D55" s="406"/>
      <c r="E55" s="406"/>
      <c r="F55" s="406"/>
      <c r="G55" s="406"/>
      <c r="H55" s="395"/>
      <c r="I55" s="485">
        <f t="shared" ref="I55:AD55" si="39">IF(ISERROR(I54/H54-1),0,I54/H54-1)</f>
        <v>-0.65149728752848013</v>
      </c>
      <c r="J55" s="485">
        <f t="shared" si="39"/>
        <v>0.25501453380480621</v>
      </c>
      <c r="K55" s="485">
        <f t="shared" si="39"/>
        <v>0.17267293417724994</v>
      </c>
      <c r="L55" s="485">
        <f t="shared" si="39"/>
        <v>0.41460378251794006</v>
      </c>
      <c r="M55" s="485">
        <f t="shared" si="39"/>
        <v>-0.12384461389530876</v>
      </c>
      <c r="N55" s="485">
        <f t="shared" si="39"/>
        <v>9.9621352309729572E-2</v>
      </c>
      <c r="O55" s="485">
        <f t="shared" si="39"/>
        <v>2.9936340965706076E-3</v>
      </c>
      <c r="P55" s="485">
        <f t="shared" si="39"/>
        <v>0.20613637399635309</v>
      </c>
      <c r="Q55" s="485">
        <f t="shared" si="39"/>
        <v>0.75888546228678266</v>
      </c>
      <c r="R55" s="485">
        <f t="shared" si="39"/>
        <v>4.5947678867719555E-2</v>
      </c>
      <c r="S55" s="485">
        <f t="shared" si="39"/>
        <v>-0.83079230667341819</v>
      </c>
      <c r="T55" s="485">
        <f t="shared" si="39"/>
        <v>1.996423221824565</v>
      </c>
      <c r="U55" s="485">
        <f t="shared" si="39"/>
        <v>1.2021430768607524</v>
      </c>
      <c r="V55" s="485">
        <f t="shared" si="39"/>
        <v>-1.0954235783139337</v>
      </c>
      <c r="W55" s="485">
        <f t="shared" si="39"/>
        <v>-9.9564536382469004</v>
      </c>
      <c r="X55" s="485">
        <f t="shared" si="39"/>
        <v>0.10000000000000009</v>
      </c>
      <c r="Y55" s="485">
        <f t="shared" si="39"/>
        <v>9.9999999999999867E-2</v>
      </c>
      <c r="Z55" s="485">
        <f t="shared" si="39"/>
        <v>0.10000000000000031</v>
      </c>
      <c r="AA55" s="485">
        <f t="shared" si="39"/>
        <v>0.10000000000000053</v>
      </c>
      <c r="AB55" s="485">
        <f t="shared" si="39"/>
        <v>9.9999999999999645E-2</v>
      </c>
      <c r="AC55" s="485">
        <f t="shared" si="39"/>
        <v>0.10000000000000009</v>
      </c>
      <c r="AD55" s="485">
        <f t="shared" si="39"/>
        <v>0.10000000000000053</v>
      </c>
    </row>
    <row r="56" spans="1:30" ht="12" customHeight="1">
      <c r="A56" s="402"/>
      <c r="B56" s="408"/>
      <c r="C56" s="475" t="s">
        <v>505</v>
      </c>
      <c r="D56" s="434"/>
      <c r="E56" s="434"/>
      <c r="F56" s="434"/>
      <c r="G56" s="487">
        <f>sumry!DI79</f>
        <v>0.371</v>
      </c>
      <c r="H56" s="412"/>
      <c r="I56" s="488"/>
      <c r="J56" s="489"/>
      <c r="K56" s="489"/>
      <c r="L56" s="489"/>
      <c r="M56" s="489"/>
      <c r="N56" s="489"/>
      <c r="O56" s="489"/>
      <c r="P56" s="489"/>
      <c r="Q56" s="489"/>
      <c r="R56" s="489"/>
      <c r="S56" s="489"/>
      <c r="T56" s="489"/>
      <c r="U56" s="489"/>
      <c r="V56" s="489"/>
      <c r="W56" s="489"/>
      <c r="X56" s="489"/>
      <c r="Y56" s="489"/>
      <c r="Z56" s="489"/>
      <c r="AA56" s="489"/>
      <c r="AB56" s="489"/>
      <c r="AC56" s="489"/>
      <c r="AD56" s="489"/>
    </row>
    <row r="57" spans="1:30">
      <c r="A57" s="402"/>
      <c r="B57" s="408"/>
      <c r="C57" s="459"/>
      <c r="D57" s="469"/>
      <c r="E57" s="469"/>
      <c r="F57" s="469"/>
      <c r="G57" s="469"/>
      <c r="H57" s="489"/>
      <c r="I57" s="489"/>
      <c r="J57" s="490"/>
      <c r="K57" s="490"/>
      <c r="L57" s="490"/>
      <c r="M57" s="490"/>
      <c r="N57" s="490"/>
      <c r="O57" s="490"/>
      <c r="P57" s="490"/>
      <c r="Q57" s="490"/>
      <c r="R57" s="490"/>
      <c r="S57" s="490"/>
      <c r="T57" s="490"/>
      <c r="U57" s="490"/>
      <c r="V57" s="490"/>
      <c r="W57" s="490"/>
      <c r="X57" s="490"/>
      <c r="Y57" s="490"/>
      <c r="Z57" s="490"/>
      <c r="AA57" s="490"/>
      <c r="AB57" s="490"/>
      <c r="AC57" s="490"/>
      <c r="AD57" s="490"/>
    </row>
    <row r="58" spans="1:30">
      <c r="A58" s="402"/>
      <c r="B58" s="408"/>
      <c r="C58" s="459" t="s">
        <v>506</v>
      </c>
      <c r="D58" s="469"/>
      <c r="E58" s="469"/>
      <c r="F58" s="469"/>
      <c r="G58" s="469"/>
      <c r="H58" s="491">
        <v>0.8</v>
      </c>
      <c r="I58" s="491">
        <v>0.8</v>
      </c>
      <c r="J58" s="491">
        <v>0.8</v>
      </c>
      <c r="K58" s="491">
        <v>0.8</v>
      </c>
      <c r="L58" s="491">
        <v>0.8</v>
      </c>
      <c r="M58" s="491">
        <v>0.8</v>
      </c>
      <c r="N58" s="491">
        <v>0.8</v>
      </c>
      <c r="O58" s="491">
        <v>0.8</v>
      </c>
      <c r="P58" s="491">
        <v>0.8</v>
      </c>
      <c r="Q58" s="491">
        <v>0.8</v>
      </c>
      <c r="R58" s="491">
        <v>0.8</v>
      </c>
      <c r="S58" s="491">
        <v>0.8</v>
      </c>
      <c r="T58" s="491">
        <v>0.8</v>
      </c>
      <c r="U58" s="491">
        <v>0.8</v>
      </c>
      <c r="V58" s="491">
        <v>0.8</v>
      </c>
      <c r="W58" s="491">
        <v>0.8</v>
      </c>
      <c r="X58" s="491">
        <v>0.8</v>
      </c>
      <c r="Y58" s="491">
        <v>0.8</v>
      </c>
      <c r="Z58" s="491">
        <v>0.8</v>
      </c>
      <c r="AA58" s="491">
        <v>0.8</v>
      </c>
      <c r="AB58" s="491">
        <v>0.8</v>
      </c>
      <c r="AC58" s="491">
        <v>0.8</v>
      </c>
      <c r="AD58" s="491">
        <v>0.8</v>
      </c>
    </row>
    <row r="59" spans="1:30">
      <c r="A59" s="492"/>
      <c r="B59" s="493"/>
      <c r="C59" s="475" t="s">
        <v>507</v>
      </c>
      <c r="D59" s="434"/>
      <c r="E59" s="434"/>
      <c r="F59" s="434"/>
      <c r="G59" s="434"/>
      <c r="H59" s="494">
        <f t="shared" ref="H59:Z59" si="40">H54*H58</f>
        <v>289.79387234659583</v>
      </c>
      <c r="I59" s="494">
        <f t="shared" si="40"/>
        <v>100.99395057041403</v>
      </c>
      <c r="J59" s="494">
        <f t="shared" si="40"/>
        <v>126.7488757922338</v>
      </c>
      <c r="K59" s="494">
        <f t="shared" si="40"/>
        <v>148.63497607894661</v>
      </c>
      <c r="L59" s="494">
        <f t="shared" si="40"/>
        <v>210.2595993757414</v>
      </c>
      <c r="M59" s="494">
        <f t="shared" si="40"/>
        <v>184.2200804732704</v>
      </c>
      <c r="N59" s="494">
        <f t="shared" si="40"/>
        <v>202.57233401262482</v>
      </c>
      <c r="O59" s="494">
        <f t="shared" si="40"/>
        <v>203.17876145874689</v>
      </c>
      <c r="P59" s="494">
        <f t="shared" si="40"/>
        <v>245.06129461892297</v>
      </c>
      <c r="Q59" s="494">
        <f t="shared" si="40"/>
        <v>431.03474847440179</v>
      </c>
      <c r="R59" s="494">
        <f t="shared" si="40"/>
        <v>450.83979467813191</v>
      </c>
      <c r="S59" s="494">
        <f t="shared" si="40"/>
        <v>76.285561717316483</v>
      </c>
      <c r="T59" s="494">
        <f t="shared" si="40"/>
        <v>228.58382861969812</v>
      </c>
      <c r="U59" s="494">
        <f t="shared" si="40"/>
        <v>503.37429567719295</v>
      </c>
      <c r="V59" s="494">
        <f t="shared" si="40"/>
        <v>-48.03377652477382</v>
      </c>
      <c r="W59" s="494">
        <f t="shared" si="40"/>
        <v>430.21229251404907</v>
      </c>
      <c r="X59" s="494">
        <f t="shared" si="40"/>
        <v>473.23352176545399</v>
      </c>
      <c r="Y59" s="494">
        <f t="shared" si="40"/>
        <v>520.55687394199936</v>
      </c>
      <c r="Z59" s="494">
        <f t="shared" si="40"/>
        <v>572.61256133619941</v>
      </c>
      <c r="AA59" s="494">
        <f>AA54*AA58</f>
        <v>629.87381746981964</v>
      </c>
      <c r="AB59" s="494">
        <f>AB54*AB58</f>
        <v>692.86119921680131</v>
      </c>
      <c r="AC59" s="494">
        <f>AC54*AC58</f>
        <v>762.14731913848163</v>
      </c>
      <c r="AD59" s="494">
        <f>AD54*AD58</f>
        <v>838.36205105233012</v>
      </c>
    </row>
    <row r="60" spans="1:30">
      <c r="A60" s="492"/>
      <c r="B60" s="493"/>
      <c r="C60" s="475" t="s">
        <v>508</v>
      </c>
      <c r="D60" s="434"/>
      <c r="E60" s="434"/>
      <c r="F60" s="434"/>
      <c r="G60" s="434"/>
      <c r="H60" s="486"/>
      <c r="I60" s="486">
        <f t="shared" ref="I60:Z60" si="41">I54-I59</f>
        <v>25.248487642603493</v>
      </c>
      <c r="J60" s="486">
        <f t="shared" si="41"/>
        <v>31.687218948058444</v>
      </c>
      <c r="K60" s="486">
        <f t="shared" si="41"/>
        <v>37.158744019736645</v>
      </c>
      <c r="L60" s="486">
        <f t="shared" si="41"/>
        <v>52.564899843935336</v>
      </c>
      <c r="M60" s="486">
        <f t="shared" si="41"/>
        <v>46.0550201183176</v>
      </c>
      <c r="N60" s="486">
        <f t="shared" si="41"/>
        <v>50.643083503156191</v>
      </c>
      <c r="O60" s="486">
        <f t="shared" si="41"/>
        <v>50.794690364686716</v>
      </c>
      <c r="P60" s="486">
        <f t="shared" si="41"/>
        <v>61.265323654730736</v>
      </c>
      <c r="Q60" s="486">
        <f t="shared" si="41"/>
        <v>107.75868711860039</v>
      </c>
      <c r="R60" s="486">
        <f t="shared" si="41"/>
        <v>112.70994866953293</v>
      </c>
      <c r="S60" s="486">
        <f t="shared" si="41"/>
        <v>19.071390429329114</v>
      </c>
      <c r="T60" s="486">
        <f t="shared" si="41"/>
        <v>57.145957154924531</v>
      </c>
      <c r="U60" s="486">
        <f t="shared" si="41"/>
        <v>125.84357391929819</v>
      </c>
      <c r="V60" s="486">
        <f t="shared" si="41"/>
        <v>-12.00844413119345</v>
      </c>
      <c r="W60" s="486">
        <f t="shared" si="41"/>
        <v>107.55307312851221</v>
      </c>
      <c r="X60" s="486">
        <f t="shared" si="41"/>
        <v>118.30838044136345</v>
      </c>
      <c r="Y60" s="486">
        <f t="shared" si="41"/>
        <v>130.13921848549978</v>
      </c>
      <c r="Z60" s="486">
        <f t="shared" si="41"/>
        <v>143.15314033404979</v>
      </c>
      <c r="AA60" s="486">
        <f>AA54-AA59</f>
        <v>157.4684543674548</v>
      </c>
      <c r="AB60" s="486">
        <f>AB54-AB59</f>
        <v>173.2152998042003</v>
      </c>
      <c r="AC60" s="486">
        <f>AC54-AC59</f>
        <v>190.53682978462029</v>
      </c>
      <c r="AD60" s="486">
        <f>AD54-AD59</f>
        <v>209.59051276308242</v>
      </c>
    </row>
    <row r="61" spans="1:30">
      <c r="A61" s="402"/>
      <c r="B61" s="408"/>
      <c r="C61" s="459"/>
      <c r="D61" s="469"/>
      <c r="E61" s="469"/>
      <c r="F61" s="469"/>
      <c r="G61" s="469"/>
      <c r="H61" s="496"/>
      <c r="I61" s="489"/>
      <c r="J61" s="489"/>
      <c r="K61" s="489"/>
      <c r="L61" s="489"/>
      <c r="M61" s="489"/>
      <c r="N61" s="489"/>
      <c r="O61" s="489"/>
      <c r="P61" s="489"/>
      <c r="Q61" s="489"/>
      <c r="R61" s="489"/>
      <c r="S61" s="489"/>
      <c r="T61" s="489"/>
      <c r="U61" s="489"/>
      <c r="V61" s="489"/>
      <c r="W61" s="489"/>
      <c r="X61" s="489"/>
      <c r="Y61" s="489"/>
      <c r="Z61" s="489"/>
      <c r="AA61" s="489"/>
      <c r="AB61" s="489"/>
      <c r="AC61" s="489"/>
      <c r="AD61" s="489"/>
    </row>
    <row r="62" spans="1:30">
      <c r="A62" s="402"/>
      <c r="B62" s="408"/>
      <c r="C62" s="406"/>
      <c r="D62" s="406"/>
      <c r="E62" s="406"/>
      <c r="F62" s="406"/>
      <c r="G62" s="406"/>
      <c r="H62" s="497"/>
      <c r="I62" s="497"/>
      <c r="J62" s="497"/>
      <c r="K62" s="497"/>
      <c r="L62" s="497"/>
      <c r="M62" s="497"/>
      <c r="N62" s="497"/>
      <c r="O62" s="498"/>
      <c r="P62" s="498"/>
      <c r="Q62" s="498"/>
      <c r="R62" s="498"/>
      <c r="S62" s="498"/>
      <c r="T62" s="498"/>
      <c r="U62" s="498"/>
      <c r="V62" s="498"/>
      <c r="W62" s="498"/>
      <c r="X62" s="498"/>
      <c r="Y62" s="498"/>
      <c r="Z62" s="498"/>
      <c r="AA62" s="498"/>
      <c r="AB62" s="498"/>
      <c r="AC62" s="498"/>
      <c r="AD62" s="498"/>
    </row>
    <row r="63" spans="1:30">
      <c r="A63" s="402"/>
      <c r="B63" s="408"/>
      <c r="C63" s="406" t="s">
        <v>509</v>
      </c>
      <c r="D63" s="406"/>
      <c r="E63" s="406"/>
      <c r="F63" s="406"/>
      <c r="G63" s="406"/>
      <c r="H63" s="486">
        <f t="shared" ref="H63:S63" si="42">IF(ISERROR(H76),0,H76)</f>
        <v>50.97</v>
      </c>
      <c r="I63" s="486">
        <f t="shared" si="42"/>
        <v>61.905999999999999</v>
      </c>
      <c r="J63" s="486">
        <f t="shared" si="42"/>
        <v>75.572000000000003</v>
      </c>
      <c r="K63" s="486">
        <f t="shared" si="42"/>
        <v>90.070999999999998</v>
      </c>
      <c r="L63" s="486">
        <f t="shared" si="42"/>
        <v>111.77</v>
      </c>
      <c r="M63" s="486">
        <f t="shared" si="42"/>
        <v>128.41399999999999</v>
      </c>
      <c r="N63" s="486">
        <f t="shared" si="42"/>
        <v>150.04499999999999</v>
      </c>
      <c r="O63" s="486">
        <f t="shared" si="42"/>
        <v>189.428</v>
      </c>
      <c r="P63" s="486">
        <f t="shared" si="42"/>
        <v>222.52799999999999</v>
      </c>
      <c r="Q63" s="486">
        <f>IF(ISERROR(Q76),0,Q76)</f>
        <v>259.238</v>
      </c>
      <c r="R63" s="486">
        <f t="shared" si="42"/>
        <v>300.79700000000003</v>
      </c>
      <c r="S63" s="486">
        <f t="shared" si="42"/>
        <v>312.34500000000003</v>
      </c>
      <c r="T63" s="486">
        <f>IF(ISERROR(T76),0,T76)</f>
        <v>347.71300000000002</v>
      </c>
      <c r="U63" s="486">
        <f>IF(ISERROR(U76),0,U76)</f>
        <v>409.66500000000002</v>
      </c>
      <c r="V63" s="486">
        <f>IF(ISERROR(V76),0,V76)</f>
        <v>440.8</v>
      </c>
      <c r="W63" s="486">
        <f t="shared" ref="W63:AD63" si="43">V63*(1+W64)</f>
        <v>484.88000000000005</v>
      </c>
      <c r="X63" s="486">
        <f t="shared" si="43"/>
        <v>533.36800000000005</v>
      </c>
      <c r="Y63" s="486">
        <f t="shared" si="43"/>
        <v>586.70480000000009</v>
      </c>
      <c r="Z63" s="486">
        <f t="shared" si="43"/>
        <v>645.3752800000002</v>
      </c>
      <c r="AA63" s="486">
        <f t="shared" si="43"/>
        <v>709.91280800000027</v>
      </c>
      <c r="AB63" s="486">
        <f t="shared" si="43"/>
        <v>780.90408880000041</v>
      </c>
      <c r="AC63" s="486">
        <f t="shared" si="43"/>
        <v>858.99449768000056</v>
      </c>
      <c r="AD63" s="486">
        <f t="shared" si="43"/>
        <v>944.89394744800074</v>
      </c>
    </row>
    <row r="64" spans="1:30">
      <c r="A64" s="402"/>
      <c r="B64" s="408"/>
      <c r="C64" s="499" t="s">
        <v>510</v>
      </c>
      <c r="D64" s="499"/>
      <c r="E64" s="499"/>
      <c r="F64" s="499"/>
      <c r="G64" s="499"/>
      <c r="H64" s="489"/>
      <c r="I64" s="485">
        <f t="shared" ref="I64:V64" si="44">IF(ISERROR(I63/H63-1),0,I63/H63-1)</f>
        <v>0.2145575828918973</v>
      </c>
      <c r="J64" s="485">
        <f t="shared" si="44"/>
        <v>0.22075404645753238</v>
      </c>
      <c r="K64" s="485">
        <f t="shared" si="44"/>
        <v>0.19185677234954746</v>
      </c>
      <c r="L64" s="485">
        <f t="shared" si="44"/>
        <v>0.24090994881815453</v>
      </c>
      <c r="M64" s="485">
        <f t="shared" si="44"/>
        <v>0.14891294622886275</v>
      </c>
      <c r="N64" s="485">
        <f t="shared" si="44"/>
        <v>0.16844736555204265</v>
      </c>
      <c r="O64" s="485">
        <f t="shared" si="44"/>
        <v>0.26247459095604664</v>
      </c>
      <c r="P64" s="485">
        <f t="shared" si="44"/>
        <v>0.17473657537428466</v>
      </c>
      <c r="Q64" s="485">
        <f t="shared" si="44"/>
        <v>0.16496800402645961</v>
      </c>
      <c r="R64" s="485">
        <f t="shared" si="44"/>
        <v>0.16031214559593887</v>
      </c>
      <c r="S64" s="485">
        <f t="shared" si="44"/>
        <v>3.8391340339165581E-2</v>
      </c>
      <c r="T64" s="485">
        <f t="shared" si="44"/>
        <v>0.11323376394691764</v>
      </c>
      <c r="U64" s="485">
        <f t="shared" si="44"/>
        <v>0.17816992749767757</v>
      </c>
      <c r="V64" s="485">
        <f t="shared" si="44"/>
        <v>7.6001122868685433E-2</v>
      </c>
      <c r="W64" s="500">
        <v>0.1</v>
      </c>
      <c r="X64" s="500">
        <v>0.1</v>
      </c>
      <c r="Y64" s="500">
        <v>0.1</v>
      </c>
      <c r="Z64" s="500">
        <v>0.1</v>
      </c>
      <c r="AA64" s="500">
        <v>0.1</v>
      </c>
      <c r="AB64" s="500">
        <v>0.1</v>
      </c>
      <c r="AC64" s="500">
        <v>0.1</v>
      </c>
      <c r="AD64" s="500">
        <v>0.1</v>
      </c>
    </row>
    <row r="65" spans="1:30">
      <c r="A65" s="402"/>
      <c r="B65" s="408"/>
      <c r="C65" s="406"/>
      <c r="D65" s="406"/>
      <c r="E65" s="406"/>
      <c r="F65" s="406"/>
      <c r="G65" s="406"/>
      <c r="H65" s="502"/>
      <c r="I65" s="502"/>
      <c r="J65" s="502"/>
      <c r="K65" s="502"/>
      <c r="L65" s="502"/>
      <c r="M65" s="502"/>
      <c r="N65" s="502"/>
      <c r="O65" s="502"/>
      <c r="P65" s="502"/>
      <c r="Q65" s="502"/>
      <c r="R65" s="502"/>
      <c r="S65" s="502"/>
      <c r="T65" s="502"/>
      <c r="U65" s="502"/>
      <c r="V65" s="502"/>
      <c r="W65" s="502"/>
      <c r="X65" s="502"/>
      <c r="Y65" s="502"/>
      <c r="Z65" s="502"/>
      <c r="AA65" s="502"/>
      <c r="AB65" s="502"/>
      <c r="AC65" s="502"/>
      <c r="AD65" s="502"/>
    </row>
    <row r="66" spans="1:30">
      <c r="A66" s="402"/>
      <c r="B66" s="408"/>
      <c r="C66" s="503" t="s">
        <v>511</v>
      </c>
      <c r="D66" s="406"/>
      <c r="E66" s="406"/>
      <c r="F66" s="406"/>
      <c r="G66" s="406"/>
      <c r="H66" s="504">
        <f t="shared" ref="H66:X66" si="45">IF(ISERROR(H$68+SUM(H77:H81)),0,H$68+SUM(H77:H81))</f>
        <v>428.42399999999998</v>
      </c>
      <c r="I66" s="504">
        <f t="shared" si="45"/>
        <v>520.34199999999998</v>
      </c>
      <c r="J66" s="504">
        <f t="shared" si="45"/>
        <v>655.30799999999999</v>
      </c>
      <c r="K66" s="504">
        <f t="shared" si="45"/>
        <v>822.92000000000007</v>
      </c>
      <c r="L66" s="504">
        <f t="shared" si="45"/>
        <v>889.32799999999997</v>
      </c>
      <c r="M66" s="504">
        <f t="shared" si="45"/>
        <v>1002.7199999999999</v>
      </c>
      <c r="N66" s="504">
        <f t="shared" si="45"/>
        <v>1256.107</v>
      </c>
      <c r="O66" s="504">
        <f t="shared" si="45"/>
        <v>1417.827</v>
      </c>
      <c r="P66" s="504">
        <f t="shared" si="45"/>
        <v>1671.681</v>
      </c>
      <c r="Q66" s="504">
        <f>IF(ISERROR(Q$68+SUM(Q77:Q81)),0,Q$68+SUM(Q77:Q81))</f>
        <v>2173.7950000000001</v>
      </c>
      <c r="R66" s="504">
        <f t="shared" si="45"/>
        <v>2797.1239999999998</v>
      </c>
      <c r="S66" s="504">
        <f t="shared" si="45"/>
        <v>2598.875</v>
      </c>
      <c r="T66" s="504">
        <f>IF(ISERROR(T$68+SUM(T77:T81)),0,T$68+SUM(T77:T81))</f>
        <v>2613.1849999999999</v>
      </c>
      <c r="U66" s="504">
        <f>IF(ISERROR(U$68+SUM(U77:U81)),0,U$68+SUM(U77:U81))</f>
        <v>3045.2069999999999</v>
      </c>
      <c r="V66" s="722">
        <f t="shared" si="45"/>
        <v>2626.2110000000002</v>
      </c>
      <c r="W66" s="504">
        <f t="shared" si="45"/>
        <v>3001.5392000000002</v>
      </c>
      <c r="X66" s="504">
        <f t="shared" si="45"/>
        <v>3301.6931200000008</v>
      </c>
      <c r="Y66" s="504">
        <f t="shared" ref="Y66:AD66" si="46">IF(ISERROR(Y$68+SUM(Y77:Y81)),0,Y$68+SUM(Y77:Y81))</f>
        <v>3631.8624320000008</v>
      </c>
      <c r="Z66" s="504">
        <f t="shared" si="46"/>
        <v>3995.0486752000011</v>
      </c>
      <c r="AA66" s="504">
        <f t="shared" si="46"/>
        <v>4394.553542720002</v>
      </c>
      <c r="AB66" s="504">
        <f t="shared" si="46"/>
        <v>4834.0088969920025</v>
      </c>
      <c r="AC66" s="504">
        <f t="shared" si="46"/>
        <v>5317.4097866912034</v>
      </c>
      <c r="AD66" s="504">
        <f t="shared" si="46"/>
        <v>5849.1507653603239</v>
      </c>
    </row>
    <row r="67" spans="1:30">
      <c r="A67" s="402"/>
      <c r="B67" s="403"/>
      <c r="C67" s="505" t="s">
        <v>512</v>
      </c>
      <c r="D67" s="505"/>
      <c r="E67" s="505"/>
      <c r="F67" s="505"/>
      <c r="G67" s="505"/>
      <c r="H67" s="506"/>
      <c r="I67" s="485">
        <f t="shared" ref="I67:AD67" si="47">IF(ISERROR(I66/H66-1),0,I66/H66-1)</f>
        <v>0.21454913823688693</v>
      </c>
      <c r="J67" s="485">
        <f t="shared" si="47"/>
        <v>0.25937940815848037</v>
      </c>
      <c r="K67" s="485">
        <f t="shared" si="47"/>
        <v>0.25577590995379285</v>
      </c>
      <c r="L67" s="485">
        <f t="shared" si="47"/>
        <v>8.0698002235940258E-2</v>
      </c>
      <c r="M67" s="485">
        <f t="shared" si="47"/>
        <v>0.12750301351132531</v>
      </c>
      <c r="N67" s="485">
        <f t="shared" si="47"/>
        <v>0.25269965693314189</v>
      </c>
      <c r="O67" s="485">
        <f t="shared" si="47"/>
        <v>0.12874699368763975</v>
      </c>
      <c r="P67" s="485">
        <f t="shared" si="47"/>
        <v>0.17904441091896262</v>
      </c>
      <c r="Q67" s="485">
        <f t="shared" si="47"/>
        <v>0.30036472269529901</v>
      </c>
      <c r="R67" s="485">
        <f t="shared" si="47"/>
        <v>0.28674691035723221</v>
      </c>
      <c r="S67" s="485">
        <f t="shared" si="47"/>
        <v>-7.0876014077316474E-2</v>
      </c>
      <c r="T67" s="485">
        <f t="shared" si="47"/>
        <v>5.5062286566303076E-3</v>
      </c>
      <c r="U67" s="485">
        <f t="shared" si="47"/>
        <v>0.16532392463602852</v>
      </c>
      <c r="V67" s="723">
        <f t="shared" si="47"/>
        <v>-0.13759196008678543</v>
      </c>
      <c r="W67" s="485">
        <f t="shared" si="47"/>
        <v>0.14291623940345999</v>
      </c>
      <c r="X67" s="485">
        <f t="shared" si="47"/>
        <v>0.10000000000000031</v>
      </c>
      <c r="Y67" s="485">
        <f t="shared" si="47"/>
        <v>9.9999999999999867E-2</v>
      </c>
      <c r="Z67" s="485">
        <f t="shared" si="47"/>
        <v>0.10000000000000009</v>
      </c>
      <c r="AA67" s="485">
        <f t="shared" si="47"/>
        <v>0.10000000000000031</v>
      </c>
      <c r="AB67" s="485">
        <f t="shared" si="47"/>
        <v>0.10000000000000009</v>
      </c>
      <c r="AC67" s="485">
        <f t="shared" si="47"/>
        <v>0.10000000000000009</v>
      </c>
      <c r="AD67" s="485">
        <f t="shared" si="47"/>
        <v>0.10000000000000009</v>
      </c>
    </row>
    <row r="68" spans="1:30" ht="12.75" customHeight="1">
      <c r="A68" s="402"/>
      <c r="B68" s="403"/>
      <c r="C68" s="398" t="s">
        <v>513</v>
      </c>
      <c r="D68" s="398"/>
      <c r="E68" s="398"/>
      <c r="F68" s="398"/>
      <c r="G68" s="398"/>
      <c r="H68" s="507">
        <v>181.661</v>
      </c>
      <c r="I68" s="507">
        <v>205.857</v>
      </c>
      <c r="J68" s="507">
        <v>251.39099999999999</v>
      </c>
      <c r="K68" s="507">
        <v>309.10599999999999</v>
      </c>
      <c r="L68" s="507">
        <v>316.72399999999999</v>
      </c>
      <c r="M68" s="507">
        <v>350.33699999999999</v>
      </c>
      <c r="N68" s="507">
        <v>485.75</v>
      </c>
      <c r="O68" s="507">
        <v>538.63499999999999</v>
      </c>
      <c r="P68" s="507">
        <v>660.22699999999998</v>
      </c>
      <c r="Q68" s="507">
        <v>953.41700000000003</v>
      </c>
      <c r="R68" s="507">
        <v>1302.1389999999999</v>
      </c>
      <c r="S68" s="507">
        <v>1146.587</v>
      </c>
      <c r="T68" s="507">
        <v>1110.598</v>
      </c>
      <c r="U68" s="507">
        <v>1267.0830000000001</v>
      </c>
      <c r="V68" s="507">
        <v>868.47900000000004</v>
      </c>
      <c r="W68" s="508">
        <f t="shared" ref="W68:AB68" si="48">SUM(W82:W95)</f>
        <v>1068.0340000000001</v>
      </c>
      <c r="X68" s="508">
        <f t="shared" si="48"/>
        <v>1174.8374000000001</v>
      </c>
      <c r="Y68" s="508">
        <f t="shared" si="48"/>
        <v>1292.3211400000002</v>
      </c>
      <c r="Z68" s="508">
        <f t="shared" si="48"/>
        <v>1421.5532540000004</v>
      </c>
      <c r="AA68" s="508">
        <f t="shared" si="48"/>
        <v>1563.7085794000006</v>
      </c>
      <c r="AB68" s="508">
        <f t="shared" si="48"/>
        <v>1720.0794373400008</v>
      </c>
      <c r="AC68" s="508">
        <f>SUM(AC82:AC95)</f>
        <v>1892.0873810740011</v>
      </c>
      <c r="AD68" s="508">
        <f>SUM(AD82:AD95)</f>
        <v>2081.2961191814015</v>
      </c>
    </row>
    <row r="69" spans="1:30">
      <c r="A69" s="402"/>
      <c r="B69" s="403"/>
      <c r="C69" s="406"/>
      <c r="D69" s="406"/>
      <c r="E69" s="406"/>
      <c r="F69" s="406"/>
      <c r="G69" s="406"/>
      <c r="H69" s="509"/>
      <c r="I69" s="509"/>
      <c r="J69" s="509"/>
      <c r="K69" s="509"/>
      <c r="L69" s="509"/>
      <c r="M69" s="509"/>
      <c r="N69" s="509"/>
      <c r="O69" s="510"/>
      <c r="P69" s="510"/>
      <c r="Q69" s="510"/>
      <c r="R69" s="510"/>
      <c r="S69" s="510"/>
      <c r="T69" s="510"/>
      <c r="U69" s="510"/>
      <c r="V69" s="724"/>
      <c r="W69" s="510"/>
      <c r="X69" s="510"/>
      <c r="Y69" s="510"/>
      <c r="Z69" s="510"/>
      <c r="AA69" s="510"/>
      <c r="AB69" s="510"/>
      <c r="AC69" s="510"/>
      <c r="AD69" s="510"/>
    </row>
    <row r="70" spans="1:30">
      <c r="A70" s="402"/>
      <c r="B70" s="403"/>
      <c r="C70" s="398" t="s">
        <v>514</v>
      </c>
      <c r="D70" s="406"/>
      <c r="E70" s="406"/>
      <c r="F70" s="406"/>
      <c r="G70" s="406"/>
      <c r="H70" s="511">
        <f>AVERAGE(1,15)</f>
        <v>8</v>
      </c>
      <c r="I70" s="511">
        <f>AVERAGE(1,15)</f>
        <v>8</v>
      </c>
      <c r="J70" s="511">
        <f>AVERAGE(1,13)</f>
        <v>7</v>
      </c>
      <c r="K70" s="511">
        <f>AVERAGE(1,14)</f>
        <v>7.5</v>
      </c>
      <c r="L70" s="511">
        <f>AVERAGE(1,14)</f>
        <v>7.5</v>
      </c>
      <c r="M70" s="511">
        <f>AVERAGE(1,13)</f>
        <v>7</v>
      </c>
      <c r="N70" s="511">
        <f>AVERAGE(1,15)</f>
        <v>8</v>
      </c>
      <c r="O70" s="511">
        <f>AVERAGE(1,15)</f>
        <v>8</v>
      </c>
      <c r="P70" s="511">
        <f>AVERAGE(1,15)</f>
        <v>8</v>
      </c>
      <c r="Q70" s="511">
        <v>9</v>
      </c>
      <c r="R70" s="511">
        <v>10</v>
      </c>
      <c r="S70" s="511">
        <v>10</v>
      </c>
      <c r="T70" s="511">
        <v>10</v>
      </c>
      <c r="U70" s="511">
        <v>10</v>
      </c>
      <c r="V70" s="511">
        <v>10</v>
      </c>
      <c r="W70" s="398"/>
      <c r="X70" s="398"/>
      <c r="Y70" s="398"/>
      <c r="Z70" s="398"/>
      <c r="AA70" s="398"/>
      <c r="AB70" s="398"/>
      <c r="AC70" s="398"/>
      <c r="AD70" s="398"/>
    </row>
    <row r="71" spans="1:30">
      <c r="A71" s="402"/>
      <c r="B71" s="403"/>
      <c r="C71" s="406" t="s">
        <v>515</v>
      </c>
      <c r="D71" s="406"/>
      <c r="E71" s="406"/>
      <c r="F71" s="406"/>
      <c r="G71" s="406"/>
      <c r="H71" s="494">
        <f t="shared" ref="H71:S71" si="49">+H68/H81</f>
        <v>3.7623436335017812</v>
      </c>
      <c r="I71" s="494">
        <f t="shared" si="49"/>
        <v>3.3360937348069877</v>
      </c>
      <c r="J71" s="494">
        <f t="shared" si="49"/>
        <v>3.2192882480246898</v>
      </c>
      <c r="K71" s="494">
        <f t="shared" si="49"/>
        <v>3.2223380522486083</v>
      </c>
      <c r="L71" s="494">
        <f t="shared" si="49"/>
        <v>3.1869673277588269</v>
      </c>
      <c r="M71" s="494">
        <f t="shared" si="49"/>
        <v>3.1805447117566952</v>
      </c>
      <c r="N71" s="494">
        <f t="shared" si="49"/>
        <v>3.5451287777607483</v>
      </c>
      <c r="O71" s="494">
        <f t="shared" si="49"/>
        <v>3.4601079206012719</v>
      </c>
      <c r="P71" s="494">
        <f t="shared" si="49"/>
        <v>3.6998285214740427</v>
      </c>
      <c r="Q71" s="494">
        <f t="shared" si="49"/>
        <v>4.4362721832919219</v>
      </c>
      <c r="R71" s="494">
        <f t="shared" si="49"/>
        <v>4.859616123843538</v>
      </c>
      <c r="S71" s="494">
        <f t="shared" si="49"/>
        <v>4.5607349127301076</v>
      </c>
      <c r="T71" s="494">
        <f>+T68/T81</f>
        <v>4.2294638708842056</v>
      </c>
      <c r="U71" s="494">
        <f>+U68/U81</f>
        <v>4.0833865073380124</v>
      </c>
      <c r="V71" s="494">
        <f>+V68/V81</f>
        <v>3.5778894679382867</v>
      </c>
      <c r="W71" s="398"/>
      <c r="X71" s="398"/>
      <c r="Y71" s="398"/>
      <c r="Z71" s="398"/>
      <c r="AA71" s="398"/>
      <c r="AB71" s="398"/>
      <c r="AC71" s="398"/>
      <c r="AD71" s="398"/>
    </row>
    <row r="72" spans="1:30">
      <c r="A72" s="402"/>
      <c r="B72" s="403"/>
      <c r="C72" s="406" t="s">
        <v>516</v>
      </c>
      <c r="D72" s="406"/>
      <c r="E72" s="406"/>
      <c r="F72" s="406"/>
      <c r="G72" s="406"/>
      <c r="H72" s="512">
        <f t="shared" ref="H72:U72" si="50">1-H71/H70</f>
        <v>0.52970704581227734</v>
      </c>
      <c r="I72" s="512">
        <f t="shared" si="50"/>
        <v>0.58298828314912654</v>
      </c>
      <c r="J72" s="512">
        <f t="shared" si="50"/>
        <v>0.54010167885361571</v>
      </c>
      <c r="K72" s="512">
        <f t="shared" si="50"/>
        <v>0.57035492636685226</v>
      </c>
      <c r="L72" s="512">
        <f t="shared" si="50"/>
        <v>0.57507102296548973</v>
      </c>
      <c r="M72" s="512">
        <f t="shared" si="50"/>
        <v>0.54563646974904356</v>
      </c>
      <c r="N72" s="512">
        <f t="shared" si="50"/>
        <v>0.55685890277990646</v>
      </c>
      <c r="O72" s="512">
        <f t="shared" si="50"/>
        <v>0.56748650992484095</v>
      </c>
      <c r="P72" s="512">
        <f t="shared" si="50"/>
        <v>0.53752143481574466</v>
      </c>
      <c r="Q72" s="512">
        <f t="shared" si="50"/>
        <v>0.50708086852311984</v>
      </c>
      <c r="R72" s="512">
        <f t="shared" si="50"/>
        <v>0.51403838761564624</v>
      </c>
      <c r="S72" s="512">
        <f t="shared" si="50"/>
        <v>0.54392650872698922</v>
      </c>
      <c r="T72" s="512">
        <f t="shared" si="50"/>
        <v>0.57705361291157942</v>
      </c>
      <c r="U72" s="512">
        <f t="shared" si="50"/>
        <v>0.59166134926619873</v>
      </c>
      <c r="V72" s="512">
        <v>0.59</v>
      </c>
      <c r="W72" s="513"/>
      <c r="X72" s="513"/>
      <c r="Y72" s="513"/>
      <c r="Z72" s="513"/>
      <c r="AA72" s="513"/>
      <c r="AB72" s="513"/>
      <c r="AC72" s="513"/>
      <c r="AD72" s="513"/>
    </row>
    <row r="73" spans="1:30">
      <c r="A73" s="402"/>
      <c r="B73" s="403"/>
      <c r="C73" s="406"/>
      <c r="D73" s="406"/>
      <c r="E73" s="406"/>
      <c r="F73" s="406"/>
      <c r="G73" s="406"/>
      <c r="H73" s="501"/>
      <c r="I73" s="501"/>
      <c r="J73" s="501"/>
      <c r="K73" s="501"/>
      <c r="L73" s="501"/>
      <c r="M73" s="501"/>
      <c r="N73" s="501"/>
      <c r="O73" s="501"/>
      <c r="P73" s="513"/>
      <c r="Q73" s="513"/>
      <c r="R73" s="513"/>
      <c r="S73" s="513"/>
      <c r="T73" s="513"/>
      <c r="U73" s="513"/>
      <c r="V73" s="725"/>
      <c r="W73" s="513"/>
      <c r="X73" s="513"/>
      <c r="Y73" s="513"/>
      <c r="Z73" s="513"/>
      <c r="AA73" s="513"/>
      <c r="AB73" s="513"/>
      <c r="AC73" s="513"/>
      <c r="AD73" s="513"/>
    </row>
    <row r="74" spans="1:30" outlineLevel="1">
      <c r="A74" s="402"/>
      <c r="B74" s="408"/>
      <c r="C74" s="469" t="s">
        <v>517</v>
      </c>
      <c r="D74" s="469"/>
      <c r="E74" s="469"/>
      <c r="F74" s="469"/>
      <c r="G74" s="469"/>
      <c r="H74" s="514" t="str">
        <f t="shared" ref="H74:X74" si="51">H9</f>
        <v>01/1999</v>
      </c>
      <c r="I74" s="514" t="str">
        <f t="shared" si="51"/>
        <v>01/2000</v>
      </c>
      <c r="J74" s="514" t="str">
        <f t="shared" si="51"/>
        <v>01/2001</v>
      </c>
      <c r="K74" s="514" t="str">
        <f t="shared" si="51"/>
        <v>01/2002</v>
      </c>
      <c r="L74" s="514" t="str">
        <f t="shared" si="51"/>
        <v>01/2003</v>
      </c>
      <c r="M74" s="514" t="str">
        <f t="shared" si="51"/>
        <v>01/2004</v>
      </c>
      <c r="N74" s="514" t="str">
        <f t="shared" si="51"/>
        <v>01/2005</v>
      </c>
      <c r="O74" s="514" t="str">
        <f t="shared" si="51"/>
        <v>01/2006</v>
      </c>
      <c r="P74" s="514" t="str">
        <f t="shared" si="51"/>
        <v>01/2007</v>
      </c>
      <c r="Q74" s="514" t="str">
        <f t="shared" si="51"/>
        <v>01/2008</v>
      </c>
      <c r="R74" s="514" t="str">
        <f t="shared" si="51"/>
        <v>01/2009</v>
      </c>
      <c r="S74" s="514" t="str">
        <f t="shared" si="51"/>
        <v>01/2010</v>
      </c>
      <c r="T74" s="514" t="str">
        <f>T9</f>
        <v>01/2011</v>
      </c>
      <c r="U74" s="514" t="str">
        <f>U9</f>
        <v>01/2012</v>
      </c>
      <c r="V74" s="726" t="str">
        <f t="shared" si="51"/>
        <v>01/2013</v>
      </c>
      <c r="W74" s="514" t="str">
        <f t="shared" si="51"/>
        <v>01/2014</v>
      </c>
      <c r="X74" s="514" t="str">
        <f t="shared" si="51"/>
        <v>01/2015</v>
      </c>
      <c r="Y74" s="514" t="str">
        <f t="shared" ref="Y74:AD74" si="52">Y9</f>
        <v>01/2016</v>
      </c>
      <c r="Z74" s="514" t="str">
        <f t="shared" si="52"/>
        <v>01/2017</v>
      </c>
      <c r="AA74" s="514" t="str">
        <f t="shared" si="52"/>
        <v>01/2018</v>
      </c>
      <c r="AB74" s="514" t="str">
        <f t="shared" si="52"/>
        <v>01/2019</v>
      </c>
      <c r="AC74" s="514" t="str">
        <f t="shared" si="52"/>
        <v>01/2020</v>
      </c>
      <c r="AD74" s="514" t="str">
        <f t="shared" si="52"/>
        <v>01/2021</v>
      </c>
    </row>
    <row r="75" spans="1:30" outlineLevel="1">
      <c r="A75" s="402"/>
      <c r="B75" s="408"/>
      <c r="C75" s="515"/>
      <c r="D75" s="515"/>
      <c r="E75" s="515"/>
      <c r="F75" s="515"/>
      <c r="G75" s="515"/>
      <c r="H75" s="558"/>
      <c r="I75" s="558"/>
      <c r="J75" s="558"/>
      <c r="K75" s="558"/>
      <c r="L75" s="558"/>
      <c r="M75" s="558"/>
      <c r="N75" s="558"/>
      <c r="O75" s="558"/>
      <c r="P75" s="558"/>
      <c r="Q75" s="558"/>
      <c r="R75" s="558"/>
      <c r="S75" s="558"/>
      <c r="T75" s="558"/>
      <c r="U75" s="558"/>
      <c r="V75" s="495"/>
      <c r="W75" s="516"/>
      <c r="X75" s="516"/>
      <c r="Y75" s="516"/>
      <c r="Z75" s="516"/>
      <c r="AA75" s="516"/>
      <c r="AB75" s="516"/>
      <c r="AC75" s="516"/>
      <c r="AD75" s="516"/>
    </row>
    <row r="76" spans="1:30" ht="12" customHeight="1" outlineLevel="1">
      <c r="A76" s="517"/>
      <c r="B76" s="403"/>
      <c r="C76" s="425" t="s">
        <v>518</v>
      </c>
      <c r="D76" s="518"/>
      <c r="E76" s="518"/>
      <c r="F76" s="518"/>
      <c r="G76" s="518"/>
      <c r="H76" s="519">
        <v>50.97</v>
      </c>
      <c r="I76" s="519">
        <v>61.905999999999999</v>
      </c>
      <c r="J76" s="519">
        <v>75.572000000000003</v>
      </c>
      <c r="K76" s="519">
        <v>90.070999999999998</v>
      </c>
      <c r="L76" s="519">
        <v>111.77</v>
      </c>
      <c r="M76" s="519">
        <v>128.41399999999999</v>
      </c>
      <c r="N76" s="519">
        <v>150.04499999999999</v>
      </c>
      <c r="O76" s="519">
        <v>189.428</v>
      </c>
      <c r="P76" s="519">
        <v>222.52799999999999</v>
      </c>
      <c r="Q76" s="519">
        <v>259.238</v>
      </c>
      <c r="R76" s="519">
        <v>300.79700000000003</v>
      </c>
      <c r="S76" s="519">
        <v>312.34500000000003</v>
      </c>
      <c r="T76" s="519">
        <v>347.71300000000002</v>
      </c>
      <c r="U76" s="519">
        <v>409.66500000000002</v>
      </c>
      <c r="V76" s="727">
        <v>440.8</v>
      </c>
      <c r="W76" s="429">
        <f t="shared" ref="W76:X85" si="53">V76*(1+W$64)</f>
        <v>484.88000000000005</v>
      </c>
      <c r="X76" s="429">
        <f t="shared" si="53"/>
        <v>533.36800000000005</v>
      </c>
      <c r="Y76" s="429">
        <f t="shared" ref="Y76:AD106" si="54">X76*(1+Y$64)</f>
        <v>586.70480000000009</v>
      </c>
      <c r="Z76" s="429">
        <f t="shared" si="54"/>
        <v>645.3752800000002</v>
      </c>
      <c r="AA76" s="429">
        <f t="shared" si="54"/>
        <v>709.91280800000027</v>
      </c>
      <c r="AB76" s="429">
        <f t="shared" si="54"/>
        <v>780.90408880000041</v>
      </c>
      <c r="AC76" s="429">
        <f t="shared" si="54"/>
        <v>858.99449768000056</v>
      </c>
      <c r="AD76" s="429">
        <f t="shared" si="54"/>
        <v>944.89394744800074</v>
      </c>
    </row>
    <row r="77" spans="1:30" ht="12" customHeight="1" outlineLevel="1">
      <c r="A77" s="517"/>
      <c r="B77" s="403"/>
      <c r="C77" s="425" t="s">
        <v>519</v>
      </c>
      <c r="D77" s="518"/>
      <c r="E77" s="518"/>
      <c r="F77" s="518"/>
      <c r="G77" s="518"/>
      <c r="H77" s="495">
        <v>48.923999999999999</v>
      </c>
      <c r="I77" s="495">
        <v>62.765000000000001</v>
      </c>
      <c r="J77" s="495">
        <v>80.081999999999994</v>
      </c>
      <c r="K77" s="495">
        <v>104.08499999999999</v>
      </c>
      <c r="L77" s="495">
        <v>120.313</v>
      </c>
      <c r="M77" s="495">
        <v>141.33799999999999</v>
      </c>
      <c r="N77" s="495">
        <v>164.577</v>
      </c>
      <c r="O77" s="495">
        <v>187.67400000000001</v>
      </c>
      <c r="P77" s="495">
        <v>215.499</v>
      </c>
      <c r="Q77" s="495">
        <v>254.45599999999999</v>
      </c>
      <c r="R77" s="495">
        <v>314.58699999999999</v>
      </c>
      <c r="S77" s="495">
        <v>324.27999999999997</v>
      </c>
      <c r="T77" s="495">
        <v>331.15100000000001</v>
      </c>
      <c r="U77" s="495">
        <v>386.14</v>
      </c>
      <c r="V77" s="728">
        <v>418.47800000000001</v>
      </c>
      <c r="W77" s="429">
        <f t="shared" si="53"/>
        <v>460.32580000000007</v>
      </c>
      <c r="X77" s="429">
        <f t="shared" si="53"/>
        <v>506.35838000000012</v>
      </c>
      <c r="Y77" s="429">
        <f t="shared" si="54"/>
        <v>556.99421800000016</v>
      </c>
      <c r="Z77" s="429">
        <f t="shared" si="54"/>
        <v>612.69363980000026</v>
      </c>
      <c r="AA77" s="429">
        <f t="shared" si="54"/>
        <v>673.96300378000035</v>
      </c>
      <c r="AB77" s="429">
        <f t="shared" si="54"/>
        <v>741.35930415800044</v>
      </c>
      <c r="AC77" s="429">
        <f t="shared" si="54"/>
        <v>815.49523457380053</v>
      </c>
      <c r="AD77" s="429">
        <f t="shared" si="54"/>
        <v>897.04475803118066</v>
      </c>
    </row>
    <row r="78" spans="1:30" ht="12" customHeight="1" outlineLevel="1">
      <c r="A78" s="517"/>
      <c r="B78" s="403"/>
      <c r="C78" s="425" t="s">
        <v>520</v>
      </c>
      <c r="D78" s="518"/>
      <c r="E78" s="518"/>
      <c r="F78" s="518"/>
      <c r="G78" s="518"/>
      <c r="H78" s="495">
        <v>50.243000000000002</v>
      </c>
      <c r="I78" s="495">
        <v>63.991</v>
      </c>
      <c r="J78" s="495">
        <v>83.013999999999996</v>
      </c>
      <c r="K78" s="495">
        <v>105.953</v>
      </c>
      <c r="L78" s="495">
        <v>121.316</v>
      </c>
      <c r="M78" s="495">
        <v>142.26599999999999</v>
      </c>
      <c r="N78" s="495">
        <v>166.68799999999999</v>
      </c>
      <c r="O78" s="495">
        <v>187.39699999999999</v>
      </c>
      <c r="P78" s="495">
        <v>215.67</v>
      </c>
      <c r="Q78" s="495">
        <v>263.17899999999997</v>
      </c>
      <c r="R78" s="495">
        <v>318.84500000000003</v>
      </c>
      <c r="S78" s="495">
        <v>315.69600000000003</v>
      </c>
      <c r="T78" s="495">
        <v>319.98200000000003</v>
      </c>
      <c r="U78" s="495">
        <v>380.82499999999999</v>
      </c>
      <c r="V78" s="728">
        <v>391.92500000000001</v>
      </c>
      <c r="W78" s="429">
        <f t="shared" si="53"/>
        <v>431.11750000000006</v>
      </c>
      <c r="X78" s="429">
        <f t="shared" si="53"/>
        <v>474.22925000000009</v>
      </c>
      <c r="Y78" s="429">
        <f t="shared" si="54"/>
        <v>521.65217500000017</v>
      </c>
      <c r="Z78" s="429">
        <f t="shared" si="54"/>
        <v>573.81739250000021</v>
      </c>
      <c r="AA78" s="429">
        <f t="shared" si="54"/>
        <v>631.19913175000033</v>
      </c>
      <c r="AB78" s="429">
        <f t="shared" si="54"/>
        <v>694.31904492500041</v>
      </c>
      <c r="AC78" s="429">
        <f t="shared" si="54"/>
        <v>763.75094941750046</v>
      </c>
      <c r="AD78" s="429">
        <f t="shared" si="54"/>
        <v>840.12604435925061</v>
      </c>
    </row>
    <row r="79" spans="1:30" ht="12" customHeight="1" outlineLevel="1">
      <c r="A79" s="517"/>
      <c r="B79" s="403"/>
      <c r="C79" s="425" t="s">
        <v>521</v>
      </c>
      <c r="D79" s="518"/>
      <c r="E79" s="518"/>
      <c r="F79" s="518"/>
      <c r="G79" s="518"/>
      <c r="H79" s="495">
        <v>49.823999999999998</v>
      </c>
      <c r="I79" s="495">
        <v>63.646000000000001</v>
      </c>
      <c r="J79" s="495">
        <v>81.671999999999997</v>
      </c>
      <c r="K79" s="495">
        <v>105.31699999999999</v>
      </c>
      <c r="L79" s="495">
        <v>118.69499999999999</v>
      </c>
      <c r="M79" s="495">
        <v>136.15100000000001</v>
      </c>
      <c r="N79" s="495">
        <v>156.56700000000001</v>
      </c>
      <c r="O79" s="495">
        <v>178.595</v>
      </c>
      <c r="P79" s="495">
        <v>206.83</v>
      </c>
      <c r="Q79" s="495">
        <v>252.749</v>
      </c>
      <c r="R79" s="495">
        <v>305.83</v>
      </c>
      <c r="S79" s="495">
        <v>290.57299999999998</v>
      </c>
      <c r="T79" s="495">
        <v>303.53100000000001</v>
      </c>
      <c r="U79" s="495">
        <v>361.81599999999997</v>
      </c>
      <c r="V79" s="728">
        <v>361.25700000000001</v>
      </c>
      <c r="W79" s="429">
        <f t="shared" si="53"/>
        <v>397.38270000000006</v>
      </c>
      <c r="X79" s="429">
        <f t="shared" si="53"/>
        <v>437.12097000000011</v>
      </c>
      <c r="Y79" s="429">
        <f t="shared" si="54"/>
        <v>480.83306700000014</v>
      </c>
      <c r="Z79" s="429">
        <f t="shared" si="54"/>
        <v>528.91637370000024</v>
      </c>
      <c r="AA79" s="429">
        <f t="shared" si="54"/>
        <v>581.80801107000036</v>
      </c>
      <c r="AB79" s="429">
        <f t="shared" si="54"/>
        <v>639.98881217700045</v>
      </c>
      <c r="AC79" s="429">
        <f t="shared" si="54"/>
        <v>703.9876933947005</v>
      </c>
      <c r="AD79" s="429">
        <f t="shared" si="54"/>
        <v>774.38646273417066</v>
      </c>
    </row>
    <row r="80" spans="1:30" ht="12" customHeight="1" outlineLevel="1">
      <c r="A80" s="517"/>
      <c r="B80" s="403"/>
      <c r="C80" s="425" t="s">
        <v>522</v>
      </c>
      <c r="D80" s="518"/>
      <c r="E80" s="518"/>
      <c r="F80" s="518"/>
      <c r="G80" s="518"/>
      <c r="H80" s="495">
        <v>49.488</v>
      </c>
      <c r="I80" s="495">
        <v>62.377000000000002</v>
      </c>
      <c r="J80" s="495">
        <v>81.06</v>
      </c>
      <c r="K80" s="495">
        <v>102.533</v>
      </c>
      <c r="L80" s="495">
        <v>112.899</v>
      </c>
      <c r="M80" s="495">
        <v>122.47799999999999</v>
      </c>
      <c r="N80" s="495">
        <v>145.506</v>
      </c>
      <c r="O80" s="495">
        <v>169.85599999999999</v>
      </c>
      <c r="P80" s="495">
        <v>195.00700000000001</v>
      </c>
      <c r="Q80" s="495">
        <v>235.08</v>
      </c>
      <c r="R80" s="495">
        <v>287.77199999999999</v>
      </c>
      <c r="S80" s="495">
        <v>270.33499999999998</v>
      </c>
      <c r="T80" s="495">
        <v>285.33699999999999</v>
      </c>
      <c r="U80" s="495">
        <v>339.041</v>
      </c>
      <c r="V80" s="728">
        <v>343.33699999999999</v>
      </c>
      <c r="W80" s="429">
        <f t="shared" si="53"/>
        <v>377.67070000000001</v>
      </c>
      <c r="X80" s="429">
        <f t="shared" si="53"/>
        <v>415.43777000000006</v>
      </c>
      <c r="Y80" s="429">
        <f t="shared" si="54"/>
        <v>456.98154700000009</v>
      </c>
      <c r="Z80" s="429">
        <f t="shared" si="54"/>
        <v>502.67970170000012</v>
      </c>
      <c r="AA80" s="429">
        <f t="shared" si="54"/>
        <v>552.94767187000014</v>
      </c>
      <c r="AB80" s="429">
        <f t="shared" si="54"/>
        <v>608.24243905700018</v>
      </c>
      <c r="AC80" s="429">
        <f t="shared" si="54"/>
        <v>669.06668296270027</v>
      </c>
      <c r="AD80" s="429">
        <f t="shared" si="54"/>
        <v>735.97335125897041</v>
      </c>
    </row>
    <row r="81" spans="1:30" ht="12" customHeight="1" outlineLevel="1">
      <c r="A81" s="517"/>
      <c r="B81" s="403"/>
      <c r="C81" s="425" t="s">
        <v>523</v>
      </c>
      <c r="D81" s="518"/>
      <c r="E81" s="518"/>
      <c r="F81" s="518"/>
      <c r="G81" s="518"/>
      <c r="H81" s="521">
        <v>48.283999999999999</v>
      </c>
      <c r="I81" s="521">
        <v>61.706000000000003</v>
      </c>
      <c r="J81" s="521">
        <v>78.088999999999999</v>
      </c>
      <c r="K81" s="521">
        <v>95.926000000000002</v>
      </c>
      <c r="L81" s="521">
        <v>99.381</v>
      </c>
      <c r="M81" s="521">
        <v>110.15</v>
      </c>
      <c r="N81" s="521">
        <v>137.01900000000001</v>
      </c>
      <c r="O81" s="521">
        <v>155.66999999999999</v>
      </c>
      <c r="P81" s="521">
        <v>178.44800000000001</v>
      </c>
      <c r="Q81" s="521">
        <v>214.91399999999999</v>
      </c>
      <c r="R81" s="521">
        <v>267.95100000000002</v>
      </c>
      <c r="S81" s="521">
        <v>251.404</v>
      </c>
      <c r="T81" s="521">
        <v>262.58600000000001</v>
      </c>
      <c r="U81" s="521">
        <v>310.30200000000002</v>
      </c>
      <c r="V81" s="729">
        <v>242.73500000000001</v>
      </c>
      <c r="W81" s="429">
        <f t="shared" si="53"/>
        <v>267.00850000000003</v>
      </c>
      <c r="X81" s="429">
        <f t="shared" si="53"/>
        <v>293.70935000000003</v>
      </c>
      <c r="Y81" s="429">
        <f t="shared" si="54"/>
        <v>323.08028500000006</v>
      </c>
      <c r="Z81" s="429">
        <f t="shared" si="54"/>
        <v>355.38831350000009</v>
      </c>
      <c r="AA81" s="429">
        <f t="shared" si="54"/>
        <v>390.92714485000016</v>
      </c>
      <c r="AB81" s="429">
        <f t="shared" si="54"/>
        <v>430.01985933500021</v>
      </c>
      <c r="AC81" s="429">
        <f t="shared" si="54"/>
        <v>473.02184526850027</v>
      </c>
      <c r="AD81" s="429">
        <f t="shared" si="54"/>
        <v>520.32402979535038</v>
      </c>
    </row>
    <row r="82" spans="1:30" outlineLevel="1">
      <c r="A82" s="517"/>
      <c r="B82" s="403"/>
      <c r="C82" s="518" t="s">
        <v>524</v>
      </c>
      <c r="D82" s="518"/>
      <c r="E82" s="518"/>
      <c r="F82" s="518"/>
      <c r="G82" s="518"/>
      <c r="H82" s="424">
        <f t="shared" ref="H82:P82" si="55">IF(ISERROR(H68/H71),"NA",H68/H71)</f>
        <v>48.283999999999999</v>
      </c>
      <c r="I82" s="424">
        <f t="shared" si="55"/>
        <v>61.706000000000003</v>
      </c>
      <c r="J82" s="424">
        <f t="shared" si="55"/>
        <v>78.088999999999999</v>
      </c>
      <c r="K82" s="424">
        <f t="shared" si="55"/>
        <v>95.926000000000002</v>
      </c>
      <c r="L82" s="424">
        <f t="shared" si="55"/>
        <v>99.381</v>
      </c>
      <c r="M82" s="424">
        <f t="shared" si="55"/>
        <v>110.15</v>
      </c>
      <c r="N82" s="424">
        <f t="shared" si="55"/>
        <v>137.01900000000001</v>
      </c>
      <c r="O82" s="424">
        <f t="shared" si="55"/>
        <v>155.66999999999999</v>
      </c>
      <c r="P82" s="424">
        <f t="shared" si="55"/>
        <v>178.44800000000001</v>
      </c>
      <c r="Q82" s="424">
        <f t="shared" ref="Q82:V82" si="56">IF(ISERROR(Q68/Q71),"NA",Q68/Q71)</f>
        <v>214.91399999999999</v>
      </c>
      <c r="R82" s="429">
        <f t="shared" si="56"/>
        <v>267.95100000000002</v>
      </c>
      <c r="S82" s="429">
        <f t="shared" si="56"/>
        <v>251.404</v>
      </c>
      <c r="T82" s="429">
        <f t="shared" si="56"/>
        <v>262.58600000000001</v>
      </c>
      <c r="U82" s="429">
        <f t="shared" si="56"/>
        <v>310.30200000000002</v>
      </c>
      <c r="V82" s="429">
        <f t="shared" si="56"/>
        <v>242.73500000000001</v>
      </c>
      <c r="W82" s="429">
        <f t="shared" si="53"/>
        <v>267.00850000000003</v>
      </c>
      <c r="X82" s="429">
        <f t="shared" si="53"/>
        <v>293.70935000000003</v>
      </c>
      <c r="Y82" s="429">
        <f t="shared" si="54"/>
        <v>323.08028500000006</v>
      </c>
      <c r="Z82" s="429">
        <f t="shared" si="54"/>
        <v>355.38831350000009</v>
      </c>
      <c r="AA82" s="429">
        <f t="shared" si="54"/>
        <v>390.92714485000016</v>
      </c>
      <c r="AB82" s="429">
        <f t="shared" si="54"/>
        <v>430.01985933500021</v>
      </c>
      <c r="AC82" s="429">
        <f t="shared" si="54"/>
        <v>473.02184526850027</v>
      </c>
      <c r="AD82" s="429">
        <f t="shared" si="54"/>
        <v>520.32402979535038</v>
      </c>
    </row>
    <row r="83" spans="1:30" outlineLevel="1">
      <c r="A83" s="517"/>
      <c r="B83" s="403"/>
      <c r="C83" s="518" t="s">
        <v>525</v>
      </c>
      <c r="D83" s="518"/>
      <c r="E83" s="518"/>
      <c r="F83" s="518"/>
      <c r="G83" s="518"/>
      <c r="H83" s="424">
        <f>IF(ISERROR(IF(SUM(H$82:H82)&gt;=H$68,0,H$68/H$71)),"NA",IF(SUM(H$82:H82)&gt;=H$68,0,H$68/H$71))</f>
        <v>48.283999999999999</v>
      </c>
      <c r="I83" s="424">
        <f>IF(ISERROR(IF(SUM(I$82:I82)&gt;=I$68,0,I$68/I$71)),"NA",IF(SUM(I$82:I82)&gt;=I$68,0,I$68/I$71))</f>
        <v>61.706000000000003</v>
      </c>
      <c r="J83" s="424">
        <f>IF(ISERROR(IF(SUM(J$82:J82)&gt;=J$68,0,J$68/J$71)),"NA",IF(SUM(J$82:J82)&gt;=J$68,0,J$68/J$71))</f>
        <v>78.088999999999999</v>
      </c>
      <c r="K83" s="424">
        <f>IF(ISERROR(IF(SUM(K$82:K82)&gt;=K$68,0,K$68/K$71)),"NA",IF(SUM(K$82:K82)&gt;=K$68,0,K$68/K$71))</f>
        <v>95.926000000000002</v>
      </c>
      <c r="L83" s="424">
        <f>IF(ISERROR(IF(SUM(L$82:L82)&gt;=L$68,0,L$68/L$71)),"NA",IF(SUM(L$82:L82)&gt;=L$68,0,L$68/L$71))</f>
        <v>99.381</v>
      </c>
      <c r="M83" s="424">
        <f>IF(ISERROR(IF(SUM(M$82:M82)&gt;=M$68,0,M$68/M$71)),"NA",IF(SUM(M$82:M82)&gt;=M$68,0,M$68/M$71))</f>
        <v>110.15</v>
      </c>
      <c r="N83" s="424">
        <f>IF(ISERROR(IF(SUM(N$82:N82)&gt;=N$68,0,N$68/N$71)),"NA",IF(SUM(N$82:N82)&gt;=N$68,0,N$68/N$71))</f>
        <v>137.01900000000001</v>
      </c>
      <c r="O83" s="424">
        <f>IF(ISERROR(IF(SUM(O$82:O82)&gt;=O$68,0,O$68/O$71)),"NA",IF(SUM(O$82:O82)&gt;=O$68,0,O$68/O$71))</f>
        <v>155.66999999999999</v>
      </c>
      <c r="P83" s="424">
        <f>IF(ISERROR(IF(SUM(P$82:P82)&gt;=P$68,0,P$68/P$71)),"NA",IF(SUM(P$82:P82)&gt;=P$68,0,P$68/P$71))</f>
        <v>178.44800000000001</v>
      </c>
      <c r="Q83" s="424">
        <f>IF(ISERROR(IF(SUM(Q$82:Q82)&gt;=Q$68,0,Q$68/Q$71)),"NA",IF(SUM(Q$82:Q82)&gt;=Q$68,0,Q$68/Q$71))</f>
        <v>214.91399999999999</v>
      </c>
      <c r="R83" s="429">
        <f>IF(ISERROR(IF(SUM(R$82:R82)&gt;=R$68,0,R$68/R$71)),"NA",IF(SUM(R$82:R82)&gt;=R$68,0,R$68/R$71))</f>
        <v>267.95100000000002</v>
      </c>
      <c r="S83" s="429">
        <f>IF(ISERROR(IF(SUM(S$82:S82)&gt;=S$68,0,S$68/S$71)),"NA",IF(SUM(S$82:S82)&gt;=S$68,0,S$68/S$71))</f>
        <v>251.404</v>
      </c>
      <c r="T83" s="429">
        <f>IF(ISERROR(IF(SUM(T$82:T82)&gt;=T$68,0,T$68/T$71)),"NA",IF(SUM(T$82:T82)&gt;=T$68,0,T$68/T$71))</f>
        <v>262.58600000000001</v>
      </c>
      <c r="U83" s="429">
        <f>IF(ISERROR(IF(SUM(U$82:U82)&gt;=U$68,0,U$68/U$71)),"NA",IF(SUM(U$82:U82)&gt;=U$68,0,U$68/U$71))</f>
        <v>310.30200000000002</v>
      </c>
      <c r="V83" s="429">
        <f>IF(ISERROR(IF(SUM(V$82:V82)&gt;=V$68,0,V$68/V$71)),"NA",IF(SUM(V$82:V82)&gt;=V$68,0,V$68/V$71))</f>
        <v>242.73500000000001</v>
      </c>
      <c r="W83" s="429">
        <f t="shared" si="53"/>
        <v>267.00850000000003</v>
      </c>
      <c r="X83" s="429">
        <f t="shared" si="53"/>
        <v>293.70935000000003</v>
      </c>
      <c r="Y83" s="429">
        <f t="shared" si="54"/>
        <v>323.08028500000006</v>
      </c>
      <c r="Z83" s="429">
        <f t="shared" si="54"/>
        <v>355.38831350000009</v>
      </c>
      <c r="AA83" s="429">
        <f t="shared" si="54"/>
        <v>390.92714485000016</v>
      </c>
      <c r="AB83" s="429">
        <f t="shared" si="54"/>
        <v>430.01985933500021</v>
      </c>
      <c r="AC83" s="429">
        <f t="shared" si="54"/>
        <v>473.02184526850027</v>
      </c>
      <c r="AD83" s="429">
        <f t="shared" si="54"/>
        <v>520.32402979535038</v>
      </c>
    </row>
    <row r="84" spans="1:30" outlineLevel="1">
      <c r="A84" s="517"/>
      <c r="B84" s="403"/>
      <c r="C84" s="518" t="s">
        <v>526</v>
      </c>
      <c r="D84" s="518"/>
      <c r="E84" s="518"/>
      <c r="F84" s="518"/>
      <c r="G84" s="518"/>
      <c r="H84" s="424">
        <f>IF(ISERROR(IF(SUM(H$82:H83)&gt;=H$68,0,H$68/H$71)),"NA",IF(SUM(H$82:H83)&gt;=H$68,0,H$68/H$71))</f>
        <v>48.283999999999999</v>
      </c>
      <c r="I84" s="424">
        <f>IF(ISERROR(IF(SUM(I$82:I83)&gt;=I$68,0,I$68/I$71)),"NA",IF(SUM(I$82:I83)&gt;=I$68,0,I$68/I$71))</f>
        <v>61.706000000000003</v>
      </c>
      <c r="J84" s="424">
        <f>IF(ISERROR(IF(SUM(J$82:J83)&gt;=J$68,0,J$68/J$71)),"NA",IF(SUM(J$82:J83)&gt;=J$68,0,J$68/J$71))</f>
        <v>78.088999999999999</v>
      </c>
      <c r="K84" s="424">
        <f>IF(ISERROR(IF(SUM(K$82:K83)&gt;=K$68,0,K$68/K$71)),"NA",IF(SUM(K$82:K83)&gt;=K$68,0,K$68/K$71))</f>
        <v>95.926000000000002</v>
      </c>
      <c r="L84" s="424">
        <f>IF(ISERROR(IF(SUM(L$82:L83)&gt;=L$68,0,L$68/L$71)),"NA",IF(SUM(L$82:L83)&gt;=L$68,0,L$68/L$71))</f>
        <v>99.381</v>
      </c>
      <c r="M84" s="424">
        <f>IF(ISERROR(IF(SUM(M$82:M83)&gt;=M$68,0,M$68/M$71)),"NA",IF(SUM(M$82:M83)&gt;=M$68,0,M$68/M$71))</f>
        <v>110.15</v>
      </c>
      <c r="N84" s="424">
        <f>IF(ISERROR(IF(SUM(N$82:N83)&gt;=N$68,0,N$68/N$71)),"NA",IF(SUM(N$82:N83)&gt;=N$68,0,N$68/N$71))</f>
        <v>137.01900000000001</v>
      </c>
      <c r="O84" s="424">
        <f>IF(ISERROR(IF(SUM(O$82:O83)&gt;=O$68,0,O$68/O$71)),"NA",IF(SUM(O$82:O83)&gt;=O$68,0,O$68/O$71))</f>
        <v>155.66999999999999</v>
      </c>
      <c r="P84" s="424">
        <f>IF(ISERROR(IF(SUM(P$82:P83)&gt;=P$68,0,P$68/P$71)),"NA",IF(SUM(P$82:P83)&gt;=P$68,0,P$68/P$71))</f>
        <v>178.44800000000001</v>
      </c>
      <c r="Q84" s="424">
        <f>IF(ISERROR(IF(SUM(Q$82:Q83)&gt;=Q$68,0,Q$68/Q$71)),"NA",IF(SUM(Q$82:Q83)&gt;=Q$68,0,Q$68/Q$71))</f>
        <v>214.91399999999999</v>
      </c>
      <c r="R84" s="429">
        <f>IF(ISERROR(IF(SUM(R$82:R83)&gt;=R$68,0,R$68/R$71)),"NA",IF(SUM(R$82:R83)&gt;=R$68,0,R$68/R$71))</f>
        <v>267.95100000000002</v>
      </c>
      <c r="S84" s="429">
        <f>IF(ISERROR(IF(SUM(S$82:S83)&gt;=S$68,0,S$68/S$71)),"NA",IF(SUM(S$82:S83)&gt;=S$68,0,S$68/S$71))</f>
        <v>251.404</v>
      </c>
      <c r="T84" s="429">
        <f>IF(ISERROR(IF(SUM(T$82:T83)&gt;=T$68,0,T$68/T$71)),"NA",IF(SUM(T$82:T83)&gt;=T$68,0,T$68/T$71))</f>
        <v>262.58600000000001</v>
      </c>
      <c r="U84" s="429">
        <f>IF(ISERROR(IF(SUM(U$82:U83)&gt;=U$68,0,U$68/U$71)),"NA",IF(SUM(U$82:U83)&gt;=U$68,0,U$68/U$71))</f>
        <v>310.30200000000002</v>
      </c>
      <c r="V84" s="429">
        <f>IF(ISERROR(IF(SUM(V$82:V83)&gt;=V$68,0,V$68/V$71)),"NA",IF(SUM(V$82:V83)&gt;=V$68,0,V$68/V$71))</f>
        <v>242.73500000000001</v>
      </c>
      <c r="W84" s="429">
        <f t="shared" si="53"/>
        <v>267.00850000000003</v>
      </c>
      <c r="X84" s="429">
        <f t="shared" si="53"/>
        <v>293.70935000000003</v>
      </c>
      <c r="Y84" s="429">
        <f t="shared" si="54"/>
        <v>323.08028500000006</v>
      </c>
      <c r="Z84" s="429">
        <f t="shared" si="54"/>
        <v>355.38831350000009</v>
      </c>
      <c r="AA84" s="429">
        <f t="shared" si="54"/>
        <v>390.92714485000016</v>
      </c>
      <c r="AB84" s="429">
        <f t="shared" si="54"/>
        <v>430.01985933500021</v>
      </c>
      <c r="AC84" s="429">
        <f t="shared" si="54"/>
        <v>473.02184526850027</v>
      </c>
      <c r="AD84" s="429">
        <f t="shared" si="54"/>
        <v>520.32402979535038</v>
      </c>
    </row>
    <row r="85" spans="1:30" outlineLevel="1">
      <c r="A85" s="517"/>
      <c r="B85" s="403"/>
      <c r="C85" s="518" t="s">
        <v>528</v>
      </c>
      <c r="D85" s="518"/>
      <c r="E85" s="518"/>
      <c r="F85" s="518"/>
      <c r="G85" s="518"/>
      <c r="H85" s="424">
        <f>IF(ISERROR(IF(SUM(H$82:H84)&gt;=H$68,0,H$68/H$71)),"NA",IF(SUM(H$82:H84)&gt;=H$68,0,H$68/H$71))</f>
        <v>48.283999999999999</v>
      </c>
      <c r="I85" s="424">
        <f>IF(ISERROR(IF(SUM(I$82:I84)&gt;=I$68,0,I$68/I$71)),"NA",IF(SUM(I$82:I84)&gt;=I$68,0,I$68/I$71))</f>
        <v>61.706000000000003</v>
      </c>
      <c r="J85" s="424">
        <f>IF(ISERROR(IF(SUM(J$82:J84)&gt;=J$68,0,J$68/J$71)),"NA",IF(SUM(J$82:J84)&gt;=J$68,0,J$68/J$71))</f>
        <v>78.088999999999999</v>
      </c>
      <c r="K85" s="424">
        <f>IF(ISERROR(IF(SUM(K$82:K84)&gt;=K$68,0,K$68/K$71)),"NA",IF(SUM(K$82:K84)&gt;=K$68,0,K$68/K$71))</f>
        <v>95.926000000000002</v>
      </c>
      <c r="L85" s="424">
        <f>IF(ISERROR(IF(SUM(L$82:L84)&gt;=L$68,0,L$68/L$71)),"NA",IF(SUM(L$82:L84)&gt;=L$68,0,L$68/L$71))</f>
        <v>99.381</v>
      </c>
      <c r="M85" s="424">
        <f>IF(ISERROR(IF(SUM(M$82:M84)&gt;=M$68,0,M$68/M$71)),"NA",IF(SUM(M$82:M84)&gt;=M$68,0,M$68/M$71))</f>
        <v>110.15</v>
      </c>
      <c r="N85" s="424">
        <f>IF(ISERROR(IF(SUM(N$82:N84)&gt;=N$68,0,N$68/N$71)),"NA",IF(SUM(N$82:N84)&gt;=N$68,0,N$68/N$71))</f>
        <v>137.01900000000001</v>
      </c>
      <c r="O85" s="424">
        <f>IF(ISERROR(IF(SUM(O$82:O84)&gt;=O$68,0,O$68/O$71)),"NA",IF(SUM(O$82:O84)&gt;=O$68,0,O$68/O$71))</f>
        <v>155.66999999999999</v>
      </c>
      <c r="P85" s="424">
        <f>IF(ISERROR(IF(SUM(P$82:P84)&gt;=P$68,0,P$68/P$71)),"NA",IF(SUM(P$82:P84)&gt;=P$68,0,P$68/P$71))</f>
        <v>178.44800000000001</v>
      </c>
      <c r="Q85" s="424">
        <f>IF(ISERROR(IF(SUM(Q$82:Q84)&gt;=Q$68,0,Q$68/Q$71)),"NA",IF(SUM(Q$82:Q84)&gt;=Q$68,0,Q$68/Q$71))</f>
        <v>214.91399999999999</v>
      </c>
      <c r="R85" s="429">
        <f>IF(ISERROR(IF(SUM(R$82:R84)&gt;=R$68,0,R$68/R$71)),"NA",IF(SUM(R$82:R84)&gt;=R$68,0,R$68/R$71))</f>
        <v>267.95100000000002</v>
      </c>
      <c r="S85" s="429">
        <f>IF(ISERROR(IF(SUM(S$82:S84)&gt;=S$68,0,S$68/S$71)),"NA",IF(SUM(S$82:S84)&gt;=S$68,0,S$68/S$71))</f>
        <v>251.404</v>
      </c>
      <c r="T85" s="429">
        <f>IF(ISERROR(IF(SUM(T$82:T84)&gt;=T$68,0,T$68/T$71)),"NA",IF(SUM(T$82:T84)&gt;=T$68,0,T$68/T$71))</f>
        <v>262.58600000000001</v>
      </c>
      <c r="U85" s="429">
        <f>IF(ISERROR(IF(SUM(U$82:U84)&gt;=U$68,0,U$68/U$71)),"NA",IF(SUM(U$82:U84)&gt;=U$68,0,U$68/U$71))</f>
        <v>310.30200000000002</v>
      </c>
      <c r="V85" s="429">
        <f>IF(ISERROR(IF(SUM(V$82:V84)&gt;=V$68,0,V$68/V$71)),"NA",IF(SUM(V$82:V84)&gt;=V$68,0,V$68/V$71))</f>
        <v>242.73500000000001</v>
      </c>
      <c r="W85" s="429">
        <f t="shared" si="53"/>
        <v>267.00850000000003</v>
      </c>
      <c r="X85" s="429">
        <f t="shared" si="53"/>
        <v>293.70935000000003</v>
      </c>
      <c r="Y85" s="429">
        <f t="shared" si="54"/>
        <v>323.08028500000006</v>
      </c>
      <c r="Z85" s="429">
        <f t="shared" si="54"/>
        <v>355.38831350000009</v>
      </c>
      <c r="AA85" s="429">
        <f t="shared" si="54"/>
        <v>390.92714485000016</v>
      </c>
      <c r="AB85" s="429">
        <f t="shared" si="54"/>
        <v>430.01985933500021</v>
      </c>
      <c r="AC85" s="429">
        <f t="shared" si="54"/>
        <v>473.02184526850027</v>
      </c>
      <c r="AD85" s="429">
        <f t="shared" si="54"/>
        <v>520.32402979535038</v>
      </c>
    </row>
    <row r="86" spans="1:30" outlineLevel="1">
      <c r="A86" s="517"/>
      <c r="B86" s="403"/>
      <c r="C86" s="518" t="s">
        <v>529</v>
      </c>
      <c r="D86" s="518"/>
      <c r="E86" s="518"/>
      <c r="F86" s="518"/>
      <c r="G86" s="518"/>
      <c r="H86" s="424">
        <f>IF(ISERROR(IF(SUM(H$82:H85)&gt;=H$68,0,H$68/H$71)),"NA",IF(SUM(H$82:H85)&gt;=H$68,0,H$68/H$71))</f>
        <v>0</v>
      </c>
      <c r="I86" s="424">
        <f>IF(ISERROR(IF(SUM(I$82:I85)&gt;=I$68,0,I$68/I$71)),"NA",IF(SUM(I$82:I85)&gt;=I$68,0,I$68/I$71))</f>
        <v>0</v>
      </c>
      <c r="J86" s="424">
        <f>IF(ISERROR(IF(SUM(J$82:J85)&gt;=J$68,0,J$68/J$71)),"NA",IF(SUM(J$82:J85)&gt;=J$68,0,J$68/J$71))</f>
        <v>0</v>
      </c>
      <c r="K86" s="424">
        <f>IF(ISERROR(IF(SUM(K$82:K85)&gt;=K$68,0,K$68/K$71)),"NA",IF(SUM(K$82:K85)&gt;=K$68,0,K$68/K$71))</f>
        <v>0</v>
      </c>
      <c r="L86" s="424">
        <f>IF(ISERROR(IF(SUM(L$82:L85)&gt;=L$68,0,L$68/L$71)),"NA",IF(SUM(L$82:L85)&gt;=L$68,0,L$68/L$71))</f>
        <v>0</v>
      </c>
      <c r="M86" s="424">
        <f>IF(ISERROR(IF(SUM(M$82:M85)&gt;=M$68,0,M$68/M$71)),"NA",IF(SUM(M$82:M85)&gt;=M$68,0,M$68/M$71))</f>
        <v>0</v>
      </c>
      <c r="N86" s="424">
        <f>IF(ISERROR(IF(SUM(N$82:N85)&gt;=N$68,0,N$68/N$71)),"NA",IF(SUM(N$82:N85)&gt;=N$68,0,N$68/N$71))</f>
        <v>0</v>
      </c>
      <c r="O86" s="424">
        <f>IF(ISERROR(IF(SUM(O$82:O85)&gt;=O$68,0,O$68/O$71)),"NA",IF(SUM(O$82:O85)&gt;=O$68,0,O$68/O$71))</f>
        <v>0</v>
      </c>
      <c r="P86" s="424">
        <f>IF(ISERROR(IF(SUM(P$82:P85)&gt;=P$68,0,P$68/P$71)),"NA",IF(SUM(P$82:P85)&gt;=P$68,0,P$68/P$71))</f>
        <v>0</v>
      </c>
      <c r="Q86" s="424">
        <f>IF(ISERROR(IF(SUM(Q$82:Q85)&gt;=Q$68,0,Q$68/Q$71)),"NA",IF(SUM(Q$82:Q85)&gt;=Q$68,0,Q$68/Q$71))</f>
        <v>214.91399999999999</v>
      </c>
      <c r="R86" s="429">
        <f>IF(ISERROR(IF(SUM(R$82:R85)&gt;=R$68,0,R$68/R$71)),"NA",IF(SUM(R$82:R85)&gt;=R$68,0,R$68/R$71))</f>
        <v>267.95100000000002</v>
      </c>
      <c r="S86" s="429">
        <f>IF(ISERROR(IF(SUM(S$82:S85)&gt;=S$68,0,S$68/S$71)),"NA",IF(SUM(S$82:S85)&gt;=S$68,0,S$68/S$71))</f>
        <v>251.404</v>
      </c>
      <c r="T86" s="429">
        <f>IF(ISERROR(IF(SUM(T$82:T85)&gt;=T$68,0,T$68/T$71)),"NA",IF(SUM(T$82:T85)&gt;=T$68,0,T$68/T$71))</f>
        <v>262.58600000000001</v>
      </c>
      <c r="U86" s="429">
        <f>IF(ISERROR(IF(SUM(U$82:U85)&gt;=U$68,0,U$68/U$71)),"NA",IF(SUM(U$82:U85)&gt;=U$68,0,U$68/U$71))</f>
        <v>310.30200000000002</v>
      </c>
      <c r="V86" s="429">
        <f>IF(ISERROR(IF(SUM(V$82:V85)&gt;=V$68,0,V$68/V$71)),"NA",IF(SUM(V$82:V85)&gt;=V$68,0,V$68/V$71))</f>
        <v>0</v>
      </c>
      <c r="W86" s="429">
        <f t="shared" ref="W86:X95" si="57">V86*(1+W$64)</f>
        <v>0</v>
      </c>
      <c r="X86" s="429">
        <f t="shared" si="57"/>
        <v>0</v>
      </c>
      <c r="Y86" s="429">
        <f t="shared" si="54"/>
        <v>0</v>
      </c>
      <c r="Z86" s="429">
        <f t="shared" si="54"/>
        <v>0</v>
      </c>
      <c r="AA86" s="429">
        <f t="shared" si="54"/>
        <v>0</v>
      </c>
      <c r="AB86" s="429">
        <f t="shared" si="54"/>
        <v>0</v>
      </c>
      <c r="AC86" s="429">
        <f t="shared" si="54"/>
        <v>0</v>
      </c>
      <c r="AD86" s="429">
        <f t="shared" si="54"/>
        <v>0</v>
      </c>
    </row>
    <row r="87" spans="1:30" outlineLevel="1">
      <c r="A87" s="517"/>
      <c r="B87" s="403"/>
      <c r="C87" s="518" t="s">
        <v>530</v>
      </c>
      <c r="D87" s="518"/>
      <c r="E87" s="518"/>
      <c r="F87" s="518"/>
      <c r="G87" s="518"/>
      <c r="H87" s="424">
        <f>IF(ISERROR(IF(SUM(H$82:H86)&gt;=H$68,0,H$68/H$71)),"NA",IF(SUM(H$82:H86)&gt;=H$68,0,H$68/H$71))</f>
        <v>0</v>
      </c>
      <c r="I87" s="424">
        <f>IF(ISERROR(IF(SUM(I$82:I86)&gt;=I$68,0,I$68/I$71)),"NA",IF(SUM(I$82:I86)&gt;=I$68,0,I$68/I$71))</f>
        <v>0</v>
      </c>
      <c r="J87" s="424">
        <f>IF(ISERROR(IF(SUM(J$82:J86)&gt;=J$68,0,J$68/J$71)),"NA",IF(SUM(J$82:J86)&gt;=J$68,0,J$68/J$71))</f>
        <v>0</v>
      </c>
      <c r="K87" s="424">
        <f>IF(ISERROR(IF(SUM(K$82:K86)&gt;=K$68,0,K$68/K$71)),"NA",IF(SUM(K$82:K86)&gt;=K$68,0,K$68/K$71))</f>
        <v>0</v>
      </c>
      <c r="L87" s="424">
        <f>IF(ISERROR(IF(SUM(L$82:L86)&gt;=L$68,0,L$68/L$71)),"NA",IF(SUM(L$82:L86)&gt;=L$68,0,L$68/L$71))</f>
        <v>0</v>
      </c>
      <c r="M87" s="424">
        <f>IF(ISERROR(IF(SUM(M$82:M86)&gt;=M$68,0,M$68/M$71)),"NA",IF(SUM(M$82:M86)&gt;=M$68,0,M$68/M$71))</f>
        <v>0</v>
      </c>
      <c r="N87" s="424">
        <f>IF(ISERROR(IF(SUM(N$82:N86)&gt;=N$68,0,N$68/N$71)),"NA",IF(SUM(N$82:N86)&gt;=N$68,0,N$68/N$71))</f>
        <v>0</v>
      </c>
      <c r="O87" s="424">
        <f>IF(ISERROR(IF(SUM(O$82:O86)&gt;=O$68,0,O$68/O$71)),"NA",IF(SUM(O$82:O86)&gt;=O$68,0,O$68/O$71))</f>
        <v>0</v>
      </c>
      <c r="P87" s="424">
        <f>IF(ISERROR(IF(SUM(P$82:P86)&gt;=P$68,0,P$68/P$71)),"NA",IF(SUM(P$82:P86)&gt;=P$68,0,P$68/P$71))</f>
        <v>0</v>
      </c>
      <c r="Q87" s="424">
        <f>IF(ISERROR(IF(SUM(Q$82:Q86)&gt;=Q$68,0,Q$68/Q$71)),"NA",IF(SUM(Q$82:Q86)&gt;=Q$68,0,Q$68/Q$71))</f>
        <v>0</v>
      </c>
      <c r="R87" s="429">
        <f>IF(ISERROR(IF(SUM(R$82:R86)&gt;=R$68,0,R$68/R$71)),"NA",IF(SUM(R$82:R86)&gt;=R$68,0,R$68/R$71))</f>
        <v>0</v>
      </c>
      <c r="S87" s="429">
        <f>IF(ISERROR(IF(SUM(S$82:S86)&gt;=S$68,0,S$68/S$71)),"NA",IF(SUM(S$82:S86)&gt;=S$68,0,S$68/S$71))</f>
        <v>0</v>
      </c>
      <c r="T87" s="429">
        <f>IF(ISERROR(IF(SUM(T$82:T86)&gt;=T$68,0,T$68/T$71)),"NA",IF(SUM(T$82:T86)&gt;=T$68,0,T$68/T$71))</f>
        <v>0</v>
      </c>
      <c r="U87" s="429">
        <f>IF(ISERROR(IF(SUM(U$82:U86)&gt;=U$68,0,U$68/U$71)),"NA",IF(SUM(U$82:U86)&gt;=U$68,0,U$68/U$71))</f>
        <v>0</v>
      </c>
      <c r="V87" s="429">
        <f>IF(ISERROR(IF(SUM(V$82:V86)&gt;=V$68,0,V$68/V$71)),"NA",IF(SUM(V$82:V86)&gt;=V$68,0,V$68/V$71))</f>
        <v>0</v>
      </c>
      <c r="W87" s="429">
        <f t="shared" si="57"/>
        <v>0</v>
      </c>
      <c r="X87" s="429">
        <f t="shared" si="57"/>
        <v>0</v>
      </c>
      <c r="Y87" s="429">
        <f t="shared" si="54"/>
        <v>0</v>
      </c>
      <c r="Z87" s="429">
        <f t="shared" si="54"/>
        <v>0</v>
      </c>
      <c r="AA87" s="429">
        <f t="shared" si="54"/>
        <v>0</v>
      </c>
      <c r="AB87" s="429">
        <f t="shared" si="54"/>
        <v>0</v>
      </c>
      <c r="AC87" s="429">
        <f t="shared" si="54"/>
        <v>0</v>
      </c>
      <c r="AD87" s="429">
        <f t="shared" si="54"/>
        <v>0</v>
      </c>
    </row>
    <row r="88" spans="1:30" outlineLevel="1">
      <c r="A88" s="517"/>
      <c r="B88" s="403"/>
      <c r="C88" s="518" t="s">
        <v>531</v>
      </c>
      <c r="D88" s="518"/>
      <c r="E88" s="518"/>
      <c r="F88" s="518"/>
      <c r="G88" s="518"/>
      <c r="H88" s="424">
        <f>IF(ISERROR(IF(SUM(H$82:H87)&gt;=H$68,0,H$68/H$71)),"NA",IF(SUM(H$82:H87)&gt;=H$68,0,H$68/H$71))</f>
        <v>0</v>
      </c>
      <c r="I88" s="424">
        <f>IF(ISERROR(IF(SUM(I$82:I87)&gt;=I$68,0,I$68/I$71)),"NA",IF(SUM(I$82:I87)&gt;=I$68,0,I$68/I$71))</f>
        <v>0</v>
      </c>
      <c r="J88" s="424">
        <f>IF(ISERROR(IF(SUM(J$82:J87)&gt;=J$68,0,J$68/J$71)),"NA",IF(SUM(J$82:J87)&gt;=J$68,0,J$68/J$71))</f>
        <v>0</v>
      </c>
      <c r="K88" s="424">
        <f>IF(ISERROR(IF(SUM(K$82:K87)&gt;=K$68,0,K$68/K$71)),"NA",IF(SUM(K$82:K87)&gt;=K$68,0,K$68/K$71))</f>
        <v>0</v>
      </c>
      <c r="L88" s="424">
        <f>IF(ISERROR(IF(SUM(L$82:L87)&gt;=L$68,0,L$68/L$71)),"NA",IF(SUM(L$82:L87)&gt;=L$68,0,L$68/L$71))</f>
        <v>0</v>
      </c>
      <c r="M88" s="424">
        <f>IF(ISERROR(IF(SUM(M$82:M87)&gt;=M$68,0,M$68/M$71)),"NA",IF(SUM(M$82:M87)&gt;=M$68,0,M$68/M$71))</f>
        <v>0</v>
      </c>
      <c r="N88" s="424">
        <f>IF(ISERROR(IF(SUM(N$82:N87)&gt;=N$68,0,N$68/N$71)),"NA",IF(SUM(N$82:N87)&gt;=N$68,0,N$68/N$71))</f>
        <v>0</v>
      </c>
      <c r="O88" s="424">
        <f>IF(ISERROR(IF(SUM(O$82:O87)&gt;=O$68,0,O$68/O$71)),"NA",IF(SUM(O$82:O87)&gt;=O$68,0,O$68/O$71))</f>
        <v>0</v>
      </c>
      <c r="P88" s="424">
        <f>IF(ISERROR(IF(SUM(P$82:P87)&gt;=P$68,0,P$68/P$71)),"NA",IF(SUM(P$82:P87)&gt;=P$68,0,P$68/P$71))</f>
        <v>0</v>
      </c>
      <c r="Q88" s="424">
        <f>IF(ISERROR(IF(SUM(Q$82:Q87)&gt;=Q$68,0,Q$68/Q$71)),"NA",IF(SUM(Q$82:Q87)&gt;=Q$68,0,Q$68/Q$71))</f>
        <v>0</v>
      </c>
      <c r="R88" s="429">
        <f>IF(ISERROR(IF(SUM(R$82:R87)&gt;=R$68,0,R$68/R$71)),"NA",IF(SUM(R$82:R87)&gt;=R$68,0,R$68/R$71))</f>
        <v>0</v>
      </c>
      <c r="S88" s="429">
        <f>IF(ISERROR(IF(SUM(S$82:S87)&gt;=S$68,0,S$68/S$71)),"NA",IF(SUM(S$82:S87)&gt;=S$68,0,S$68/S$71))</f>
        <v>0</v>
      </c>
      <c r="T88" s="429">
        <f>IF(ISERROR(IF(SUM(T$82:T87)&gt;=T$68,0,T$68/T$71)),"NA",IF(SUM(T$82:T87)&gt;=T$68,0,T$68/T$71))</f>
        <v>0</v>
      </c>
      <c r="U88" s="429">
        <f>IF(ISERROR(IF(SUM(U$82:U87)&gt;=U$68,0,U$68/U$71)),"NA",IF(SUM(U$82:U87)&gt;=U$68,0,U$68/U$71))</f>
        <v>0</v>
      </c>
      <c r="V88" s="429">
        <f>IF(ISERROR(IF(SUM(V$82:V87)&gt;=V$68,0,V$68/V$71)),"NA",IF(SUM(V$82:V87)&gt;=V$68,0,V$68/V$71))</f>
        <v>0</v>
      </c>
      <c r="W88" s="429">
        <f t="shared" si="57"/>
        <v>0</v>
      </c>
      <c r="X88" s="429">
        <f t="shared" si="57"/>
        <v>0</v>
      </c>
      <c r="Y88" s="429">
        <f t="shared" si="54"/>
        <v>0</v>
      </c>
      <c r="Z88" s="429">
        <f t="shared" si="54"/>
        <v>0</v>
      </c>
      <c r="AA88" s="429">
        <f t="shared" si="54"/>
        <v>0</v>
      </c>
      <c r="AB88" s="429">
        <f t="shared" si="54"/>
        <v>0</v>
      </c>
      <c r="AC88" s="429">
        <f t="shared" si="54"/>
        <v>0</v>
      </c>
      <c r="AD88" s="429">
        <f t="shared" si="54"/>
        <v>0</v>
      </c>
    </row>
    <row r="89" spans="1:30" outlineLevel="1">
      <c r="A89" s="517"/>
      <c r="B89" s="403"/>
      <c r="C89" s="518" t="s">
        <v>532</v>
      </c>
      <c r="D89" s="518"/>
      <c r="E89" s="518"/>
      <c r="F89" s="518"/>
      <c r="G89" s="518"/>
      <c r="H89" s="424">
        <f>IF(ISERROR(IF(SUM(H$82:H88)&gt;=H$68,0,H$68/H$71)),"NA",IF(SUM(H$82:H88)&gt;=H$68,0,H$68/H$71))</f>
        <v>0</v>
      </c>
      <c r="I89" s="424">
        <f>IF(ISERROR(IF(SUM(I$82:I88)&gt;=I$68,0,I$68/I$71)),"NA",IF(SUM(I$82:I88)&gt;=I$68,0,I$68/I$71))</f>
        <v>0</v>
      </c>
      <c r="J89" s="424">
        <f>IF(ISERROR(IF(SUM(J$82:J88)&gt;=J$68,0,J$68/J$71)),"NA",IF(SUM(J$82:J88)&gt;=J$68,0,J$68/J$71))</f>
        <v>0</v>
      </c>
      <c r="K89" s="424">
        <f>IF(ISERROR(IF(SUM(K$82:K88)&gt;=K$68,0,K$68/K$71)),"NA",IF(SUM(K$82:K88)&gt;=K$68,0,K$68/K$71))</f>
        <v>0</v>
      </c>
      <c r="L89" s="424">
        <f>IF(ISERROR(IF(SUM(L$82:L88)&gt;=L$68,0,L$68/L$71)),"NA",IF(SUM(L$82:L88)&gt;=L$68,0,L$68/L$71))</f>
        <v>0</v>
      </c>
      <c r="M89" s="424">
        <f>IF(ISERROR(IF(SUM(M$82:M88)&gt;=M$68,0,M$68/M$71)),"NA",IF(SUM(M$82:M88)&gt;=M$68,0,M$68/M$71))</f>
        <v>0</v>
      </c>
      <c r="N89" s="424">
        <f>IF(ISERROR(IF(SUM(N$82:N88)&gt;=N$68,0,N$68/N$71)),"NA",IF(SUM(N$82:N88)&gt;=N$68,0,N$68/N$71))</f>
        <v>0</v>
      </c>
      <c r="O89" s="424">
        <f>IF(ISERROR(IF(SUM(O$82:O88)&gt;=O$68,0,O$68/O$71)),"NA",IF(SUM(O$82:O88)&gt;=O$68,0,O$68/O$71))</f>
        <v>0</v>
      </c>
      <c r="P89" s="424">
        <f>IF(ISERROR(IF(SUM(P$82:P88)&gt;=P$68,0,P$68/P$71)),"NA",IF(SUM(P$82:P88)&gt;=P$68,0,P$68/P$71))</f>
        <v>0</v>
      </c>
      <c r="Q89" s="424">
        <f>IF(ISERROR(IF(SUM(Q$82:Q88)&gt;=Q$68,0,Q$68/Q$71)),"NA",IF(SUM(Q$82:Q88)&gt;=Q$68,0,Q$68/Q$71))</f>
        <v>0</v>
      </c>
      <c r="R89" s="429">
        <f>IF(ISERROR(IF(SUM(R$82:R88)&gt;=R$68,0,R$68/R$71)),"NA",IF(SUM(R$82:R88)&gt;=R$68,0,R$68/R$71))</f>
        <v>0</v>
      </c>
      <c r="S89" s="429">
        <f>IF(ISERROR(IF(SUM(S$82:S88)&gt;=S$68,0,S$68/S$71)),"NA",IF(SUM(S$82:S88)&gt;=S$68,0,S$68/S$71))</f>
        <v>0</v>
      </c>
      <c r="T89" s="429">
        <f>IF(ISERROR(IF(SUM(T$82:T88)&gt;=T$68,0,T$68/T$71)),"NA",IF(SUM(T$82:T88)&gt;=T$68,0,T$68/T$71))</f>
        <v>0</v>
      </c>
      <c r="U89" s="429">
        <f>IF(ISERROR(IF(SUM(U$82:U88)&gt;=U$68,0,U$68/U$71)),"NA",IF(SUM(U$82:U88)&gt;=U$68,0,U$68/U$71))</f>
        <v>0</v>
      </c>
      <c r="V89" s="429">
        <f>IF(ISERROR(IF(SUM(V$82:V88)&gt;=V$68,0,V$68/V$71)),"NA",IF(SUM(V$82:V88)&gt;=V$68,0,V$68/V$71))</f>
        <v>0</v>
      </c>
      <c r="W89" s="429">
        <f t="shared" si="57"/>
        <v>0</v>
      </c>
      <c r="X89" s="429">
        <f t="shared" si="57"/>
        <v>0</v>
      </c>
      <c r="Y89" s="429">
        <f t="shared" si="54"/>
        <v>0</v>
      </c>
      <c r="Z89" s="429">
        <f t="shared" si="54"/>
        <v>0</v>
      </c>
      <c r="AA89" s="429">
        <f t="shared" si="54"/>
        <v>0</v>
      </c>
      <c r="AB89" s="429">
        <f t="shared" si="54"/>
        <v>0</v>
      </c>
      <c r="AC89" s="429">
        <f t="shared" si="54"/>
        <v>0</v>
      </c>
      <c r="AD89" s="429">
        <f t="shared" si="54"/>
        <v>0</v>
      </c>
    </row>
    <row r="90" spans="1:30" outlineLevel="1">
      <c r="A90" s="517"/>
      <c r="B90" s="403"/>
      <c r="C90" s="518" t="s">
        <v>533</v>
      </c>
      <c r="D90" s="518"/>
      <c r="E90" s="518"/>
      <c r="F90" s="518"/>
      <c r="G90" s="518"/>
      <c r="H90" s="424">
        <f>IF(ISERROR(IF(SUM(H$82:H89)&gt;=H$68,0,H$68/H$71)),"NA",IF(SUM(H$82:H89)&gt;=H$68,0,H$68/H$71))</f>
        <v>0</v>
      </c>
      <c r="I90" s="424">
        <f>IF(ISERROR(IF(SUM(I$82:I89)&gt;=I$68,0,I$68/I$71)),"NA",IF(SUM(I$82:I89)&gt;=I$68,0,I$68/I$71))</f>
        <v>0</v>
      </c>
      <c r="J90" s="424">
        <f>IF(ISERROR(IF(SUM(J$82:J89)&gt;=J$68,0,J$68/J$71)),"NA",IF(SUM(J$82:J89)&gt;=J$68,0,J$68/J$71))</f>
        <v>0</v>
      </c>
      <c r="K90" s="424">
        <f>IF(ISERROR(IF(SUM(K$82:K89)&gt;=K$68,0,K$68/K$71)),"NA",IF(SUM(K$82:K89)&gt;=K$68,0,K$68/K$71))</f>
        <v>0</v>
      </c>
      <c r="L90" s="424">
        <f>IF(ISERROR(IF(SUM(L$82:L89)&gt;=L$68,0,L$68/L$71)),"NA",IF(SUM(L$82:L89)&gt;=L$68,0,L$68/L$71))</f>
        <v>0</v>
      </c>
      <c r="M90" s="424">
        <f>IF(ISERROR(IF(SUM(M$82:M89)&gt;=M$68,0,M$68/M$71)),"NA",IF(SUM(M$82:M89)&gt;=M$68,0,M$68/M$71))</f>
        <v>0</v>
      </c>
      <c r="N90" s="424">
        <f>IF(ISERROR(IF(SUM(N$82:N89)&gt;=N$68,0,N$68/N$71)),"NA",IF(SUM(N$82:N89)&gt;=N$68,0,N$68/N$71))</f>
        <v>0</v>
      </c>
      <c r="O90" s="424">
        <f>IF(ISERROR(IF(SUM(O$82:O89)&gt;=O$68,0,O$68/O$71)),"NA",IF(SUM(O$82:O89)&gt;=O$68,0,O$68/O$71))</f>
        <v>0</v>
      </c>
      <c r="P90" s="424">
        <f>IF(ISERROR(IF(SUM(P$82:P89)&gt;=P$68,0,P$68/P$71)),"NA",IF(SUM(P$82:P89)&gt;=P$68,0,P$68/P$71))</f>
        <v>0</v>
      </c>
      <c r="Q90" s="424">
        <f>IF(ISERROR(IF(SUM(Q$82:Q89)&gt;=Q$68,0,Q$68/Q$71)),"NA",IF(SUM(Q$82:Q89)&gt;=Q$68,0,Q$68/Q$71))</f>
        <v>0</v>
      </c>
      <c r="R90" s="429">
        <f>IF(ISERROR(IF(SUM(R$82:R89)&gt;=R$68,0,R$68/R$71)),"NA",IF(SUM(R$82:R89)&gt;=R$68,0,R$68/R$71))</f>
        <v>0</v>
      </c>
      <c r="S90" s="429">
        <f>IF(ISERROR(IF(SUM(S$82:S89)&gt;=S$68,0,S$68/S$71)),"NA",IF(SUM(S$82:S89)&gt;=S$68,0,S$68/S$71))</f>
        <v>0</v>
      </c>
      <c r="T90" s="429">
        <f>IF(ISERROR(IF(SUM(T$82:T89)&gt;=T$68,0,T$68/T$71)),"NA",IF(SUM(T$82:T89)&gt;=T$68,0,T$68/T$71))</f>
        <v>0</v>
      </c>
      <c r="U90" s="429">
        <f>IF(ISERROR(IF(SUM(U$82:U89)&gt;=U$68,0,U$68/U$71)),"NA",IF(SUM(U$82:U89)&gt;=U$68,0,U$68/U$71))</f>
        <v>0</v>
      </c>
      <c r="V90" s="429">
        <f>IF(ISERROR(IF(SUM(V$82:V89)&gt;=V$68,0,V$68/V$71)),"NA",IF(SUM(V$82:V89)&gt;=V$68,0,V$68/V$71))</f>
        <v>0</v>
      </c>
      <c r="W90" s="429">
        <f t="shared" si="57"/>
        <v>0</v>
      </c>
      <c r="X90" s="429">
        <f t="shared" si="57"/>
        <v>0</v>
      </c>
      <c r="Y90" s="429">
        <f t="shared" si="54"/>
        <v>0</v>
      </c>
      <c r="Z90" s="429">
        <f t="shared" si="54"/>
        <v>0</v>
      </c>
      <c r="AA90" s="429">
        <f t="shared" si="54"/>
        <v>0</v>
      </c>
      <c r="AB90" s="429">
        <f t="shared" si="54"/>
        <v>0</v>
      </c>
      <c r="AC90" s="429">
        <f t="shared" si="54"/>
        <v>0</v>
      </c>
      <c r="AD90" s="429">
        <f t="shared" si="54"/>
        <v>0</v>
      </c>
    </row>
    <row r="91" spans="1:30" outlineLevel="1">
      <c r="A91" s="517"/>
      <c r="B91" s="403"/>
      <c r="C91" s="518" t="s">
        <v>534</v>
      </c>
      <c r="D91" s="518"/>
      <c r="E91" s="518"/>
      <c r="F91" s="518"/>
      <c r="G91" s="518"/>
      <c r="H91" s="424">
        <f>IF(ISERROR(IF(SUM(H$82:H90)&gt;=H$68,0,H$68/H$71)),"NA",IF(SUM(H$82:H90)&gt;=H$68,0,H$68/H$71))</f>
        <v>0</v>
      </c>
      <c r="I91" s="424">
        <f>IF(ISERROR(IF(SUM(I$82:I90)&gt;=I$68,0,I$68/I$71)),"NA",IF(SUM(I$82:I90)&gt;=I$68,0,I$68/I$71))</f>
        <v>0</v>
      </c>
      <c r="J91" s="424">
        <f>IF(ISERROR(IF(SUM(J$82:J90)&gt;=J$68,0,J$68/J$71)),"NA",IF(SUM(J$82:J90)&gt;=J$68,0,J$68/J$71))</f>
        <v>0</v>
      </c>
      <c r="K91" s="424">
        <f>IF(ISERROR(IF(SUM(K$82:K90)&gt;=K$68,0,K$68/K$71)),"NA",IF(SUM(K$82:K90)&gt;=K$68,0,K$68/K$71))</f>
        <v>0</v>
      </c>
      <c r="L91" s="424">
        <f>IF(ISERROR(IF(SUM(L$82:L90)&gt;=L$68,0,L$68/L$71)),"NA",IF(SUM(L$82:L90)&gt;=L$68,0,L$68/L$71))</f>
        <v>0</v>
      </c>
      <c r="M91" s="424">
        <f>IF(ISERROR(IF(SUM(M$82:M90)&gt;=M$68,0,M$68/M$71)),"NA",IF(SUM(M$82:M90)&gt;=M$68,0,M$68/M$71))</f>
        <v>0</v>
      </c>
      <c r="N91" s="424">
        <f>IF(ISERROR(IF(SUM(N$82:N90)&gt;=N$68,0,N$68/N$71)),"NA",IF(SUM(N$82:N90)&gt;=N$68,0,N$68/N$71))</f>
        <v>0</v>
      </c>
      <c r="O91" s="424">
        <f>IF(ISERROR(IF(SUM(O$82:O90)&gt;=O$68,0,O$68/O$71)),"NA",IF(SUM(O$82:O90)&gt;=O$68,0,O$68/O$71))</f>
        <v>0</v>
      </c>
      <c r="P91" s="424">
        <f>IF(ISERROR(IF(SUM(P$82:P90)&gt;=P$68,0,P$68/P$71)),"NA",IF(SUM(P$82:P90)&gt;=P$68,0,P$68/P$71))</f>
        <v>0</v>
      </c>
      <c r="Q91" s="424">
        <f>IF(ISERROR(IF(SUM(Q$82:Q90)&gt;=Q$68,0,Q$68/Q$71)),"NA",IF(SUM(Q$82:Q90)&gt;=Q$68,0,Q$68/Q$71))</f>
        <v>0</v>
      </c>
      <c r="R91" s="429">
        <f>IF(ISERROR(IF(SUM(R$82:R90)&gt;=R$68,0,R$68/R$71)),"NA",IF(SUM(R$82:R90)&gt;=R$68,0,R$68/R$71))</f>
        <v>0</v>
      </c>
      <c r="S91" s="429">
        <f>IF(ISERROR(IF(SUM(S$82:S90)&gt;=S$68,0,S$68/S$71)),"NA",IF(SUM(S$82:S90)&gt;=S$68,0,S$68/S$71))</f>
        <v>0</v>
      </c>
      <c r="T91" s="429">
        <f>IF(ISERROR(IF(SUM(T$82:T90)&gt;=T$68,0,T$68/T$71)),"NA",IF(SUM(T$82:T90)&gt;=T$68,0,T$68/T$71))</f>
        <v>0</v>
      </c>
      <c r="U91" s="429">
        <f>IF(ISERROR(IF(SUM(U$82:U90)&gt;=U$68,0,U$68/U$71)),"NA",IF(SUM(U$82:U90)&gt;=U$68,0,U$68/U$71))</f>
        <v>0</v>
      </c>
      <c r="V91" s="429">
        <f>IF(ISERROR(IF(SUM(V$82:V90)&gt;=V$68,0,V$68/V$71)),"NA",IF(SUM(V$82:V90)&gt;=V$68,0,V$68/V$71))</f>
        <v>0</v>
      </c>
      <c r="W91" s="429">
        <f t="shared" si="57"/>
        <v>0</v>
      </c>
      <c r="X91" s="429">
        <f t="shared" si="57"/>
        <v>0</v>
      </c>
      <c r="Y91" s="429">
        <f t="shared" si="54"/>
        <v>0</v>
      </c>
      <c r="Z91" s="429">
        <f t="shared" si="54"/>
        <v>0</v>
      </c>
      <c r="AA91" s="429">
        <f t="shared" si="54"/>
        <v>0</v>
      </c>
      <c r="AB91" s="429">
        <f t="shared" si="54"/>
        <v>0</v>
      </c>
      <c r="AC91" s="429">
        <f t="shared" si="54"/>
        <v>0</v>
      </c>
      <c r="AD91" s="429">
        <f t="shared" si="54"/>
        <v>0</v>
      </c>
    </row>
    <row r="92" spans="1:30" outlineLevel="1">
      <c r="A92" s="517"/>
      <c r="B92" s="403"/>
      <c r="C92" s="518" t="s">
        <v>535</v>
      </c>
      <c r="D92" s="518"/>
      <c r="E92" s="518"/>
      <c r="F92" s="518"/>
      <c r="G92" s="518"/>
      <c r="H92" s="424">
        <f>IF(ISERROR(IF(SUM(H$82:H91)&gt;=H$68,0,H$68/H$71)),"NA",IF(SUM(H$82:H91)&gt;=H$68,0,H$68/H$71))</f>
        <v>0</v>
      </c>
      <c r="I92" s="424">
        <f>IF(ISERROR(IF(SUM(I$82:I91)&gt;=I$68,0,I$68/I$71)),"NA",IF(SUM(I$82:I91)&gt;=I$68,0,I$68/I$71))</f>
        <v>0</v>
      </c>
      <c r="J92" s="424">
        <f>IF(ISERROR(IF(SUM(J$82:J91)&gt;=J$68,0,J$68/J$71)),"NA",IF(SUM(J$82:J91)&gt;=J$68,0,J$68/J$71))</f>
        <v>0</v>
      </c>
      <c r="K92" s="424">
        <f>IF(ISERROR(IF(SUM(K$82:K91)&gt;=K$68,0,K$68/K$71)),"NA",IF(SUM(K$82:K91)&gt;=K$68,0,K$68/K$71))</f>
        <v>0</v>
      </c>
      <c r="L92" s="424">
        <f>IF(ISERROR(IF(SUM(L$82:L91)&gt;=L$68,0,L$68/L$71)),"NA",IF(SUM(L$82:L91)&gt;=L$68,0,L$68/L$71))</f>
        <v>0</v>
      </c>
      <c r="M92" s="424">
        <f>IF(ISERROR(IF(SUM(M$82:M91)&gt;=M$68,0,M$68/M$71)),"NA",IF(SUM(M$82:M91)&gt;=M$68,0,M$68/M$71))</f>
        <v>0</v>
      </c>
      <c r="N92" s="424">
        <f>IF(ISERROR(IF(SUM(N$82:N91)&gt;=N$68,0,N$68/N$71)),"NA",IF(SUM(N$82:N91)&gt;=N$68,0,N$68/N$71))</f>
        <v>0</v>
      </c>
      <c r="O92" s="424">
        <f>IF(ISERROR(IF(SUM(O$82:O91)&gt;=O$68,0,O$68/O$71)),"NA",IF(SUM(O$82:O91)&gt;=O$68,0,O$68/O$71))</f>
        <v>0</v>
      </c>
      <c r="P92" s="424">
        <f>IF(ISERROR(IF(SUM(P$82:P91)&gt;=P$68,0,P$68/P$71)),"NA",IF(SUM(P$82:P91)&gt;=P$68,0,P$68/P$71))</f>
        <v>0</v>
      </c>
      <c r="Q92" s="424">
        <f>IF(ISERROR(IF(SUM(Q$82:Q91)&gt;=Q$68,0,Q$68/Q$71)),"NA",IF(SUM(Q$82:Q91)&gt;=Q$68,0,Q$68/Q$71))</f>
        <v>0</v>
      </c>
      <c r="R92" s="429">
        <f>IF(ISERROR(IF(SUM(R$82:R91)&gt;=R$68,0,R$68/R$71)),"NA",IF(SUM(R$82:R91)&gt;=R$68,0,R$68/R$71))</f>
        <v>0</v>
      </c>
      <c r="S92" s="429">
        <f>IF(ISERROR(IF(SUM(S$82:S91)&gt;=S$68,0,S$68/S$71)),"NA",IF(SUM(S$82:S91)&gt;=S$68,0,S$68/S$71))</f>
        <v>0</v>
      </c>
      <c r="T92" s="429">
        <f>IF(ISERROR(IF(SUM(T$82:T91)&gt;=T$68,0,T$68/T$71)),"NA",IF(SUM(T$82:T91)&gt;=T$68,0,T$68/T$71))</f>
        <v>0</v>
      </c>
      <c r="U92" s="429">
        <f>IF(ISERROR(IF(SUM(U$82:U91)&gt;=U$68,0,U$68/U$71)),"NA",IF(SUM(U$82:U91)&gt;=U$68,0,U$68/U$71))</f>
        <v>0</v>
      </c>
      <c r="V92" s="429">
        <f>IF(ISERROR(IF(SUM(V$82:V91)&gt;=V$68,0,V$68/V$71)),"NA",IF(SUM(V$82:V91)&gt;=V$68,0,V$68/V$71))</f>
        <v>0</v>
      </c>
      <c r="W92" s="429">
        <f t="shared" si="57"/>
        <v>0</v>
      </c>
      <c r="X92" s="429">
        <f t="shared" si="57"/>
        <v>0</v>
      </c>
      <c r="Y92" s="429">
        <f t="shared" si="54"/>
        <v>0</v>
      </c>
      <c r="Z92" s="429">
        <f t="shared" si="54"/>
        <v>0</v>
      </c>
      <c r="AA92" s="429">
        <f t="shared" si="54"/>
        <v>0</v>
      </c>
      <c r="AB92" s="429">
        <f t="shared" si="54"/>
        <v>0</v>
      </c>
      <c r="AC92" s="429">
        <f t="shared" si="54"/>
        <v>0</v>
      </c>
      <c r="AD92" s="429">
        <f t="shared" si="54"/>
        <v>0</v>
      </c>
    </row>
    <row r="93" spans="1:30" outlineLevel="1">
      <c r="A93" s="517"/>
      <c r="B93" s="403"/>
      <c r="C93" s="518" t="s">
        <v>536</v>
      </c>
      <c r="D93" s="518"/>
      <c r="E93" s="518"/>
      <c r="F93" s="518"/>
      <c r="G93" s="518"/>
      <c r="H93" s="424">
        <f>IF(ISERROR(IF(SUM(H$82:H92)&gt;=H$68,0,H$68/H$71)),"NA",IF(SUM(H$82:H92)&gt;=H$68,0,H$68/H$71))</f>
        <v>0</v>
      </c>
      <c r="I93" s="424">
        <f>IF(ISERROR(IF(SUM(I$82:I92)&gt;=I$68,0,I$68/I$71)),"NA",IF(SUM(I$82:I92)&gt;=I$68,0,I$68/I$71))</f>
        <v>0</v>
      </c>
      <c r="J93" s="424">
        <f>IF(ISERROR(IF(SUM(J$82:J92)&gt;=J$68,0,J$68/J$71)),"NA",IF(SUM(J$82:J92)&gt;=J$68,0,J$68/J$71))</f>
        <v>0</v>
      </c>
      <c r="K93" s="424">
        <f>IF(ISERROR(IF(SUM(K$82:K92)&gt;=K$68,0,K$68/K$71)),"NA",IF(SUM(K$82:K92)&gt;=K$68,0,K$68/K$71))</f>
        <v>0</v>
      </c>
      <c r="L93" s="424">
        <f>IF(ISERROR(IF(SUM(L$82:L92)&gt;=L$68,0,L$68/L$71)),"NA",IF(SUM(L$82:L92)&gt;=L$68,0,L$68/L$71))</f>
        <v>0</v>
      </c>
      <c r="M93" s="424">
        <f>IF(ISERROR(IF(SUM(M$82:M92)&gt;=M$68,0,M$68/M$71)),"NA",IF(SUM(M$82:M92)&gt;=M$68,0,M$68/M$71))</f>
        <v>0</v>
      </c>
      <c r="N93" s="424">
        <f>IF(ISERROR(IF(SUM(N$82:N92)&gt;=N$68,0,N$68/N$71)),"NA",IF(SUM(N$82:N92)&gt;=N$68,0,N$68/N$71))</f>
        <v>0</v>
      </c>
      <c r="O93" s="424">
        <f>IF(ISERROR(IF(SUM(O$82:O92)&gt;=O$68,0,O$68/O$71)),"NA",IF(SUM(O$82:O92)&gt;=O$68,0,O$68/O$71))</f>
        <v>0</v>
      </c>
      <c r="P93" s="424">
        <f>IF(ISERROR(IF(SUM(P$82:P92)&gt;=P$68,0,P$68/P$71)),"NA",IF(SUM(P$82:P92)&gt;=P$68,0,P$68/P$71))</f>
        <v>0</v>
      </c>
      <c r="Q93" s="424">
        <f>IF(ISERROR(IF(SUM(Q$82:Q92)&gt;=Q$68,0,Q$68/Q$71)),"NA",IF(SUM(Q$82:Q92)&gt;=Q$68,0,Q$68/Q$71))</f>
        <v>0</v>
      </c>
      <c r="R93" s="429">
        <f>IF(ISERROR(IF(SUM(R$82:R92)&gt;=R$68,0,R$68/R$71)),"NA",IF(SUM(R$82:R92)&gt;=R$68,0,R$68/R$71))</f>
        <v>0</v>
      </c>
      <c r="S93" s="429">
        <f>IF(ISERROR(IF(SUM(S$82:S92)&gt;=S$68,0,S$68/S$71)),"NA",IF(SUM(S$82:S92)&gt;=S$68,0,S$68/S$71))</f>
        <v>0</v>
      </c>
      <c r="T93" s="429">
        <f>IF(ISERROR(IF(SUM(T$82:T92)&gt;=T$68,0,T$68/T$71)),"NA",IF(SUM(T$82:T92)&gt;=T$68,0,T$68/T$71))</f>
        <v>0</v>
      </c>
      <c r="U93" s="429">
        <f>IF(ISERROR(IF(SUM(U$82:U92)&gt;=U$68,0,U$68/U$71)),"NA",IF(SUM(U$82:U92)&gt;=U$68,0,U$68/U$71))</f>
        <v>0</v>
      </c>
      <c r="V93" s="429">
        <f>IF(ISERROR(IF(SUM(V$82:V92)&gt;=V$68,0,V$68/V$71)),"NA",IF(SUM(V$82:V92)&gt;=V$68,0,V$68/V$71))</f>
        <v>0</v>
      </c>
      <c r="W93" s="429">
        <f t="shared" si="57"/>
        <v>0</v>
      </c>
      <c r="X93" s="429">
        <f t="shared" si="57"/>
        <v>0</v>
      </c>
      <c r="Y93" s="429">
        <f t="shared" si="54"/>
        <v>0</v>
      </c>
      <c r="Z93" s="429">
        <f t="shared" si="54"/>
        <v>0</v>
      </c>
      <c r="AA93" s="429">
        <f t="shared" si="54"/>
        <v>0</v>
      </c>
      <c r="AB93" s="429">
        <f t="shared" si="54"/>
        <v>0</v>
      </c>
      <c r="AC93" s="429">
        <f t="shared" si="54"/>
        <v>0</v>
      </c>
      <c r="AD93" s="429">
        <f t="shared" si="54"/>
        <v>0</v>
      </c>
    </row>
    <row r="94" spans="1:30" outlineLevel="1">
      <c r="A94" s="517"/>
      <c r="B94" s="403"/>
      <c r="C94" s="518" t="s">
        <v>537</v>
      </c>
      <c r="D94" s="518"/>
      <c r="E94" s="518"/>
      <c r="F94" s="518"/>
      <c r="G94" s="518"/>
      <c r="H94" s="424">
        <f>IF(ISERROR(IF(SUM(H$82:H93)&gt;=H$68,0,H$68/H$71)),"NA",IF(SUM(H$82:H93)&gt;=H$68,0,H$68/H$71))</f>
        <v>0</v>
      </c>
      <c r="I94" s="424">
        <f>IF(ISERROR(IF(SUM(I$82:I93)&gt;=I$68,0,I$68/I$71)),"NA",IF(SUM(I$82:I93)&gt;=I$68,0,I$68/I$71))</f>
        <v>0</v>
      </c>
      <c r="J94" s="424">
        <f>IF(ISERROR(IF(SUM(J$82:J93)&gt;=J$68,0,J$68/J$71)),"NA",IF(SUM(J$82:J93)&gt;=J$68,0,J$68/J$71))</f>
        <v>0</v>
      </c>
      <c r="K94" s="424">
        <f>IF(ISERROR(IF(SUM(K$82:K93)&gt;=K$68,0,K$68/K$71)),"NA",IF(SUM(K$82:K93)&gt;=K$68,0,K$68/K$71))</f>
        <v>0</v>
      </c>
      <c r="L94" s="424">
        <f>IF(ISERROR(IF(SUM(L$82:L93)&gt;=L$68,0,L$68/L$71)),"NA",IF(SUM(L$82:L93)&gt;=L$68,0,L$68/L$71))</f>
        <v>0</v>
      </c>
      <c r="M94" s="424">
        <f>IF(ISERROR(IF(SUM(M$82:M93)&gt;=M$68,0,M$68/M$71)),"NA",IF(SUM(M$82:M93)&gt;=M$68,0,M$68/M$71))</f>
        <v>0</v>
      </c>
      <c r="N94" s="424">
        <f>IF(ISERROR(IF(SUM(N$82:N93)&gt;=N$68,0,N$68/N$71)),"NA",IF(SUM(N$82:N93)&gt;=N$68,0,N$68/N$71))</f>
        <v>0</v>
      </c>
      <c r="O94" s="424">
        <f>IF(ISERROR(IF(SUM(O$82:O93)&gt;=O$68,0,O$68/O$71)),"NA",IF(SUM(O$82:O93)&gt;=O$68,0,O$68/O$71))</f>
        <v>0</v>
      </c>
      <c r="P94" s="424">
        <f>IF(ISERROR(IF(SUM(P$82:P93)&gt;=P$68,0,P$68/P$71)),"NA",IF(SUM(P$82:P93)&gt;=P$68,0,P$68/P$71))</f>
        <v>0</v>
      </c>
      <c r="Q94" s="424">
        <f>IF(ISERROR(IF(SUM(Q$82:Q93)&gt;=Q$68,0,Q$68/Q$71)),"NA",IF(SUM(Q$82:Q93)&gt;=Q$68,0,Q$68/Q$71))</f>
        <v>0</v>
      </c>
      <c r="R94" s="429">
        <f>IF(ISERROR(IF(SUM(R$82:R93)&gt;=R$68,0,R$68/R$71)),"NA",IF(SUM(R$82:R93)&gt;=R$68,0,R$68/R$71))</f>
        <v>0</v>
      </c>
      <c r="S94" s="429">
        <f>IF(ISERROR(IF(SUM(S$82:S93)&gt;=S$68,0,S$68/S$71)),"NA",IF(SUM(S$82:S93)&gt;=S$68,0,S$68/S$71))</f>
        <v>0</v>
      </c>
      <c r="T94" s="429">
        <f>IF(ISERROR(IF(SUM(T$82:T93)&gt;=T$68,0,T$68/T$71)),"NA",IF(SUM(T$82:T93)&gt;=T$68,0,T$68/T$71))</f>
        <v>0</v>
      </c>
      <c r="U94" s="429">
        <f>IF(ISERROR(IF(SUM(U$82:U93)&gt;=U$68,0,U$68/U$71)),"NA",IF(SUM(U$82:U93)&gt;=U$68,0,U$68/U$71))</f>
        <v>0</v>
      </c>
      <c r="V94" s="429">
        <f>IF(ISERROR(IF(SUM(V$82:V93)&gt;=V$68,0,V$68/V$71)),"NA",IF(SUM(V$82:V93)&gt;=V$68,0,V$68/V$71))</f>
        <v>0</v>
      </c>
      <c r="W94" s="429">
        <f t="shared" si="57"/>
        <v>0</v>
      </c>
      <c r="X94" s="429">
        <f t="shared" si="57"/>
        <v>0</v>
      </c>
      <c r="Y94" s="429">
        <f t="shared" si="54"/>
        <v>0</v>
      </c>
      <c r="Z94" s="429">
        <f t="shared" si="54"/>
        <v>0</v>
      </c>
      <c r="AA94" s="429">
        <f t="shared" si="54"/>
        <v>0</v>
      </c>
      <c r="AB94" s="429">
        <f t="shared" si="54"/>
        <v>0</v>
      </c>
      <c r="AC94" s="429">
        <f t="shared" si="54"/>
        <v>0</v>
      </c>
      <c r="AD94" s="429">
        <f t="shared" si="54"/>
        <v>0</v>
      </c>
    </row>
    <row r="95" spans="1:30" outlineLevel="1">
      <c r="A95" s="517"/>
      <c r="B95" s="403"/>
      <c r="C95" s="518" t="s">
        <v>538</v>
      </c>
      <c r="D95" s="518"/>
      <c r="E95" s="518"/>
      <c r="F95" s="518"/>
      <c r="G95" s="518"/>
      <c r="H95" s="424">
        <f>IF(ISERROR(IF(SUM(H$82:H94)&gt;=H$68,0,H$68/H$71)),"NA",IF(SUM(H$82:H94)&gt;=H$68,0,H$68/H$71))</f>
        <v>0</v>
      </c>
      <c r="I95" s="424">
        <f>IF(ISERROR(IF(SUM(I$82:I94)&gt;=I$68,0,I$68/I$71)),"NA",IF(SUM(I$82:I94)&gt;=I$68,0,I$68/I$71))</f>
        <v>0</v>
      </c>
      <c r="J95" s="424">
        <f>IF(ISERROR(IF(SUM(J$82:J94)&gt;=J$68,0,J$68/J$71)),"NA",IF(SUM(J$82:J94)&gt;=J$68,0,J$68/J$71))</f>
        <v>0</v>
      </c>
      <c r="K95" s="424">
        <f>IF(ISERROR(IF(SUM(K$82:K94)&gt;=K$68,0,K$68/K$71)),"NA",IF(SUM(K$82:K94)&gt;=K$68,0,K$68/K$71))</f>
        <v>0</v>
      </c>
      <c r="L95" s="424">
        <f>IF(ISERROR(IF(SUM(L$82:L94)&gt;=L$68,0,L$68/L$71)),"NA",IF(SUM(L$82:L94)&gt;=L$68,0,L$68/L$71))</f>
        <v>0</v>
      </c>
      <c r="M95" s="424">
        <f>IF(ISERROR(IF(SUM(M$82:M94)&gt;=M$68,0,M$68/M$71)),"NA",IF(SUM(M$82:M94)&gt;=M$68,0,M$68/M$71))</f>
        <v>0</v>
      </c>
      <c r="N95" s="424">
        <f>IF(ISERROR(IF(SUM(N$82:N94)&gt;=N$68,0,N$68/N$71)),"NA",IF(SUM(N$82:N94)&gt;=N$68,0,N$68/N$71))</f>
        <v>0</v>
      </c>
      <c r="O95" s="424">
        <f>IF(ISERROR(IF(SUM(O$82:O94)&gt;=O$68,0,O$68/O$71)),"NA",IF(SUM(O$82:O94)&gt;=O$68,0,O$68/O$71))</f>
        <v>0</v>
      </c>
      <c r="P95" s="424">
        <f>IF(ISERROR(IF(SUM(P$82:P94)&gt;=P$68,0,P$68/P$71)),"NA",IF(SUM(P$82:P94)&gt;=P$68,0,P$68/P$71))</f>
        <v>0</v>
      </c>
      <c r="Q95" s="424">
        <f>IF(ISERROR(IF(SUM(Q$82:Q94)&gt;=Q$68,0,Q$68/Q$71)),"NA",IF(SUM(Q$82:Q94)&gt;=Q$68,0,Q$68/Q$71))</f>
        <v>0</v>
      </c>
      <c r="R95" s="429">
        <f>IF(ISERROR(IF(SUM(R$82:R94)&gt;=R$68,0,R$68/R$71)),"NA",IF(SUM(R$82:R94)&gt;=R$68,0,R$68/R$71))</f>
        <v>0</v>
      </c>
      <c r="S95" s="429">
        <f>IF(ISERROR(IF(SUM(S$82:S94)&gt;=S$68,0,S$68/S$71)),"NA",IF(SUM(S$82:S94)&gt;=S$68,0,S$68/S$71))</f>
        <v>0</v>
      </c>
      <c r="T95" s="429">
        <f>IF(ISERROR(IF(SUM(T$82:T94)&gt;=T$68,0,T$68/T$71)),"NA",IF(SUM(T$82:T94)&gt;=T$68,0,T$68/T$71))</f>
        <v>0</v>
      </c>
      <c r="U95" s="429">
        <f>IF(ISERROR(IF(SUM(U$82:U94)&gt;=U$68,0,U$68/U$71)),"NA",IF(SUM(U$82:U94)&gt;=U$68,0,U$68/U$71))</f>
        <v>0</v>
      </c>
      <c r="V95" s="429">
        <f>IF(ISERROR(IF(SUM(V$82:V94)&gt;=V$68,0,V$68/V$71)),"NA",IF(SUM(V$82:V94)&gt;=V$68,0,V$68/V$71))</f>
        <v>0</v>
      </c>
      <c r="W95" s="429">
        <f t="shared" si="57"/>
        <v>0</v>
      </c>
      <c r="X95" s="429">
        <f t="shared" si="57"/>
        <v>0</v>
      </c>
      <c r="Y95" s="429">
        <f t="shared" si="54"/>
        <v>0</v>
      </c>
      <c r="Z95" s="429">
        <f t="shared" si="54"/>
        <v>0</v>
      </c>
      <c r="AA95" s="429">
        <f t="shared" si="54"/>
        <v>0</v>
      </c>
      <c r="AB95" s="429">
        <f t="shared" si="54"/>
        <v>0</v>
      </c>
      <c r="AC95" s="429">
        <f t="shared" si="54"/>
        <v>0</v>
      </c>
      <c r="AD95" s="429">
        <f t="shared" si="54"/>
        <v>0</v>
      </c>
    </row>
    <row r="96" spans="1:30" outlineLevel="1">
      <c r="A96" s="517"/>
      <c r="B96" s="403"/>
      <c r="C96" s="518" t="s">
        <v>539</v>
      </c>
      <c r="D96" s="518"/>
      <c r="E96" s="518"/>
      <c r="F96" s="518"/>
      <c r="G96" s="518"/>
      <c r="H96" s="424">
        <f>IF(ISERROR(IF(SUM(H$82:H95)&gt;=H$68,0,H$68/H$71)),"NA",IF(SUM(H$82:H95)&gt;=H$68,0,H$68/H$71))</f>
        <v>0</v>
      </c>
      <c r="I96" s="424">
        <f>IF(ISERROR(IF(SUM(I$82:I95)&gt;=I$68,0,I$68/I$71)),"NA",IF(SUM(I$82:I95)&gt;=I$68,0,I$68/I$71))</f>
        <v>0</v>
      </c>
      <c r="J96" s="424">
        <f>IF(ISERROR(IF(SUM(J$82:J95)&gt;=J$68,0,J$68/J$71)),"NA",IF(SUM(J$82:J95)&gt;=J$68,0,J$68/J$71))</f>
        <v>0</v>
      </c>
      <c r="K96" s="424">
        <f>IF(ISERROR(IF(SUM(K$82:K95)&gt;=K$68,0,K$68/K$71)),"NA",IF(SUM(K$82:K95)&gt;=K$68,0,K$68/K$71))</f>
        <v>0</v>
      </c>
      <c r="L96" s="424">
        <f>IF(ISERROR(IF(SUM(L$82:L95)&gt;=L$68,0,L$68/L$71)),"NA",IF(SUM(L$82:L95)&gt;=L$68,0,L$68/L$71))</f>
        <v>0</v>
      </c>
      <c r="M96" s="424">
        <f>IF(ISERROR(IF(SUM(M$82:M95)&gt;=M$68,0,M$68/M$71)),"NA",IF(SUM(M$82:M95)&gt;=M$68,0,M$68/M$71))</f>
        <v>0</v>
      </c>
      <c r="N96" s="424">
        <f>IF(ISERROR(IF(SUM(N$82:N95)&gt;=N$68,0,N$68/N$71)),"NA",IF(SUM(N$82:N95)&gt;=N$68,0,N$68/N$71))</f>
        <v>0</v>
      </c>
      <c r="O96" s="424">
        <f>IF(ISERROR(IF(SUM(O$82:O95)&gt;=O$68,0,O$68/O$71)),"NA",IF(SUM(O$82:O95)&gt;=O$68,0,O$68/O$71))</f>
        <v>0</v>
      </c>
      <c r="P96" s="424">
        <f>IF(ISERROR(IF(SUM(P$82:P95)&gt;=P$68,0,P$68/P$71)),"NA",IF(SUM(P$82:P95)&gt;=P$68,0,P$68/P$71))</f>
        <v>0</v>
      </c>
      <c r="Q96" s="424">
        <f>IF(ISERROR(IF(SUM(Q$82:Q95)&gt;=Q$68,0,Q$68/Q$71)),"NA",IF(SUM(Q$82:Q95)&gt;=Q$68,0,Q$68/Q$71))</f>
        <v>0</v>
      </c>
      <c r="R96" s="429">
        <f>IF(ISERROR(IF(SUM(R$82:R95)&gt;=R$68,0,R$68/R$71)),"NA",IF(SUM(R$82:R95)&gt;=R$68,0,R$68/R$71))</f>
        <v>0</v>
      </c>
      <c r="S96" s="429">
        <f>IF(ISERROR(IF(SUM(S$82:S95)&gt;=S$68,0,S$68/S$71)),"NA",IF(SUM(S$82:S95)&gt;=S$68,0,S$68/S$71))</f>
        <v>0</v>
      </c>
      <c r="T96" s="429">
        <f>IF(ISERROR(IF(SUM(T$82:T95)&gt;=T$68,0,T$68/T$71)),"NA",IF(SUM(T$82:T95)&gt;=T$68,0,T$68/T$71))</f>
        <v>0</v>
      </c>
      <c r="U96" s="429">
        <f>IF(ISERROR(IF(SUM(U$82:U95)&gt;=U$68,0,U$68/U$71)),"NA",IF(SUM(U$82:U95)&gt;=U$68,0,U$68/U$71))</f>
        <v>0</v>
      </c>
      <c r="V96" s="429">
        <f>IF(ISERROR(IF(SUM(V$82:V95)&gt;=V$68,0,V$68/V$71)),"NA",IF(SUM(V$82:V95)&gt;=V$68,0,V$68/V$71))</f>
        <v>0</v>
      </c>
      <c r="W96" s="429">
        <f t="shared" ref="W96:X105" si="58">V96*(1+W$64)</f>
        <v>0</v>
      </c>
      <c r="X96" s="429">
        <f t="shared" si="58"/>
        <v>0</v>
      </c>
      <c r="Y96" s="429">
        <f t="shared" si="54"/>
        <v>0</v>
      </c>
      <c r="Z96" s="429">
        <f t="shared" si="54"/>
        <v>0</v>
      </c>
      <c r="AA96" s="429">
        <f t="shared" si="54"/>
        <v>0</v>
      </c>
      <c r="AB96" s="429">
        <f t="shared" si="54"/>
        <v>0</v>
      </c>
      <c r="AC96" s="429">
        <f t="shared" si="54"/>
        <v>0</v>
      </c>
      <c r="AD96" s="429">
        <f t="shared" si="54"/>
        <v>0</v>
      </c>
    </row>
    <row r="97" spans="1:30" outlineLevel="1">
      <c r="A97" s="517"/>
      <c r="B97" s="403"/>
      <c r="C97" s="518" t="s">
        <v>540</v>
      </c>
      <c r="D97" s="518"/>
      <c r="E97" s="518"/>
      <c r="F97" s="518"/>
      <c r="G97" s="518"/>
      <c r="H97" s="424">
        <f>IF(ISERROR(IF(SUM(H$82:H96)&gt;=H$68,0,H$68/H$71)),"NA",IF(SUM(H$82:H96)&gt;=H$68,0,H$68/H$71))</f>
        <v>0</v>
      </c>
      <c r="I97" s="424">
        <f>IF(ISERROR(IF(SUM(I$82:I96)&gt;=I$68,0,I$68/I$71)),"NA",IF(SUM(I$82:I96)&gt;=I$68,0,I$68/I$71))</f>
        <v>0</v>
      </c>
      <c r="J97" s="424">
        <f>IF(ISERROR(IF(SUM(J$82:J96)&gt;=J$68,0,J$68/J$71)),"NA",IF(SUM(J$82:J96)&gt;=J$68,0,J$68/J$71))</f>
        <v>0</v>
      </c>
      <c r="K97" s="424">
        <f>IF(ISERROR(IF(SUM(K$82:K96)&gt;=K$68,0,K$68/K$71)),"NA",IF(SUM(K$82:K96)&gt;=K$68,0,K$68/K$71))</f>
        <v>0</v>
      </c>
      <c r="L97" s="424">
        <f>IF(ISERROR(IF(SUM(L$82:L96)&gt;=L$68,0,L$68/L$71)),"NA",IF(SUM(L$82:L96)&gt;=L$68,0,L$68/L$71))</f>
        <v>0</v>
      </c>
      <c r="M97" s="424">
        <f>IF(ISERROR(IF(SUM(M$82:M96)&gt;=M$68,0,M$68/M$71)),"NA",IF(SUM(M$82:M96)&gt;=M$68,0,M$68/M$71))</f>
        <v>0</v>
      </c>
      <c r="N97" s="424">
        <f>IF(ISERROR(IF(SUM(N$82:N96)&gt;=N$68,0,N$68/N$71)),"NA",IF(SUM(N$82:N96)&gt;=N$68,0,N$68/N$71))</f>
        <v>0</v>
      </c>
      <c r="O97" s="424">
        <f>IF(ISERROR(IF(SUM(O$82:O96)&gt;=O$68,0,O$68/O$71)),"NA",IF(SUM(O$82:O96)&gt;=O$68,0,O$68/O$71))</f>
        <v>0</v>
      </c>
      <c r="P97" s="424">
        <f>IF(ISERROR(IF(SUM(P$82:P96)&gt;=P$68,0,P$68/P$71)),"NA",IF(SUM(P$82:P96)&gt;=P$68,0,P$68/P$71))</f>
        <v>0</v>
      </c>
      <c r="Q97" s="424">
        <f>IF(ISERROR(IF(SUM(Q$82:Q96)&gt;=Q$68,0,Q$68/Q$71)),"NA",IF(SUM(Q$82:Q96)&gt;=Q$68,0,Q$68/Q$71))</f>
        <v>0</v>
      </c>
      <c r="R97" s="429">
        <f>IF(ISERROR(IF(SUM(R$82:R96)&gt;=R$68,0,R$68/R$71)),"NA",IF(SUM(R$82:R96)&gt;=R$68,0,R$68/R$71))</f>
        <v>0</v>
      </c>
      <c r="S97" s="429">
        <f>IF(ISERROR(IF(SUM(S$82:S96)&gt;=S$68,0,S$68/S$71)),"NA",IF(SUM(S$82:S96)&gt;=S$68,0,S$68/S$71))</f>
        <v>0</v>
      </c>
      <c r="T97" s="429">
        <f>IF(ISERROR(IF(SUM(T$82:T96)&gt;=T$68,0,T$68/T$71)),"NA",IF(SUM(T$82:T96)&gt;=T$68,0,T$68/T$71))</f>
        <v>0</v>
      </c>
      <c r="U97" s="429">
        <f>IF(ISERROR(IF(SUM(U$82:U96)&gt;=U$68,0,U$68/U$71)),"NA",IF(SUM(U$82:U96)&gt;=U$68,0,U$68/U$71))</f>
        <v>0</v>
      </c>
      <c r="V97" s="429">
        <f>IF(ISERROR(IF(SUM(V$82:V96)&gt;=V$68,0,V$68/V$71)),"NA",IF(SUM(V$82:V96)&gt;=V$68,0,V$68/V$71))</f>
        <v>0</v>
      </c>
      <c r="W97" s="429">
        <f t="shared" si="58"/>
        <v>0</v>
      </c>
      <c r="X97" s="429">
        <f t="shared" si="58"/>
        <v>0</v>
      </c>
      <c r="Y97" s="429">
        <f t="shared" si="54"/>
        <v>0</v>
      </c>
      <c r="Z97" s="429">
        <f t="shared" si="54"/>
        <v>0</v>
      </c>
      <c r="AA97" s="429">
        <f t="shared" si="54"/>
        <v>0</v>
      </c>
      <c r="AB97" s="429">
        <f t="shared" si="54"/>
        <v>0</v>
      </c>
      <c r="AC97" s="429">
        <f t="shared" si="54"/>
        <v>0</v>
      </c>
      <c r="AD97" s="429">
        <f t="shared" si="54"/>
        <v>0</v>
      </c>
    </row>
    <row r="98" spans="1:30" outlineLevel="1">
      <c r="A98" s="517"/>
      <c r="B98" s="403"/>
      <c r="C98" s="518" t="s">
        <v>541</v>
      </c>
      <c r="D98" s="518"/>
      <c r="E98" s="518"/>
      <c r="F98" s="518"/>
      <c r="G98" s="518"/>
      <c r="H98" s="424">
        <f>IF(ISERROR(IF(SUM(H$82:H97)&gt;=H$68,0,H$68/H$71)),"NA",IF(SUM(H$82:H97)&gt;=H$68,0,H$68/H$71))</f>
        <v>0</v>
      </c>
      <c r="I98" s="424">
        <f>IF(ISERROR(IF(SUM(I$82:I97)&gt;=I$68,0,I$68/I$71)),"NA",IF(SUM(I$82:I97)&gt;=I$68,0,I$68/I$71))</f>
        <v>0</v>
      </c>
      <c r="J98" s="424">
        <f>IF(ISERROR(IF(SUM(J$82:J97)&gt;=J$68,0,J$68/J$71)),"NA",IF(SUM(J$82:J97)&gt;=J$68,0,J$68/J$71))</f>
        <v>0</v>
      </c>
      <c r="K98" s="424">
        <f>IF(ISERROR(IF(SUM(K$82:K97)&gt;=K$68,0,K$68/K$71)),"NA",IF(SUM(K$82:K97)&gt;=K$68,0,K$68/K$71))</f>
        <v>0</v>
      </c>
      <c r="L98" s="424">
        <f>IF(ISERROR(IF(SUM(L$82:L97)&gt;=L$68,0,L$68/L$71)),"NA",IF(SUM(L$82:L97)&gt;=L$68,0,L$68/L$71))</f>
        <v>0</v>
      </c>
      <c r="M98" s="424">
        <f>IF(ISERROR(IF(SUM(M$82:M97)&gt;=M$68,0,M$68/M$71)),"NA",IF(SUM(M$82:M97)&gt;=M$68,0,M$68/M$71))</f>
        <v>0</v>
      </c>
      <c r="N98" s="424">
        <f>IF(ISERROR(IF(SUM(N$82:N97)&gt;=N$68,0,N$68/N$71)),"NA",IF(SUM(N$82:N97)&gt;=N$68,0,N$68/N$71))</f>
        <v>0</v>
      </c>
      <c r="O98" s="424">
        <f>IF(ISERROR(IF(SUM(O$82:O97)&gt;=O$68,0,O$68/O$71)),"NA",IF(SUM(O$82:O97)&gt;=O$68,0,O$68/O$71))</f>
        <v>0</v>
      </c>
      <c r="P98" s="424">
        <f>IF(ISERROR(IF(SUM(P$82:P97)&gt;=P$68,0,P$68/P$71)),"NA",IF(SUM(P$82:P97)&gt;=P$68,0,P$68/P$71))</f>
        <v>0</v>
      </c>
      <c r="Q98" s="424">
        <f>IF(ISERROR(IF(SUM(Q$82:Q97)&gt;=Q$68,0,Q$68/Q$71)),"NA",IF(SUM(Q$82:Q97)&gt;=Q$68,0,Q$68/Q$71))</f>
        <v>0</v>
      </c>
      <c r="R98" s="429">
        <f>IF(ISERROR(IF(SUM(R$82:R97)&gt;=R$68,0,R$68/R$71)),"NA",IF(SUM(R$82:R97)&gt;=R$68,0,R$68/R$71))</f>
        <v>0</v>
      </c>
      <c r="S98" s="429">
        <f>IF(ISERROR(IF(SUM(S$82:S97)&gt;=S$68,0,S$68/S$71)),"NA",IF(SUM(S$82:S97)&gt;=S$68,0,S$68/S$71))</f>
        <v>0</v>
      </c>
      <c r="T98" s="429">
        <f>IF(ISERROR(IF(SUM(T$82:T97)&gt;=T$68,0,T$68/T$71)),"NA",IF(SUM(T$82:T97)&gt;=T$68,0,T$68/T$71))</f>
        <v>0</v>
      </c>
      <c r="U98" s="429">
        <f>IF(ISERROR(IF(SUM(U$82:U97)&gt;=U$68,0,U$68/U$71)),"NA",IF(SUM(U$82:U97)&gt;=U$68,0,U$68/U$71))</f>
        <v>0</v>
      </c>
      <c r="V98" s="429">
        <f>IF(ISERROR(IF(SUM(V$82:V97)&gt;=V$68,0,V$68/V$71)),"NA",IF(SUM(V$82:V97)&gt;=V$68,0,V$68/V$71))</f>
        <v>0</v>
      </c>
      <c r="W98" s="429">
        <f t="shared" si="58"/>
        <v>0</v>
      </c>
      <c r="X98" s="429">
        <f t="shared" si="58"/>
        <v>0</v>
      </c>
      <c r="Y98" s="429">
        <f t="shared" si="54"/>
        <v>0</v>
      </c>
      <c r="Z98" s="429">
        <f t="shared" si="54"/>
        <v>0</v>
      </c>
      <c r="AA98" s="429">
        <f t="shared" si="54"/>
        <v>0</v>
      </c>
      <c r="AB98" s="429">
        <f t="shared" si="54"/>
        <v>0</v>
      </c>
      <c r="AC98" s="429">
        <f t="shared" si="54"/>
        <v>0</v>
      </c>
      <c r="AD98" s="429">
        <f t="shared" si="54"/>
        <v>0</v>
      </c>
    </row>
    <row r="99" spans="1:30" outlineLevel="1">
      <c r="A99" s="517"/>
      <c r="B99" s="403"/>
      <c r="C99" s="518" t="s">
        <v>542</v>
      </c>
      <c r="D99" s="518"/>
      <c r="E99" s="518"/>
      <c r="F99" s="518"/>
      <c r="G99" s="518"/>
      <c r="H99" s="424">
        <f>IF(ISERROR(IF(SUM(H$82:H98)&gt;=H$68,0,H$68/H$71)),"NA",IF(SUM(H$82:H98)&gt;=H$68,0,H$68/H$71))</f>
        <v>0</v>
      </c>
      <c r="I99" s="424">
        <f>IF(ISERROR(IF(SUM(I$82:I98)&gt;=I$68,0,I$68/I$71)),"NA",IF(SUM(I$82:I98)&gt;=I$68,0,I$68/I$71))</f>
        <v>0</v>
      </c>
      <c r="J99" s="424">
        <f>IF(ISERROR(IF(SUM(J$82:J98)&gt;=J$68,0,J$68/J$71)),"NA",IF(SUM(J$82:J98)&gt;=J$68,0,J$68/J$71))</f>
        <v>0</v>
      </c>
      <c r="K99" s="424">
        <f>IF(ISERROR(IF(SUM(K$82:K98)&gt;=K$68,0,K$68/K$71)),"NA",IF(SUM(K$82:K98)&gt;=K$68,0,K$68/K$71))</f>
        <v>0</v>
      </c>
      <c r="L99" s="424">
        <f>IF(ISERROR(IF(SUM(L$82:L98)&gt;=L$68,0,L$68/L$71)),"NA",IF(SUM(L$82:L98)&gt;=L$68,0,L$68/L$71))</f>
        <v>0</v>
      </c>
      <c r="M99" s="424">
        <f>IF(ISERROR(IF(SUM(M$82:M98)&gt;=M$68,0,M$68/M$71)),"NA",IF(SUM(M$82:M98)&gt;=M$68,0,M$68/M$71))</f>
        <v>0</v>
      </c>
      <c r="N99" s="424">
        <f>IF(ISERROR(IF(SUM(N$82:N98)&gt;=N$68,0,N$68/N$71)),"NA",IF(SUM(N$82:N98)&gt;=N$68,0,N$68/N$71))</f>
        <v>0</v>
      </c>
      <c r="O99" s="424">
        <f>IF(ISERROR(IF(SUM(O$82:O98)&gt;=O$68,0,O$68/O$71)),"NA",IF(SUM(O$82:O98)&gt;=O$68,0,O$68/O$71))</f>
        <v>0</v>
      </c>
      <c r="P99" s="424">
        <f>IF(ISERROR(IF(SUM(P$82:P98)&gt;=P$68,0,P$68/P$71)),"NA",IF(SUM(P$82:P98)&gt;=P$68,0,P$68/P$71))</f>
        <v>0</v>
      </c>
      <c r="Q99" s="424">
        <f>IF(ISERROR(IF(SUM(Q$82:Q98)&gt;=Q$68,0,Q$68/Q$71)),"NA",IF(SUM(Q$82:Q98)&gt;=Q$68,0,Q$68/Q$71))</f>
        <v>0</v>
      </c>
      <c r="R99" s="429">
        <f>IF(ISERROR(IF(SUM(R$82:R98)&gt;=R$68,0,R$68/R$71)),"NA",IF(SUM(R$82:R98)&gt;=R$68,0,R$68/R$71))</f>
        <v>0</v>
      </c>
      <c r="S99" s="429">
        <f>IF(ISERROR(IF(SUM(S$82:S98)&gt;=S$68,0,S$68/S$71)),"NA",IF(SUM(S$82:S98)&gt;=S$68,0,S$68/S$71))</f>
        <v>0</v>
      </c>
      <c r="T99" s="429">
        <f>IF(ISERROR(IF(SUM(T$82:T98)&gt;=T$68,0,T$68/T$71)),"NA",IF(SUM(T$82:T98)&gt;=T$68,0,T$68/T$71))</f>
        <v>0</v>
      </c>
      <c r="U99" s="429">
        <f>IF(ISERROR(IF(SUM(U$82:U98)&gt;=U$68,0,U$68/U$71)),"NA",IF(SUM(U$82:U98)&gt;=U$68,0,U$68/U$71))</f>
        <v>0</v>
      </c>
      <c r="V99" s="429">
        <f>IF(ISERROR(IF(SUM(V$82:V98)&gt;=V$68,0,V$68/V$71)),"NA",IF(SUM(V$82:V98)&gt;=V$68,0,V$68/V$71))</f>
        <v>0</v>
      </c>
      <c r="W99" s="429">
        <f t="shared" si="58"/>
        <v>0</v>
      </c>
      <c r="X99" s="429">
        <f t="shared" si="58"/>
        <v>0</v>
      </c>
      <c r="Y99" s="429">
        <f t="shared" si="54"/>
        <v>0</v>
      </c>
      <c r="Z99" s="429">
        <f t="shared" si="54"/>
        <v>0</v>
      </c>
      <c r="AA99" s="429">
        <f t="shared" si="54"/>
        <v>0</v>
      </c>
      <c r="AB99" s="429">
        <f t="shared" si="54"/>
        <v>0</v>
      </c>
      <c r="AC99" s="429">
        <f t="shared" si="54"/>
        <v>0</v>
      </c>
      <c r="AD99" s="429">
        <f t="shared" si="54"/>
        <v>0</v>
      </c>
    </row>
    <row r="100" spans="1:30" outlineLevel="1">
      <c r="A100" s="517"/>
      <c r="B100" s="403"/>
      <c r="C100" s="518" t="s">
        <v>543</v>
      </c>
      <c r="D100" s="518"/>
      <c r="E100" s="518"/>
      <c r="F100" s="518"/>
      <c r="G100" s="518"/>
      <c r="H100" s="424">
        <f>IF(ISERROR(IF(SUM(H$82:H99)&gt;=H$68,0,H$68/H$71)),"NA",IF(SUM(H$82:H99)&gt;=H$68,0,H$68/H$71))</f>
        <v>0</v>
      </c>
      <c r="I100" s="424">
        <f>IF(ISERROR(IF(SUM(I$82:I99)&gt;=I$68,0,I$68/I$71)),"NA",IF(SUM(I$82:I99)&gt;=I$68,0,I$68/I$71))</f>
        <v>0</v>
      </c>
      <c r="J100" s="424">
        <f>IF(ISERROR(IF(SUM(J$82:J99)&gt;=J$68,0,J$68/J$71)),"NA",IF(SUM(J$82:J99)&gt;=J$68,0,J$68/J$71))</f>
        <v>0</v>
      </c>
      <c r="K100" s="424">
        <f>IF(ISERROR(IF(SUM(K$82:K99)&gt;=K$68,0,K$68/K$71)),"NA",IF(SUM(K$82:K99)&gt;=K$68,0,K$68/K$71))</f>
        <v>0</v>
      </c>
      <c r="L100" s="424">
        <f>IF(ISERROR(IF(SUM(L$82:L99)&gt;=L$68,0,L$68/L$71)),"NA",IF(SUM(L$82:L99)&gt;=L$68,0,L$68/L$71))</f>
        <v>0</v>
      </c>
      <c r="M100" s="424">
        <f>IF(ISERROR(IF(SUM(M$82:M99)&gt;=M$68,0,M$68/M$71)),"NA",IF(SUM(M$82:M99)&gt;=M$68,0,M$68/M$71))</f>
        <v>0</v>
      </c>
      <c r="N100" s="424">
        <f>IF(ISERROR(IF(SUM(N$82:N99)&gt;=N$68,0,N$68/N$71)),"NA",IF(SUM(N$82:N99)&gt;=N$68,0,N$68/N$71))</f>
        <v>0</v>
      </c>
      <c r="O100" s="424">
        <f>IF(ISERROR(IF(SUM(O$82:O99)&gt;=O$68,0,O$68/O$71)),"NA",IF(SUM(O$82:O99)&gt;=O$68,0,O$68/O$71))</f>
        <v>0</v>
      </c>
      <c r="P100" s="424">
        <f>IF(ISERROR(IF(SUM(P$82:P99)&gt;=P$68,0,P$68/P$71)),"NA",IF(SUM(P$82:P99)&gt;=P$68,0,P$68/P$71))</f>
        <v>0</v>
      </c>
      <c r="Q100" s="424">
        <f>IF(ISERROR(IF(SUM(Q$82:Q99)&gt;=Q$68,0,Q$68/Q$71)),"NA",IF(SUM(Q$82:Q99)&gt;=Q$68,0,Q$68/Q$71))</f>
        <v>0</v>
      </c>
      <c r="R100" s="429">
        <f>IF(ISERROR(IF(SUM(R$82:R99)&gt;=R$68,0,R$68/R$71)),"NA",IF(SUM(R$82:R99)&gt;=R$68,0,R$68/R$71))</f>
        <v>0</v>
      </c>
      <c r="S100" s="429">
        <f>IF(ISERROR(IF(SUM(S$82:S99)&gt;=S$68,0,S$68/S$71)),"NA",IF(SUM(S$82:S99)&gt;=S$68,0,S$68/S$71))</f>
        <v>0</v>
      </c>
      <c r="T100" s="429">
        <f>IF(ISERROR(IF(SUM(T$82:T99)&gt;=T$68,0,T$68/T$71)),"NA",IF(SUM(T$82:T99)&gt;=T$68,0,T$68/T$71))</f>
        <v>0</v>
      </c>
      <c r="U100" s="429">
        <f>IF(ISERROR(IF(SUM(U$82:U99)&gt;=U$68,0,U$68/U$71)),"NA",IF(SUM(U$82:U99)&gt;=U$68,0,U$68/U$71))</f>
        <v>0</v>
      </c>
      <c r="V100" s="429">
        <f>IF(ISERROR(IF(SUM(V$82:V99)&gt;=V$68,0,V$68/V$71)),"NA",IF(SUM(V$82:V99)&gt;=V$68,0,V$68/V$71))</f>
        <v>0</v>
      </c>
      <c r="W100" s="429">
        <f t="shared" si="58"/>
        <v>0</v>
      </c>
      <c r="X100" s="429">
        <f t="shared" si="58"/>
        <v>0</v>
      </c>
      <c r="Y100" s="429">
        <f t="shared" si="54"/>
        <v>0</v>
      </c>
      <c r="Z100" s="429">
        <f t="shared" si="54"/>
        <v>0</v>
      </c>
      <c r="AA100" s="429">
        <f t="shared" si="54"/>
        <v>0</v>
      </c>
      <c r="AB100" s="429">
        <f t="shared" si="54"/>
        <v>0</v>
      </c>
      <c r="AC100" s="429">
        <f t="shared" si="54"/>
        <v>0</v>
      </c>
      <c r="AD100" s="429">
        <f t="shared" si="54"/>
        <v>0</v>
      </c>
    </row>
    <row r="101" spans="1:30" outlineLevel="1">
      <c r="A101" s="517"/>
      <c r="B101" s="403"/>
      <c r="C101" s="518" t="s">
        <v>544</v>
      </c>
      <c r="D101" s="518"/>
      <c r="E101" s="518"/>
      <c r="F101" s="518"/>
      <c r="G101" s="518"/>
      <c r="H101" s="424">
        <f>IF(ISERROR(IF(SUM(H$82:H100)&gt;=H$68,0,H$68/H$71)),"NA",IF(SUM(H$82:H100)&gt;=H$68,0,H$68/H$71))</f>
        <v>0</v>
      </c>
      <c r="I101" s="424">
        <f>IF(ISERROR(IF(SUM(I$82:I100)&gt;=I$68,0,I$68/I$71)),"NA",IF(SUM(I$82:I100)&gt;=I$68,0,I$68/I$71))</f>
        <v>0</v>
      </c>
      <c r="J101" s="424">
        <f>IF(ISERROR(IF(SUM(J$82:J100)&gt;=J$68,0,J$68/J$71)),"NA",IF(SUM(J$82:J100)&gt;=J$68,0,J$68/J$71))</f>
        <v>0</v>
      </c>
      <c r="K101" s="424">
        <f>IF(ISERROR(IF(SUM(K$82:K100)&gt;=K$68,0,K$68/K$71)),"NA",IF(SUM(K$82:K100)&gt;=K$68,0,K$68/K$71))</f>
        <v>0</v>
      </c>
      <c r="L101" s="424">
        <f>IF(ISERROR(IF(SUM(L$82:L100)&gt;=L$68,0,L$68/L$71)),"NA",IF(SUM(L$82:L100)&gt;=L$68,0,L$68/L$71))</f>
        <v>0</v>
      </c>
      <c r="M101" s="424">
        <f>IF(ISERROR(IF(SUM(M$82:M100)&gt;=M$68,0,M$68/M$71)),"NA",IF(SUM(M$82:M100)&gt;=M$68,0,M$68/M$71))</f>
        <v>0</v>
      </c>
      <c r="N101" s="424">
        <f>IF(ISERROR(IF(SUM(N$82:N100)&gt;=N$68,0,N$68/N$71)),"NA",IF(SUM(N$82:N100)&gt;=N$68,0,N$68/N$71))</f>
        <v>0</v>
      </c>
      <c r="O101" s="424">
        <f>IF(ISERROR(IF(SUM(O$82:O100)&gt;=O$68,0,O$68/O$71)),"NA",IF(SUM(O$82:O100)&gt;=O$68,0,O$68/O$71))</f>
        <v>0</v>
      </c>
      <c r="P101" s="424">
        <f>IF(ISERROR(IF(SUM(P$82:P100)&gt;=P$68,0,P$68/P$71)),"NA",IF(SUM(P$82:P100)&gt;=P$68,0,P$68/P$71))</f>
        <v>0</v>
      </c>
      <c r="Q101" s="424">
        <f>IF(ISERROR(IF(SUM(Q$82:Q100)&gt;=Q$68,0,Q$68/Q$71)),"NA",IF(SUM(Q$82:Q100)&gt;=Q$68,0,Q$68/Q$71))</f>
        <v>0</v>
      </c>
      <c r="R101" s="429">
        <f>IF(ISERROR(IF(SUM(R$82:R100)&gt;=R$68,0,R$68/R$71)),"NA",IF(SUM(R$82:R100)&gt;=R$68,0,R$68/R$71))</f>
        <v>0</v>
      </c>
      <c r="S101" s="429">
        <f>IF(ISERROR(IF(SUM(S$82:S100)&gt;=S$68,0,S$68/S$71)),"NA",IF(SUM(S$82:S100)&gt;=S$68,0,S$68/S$71))</f>
        <v>0</v>
      </c>
      <c r="T101" s="429">
        <f>IF(ISERROR(IF(SUM(T$82:T100)&gt;=T$68,0,T$68/T$71)),"NA",IF(SUM(T$82:T100)&gt;=T$68,0,T$68/T$71))</f>
        <v>0</v>
      </c>
      <c r="U101" s="429">
        <f>IF(ISERROR(IF(SUM(U$82:U100)&gt;=U$68,0,U$68/U$71)),"NA",IF(SUM(U$82:U100)&gt;=U$68,0,U$68/U$71))</f>
        <v>0</v>
      </c>
      <c r="V101" s="429">
        <f>IF(ISERROR(IF(SUM(V$82:V100)&gt;=V$68,0,V$68/V$71)),"NA",IF(SUM(V$82:V100)&gt;=V$68,0,V$68/V$71))</f>
        <v>0</v>
      </c>
      <c r="W101" s="429">
        <f t="shared" si="58"/>
        <v>0</v>
      </c>
      <c r="X101" s="429">
        <f t="shared" si="58"/>
        <v>0</v>
      </c>
      <c r="Y101" s="429">
        <f t="shared" si="54"/>
        <v>0</v>
      </c>
      <c r="Z101" s="429">
        <f t="shared" si="54"/>
        <v>0</v>
      </c>
      <c r="AA101" s="429">
        <f t="shared" si="54"/>
        <v>0</v>
      </c>
      <c r="AB101" s="429">
        <f t="shared" si="54"/>
        <v>0</v>
      </c>
      <c r="AC101" s="429">
        <f t="shared" si="54"/>
        <v>0</v>
      </c>
      <c r="AD101" s="429">
        <f t="shared" si="54"/>
        <v>0</v>
      </c>
    </row>
    <row r="102" spans="1:30" outlineLevel="1">
      <c r="A102" s="517"/>
      <c r="B102" s="403"/>
      <c r="C102" s="518" t="s">
        <v>545</v>
      </c>
      <c r="D102" s="518"/>
      <c r="E102" s="518"/>
      <c r="F102" s="518"/>
      <c r="G102" s="518"/>
      <c r="H102" s="424">
        <f>IF(ISERROR(IF(SUM(H$82:H101)&gt;=H$68,0,H$68/H$71)),"NA",IF(SUM(H$82:H101)&gt;=H$68,0,H$68/H$71))</f>
        <v>0</v>
      </c>
      <c r="I102" s="424">
        <f>IF(ISERROR(IF(SUM(I$82:I101)&gt;=I$68,0,I$68/I$71)),"NA",IF(SUM(I$82:I101)&gt;=I$68,0,I$68/I$71))</f>
        <v>0</v>
      </c>
      <c r="J102" s="424">
        <f>IF(ISERROR(IF(SUM(J$82:J101)&gt;=J$68,0,J$68/J$71)),"NA",IF(SUM(J$82:J101)&gt;=J$68,0,J$68/J$71))</f>
        <v>0</v>
      </c>
      <c r="K102" s="424">
        <f>IF(ISERROR(IF(SUM(K$82:K101)&gt;=K$68,0,K$68/K$71)),"NA",IF(SUM(K$82:K101)&gt;=K$68,0,K$68/K$71))</f>
        <v>0</v>
      </c>
      <c r="L102" s="424">
        <f>IF(ISERROR(IF(SUM(L$82:L101)&gt;=L$68,0,L$68/L$71)),"NA",IF(SUM(L$82:L101)&gt;=L$68,0,L$68/L$71))</f>
        <v>0</v>
      </c>
      <c r="M102" s="424">
        <f>IF(ISERROR(IF(SUM(M$82:M101)&gt;=M$68,0,M$68/M$71)),"NA",IF(SUM(M$82:M101)&gt;=M$68,0,M$68/M$71))</f>
        <v>0</v>
      </c>
      <c r="N102" s="424">
        <f>IF(ISERROR(IF(SUM(N$82:N101)&gt;=N$68,0,N$68/N$71)),"NA",IF(SUM(N$82:N101)&gt;=N$68,0,N$68/N$71))</f>
        <v>0</v>
      </c>
      <c r="O102" s="424">
        <f>IF(ISERROR(IF(SUM(O$82:O101)&gt;=O$68,0,O$68/O$71)),"NA",IF(SUM(O$82:O101)&gt;=O$68,0,O$68/O$71))</f>
        <v>0</v>
      </c>
      <c r="P102" s="424">
        <f>IF(ISERROR(IF(SUM(P$82:P101)&gt;=P$68,0,P$68/P$71)),"NA",IF(SUM(P$82:P101)&gt;=P$68,0,P$68/P$71))</f>
        <v>0</v>
      </c>
      <c r="Q102" s="424">
        <f>IF(ISERROR(IF(SUM(Q$82:Q101)&gt;=Q$68,0,Q$68/Q$71)),"NA",IF(SUM(Q$82:Q101)&gt;=Q$68,0,Q$68/Q$71))</f>
        <v>0</v>
      </c>
      <c r="R102" s="429">
        <f>IF(ISERROR(IF(SUM(R$82:R101)&gt;=R$68,0,R$68/R$71)),"NA",IF(SUM(R$82:R101)&gt;=R$68,0,R$68/R$71))</f>
        <v>0</v>
      </c>
      <c r="S102" s="429">
        <f>IF(ISERROR(IF(SUM(S$82:S101)&gt;=S$68,0,S$68/S$71)),"NA",IF(SUM(S$82:S101)&gt;=S$68,0,S$68/S$71))</f>
        <v>0</v>
      </c>
      <c r="T102" s="429">
        <f>IF(ISERROR(IF(SUM(T$82:T101)&gt;=T$68,0,T$68/T$71)),"NA",IF(SUM(T$82:T101)&gt;=T$68,0,T$68/T$71))</f>
        <v>0</v>
      </c>
      <c r="U102" s="429">
        <f>IF(ISERROR(IF(SUM(U$82:U101)&gt;=U$68,0,U$68/U$71)),"NA",IF(SUM(U$82:U101)&gt;=U$68,0,U$68/U$71))</f>
        <v>0</v>
      </c>
      <c r="V102" s="429">
        <f>IF(ISERROR(IF(SUM(V$82:V101)&gt;=V$68,0,V$68/V$71)),"NA",IF(SUM(V$82:V101)&gt;=V$68,0,V$68/V$71))</f>
        <v>0</v>
      </c>
      <c r="W102" s="429">
        <f t="shared" si="58"/>
        <v>0</v>
      </c>
      <c r="X102" s="429">
        <f t="shared" si="58"/>
        <v>0</v>
      </c>
      <c r="Y102" s="429">
        <f t="shared" si="54"/>
        <v>0</v>
      </c>
      <c r="Z102" s="429">
        <f t="shared" si="54"/>
        <v>0</v>
      </c>
      <c r="AA102" s="429">
        <f t="shared" si="54"/>
        <v>0</v>
      </c>
      <c r="AB102" s="429">
        <f t="shared" si="54"/>
        <v>0</v>
      </c>
      <c r="AC102" s="429">
        <f t="shared" si="54"/>
        <v>0</v>
      </c>
      <c r="AD102" s="429">
        <f t="shared" si="54"/>
        <v>0</v>
      </c>
    </row>
    <row r="103" spans="1:30" outlineLevel="1">
      <c r="A103" s="517"/>
      <c r="B103" s="403"/>
      <c r="C103" s="518" t="s">
        <v>546</v>
      </c>
      <c r="D103" s="518"/>
      <c r="E103" s="518"/>
      <c r="F103" s="518"/>
      <c r="G103" s="518"/>
      <c r="H103" s="424">
        <f>IF(ISERROR(IF(SUM(H$82:H102)&gt;=H$68,0,H$68/H$71)),"NA",IF(SUM(H$82:H102)&gt;=H$68,0,H$68/H$71))</f>
        <v>0</v>
      </c>
      <c r="I103" s="424">
        <f>IF(ISERROR(IF(SUM(I$82:I102)&gt;=I$68,0,I$68/I$71)),"NA",IF(SUM(I$82:I102)&gt;=I$68,0,I$68/I$71))</f>
        <v>0</v>
      </c>
      <c r="J103" s="424">
        <f>IF(ISERROR(IF(SUM(J$82:J102)&gt;=J$68,0,J$68/J$71)),"NA",IF(SUM(J$82:J102)&gt;=J$68,0,J$68/J$71))</f>
        <v>0</v>
      </c>
      <c r="K103" s="424">
        <f>IF(ISERROR(IF(SUM(K$82:K102)&gt;=K$68,0,K$68/K$71)),"NA",IF(SUM(K$82:K102)&gt;=K$68,0,K$68/K$71))</f>
        <v>0</v>
      </c>
      <c r="L103" s="424">
        <f>IF(ISERROR(IF(SUM(L$82:L102)&gt;=L$68,0,L$68/L$71)),"NA",IF(SUM(L$82:L102)&gt;=L$68,0,L$68/L$71))</f>
        <v>0</v>
      </c>
      <c r="M103" s="424">
        <f>IF(ISERROR(IF(SUM(M$82:M102)&gt;=M$68,0,M$68/M$71)),"NA",IF(SUM(M$82:M102)&gt;=M$68,0,M$68/M$71))</f>
        <v>0</v>
      </c>
      <c r="N103" s="424">
        <f>IF(ISERROR(IF(SUM(N$82:N102)&gt;=N$68,0,N$68/N$71)),"NA",IF(SUM(N$82:N102)&gt;=N$68,0,N$68/N$71))</f>
        <v>0</v>
      </c>
      <c r="O103" s="424">
        <f>IF(ISERROR(IF(SUM(O$82:O102)&gt;=O$68,0,O$68/O$71)),"NA",IF(SUM(O$82:O102)&gt;=O$68,0,O$68/O$71))</f>
        <v>0</v>
      </c>
      <c r="P103" s="424">
        <f>IF(ISERROR(IF(SUM(P$82:P102)&gt;=P$68,0,P$68/P$71)),"NA",IF(SUM(P$82:P102)&gt;=P$68,0,P$68/P$71))</f>
        <v>0</v>
      </c>
      <c r="Q103" s="424">
        <f>IF(ISERROR(IF(SUM(Q$82:Q102)&gt;=Q$68,0,Q$68/Q$71)),"NA",IF(SUM(Q$82:Q102)&gt;=Q$68,0,Q$68/Q$71))</f>
        <v>0</v>
      </c>
      <c r="R103" s="429">
        <f>IF(ISERROR(IF(SUM(R$82:R102)&gt;=R$68,0,R$68/R$71)),"NA",IF(SUM(R$82:R102)&gt;=R$68,0,R$68/R$71))</f>
        <v>0</v>
      </c>
      <c r="S103" s="429">
        <f>IF(ISERROR(IF(SUM(S$82:S102)&gt;=S$68,0,S$68/S$71)),"NA",IF(SUM(S$82:S102)&gt;=S$68,0,S$68/S$71))</f>
        <v>0</v>
      </c>
      <c r="T103" s="429">
        <f>IF(ISERROR(IF(SUM(T$82:T102)&gt;=T$68,0,T$68/T$71)),"NA",IF(SUM(T$82:T102)&gt;=T$68,0,T$68/T$71))</f>
        <v>0</v>
      </c>
      <c r="U103" s="429">
        <f>IF(ISERROR(IF(SUM(U$82:U102)&gt;=U$68,0,U$68/U$71)),"NA",IF(SUM(U$82:U102)&gt;=U$68,0,U$68/U$71))</f>
        <v>0</v>
      </c>
      <c r="V103" s="429">
        <f>IF(ISERROR(IF(SUM(V$82:V102)&gt;=V$68,0,V$68/V$71)),"NA",IF(SUM(V$82:V102)&gt;=V$68,0,V$68/V$71))</f>
        <v>0</v>
      </c>
      <c r="W103" s="429">
        <f t="shared" si="58"/>
        <v>0</v>
      </c>
      <c r="X103" s="429">
        <f t="shared" si="58"/>
        <v>0</v>
      </c>
      <c r="Y103" s="429">
        <f t="shared" si="54"/>
        <v>0</v>
      </c>
      <c r="Z103" s="429">
        <f t="shared" si="54"/>
        <v>0</v>
      </c>
      <c r="AA103" s="429">
        <f t="shared" si="54"/>
        <v>0</v>
      </c>
      <c r="AB103" s="429">
        <f t="shared" si="54"/>
        <v>0</v>
      </c>
      <c r="AC103" s="429">
        <f t="shared" si="54"/>
        <v>0</v>
      </c>
      <c r="AD103" s="429">
        <f t="shared" si="54"/>
        <v>0</v>
      </c>
    </row>
    <row r="104" spans="1:30" outlineLevel="1">
      <c r="A104" s="517"/>
      <c r="B104" s="403"/>
      <c r="C104" s="518" t="s">
        <v>548</v>
      </c>
      <c r="D104" s="518"/>
      <c r="E104" s="518"/>
      <c r="F104" s="518"/>
      <c r="G104" s="518"/>
      <c r="H104" s="424">
        <f>IF(ISERROR(IF(SUM(H$82:H103)&gt;=H$68,0,H$68/H$71)),"NA",IF(SUM(H$82:H103)&gt;=H$68,0,H$68/H$71))</f>
        <v>0</v>
      </c>
      <c r="I104" s="424">
        <f>IF(ISERROR(IF(SUM(I$82:I103)&gt;=I$68,0,I$68/I$71)),"NA",IF(SUM(I$82:I103)&gt;=I$68,0,I$68/I$71))</f>
        <v>0</v>
      </c>
      <c r="J104" s="424">
        <f>IF(ISERROR(IF(SUM(J$82:J103)&gt;=J$68,0,J$68/J$71)),"NA",IF(SUM(J$82:J103)&gt;=J$68,0,J$68/J$71))</f>
        <v>0</v>
      </c>
      <c r="K104" s="424">
        <f>IF(ISERROR(IF(SUM(K$82:K103)&gt;=K$68,0,K$68/K$71)),"NA",IF(SUM(K$82:K103)&gt;=K$68,0,K$68/K$71))</f>
        <v>0</v>
      </c>
      <c r="L104" s="424">
        <f>IF(ISERROR(IF(SUM(L$82:L103)&gt;=L$68,0,L$68/L$71)),"NA",IF(SUM(L$82:L103)&gt;=L$68,0,L$68/L$71))</f>
        <v>0</v>
      </c>
      <c r="M104" s="424">
        <f>IF(ISERROR(IF(SUM(M$82:M103)&gt;=M$68,0,M$68/M$71)),"NA",IF(SUM(M$82:M103)&gt;=M$68,0,M$68/M$71))</f>
        <v>0</v>
      </c>
      <c r="N104" s="424">
        <f>IF(ISERROR(IF(SUM(N$82:N103)&gt;=N$68,0,N$68/N$71)),"NA",IF(SUM(N$82:N103)&gt;=N$68,0,N$68/N$71))</f>
        <v>0</v>
      </c>
      <c r="O104" s="424">
        <f>IF(ISERROR(IF(SUM(O$82:O103)&gt;=O$68,0,O$68/O$71)),"NA",IF(SUM(O$82:O103)&gt;=O$68,0,O$68/O$71))</f>
        <v>0</v>
      </c>
      <c r="P104" s="424">
        <f>IF(ISERROR(IF(SUM(P$82:P103)&gt;=P$68,0,P$68/P$71)),"NA",IF(SUM(P$82:P103)&gt;=P$68,0,P$68/P$71))</f>
        <v>0</v>
      </c>
      <c r="Q104" s="424">
        <f>IF(ISERROR(IF(SUM(Q$82:Q103)&gt;=Q$68,0,Q$68/Q$71)),"NA",IF(SUM(Q$82:Q103)&gt;=Q$68,0,Q$68/Q$71))</f>
        <v>0</v>
      </c>
      <c r="R104" s="429">
        <f>IF(ISERROR(IF(SUM(R$82:R103)&gt;=R$68,0,R$68/R$71)),"NA",IF(SUM(R$82:R103)&gt;=R$68,0,R$68/R$71))</f>
        <v>0</v>
      </c>
      <c r="S104" s="429">
        <f>IF(ISERROR(IF(SUM(S$82:S103)&gt;=S$68,0,S$68/S$71)),"NA",IF(SUM(S$82:S103)&gt;=S$68,0,S$68/S$71))</f>
        <v>0</v>
      </c>
      <c r="T104" s="429">
        <f>IF(ISERROR(IF(SUM(T$82:T103)&gt;=T$68,0,T$68/T$71)),"NA",IF(SUM(T$82:T103)&gt;=T$68,0,T$68/T$71))</f>
        <v>0</v>
      </c>
      <c r="U104" s="429">
        <f>IF(ISERROR(IF(SUM(U$82:U103)&gt;=U$68,0,U$68/U$71)),"NA",IF(SUM(U$82:U103)&gt;=U$68,0,U$68/U$71))</f>
        <v>0</v>
      </c>
      <c r="V104" s="429">
        <f>IF(ISERROR(IF(SUM(V$82:V103)&gt;=V$68,0,V$68/V$71)),"NA",IF(SUM(V$82:V103)&gt;=V$68,0,V$68/V$71))</f>
        <v>0</v>
      </c>
      <c r="W104" s="429">
        <f t="shared" si="58"/>
        <v>0</v>
      </c>
      <c r="X104" s="429">
        <f t="shared" si="58"/>
        <v>0</v>
      </c>
      <c r="Y104" s="429">
        <f t="shared" si="54"/>
        <v>0</v>
      </c>
      <c r="Z104" s="429">
        <f t="shared" si="54"/>
        <v>0</v>
      </c>
      <c r="AA104" s="429">
        <f t="shared" si="54"/>
        <v>0</v>
      </c>
      <c r="AB104" s="429">
        <f t="shared" si="54"/>
        <v>0</v>
      </c>
      <c r="AC104" s="429">
        <f t="shared" si="54"/>
        <v>0</v>
      </c>
      <c r="AD104" s="429">
        <f t="shared" si="54"/>
        <v>0</v>
      </c>
    </row>
    <row r="105" spans="1:30" outlineLevel="1">
      <c r="A105" s="517"/>
      <c r="B105" s="403"/>
      <c r="C105" s="518" t="s">
        <v>549</v>
      </c>
      <c r="D105" s="518"/>
      <c r="E105" s="518"/>
      <c r="F105" s="518"/>
      <c r="G105" s="518"/>
      <c r="H105" s="424">
        <f>IF(ISERROR(IF(SUM(H$82:H104)&gt;=H$68,0,H$68/H$71)),"NA",IF(SUM(H$82:H104)&gt;=H$68,0,H$68/H$71))</f>
        <v>0</v>
      </c>
      <c r="I105" s="424">
        <f>IF(ISERROR(IF(SUM(I$82:I104)&gt;=I$68,0,I$68/I$71)),"NA",IF(SUM(I$82:I104)&gt;=I$68,0,I$68/I$71))</f>
        <v>0</v>
      </c>
      <c r="J105" s="424">
        <f>IF(ISERROR(IF(SUM(J$82:J104)&gt;=J$68,0,J$68/J$71)),"NA",IF(SUM(J$82:J104)&gt;=J$68,0,J$68/J$71))</f>
        <v>0</v>
      </c>
      <c r="K105" s="424">
        <f>IF(ISERROR(IF(SUM(K$82:K104)&gt;=K$68,0,K$68/K$71)),"NA",IF(SUM(K$82:K104)&gt;=K$68,0,K$68/K$71))</f>
        <v>0</v>
      </c>
      <c r="L105" s="424">
        <f>IF(ISERROR(IF(SUM(L$82:L104)&gt;=L$68,0,L$68/L$71)),"NA",IF(SUM(L$82:L104)&gt;=L$68,0,L$68/L$71))</f>
        <v>0</v>
      </c>
      <c r="M105" s="424">
        <f>IF(ISERROR(IF(SUM(M$82:M104)&gt;=M$68,0,M$68/M$71)),"NA",IF(SUM(M$82:M104)&gt;=M$68,0,M$68/M$71))</f>
        <v>0</v>
      </c>
      <c r="N105" s="424">
        <f>IF(ISERROR(IF(SUM(N$82:N104)&gt;=N$68,0,N$68/N$71)),"NA",IF(SUM(N$82:N104)&gt;=N$68,0,N$68/N$71))</f>
        <v>0</v>
      </c>
      <c r="O105" s="424">
        <f>IF(ISERROR(IF(SUM(O$82:O104)&gt;=O$68,0,O$68/O$71)),"NA",IF(SUM(O$82:O104)&gt;=O$68,0,O$68/O$71))</f>
        <v>0</v>
      </c>
      <c r="P105" s="424">
        <f>IF(ISERROR(IF(SUM(P$82:P104)&gt;=P$68,0,P$68/P$71)),"NA",IF(SUM(P$82:P104)&gt;=P$68,0,P$68/P$71))</f>
        <v>0</v>
      </c>
      <c r="Q105" s="424">
        <f>IF(ISERROR(IF(SUM(Q$82:Q104)&gt;=Q$68,0,Q$68/Q$71)),"NA",IF(SUM(Q$82:Q104)&gt;=Q$68,0,Q$68/Q$71))</f>
        <v>0</v>
      </c>
      <c r="R105" s="429">
        <f>IF(ISERROR(IF(SUM(R$82:R104)&gt;=R$68,0,R$68/R$71)),"NA",IF(SUM(R$82:R104)&gt;=R$68,0,R$68/R$71))</f>
        <v>0</v>
      </c>
      <c r="S105" s="429">
        <f>IF(ISERROR(IF(SUM(S$82:S104)&gt;=S$68,0,S$68/S$71)),"NA",IF(SUM(S$82:S104)&gt;=S$68,0,S$68/S$71))</f>
        <v>0</v>
      </c>
      <c r="T105" s="429">
        <f>IF(ISERROR(IF(SUM(T$82:T104)&gt;=T$68,0,T$68/T$71)),"NA",IF(SUM(T$82:T104)&gt;=T$68,0,T$68/T$71))</f>
        <v>0</v>
      </c>
      <c r="U105" s="429">
        <f>IF(ISERROR(IF(SUM(U$82:U104)&gt;=U$68,0,U$68/U$71)),"NA",IF(SUM(U$82:U104)&gt;=U$68,0,U$68/U$71))</f>
        <v>0</v>
      </c>
      <c r="V105" s="429">
        <f>IF(ISERROR(IF(SUM(V$82:V104)&gt;=V$68,0,V$68/V$71)),"NA",IF(SUM(V$82:V104)&gt;=V$68,0,V$68/V$71))</f>
        <v>0</v>
      </c>
      <c r="W105" s="429">
        <f t="shared" si="58"/>
        <v>0</v>
      </c>
      <c r="X105" s="429">
        <f t="shared" si="58"/>
        <v>0</v>
      </c>
      <c r="Y105" s="429">
        <f t="shared" si="54"/>
        <v>0</v>
      </c>
      <c r="Z105" s="429">
        <f t="shared" si="54"/>
        <v>0</v>
      </c>
      <c r="AA105" s="429">
        <f t="shared" si="54"/>
        <v>0</v>
      </c>
      <c r="AB105" s="429">
        <f t="shared" si="54"/>
        <v>0</v>
      </c>
      <c r="AC105" s="429">
        <f t="shared" si="54"/>
        <v>0</v>
      </c>
      <c r="AD105" s="429">
        <f t="shared" si="54"/>
        <v>0</v>
      </c>
    </row>
    <row r="106" spans="1:30" outlineLevel="1">
      <c r="A106" s="517"/>
      <c r="B106" s="403"/>
      <c r="C106" s="518" t="s">
        <v>550</v>
      </c>
      <c r="D106" s="518"/>
      <c r="E106" s="518"/>
      <c r="F106" s="518"/>
      <c r="G106" s="518"/>
      <c r="H106" s="424">
        <f>IF(ISERROR(IF(SUM(H$82:H105)&gt;=H$68,0,H$68/H$71)),"NA",IF(SUM(H$82:H105)&gt;=H$68,0,H$68/H$71))</f>
        <v>0</v>
      </c>
      <c r="I106" s="424">
        <f>IF(ISERROR(IF(SUM(I$82:I105)&gt;=I$68,0,I$68/I$71)),"NA",IF(SUM(I$82:I105)&gt;=I$68,0,I$68/I$71))</f>
        <v>0</v>
      </c>
      <c r="J106" s="424">
        <f>IF(ISERROR(IF(SUM(J$82:J105)&gt;=J$68,0,J$68/J$71)),"NA",IF(SUM(J$82:J105)&gt;=J$68,0,J$68/J$71))</f>
        <v>0</v>
      </c>
      <c r="K106" s="424">
        <f>IF(ISERROR(IF(SUM(K$82:K105)&gt;=K$68,0,K$68/K$71)),"NA",IF(SUM(K$82:K105)&gt;=K$68,0,K$68/K$71))</f>
        <v>0</v>
      </c>
      <c r="L106" s="424">
        <f>IF(ISERROR(IF(SUM(L$82:L105)&gt;=L$68,0,L$68/L$71)),"NA",IF(SUM(L$82:L105)&gt;=L$68,0,L$68/L$71))</f>
        <v>0</v>
      </c>
      <c r="M106" s="424">
        <f>IF(ISERROR(IF(SUM(M$82:M105)&gt;=M$68,0,M$68/M$71)),"NA",IF(SUM(M$82:M105)&gt;=M$68,0,M$68/M$71))</f>
        <v>0</v>
      </c>
      <c r="N106" s="424">
        <f>IF(ISERROR(IF(SUM(N$82:N105)&gt;=N$68,0,N$68/N$71)),"NA",IF(SUM(N$82:N105)&gt;=N$68,0,N$68/N$71))</f>
        <v>0</v>
      </c>
      <c r="O106" s="424">
        <f>IF(ISERROR(IF(SUM(O$82:O105)&gt;=O$68,0,O$68/O$71)),"NA",IF(SUM(O$82:O105)&gt;=O$68,0,O$68/O$71))</f>
        <v>0</v>
      </c>
      <c r="P106" s="424">
        <f>IF(ISERROR(IF(SUM(P$82:P105)&gt;=P$68,0,P$68/P$71)),"NA",IF(SUM(P$82:P105)&gt;=P$68,0,P$68/P$71))</f>
        <v>0</v>
      </c>
      <c r="Q106" s="424">
        <f>IF(ISERROR(IF(SUM(Q$82:Q105)&gt;=Q$68,0,Q$68/Q$71)),"NA",IF(SUM(Q$82:Q105)&gt;=Q$68,0,Q$68/Q$71))</f>
        <v>0</v>
      </c>
      <c r="R106" s="429">
        <f>IF(ISERROR(IF(SUM(R$82:R105)&gt;=R$68,0,R$68/R$71)),"NA",IF(SUM(R$82:R105)&gt;=R$68,0,R$68/R$71))</f>
        <v>0</v>
      </c>
      <c r="S106" s="429">
        <f>IF(ISERROR(IF(SUM(S$82:S105)&gt;=S$68,0,S$68/S$71)),"NA",IF(SUM(S$82:S105)&gt;=S$68,0,S$68/S$71))</f>
        <v>0</v>
      </c>
      <c r="T106" s="429">
        <f>IF(ISERROR(IF(SUM(T$82:T105)&gt;=T$68,0,T$68/T$71)),"NA",IF(SUM(T$82:T105)&gt;=T$68,0,T$68/T$71))</f>
        <v>0</v>
      </c>
      <c r="U106" s="429">
        <f>IF(ISERROR(IF(SUM(U$82:U105)&gt;=U$68,0,U$68/U$71)),"NA",IF(SUM(U$82:U105)&gt;=U$68,0,U$68/U$71))</f>
        <v>0</v>
      </c>
      <c r="V106" s="429">
        <f>IF(ISERROR(IF(SUM(V$82:V105)&gt;=V$68,0,V$68/V$71)),"NA",IF(SUM(V$82:V105)&gt;=V$68,0,V$68/V$71))</f>
        <v>0</v>
      </c>
      <c r="W106" s="429">
        <f>V106*(1+W$64)</f>
        <v>0</v>
      </c>
      <c r="X106" s="429">
        <f>W106*(1+X$64)</f>
        <v>0</v>
      </c>
      <c r="Y106" s="429">
        <f t="shared" si="54"/>
        <v>0</v>
      </c>
      <c r="Z106" s="429">
        <f t="shared" si="54"/>
        <v>0</v>
      </c>
      <c r="AA106" s="429">
        <f t="shared" si="54"/>
        <v>0</v>
      </c>
      <c r="AB106" s="429">
        <f t="shared" si="54"/>
        <v>0</v>
      </c>
      <c r="AC106" s="429">
        <f t="shared" si="54"/>
        <v>0</v>
      </c>
      <c r="AD106" s="429">
        <f t="shared" si="54"/>
        <v>0</v>
      </c>
    </row>
    <row r="107" spans="1:30" ht="11.25" customHeight="1">
      <c r="A107" s="517"/>
      <c r="B107" s="522"/>
      <c r="C107" s="523" t="s">
        <v>551</v>
      </c>
      <c r="D107" s="523"/>
      <c r="E107" s="523"/>
      <c r="F107" s="523"/>
      <c r="G107" s="523"/>
      <c r="H107" s="520"/>
      <c r="I107" s="520"/>
      <c r="J107" s="520"/>
      <c r="K107" s="520"/>
      <c r="L107" s="520"/>
      <c r="M107" s="520"/>
      <c r="N107" s="520"/>
      <c r="O107" s="520"/>
      <c r="P107" s="520"/>
      <c r="Q107" s="520"/>
      <c r="R107" s="520"/>
      <c r="S107" s="520"/>
      <c r="T107" s="520"/>
      <c r="U107" s="520"/>
      <c r="V107" s="520"/>
      <c r="W107" s="520"/>
      <c r="X107" s="520"/>
      <c r="Y107" s="520"/>
      <c r="Z107" s="520"/>
      <c r="AA107" s="520"/>
      <c r="AB107" s="520"/>
      <c r="AC107" s="520"/>
      <c r="AD107" s="520"/>
    </row>
    <row r="108" spans="1:30" ht="11.25" customHeight="1">
      <c r="A108" s="524"/>
      <c r="B108" s="525"/>
      <c r="C108" s="523"/>
      <c r="D108" s="523"/>
      <c r="E108" s="523"/>
      <c r="F108" s="523"/>
      <c r="G108" s="523"/>
      <c r="H108" s="526"/>
      <c r="I108" s="526"/>
      <c r="J108" s="526"/>
      <c r="K108" s="526"/>
      <c r="L108" s="526"/>
      <c r="M108" s="526"/>
      <c r="N108" s="526"/>
      <c r="O108" s="526"/>
      <c r="P108" s="526"/>
      <c r="Q108" s="526"/>
      <c r="R108" s="526"/>
      <c r="S108" s="526"/>
      <c r="T108" s="526"/>
      <c r="U108" s="526"/>
      <c r="V108" s="526"/>
      <c r="W108" s="526"/>
      <c r="X108" s="526"/>
      <c r="Y108" s="526"/>
      <c r="Z108" s="526"/>
      <c r="AA108" s="526"/>
      <c r="AB108" s="526"/>
      <c r="AC108" s="526"/>
      <c r="AD108" s="526"/>
    </row>
    <row r="109" spans="1:30" outlineLevel="1">
      <c r="A109" s="517"/>
      <c r="B109" s="522"/>
      <c r="C109" s="527"/>
      <c r="D109" s="527"/>
      <c r="E109" s="527"/>
      <c r="F109" s="527"/>
      <c r="G109" s="527"/>
      <c r="H109" s="528"/>
      <c r="I109" s="429"/>
      <c r="J109" s="429"/>
      <c r="K109" s="429"/>
      <c r="L109" s="429"/>
      <c r="M109" s="429"/>
      <c r="N109" s="429"/>
      <c r="O109" s="429"/>
      <c r="P109" s="429"/>
      <c r="Q109" s="429"/>
      <c r="R109" s="429"/>
      <c r="S109" s="429"/>
      <c r="T109" s="429"/>
      <c r="U109" s="429"/>
      <c r="V109" s="429"/>
      <c r="W109" s="429"/>
      <c r="X109" s="429"/>
      <c r="Y109" s="429"/>
      <c r="Z109" s="429"/>
      <c r="AA109" s="429"/>
      <c r="AB109" s="429"/>
      <c r="AC109" s="429"/>
      <c r="AD109" s="429"/>
    </row>
    <row r="110" spans="1:30" ht="12.75" customHeight="1" outlineLevel="1">
      <c r="A110" s="517"/>
      <c r="B110" s="529" t="s">
        <v>248</v>
      </c>
      <c r="C110" s="434" t="s">
        <v>554</v>
      </c>
      <c r="D110" s="434"/>
      <c r="E110" s="434"/>
      <c r="F110" s="434"/>
      <c r="G110" s="434"/>
      <c r="H110" s="514" t="str">
        <f t="shared" ref="H110:X110" si="59">H74</f>
        <v>01/1999</v>
      </c>
      <c r="I110" s="514" t="str">
        <f t="shared" si="59"/>
        <v>01/2000</v>
      </c>
      <c r="J110" s="514" t="str">
        <f t="shared" si="59"/>
        <v>01/2001</v>
      </c>
      <c r="K110" s="514" t="str">
        <f t="shared" si="59"/>
        <v>01/2002</v>
      </c>
      <c r="L110" s="514" t="str">
        <f t="shared" si="59"/>
        <v>01/2003</v>
      </c>
      <c r="M110" s="514" t="str">
        <f t="shared" si="59"/>
        <v>01/2004</v>
      </c>
      <c r="N110" s="514" t="str">
        <f t="shared" si="59"/>
        <v>01/2005</v>
      </c>
      <c r="O110" s="514" t="str">
        <f t="shared" si="59"/>
        <v>01/2006</v>
      </c>
      <c r="P110" s="514" t="str">
        <f t="shared" si="59"/>
        <v>01/2007</v>
      </c>
      <c r="Q110" s="514" t="str">
        <f t="shared" si="59"/>
        <v>01/2008</v>
      </c>
      <c r="R110" s="514" t="str">
        <f t="shared" si="59"/>
        <v>01/2009</v>
      </c>
      <c r="S110" s="514" t="str">
        <f t="shared" si="59"/>
        <v>01/2010</v>
      </c>
      <c r="T110" s="514" t="str">
        <f>T74</f>
        <v>01/2011</v>
      </c>
      <c r="U110" s="514" t="str">
        <f>U74</f>
        <v>01/2012</v>
      </c>
      <c r="V110" s="514" t="str">
        <f t="shared" si="59"/>
        <v>01/2013</v>
      </c>
      <c r="W110" s="514" t="str">
        <f t="shared" si="59"/>
        <v>01/2014</v>
      </c>
      <c r="X110" s="514" t="str">
        <f t="shared" si="59"/>
        <v>01/2015</v>
      </c>
      <c r="Y110" s="514" t="str">
        <f t="shared" ref="Y110:AD110" si="60">Y74</f>
        <v>01/2016</v>
      </c>
      <c r="Z110" s="514" t="str">
        <f t="shared" si="60"/>
        <v>01/2017</v>
      </c>
      <c r="AA110" s="514" t="str">
        <f t="shared" si="60"/>
        <v>01/2018</v>
      </c>
      <c r="AB110" s="514" t="str">
        <f t="shared" si="60"/>
        <v>01/2019</v>
      </c>
      <c r="AC110" s="514" t="str">
        <f t="shared" si="60"/>
        <v>01/2020</v>
      </c>
      <c r="AD110" s="514" t="str">
        <f t="shared" si="60"/>
        <v>01/2021</v>
      </c>
    </row>
    <row r="111" spans="1:30" ht="12.75" customHeight="1" outlineLevel="1">
      <c r="A111" s="517"/>
      <c r="B111" s="529"/>
      <c r="C111" s="434"/>
      <c r="D111" s="434"/>
      <c r="E111" s="434"/>
      <c r="F111" s="434"/>
      <c r="G111" s="434"/>
      <c r="H111" s="530"/>
      <c r="I111" s="530"/>
      <c r="J111" s="530"/>
      <c r="K111" s="530"/>
      <c r="L111" s="530"/>
      <c r="M111" s="530"/>
      <c r="N111" s="530"/>
      <c r="O111" s="530"/>
      <c r="P111" s="530"/>
      <c r="Q111" s="531"/>
      <c r="R111" s="531"/>
      <c r="S111" s="531"/>
      <c r="T111" s="531"/>
      <c r="U111" s="531"/>
      <c r="V111" s="531"/>
      <c r="W111" s="531"/>
      <c r="X111" s="531"/>
      <c r="Y111" s="531"/>
      <c r="Z111" s="531"/>
      <c r="AA111" s="531"/>
      <c r="AB111" s="531"/>
      <c r="AC111" s="531"/>
      <c r="AD111" s="531"/>
    </row>
    <row r="112" spans="1:30" ht="11.25" customHeight="1" outlineLevel="1">
      <c r="A112" s="517"/>
      <c r="B112" s="532">
        <v>1</v>
      </c>
      <c r="C112" s="406" t="s">
        <v>555</v>
      </c>
      <c r="D112" s="406"/>
      <c r="E112" s="406"/>
      <c r="F112" s="406"/>
      <c r="G112" s="406"/>
      <c r="H112" s="533">
        <f t="shared" ref="H112:H141" si="61">IF(ISERROR(H76/(POWER((1+$H$44),B112))),"NA",H76/(POWER((1+$H$44),B112)))</f>
        <v>48.084905660377352</v>
      </c>
      <c r="I112" s="533">
        <f t="shared" ref="I112:K141" si="62">IF(ISERROR((I76-H77)/(POWER((1+I$45),$B112))),"NA",(I76-H77)/(POWER((1+I$45),$B112)))</f>
        <v>12.247169811320754</v>
      </c>
      <c r="J112" s="533">
        <f t="shared" si="62"/>
        <v>12.082075471698115</v>
      </c>
      <c r="K112" s="533">
        <f t="shared" si="62"/>
        <v>9.4235849056603804</v>
      </c>
      <c r="L112" s="533">
        <f t="shared" ref="L112:L141" si="63">IF(ISERROR((L76-J77)/(POWER((1+L$45),$B112))),"NA",(L76-J77)/(POWER((1+L$45),$B112)))</f>
        <v>29.89433962264151</v>
      </c>
      <c r="M112" s="533">
        <f t="shared" ref="M112:M141" si="64">IF(ISERROR((M76-K77)/(POWER((1+M$45),$B112))),"NA",(M76-K77)/(POWER((1+M$45),$B112)))</f>
        <v>22.951886792452822</v>
      </c>
      <c r="N112" s="533">
        <f t="shared" ref="N112:AD112" si="65">IF(ISERROR((N76-M77)/(POWER((1+N$45),$B112))),"NA",(N76-M77)/(POWER((1+N$45),$B112)))</f>
        <v>8.2141509433962199</v>
      </c>
      <c r="O112" s="533">
        <f t="shared" si="65"/>
        <v>23.444339622641508</v>
      </c>
      <c r="P112" s="533">
        <f t="shared" si="65"/>
        <v>32.881132075471683</v>
      </c>
      <c r="Q112" s="533">
        <f t="shared" ref="Q112:R115" si="66">IF(ISERROR((Q76-P77)/(POWER((1+Q$45),$B112))),"NA",(Q76-P77)/(POWER((1+Q$45),$B112)))</f>
        <v>41.263207547169813</v>
      </c>
      <c r="R112" s="533">
        <f t="shared" si="66"/>
        <v>43.717924528301921</v>
      </c>
      <c r="S112" s="533">
        <f t="shared" si="65"/>
        <v>-2.1150943396226052</v>
      </c>
      <c r="T112" s="533">
        <f t="shared" si="65"/>
        <v>22.106603773584951</v>
      </c>
      <c r="U112" s="533">
        <f t="shared" si="65"/>
        <v>74.069811320754724</v>
      </c>
      <c r="V112" s="533">
        <f t="shared" si="65"/>
        <v>51.566037735849079</v>
      </c>
      <c r="W112" s="533">
        <f t="shared" si="65"/>
        <v>62.643396226415135</v>
      </c>
      <c r="X112" s="533">
        <f t="shared" si="65"/>
        <v>68.907735849056579</v>
      </c>
      <c r="Y112" s="533">
        <f t="shared" si="65"/>
        <v>75.798509433962224</v>
      </c>
      <c r="Z112" s="533">
        <f t="shared" si="65"/>
        <v>83.378360377358533</v>
      </c>
      <c r="AA112" s="533">
        <f t="shared" si="65"/>
        <v>91.716196415094345</v>
      </c>
      <c r="AB112" s="533">
        <f t="shared" si="65"/>
        <v>100.88781605660382</v>
      </c>
      <c r="AC112" s="533">
        <f t="shared" si="65"/>
        <v>110.97659766226425</v>
      </c>
      <c r="AD112" s="533">
        <f t="shared" si="65"/>
        <v>122.07425742849077</v>
      </c>
    </row>
    <row r="113" spans="1:30" ht="11.25" customHeight="1" outlineLevel="1">
      <c r="A113" s="534"/>
      <c r="B113" s="403">
        <v>2</v>
      </c>
      <c r="C113" s="406" t="str">
        <f t="shared" ref="C113:C141" si="67">"PV of Increase in forecast year "&amp;B112&amp;" lease commitments"</f>
        <v>PV of Increase in forecast year 1 lease commitments</v>
      </c>
      <c r="D113" s="406"/>
      <c r="E113" s="406"/>
      <c r="F113" s="406"/>
      <c r="G113" s="406"/>
      <c r="H113" s="533">
        <f t="shared" si="61"/>
        <v>43.542185831256667</v>
      </c>
      <c r="I113" s="533">
        <f t="shared" si="62"/>
        <v>11.144535421858309</v>
      </c>
      <c r="J113" s="533">
        <f t="shared" si="62"/>
        <v>14.320932716269128</v>
      </c>
      <c r="K113" s="533">
        <f t="shared" si="62"/>
        <v>18.753114987540044</v>
      </c>
      <c r="L113" s="533">
        <f t="shared" si="63"/>
        <v>33.195977216091137</v>
      </c>
      <c r="M113" s="533">
        <f t="shared" si="64"/>
        <v>31.492524029903869</v>
      </c>
      <c r="N113" s="533">
        <f t="shared" ref="N113:AD113" si="68">IF(ISERROR((N77-M78)/(POWER((1+N$45),$B113))),"NA",(N77-M78)/(POWER((1+N$45),$B113)))</f>
        <v>19.856710573157709</v>
      </c>
      <c r="O113" s="533">
        <f t="shared" si="68"/>
        <v>18.677465290138855</v>
      </c>
      <c r="P113" s="533">
        <f t="shared" si="68"/>
        <v>25.010679957280171</v>
      </c>
      <c r="Q113" s="533">
        <f t="shared" si="66"/>
        <v>34.519401922392305</v>
      </c>
      <c r="R113" s="533">
        <f t="shared" si="66"/>
        <v>45.752936988252053</v>
      </c>
      <c r="S113" s="533">
        <f t="shared" si="68"/>
        <v>4.8371306514773451</v>
      </c>
      <c r="T113" s="533">
        <f t="shared" si="68"/>
        <v>13.754894980420062</v>
      </c>
      <c r="U113" s="533">
        <f t="shared" si="68"/>
        <v>58.880384478462041</v>
      </c>
      <c r="V113" s="533">
        <f t="shared" si="68"/>
        <v>33.511035955856187</v>
      </c>
      <c r="W113" s="533">
        <f t="shared" si="68"/>
        <v>60.876468494126073</v>
      </c>
      <c r="X113" s="533">
        <f t="shared" si="68"/>
        <v>66.964115343538666</v>
      </c>
      <c r="Y113" s="533">
        <f t="shared" si="68"/>
        <v>73.660526877892536</v>
      </c>
      <c r="Z113" s="533">
        <f t="shared" si="68"/>
        <v>81.0265795656818</v>
      </c>
      <c r="AA113" s="533">
        <f t="shared" si="68"/>
        <v>89.129237522250023</v>
      </c>
      <c r="AB113" s="533">
        <f t="shared" si="68"/>
        <v>98.042161274474978</v>
      </c>
      <c r="AC113" s="533">
        <f t="shared" si="68"/>
        <v>107.84637740192248</v>
      </c>
      <c r="AD113" s="533">
        <f t="shared" si="68"/>
        <v>118.63101514211479</v>
      </c>
    </row>
    <row r="114" spans="1:30" ht="11.25" customHeight="1" outlineLevel="1">
      <c r="A114" s="534"/>
      <c r="B114" s="403">
        <v>3</v>
      </c>
      <c r="C114" s="406" t="str">
        <f t="shared" si="67"/>
        <v>PV of Increase in forecast year 2 lease commitments</v>
      </c>
      <c r="D114" s="406"/>
      <c r="E114" s="406"/>
      <c r="F114" s="406"/>
      <c r="G114" s="406"/>
      <c r="H114" s="533">
        <f t="shared" si="61"/>
        <v>42.184991637391931</v>
      </c>
      <c r="I114" s="533">
        <f t="shared" si="62"/>
        <v>11.894886382718619</v>
      </c>
      <c r="J114" s="533">
        <f t="shared" si="62"/>
        <v>16.261746273769614</v>
      </c>
      <c r="K114" s="533">
        <f t="shared" si="62"/>
        <v>20.386795811307319</v>
      </c>
      <c r="L114" s="533">
        <f t="shared" si="63"/>
        <v>33.285866856532571</v>
      </c>
      <c r="M114" s="533">
        <f t="shared" si="64"/>
        <v>31.023092888760512</v>
      </c>
      <c r="N114" s="533">
        <f t="shared" ref="N114:AD114" si="69">IF(ISERROR((N78-M79)/(POWER((1+N$45),$B114))),"NA",(N78-M79)/(POWER((1+N$45),$B114)))</f>
        <v>25.639454045957375</v>
      </c>
      <c r="O114" s="533">
        <f t="shared" si="69"/>
        <v>25.885462495885847</v>
      </c>
      <c r="P114" s="533">
        <f t="shared" si="69"/>
        <v>31.128884918422575</v>
      </c>
      <c r="Q114" s="533">
        <f t="shared" si="66"/>
        <v>47.311706979587129</v>
      </c>
      <c r="R114" s="533">
        <f t="shared" si="66"/>
        <v>55.495476131303036</v>
      </c>
      <c r="S114" s="533">
        <f t="shared" si="69"/>
        <v>8.2836838463967233</v>
      </c>
      <c r="T114" s="533">
        <f t="shared" si="69"/>
        <v>24.692363494696998</v>
      </c>
      <c r="U114" s="533">
        <f t="shared" si="69"/>
        <v>64.897532862698711</v>
      </c>
      <c r="V114" s="533">
        <f t="shared" si="69"/>
        <v>25.280096992819601</v>
      </c>
      <c r="W114" s="533">
        <f t="shared" si="69"/>
        <v>58.656222922278154</v>
      </c>
      <c r="X114" s="533">
        <f t="shared" si="69"/>
        <v>64.521845214505944</v>
      </c>
      <c r="Y114" s="533">
        <f t="shared" si="69"/>
        <v>70.974029735956563</v>
      </c>
      <c r="Z114" s="533">
        <f t="shared" si="69"/>
        <v>78.071432709552212</v>
      </c>
      <c r="AA114" s="533">
        <f t="shared" si="69"/>
        <v>85.878575980507463</v>
      </c>
      <c r="AB114" s="533">
        <f t="shared" si="69"/>
        <v>94.466433578558153</v>
      </c>
      <c r="AC114" s="533">
        <f t="shared" si="69"/>
        <v>103.91307693641393</v>
      </c>
      <c r="AD114" s="533">
        <f t="shared" si="69"/>
        <v>114.30438463005541</v>
      </c>
    </row>
    <row r="115" spans="1:30" outlineLevel="1">
      <c r="A115" s="534"/>
      <c r="B115" s="403">
        <v>4</v>
      </c>
      <c r="C115" s="406" t="str">
        <f t="shared" si="67"/>
        <v>PV of Increase in forecast year 3 lease commitments</v>
      </c>
      <c r="D115" s="406"/>
      <c r="E115" s="406"/>
      <c r="F115" s="406"/>
      <c r="G115" s="406"/>
      <c r="H115" s="533">
        <f t="shared" si="61"/>
        <v>39.465274677171124</v>
      </c>
      <c r="I115" s="533">
        <f t="shared" si="62"/>
        <v>11.214462084123895</v>
      </c>
      <c r="J115" s="533">
        <f t="shared" si="62"/>
        <v>15.283447232177599</v>
      </c>
      <c r="K115" s="533">
        <f t="shared" si="62"/>
        <v>19.213815989164654</v>
      </c>
      <c r="L115" s="533">
        <f t="shared" si="63"/>
        <v>29.810445015962891</v>
      </c>
      <c r="M115" s="533">
        <f t="shared" si="64"/>
        <v>26.628604770735777</v>
      </c>
      <c r="N115" s="533">
        <f t="shared" ref="N115:AD115" si="70">IF(ISERROR((N79-M80)/(POWER((1+N$45),$B115))),"NA",(N79-M80)/(POWER((1+N$45),$B115)))</f>
        <v>27.001680886120887</v>
      </c>
      <c r="O115" s="533">
        <f t="shared" si="70"/>
        <v>26.209587222882856</v>
      </c>
      <c r="P115" s="533">
        <f t="shared" si="70"/>
        <v>29.286871104562582</v>
      </c>
      <c r="Q115" s="533">
        <f t="shared" si="66"/>
        <v>45.737072302689768</v>
      </c>
      <c r="R115" s="533">
        <f t="shared" si="66"/>
        <v>56.040626674089921</v>
      </c>
      <c r="S115" s="533">
        <f t="shared" si="70"/>
        <v>2.2186543507296852</v>
      </c>
      <c r="T115" s="533">
        <f t="shared" si="70"/>
        <v>26.294341244849345</v>
      </c>
      <c r="U115" s="533">
        <f t="shared" si="70"/>
        <v>60.578531270780552</v>
      </c>
      <c r="V115" s="533">
        <f t="shared" si="70"/>
        <v>17.597152822495868</v>
      </c>
      <c r="W115" s="533">
        <f t="shared" si="70"/>
        <v>42.809256495263135</v>
      </c>
      <c r="X115" s="533">
        <f t="shared" si="70"/>
        <v>47.090182144789466</v>
      </c>
      <c r="Y115" s="533">
        <f t="shared" si="70"/>
        <v>51.79920035926839</v>
      </c>
      <c r="Z115" s="533">
        <f t="shared" si="70"/>
        <v>56.979120395195274</v>
      </c>
      <c r="AA115" s="533">
        <f t="shared" si="70"/>
        <v>62.67703243471486</v>
      </c>
      <c r="AB115" s="533">
        <f t="shared" si="70"/>
        <v>68.94473567818639</v>
      </c>
      <c r="AC115" s="533">
        <f t="shared" si="70"/>
        <v>75.839209246005012</v>
      </c>
      <c r="AD115" s="533">
        <f t="shared" si="70"/>
        <v>83.423130170605546</v>
      </c>
    </row>
    <row r="116" spans="1:30" outlineLevel="1">
      <c r="A116" s="517"/>
      <c r="B116" s="403">
        <v>5</v>
      </c>
      <c r="C116" s="406" t="str">
        <f t="shared" si="67"/>
        <v>PV of Increase in forecast year 4 lease commitments</v>
      </c>
      <c r="D116" s="406"/>
      <c r="E116" s="406"/>
      <c r="F116" s="406"/>
      <c r="G116" s="406"/>
      <c r="H116" s="533">
        <f t="shared" si="61"/>
        <v>36.980312458795424</v>
      </c>
      <c r="I116" s="533">
        <f t="shared" si="62"/>
        <v>10.531109430201342</v>
      </c>
      <c r="J116" s="533">
        <f t="shared" si="62"/>
        <v>14.462434677649664</v>
      </c>
      <c r="K116" s="533">
        <f t="shared" si="62"/>
        <v>18.265978777537896</v>
      </c>
      <c r="L116" s="533">
        <f t="shared" si="63"/>
        <v>26.012056997467443</v>
      </c>
      <c r="M116" s="533">
        <f t="shared" si="64"/>
        <v>19.841199005939536</v>
      </c>
      <c r="N116" s="533">
        <f t="shared" ref="N116:AD116" si="71">IF(ISERROR((N80-M81)/(POWER((1+N$45),$B116))),"NA",(N80-M81)/(POWER((1+N$45),$B116)))</f>
        <v>26.420059959852303</v>
      </c>
      <c r="O116" s="533">
        <f t="shared" si="71"/>
        <v>24.537716622402701</v>
      </c>
      <c r="P116" s="533">
        <f t="shared" si="71"/>
        <v>29.394894746032094</v>
      </c>
      <c r="Q116" s="533">
        <f>IF(ISERROR((Q80-P81)/(POWER((1+Q$45),$B116))),"NA",(Q80-P81)/(POWER((1+Q$45),$B116)))</f>
        <v>42.318724845750538</v>
      </c>
      <c r="R116" s="533">
        <f t="shared" si="71"/>
        <v>54.443735958675177</v>
      </c>
      <c r="S116" s="533">
        <f t="shared" si="71"/>
        <v>1.781463484112648</v>
      </c>
      <c r="T116" s="533">
        <f t="shared" si="71"/>
        <v>25.356711579863902</v>
      </c>
      <c r="U116" s="533">
        <f t="shared" si="71"/>
        <v>57.131623606474371</v>
      </c>
      <c r="V116" s="533">
        <f t="shared" si="71"/>
        <v>24.685673740630165</v>
      </c>
      <c r="W116" s="533">
        <f t="shared" si="71"/>
        <v>100.8318046364024</v>
      </c>
      <c r="X116" s="533">
        <f t="shared" si="71"/>
        <v>110.91498510004266</v>
      </c>
      <c r="Y116" s="533">
        <f t="shared" si="71"/>
        <v>122.00648361004694</v>
      </c>
      <c r="Z116" s="533">
        <f t="shared" si="71"/>
        <v>134.20713197105164</v>
      </c>
      <c r="AA116" s="533">
        <f t="shared" si="71"/>
        <v>147.62784516815677</v>
      </c>
      <c r="AB116" s="533">
        <f t="shared" si="71"/>
        <v>162.39062968497242</v>
      </c>
      <c r="AC116" s="533">
        <f t="shared" si="71"/>
        <v>178.6296926534697</v>
      </c>
      <c r="AD116" s="533">
        <f t="shared" si="71"/>
        <v>196.49266191881674</v>
      </c>
    </row>
    <row r="117" spans="1:30" outlineLevel="1">
      <c r="A117" s="517"/>
      <c r="B117" s="403">
        <v>6</v>
      </c>
      <c r="C117" s="406" t="str">
        <f t="shared" si="67"/>
        <v>PV of Increase in forecast year 5 lease commitments</v>
      </c>
      <c r="D117" s="406"/>
      <c r="E117" s="406"/>
      <c r="F117" s="406"/>
      <c r="G117" s="406"/>
      <c r="H117" s="533">
        <f t="shared" si="61"/>
        <v>34.038314734589328</v>
      </c>
      <c r="I117" s="533">
        <f t="shared" si="62"/>
        <v>9.4619803737813388</v>
      </c>
      <c r="J117" s="533">
        <f t="shared" si="62"/>
        <v>11.549368534023213</v>
      </c>
      <c r="K117" s="533">
        <f t="shared" si="62"/>
        <v>12.574381159822508</v>
      </c>
      <c r="L117" s="533">
        <f t="shared" si="63"/>
        <v>15.010019827041589</v>
      </c>
      <c r="M117" s="533">
        <f t="shared" si="64"/>
        <v>10.027358727213958</v>
      </c>
      <c r="N117" s="533">
        <f t="shared" ref="N117:AD117" si="72">IF(ISERROR((N81-M82)/(POWER((1+N$45),$B117))),"NA",(N81-M82)/(POWER((1+N$45),$B117)))</f>
        <v>18.941584761073663</v>
      </c>
      <c r="O117" s="533">
        <f t="shared" si="72"/>
        <v>13.14821903974039</v>
      </c>
      <c r="P117" s="533">
        <f t="shared" si="72"/>
        <v>16.057591190134961</v>
      </c>
      <c r="Q117" s="533">
        <f t="shared" si="72"/>
        <v>25.707091067673222</v>
      </c>
      <c r="R117" s="533">
        <f t="shared" si="72"/>
        <v>37.388992183299138</v>
      </c>
      <c r="S117" s="533">
        <f t="shared" si="72"/>
        <v>-11.664982062655341</v>
      </c>
      <c r="T117" s="533">
        <f t="shared" si="72"/>
        <v>7.8828687631964716</v>
      </c>
      <c r="U117" s="533">
        <f t="shared" si="72"/>
        <v>33.637897147619597</v>
      </c>
      <c r="V117" s="533">
        <f t="shared" si="72"/>
        <v>-47.632068835887615</v>
      </c>
      <c r="W117" s="533">
        <f t="shared" si="72"/>
        <v>17.111859678362492</v>
      </c>
      <c r="X117" s="533">
        <f t="shared" si="72"/>
        <v>18.823045646198732</v>
      </c>
      <c r="Y117" s="533">
        <f t="shared" si="72"/>
        <v>20.705350210818626</v>
      </c>
      <c r="Z117" s="533">
        <f t="shared" si="72"/>
        <v>22.775885231900489</v>
      </c>
      <c r="AA117" s="533">
        <f t="shared" si="72"/>
        <v>25.053473755090558</v>
      </c>
      <c r="AB117" s="533">
        <f t="shared" si="72"/>
        <v>27.558821130599593</v>
      </c>
      <c r="AC117" s="533">
        <f t="shared" si="72"/>
        <v>30.314703243659565</v>
      </c>
      <c r="AD117" s="533">
        <f t="shared" si="72"/>
        <v>33.346173568025549</v>
      </c>
    </row>
    <row r="118" spans="1:30" outlineLevel="1">
      <c r="A118" s="517"/>
      <c r="B118" s="403">
        <v>7</v>
      </c>
      <c r="C118" s="406" t="str">
        <f t="shared" si="67"/>
        <v>PV of Increase in forecast year 6 lease commitments</v>
      </c>
      <c r="D118" s="406"/>
      <c r="E118" s="406"/>
      <c r="F118" s="406"/>
      <c r="G118" s="406"/>
      <c r="H118" s="533">
        <f t="shared" si="61"/>
        <v>32.111617674140874</v>
      </c>
      <c r="I118" s="533">
        <f t="shared" si="62"/>
        <v>8.9263965790389967</v>
      </c>
      <c r="J118" s="533">
        <f t="shared" si="62"/>
        <v>10.895630692474729</v>
      </c>
      <c r="K118" s="533">
        <f t="shared" si="62"/>
        <v>11.862623735681609</v>
      </c>
      <c r="L118" s="533">
        <f t="shared" si="63"/>
        <v>14.160396063246779</v>
      </c>
      <c r="M118" s="533">
        <f t="shared" si="64"/>
        <v>9.4597723841641095</v>
      </c>
      <c r="N118" s="533">
        <f t="shared" ref="N118:AD118" si="73">IF(ISERROR((N82-M83)/(POWER((1+N$45),$B118))),"NA",(N82-M83)/(POWER((1+N$45),$B118)))</f>
        <v>17.869419585918546</v>
      </c>
      <c r="O118" s="533">
        <f t="shared" si="73"/>
        <v>12.403980226170177</v>
      </c>
      <c r="P118" s="533">
        <f t="shared" si="73"/>
        <v>15.148670934089584</v>
      </c>
      <c r="Q118" s="533">
        <f t="shared" si="73"/>
        <v>24.251972705352092</v>
      </c>
      <c r="R118" s="533">
        <f t="shared" si="73"/>
        <v>35.272634135187857</v>
      </c>
      <c r="S118" s="533">
        <f t="shared" si="73"/>
        <v>-11.004700059108812</v>
      </c>
      <c r="T118" s="533">
        <f t="shared" si="73"/>
        <v>7.4366686445249721</v>
      </c>
      <c r="U118" s="533">
        <f t="shared" si="73"/>
        <v>31.733865233603392</v>
      </c>
      <c r="V118" s="533">
        <f t="shared" si="73"/>
        <v>-44.935913996120384</v>
      </c>
      <c r="W118" s="533">
        <f t="shared" si="73"/>
        <v>16.143263847511783</v>
      </c>
      <c r="X118" s="533">
        <f t="shared" si="73"/>
        <v>17.757590232262952</v>
      </c>
      <c r="Y118" s="533">
        <f t="shared" si="73"/>
        <v>19.533349255489266</v>
      </c>
      <c r="Z118" s="533">
        <f t="shared" si="73"/>
        <v>21.486684181038193</v>
      </c>
      <c r="AA118" s="533">
        <f t="shared" si="73"/>
        <v>23.635352599142031</v>
      </c>
      <c r="AB118" s="533">
        <f t="shared" si="73"/>
        <v>25.998887859056214</v>
      </c>
      <c r="AC118" s="533">
        <f t="shared" si="73"/>
        <v>28.598776644961848</v>
      </c>
      <c r="AD118" s="533">
        <f t="shared" si="73"/>
        <v>31.458654309458062</v>
      </c>
    </row>
    <row r="119" spans="1:30" outlineLevel="1">
      <c r="A119" s="517"/>
      <c r="B119" s="403">
        <v>8</v>
      </c>
      <c r="C119" s="406" t="str">
        <f t="shared" si="67"/>
        <v>PV of Increase in forecast year 7 lease commitments</v>
      </c>
      <c r="D119" s="406"/>
      <c r="E119" s="406"/>
      <c r="F119" s="406"/>
      <c r="G119" s="406"/>
      <c r="H119" s="533">
        <f t="shared" si="61"/>
        <v>30.293978937868751</v>
      </c>
      <c r="I119" s="533">
        <f t="shared" si="62"/>
        <v>8.4211288481499977</v>
      </c>
      <c r="J119" s="533">
        <f t="shared" si="62"/>
        <v>10.278896879693141</v>
      </c>
      <c r="K119" s="533">
        <f t="shared" si="62"/>
        <v>11.191154467624161</v>
      </c>
      <c r="L119" s="533">
        <f t="shared" si="63"/>
        <v>13.358864210610172</v>
      </c>
      <c r="M119" s="533">
        <f t="shared" si="64"/>
        <v>8.9243135699661433</v>
      </c>
      <c r="N119" s="533">
        <f t="shared" ref="N119:AD119" si="74">IF(ISERROR((N83-M84)/(POWER((1+N$45),$B119))),"NA",(N83-M84)/(POWER((1+N$45),$B119)))</f>
        <v>16.857943005583536</v>
      </c>
      <c r="O119" s="533">
        <f t="shared" si="74"/>
        <v>11.701868137896394</v>
      </c>
      <c r="P119" s="533">
        <f t="shared" si="74"/>
        <v>14.291198994424137</v>
      </c>
      <c r="Q119" s="533">
        <f t="shared" si="74"/>
        <v>22.879219533351034</v>
      </c>
      <c r="R119" s="533">
        <f t="shared" si="74"/>
        <v>33.276069938856473</v>
      </c>
      <c r="S119" s="533">
        <f t="shared" si="74"/>
        <v>-10.38179250859322</v>
      </c>
      <c r="T119" s="533">
        <f t="shared" si="74"/>
        <v>7.0157251363443143</v>
      </c>
      <c r="U119" s="533">
        <f t="shared" si="74"/>
        <v>29.937608710946598</v>
      </c>
      <c r="V119" s="533">
        <f t="shared" si="74"/>
        <v>-42.392371694453196</v>
      </c>
      <c r="W119" s="533">
        <f t="shared" si="74"/>
        <v>15.229494195765833</v>
      </c>
      <c r="X119" s="533">
        <f t="shared" si="74"/>
        <v>16.752443615342411</v>
      </c>
      <c r="Y119" s="533">
        <f t="shared" si="74"/>
        <v>18.427687976876669</v>
      </c>
      <c r="Z119" s="533">
        <f t="shared" si="74"/>
        <v>20.270456774564334</v>
      </c>
      <c r="AA119" s="533">
        <f t="shared" si="74"/>
        <v>22.297502452020787</v>
      </c>
      <c r="AB119" s="533">
        <f t="shared" si="74"/>
        <v>24.527252697222849</v>
      </c>
      <c r="AC119" s="533">
        <f t="shared" si="74"/>
        <v>26.979977966945142</v>
      </c>
      <c r="AD119" s="533">
        <f t="shared" si="74"/>
        <v>29.677975763639683</v>
      </c>
    </row>
    <row r="120" spans="1:30" outlineLevel="1">
      <c r="A120" s="517"/>
      <c r="B120" s="403">
        <v>9</v>
      </c>
      <c r="C120" s="406" t="str">
        <f t="shared" si="67"/>
        <v>PV of Increase in forecast year 8 lease commitments</v>
      </c>
      <c r="D120" s="406"/>
      <c r="E120" s="406"/>
      <c r="F120" s="406"/>
      <c r="G120" s="406"/>
      <c r="H120" s="533">
        <f t="shared" si="61"/>
        <v>28.579225413083726</v>
      </c>
      <c r="I120" s="533">
        <f t="shared" si="62"/>
        <v>7.9444611774999983</v>
      </c>
      <c r="J120" s="533">
        <f t="shared" si="62"/>
        <v>9.6970725280123968</v>
      </c>
      <c r="K120" s="533">
        <f t="shared" si="62"/>
        <v>10.557692893985058</v>
      </c>
      <c r="L120" s="533">
        <f t="shared" si="63"/>
        <v>12.602702085481294</v>
      </c>
      <c r="M120" s="533">
        <f t="shared" si="64"/>
        <v>8.4191637452510779</v>
      </c>
      <c r="N120" s="533">
        <f t="shared" ref="N120:AD120" si="75">IF(ISERROR((N84-M85)/(POWER((1+N$45),$B120))),"NA",(N84-M85)/(POWER((1+N$45),$B120)))</f>
        <v>15.903719816588241</v>
      </c>
      <c r="O120" s="533">
        <f t="shared" si="75"/>
        <v>11.039498243298485</v>
      </c>
      <c r="P120" s="533">
        <f t="shared" si="75"/>
        <v>13.482263202286921</v>
      </c>
      <c r="Q120" s="533">
        <f t="shared" si="75"/>
        <v>21.584169371085881</v>
      </c>
      <c r="R120" s="533">
        <f t="shared" si="75"/>
        <v>31.392518810241956</v>
      </c>
      <c r="S120" s="533">
        <f t="shared" si="75"/>
        <v>-9.7941438760313382</v>
      </c>
      <c r="T120" s="533">
        <f t="shared" si="75"/>
        <v>6.6186086191927496</v>
      </c>
      <c r="U120" s="533">
        <f t="shared" si="75"/>
        <v>28.243027085798676</v>
      </c>
      <c r="V120" s="533">
        <f t="shared" si="75"/>
        <v>-39.992803485333205</v>
      </c>
      <c r="W120" s="533">
        <f t="shared" si="75"/>
        <v>14.36744735449607</v>
      </c>
      <c r="X120" s="533">
        <f t="shared" si="75"/>
        <v>15.804192089945669</v>
      </c>
      <c r="Y120" s="533">
        <f t="shared" si="75"/>
        <v>17.384611298940253</v>
      </c>
      <c r="Z120" s="533">
        <f t="shared" si="75"/>
        <v>19.123072428834277</v>
      </c>
      <c r="AA120" s="533">
        <f t="shared" si="75"/>
        <v>21.035379671717724</v>
      </c>
      <c r="AB120" s="533">
        <f t="shared" si="75"/>
        <v>23.138917638889478</v>
      </c>
      <c r="AC120" s="533">
        <f t="shared" si="75"/>
        <v>25.452809402778438</v>
      </c>
      <c r="AD120" s="533">
        <f t="shared" si="75"/>
        <v>27.998090343056305</v>
      </c>
    </row>
    <row r="121" spans="1:30" outlineLevel="1">
      <c r="A121" s="517"/>
      <c r="B121" s="403">
        <v>10</v>
      </c>
      <c r="C121" s="406" t="str">
        <f t="shared" si="67"/>
        <v>PV of Increase in forecast year 9 lease commitments</v>
      </c>
      <c r="D121" s="406"/>
      <c r="E121" s="406"/>
      <c r="F121" s="406"/>
      <c r="G121" s="406"/>
      <c r="H121" s="533">
        <f t="shared" si="61"/>
        <v>26.961533408569551</v>
      </c>
      <c r="I121" s="533">
        <f t="shared" si="62"/>
        <v>34.456308104324265</v>
      </c>
      <c r="J121" s="533">
        <f t="shared" si="62"/>
        <v>43.604489734524641</v>
      </c>
      <c r="K121" s="533">
        <f t="shared" si="62"/>
        <v>53.564577370359601</v>
      </c>
      <c r="L121" s="533">
        <f t="shared" si="63"/>
        <v>55.493831324601331</v>
      </c>
      <c r="M121" s="533">
        <f t="shared" si="64"/>
        <v>61.507184677200236</v>
      </c>
      <c r="N121" s="533">
        <f t="shared" ref="N121:AD121" si="76">IF(ISERROR((N85-M86)/(POWER((1+N$45),$B121))),"NA",(N85-M86)/(POWER((1+N$45),$B121)))</f>
        <v>76.510693938132533</v>
      </c>
      <c r="O121" s="533">
        <f t="shared" si="76"/>
        <v>86.925314922376387</v>
      </c>
      <c r="P121" s="533">
        <f t="shared" si="76"/>
        <v>99.644431150948961</v>
      </c>
      <c r="Q121" s="533">
        <f t="shared" si="76"/>
        <v>120.00685508593564</v>
      </c>
      <c r="R121" s="533">
        <f t="shared" si="76"/>
        <v>29.615583783247125</v>
      </c>
      <c r="S121" s="533">
        <f t="shared" si="76"/>
        <v>-9.2397583736144693</v>
      </c>
      <c r="T121" s="533">
        <f t="shared" si="76"/>
        <v>6.2439703954648573</v>
      </c>
      <c r="U121" s="533">
        <f t="shared" si="76"/>
        <v>26.64436517528177</v>
      </c>
      <c r="V121" s="533">
        <f t="shared" si="76"/>
        <v>-37.729059891823773</v>
      </c>
      <c r="W121" s="533">
        <f t="shared" si="76"/>
        <v>149.09615179194026</v>
      </c>
      <c r="X121" s="533">
        <f t="shared" si="76"/>
        <v>164.00576697113431</v>
      </c>
      <c r="Y121" s="533">
        <f t="shared" si="76"/>
        <v>180.40634366824773</v>
      </c>
      <c r="Z121" s="533">
        <f t="shared" si="76"/>
        <v>198.44697803507253</v>
      </c>
      <c r="AA121" s="533">
        <f t="shared" si="76"/>
        <v>218.29167583857981</v>
      </c>
      <c r="AB121" s="533">
        <f t="shared" si="76"/>
        <v>240.12084342243782</v>
      </c>
      <c r="AC121" s="533">
        <f t="shared" si="76"/>
        <v>264.1329277646816</v>
      </c>
      <c r="AD121" s="533">
        <f t="shared" si="76"/>
        <v>290.54622054114981</v>
      </c>
    </row>
    <row r="122" spans="1:30" outlineLevel="1">
      <c r="A122" s="517"/>
      <c r="B122" s="403">
        <v>11</v>
      </c>
      <c r="C122" s="406" t="str">
        <f t="shared" si="67"/>
        <v>PV of Increase in forecast year 10 lease commitments</v>
      </c>
      <c r="D122" s="406"/>
      <c r="E122" s="406"/>
      <c r="F122" s="406"/>
      <c r="G122" s="406"/>
      <c r="H122" s="533">
        <f t="shared" si="61"/>
        <v>0</v>
      </c>
      <c r="I122" s="533">
        <f t="shared" si="62"/>
        <v>0</v>
      </c>
      <c r="J122" s="533">
        <f t="shared" si="62"/>
        <v>0</v>
      </c>
      <c r="K122" s="533">
        <f t="shared" si="62"/>
        <v>0</v>
      </c>
      <c r="L122" s="533">
        <f t="shared" si="63"/>
        <v>0</v>
      </c>
      <c r="M122" s="533">
        <f t="shared" si="64"/>
        <v>0</v>
      </c>
      <c r="N122" s="533">
        <f t="shared" ref="N122:AD122" si="77">IF(ISERROR((N86-M87)/(POWER((1+N$45),$B122))),"NA",(N86-M87)/(POWER((1+N$45),$B122)))</f>
        <v>0</v>
      </c>
      <c r="O122" s="533">
        <f t="shared" si="77"/>
        <v>0</v>
      </c>
      <c r="P122" s="533">
        <f t="shared" si="77"/>
        <v>0</v>
      </c>
      <c r="Q122" s="533">
        <f t="shared" si="77"/>
        <v>113.21401423201473</v>
      </c>
      <c r="R122" s="533">
        <f t="shared" si="77"/>
        <v>141.15324421621014</v>
      </c>
      <c r="S122" s="533">
        <f t="shared" si="77"/>
        <v>132.43649103355497</v>
      </c>
      <c r="T122" s="533">
        <f t="shared" si="77"/>
        <v>138.32702914248409</v>
      </c>
      <c r="U122" s="533">
        <f t="shared" si="77"/>
        <v>163.46322270407066</v>
      </c>
      <c r="V122" s="533">
        <f t="shared" si="77"/>
        <v>0</v>
      </c>
      <c r="W122" s="533">
        <f t="shared" si="77"/>
        <v>0</v>
      </c>
      <c r="X122" s="533">
        <f t="shared" si="77"/>
        <v>0</v>
      </c>
      <c r="Y122" s="533">
        <f t="shared" si="77"/>
        <v>0</v>
      </c>
      <c r="Z122" s="533">
        <f t="shared" si="77"/>
        <v>0</v>
      </c>
      <c r="AA122" s="533">
        <f t="shared" si="77"/>
        <v>0</v>
      </c>
      <c r="AB122" s="533">
        <f t="shared" si="77"/>
        <v>0</v>
      </c>
      <c r="AC122" s="533">
        <f t="shared" si="77"/>
        <v>0</v>
      </c>
      <c r="AD122" s="533">
        <f t="shared" si="77"/>
        <v>0</v>
      </c>
    </row>
    <row r="123" spans="1:30" outlineLevel="1">
      <c r="A123" s="517"/>
      <c r="B123" s="403">
        <v>12</v>
      </c>
      <c r="C123" s="406" t="str">
        <f t="shared" si="67"/>
        <v>PV of Increase in forecast year 11 lease commitments</v>
      </c>
      <c r="D123" s="406"/>
      <c r="E123" s="406"/>
      <c r="F123" s="406"/>
      <c r="G123" s="406"/>
      <c r="H123" s="533">
        <f t="shared" si="61"/>
        <v>0</v>
      </c>
      <c r="I123" s="533">
        <f t="shared" si="62"/>
        <v>0</v>
      </c>
      <c r="J123" s="533">
        <f t="shared" si="62"/>
        <v>0</v>
      </c>
      <c r="K123" s="533">
        <f t="shared" si="62"/>
        <v>0</v>
      </c>
      <c r="L123" s="533">
        <f t="shared" si="63"/>
        <v>0</v>
      </c>
      <c r="M123" s="533">
        <f t="shared" si="64"/>
        <v>0</v>
      </c>
      <c r="N123" s="533">
        <f t="shared" ref="N123:AD123" si="78">IF(ISERROR((N87-M88)/(POWER((1+N$45),$B123))),"NA",(N87-M88)/(POWER((1+N$45),$B123)))</f>
        <v>0</v>
      </c>
      <c r="O123" s="533">
        <f t="shared" si="78"/>
        <v>0</v>
      </c>
      <c r="P123" s="533">
        <f t="shared" si="78"/>
        <v>0</v>
      </c>
      <c r="Q123" s="533">
        <f t="shared" si="78"/>
        <v>0</v>
      </c>
      <c r="R123" s="533">
        <f t="shared" si="78"/>
        <v>0</v>
      </c>
      <c r="S123" s="533">
        <f t="shared" si="78"/>
        <v>0</v>
      </c>
      <c r="T123" s="533">
        <f t="shared" si="78"/>
        <v>0</v>
      </c>
      <c r="U123" s="533">
        <f t="shared" si="78"/>
        <v>0</v>
      </c>
      <c r="V123" s="533">
        <f t="shared" si="78"/>
        <v>0</v>
      </c>
      <c r="W123" s="533">
        <f t="shared" si="78"/>
        <v>0</v>
      </c>
      <c r="X123" s="533">
        <f t="shared" si="78"/>
        <v>0</v>
      </c>
      <c r="Y123" s="533">
        <f t="shared" si="78"/>
        <v>0</v>
      </c>
      <c r="Z123" s="533">
        <f t="shared" si="78"/>
        <v>0</v>
      </c>
      <c r="AA123" s="533">
        <f t="shared" si="78"/>
        <v>0</v>
      </c>
      <c r="AB123" s="533">
        <f t="shared" si="78"/>
        <v>0</v>
      </c>
      <c r="AC123" s="533">
        <f t="shared" si="78"/>
        <v>0</v>
      </c>
      <c r="AD123" s="533">
        <f t="shared" si="78"/>
        <v>0</v>
      </c>
    </row>
    <row r="124" spans="1:30" outlineLevel="1">
      <c r="A124" s="517"/>
      <c r="B124" s="403">
        <v>13</v>
      </c>
      <c r="C124" s="406" t="str">
        <f t="shared" si="67"/>
        <v>PV of Increase in forecast year 12 lease commitments</v>
      </c>
      <c r="D124" s="406"/>
      <c r="E124" s="406"/>
      <c r="F124" s="406"/>
      <c r="G124" s="406"/>
      <c r="H124" s="533">
        <f t="shared" si="61"/>
        <v>0</v>
      </c>
      <c r="I124" s="533">
        <f t="shared" si="62"/>
        <v>0</v>
      </c>
      <c r="J124" s="533">
        <f t="shared" si="62"/>
        <v>0</v>
      </c>
      <c r="K124" s="533">
        <f t="shared" si="62"/>
        <v>0</v>
      </c>
      <c r="L124" s="533">
        <f t="shared" si="63"/>
        <v>0</v>
      </c>
      <c r="M124" s="533">
        <f t="shared" si="64"/>
        <v>0</v>
      </c>
      <c r="N124" s="533">
        <f t="shared" ref="N124:AD124" si="79">IF(ISERROR((N88-M89)/(POWER((1+N$45),$B124))),"NA",(N88-M89)/(POWER((1+N$45),$B124)))</f>
        <v>0</v>
      </c>
      <c r="O124" s="533">
        <f t="shared" si="79"/>
        <v>0</v>
      </c>
      <c r="P124" s="533">
        <f t="shared" si="79"/>
        <v>0</v>
      </c>
      <c r="Q124" s="533">
        <f t="shared" si="79"/>
        <v>0</v>
      </c>
      <c r="R124" s="533">
        <f t="shared" si="79"/>
        <v>0</v>
      </c>
      <c r="S124" s="533">
        <f t="shared" si="79"/>
        <v>0</v>
      </c>
      <c r="T124" s="533">
        <f t="shared" si="79"/>
        <v>0</v>
      </c>
      <c r="U124" s="533">
        <f t="shared" si="79"/>
        <v>0</v>
      </c>
      <c r="V124" s="533">
        <f t="shared" si="79"/>
        <v>0</v>
      </c>
      <c r="W124" s="533">
        <f t="shared" si="79"/>
        <v>0</v>
      </c>
      <c r="X124" s="533">
        <f t="shared" si="79"/>
        <v>0</v>
      </c>
      <c r="Y124" s="533">
        <f t="shared" si="79"/>
        <v>0</v>
      </c>
      <c r="Z124" s="533">
        <f t="shared" si="79"/>
        <v>0</v>
      </c>
      <c r="AA124" s="533">
        <f t="shared" si="79"/>
        <v>0</v>
      </c>
      <c r="AB124" s="533">
        <f t="shared" si="79"/>
        <v>0</v>
      </c>
      <c r="AC124" s="533">
        <f t="shared" si="79"/>
        <v>0</v>
      </c>
      <c r="AD124" s="533">
        <f t="shared" si="79"/>
        <v>0</v>
      </c>
    </row>
    <row r="125" spans="1:30" outlineLevel="1">
      <c r="A125" s="517"/>
      <c r="B125" s="403">
        <v>14</v>
      </c>
      <c r="C125" s="406" t="str">
        <f t="shared" si="67"/>
        <v>PV of Increase in forecast year 13 lease commitments</v>
      </c>
      <c r="D125" s="406"/>
      <c r="E125" s="406"/>
      <c r="F125" s="406"/>
      <c r="G125" s="406"/>
      <c r="H125" s="533">
        <f t="shared" si="61"/>
        <v>0</v>
      </c>
      <c r="I125" s="533">
        <f t="shared" si="62"/>
        <v>0</v>
      </c>
      <c r="J125" s="533">
        <f t="shared" si="62"/>
        <v>0</v>
      </c>
      <c r="K125" s="533">
        <f t="shared" si="62"/>
        <v>0</v>
      </c>
      <c r="L125" s="533">
        <f t="shared" si="63"/>
        <v>0</v>
      </c>
      <c r="M125" s="533">
        <f t="shared" si="64"/>
        <v>0</v>
      </c>
      <c r="N125" s="533">
        <f t="shared" ref="N125:AD125" si="80">IF(ISERROR((N89-M90)/(POWER((1+N$45),$B125))),"NA",(N89-M90)/(POWER((1+N$45),$B125)))</f>
        <v>0</v>
      </c>
      <c r="O125" s="533">
        <f t="shared" si="80"/>
        <v>0</v>
      </c>
      <c r="P125" s="533">
        <f t="shared" si="80"/>
        <v>0</v>
      </c>
      <c r="Q125" s="533">
        <f t="shared" si="80"/>
        <v>0</v>
      </c>
      <c r="R125" s="533">
        <f t="shared" si="80"/>
        <v>0</v>
      </c>
      <c r="S125" s="533">
        <f t="shared" si="80"/>
        <v>0</v>
      </c>
      <c r="T125" s="533">
        <f t="shared" si="80"/>
        <v>0</v>
      </c>
      <c r="U125" s="533">
        <f t="shared" si="80"/>
        <v>0</v>
      </c>
      <c r="V125" s="533">
        <f t="shared" si="80"/>
        <v>0</v>
      </c>
      <c r="W125" s="533">
        <f t="shared" si="80"/>
        <v>0</v>
      </c>
      <c r="X125" s="533">
        <f t="shared" si="80"/>
        <v>0</v>
      </c>
      <c r="Y125" s="533">
        <f t="shared" si="80"/>
        <v>0</v>
      </c>
      <c r="Z125" s="533">
        <f t="shared" si="80"/>
        <v>0</v>
      </c>
      <c r="AA125" s="533">
        <f t="shared" si="80"/>
        <v>0</v>
      </c>
      <c r="AB125" s="533">
        <f t="shared" si="80"/>
        <v>0</v>
      </c>
      <c r="AC125" s="533">
        <f t="shared" si="80"/>
        <v>0</v>
      </c>
      <c r="AD125" s="533">
        <f t="shared" si="80"/>
        <v>0</v>
      </c>
    </row>
    <row r="126" spans="1:30" outlineLevel="1">
      <c r="A126" s="517"/>
      <c r="B126" s="403">
        <v>15</v>
      </c>
      <c r="C126" s="406" t="str">
        <f t="shared" si="67"/>
        <v>PV of Increase in forecast year 14 lease commitments</v>
      </c>
      <c r="D126" s="406"/>
      <c r="E126" s="406"/>
      <c r="F126" s="406"/>
      <c r="G126" s="406"/>
      <c r="H126" s="533">
        <f t="shared" si="61"/>
        <v>0</v>
      </c>
      <c r="I126" s="533">
        <f t="shared" si="62"/>
        <v>0</v>
      </c>
      <c r="J126" s="533">
        <f t="shared" si="62"/>
        <v>0</v>
      </c>
      <c r="K126" s="533">
        <f t="shared" si="62"/>
        <v>0</v>
      </c>
      <c r="L126" s="533">
        <f t="shared" si="63"/>
        <v>0</v>
      </c>
      <c r="M126" s="533">
        <f t="shared" si="64"/>
        <v>0</v>
      </c>
      <c r="N126" s="533">
        <f t="shared" ref="N126:AD126" si="81">IF(ISERROR((N90-M91)/(POWER((1+N$45),$B126))),"NA",(N90-M91)/(POWER((1+N$45),$B126)))</f>
        <v>0</v>
      </c>
      <c r="O126" s="533">
        <f t="shared" si="81"/>
        <v>0</v>
      </c>
      <c r="P126" s="533">
        <f t="shared" si="81"/>
        <v>0</v>
      </c>
      <c r="Q126" s="533">
        <f t="shared" si="81"/>
        <v>0</v>
      </c>
      <c r="R126" s="533">
        <f t="shared" si="81"/>
        <v>0</v>
      </c>
      <c r="S126" s="533">
        <f t="shared" si="81"/>
        <v>0</v>
      </c>
      <c r="T126" s="533">
        <f t="shared" si="81"/>
        <v>0</v>
      </c>
      <c r="U126" s="533">
        <f t="shared" si="81"/>
        <v>0</v>
      </c>
      <c r="V126" s="533">
        <f t="shared" si="81"/>
        <v>0</v>
      </c>
      <c r="W126" s="533">
        <f t="shared" si="81"/>
        <v>0</v>
      </c>
      <c r="X126" s="533">
        <f t="shared" si="81"/>
        <v>0</v>
      </c>
      <c r="Y126" s="533">
        <f t="shared" si="81"/>
        <v>0</v>
      </c>
      <c r="Z126" s="533">
        <f t="shared" si="81"/>
        <v>0</v>
      </c>
      <c r="AA126" s="533">
        <f t="shared" si="81"/>
        <v>0</v>
      </c>
      <c r="AB126" s="533">
        <f t="shared" si="81"/>
        <v>0</v>
      </c>
      <c r="AC126" s="533">
        <f t="shared" si="81"/>
        <v>0</v>
      </c>
      <c r="AD126" s="533">
        <f t="shared" si="81"/>
        <v>0</v>
      </c>
    </row>
    <row r="127" spans="1:30" outlineLevel="1">
      <c r="A127" s="517"/>
      <c r="B127" s="403">
        <v>16</v>
      </c>
      <c r="C127" s="406" t="str">
        <f t="shared" si="67"/>
        <v>PV of Increase in forecast year 15 lease commitments</v>
      </c>
      <c r="D127" s="406"/>
      <c r="E127" s="406"/>
      <c r="F127" s="406"/>
      <c r="G127" s="406"/>
      <c r="H127" s="533">
        <f t="shared" si="61"/>
        <v>0</v>
      </c>
      <c r="I127" s="533">
        <f t="shared" si="62"/>
        <v>0</v>
      </c>
      <c r="J127" s="533">
        <f t="shared" si="62"/>
        <v>0</v>
      </c>
      <c r="K127" s="533">
        <f t="shared" si="62"/>
        <v>0</v>
      </c>
      <c r="L127" s="533">
        <f t="shared" si="63"/>
        <v>0</v>
      </c>
      <c r="M127" s="533">
        <f t="shared" si="64"/>
        <v>0</v>
      </c>
      <c r="N127" s="533">
        <f t="shared" ref="N127:AD127" si="82">IF(ISERROR((N91-M92)/(POWER((1+N$45),$B127))),"NA",(N91-M92)/(POWER((1+N$45),$B127)))</f>
        <v>0</v>
      </c>
      <c r="O127" s="533">
        <f t="shared" si="82"/>
        <v>0</v>
      </c>
      <c r="P127" s="533">
        <f t="shared" si="82"/>
        <v>0</v>
      </c>
      <c r="Q127" s="533">
        <f t="shared" si="82"/>
        <v>0</v>
      </c>
      <c r="R127" s="533">
        <f t="shared" si="82"/>
        <v>0</v>
      </c>
      <c r="S127" s="533">
        <f t="shared" si="82"/>
        <v>0</v>
      </c>
      <c r="T127" s="533">
        <f t="shared" si="82"/>
        <v>0</v>
      </c>
      <c r="U127" s="533">
        <f t="shared" si="82"/>
        <v>0</v>
      </c>
      <c r="V127" s="533">
        <f t="shared" si="82"/>
        <v>0</v>
      </c>
      <c r="W127" s="533">
        <f t="shared" si="82"/>
        <v>0</v>
      </c>
      <c r="X127" s="533">
        <f t="shared" si="82"/>
        <v>0</v>
      </c>
      <c r="Y127" s="533">
        <f t="shared" si="82"/>
        <v>0</v>
      </c>
      <c r="Z127" s="533">
        <f t="shared" si="82"/>
        <v>0</v>
      </c>
      <c r="AA127" s="533">
        <f t="shared" si="82"/>
        <v>0</v>
      </c>
      <c r="AB127" s="533">
        <f t="shared" si="82"/>
        <v>0</v>
      </c>
      <c r="AC127" s="533">
        <f t="shared" si="82"/>
        <v>0</v>
      </c>
      <c r="AD127" s="533">
        <f t="shared" si="82"/>
        <v>0</v>
      </c>
    </row>
    <row r="128" spans="1:30" outlineLevel="1">
      <c r="A128" s="517"/>
      <c r="B128" s="403">
        <v>17</v>
      </c>
      <c r="C128" s="406" t="str">
        <f t="shared" si="67"/>
        <v>PV of Increase in forecast year 16 lease commitments</v>
      </c>
      <c r="D128" s="406"/>
      <c r="E128" s="406"/>
      <c r="F128" s="406"/>
      <c r="G128" s="406"/>
      <c r="H128" s="533">
        <f t="shared" si="61"/>
        <v>0</v>
      </c>
      <c r="I128" s="533">
        <f t="shared" si="62"/>
        <v>0</v>
      </c>
      <c r="J128" s="533">
        <f t="shared" si="62"/>
        <v>0</v>
      </c>
      <c r="K128" s="533">
        <f t="shared" si="62"/>
        <v>0</v>
      </c>
      <c r="L128" s="533">
        <f t="shared" si="63"/>
        <v>0</v>
      </c>
      <c r="M128" s="533">
        <f t="shared" si="64"/>
        <v>0</v>
      </c>
      <c r="N128" s="533">
        <f t="shared" ref="N128:AD128" si="83">IF(ISERROR((N92-M93)/(POWER((1+N$45),$B128))),"NA",(N92-M93)/(POWER((1+N$45),$B128)))</f>
        <v>0</v>
      </c>
      <c r="O128" s="533">
        <f t="shared" si="83"/>
        <v>0</v>
      </c>
      <c r="P128" s="533">
        <f t="shared" si="83"/>
        <v>0</v>
      </c>
      <c r="Q128" s="533">
        <f t="shared" si="83"/>
        <v>0</v>
      </c>
      <c r="R128" s="533">
        <f t="shared" si="83"/>
        <v>0</v>
      </c>
      <c r="S128" s="533">
        <f t="shared" si="83"/>
        <v>0</v>
      </c>
      <c r="T128" s="533">
        <f t="shared" si="83"/>
        <v>0</v>
      </c>
      <c r="U128" s="533">
        <f t="shared" si="83"/>
        <v>0</v>
      </c>
      <c r="V128" s="533">
        <f t="shared" si="83"/>
        <v>0</v>
      </c>
      <c r="W128" s="533">
        <f t="shared" si="83"/>
        <v>0</v>
      </c>
      <c r="X128" s="533">
        <f t="shared" si="83"/>
        <v>0</v>
      </c>
      <c r="Y128" s="533">
        <f t="shared" si="83"/>
        <v>0</v>
      </c>
      <c r="Z128" s="533">
        <f t="shared" si="83"/>
        <v>0</v>
      </c>
      <c r="AA128" s="533">
        <f t="shared" si="83"/>
        <v>0</v>
      </c>
      <c r="AB128" s="533">
        <f t="shared" si="83"/>
        <v>0</v>
      </c>
      <c r="AC128" s="533">
        <f t="shared" si="83"/>
        <v>0</v>
      </c>
      <c r="AD128" s="533">
        <f t="shared" si="83"/>
        <v>0</v>
      </c>
    </row>
    <row r="129" spans="1:30" outlineLevel="1">
      <c r="A129" s="517"/>
      <c r="B129" s="403">
        <v>18</v>
      </c>
      <c r="C129" s="406" t="str">
        <f t="shared" si="67"/>
        <v>PV of Increase in forecast year 17 lease commitments</v>
      </c>
      <c r="D129" s="406"/>
      <c r="E129" s="406"/>
      <c r="F129" s="406"/>
      <c r="G129" s="406"/>
      <c r="H129" s="533">
        <f t="shared" si="61"/>
        <v>0</v>
      </c>
      <c r="I129" s="533">
        <f t="shared" si="62"/>
        <v>0</v>
      </c>
      <c r="J129" s="533">
        <f t="shared" si="62"/>
        <v>0</v>
      </c>
      <c r="K129" s="533">
        <f t="shared" si="62"/>
        <v>0</v>
      </c>
      <c r="L129" s="533">
        <f t="shared" si="63"/>
        <v>0</v>
      </c>
      <c r="M129" s="533">
        <f t="shared" si="64"/>
        <v>0</v>
      </c>
      <c r="N129" s="533">
        <f t="shared" ref="N129:AD129" si="84">IF(ISERROR((N93-M94)/(POWER((1+N$45),$B129))),"NA",(N93-M94)/(POWER((1+N$45),$B129)))</f>
        <v>0</v>
      </c>
      <c r="O129" s="533">
        <f t="shared" si="84"/>
        <v>0</v>
      </c>
      <c r="P129" s="533">
        <f t="shared" si="84"/>
        <v>0</v>
      </c>
      <c r="Q129" s="533">
        <f t="shared" si="84"/>
        <v>0</v>
      </c>
      <c r="R129" s="533">
        <f t="shared" si="84"/>
        <v>0</v>
      </c>
      <c r="S129" s="533">
        <f t="shared" si="84"/>
        <v>0</v>
      </c>
      <c r="T129" s="533">
        <f t="shared" si="84"/>
        <v>0</v>
      </c>
      <c r="U129" s="533">
        <f t="shared" si="84"/>
        <v>0</v>
      </c>
      <c r="V129" s="533">
        <f t="shared" si="84"/>
        <v>0</v>
      </c>
      <c r="W129" s="533">
        <f t="shared" si="84"/>
        <v>0</v>
      </c>
      <c r="X129" s="533">
        <f t="shared" si="84"/>
        <v>0</v>
      </c>
      <c r="Y129" s="533">
        <f t="shared" si="84"/>
        <v>0</v>
      </c>
      <c r="Z129" s="533">
        <f t="shared" si="84"/>
        <v>0</v>
      </c>
      <c r="AA129" s="533">
        <f t="shared" si="84"/>
        <v>0</v>
      </c>
      <c r="AB129" s="533">
        <f t="shared" si="84"/>
        <v>0</v>
      </c>
      <c r="AC129" s="533">
        <f t="shared" si="84"/>
        <v>0</v>
      </c>
      <c r="AD129" s="533">
        <f t="shared" si="84"/>
        <v>0</v>
      </c>
    </row>
    <row r="130" spans="1:30" outlineLevel="1">
      <c r="A130" s="517"/>
      <c r="B130" s="403">
        <v>19</v>
      </c>
      <c r="C130" s="406" t="str">
        <f t="shared" si="67"/>
        <v>PV of Increase in forecast year 18 lease commitments</v>
      </c>
      <c r="D130" s="406"/>
      <c r="E130" s="406"/>
      <c r="F130" s="406"/>
      <c r="G130" s="406"/>
      <c r="H130" s="533">
        <f t="shared" si="61"/>
        <v>0</v>
      </c>
      <c r="I130" s="533">
        <f t="shared" si="62"/>
        <v>0</v>
      </c>
      <c r="J130" s="533">
        <f t="shared" si="62"/>
        <v>0</v>
      </c>
      <c r="K130" s="533">
        <f t="shared" si="62"/>
        <v>0</v>
      </c>
      <c r="L130" s="533">
        <f t="shared" si="63"/>
        <v>0</v>
      </c>
      <c r="M130" s="533">
        <f t="shared" si="64"/>
        <v>0</v>
      </c>
      <c r="N130" s="533">
        <f t="shared" ref="N130:AD130" si="85">IF(ISERROR((N94-M95)/(POWER((1+N$45),$B130))),"NA",(N94-M95)/(POWER((1+N$45),$B130)))</f>
        <v>0</v>
      </c>
      <c r="O130" s="533">
        <f t="shared" si="85"/>
        <v>0</v>
      </c>
      <c r="P130" s="533">
        <f t="shared" si="85"/>
        <v>0</v>
      </c>
      <c r="Q130" s="533">
        <f t="shared" si="85"/>
        <v>0</v>
      </c>
      <c r="R130" s="533">
        <f t="shared" si="85"/>
        <v>0</v>
      </c>
      <c r="S130" s="533">
        <f t="shared" si="85"/>
        <v>0</v>
      </c>
      <c r="T130" s="533">
        <f t="shared" si="85"/>
        <v>0</v>
      </c>
      <c r="U130" s="533">
        <f t="shared" si="85"/>
        <v>0</v>
      </c>
      <c r="V130" s="533">
        <f t="shared" si="85"/>
        <v>0</v>
      </c>
      <c r="W130" s="533">
        <f t="shared" si="85"/>
        <v>0</v>
      </c>
      <c r="X130" s="533">
        <f t="shared" si="85"/>
        <v>0</v>
      </c>
      <c r="Y130" s="533">
        <f t="shared" si="85"/>
        <v>0</v>
      </c>
      <c r="Z130" s="533">
        <f t="shared" si="85"/>
        <v>0</v>
      </c>
      <c r="AA130" s="533">
        <f t="shared" si="85"/>
        <v>0</v>
      </c>
      <c r="AB130" s="533">
        <f t="shared" si="85"/>
        <v>0</v>
      </c>
      <c r="AC130" s="533">
        <f t="shared" si="85"/>
        <v>0</v>
      </c>
      <c r="AD130" s="533">
        <f t="shared" si="85"/>
        <v>0</v>
      </c>
    </row>
    <row r="131" spans="1:30" outlineLevel="1">
      <c r="A131" s="517"/>
      <c r="B131" s="403">
        <f t="shared" ref="B131:B141" si="86">B130+1</f>
        <v>20</v>
      </c>
      <c r="C131" s="406" t="str">
        <f t="shared" si="67"/>
        <v>PV of Increase in forecast year 19 lease commitments</v>
      </c>
      <c r="D131" s="406"/>
      <c r="E131" s="406"/>
      <c r="F131" s="406"/>
      <c r="G131" s="406"/>
      <c r="H131" s="533">
        <f t="shared" si="61"/>
        <v>0</v>
      </c>
      <c r="I131" s="533">
        <f t="shared" si="62"/>
        <v>0</v>
      </c>
      <c r="J131" s="533">
        <f t="shared" si="62"/>
        <v>0</v>
      </c>
      <c r="K131" s="533">
        <f t="shared" si="62"/>
        <v>0</v>
      </c>
      <c r="L131" s="533">
        <f t="shared" si="63"/>
        <v>0</v>
      </c>
      <c r="M131" s="533">
        <f t="shared" si="64"/>
        <v>0</v>
      </c>
      <c r="N131" s="533">
        <f t="shared" ref="N131:AD131" si="87">IF(ISERROR((N95-M96)/(POWER((1+N$45),$B131))),"NA",(N95-M96)/(POWER((1+N$45),$B131)))</f>
        <v>0</v>
      </c>
      <c r="O131" s="533">
        <f t="shared" si="87"/>
        <v>0</v>
      </c>
      <c r="P131" s="533">
        <f t="shared" si="87"/>
        <v>0</v>
      </c>
      <c r="Q131" s="533">
        <f t="shared" si="87"/>
        <v>0</v>
      </c>
      <c r="R131" s="533">
        <f t="shared" si="87"/>
        <v>0</v>
      </c>
      <c r="S131" s="533">
        <f t="shared" si="87"/>
        <v>0</v>
      </c>
      <c r="T131" s="533">
        <f t="shared" si="87"/>
        <v>0</v>
      </c>
      <c r="U131" s="533">
        <f t="shared" si="87"/>
        <v>0</v>
      </c>
      <c r="V131" s="533">
        <f t="shared" si="87"/>
        <v>0</v>
      </c>
      <c r="W131" s="533">
        <f t="shared" si="87"/>
        <v>0</v>
      </c>
      <c r="X131" s="533">
        <f t="shared" si="87"/>
        <v>0</v>
      </c>
      <c r="Y131" s="533">
        <f t="shared" si="87"/>
        <v>0</v>
      </c>
      <c r="Z131" s="533">
        <f t="shared" si="87"/>
        <v>0</v>
      </c>
      <c r="AA131" s="533">
        <f t="shared" si="87"/>
        <v>0</v>
      </c>
      <c r="AB131" s="533">
        <f t="shared" si="87"/>
        <v>0</v>
      </c>
      <c r="AC131" s="533">
        <f t="shared" si="87"/>
        <v>0</v>
      </c>
      <c r="AD131" s="533">
        <f t="shared" si="87"/>
        <v>0</v>
      </c>
    </row>
    <row r="132" spans="1:30" outlineLevel="1">
      <c r="A132" s="517"/>
      <c r="B132" s="403">
        <f t="shared" si="86"/>
        <v>21</v>
      </c>
      <c r="C132" s="406" t="str">
        <f t="shared" si="67"/>
        <v>PV of Increase in forecast year 20 lease commitments</v>
      </c>
      <c r="D132" s="406"/>
      <c r="E132" s="406"/>
      <c r="F132" s="406"/>
      <c r="G132" s="406"/>
      <c r="H132" s="533">
        <f t="shared" si="61"/>
        <v>0</v>
      </c>
      <c r="I132" s="533">
        <f t="shared" si="62"/>
        <v>0</v>
      </c>
      <c r="J132" s="533">
        <f t="shared" si="62"/>
        <v>0</v>
      </c>
      <c r="K132" s="533">
        <f t="shared" si="62"/>
        <v>0</v>
      </c>
      <c r="L132" s="533">
        <f t="shared" si="63"/>
        <v>0</v>
      </c>
      <c r="M132" s="533">
        <f t="shared" si="64"/>
        <v>0</v>
      </c>
      <c r="N132" s="533">
        <f t="shared" ref="N132:AD132" si="88">IF(ISERROR((N96-M97)/(POWER((1+N$45),$B132))),"NA",(N96-M97)/(POWER((1+N$45),$B132)))</f>
        <v>0</v>
      </c>
      <c r="O132" s="533">
        <f t="shared" si="88"/>
        <v>0</v>
      </c>
      <c r="P132" s="533">
        <f t="shared" si="88"/>
        <v>0</v>
      </c>
      <c r="Q132" s="533">
        <f t="shared" si="88"/>
        <v>0</v>
      </c>
      <c r="R132" s="533">
        <f t="shared" si="88"/>
        <v>0</v>
      </c>
      <c r="S132" s="533">
        <f t="shared" si="88"/>
        <v>0</v>
      </c>
      <c r="T132" s="533">
        <f t="shared" si="88"/>
        <v>0</v>
      </c>
      <c r="U132" s="533">
        <f t="shared" si="88"/>
        <v>0</v>
      </c>
      <c r="V132" s="533">
        <f t="shared" si="88"/>
        <v>0</v>
      </c>
      <c r="W132" s="533">
        <f t="shared" si="88"/>
        <v>0</v>
      </c>
      <c r="X132" s="533">
        <f t="shared" si="88"/>
        <v>0</v>
      </c>
      <c r="Y132" s="533">
        <f t="shared" si="88"/>
        <v>0</v>
      </c>
      <c r="Z132" s="533">
        <f t="shared" si="88"/>
        <v>0</v>
      </c>
      <c r="AA132" s="533">
        <f t="shared" si="88"/>
        <v>0</v>
      </c>
      <c r="AB132" s="533">
        <f t="shared" si="88"/>
        <v>0</v>
      </c>
      <c r="AC132" s="533">
        <f t="shared" si="88"/>
        <v>0</v>
      </c>
      <c r="AD132" s="533">
        <f t="shared" si="88"/>
        <v>0</v>
      </c>
    </row>
    <row r="133" spans="1:30" outlineLevel="1">
      <c r="A133" s="517"/>
      <c r="B133" s="403">
        <f t="shared" si="86"/>
        <v>22</v>
      </c>
      <c r="C133" s="406" t="str">
        <f t="shared" si="67"/>
        <v>PV of Increase in forecast year 21 lease commitments</v>
      </c>
      <c r="D133" s="406"/>
      <c r="E133" s="406"/>
      <c r="F133" s="406"/>
      <c r="G133" s="406"/>
      <c r="H133" s="533">
        <f t="shared" si="61"/>
        <v>0</v>
      </c>
      <c r="I133" s="533">
        <f t="shared" si="62"/>
        <v>0</v>
      </c>
      <c r="J133" s="533">
        <f t="shared" si="62"/>
        <v>0</v>
      </c>
      <c r="K133" s="533">
        <f t="shared" si="62"/>
        <v>0</v>
      </c>
      <c r="L133" s="533">
        <f t="shared" si="63"/>
        <v>0</v>
      </c>
      <c r="M133" s="533">
        <f t="shared" si="64"/>
        <v>0</v>
      </c>
      <c r="N133" s="533">
        <f t="shared" ref="N133:AD133" si="89">IF(ISERROR((N97-M98)/(POWER((1+N$45),$B133))),"NA",(N97-M98)/(POWER((1+N$45),$B133)))</f>
        <v>0</v>
      </c>
      <c r="O133" s="533">
        <f t="shared" si="89"/>
        <v>0</v>
      </c>
      <c r="P133" s="533">
        <f t="shared" si="89"/>
        <v>0</v>
      </c>
      <c r="Q133" s="533">
        <f t="shared" si="89"/>
        <v>0</v>
      </c>
      <c r="R133" s="533">
        <f t="shared" si="89"/>
        <v>0</v>
      </c>
      <c r="S133" s="533">
        <f t="shared" si="89"/>
        <v>0</v>
      </c>
      <c r="T133" s="533">
        <f t="shared" si="89"/>
        <v>0</v>
      </c>
      <c r="U133" s="533">
        <f t="shared" si="89"/>
        <v>0</v>
      </c>
      <c r="V133" s="533">
        <f t="shared" si="89"/>
        <v>0</v>
      </c>
      <c r="W133" s="533">
        <f t="shared" si="89"/>
        <v>0</v>
      </c>
      <c r="X133" s="533">
        <f t="shared" si="89"/>
        <v>0</v>
      </c>
      <c r="Y133" s="533">
        <f t="shared" si="89"/>
        <v>0</v>
      </c>
      <c r="Z133" s="533">
        <f t="shared" si="89"/>
        <v>0</v>
      </c>
      <c r="AA133" s="533">
        <f t="shared" si="89"/>
        <v>0</v>
      </c>
      <c r="AB133" s="533">
        <f t="shared" si="89"/>
        <v>0</v>
      </c>
      <c r="AC133" s="533">
        <f t="shared" si="89"/>
        <v>0</v>
      </c>
      <c r="AD133" s="533">
        <f t="shared" si="89"/>
        <v>0</v>
      </c>
    </row>
    <row r="134" spans="1:30" outlineLevel="1">
      <c r="A134" s="517"/>
      <c r="B134" s="403">
        <f t="shared" si="86"/>
        <v>23</v>
      </c>
      <c r="C134" s="406" t="str">
        <f t="shared" si="67"/>
        <v>PV of Increase in forecast year 22 lease commitments</v>
      </c>
      <c r="D134" s="406"/>
      <c r="E134" s="406"/>
      <c r="F134" s="406"/>
      <c r="G134" s="406"/>
      <c r="H134" s="533">
        <f t="shared" si="61"/>
        <v>0</v>
      </c>
      <c r="I134" s="533">
        <f t="shared" si="62"/>
        <v>0</v>
      </c>
      <c r="J134" s="533">
        <f t="shared" si="62"/>
        <v>0</v>
      </c>
      <c r="K134" s="533">
        <f t="shared" si="62"/>
        <v>0</v>
      </c>
      <c r="L134" s="533">
        <f t="shared" si="63"/>
        <v>0</v>
      </c>
      <c r="M134" s="533">
        <f t="shared" si="64"/>
        <v>0</v>
      </c>
      <c r="N134" s="533">
        <f t="shared" ref="N134:AD134" si="90">IF(ISERROR((N98-M99)/(POWER((1+N$45),$B134))),"NA",(N98-M99)/(POWER((1+N$45),$B134)))</f>
        <v>0</v>
      </c>
      <c r="O134" s="533">
        <f t="shared" si="90"/>
        <v>0</v>
      </c>
      <c r="P134" s="533">
        <f t="shared" si="90"/>
        <v>0</v>
      </c>
      <c r="Q134" s="533">
        <f t="shared" si="90"/>
        <v>0</v>
      </c>
      <c r="R134" s="533">
        <f t="shared" si="90"/>
        <v>0</v>
      </c>
      <c r="S134" s="533">
        <f t="shared" si="90"/>
        <v>0</v>
      </c>
      <c r="T134" s="533">
        <f t="shared" si="90"/>
        <v>0</v>
      </c>
      <c r="U134" s="533">
        <f t="shared" si="90"/>
        <v>0</v>
      </c>
      <c r="V134" s="533">
        <f t="shared" si="90"/>
        <v>0</v>
      </c>
      <c r="W134" s="533">
        <f t="shared" si="90"/>
        <v>0</v>
      </c>
      <c r="X134" s="533">
        <f t="shared" si="90"/>
        <v>0</v>
      </c>
      <c r="Y134" s="533">
        <f t="shared" si="90"/>
        <v>0</v>
      </c>
      <c r="Z134" s="533">
        <f t="shared" si="90"/>
        <v>0</v>
      </c>
      <c r="AA134" s="533">
        <f t="shared" si="90"/>
        <v>0</v>
      </c>
      <c r="AB134" s="533">
        <f t="shared" si="90"/>
        <v>0</v>
      </c>
      <c r="AC134" s="533">
        <f t="shared" si="90"/>
        <v>0</v>
      </c>
      <c r="AD134" s="533">
        <f t="shared" si="90"/>
        <v>0</v>
      </c>
    </row>
    <row r="135" spans="1:30" outlineLevel="1">
      <c r="A135" s="517"/>
      <c r="B135" s="403">
        <f t="shared" si="86"/>
        <v>24</v>
      </c>
      <c r="C135" s="406" t="str">
        <f t="shared" si="67"/>
        <v>PV of Increase in forecast year 23 lease commitments</v>
      </c>
      <c r="D135" s="406"/>
      <c r="E135" s="406"/>
      <c r="F135" s="406"/>
      <c r="G135" s="406"/>
      <c r="H135" s="533">
        <f t="shared" si="61"/>
        <v>0</v>
      </c>
      <c r="I135" s="533">
        <f t="shared" si="62"/>
        <v>0</v>
      </c>
      <c r="J135" s="533">
        <f t="shared" si="62"/>
        <v>0</v>
      </c>
      <c r="K135" s="533">
        <f t="shared" si="62"/>
        <v>0</v>
      </c>
      <c r="L135" s="533">
        <f t="shared" si="63"/>
        <v>0</v>
      </c>
      <c r="M135" s="533">
        <f t="shared" si="64"/>
        <v>0</v>
      </c>
      <c r="N135" s="533">
        <f t="shared" ref="N135:AD135" si="91">IF(ISERROR((N99-M100)/(POWER((1+N$45),$B135))),"NA",(N99-M100)/(POWER((1+N$45),$B135)))</f>
        <v>0</v>
      </c>
      <c r="O135" s="533">
        <f t="shared" si="91"/>
        <v>0</v>
      </c>
      <c r="P135" s="533">
        <f t="shared" si="91"/>
        <v>0</v>
      </c>
      <c r="Q135" s="533">
        <f t="shared" si="91"/>
        <v>0</v>
      </c>
      <c r="R135" s="533">
        <f t="shared" si="91"/>
        <v>0</v>
      </c>
      <c r="S135" s="533">
        <f t="shared" si="91"/>
        <v>0</v>
      </c>
      <c r="T135" s="533">
        <f t="shared" si="91"/>
        <v>0</v>
      </c>
      <c r="U135" s="533">
        <f t="shared" si="91"/>
        <v>0</v>
      </c>
      <c r="V135" s="533">
        <f t="shared" si="91"/>
        <v>0</v>
      </c>
      <c r="W135" s="533">
        <f t="shared" si="91"/>
        <v>0</v>
      </c>
      <c r="X135" s="533">
        <f t="shared" si="91"/>
        <v>0</v>
      </c>
      <c r="Y135" s="533">
        <f t="shared" si="91"/>
        <v>0</v>
      </c>
      <c r="Z135" s="533">
        <f t="shared" si="91"/>
        <v>0</v>
      </c>
      <c r="AA135" s="533">
        <f t="shared" si="91"/>
        <v>0</v>
      </c>
      <c r="AB135" s="533">
        <f t="shared" si="91"/>
        <v>0</v>
      </c>
      <c r="AC135" s="533">
        <f t="shared" si="91"/>
        <v>0</v>
      </c>
      <c r="AD135" s="533">
        <f t="shared" si="91"/>
        <v>0</v>
      </c>
    </row>
    <row r="136" spans="1:30" outlineLevel="1">
      <c r="A136" s="517"/>
      <c r="B136" s="403">
        <f t="shared" si="86"/>
        <v>25</v>
      </c>
      <c r="C136" s="406" t="str">
        <f t="shared" si="67"/>
        <v>PV of Increase in forecast year 24 lease commitments</v>
      </c>
      <c r="D136" s="406"/>
      <c r="E136" s="406"/>
      <c r="F136" s="406"/>
      <c r="G136" s="406"/>
      <c r="H136" s="533">
        <f t="shared" si="61"/>
        <v>0</v>
      </c>
      <c r="I136" s="533">
        <f t="shared" si="62"/>
        <v>0</v>
      </c>
      <c r="J136" s="533">
        <f t="shared" si="62"/>
        <v>0</v>
      </c>
      <c r="K136" s="533">
        <f t="shared" si="62"/>
        <v>0</v>
      </c>
      <c r="L136" s="533">
        <f t="shared" si="63"/>
        <v>0</v>
      </c>
      <c r="M136" s="533">
        <f t="shared" si="64"/>
        <v>0</v>
      </c>
      <c r="N136" s="533">
        <f t="shared" ref="N136:AD136" si="92">IF(ISERROR((N100-M101)/(POWER((1+N$45),$B136))),"NA",(N100-M101)/(POWER((1+N$45),$B136)))</f>
        <v>0</v>
      </c>
      <c r="O136" s="533">
        <f t="shared" si="92"/>
        <v>0</v>
      </c>
      <c r="P136" s="533">
        <f t="shared" si="92"/>
        <v>0</v>
      </c>
      <c r="Q136" s="533">
        <f t="shared" si="92"/>
        <v>0</v>
      </c>
      <c r="R136" s="533">
        <f t="shared" si="92"/>
        <v>0</v>
      </c>
      <c r="S136" s="533">
        <f t="shared" si="92"/>
        <v>0</v>
      </c>
      <c r="T136" s="533">
        <f t="shared" si="92"/>
        <v>0</v>
      </c>
      <c r="U136" s="533">
        <f t="shared" si="92"/>
        <v>0</v>
      </c>
      <c r="V136" s="533">
        <f t="shared" si="92"/>
        <v>0</v>
      </c>
      <c r="W136" s="533">
        <f t="shared" si="92"/>
        <v>0</v>
      </c>
      <c r="X136" s="533">
        <f t="shared" si="92"/>
        <v>0</v>
      </c>
      <c r="Y136" s="533">
        <f t="shared" si="92"/>
        <v>0</v>
      </c>
      <c r="Z136" s="533">
        <f t="shared" si="92"/>
        <v>0</v>
      </c>
      <c r="AA136" s="533">
        <f t="shared" si="92"/>
        <v>0</v>
      </c>
      <c r="AB136" s="533">
        <f t="shared" si="92"/>
        <v>0</v>
      </c>
      <c r="AC136" s="533">
        <f t="shared" si="92"/>
        <v>0</v>
      </c>
      <c r="AD136" s="533">
        <f t="shared" si="92"/>
        <v>0</v>
      </c>
    </row>
    <row r="137" spans="1:30" outlineLevel="1">
      <c r="A137" s="517"/>
      <c r="B137" s="403">
        <f t="shared" si="86"/>
        <v>26</v>
      </c>
      <c r="C137" s="406" t="str">
        <f t="shared" si="67"/>
        <v>PV of Increase in forecast year 25 lease commitments</v>
      </c>
      <c r="D137" s="406"/>
      <c r="E137" s="406"/>
      <c r="F137" s="406"/>
      <c r="G137" s="406"/>
      <c r="H137" s="533">
        <f t="shared" si="61"/>
        <v>0</v>
      </c>
      <c r="I137" s="533">
        <f t="shared" si="62"/>
        <v>0</v>
      </c>
      <c r="J137" s="533">
        <f t="shared" si="62"/>
        <v>0</v>
      </c>
      <c r="K137" s="533">
        <f t="shared" si="62"/>
        <v>0</v>
      </c>
      <c r="L137" s="533">
        <f t="shared" si="63"/>
        <v>0</v>
      </c>
      <c r="M137" s="533">
        <f t="shared" si="64"/>
        <v>0</v>
      </c>
      <c r="N137" s="533">
        <f t="shared" ref="N137:AD137" si="93">IF(ISERROR((N101-M102)/(POWER((1+N$45),$B137))),"NA",(N101-M102)/(POWER((1+N$45),$B137)))</f>
        <v>0</v>
      </c>
      <c r="O137" s="533">
        <f t="shared" si="93"/>
        <v>0</v>
      </c>
      <c r="P137" s="533">
        <f t="shared" si="93"/>
        <v>0</v>
      </c>
      <c r="Q137" s="533">
        <f t="shared" si="93"/>
        <v>0</v>
      </c>
      <c r="R137" s="533">
        <f t="shared" si="93"/>
        <v>0</v>
      </c>
      <c r="S137" s="533">
        <f t="shared" si="93"/>
        <v>0</v>
      </c>
      <c r="T137" s="533">
        <f t="shared" si="93"/>
        <v>0</v>
      </c>
      <c r="U137" s="533">
        <f t="shared" si="93"/>
        <v>0</v>
      </c>
      <c r="V137" s="533">
        <f t="shared" si="93"/>
        <v>0</v>
      </c>
      <c r="W137" s="533">
        <f t="shared" si="93"/>
        <v>0</v>
      </c>
      <c r="X137" s="533">
        <f t="shared" si="93"/>
        <v>0</v>
      </c>
      <c r="Y137" s="533">
        <f t="shared" si="93"/>
        <v>0</v>
      </c>
      <c r="Z137" s="533">
        <f t="shared" si="93"/>
        <v>0</v>
      </c>
      <c r="AA137" s="533">
        <f t="shared" si="93"/>
        <v>0</v>
      </c>
      <c r="AB137" s="533">
        <f t="shared" si="93"/>
        <v>0</v>
      </c>
      <c r="AC137" s="533">
        <f t="shared" si="93"/>
        <v>0</v>
      </c>
      <c r="AD137" s="533">
        <f t="shared" si="93"/>
        <v>0</v>
      </c>
    </row>
    <row r="138" spans="1:30" outlineLevel="1">
      <c r="A138" s="517"/>
      <c r="B138" s="403">
        <f t="shared" si="86"/>
        <v>27</v>
      </c>
      <c r="C138" s="406" t="str">
        <f t="shared" si="67"/>
        <v>PV of Increase in forecast year 26 lease commitments</v>
      </c>
      <c r="D138" s="406"/>
      <c r="E138" s="406"/>
      <c r="F138" s="406"/>
      <c r="G138" s="406"/>
      <c r="H138" s="533">
        <f t="shared" si="61"/>
        <v>0</v>
      </c>
      <c r="I138" s="533">
        <f t="shared" si="62"/>
        <v>0</v>
      </c>
      <c r="J138" s="533">
        <f t="shared" si="62"/>
        <v>0</v>
      </c>
      <c r="K138" s="533">
        <f t="shared" si="62"/>
        <v>0</v>
      </c>
      <c r="L138" s="533">
        <f t="shared" si="63"/>
        <v>0</v>
      </c>
      <c r="M138" s="533">
        <f t="shared" si="64"/>
        <v>0</v>
      </c>
      <c r="N138" s="533">
        <f t="shared" ref="N138:AD138" si="94">IF(ISERROR((N102-M103)/(POWER((1+N$45),$B138))),"NA",(N102-M103)/(POWER((1+N$45),$B138)))</f>
        <v>0</v>
      </c>
      <c r="O138" s="533">
        <f t="shared" si="94"/>
        <v>0</v>
      </c>
      <c r="P138" s="533">
        <f t="shared" si="94"/>
        <v>0</v>
      </c>
      <c r="Q138" s="533">
        <f t="shared" si="94"/>
        <v>0</v>
      </c>
      <c r="R138" s="533">
        <f t="shared" si="94"/>
        <v>0</v>
      </c>
      <c r="S138" s="533">
        <f t="shared" si="94"/>
        <v>0</v>
      </c>
      <c r="T138" s="533">
        <f t="shared" si="94"/>
        <v>0</v>
      </c>
      <c r="U138" s="533">
        <f t="shared" si="94"/>
        <v>0</v>
      </c>
      <c r="V138" s="533">
        <f t="shared" si="94"/>
        <v>0</v>
      </c>
      <c r="W138" s="533">
        <f t="shared" si="94"/>
        <v>0</v>
      </c>
      <c r="X138" s="533">
        <f t="shared" si="94"/>
        <v>0</v>
      </c>
      <c r="Y138" s="533">
        <f t="shared" si="94"/>
        <v>0</v>
      </c>
      <c r="Z138" s="533">
        <f t="shared" si="94"/>
        <v>0</v>
      </c>
      <c r="AA138" s="533">
        <f t="shared" si="94"/>
        <v>0</v>
      </c>
      <c r="AB138" s="533">
        <f t="shared" si="94"/>
        <v>0</v>
      </c>
      <c r="AC138" s="533">
        <f t="shared" si="94"/>
        <v>0</v>
      </c>
      <c r="AD138" s="533">
        <f t="shared" si="94"/>
        <v>0</v>
      </c>
    </row>
    <row r="139" spans="1:30" outlineLevel="1">
      <c r="A139" s="517"/>
      <c r="B139" s="403">
        <f t="shared" si="86"/>
        <v>28</v>
      </c>
      <c r="C139" s="406" t="str">
        <f t="shared" si="67"/>
        <v>PV of Increase in forecast year 27 lease commitments</v>
      </c>
      <c r="D139" s="406"/>
      <c r="E139" s="406"/>
      <c r="F139" s="406"/>
      <c r="G139" s="406"/>
      <c r="H139" s="533">
        <f t="shared" si="61"/>
        <v>0</v>
      </c>
      <c r="I139" s="533">
        <f t="shared" si="62"/>
        <v>0</v>
      </c>
      <c r="J139" s="533">
        <f t="shared" si="62"/>
        <v>0</v>
      </c>
      <c r="K139" s="533">
        <f t="shared" si="62"/>
        <v>0</v>
      </c>
      <c r="L139" s="533">
        <f t="shared" si="63"/>
        <v>0</v>
      </c>
      <c r="M139" s="533">
        <f t="shared" si="64"/>
        <v>0</v>
      </c>
      <c r="N139" s="533">
        <f t="shared" ref="N139:AD139" si="95">IF(ISERROR((N103-M104)/(POWER((1+N$45),$B139))),"NA",(N103-M104)/(POWER((1+N$45),$B139)))</f>
        <v>0</v>
      </c>
      <c r="O139" s="533">
        <f t="shared" si="95"/>
        <v>0</v>
      </c>
      <c r="P139" s="533">
        <f t="shared" si="95"/>
        <v>0</v>
      </c>
      <c r="Q139" s="533">
        <f t="shared" si="95"/>
        <v>0</v>
      </c>
      <c r="R139" s="533">
        <f t="shared" si="95"/>
        <v>0</v>
      </c>
      <c r="S139" s="533">
        <f t="shared" si="95"/>
        <v>0</v>
      </c>
      <c r="T139" s="533">
        <f t="shared" si="95"/>
        <v>0</v>
      </c>
      <c r="U139" s="533">
        <f t="shared" si="95"/>
        <v>0</v>
      </c>
      <c r="V139" s="533">
        <f t="shared" si="95"/>
        <v>0</v>
      </c>
      <c r="W139" s="533">
        <f t="shared" si="95"/>
        <v>0</v>
      </c>
      <c r="X139" s="533">
        <f t="shared" si="95"/>
        <v>0</v>
      </c>
      <c r="Y139" s="533">
        <f t="shared" si="95"/>
        <v>0</v>
      </c>
      <c r="Z139" s="533">
        <f t="shared" si="95"/>
        <v>0</v>
      </c>
      <c r="AA139" s="533">
        <f t="shared" si="95"/>
        <v>0</v>
      </c>
      <c r="AB139" s="533">
        <f t="shared" si="95"/>
        <v>0</v>
      </c>
      <c r="AC139" s="533">
        <f t="shared" si="95"/>
        <v>0</v>
      </c>
      <c r="AD139" s="533">
        <f t="shared" si="95"/>
        <v>0</v>
      </c>
    </row>
    <row r="140" spans="1:30" outlineLevel="1">
      <c r="A140" s="517"/>
      <c r="B140" s="403">
        <f t="shared" si="86"/>
        <v>29</v>
      </c>
      <c r="C140" s="406" t="str">
        <f t="shared" si="67"/>
        <v>PV of Increase in forecast year 28 lease commitments</v>
      </c>
      <c r="D140" s="406"/>
      <c r="E140" s="406"/>
      <c r="F140" s="406"/>
      <c r="G140" s="406"/>
      <c r="H140" s="533">
        <f t="shared" si="61"/>
        <v>0</v>
      </c>
      <c r="I140" s="533">
        <f t="shared" si="62"/>
        <v>0</v>
      </c>
      <c r="J140" s="533">
        <f t="shared" si="62"/>
        <v>0</v>
      </c>
      <c r="K140" s="533">
        <f t="shared" si="62"/>
        <v>0</v>
      </c>
      <c r="L140" s="533">
        <f t="shared" si="63"/>
        <v>0</v>
      </c>
      <c r="M140" s="533">
        <f t="shared" si="64"/>
        <v>0</v>
      </c>
      <c r="N140" s="533">
        <f t="shared" ref="N140:AD140" si="96">IF(ISERROR((N104-M105)/(POWER((1+N$45),$B140))),"NA",(N104-M105)/(POWER((1+N$45),$B140)))</f>
        <v>0</v>
      </c>
      <c r="O140" s="533">
        <f t="shared" si="96"/>
        <v>0</v>
      </c>
      <c r="P140" s="533">
        <f t="shared" si="96"/>
        <v>0</v>
      </c>
      <c r="Q140" s="533">
        <f t="shared" si="96"/>
        <v>0</v>
      </c>
      <c r="R140" s="533">
        <f t="shared" si="96"/>
        <v>0</v>
      </c>
      <c r="S140" s="533">
        <f t="shared" si="96"/>
        <v>0</v>
      </c>
      <c r="T140" s="533">
        <f t="shared" si="96"/>
        <v>0</v>
      </c>
      <c r="U140" s="533">
        <f t="shared" si="96"/>
        <v>0</v>
      </c>
      <c r="V140" s="533">
        <f t="shared" si="96"/>
        <v>0</v>
      </c>
      <c r="W140" s="533">
        <f t="shared" si="96"/>
        <v>0</v>
      </c>
      <c r="X140" s="533">
        <f t="shared" si="96"/>
        <v>0</v>
      </c>
      <c r="Y140" s="533">
        <f t="shared" si="96"/>
        <v>0</v>
      </c>
      <c r="Z140" s="533">
        <f t="shared" si="96"/>
        <v>0</v>
      </c>
      <c r="AA140" s="533">
        <f t="shared" si="96"/>
        <v>0</v>
      </c>
      <c r="AB140" s="533">
        <f t="shared" si="96"/>
        <v>0</v>
      </c>
      <c r="AC140" s="533">
        <f t="shared" si="96"/>
        <v>0</v>
      </c>
      <c r="AD140" s="533">
        <f t="shared" si="96"/>
        <v>0</v>
      </c>
    </row>
    <row r="141" spans="1:30" outlineLevel="1">
      <c r="A141" s="517"/>
      <c r="B141" s="403">
        <f t="shared" si="86"/>
        <v>30</v>
      </c>
      <c r="C141" s="406" t="str">
        <f t="shared" si="67"/>
        <v>PV of Increase in forecast year 29 lease commitments</v>
      </c>
      <c r="D141" s="406"/>
      <c r="E141" s="406"/>
      <c r="F141" s="406"/>
      <c r="G141" s="406"/>
      <c r="H141" s="533">
        <f t="shared" si="61"/>
        <v>0</v>
      </c>
      <c r="I141" s="533">
        <f t="shared" si="62"/>
        <v>0</v>
      </c>
      <c r="J141" s="533">
        <f t="shared" si="62"/>
        <v>0</v>
      </c>
      <c r="K141" s="533">
        <f t="shared" si="62"/>
        <v>0</v>
      </c>
      <c r="L141" s="533">
        <f t="shared" si="63"/>
        <v>0</v>
      </c>
      <c r="M141" s="533">
        <f t="shared" si="64"/>
        <v>0</v>
      </c>
      <c r="N141" s="533">
        <f t="shared" ref="N141:AD141" si="97">IF(ISERROR((N105-M106)/(POWER((1+N$45),$B141))),"NA",(N105-M106)/(POWER((1+N$45),$B141)))</f>
        <v>0</v>
      </c>
      <c r="O141" s="533">
        <f t="shared" si="97"/>
        <v>0</v>
      </c>
      <c r="P141" s="533">
        <f t="shared" si="97"/>
        <v>0</v>
      </c>
      <c r="Q141" s="533">
        <f t="shared" si="97"/>
        <v>0</v>
      </c>
      <c r="R141" s="533">
        <f t="shared" si="97"/>
        <v>0</v>
      </c>
      <c r="S141" s="533">
        <f t="shared" si="97"/>
        <v>0</v>
      </c>
      <c r="T141" s="533">
        <f t="shared" si="97"/>
        <v>0</v>
      </c>
      <c r="U141" s="533">
        <f t="shared" si="97"/>
        <v>0</v>
      </c>
      <c r="V141" s="533">
        <f t="shared" si="97"/>
        <v>0</v>
      </c>
      <c r="W141" s="533">
        <f t="shared" si="97"/>
        <v>0</v>
      </c>
      <c r="X141" s="533">
        <f t="shared" si="97"/>
        <v>0</v>
      </c>
      <c r="Y141" s="533">
        <f t="shared" si="97"/>
        <v>0</v>
      </c>
      <c r="Z141" s="533">
        <f t="shared" si="97"/>
        <v>0</v>
      </c>
      <c r="AA141" s="533">
        <f t="shared" si="97"/>
        <v>0</v>
      </c>
      <c r="AB141" s="533">
        <f t="shared" si="97"/>
        <v>0</v>
      </c>
      <c r="AC141" s="533">
        <f t="shared" si="97"/>
        <v>0</v>
      </c>
      <c r="AD141" s="533">
        <f t="shared" si="97"/>
        <v>0</v>
      </c>
    </row>
    <row r="142" spans="1:30" outlineLevel="1">
      <c r="A142" s="517"/>
      <c r="B142" s="535"/>
      <c r="C142" s="406"/>
      <c r="D142" s="406"/>
      <c r="E142" s="406"/>
      <c r="F142" s="406"/>
      <c r="G142" s="406"/>
      <c r="H142" s="429"/>
      <c r="I142" s="429"/>
      <c r="J142" s="508"/>
      <c r="K142" s="508"/>
      <c r="L142" s="508"/>
      <c r="M142" s="508"/>
      <c r="N142" s="508"/>
      <c r="O142" s="508"/>
      <c r="P142" s="508"/>
      <c r="Q142" s="508"/>
      <c r="R142" s="508"/>
      <c r="S142" s="508"/>
      <c r="T142" s="508"/>
      <c r="U142" s="508"/>
      <c r="V142" s="508"/>
      <c r="W142" s="508"/>
      <c r="X142" s="508"/>
      <c r="Y142" s="508"/>
      <c r="Z142" s="508"/>
      <c r="AA142" s="508"/>
      <c r="AB142" s="508"/>
      <c r="AC142" s="508"/>
      <c r="AD142" s="508"/>
    </row>
    <row r="143" spans="1:30" outlineLevel="1">
      <c r="A143" s="524"/>
      <c r="B143" s="408"/>
      <c r="C143" s="406" t="s">
        <v>556</v>
      </c>
      <c r="D143" s="406"/>
      <c r="E143" s="406"/>
      <c r="F143" s="406"/>
      <c r="G143" s="406"/>
      <c r="H143" s="429">
        <f t="shared" ref="H143:Z143" si="98">SUM(H112:H142)</f>
        <v>362.24234043324475</v>
      </c>
      <c r="I143" s="429">
        <f t="shared" si="98"/>
        <v>126.24243821301752</v>
      </c>
      <c r="J143" s="508">
        <f t="shared" si="98"/>
        <v>158.43609474029225</v>
      </c>
      <c r="K143" s="508">
        <f t="shared" si="98"/>
        <v>185.79372009868325</v>
      </c>
      <c r="L143" s="508">
        <f t="shared" si="98"/>
        <v>262.82449921967674</v>
      </c>
      <c r="M143" s="508">
        <f t="shared" si="98"/>
        <v>230.275100591588</v>
      </c>
      <c r="N143" s="508">
        <f t="shared" si="98"/>
        <v>253.21541751578101</v>
      </c>
      <c r="O143" s="508">
        <f t="shared" si="98"/>
        <v>253.97345182343361</v>
      </c>
      <c r="P143" s="508">
        <f t="shared" si="98"/>
        <v>306.32661827365371</v>
      </c>
      <c r="Q143" s="508">
        <f t="shared" si="98"/>
        <v>538.79343559300219</v>
      </c>
      <c r="R143" s="508">
        <f t="shared" si="98"/>
        <v>563.54974334766484</v>
      </c>
      <c r="S143" s="508">
        <f t="shared" si="98"/>
        <v>95.356952146645597</v>
      </c>
      <c r="T143" s="508">
        <f t="shared" si="98"/>
        <v>285.72978577462266</v>
      </c>
      <c r="U143" s="508">
        <f>SUM(U112:U142)</f>
        <v>629.21786959649114</v>
      </c>
      <c r="V143" s="508">
        <f t="shared" si="98"/>
        <v>-60.04222065596727</v>
      </c>
      <c r="W143" s="508">
        <f t="shared" si="98"/>
        <v>537.76536564256128</v>
      </c>
      <c r="X143" s="508">
        <f t="shared" si="98"/>
        <v>591.54190220681744</v>
      </c>
      <c r="Y143" s="508">
        <f t="shared" si="98"/>
        <v>650.69609242749914</v>
      </c>
      <c r="Z143" s="508">
        <f t="shared" si="98"/>
        <v>715.7657016702492</v>
      </c>
      <c r="AA143" s="508">
        <f>SUM(AA112:AA142)</f>
        <v>787.34227183727444</v>
      </c>
      <c r="AB143" s="508">
        <f>SUM(AB112:AB142)</f>
        <v>866.07649902100161</v>
      </c>
      <c r="AC143" s="508">
        <f>SUM(AC112:AC142)</f>
        <v>952.68414892310193</v>
      </c>
      <c r="AD143" s="508">
        <f>SUM(AD112:AD142)</f>
        <v>1047.9525638154125</v>
      </c>
    </row>
    <row r="144" spans="1:30">
      <c r="A144" s="402"/>
      <c r="B144" s="403"/>
      <c r="C144" s="536"/>
      <c r="D144" s="536"/>
      <c r="E144" s="536"/>
      <c r="F144" s="536"/>
      <c r="G144" s="536"/>
      <c r="H144" s="467"/>
      <c r="I144" s="467"/>
      <c r="J144" s="467"/>
      <c r="K144" s="467"/>
      <c r="L144" s="467"/>
      <c r="M144" s="467"/>
      <c r="N144" s="467"/>
      <c r="O144" s="467"/>
      <c r="P144" s="467"/>
      <c r="Q144" s="467"/>
      <c r="R144" s="467"/>
      <c r="S144" s="467"/>
      <c r="T144" s="467"/>
      <c r="U144" s="467"/>
      <c r="V144" s="467"/>
      <c r="W144" s="467"/>
      <c r="X144" s="467"/>
      <c r="Y144" s="467"/>
      <c r="Z144" s="467"/>
      <c r="AA144" s="467"/>
      <c r="AB144" s="467"/>
      <c r="AC144" s="467"/>
      <c r="AD144" s="467"/>
    </row>
    <row r="145" spans="1:30">
      <c r="A145" s="402"/>
      <c r="B145" s="403"/>
      <c r="C145" s="406"/>
      <c r="D145" s="406"/>
      <c r="E145" s="406"/>
      <c r="F145" s="406"/>
      <c r="G145" s="406"/>
      <c r="H145" s="467"/>
      <c r="I145" s="467"/>
      <c r="J145" s="537"/>
      <c r="K145" s="467"/>
      <c r="L145" s="467"/>
      <c r="M145" s="467"/>
      <c r="N145" s="467"/>
      <c r="O145" s="467"/>
      <c r="P145" s="467"/>
      <c r="Q145" s="467"/>
      <c r="R145" s="467"/>
      <c r="S145" s="467"/>
      <c r="T145" s="467"/>
      <c r="U145" s="467"/>
      <c r="V145" s="467"/>
      <c r="W145" s="467"/>
      <c r="X145" s="467"/>
      <c r="Y145" s="467"/>
      <c r="Z145" s="467"/>
      <c r="AA145" s="467"/>
      <c r="AB145" s="467"/>
      <c r="AC145" s="467"/>
      <c r="AD145" s="467"/>
    </row>
    <row r="146" spans="1:30">
      <c r="A146" s="402"/>
      <c r="B146" s="403"/>
      <c r="C146" s="406"/>
      <c r="D146" s="406"/>
      <c r="E146" s="406"/>
      <c r="F146" s="406"/>
      <c r="G146" s="406"/>
      <c r="H146" s="467"/>
      <c r="I146" s="467"/>
      <c r="J146" s="467"/>
      <c r="K146" s="467"/>
      <c r="L146" s="467"/>
      <c r="M146" s="467"/>
      <c r="N146" s="467"/>
      <c r="O146" s="467"/>
      <c r="P146" s="467"/>
      <c r="Q146" s="467"/>
      <c r="R146" s="467"/>
      <c r="S146" s="467"/>
      <c r="T146" s="412"/>
      <c r="U146" s="412"/>
      <c r="V146" s="412"/>
      <c r="W146" s="412"/>
      <c r="X146" s="412"/>
      <c r="Y146" s="412"/>
      <c r="Z146" s="412"/>
      <c r="AA146" s="412"/>
      <c r="AB146" s="412"/>
      <c r="AC146" s="412"/>
      <c r="AD146" s="412"/>
    </row>
    <row r="147" spans="1:30" ht="12.75" customHeight="1" outlineLevel="1">
      <c r="A147" s="402"/>
      <c r="B147" s="403"/>
      <c r="C147" s="469" t="s">
        <v>557</v>
      </c>
      <c r="D147" s="469"/>
      <c r="E147" s="469"/>
      <c r="F147" s="469"/>
      <c r="G147" s="469"/>
      <c r="H147" s="514" t="str">
        <f t="shared" ref="H147:X147" si="99">H110</f>
        <v>01/1999</v>
      </c>
      <c r="I147" s="514" t="str">
        <f t="shared" si="99"/>
        <v>01/2000</v>
      </c>
      <c r="J147" s="514" t="str">
        <f t="shared" si="99"/>
        <v>01/2001</v>
      </c>
      <c r="K147" s="514" t="str">
        <f t="shared" si="99"/>
        <v>01/2002</v>
      </c>
      <c r="L147" s="514" t="str">
        <f t="shared" si="99"/>
        <v>01/2003</v>
      </c>
      <c r="M147" s="514" t="str">
        <f t="shared" si="99"/>
        <v>01/2004</v>
      </c>
      <c r="N147" s="514" t="str">
        <f t="shared" si="99"/>
        <v>01/2005</v>
      </c>
      <c r="O147" s="514" t="str">
        <f t="shared" si="99"/>
        <v>01/2006</v>
      </c>
      <c r="P147" s="514" t="str">
        <f t="shared" si="99"/>
        <v>01/2007</v>
      </c>
      <c r="Q147" s="514" t="str">
        <f t="shared" si="99"/>
        <v>01/2008</v>
      </c>
      <c r="R147" s="514" t="str">
        <f t="shared" si="99"/>
        <v>01/2009</v>
      </c>
      <c r="S147" s="514" t="str">
        <f t="shared" si="99"/>
        <v>01/2010</v>
      </c>
      <c r="T147" s="514" t="str">
        <f t="shared" si="99"/>
        <v>01/2011</v>
      </c>
      <c r="U147" s="514" t="str">
        <f t="shared" si="99"/>
        <v>01/2012</v>
      </c>
      <c r="V147" s="514" t="str">
        <f t="shared" si="99"/>
        <v>01/2013</v>
      </c>
      <c r="W147" s="514" t="str">
        <f t="shared" si="99"/>
        <v>01/2014</v>
      </c>
      <c r="X147" s="514" t="str">
        <f t="shared" si="99"/>
        <v>01/2015</v>
      </c>
      <c r="Y147" s="514" t="str">
        <f t="shared" ref="Y147:AD147" si="100">Y110</f>
        <v>01/2016</v>
      </c>
      <c r="Z147" s="514" t="str">
        <f t="shared" si="100"/>
        <v>01/2017</v>
      </c>
      <c r="AA147" s="514" t="str">
        <f t="shared" si="100"/>
        <v>01/2018</v>
      </c>
      <c r="AB147" s="514" t="str">
        <f t="shared" si="100"/>
        <v>01/2019</v>
      </c>
      <c r="AC147" s="514" t="str">
        <f t="shared" si="100"/>
        <v>01/2020</v>
      </c>
      <c r="AD147" s="514" t="str">
        <f t="shared" si="100"/>
        <v>01/2021</v>
      </c>
    </row>
    <row r="148" spans="1:30" ht="11.25" customHeight="1" outlineLevel="1">
      <c r="A148" s="402"/>
      <c r="B148" s="403"/>
      <c r="C148" s="406"/>
      <c r="D148" s="406"/>
      <c r="E148" s="406"/>
      <c r="F148" s="406"/>
      <c r="G148" s="406"/>
      <c r="H148" s="444"/>
      <c r="I148" s="444"/>
      <c r="J148" s="444"/>
      <c r="K148" s="444"/>
      <c r="L148" s="435"/>
      <c r="M148" s="444"/>
      <c r="N148" s="444"/>
      <c r="O148" s="444"/>
      <c r="P148" s="445"/>
      <c r="Q148" s="445"/>
      <c r="R148" s="445"/>
      <c r="S148" s="445"/>
      <c r="T148" s="445"/>
      <c r="U148" s="445"/>
      <c r="V148" s="445"/>
      <c r="W148" s="445"/>
      <c r="X148" s="445"/>
      <c r="Y148" s="445"/>
      <c r="Z148" s="445"/>
      <c r="AA148" s="445"/>
      <c r="AB148" s="445"/>
      <c r="AC148" s="445"/>
      <c r="AD148" s="445"/>
    </row>
    <row r="149" spans="1:30" ht="11.25" customHeight="1" outlineLevel="1">
      <c r="A149" s="538"/>
      <c r="B149" s="539"/>
      <c r="C149" s="475" t="s">
        <v>558</v>
      </c>
      <c r="D149" s="475"/>
      <c r="E149" s="475"/>
      <c r="F149" s="475"/>
      <c r="G149" s="475"/>
      <c r="H149" s="540">
        <f t="shared" ref="H149:O149" si="101">H70</f>
        <v>8</v>
      </c>
      <c r="I149" s="541">
        <f t="shared" si="101"/>
        <v>8</v>
      </c>
      <c r="J149" s="541">
        <f t="shared" si="101"/>
        <v>7</v>
      </c>
      <c r="K149" s="541">
        <f t="shared" si="101"/>
        <v>7.5</v>
      </c>
      <c r="L149" s="541">
        <f t="shared" si="101"/>
        <v>7.5</v>
      </c>
      <c r="M149" s="541">
        <f t="shared" si="101"/>
        <v>7</v>
      </c>
      <c r="N149" s="541">
        <f t="shared" si="101"/>
        <v>8</v>
      </c>
      <c r="O149" s="541">
        <f t="shared" si="101"/>
        <v>8</v>
      </c>
      <c r="P149" s="541">
        <f t="shared" ref="P149:X149" si="102">O149</f>
        <v>8</v>
      </c>
      <c r="Q149" s="541">
        <f t="shared" si="102"/>
        <v>8</v>
      </c>
      <c r="R149" s="541">
        <f t="shared" si="102"/>
        <v>8</v>
      </c>
      <c r="S149" s="541">
        <f t="shared" si="102"/>
        <v>8</v>
      </c>
      <c r="T149" s="541">
        <f t="shared" si="102"/>
        <v>8</v>
      </c>
      <c r="U149" s="541">
        <f t="shared" si="102"/>
        <v>8</v>
      </c>
      <c r="V149" s="541">
        <f t="shared" si="102"/>
        <v>8</v>
      </c>
      <c r="W149" s="541">
        <f t="shared" si="102"/>
        <v>8</v>
      </c>
      <c r="X149" s="541">
        <f t="shared" si="102"/>
        <v>8</v>
      </c>
      <c r="Y149" s="541">
        <f t="shared" ref="Y149:AD149" si="103">X149</f>
        <v>8</v>
      </c>
      <c r="Z149" s="541">
        <f t="shared" si="103"/>
        <v>8</v>
      </c>
      <c r="AA149" s="541">
        <f t="shared" si="103"/>
        <v>8</v>
      </c>
      <c r="AB149" s="541">
        <f t="shared" si="103"/>
        <v>8</v>
      </c>
      <c r="AC149" s="541">
        <f t="shared" si="103"/>
        <v>8</v>
      </c>
      <c r="AD149" s="541">
        <f t="shared" si="103"/>
        <v>8</v>
      </c>
    </row>
    <row r="150" spans="1:30" ht="11.25" customHeight="1" outlineLevel="1">
      <c r="A150" s="396"/>
      <c r="B150" s="401"/>
      <c r="C150" s="475" t="s">
        <v>559</v>
      </c>
      <c r="D150" s="434"/>
      <c r="E150" s="434"/>
      <c r="F150" s="434"/>
      <c r="G150" s="434"/>
      <c r="H150" s="542">
        <v>0</v>
      </c>
      <c r="I150" s="543"/>
      <c r="J150" s="543"/>
      <c r="K150" s="544"/>
      <c r="L150" s="544"/>
      <c r="M150" s="544"/>
      <c r="N150" s="544"/>
      <c r="O150" s="544"/>
      <c r="P150" s="544"/>
      <c r="Q150" s="544"/>
      <c r="R150" s="544"/>
      <c r="S150" s="544"/>
      <c r="T150" s="544"/>
      <c r="U150" s="544"/>
      <c r="V150" s="544"/>
      <c r="W150" s="544"/>
      <c r="X150" s="544"/>
      <c r="Y150" s="544"/>
      <c r="Z150" s="544"/>
      <c r="AA150" s="544"/>
      <c r="AB150" s="544"/>
      <c r="AC150" s="544"/>
      <c r="AD150" s="544"/>
    </row>
    <row r="151" spans="1:30" ht="11.25" customHeight="1" outlineLevel="1">
      <c r="A151" s="396"/>
      <c r="B151" s="401"/>
      <c r="C151" s="475" t="s">
        <v>560</v>
      </c>
      <c r="D151" s="434"/>
      <c r="E151" s="434"/>
      <c r="F151" s="434"/>
      <c r="G151" s="434"/>
      <c r="H151" s="545">
        <v>0.98</v>
      </c>
      <c r="I151" s="401"/>
      <c r="J151" s="401"/>
      <c r="K151" s="401"/>
      <c r="L151" s="401"/>
      <c r="M151" s="401"/>
      <c r="N151" s="401"/>
      <c r="O151" s="401"/>
      <c r="P151" s="401"/>
      <c r="Q151" s="401"/>
      <c r="R151" s="401"/>
      <c r="S151" s="401"/>
      <c r="T151" s="401"/>
      <c r="U151" s="401"/>
      <c r="V151" s="401"/>
      <c r="W151" s="401"/>
      <c r="X151" s="401"/>
      <c r="Y151" s="401"/>
      <c r="Z151" s="401"/>
      <c r="AA151" s="401"/>
      <c r="AB151" s="401"/>
      <c r="AC151" s="401"/>
      <c r="AD151" s="401"/>
    </row>
    <row r="152" spans="1:30" ht="11.25" customHeight="1" outlineLevel="1">
      <c r="A152" s="546"/>
      <c r="B152" s="475"/>
      <c r="C152" s="475" t="s">
        <v>561</v>
      </c>
      <c r="D152" s="475"/>
      <c r="E152" s="475"/>
      <c r="F152" s="475"/>
      <c r="G152" s="475"/>
      <c r="H152" s="547">
        <f>(1+(1-H72))</f>
        <v>1.4702929541877228</v>
      </c>
      <c r="I152" s="475"/>
      <c r="J152" s="475"/>
      <c r="K152" s="475"/>
      <c r="L152" s="475"/>
      <c r="M152" s="475"/>
      <c r="N152" s="475"/>
      <c r="O152" s="475"/>
      <c r="P152" s="475"/>
      <c r="Q152" s="475"/>
      <c r="R152" s="475"/>
      <c r="S152" s="475"/>
      <c r="T152" s="475"/>
      <c r="U152" s="475"/>
      <c r="V152" s="475"/>
      <c r="W152" s="475"/>
      <c r="X152" s="475"/>
      <c r="Y152" s="475"/>
      <c r="Z152" s="475"/>
      <c r="AA152" s="475"/>
      <c r="AB152" s="475"/>
      <c r="AC152" s="475"/>
      <c r="AD152" s="475"/>
    </row>
    <row r="153" spans="1:30" ht="11.25" customHeight="1" outlineLevel="1">
      <c r="A153" s="546"/>
      <c r="B153" s="475"/>
      <c r="C153" s="475" t="s">
        <v>562</v>
      </c>
      <c r="D153" s="475"/>
      <c r="E153" s="475"/>
      <c r="F153" s="475"/>
      <c r="G153" s="475"/>
      <c r="H153" s="548">
        <f>H24*(1-H150)</f>
        <v>263.07543587879917</v>
      </c>
      <c r="I153" s="548">
        <f t="shared" ref="I153:X153" si="104">I143*(1-$H$150)</f>
        <v>126.24243821301752</v>
      </c>
      <c r="J153" s="548">
        <f t="shared" si="104"/>
        <v>158.43609474029225</v>
      </c>
      <c r="K153" s="548">
        <f t="shared" si="104"/>
        <v>185.79372009868325</v>
      </c>
      <c r="L153" s="548">
        <f t="shared" si="104"/>
        <v>262.82449921967674</v>
      </c>
      <c r="M153" s="548">
        <f t="shared" si="104"/>
        <v>230.275100591588</v>
      </c>
      <c r="N153" s="548">
        <f t="shared" si="104"/>
        <v>253.21541751578101</v>
      </c>
      <c r="O153" s="548">
        <f t="shared" si="104"/>
        <v>253.97345182343361</v>
      </c>
      <c r="P153" s="548">
        <f t="shared" si="104"/>
        <v>306.32661827365371</v>
      </c>
      <c r="Q153" s="548">
        <f t="shared" si="104"/>
        <v>538.79343559300219</v>
      </c>
      <c r="R153" s="548">
        <f t="shared" si="104"/>
        <v>563.54974334766484</v>
      </c>
      <c r="S153" s="548">
        <f t="shared" si="104"/>
        <v>95.356952146645597</v>
      </c>
      <c r="T153" s="548">
        <f t="shared" si="104"/>
        <v>285.72978577462266</v>
      </c>
      <c r="U153" s="548">
        <f>U143*(1-$H$150)</f>
        <v>629.21786959649114</v>
      </c>
      <c r="V153" s="548">
        <f t="shared" si="104"/>
        <v>-60.04222065596727</v>
      </c>
      <c r="W153" s="548">
        <f t="shared" si="104"/>
        <v>537.76536564256128</v>
      </c>
      <c r="X153" s="548">
        <f t="shared" si="104"/>
        <v>591.54190220681744</v>
      </c>
      <c r="Y153" s="548">
        <f t="shared" ref="Y153:AD153" si="105">Y143*(1-$H$150)</f>
        <v>650.69609242749914</v>
      </c>
      <c r="Z153" s="548">
        <f t="shared" si="105"/>
        <v>715.7657016702492</v>
      </c>
      <c r="AA153" s="548">
        <f t="shared" si="105"/>
        <v>787.34227183727444</v>
      </c>
      <c r="AB153" s="548">
        <f t="shared" si="105"/>
        <v>866.07649902100161</v>
      </c>
      <c r="AC153" s="548">
        <f t="shared" si="105"/>
        <v>952.68414892310193</v>
      </c>
      <c r="AD153" s="548">
        <f t="shared" si="105"/>
        <v>1047.9525638154125</v>
      </c>
    </row>
    <row r="154" spans="1:30" ht="11.25" customHeight="1" outlineLevel="1">
      <c r="A154" s="546"/>
      <c r="B154" s="548"/>
      <c r="C154" s="475" t="s">
        <v>563</v>
      </c>
      <c r="D154" s="475"/>
      <c r="E154" s="475"/>
      <c r="F154" s="475"/>
      <c r="G154" s="475"/>
      <c r="H154" s="549">
        <f>$H$24/$H$149*H152*(1-H150)</f>
        <v>48.349744974057806</v>
      </c>
      <c r="I154" s="550">
        <f>IF(SUM($H154:H154)+H154*$H$151&lt;$H$153,H154*$H$151,$H$153-SUM($H154:H154))</f>
        <v>47.382750074576649</v>
      </c>
      <c r="J154" s="550">
        <f>IF(SUM($H154:I154)+I154*$H$151&lt;$H$153,I154*$H$151,$H$153-SUM($H154:I154))</f>
        <v>46.435095073085115</v>
      </c>
      <c r="K154" s="550">
        <f>IF(SUM($H154:J154)+J154*$H$151&lt;$H$153,J154*$H$151,$H$153-SUM($H154:J154))</f>
        <v>45.506393171623415</v>
      </c>
      <c r="L154" s="550">
        <f>IF(SUM($H154:K154)+K154*$H$151&lt;$H$153,K154*$H$151,$H$153-SUM($H154:K154))</f>
        <v>44.596265308190944</v>
      </c>
      <c r="M154" s="550">
        <f>IF(SUM($H154:K154)+K154*$H$151&lt;$H$153,K154*$H$151,$H$153-SUM($H154:K154))</f>
        <v>44.596265308190944</v>
      </c>
      <c r="N154" s="550">
        <f>IF(SUM($H154:M154)+M154*$H$151&lt;$H$153,M154*$H$151,$H$153-SUM($H154:M154))</f>
        <v>-13.791078030925689</v>
      </c>
      <c r="O154" s="550">
        <f>IF(SUM($H154:N154)+N154*$H$151&lt;$H$153,N154*$H$151,$H$153-SUM($H154:N154))</f>
        <v>-13.515256470307175</v>
      </c>
      <c r="P154" s="550">
        <f>IF(SUM($H154:O154)+O154*$H$151&lt;$H$153,O154*$H$151,$H$153-SUM($H154:O154))</f>
        <v>-13.244951340901032</v>
      </c>
      <c r="Q154" s="550">
        <f>IF(SUM($H154:P154)+P154*$H$151&lt;$H$153,P154*$H$151,$H$153-SUM($H154:P154))</f>
        <v>-12.980052314083011</v>
      </c>
      <c r="R154" s="550">
        <f>IF(SUM($H154:Q154)+Q154*$H$151&lt;$H$153,Q154*$H$151,$H$153-SUM($H154:Q154))</f>
        <v>-12.72045126780135</v>
      </c>
      <c r="S154" s="550">
        <f>IF(SUM($H154:R154)+R154*$H$151&lt;$H$153,R154*$H$151,$H$153-SUM($H154:R154))</f>
        <v>-12.466042242445322</v>
      </c>
      <c r="T154" s="550">
        <f>IF(SUM($H154:S154)+S154*$H$151&lt;$H$153,S154*$H$151,$H$153-SUM($H154:S154))</f>
        <v>-12.216721397596416</v>
      </c>
      <c r="U154" s="550">
        <f>IF(SUM($H154:T154)+T154*$H$151&lt;$H$153,T154*$H$151,$H$153-SUM($H154:T154))</f>
        <v>-11.972386969644488</v>
      </c>
      <c r="V154" s="550">
        <f>IF(SUM($H154:U154)+U154*$H$151&lt;$H$153,U154*$H$151,$H$153-SUM($H154:U154))</f>
        <v>-11.732939230251597</v>
      </c>
      <c r="W154" s="550">
        <f>IF(SUM($H154:V154)+V154*$H$151&lt;$H$153,V154*$H$151,$H$153-SUM($H154:V154))</f>
        <v>-11.498280445646564</v>
      </c>
      <c r="X154" s="550">
        <f>IF(SUM($H154:W154)+W154*$H$151&lt;$H$153,W154*$H$151,$H$153-SUM($H154:W154))</f>
        <v>-11.268314836733634</v>
      </c>
      <c r="Y154" s="550">
        <f>IF(SUM($H154:X154)+X154*$H$151&lt;$H$153,X154*$H$151,$H$153-SUM($H154:X154))</f>
        <v>-11.04294853999896</v>
      </c>
      <c r="Z154" s="550">
        <f>IF(SUM($H154:Y154)+Y154*$H$151&lt;$H$153,Y154*$H$151,$H$153-SUM($H154:Y154))</f>
        <v>-10.822089569198981</v>
      </c>
      <c r="AA154" s="550">
        <f>IF(SUM($H154:Z154)+Z154*$H$151&lt;$H$153,Z154*$H$151,$H$153-SUM($H154:Z154))</f>
        <v>-10.605647777815001</v>
      </c>
      <c r="AB154" s="550">
        <f>IF(SUM($H154:AA154)+AA154*$H$151&lt;$H$153,AA154*$H$151,$H$153-SUM($H154:AA154))</f>
        <v>-10.393534822258701</v>
      </c>
      <c r="AC154" s="550">
        <f>IF(SUM($H154:AB154)+AB154*$H$151&lt;$H$153,AB154*$H$151,$H$153-SUM($H154:AB154))</f>
        <v>-10.185664125813526</v>
      </c>
      <c r="AD154" s="550">
        <f>IF(SUM($H154:AC154)+AC154*$H$151&lt;$H$153,AC154*$H$151,$H$153-SUM($H154:AC154))</f>
        <v>-9.9819508432972555</v>
      </c>
    </row>
    <row r="155" spans="1:30" ht="11.25" customHeight="1" outlineLevel="1">
      <c r="A155" s="396"/>
      <c r="B155" s="544"/>
      <c r="C155" s="551" t="str">
        <f t="array" ref="C155:C169">TRANSPOSE(H147:X147)</f>
        <v>01/1999</v>
      </c>
      <c r="D155" s="425"/>
      <c r="E155" s="425"/>
      <c r="F155" s="425"/>
      <c r="G155" s="425"/>
      <c r="H155" s="552"/>
      <c r="I155" s="552">
        <f>I$22/I$149*(1-$H$150)</f>
        <v>15.78030477662719</v>
      </c>
      <c r="J155" s="552">
        <f>(IF(COUNT($I155:I155)&lt;$I$149,I155,0))</f>
        <v>15.78030477662719</v>
      </c>
      <c r="K155" s="552">
        <f>(IF(COUNT($I155:J155)&lt;$I$149,J155,0))</f>
        <v>15.78030477662719</v>
      </c>
      <c r="L155" s="552">
        <f>(IF(COUNT($I155:K155)&lt;$I$149,K155,0))</f>
        <v>15.78030477662719</v>
      </c>
      <c r="M155" s="552">
        <f>(IF(COUNT($I155:K155)&lt;$I$149,K155,0))</f>
        <v>15.78030477662719</v>
      </c>
      <c r="N155" s="552">
        <f>(IF(COUNT($I155:M155)&lt;$I$149,M155,0))</f>
        <v>15.78030477662719</v>
      </c>
      <c r="O155" s="552">
        <f>(IF(COUNT($I155:N155)&lt;$I$149,N155,0))</f>
        <v>15.78030477662719</v>
      </c>
      <c r="P155" s="552">
        <f>(IF(COUNT($I155:O155)&lt;$I$149,O155,0))</f>
        <v>15.78030477662719</v>
      </c>
      <c r="Q155" s="552">
        <f>(IF(COUNT($I155:P155)&lt;$I$149,P155,0))</f>
        <v>0</v>
      </c>
      <c r="R155" s="552">
        <f>(IF(COUNT($I155:Q155)&lt;$I$149,Q155,0))</f>
        <v>0</v>
      </c>
      <c r="S155" s="552">
        <f>(IF(COUNT($I155:R155)&lt;$I$149,R155,0))</f>
        <v>0</v>
      </c>
      <c r="T155" s="552">
        <f>(IF(COUNT($I155:S155)&lt;$I$149,S155,0))</f>
        <v>0</v>
      </c>
      <c r="U155" s="552">
        <f>(IF(COUNT($I155:T155)&lt;$I$149,T155,0))</f>
        <v>0</v>
      </c>
      <c r="V155" s="552">
        <f>(IF(COUNT($I155:U155)&lt;$I$149,U155,0))</f>
        <v>0</v>
      </c>
      <c r="W155" s="552">
        <f>(IF(COUNT($I155:V155)&lt;$I$149,V155,0))</f>
        <v>0</v>
      </c>
      <c r="X155" s="552">
        <f>(IF(COUNT($I155:W155)&lt;$I$149,W155,0))</f>
        <v>0</v>
      </c>
      <c r="Y155" s="552">
        <f>(IF(COUNT($I155:X155)&lt;$I$149,X155,0))</f>
        <v>0</v>
      </c>
      <c r="Z155" s="552">
        <f>(IF(COUNT($I155:Y155)&lt;$I$149,Y155,0))</f>
        <v>0</v>
      </c>
      <c r="AA155" s="552">
        <f>(IF(COUNT($I155:Z155)&lt;$I$149,Z155,0))</f>
        <v>0</v>
      </c>
      <c r="AB155" s="552">
        <f>(IF(COUNT($I155:AA155)&lt;$I$149,AA155,0))</f>
        <v>0</v>
      </c>
      <c r="AC155" s="552">
        <f>(IF(COUNT($I155:AB155)&lt;$I$149,AB155,0))</f>
        <v>0</v>
      </c>
      <c r="AD155" s="552">
        <f>(IF(COUNT($I155:AC155)&lt;$I$149,AC155,0))</f>
        <v>0</v>
      </c>
    </row>
    <row r="156" spans="1:30" ht="11.25" customHeight="1" outlineLevel="1">
      <c r="A156" s="396"/>
      <c r="B156" s="544"/>
      <c r="C156" s="551" t="str">
        <v>01/2000</v>
      </c>
      <c r="D156" s="425"/>
      <c r="E156" s="425"/>
      <c r="F156" s="425"/>
      <c r="G156" s="425"/>
      <c r="H156" s="552"/>
      <c r="I156" s="552"/>
      <c r="J156" s="552">
        <f>J$22/J$149*(1-$H$150)</f>
        <v>22.633727820041749</v>
      </c>
      <c r="K156" s="552">
        <f>(IF(COUNT($J156:J156)&lt;$J$149,J156,0))</f>
        <v>22.633727820041749</v>
      </c>
      <c r="L156" s="552">
        <f>(IF(COUNT($J156:K156)&lt;$J$149,K156,0))</f>
        <v>22.633727820041749</v>
      </c>
      <c r="M156" s="552">
        <f>(IF(COUNT($J156:K156)&lt;$J$149,K156,0))</f>
        <v>22.633727820041749</v>
      </c>
      <c r="N156" s="552">
        <f>(IF(COUNT($J156:M156)&lt;$J$149,M156,0))</f>
        <v>22.633727820041749</v>
      </c>
      <c r="O156" s="552">
        <f>(IF(COUNT($J156:N156)&lt;$J$149,N156,0))</f>
        <v>22.633727820041749</v>
      </c>
      <c r="P156" s="552">
        <f>(IF(COUNT($J156:O156)&lt;$J$149,O156,0))</f>
        <v>22.633727820041749</v>
      </c>
      <c r="Q156" s="552">
        <f>(IF(COUNT($J156:P156)&lt;$J$149,P156,0))</f>
        <v>0</v>
      </c>
      <c r="R156" s="552">
        <f>(IF(COUNT($J156:Q156)&lt;$J$149,Q156,0))</f>
        <v>0</v>
      </c>
      <c r="S156" s="552">
        <f>(IF(COUNT($J156:R156)&lt;$J$149,R156,0))</f>
        <v>0</v>
      </c>
      <c r="T156" s="552">
        <f>(IF(COUNT($J156:S156)&lt;$J$149,S156,0))</f>
        <v>0</v>
      </c>
      <c r="U156" s="552">
        <f>(IF(COUNT($J156:T156)&lt;$J$149,T156,0))</f>
        <v>0</v>
      </c>
      <c r="V156" s="552">
        <f>(IF(COUNT($J156:U156)&lt;$J$149,U156,0))</f>
        <v>0</v>
      </c>
      <c r="W156" s="552">
        <f>(IF(COUNT($J156:V156)&lt;$J$149,V156,0))</f>
        <v>0</v>
      </c>
      <c r="X156" s="552">
        <f>(IF(COUNT($J156:W156)&lt;$J$149,W156,0))</f>
        <v>0</v>
      </c>
      <c r="Y156" s="552">
        <f>(IF(COUNT($J156:X156)&lt;$J$149,X156,0))</f>
        <v>0</v>
      </c>
      <c r="Z156" s="552">
        <f>(IF(COUNT($J156:Y156)&lt;$J$149,Y156,0))</f>
        <v>0</v>
      </c>
      <c r="AA156" s="552">
        <f>(IF(COUNT($J156:Z156)&lt;$J$149,Z156,0))</f>
        <v>0</v>
      </c>
      <c r="AB156" s="552">
        <f>(IF(COUNT($J156:AA156)&lt;$J$149,AA156,0))</f>
        <v>0</v>
      </c>
      <c r="AC156" s="552">
        <f>(IF(COUNT($J156:AB156)&lt;$J$149,AB156,0))</f>
        <v>0</v>
      </c>
      <c r="AD156" s="552">
        <f>(IF(COUNT($J156:AC156)&lt;$J$149,AC156,0))</f>
        <v>0</v>
      </c>
    </row>
    <row r="157" spans="1:30" ht="11.25" customHeight="1" outlineLevel="1">
      <c r="A157" s="396"/>
      <c r="B157" s="544"/>
      <c r="C157" s="551" t="str">
        <v>01/2001</v>
      </c>
      <c r="D157" s="425"/>
      <c r="E157" s="425"/>
      <c r="F157" s="425"/>
      <c r="G157" s="425"/>
      <c r="H157" s="552"/>
      <c r="I157" s="552"/>
      <c r="J157" s="552"/>
      <c r="K157" s="552">
        <f>K$22/K$149*(1-$H$150)</f>
        <v>24.772496013157767</v>
      </c>
      <c r="L157" s="552">
        <f>(IF(COUNT($K157:K157)&lt;$K$149,K157,0))</f>
        <v>24.772496013157767</v>
      </c>
      <c r="M157" s="552">
        <f>(IF(COUNT($J157:K157)&lt;$K$149,K157,0))</f>
        <v>24.772496013157767</v>
      </c>
      <c r="N157" s="552">
        <f>(IF(COUNT($J157:M157)&lt;$K$149,M157,0))</f>
        <v>24.772496013157767</v>
      </c>
      <c r="O157" s="552">
        <f>(IF(COUNT($J157:N157)&lt;$K$149,N157,0))</f>
        <v>24.772496013157767</v>
      </c>
      <c r="P157" s="552">
        <f>(IF(COUNT($J157:O157)&lt;$K$149,O157,0))</f>
        <v>24.772496013157767</v>
      </c>
      <c r="Q157" s="552">
        <f>(IF(COUNT($J157:P157)&lt;$K$149,P157,0))</f>
        <v>24.772496013157767</v>
      </c>
      <c r="R157" s="552">
        <f>(IF(COUNT($J157:Q157)&lt;$K$149,Q157,0))</f>
        <v>24.772496013157767</v>
      </c>
      <c r="S157" s="552">
        <f>(IF(COUNT($J157:R157)&lt;$K$149,R157,0))</f>
        <v>0</v>
      </c>
      <c r="T157" s="552">
        <f>(IF(COUNT($J157:S157)&lt;$K$149,S157,0))</f>
        <v>0</v>
      </c>
      <c r="U157" s="552">
        <f>(IF(COUNT($J157:T157)&lt;$K$149,T157,0))</f>
        <v>0</v>
      </c>
      <c r="V157" s="552">
        <f>(IF(COUNT($J157:U157)&lt;$K$149,U157,0))</f>
        <v>0</v>
      </c>
      <c r="W157" s="552">
        <f>(IF(COUNT($J157:V157)&lt;$K$149,V157,0))</f>
        <v>0</v>
      </c>
      <c r="X157" s="552">
        <f>(IF(COUNT($J157:W157)&lt;$K$149,W157,0))</f>
        <v>0</v>
      </c>
      <c r="Y157" s="552">
        <f>(IF(COUNT($J157:X157)&lt;$K$149,X157,0))</f>
        <v>0</v>
      </c>
      <c r="Z157" s="552">
        <f>(IF(COUNT($J157:Y157)&lt;$K$149,Y157,0))</f>
        <v>0</v>
      </c>
      <c r="AA157" s="552">
        <f>(IF(COUNT($J157:Z157)&lt;$K$149,Z157,0))</f>
        <v>0</v>
      </c>
      <c r="AB157" s="552">
        <f>(IF(COUNT($J157:AA157)&lt;$K$149,AA157,0))</f>
        <v>0</v>
      </c>
      <c r="AC157" s="552">
        <f>(IF(COUNT($J157:AB157)&lt;$K$149,AB157,0))</f>
        <v>0</v>
      </c>
      <c r="AD157" s="552">
        <f>(IF(COUNT($J157:AC157)&lt;$K$149,AC157,0))</f>
        <v>0</v>
      </c>
    </row>
    <row r="158" spans="1:30" ht="11.25" customHeight="1" outlineLevel="1">
      <c r="A158" s="396"/>
      <c r="B158" s="544"/>
      <c r="C158" s="551" t="str">
        <v>01/2002</v>
      </c>
      <c r="D158" s="425"/>
      <c r="E158" s="425"/>
      <c r="F158" s="425"/>
      <c r="G158" s="425"/>
      <c r="H158" s="552"/>
      <c r="I158" s="552"/>
      <c r="J158" s="552"/>
      <c r="K158" s="552"/>
      <c r="L158" s="552">
        <f>L$22/L$149*(1-$H$150)</f>
        <v>35.043266562623565</v>
      </c>
      <c r="M158" s="552">
        <f>(IF(COUNT($J158:L158)&lt;$K$149,L158,0))</f>
        <v>35.043266562623565</v>
      </c>
      <c r="N158" s="552">
        <f>(IF(COUNT($M158:M158)&lt;$M$149,M158,0))</f>
        <v>35.043266562623565</v>
      </c>
      <c r="O158" s="552">
        <f>(IF(COUNT($M158:N158)&lt;$M$149,N158,0))</f>
        <v>35.043266562623565</v>
      </c>
      <c r="P158" s="552">
        <f>(IF(COUNT($M158:O158)&lt;$M$149,O158,0))</f>
        <v>35.043266562623565</v>
      </c>
      <c r="Q158" s="552">
        <f>(IF(COUNT($M158:P158)&lt;$M$149,P158,0))</f>
        <v>35.043266562623565</v>
      </c>
      <c r="R158" s="552">
        <f>(IF(COUNT($M158:Q158)&lt;$M$149,Q158,0))</f>
        <v>35.043266562623565</v>
      </c>
      <c r="S158" s="552">
        <f>(IF(COUNT($M158:R158)&lt;$M$149,R158,0))</f>
        <v>35.043266562623565</v>
      </c>
      <c r="T158" s="552">
        <f>(IF(COUNT($M158:S158)&lt;$M$149,S158,0))</f>
        <v>0</v>
      </c>
      <c r="U158" s="552">
        <f>(IF(COUNT($M158:T158)&lt;$M$149,T158,0))</f>
        <v>0</v>
      </c>
      <c r="V158" s="552">
        <f>(IF(COUNT($M158:U158)&lt;$M$149,U158,0))</f>
        <v>0</v>
      </c>
      <c r="W158" s="552">
        <f>(IF(COUNT($M158:V158)&lt;$M$149,V158,0))</f>
        <v>0</v>
      </c>
      <c r="X158" s="552">
        <f>(IF(COUNT($M158:W158)&lt;$M$149,W158,0))</f>
        <v>0</v>
      </c>
      <c r="Y158" s="552">
        <f>(IF(COUNT($M158:X158)&lt;$M$149,X158,0))</f>
        <v>0</v>
      </c>
      <c r="Z158" s="552">
        <f>(IF(COUNT($M158:Y158)&lt;$M$149,Y158,0))</f>
        <v>0</v>
      </c>
      <c r="AA158" s="552">
        <f>(IF(COUNT($M158:Z158)&lt;$M$149,Z158,0))</f>
        <v>0</v>
      </c>
      <c r="AB158" s="552">
        <f>(IF(COUNT($M158:AA158)&lt;$M$149,AA158,0))</f>
        <v>0</v>
      </c>
      <c r="AC158" s="552">
        <f>(IF(COUNT($M158:AB158)&lt;$M$149,AB158,0))</f>
        <v>0</v>
      </c>
      <c r="AD158" s="552">
        <f>(IF(COUNT($M158:AC158)&lt;$M$149,AC158,0))</f>
        <v>0</v>
      </c>
    </row>
    <row r="159" spans="1:30" ht="11.25" customHeight="1" outlineLevel="1">
      <c r="A159" s="396"/>
      <c r="B159" s="544"/>
      <c r="C159" s="551" t="str">
        <v>01/2003</v>
      </c>
      <c r="D159" s="425"/>
      <c r="E159" s="425"/>
      <c r="F159" s="425"/>
      <c r="G159" s="425"/>
      <c r="H159" s="552"/>
      <c r="I159" s="552"/>
      <c r="J159" s="552"/>
      <c r="K159" s="552"/>
      <c r="L159" s="552"/>
      <c r="M159" s="552">
        <f>M$22/M$149*(1-$H$150)</f>
        <v>32.89644294165543</v>
      </c>
      <c r="N159" s="552">
        <f>(IF(COUNT($M159:M159)&lt;$M$149,M159,0))</f>
        <v>32.89644294165543</v>
      </c>
      <c r="O159" s="552">
        <f>(IF(COUNT($N159:N159)&lt;$N$149,N159,0))</f>
        <v>32.89644294165543</v>
      </c>
      <c r="P159" s="552">
        <f>(IF(COUNT($N159:O159)&lt;$N$149,O159,0))</f>
        <v>32.89644294165543</v>
      </c>
      <c r="Q159" s="552">
        <f>(IF(COUNT($N159:P159)&lt;$N$149,P159,0))</f>
        <v>32.89644294165543</v>
      </c>
      <c r="R159" s="552">
        <f>(IF(COUNT($N159:Q159)&lt;$N$149,Q159,0))</f>
        <v>32.89644294165543</v>
      </c>
      <c r="S159" s="552">
        <f>(IF(COUNT($N159:R159)&lt;$N$149,R159,0))</f>
        <v>32.89644294165543</v>
      </c>
      <c r="T159" s="552">
        <f>(IF(COUNT($N159:S159)&lt;$N$149,S159,0))</f>
        <v>32.89644294165543</v>
      </c>
      <c r="U159" s="552">
        <f>(IF(COUNT($N159:T159)&lt;$N$149,T159,0))</f>
        <v>32.89644294165543</v>
      </c>
      <c r="V159" s="552">
        <f>(IF(COUNT($N159:U159)&lt;$N$149,U159,0))</f>
        <v>0</v>
      </c>
      <c r="W159" s="552">
        <f>(IF(COUNT($N159:V159)&lt;$N$149,V159,0))</f>
        <v>0</v>
      </c>
      <c r="X159" s="552">
        <f>(IF(COUNT($N159:W159)&lt;$N$149,W159,0))</f>
        <v>0</v>
      </c>
      <c r="Y159" s="552">
        <f>(IF(COUNT($N159:X159)&lt;$N$149,X159,0))</f>
        <v>0</v>
      </c>
      <c r="Z159" s="552">
        <f>(IF(COUNT($N159:Y159)&lt;$N$149,Y159,0))</f>
        <v>0</v>
      </c>
      <c r="AA159" s="552">
        <f>(IF(COUNT($N159:Z159)&lt;$N$149,Z159,0))</f>
        <v>0</v>
      </c>
      <c r="AB159" s="552">
        <f>(IF(COUNT($N159:AA159)&lt;$N$149,AA159,0))</f>
        <v>0</v>
      </c>
      <c r="AC159" s="552">
        <f>(IF(COUNT($N159:AB159)&lt;$N$149,AB159,0))</f>
        <v>0</v>
      </c>
      <c r="AD159" s="552">
        <f>(IF(COUNT($N159:AC159)&lt;$N$149,AC159,0))</f>
        <v>0</v>
      </c>
    </row>
    <row r="160" spans="1:30" ht="11.25" customHeight="1" outlineLevel="1">
      <c r="A160" s="396"/>
      <c r="B160" s="544"/>
      <c r="C160" s="551" t="str">
        <v>01/2004</v>
      </c>
      <c r="D160" s="425"/>
      <c r="E160" s="425"/>
      <c r="F160" s="425"/>
      <c r="G160" s="425"/>
      <c r="H160" s="552"/>
      <c r="I160" s="552"/>
      <c r="J160" s="552"/>
      <c r="K160" s="552"/>
      <c r="L160" s="552"/>
      <c r="M160" s="552"/>
      <c r="N160" s="552">
        <f>N$22/N$149*(1-$H$150)</f>
        <v>31.651927189472627</v>
      </c>
      <c r="O160" s="552">
        <f>(IF(COUNT($N160:N160)&lt;$N$149,N160,0))</f>
        <v>31.651927189472627</v>
      </c>
      <c r="P160" s="552">
        <f>(IF(COUNT($O160:O160)&lt;$O$149,O160,0))</f>
        <v>31.651927189472627</v>
      </c>
      <c r="Q160" s="552">
        <f>(IF(COUNT($O160:P160)&lt;$O$149,P160,0))</f>
        <v>31.651927189472627</v>
      </c>
      <c r="R160" s="552">
        <f>(IF(COUNT($O160:Q160)&lt;$O$149,Q160,0))</f>
        <v>31.651927189472627</v>
      </c>
      <c r="S160" s="552">
        <f>(IF(COUNT($O160:R160)&lt;$O$149,R160,0))</f>
        <v>31.651927189472627</v>
      </c>
      <c r="T160" s="552">
        <f>(IF(COUNT($O160:S160)&lt;$O$149,S160,0))</f>
        <v>31.651927189472627</v>
      </c>
      <c r="U160" s="552">
        <f>(IF(COUNT($O160:T160)&lt;$O$149,T160,0))</f>
        <v>31.651927189472627</v>
      </c>
      <c r="V160" s="552">
        <f>(IF(COUNT($O160:U160)&lt;$O$149,U160,0))</f>
        <v>31.651927189472627</v>
      </c>
      <c r="W160" s="552">
        <f>(IF(COUNT($O160:V160)&lt;$O$149,V160,0))</f>
        <v>0</v>
      </c>
      <c r="X160" s="552">
        <f>(IF(COUNT($O160:W160)&lt;$O$149,W160,0))</f>
        <v>0</v>
      </c>
      <c r="Y160" s="552">
        <f>(IF(COUNT($O160:X160)&lt;$O$149,X160,0))</f>
        <v>0</v>
      </c>
      <c r="Z160" s="552">
        <f>(IF(COUNT($O160:Y160)&lt;$O$149,Y160,0))</f>
        <v>0</v>
      </c>
      <c r="AA160" s="552">
        <f>(IF(COUNT($O160:Z160)&lt;$O$149,Z160,0))</f>
        <v>0</v>
      </c>
      <c r="AB160" s="552">
        <f>(IF(COUNT($O160:AA160)&lt;$O$149,AA160,0))</f>
        <v>0</v>
      </c>
      <c r="AC160" s="552">
        <f>(IF(COUNT($O160:AB160)&lt;$O$149,AB160,0))</f>
        <v>0</v>
      </c>
      <c r="AD160" s="552">
        <f>(IF(COUNT($O160:AC160)&lt;$O$149,AC160,0))</f>
        <v>0</v>
      </c>
    </row>
    <row r="161" spans="1:30" ht="11.25" customHeight="1" outlineLevel="1">
      <c r="A161" s="396"/>
      <c r="B161" s="544"/>
      <c r="C161" s="551" t="str">
        <v>01/2005</v>
      </c>
      <c r="D161" s="425"/>
      <c r="E161" s="425"/>
      <c r="F161" s="425"/>
      <c r="G161" s="425"/>
      <c r="H161" s="552"/>
      <c r="I161" s="552"/>
      <c r="J161" s="552"/>
      <c r="K161" s="552"/>
      <c r="L161" s="552"/>
      <c r="M161" s="552"/>
      <c r="N161" s="552"/>
      <c r="O161" s="552">
        <f>O$22/O$149*(1-$H$150)</f>
        <v>31.746681477929201</v>
      </c>
      <c r="P161" s="552">
        <f>(IF(COUNT($O161:O161)&lt;$O$149,O161,0))</f>
        <v>31.746681477929201</v>
      </c>
      <c r="Q161" s="552">
        <f>(IF(COUNT($O161:P161)&lt;$O$149,P161,0))</f>
        <v>31.746681477929201</v>
      </c>
      <c r="R161" s="552">
        <f>(IF(COUNT($O161:Q161)&lt;$O$149,Q161,0))</f>
        <v>31.746681477929201</v>
      </c>
      <c r="S161" s="552">
        <f>(IF(COUNT($O161:R161)&lt;$O$149,R161,0))</f>
        <v>31.746681477929201</v>
      </c>
      <c r="T161" s="552">
        <f>(IF(COUNT($O161:S161)&lt;$O$149,S161,0))</f>
        <v>31.746681477929201</v>
      </c>
      <c r="U161" s="552">
        <f>(IF(COUNT($P161:T161)&lt;$P$149,T161,0))</f>
        <v>31.746681477929201</v>
      </c>
      <c r="V161" s="552">
        <f>(IF(COUNT($P161:U161)&lt;$P$149,U161,0))</f>
        <v>31.746681477929201</v>
      </c>
      <c r="W161" s="552">
        <f>(IF(COUNT($P161:V161)&lt;$P$149,V161,0))</f>
        <v>31.746681477929201</v>
      </c>
      <c r="X161" s="552">
        <f>(IF(COUNT($P161:W161)&lt;$P$149,W161,0))</f>
        <v>0</v>
      </c>
      <c r="Y161" s="552">
        <f>(IF(COUNT($P161:X161)&lt;$P$149,X161,0))</f>
        <v>0</v>
      </c>
      <c r="Z161" s="552">
        <f>(IF(COUNT($P161:Y161)&lt;$P$149,Y161,0))</f>
        <v>0</v>
      </c>
      <c r="AA161" s="552">
        <f>(IF(COUNT($P161:Z161)&lt;$P$149,Z161,0))</f>
        <v>0</v>
      </c>
      <c r="AB161" s="552">
        <f>(IF(COUNT($P161:AA161)&lt;$P$149,AA161,0))</f>
        <v>0</v>
      </c>
      <c r="AC161" s="552">
        <f>(IF(COUNT($P161:AB161)&lt;$P$149,AB161,0))</f>
        <v>0</v>
      </c>
      <c r="AD161" s="552">
        <f>(IF(COUNT($P161:AC161)&lt;$P$149,AC161,0))</f>
        <v>0</v>
      </c>
    </row>
    <row r="162" spans="1:30" ht="11.25" customHeight="1" outlineLevel="1">
      <c r="A162" s="396"/>
      <c r="B162" s="544"/>
      <c r="C162" s="551" t="str">
        <v>01/2006</v>
      </c>
      <c r="D162" s="425"/>
      <c r="E162" s="425"/>
      <c r="F162" s="425"/>
      <c r="G162" s="425"/>
      <c r="H162" s="552"/>
      <c r="I162" s="552"/>
      <c r="J162" s="552"/>
      <c r="K162" s="552"/>
      <c r="L162" s="552"/>
      <c r="M162" s="552"/>
      <c r="N162" s="552"/>
      <c r="O162" s="552"/>
      <c r="P162" s="552">
        <f>P$22/P$149*(1-$H$150)</f>
        <v>38.290827284206713</v>
      </c>
      <c r="Q162" s="552">
        <f>(IF(COUNT($O162:P162)&lt;$O$149,P162,0))</f>
        <v>38.290827284206713</v>
      </c>
      <c r="R162" s="552">
        <f>(IF(COUNT($Q162:Q162)&lt;$Q$149,Q162,0))</f>
        <v>38.290827284206713</v>
      </c>
      <c r="S162" s="552">
        <f>(IF(COUNT($Q162:R162)&lt;$Q$149,R162,0))</f>
        <v>38.290827284206713</v>
      </c>
      <c r="T162" s="552">
        <f>(IF(COUNT($Q162:S162)&lt;$Q$149,S162,0))</f>
        <v>38.290827284206713</v>
      </c>
      <c r="U162" s="552">
        <f>(IF(COUNT($Q162:T162)&lt;$Q$149,T162,0))</f>
        <v>38.290827284206713</v>
      </c>
      <c r="V162" s="552">
        <f>(IF(COUNT($Q162:U162)&lt;$Q$149,U162,0))</f>
        <v>38.290827284206713</v>
      </c>
      <c r="W162" s="552">
        <f>(IF(COUNT($Q162:V162)&lt;$Q$149,V162,0))</f>
        <v>38.290827284206713</v>
      </c>
      <c r="X162" s="552">
        <f>(IF(COUNT($Q162:W162)&lt;$Q$149,W162,0))</f>
        <v>38.290827284206713</v>
      </c>
      <c r="Y162" s="552">
        <f>(IF(COUNT($Q162:X162)&lt;$Q$149,X162,0))</f>
        <v>0</v>
      </c>
      <c r="Z162" s="552">
        <f>(IF(COUNT($Q162:Y162)&lt;$Q$149,Y162,0))</f>
        <v>0</v>
      </c>
      <c r="AA162" s="552">
        <f>(IF(COUNT($Q162:Z162)&lt;$Q$149,Z162,0))</f>
        <v>0</v>
      </c>
      <c r="AB162" s="552">
        <f>(IF(COUNT($Q162:AA162)&lt;$Q$149,AA162,0))</f>
        <v>0</v>
      </c>
      <c r="AC162" s="552">
        <f>(IF(COUNT($Q162:AB162)&lt;$Q$149,AB162,0))</f>
        <v>0</v>
      </c>
      <c r="AD162" s="552">
        <f>(IF(COUNT($Q162:AC162)&lt;$Q$149,AC162,0))</f>
        <v>0</v>
      </c>
    </row>
    <row r="163" spans="1:30" ht="11.25" customHeight="1" outlineLevel="1">
      <c r="A163" s="396"/>
      <c r="B163" s="544"/>
      <c r="C163" s="551" t="str">
        <v>01/2007</v>
      </c>
      <c r="D163" s="425"/>
      <c r="E163" s="425"/>
      <c r="F163" s="425"/>
      <c r="G163" s="425"/>
      <c r="H163" s="552"/>
      <c r="I163" s="552"/>
      <c r="J163" s="552"/>
      <c r="K163" s="552"/>
      <c r="L163" s="552"/>
      <c r="M163" s="552"/>
      <c r="N163" s="552"/>
      <c r="O163" s="552"/>
      <c r="P163" s="552"/>
      <c r="Q163" s="552">
        <f>Q$22/Q$149*(1-$H$150)</f>
        <v>67.349179449125273</v>
      </c>
      <c r="R163" s="552">
        <f>(IF(COUNT($Q163:Q163)&lt;$Q$149,Q163,0))</f>
        <v>67.349179449125273</v>
      </c>
      <c r="S163" s="552">
        <f>(IF(COUNT($R163:R163)&lt;$R$149,R163,0))</f>
        <v>67.349179449125273</v>
      </c>
      <c r="T163" s="552">
        <f>(IF(COUNT($R163:S163)&lt;$R$149,S163,0))</f>
        <v>67.349179449125273</v>
      </c>
      <c r="U163" s="552">
        <f>(IF(COUNT($R163:T163)&lt;$R$149,T163,0))</f>
        <v>67.349179449125273</v>
      </c>
      <c r="V163" s="552">
        <f>(IF(COUNT($R163:U163)&lt;$R$149,U163,0))</f>
        <v>67.349179449125273</v>
      </c>
      <c r="W163" s="552">
        <f>(IF(COUNT($R163:V163)&lt;$R$149,V163,0))</f>
        <v>67.349179449125273</v>
      </c>
      <c r="X163" s="552">
        <f>(IF(COUNT($R163:W163)&lt;$R$149,W163,0))</f>
        <v>67.349179449125273</v>
      </c>
      <c r="Y163" s="552">
        <f>(IF(COUNT($R163:X163)&lt;$R$149,X163,0))</f>
        <v>67.349179449125273</v>
      </c>
      <c r="Z163" s="552">
        <f>(IF(COUNT($R163:Y163)&lt;$R$149,Y163,0))</f>
        <v>0</v>
      </c>
      <c r="AA163" s="552">
        <f>(IF(COUNT($R163:Z163)&lt;$R$149,Z163,0))</f>
        <v>0</v>
      </c>
      <c r="AB163" s="552">
        <f>(IF(COUNT($R163:AA163)&lt;$R$149,AA163,0))</f>
        <v>0</v>
      </c>
      <c r="AC163" s="552">
        <f>(IF(COUNT($R163:AB163)&lt;$R$149,AB163,0))</f>
        <v>0</v>
      </c>
      <c r="AD163" s="552">
        <f>(IF(COUNT($R163:AC163)&lt;$R$149,AC163,0))</f>
        <v>0</v>
      </c>
    </row>
    <row r="164" spans="1:30" ht="11.25" customHeight="1" outlineLevel="1">
      <c r="A164" s="396"/>
      <c r="B164" s="544"/>
      <c r="C164" s="551" t="str">
        <v>01/2008</v>
      </c>
      <c r="D164" s="425"/>
      <c r="E164" s="425"/>
      <c r="F164" s="425"/>
      <c r="G164" s="425"/>
      <c r="H164" s="552"/>
      <c r="I164" s="552"/>
      <c r="J164" s="552"/>
      <c r="K164" s="552"/>
      <c r="L164" s="552"/>
      <c r="M164" s="552"/>
      <c r="N164" s="552"/>
      <c r="O164" s="552"/>
      <c r="P164" s="552"/>
      <c r="Q164" s="552"/>
      <c r="R164" s="552">
        <f>R$22/R$149*(1-$H$150)</f>
        <v>70.443717918458105</v>
      </c>
      <c r="S164" s="552">
        <f>(IF(COUNT($R164:R164)&lt;$R$149,R164,0))</f>
        <v>70.443717918458105</v>
      </c>
      <c r="T164" s="552">
        <f>(IF(COUNT($S164:S164)&lt;$S$149,S164,0))</f>
        <v>70.443717918458105</v>
      </c>
      <c r="U164" s="552">
        <f>(IF(COUNT($S164:T164)&lt;$S$149,T164,0))</f>
        <v>70.443717918458105</v>
      </c>
      <c r="V164" s="552">
        <f>(IF(COUNT($S164:U164)&lt;$S$149,U164,0))</f>
        <v>70.443717918458105</v>
      </c>
      <c r="W164" s="552">
        <f>(IF(COUNT($S164:V164)&lt;$S$149,V164,0))</f>
        <v>70.443717918458105</v>
      </c>
      <c r="X164" s="552">
        <f>(IF(COUNT($S164:W164)&lt;$S$149,W164,0))</f>
        <v>70.443717918458105</v>
      </c>
      <c r="Y164" s="552">
        <f>(IF(COUNT($S164:X164)&lt;$S$149,X164,0))</f>
        <v>70.443717918458105</v>
      </c>
      <c r="Z164" s="552">
        <f>(IF(COUNT($S164:Y164)&lt;$S$149,Y164,0))</f>
        <v>70.443717918458105</v>
      </c>
      <c r="AA164" s="552">
        <f>(IF(COUNT($S164:Z164)&lt;$S$149,Z164,0))</f>
        <v>0</v>
      </c>
      <c r="AB164" s="552">
        <f>(IF(COUNT($S164:AA164)&lt;$S$149,AA164,0))</f>
        <v>0</v>
      </c>
      <c r="AC164" s="552">
        <f>(IF(COUNT($S164:AB164)&lt;$S$149,AB164,0))</f>
        <v>0</v>
      </c>
      <c r="AD164" s="552">
        <f>(IF(COUNT($S164:AC164)&lt;$S$149,AC164,0))</f>
        <v>0</v>
      </c>
    </row>
    <row r="165" spans="1:30" ht="11.25" customHeight="1" outlineLevel="1">
      <c r="A165" s="396"/>
      <c r="B165" s="544"/>
      <c r="C165" s="551" t="str">
        <v>01/2009</v>
      </c>
      <c r="D165" s="425"/>
      <c r="E165" s="425"/>
      <c r="F165" s="425"/>
      <c r="G165" s="425"/>
      <c r="H165" s="552"/>
      <c r="I165" s="552"/>
      <c r="J165" s="552"/>
      <c r="K165" s="552"/>
      <c r="L165" s="552"/>
      <c r="M165" s="552"/>
      <c r="N165" s="552"/>
      <c r="O165" s="552"/>
      <c r="P165" s="552"/>
      <c r="Q165" s="552"/>
      <c r="R165" s="552"/>
      <c r="S165" s="552">
        <f>S$22/S$149*(1-$H$150)</f>
        <v>11.9196190183307</v>
      </c>
      <c r="T165" s="552">
        <f>(IF(COUNT($S165:S165)&lt;$S$149,S165,0))</f>
        <v>11.9196190183307</v>
      </c>
      <c r="U165" s="552">
        <f>(IF(COUNT($S165:T165)&lt;$S$149,T165,0))</f>
        <v>11.9196190183307</v>
      </c>
      <c r="V165" s="552">
        <f>(IF(COUNT($S165:U165)&lt;$S$149,U165,0))</f>
        <v>11.9196190183307</v>
      </c>
      <c r="W165" s="552">
        <f>(IF(COUNT($S165:V165)&lt;$S$149,V165,0))</f>
        <v>11.9196190183307</v>
      </c>
      <c r="X165" s="552">
        <f>(IF(COUNT($S165:W165)&lt;$S$149,W165,0))</f>
        <v>11.9196190183307</v>
      </c>
      <c r="Y165" s="552">
        <f>(IF(COUNT($S165:X165)&lt;$S$149,X165,0))</f>
        <v>11.9196190183307</v>
      </c>
      <c r="Z165" s="552">
        <f>(IF(COUNT($S165:Y165)&lt;$S$149,Y165,0))</f>
        <v>11.9196190183307</v>
      </c>
      <c r="AA165" s="552">
        <f>(IF(COUNT($S165:Z165)&lt;$S$149,Z165,0))</f>
        <v>0</v>
      </c>
      <c r="AB165" s="552">
        <f>(IF(COUNT($S165:AA165)&lt;$S$149,AA165,0))</f>
        <v>0</v>
      </c>
      <c r="AC165" s="552">
        <f>(IF(COUNT($S165:AB165)&lt;$S$149,AB165,0))</f>
        <v>0</v>
      </c>
      <c r="AD165" s="552">
        <f>(IF(COUNT($S165:AC165)&lt;$S$149,AC165,0))</f>
        <v>0</v>
      </c>
    </row>
    <row r="166" spans="1:30" ht="11.25" customHeight="1" outlineLevel="1">
      <c r="A166" s="396"/>
      <c r="B166" s="544"/>
      <c r="C166" s="551" t="str">
        <v>01/2010</v>
      </c>
      <c r="D166" s="425"/>
      <c r="E166" s="425"/>
      <c r="F166" s="425"/>
      <c r="G166" s="425"/>
      <c r="H166" s="552"/>
      <c r="I166" s="552"/>
      <c r="J166" s="552"/>
      <c r="K166" s="552"/>
      <c r="L166" s="552"/>
      <c r="M166" s="552"/>
      <c r="N166" s="552"/>
      <c r="O166" s="552"/>
      <c r="P166" s="552"/>
      <c r="Q166" s="552"/>
      <c r="R166" s="552"/>
      <c r="S166" s="552"/>
      <c r="T166" s="552">
        <f>T$22/T$149*(1-$H$150)</f>
        <v>35.716223221827832</v>
      </c>
      <c r="U166" s="552">
        <f>(IF(COUNT($S166:T166)&lt;$S$149,T166,0))</f>
        <v>35.716223221827832</v>
      </c>
      <c r="V166" s="552">
        <f>(IF(COUNT($S166:U166)&lt;$S$149,U166,0))</f>
        <v>35.716223221827832</v>
      </c>
      <c r="W166" s="552">
        <f>(IF(COUNT($S166:V166)&lt;$S$149,V166,0))</f>
        <v>35.716223221827832</v>
      </c>
      <c r="X166" s="552">
        <f>(IF(COUNT($S166:W166)&lt;$S$149,W166,0))</f>
        <v>35.716223221827832</v>
      </c>
      <c r="Y166" s="552">
        <f>(IF(COUNT($S166:X166)&lt;$S$149,X166,0))</f>
        <v>35.716223221827832</v>
      </c>
      <c r="Z166" s="552">
        <f>(IF(COUNT($S166:Y166)&lt;$S$149,Y166,0))</f>
        <v>35.716223221827832</v>
      </c>
      <c r="AA166" s="552">
        <f>(IF(COUNT($S166:Z166)&lt;$S$149,Z166,0))</f>
        <v>35.716223221827832</v>
      </c>
      <c r="AB166" s="552">
        <f>(IF(COUNT($S166:AA166)&lt;$S$149,AA166,0))</f>
        <v>0</v>
      </c>
      <c r="AC166" s="552">
        <f>(IF(COUNT($S166:AB166)&lt;$S$149,AB166,0))</f>
        <v>0</v>
      </c>
      <c r="AD166" s="552">
        <f>(IF(COUNT($S166:AC166)&lt;$S$149,AC166,0))</f>
        <v>0</v>
      </c>
    </row>
    <row r="167" spans="1:30" ht="11.25" customHeight="1" outlineLevel="1">
      <c r="A167" s="396"/>
      <c r="B167" s="544"/>
      <c r="C167" s="551" t="str">
        <v>01/2011</v>
      </c>
      <c r="D167" s="425"/>
      <c r="E167" s="425"/>
      <c r="F167" s="425"/>
      <c r="G167" s="425"/>
      <c r="H167" s="552"/>
      <c r="I167" s="552"/>
      <c r="J167" s="552"/>
      <c r="K167" s="552"/>
      <c r="L167" s="552"/>
      <c r="M167" s="552"/>
      <c r="N167" s="552"/>
      <c r="O167" s="552"/>
      <c r="P167" s="552"/>
      <c r="Q167" s="552"/>
      <c r="R167" s="552"/>
      <c r="S167" s="552"/>
      <c r="T167" s="552"/>
      <c r="U167" s="552">
        <f>U$22/U$149*(1-$H$150)</f>
        <v>78.652233699561393</v>
      </c>
      <c r="V167" s="552">
        <f>(IF(COUNT($S167:U167)&lt;$S$149,U167,0))</f>
        <v>78.652233699561393</v>
      </c>
      <c r="W167" s="552">
        <f>(IF(COUNT($S167:V167)&lt;$S$149,V167,0))</f>
        <v>78.652233699561393</v>
      </c>
      <c r="X167" s="552">
        <f>(IF(COUNT($S167:W167)&lt;$S$149,W167,0))</f>
        <v>78.652233699561393</v>
      </c>
      <c r="Y167" s="552">
        <f>(IF(COUNT($S167:X167)&lt;$S$149,X167,0))</f>
        <v>78.652233699561393</v>
      </c>
      <c r="Z167" s="552">
        <f>(IF(COUNT($S167:Y167)&lt;$S$149,Y167,0))</f>
        <v>78.652233699561393</v>
      </c>
      <c r="AA167" s="552">
        <f>(IF(COUNT($S167:Z167)&lt;$S$149,Z167,0))</f>
        <v>78.652233699561393</v>
      </c>
      <c r="AB167" s="552">
        <f>(IF(COUNT($S167:AA167)&lt;$S$149,AA167,0))</f>
        <v>78.652233699561393</v>
      </c>
      <c r="AC167" s="552">
        <f>(IF(COUNT($S167:AB167)&lt;$S$149,AB167,0))</f>
        <v>0</v>
      </c>
      <c r="AD167" s="552">
        <f>(IF(COUNT($S167:AC167)&lt;$S$149,AC167,0))</f>
        <v>0</v>
      </c>
    </row>
    <row r="168" spans="1:30" ht="11.25" customHeight="1" outlineLevel="1">
      <c r="A168" s="396"/>
      <c r="B168" s="544"/>
      <c r="C168" s="551" t="str">
        <v>01/2012</v>
      </c>
      <c r="D168" s="425"/>
      <c r="E168" s="425"/>
      <c r="F168" s="425"/>
      <c r="G168" s="425"/>
      <c r="H168" s="552"/>
      <c r="I168" s="552"/>
      <c r="J168" s="552"/>
      <c r="K168" s="552"/>
      <c r="L168" s="552"/>
      <c r="M168" s="552"/>
      <c r="N168" s="552"/>
      <c r="O168" s="552"/>
      <c r="P168" s="552"/>
      <c r="Q168" s="552"/>
      <c r="R168" s="552"/>
      <c r="S168" s="552"/>
      <c r="T168" s="552"/>
      <c r="U168" s="553"/>
      <c r="V168" s="552">
        <f>V$22/V$149*(1-$H$150)</f>
        <v>-7.5052775819959088</v>
      </c>
      <c r="W168" s="552">
        <f>(IF(COUNT($S168:V168)&lt;$S$149,V168,0))</f>
        <v>-7.5052775819959088</v>
      </c>
      <c r="X168" s="552">
        <f>(IF(COUNT($S168:W168)&lt;$S$149,W168,0))</f>
        <v>-7.5052775819959088</v>
      </c>
      <c r="Y168" s="552">
        <f>(IF(COUNT($S168:X168)&lt;$S$149,X168,0))</f>
        <v>-7.5052775819959088</v>
      </c>
      <c r="Z168" s="552">
        <f>(IF(COUNT($S168:Y168)&lt;$S$149,Y168,0))</f>
        <v>-7.5052775819959088</v>
      </c>
      <c r="AA168" s="552">
        <f>(IF(COUNT($S168:Z168)&lt;$S$149,Z168,0))</f>
        <v>-7.5052775819959088</v>
      </c>
      <c r="AB168" s="552">
        <f>(IF(COUNT($S168:AA168)&lt;$S$149,AA168,0))</f>
        <v>-7.5052775819959088</v>
      </c>
      <c r="AC168" s="552">
        <f>(IF(COUNT($S168:AB168)&lt;$S$149,AB168,0))</f>
        <v>-7.5052775819959088</v>
      </c>
      <c r="AD168" s="552">
        <f>(IF(COUNT($S168:AC168)&lt;$S$149,AC168,0))</f>
        <v>0</v>
      </c>
    </row>
    <row r="169" spans="1:30" ht="11.25" customHeight="1" outlineLevel="1">
      <c r="A169" s="396"/>
      <c r="B169" s="544"/>
      <c r="C169" s="551" t="str">
        <v>01/2013</v>
      </c>
      <c r="D169" s="425"/>
      <c r="E169" s="425"/>
      <c r="F169" s="425"/>
      <c r="G169" s="425"/>
      <c r="H169" s="552"/>
      <c r="I169" s="552"/>
      <c r="J169" s="552"/>
      <c r="K169" s="552"/>
      <c r="L169" s="552"/>
      <c r="M169" s="552"/>
      <c r="N169" s="552"/>
      <c r="O169" s="552"/>
      <c r="P169" s="552"/>
      <c r="Q169" s="552"/>
      <c r="R169" s="552"/>
      <c r="S169" s="552"/>
      <c r="T169" s="552"/>
      <c r="U169" s="553"/>
      <c r="V169" s="401"/>
      <c r="W169" s="552">
        <f>W$22/W$149*(1-$H$150)</f>
        <v>67.22067070532016</v>
      </c>
      <c r="X169" s="552">
        <f>(IF(COUNT($S169:W169)&lt;$S$149,W169,0))</f>
        <v>67.22067070532016</v>
      </c>
      <c r="Y169" s="552">
        <f>(IF(COUNT($S169:X169)&lt;$S$149,X169,0))</f>
        <v>67.22067070532016</v>
      </c>
      <c r="Z169" s="552">
        <f>(IF(COUNT($S169:Y169)&lt;$S$149,Y169,0))</f>
        <v>67.22067070532016</v>
      </c>
      <c r="AA169" s="552">
        <f>(IF(COUNT($S169:Z169)&lt;$S$149,Z169,0))</f>
        <v>67.22067070532016</v>
      </c>
      <c r="AB169" s="552">
        <f>(IF(COUNT($S169:AA169)&lt;$S$149,AA169,0))</f>
        <v>67.22067070532016</v>
      </c>
      <c r="AC169" s="552">
        <f>(IF(COUNT($S169:AB169)&lt;$S$149,AB169,0))</f>
        <v>67.22067070532016</v>
      </c>
      <c r="AD169" s="552">
        <f>(IF(COUNT($S169:AC169)&lt;$S$149,AC169,0))</f>
        <v>67.22067070532016</v>
      </c>
    </row>
    <row r="170" spans="1:30" ht="11.25" customHeight="1" outlineLevel="1">
      <c r="A170" s="396"/>
      <c r="B170" s="554"/>
      <c r="C170" s="425"/>
      <c r="D170" s="425"/>
      <c r="E170" s="425"/>
      <c r="F170" s="425"/>
      <c r="G170" s="425"/>
      <c r="H170" s="553"/>
      <c r="I170" s="553"/>
      <c r="J170" s="553"/>
      <c r="K170" s="553"/>
      <c r="L170" s="553"/>
      <c r="M170" s="553"/>
      <c r="N170" s="553"/>
      <c r="O170" s="553"/>
      <c r="P170" s="553"/>
      <c r="Q170" s="553"/>
      <c r="R170" s="553"/>
      <c r="S170" s="553"/>
      <c r="T170" s="398"/>
      <c r="U170" s="398"/>
      <c r="V170" s="398"/>
      <c r="W170" s="398"/>
      <c r="X170" s="552">
        <f>X$22/X$149*(1-$H$150)</f>
        <v>73.94273777585218</v>
      </c>
      <c r="Y170" s="552">
        <f>(IF(COUNT($S170:X170)&lt;$S$149,X170,0))</f>
        <v>73.94273777585218</v>
      </c>
      <c r="Z170" s="552">
        <f>(IF(COUNT($S170:Y170)&lt;$S$149,Y170,0))</f>
        <v>73.94273777585218</v>
      </c>
      <c r="AA170" s="552">
        <f>(IF(COUNT($S170:Z170)&lt;$S$149,Z170,0))</f>
        <v>73.94273777585218</v>
      </c>
      <c r="AB170" s="552">
        <f>(IF(COUNT($S170:AA170)&lt;$S$149,AA170,0))</f>
        <v>73.94273777585218</v>
      </c>
      <c r="AC170" s="552">
        <f>(IF(COUNT($S170:AB170)&lt;$S$149,AB170,0))</f>
        <v>73.94273777585218</v>
      </c>
      <c r="AD170" s="552">
        <f>(IF(COUNT($S170:AC170)&lt;$S$149,AC170,0))</f>
        <v>73.94273777585218</v>
      </c>
    </row>
    <row r="171" spans="1:30" ht="11.25" customHeight="1" outlineLevel="1">
      <c r="A171" s="396"/>
      <c r="B171" s="554"/>
      <c r="C171" s="425"/>
      <c r="D171" s="425"/>
      <c r="E171" s="425"/>
      <c r="F171" s="425"/>
      <c r="G171" s="425"/>
      <c r="H171" s="553"/>
      <c r="I171" s="553"/>
      <c r="J171" s="553"/>
      <c r="K171" s="553"/>
      <c r="L171" s="553"/>
      <c r="M171" s="553"/>
      <c r="N171" s="553"/>
      <c r="O171" s="553"/>
      <c r="P171" s="553"/>
      <c r="Q171" s="553"/>
      <c r="R171" s="553"/>
      <c r="S171" s="553"/>
      <c r="T171" s="398"/>
      <c r="U171" s="398"/>
      <c r="V171" s="398"/>
      <c r="W171" s="398"/>
      <c r="X171" s="552"/>
      <c r="Y171" s="552">
        <f t="shared" ref="Y171:AD171" si="106">Y$22/Y$149*(1-$H$150)</f>
        <v>81.337011553437392</v>
      </c>
      <c r="Z171" s="552">
        <f t="shared" si="106"/>
        <v>89.47071270878115</v>
      </c>
      <c r="AA171" s="552">
        <f t="shared" si="106"/>
        <v>98.417783979659305</v>
      </c>
      <c r="AB171" s="552">
        <f t="shared" si="106"/>
        <v>108.2595623776252</v>
      </c>
      <c r="AC171" s="552">
        <f t="shared" si="106"/>
        <v>119.08551861538774</v>
      </c>
      <c r="AD171" s="552">
        <f t="shared" si="106"/>
        <v>130.99407047692657</v>
      </c>
    </row>
    <row r="172" spans="1:30" ht="11.25" customHeight="1" outlineLevel="1">
      <c r="A172" s="555"/>
      <c r="B172" s="556"/>
      <c r="C172" s="425"/>
      <c r="D172" s="425"/>
      <c r="E172" s="425"/>
      <c r="F172" s="425"/>
      <c r="G172" s="425"/>
      <c r="H172" s="557">
        <f t="shared" ref="H172:X172" si="107">SUM(H154:H171)</f>
        <v>48.349744974057806</v>
      </c>
      <c r="I172" s="557">
        <f t="shared" si="107"/>
        <v>63.163054851203839</v>
      </c>
      <c r="J172" s="557">
        <f t="shared" si="107"/>
        <v>84.849127669754054</v>
      </c>
      <c r="K172" s="557">
        <f t="shared" si="107"/>
        <v>108.69292178145011</v>
      </c>
      <c r="L172" s="557">
        <f t="shared" si="107"/>
        <v>142.82606048064122</v>
      </c>
      <c r="M172" s="557">
        <f t="shared" si="107"/>
        <v>175.72250342229665</v>
      </c>
      <c r="N172" s="557">
        <f t="shared" si="107"/>
        <v>148.98708727265264</v>
      </c>
      <c r="O172" s="557">
        <f t="shared" si="107"/>
        <v>181.00959031120036</v>
      </c>
      <c r="P172" s="557">
        <f t="shared" si="107"/>
        <v>219.57072272481321</v>
      </c>
      <c r="Q172" s="557">
        <f t="shared" si="107"/>
        <v>248.77076860408758</v>
      </c>
      <c r="R172" s="557">
        <f t="shared" si="107"/>
        <v>319.47408756882737</v>
      </c>
      <c r="S172" s="557">
        <f t="shared" si="107"/>
        <v>306.8756195993563</v>
      </c>
      <c r="T172" s="557">
        <f t="shared" si="107"/>
        <v>307.79789710340947</v>
      </c>
      <c r="U172" s="557">
        <f t="shared" si="107"/>
        <v>386.69446523092279</v>
      </c>
      <c r="V172" s="557">
        <f t="shared" si="107"/>
        <v>346.53219244666434</v>
      </c>
      <c r="W172" s="557">
        <f t="shared" si="107"/>
        <v>382.33559474711694</v>
      </c>
      <c r="X172" s="557">
        <f t="shared" si="107"/>
        <v>424.76161665395284</v>
      </c>
      <c r="Y172" s="557">
        <f t="shared" ref="Y172:AD172" si="108">SUM(Y154:Y171)</f>
        <v>468.03316721991814</v>
      </c>
      <c r="Z172" s="557">
        <f t="shared" si="108"/>
        <v>409.03854789693668</v>
      </c>
      <c r="AA172" s="557">
        <f t="shared" si="108"/>
        <v>335.83872402240996</v>
      </c>
      <c r="AB172" s="557">
        <f t="shared" si="108"/>
        <v>310.17639215410429</v>
      </c>
      <c r="AC172" s="557">
        <f t="shared" si="108"/>
        <v>242.55798538875064</v>
      </c>
      <c r="AD172" s="557">
        <f t="shared" si="108"/>
        <v>262.17552811480164</v>
      </c>
    </row>
  </sheetData>
  <phoneticPr fontId="59" type="noConversion"/>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C2:M28"/>
  <sheetViews>
    <sheetView workbookViewId="0">
      <selection activeCell="M16" sqref="M16"/>
    </sheetView>
  </sheetViews>
  <sheetFormatPr defaultRowHeight="12.75" outlineLevelRow="1" outlineLevelCol="1"/>
  <cols>
    <col min="3" max="3" width="35" bestFit="1" customWidth="1"/>
    <col min="4" max="5" width="9.140625" hidden="1" customWidth="1" outlineLevel="1"/>
    <col min="6" max="6" width="9.140625" collapsed="1"/>
    <col min="7" max="7" width="9.140625" hidden="1" customWidth="1" outlineLevel="1"/>
    <col min="8" max="8" width="4.5703125" customWidth="1" collapsed="1"/>
  </cols>
  <sheetData>
    <row r="2" spans="3:10" ht="15">
      <c r="I2" s="776">
        <v>2019</v>
      </c>
      <c r="J2" s="776">
        <v>2019</v>
      </c>
    </row>
    <row r="3" spans="3:10" ht="15">
      <c r="C3" s="559"/>
      <c r="D3" s="777" t="str">
        <f>sumry!DN5</f>
        <v>2015A</v>
      </c>
      <c r="E3" s="777" t="str">
        <f>sumry!DO5</f>
        <v>2016A</v>
      </c>
      <c r="F3" s="777" t="str">
        <f>sumry!DR5</f>
        <v>2019E</v>
      </c>
      <c r="G3" s="777" t="str">
        <f>sumry!DQ5</f>
        <v>2018E</v>
      </c>
      <c r="I3" s="778" t="s">
        <v>4</v>
      </c>
      <c r="J3" s="778" t="s">
        <v>5</v>
      </c>
    </row>
    <row r="4" spans="3:10">
      <c r="C4" s="22" t="s">
        <v>726</v>
      </c>
      <c r="D4" s="779">
        <f>sumry!DN41</f>
        <v>341.51740000000035</v>
      </c>
      <c r="E4" s="779">
        <f>sumry!DO41</f>
        <v>184.74599999999987</v>
      </c>
      <c r="F4" s="779">
        <f>sumry!DR20</f>
        <v>51.81559601711956</v>
      </c>
      <c r="G4" s="779">
        <f>sumry!DQ41</f>
        <v>236.55197254905852</v>
      </c>
      <c r="I4" s="780">
        <f>BullBaseBear!R54</f>
        <v>170.31972114448126</v>
      </c>
      <c r="J4" s="780">
        <f>BullBaseBear!R96</f>
        <v>-173.67443704223024</v>
      </c>
    </row>
    <row r="5" spans="3:10">
      <c r="C5" t="s">
        <v>98</v>
      </c>
      <c r="D5" s="781">
        <v>4</v>
      </c>
      <c r="E5" s="781">
        <v>4</v>
      </c>
      <c r="F5" s="2252">
        <v>9.6999999999999993</v>
      </c>
      <c r="G5" s="781">
        <v>4</v>
      </c>
      <c r="I5" s="2252">
        <v>10.5</v>
      </c>
      <c r="J5" s="2252">
        <v>5</v>
      </c>
    </row>
    <row r="6" spans="3:10">
      <c r="C6" s="111" t="s">
        <v>752</v>
      </c>
      <c r="D6" s="782">
        <f>D5*D4</f>
        <v>1366.0696000000014</v>
      </c>
      <c r="E6" s="782">
        <f>E5*E4</f>
        <v>738.98399999999947</v>
      </c>
      <c r="F6" s="782">
        <f>F5*F4</f>
        <v>502.6112813660597</v>
      </c>
      <c r="G6" s="782">
        <f>G5*G4</f>
        <v>946.20789019623408</v>
      </c>
      <c r="H6" s="111"/>
      <c r="I6" s="783">
        <f>I5*I4</f>
        <v>1788.3570720170533</v>
      </c>
      <c r="J6" s="783">
        <f>J5*J4</f>
        <v>-868.37218521115119</v>
      </c>
    </row>
    <row r="7" spans="3:10">
      <c r="D7" s="784"/>
      <c r="E7" s="785"/>
      <c r="F7" s="786"/>
      <c r="G7" s="786"/>
      <c r="I7" s="784"/>
      <c r="J7" s="784"/>
    </row>
    <row r="8" spans="3:10">
      <c r="C8" t="s">
        <v>753</v>
      </c>
      <c r="D8" s="787">
        <f>bal!AU9</f>
        <v>588.57799999999975</v>
      </c>
      <c r="E8" s="787">
        <f>bal!AW9</f>
        <v>547.18899999999974</v>
      </c>
      <c r="F8" s="787">
        <f>bal!BC9</f>
        <v>773.14041135647267</v>
      </c>
      <c r="G8" s="787">
        <f>bal!BA9</f>
        <v>700.67991216555538</v>
      </c>
      <c r="H8" s="22"/>
      <c r="I8" s="798">
        <f>F8+(I4-F4)</f>
        <v>891.64453648383437</v>
      </c>
      <c r="J8" s="787">
        <f>F8+(J4-F4)</f>
        <v>547.65037829712287</v>
      </c>
    </row>
    <row r="9" spans="3:10">
      <c r="C9" t="s">
        <v>754</v>
      </c>
      <c r="D9" s="368">
        <f>bal!AU42</f>
        <v>333.67500000000001</v>
      </c>
      <c r="E9" s="368">
        <f>bal!AW42</f>
        <v>309.38900000000001</v>
      </c>
      <c r="F9" s="368">
        <f>bal!BC42</f>
        <v>300.339</v>
      </c>
      <c r="G9" s="368">
        <f>bal!BA42</f>
        <v>300.339</v>
      </c>
      <c r="H9" s="22"/>
      <c r="I9" s="787">
        <f>F9</f>
        <v>300.339</v>
      </c>
      <c r="J9" s="787">
        <f>I9</f>
        <v>300.339</v>
      </c>
    </row>
    <row r="10" spans="3:10">
      <c r="C10" s="111" t="s">
        <v>755</v>
      </c>
      <c r="D10" s="782">
        <f>D9-D8</f>
        <v>-254.90299999999974</v>
      </c>
      <c r="E10" s="782">
        <f>E9-E8</f>
        <v>-237.79999999999973</v>
      </c>
      <c r="F10" s="782">
        <f>F9-F8</f>
        <v>-472.80141135647267</v>
      </c>
      <c r="G10" s="782">
        <f>G9-G8</f>
        <v>-400.34091216555538</v>
      </c>
      <c r="H10" s="111"/>
      <c r="I10" s="782">
        <f>I9-I8</f>
        <v>-591.30553648383443</v>
      </c>
      <c r="J10" s="782">
        <f>J9-J8</f>
        <v>-247.31137829712287</v>
      </c>
    </row>
    <row r="11" spans="3:10">
      <c r="D11" s="784"/>
      <c r="E11" s="785"/>
      <c r="F11" s="786"/>
      <c r="G11" s="786"/>
      <c r="I11" s="784"/>
      <c r="J11" s="784"/>
    </row>
    <row r="12" spans="3:10">
      <c r="C12" s="111" t="s">
        <v>18</v>
      </c>
      <c r="D12" s="782">
        <f>D6-D10</f>
        <v>1620.9726000000012</v>
      </c>
      <c r="E12" s="782">
        <f>E6-E10</f>
        <v>976.7839999999992</v>
      </c>
      <c r="F12" s="782">
        <f>F6-F10</f>
        <v>975.41269272253237</v>
      </c>
      <c r="G12" s="782">
        <f>G6-G10</f>
        <v>1346.5488023617895</v>
      </c>
      <c r="H12" s="111"/>
      <c r="I12" s="788">
        <f>I6-I10</f>
        <v>2379.6626085008875</v>
      </c>
      <c r="J12" s="788">
        <f>J6-J10</f>
        <v>-621.06080691402826</v>
      </c>
    </row>
    <row r="13" spans="3:10">
      <c r="C13" t="s">
        <v>756</v>
      </c>
      <c r="D13" s="779">
        <f>sumry!DN38</f>
        <v>69.417000000000002</v>
      </c>
      <c r="E13" s="779">
        <f>sumry!DO38</f>
        <v>68.284000000000006</v>
      </c>
      <c r="F13" s="779">
        <f>sumry!DQ38</f>
        <v>71.019499999999994</v>
      </c>
      <c r="G13" s="779">
        <f>sumry!DQ38</f>
        <v>71.019499999999994</v>
      </c>
      <c r="H13" s="765"/>
      <c r="I13" s="789">
        <f>F13</f>
        <v>71.019499999999994</v>
      </c>
      <c r="J13" s="789">
        <f>I13</f>
        <v>71.019499999999994</v>
      </c>
    </row>
    <row r="14" spans="3:10">
      <c r="C14" s="111" t="s">
        <v>757</v>
      </c>
      <c r="D14" s="790">
        <f>D12/D13</f>
        <v>23.351233847616594</v>
      </c>
      <c r="E14" s="790">
        <f>E12/E13</f>
        <v>14.304727315330078</v>
      </c>
      <c r="F14" s="790">
        <f>F12/F13</f>
        <v>13.734434806250853</v>
      </c>
      <c r="G14" s="790">
        <f>G12/G13</f>
        <v>18.960268691863355</v>
      </c>
      <c r="H14" s="791"/>
      <c r="I14" s="790">
        <f>I12/I13</f>
        <v>33.50717209359243</v>
      </c>
      <c r="J14" s="790">
        <f>J12/J13</f>
        <v>-8.744933531129174</v>
      </c>
    </row>
    <row r="15" spans="3:10">
      <c r="C15" s="111"/>
      <c r="D15" s="307"/>
      <c r="E15" s="782"/>
      <c r="F15" s="782"/>
      <c r="G15" s="782"/>
      <c r="H15" s="111"/>
      <c r="I15" s="788"/>
      <c r="J15" s="788"/>
    </row>
    <row r="16" spans="3:10" outlineLevel="1">
      <c r="C16" t="s">
        <v>758</v>
      </c>
      <c r="D16" s="792">
        <v>0.15</v>
      </c>
      <c r="E16" s="792">
        <v>0.15</v>
      </c>
      <c r="F16" s="792">
        <f>E16</f>
        <v>0.15</v>
      </c>
      <c r="G16" s="792">
        <f>F16</f>
        <v>0.15</v>
      </c>
      <c r="I16" s="308">
        <f>G16</f>
        <v>0.15</v>
      </c>
      <c r="J16" s="308">
        <f>I16</f>
        <v>0.15</v>
      </c>
    </row>
    <row r="17" spans="3:13" ht="13.5" outlineLevel="1" thickBot="1">
      <c r="C17" s="22" t="s">
        <v>759</v>
      </c>
      <c r="D17" s="793">
        <v>0</v>
      </c>
      <c r="E17" s="793">
        <v>0</v>
      </c>
      <c r="F17" s="794">
        <v>0</v>
      </c>
      <c r="G17" s="794">
        <v>0</v>
      </c>
      <c r="H17" s="784"/>
      <c r="I17" s="794">
        <v>0</v>
      </c>
      <c r="J17" s="794">
        <v>0</v>
      </c>
    </row>
    <row r="18" spans="3:13" ht="13.5" thickBot="1">
      <c r="C18" s="795" t="s">
        <v>1446</v>
      </c>
      <c r="D18" s="796">
        <f>D14/((1+D16)^D17)</f>
        <v>23.351233847616594</v>
      </c>
      <c r="E18" s="796">
        <f>E14/((1+E16)^E17)</f>
        <v>14.304727315330078</v>
      </c>
      <c r="F18" s="796">
        <f>F14/((1+F16)^F17)</f>
        <v>13.734434806250853</v>
      </c>
      <c r="G18" s="796">
        <f>G14/((1+G16)^G17)</f>
        <v>18.960268691863355</v>
      </c>
      <c r="H18" s="797"/>
      <c r="I18" s="2254">
        <f>I14/((1+I16)^I17)</f>
        <v>33.50717209359243</v>
      </c>
      <c r="J18" s="2255">
        <f>J14/((1+J16)^J17)</f>
        <v>-8.744933531129174</v>
      </c>
    </row>
    <row r="20" spans="3:13" hidden="1" outlineLevel="1"/>
    <row r="21" spans="3:13" hidden="1" outlineLevel="1">
      <c r="K21" s="24" t="s">
        <v>737</v>
      </c>
      <c r="L21" s="2272" t="s">
        <v>726</v>
      </c>
    </row>
    <row r="22" spans="3:13" hidden="1" outlineLevel="1">
      <c r="F22" s="706"/>
      <c r="J22" s="2145" t="s">
        <v>1498</v>
      </c>
      <c r="K22" s="24">
        <v>3373</v>
      </c>
      <c r="L22" s="2256">
        <v>275.86294864144969</v>
      </c>
      <c r="M22">
        <f>K22/L22</f>
        <v>12.227086009959335</v>
      </c>
    </row>
    <row r="23" spans="3:13" hidden="1" outlineLevel="1">
      <c r="J23" s="2145" t="s">
        <v>1499</v>
      </c>
      <c r="K23" s="24">
        <v>1034</v>
      </c>
      <c r="L23" s="2256">
        <v>165.03751399318924</v>
      </c>
      <c r="M23" s="2270">
        <f t="shared" ref="M23:M25" si="0">K23/L23</f>
        <v>6.2652422166433697</v>
      </c>
    </row>
    <row r="24" spans="3:13" hidden="1" outlineLevel="1">
      <c r="J24" s="2145" t="s">
        <v>1500</v>
      </c>
      <c r="K24">
        <v>12916</v>
      </c>
      <c r="L24" s="2256">
        <v>1307.1034507693621</v>
      </c>
      <c r="M24" s="2270">
        <f t="shared" si="0"/>
        <v>9.8813907899926612</v>
      </c>
    </row>
    <row r="25" spans="3:13" hidden="1" outlineLevel="1">
      <c r="J25" s="2145" t="s">
        <v>1501</v>
      </c>
      <c r="K25" s="24">
        <v>391</v>
      </c>
      <c r="L25" s="2256">
        <v>31</v>
      </c>
      <c r="M25" s="2270">
        <f t="shared" si="0"/>
        <v>12.612903225806452</v>
      </c>
    </row>
    <row r="26" spans="3:13" hidden="1" outlineLevel="1">
      <c r="L26" s="222"/>
      <c r="M26">
        <f>AVERAGE(M22:M25)</f>
        <v>10.246655560600455</v>
      </c>
    </row>
    <row r="27" spans="3:13" hidden="1" outlineLevel="1"/>
    <row r="28" spans="3:13" collapsed="1"/>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W61"/>
  <sheetViews>
    <sheetView zoomScale="85" zoomScaleNormal="85" workbookViewId="0">
      <selection activeCell="C17" sqref="C17"/>
    </sheetView>
  </sheetViews>
  <sheetFormatPr defaultRowHeight="12.75" outlineLevelRow="1"/>
  <cols>
    <col min="1" max="1" width="2" style="2069" customWidth="1"/>
    <col min="2" max="2" width="32.140625" style="2083" customWidth="1"/>
    <col min="3" max="3" width="10.5703125" style="2069" customWidth="1"/>
    <col min="4" max="10" width="10.28515625" style="2069" bestFit="1" customWidth="1"/>
    <col min="11" max="11" width="11.28515625" style="2069" bestFit="1" customWidth="1"/>
    <col min="12" max="16384" width="9.140625" style="2069"/>
  </cols>
  <sheetData>
    <row r="1" spans="1:23">
      <c r="A1" s="2084"/>
      <c r="B1" s="2085"/>
      <c r="C1" s="2308" t="s">
        <v>1447</v>
      </c>
      <c r="D1" s="2308"/>
      <c r="E1" s="2308"/>
      <c r="F1" s="2308"/>
      <c r="G1" s="2308"/>
      <c r="H1" s="2309" t="s">
        <v>1448</v>
      </c>
      <c r="I1" s="2309"/>
      <c r="J1" s="2309"/>
      <c r="K1" s="2084"/>
      <c r="L1" s="2084"/>
      <c r="M1" s="2084"/>
      <c r="N1" s="2084"/>
      <c r="O1" s="2084"/>
      <c r="P1" s="2084"/>
      <c r="Q1" s="2084"/>
      <c r="R1" s="2084"/>
      <c r="S1" s="2084"/>
      <c r="T1" s="2084"/>
      <c r="U1" s="2084"/>
      <c r="V1" s="2084"/>
      <c r="W1" s="2084"/>
    </row>
    <row r="2" spans="1:23" s="2070" customFormat="1">
      <c r="A2" s="2086"/>
      <c r="B2" s="2087" t="s">
        <v>1449</v>
      </c>
      <c r="C2" s="2088">
        <v>2017</v>
      </c>
      <c r="D2" s="2088">
        <v>2018</v>
      </c>
      <c r="E2" s="2088">
        <v>2019</v>
      </c>
      <c r="F2" s="2088">
        <v>2020</v>
      </c>
      <c r="G2" s="2088">
        <v>2021</v>
      </c>
      <c r="H2" s="2089">
        <f>G2+1</f>
        <v>2022</v>
      </c>
      <c r="I2" s="2089">
        <f>H2+1</f>
        <v>2023</v>
      </c>
      <c r="J2" s="2089">
        <f>I2+1</f>
        <v>2024</v>
      </c>
      <c r="K2" s="2086"/>
      <c r="L2" s="2090"/>
      <c r="M2" s="2090"/>
      <c r="N2" s="2090"/>
      <c r="O2" s="2090"/>
      <c r="P2" s="2086"/>
      <c r="Q2" s="2086"/>
      <c r="R2" s="2086"/>
      <c r="S2" s="2086"/>
      <c r="T2" s="2086"/>
      <c r="U2" s="2086"/>
      <c r="V2" s="2086"/>
      <c r="W2" s="2086"/>
    </row>
    <row r="3" spans="1:23" s="2070" customFormat="1">
      <c r="A3" s="2086"/>
      <c r="B3" s="2091"/>
      <c r="C3" s="2090"/>
      <c r="D3" s="2090"/>
      <c r="E3" s="2090"/>
      <c r="F3" s="2090"/>
      <c r="G3" s="2090"/>
      <c r="H3" s="2092"/>
      <c r="I3" s="2092"/>
      <c r="J3" s="2092"/>
      <c r="K3" s="2086"/>
      <c r="L3" s="2090"/>
      <c r="M3" s="2090"/>
      <c r="N3" s="2090"/>
      <c r="O3" s="2090"/>
      <c r="P3" s="2086"/>
      <c r="Q3" s="2086"/>
      <c r="R3" s="2086"/>
      <c r="S3" s="2086"/>
      <c r="T3" s="2086"/>
      <c r="U3" s="2086"/>
      <c r="V3" s="2086"/>
      <c r="W3" s="2086"/>
    </row>
    <row r="4" spans="1:23">
      <c r="A4" s="2084"/>
      <c r="B4" s="2085" t="s">
        <v>422</v>
      </c>
      <c r="C4" s="2093">
        <f>'yrP&amp;L'!AB7</f>
        <v>3492.69</v>
      </c>
      <c r="D4" s="2093">
        <f>'yrP&amp;L'!AC7</f>
        <v>3507.8603602149997</v>
      </c>
      <c r="E4" s="2093">
        <f>'yrP&amp;L'!AD7</f>
        <v>3501.053784940505</v>
      </c>
      <c r="F4" s="2093">
        <f>'yrP&amp;L'!AE7</f>
        <v>3482.3514356037103</v>
      </c>
      <c r="G4" s="2093">
        <f>'yrP&amp;L'!AF7</f>
        <v>3457.2244743780684</v>
      </c>
      <c r="H4" s="2094">
        <f>G4*(1+H5)</f>
        <v>3422.6522296342878</v>
      </c>
      <c r="I4" s="2094">
        <f>H4*(1+I5)</f>
        <v>3388.4257073379449</v>
      </c>
      <c r="J4" s="2094">
        <f>I4*(1+J5)</f>
        <v>3354.5414502645654</v>
      </c>
      <c r="K4" s="2084"/>
      <c r="L4" s="2084"/>
      <c r="M4" s="2084"/>
      <c r="N4" s="2084"/>
      <c r="O4" s="2084"/>
      <c r="P4" s="2084"/>
      <c r="Q4" s="2084"/>
      <c r="R4" s="2084"/>
      <c r="S4" s="2084"/>
      <c r="T4" s="2084"/>
      <c r="U4" s="2084"/>
      <c r="V4" s="2084"/>
      <c r="W4" s="2084"/>
    </row>
    <row r="5" spans="1:23">
      <c r="A5" s="2084"/>
      <c r="B5" s="2085" t="s">
        <v>368</v>
      </c>
      <c r="C5" s="2095">
        <f>'yrP&amp;L'!AB8</f>
        <v>4.9883669899060429E-2</v>
      </c>
      <c r="D5" s="2095">
        <f>D4/C4-1</f>
        <v>4.3434602598568794E-3</v>
      </c>
      <c r="E5" s="2095">
        <f>E4/D4-1</f>
        <v>-1.9403780582866181E-3</v>
      </c>
      <c r="F5" s="2095">
        <f>F4/E4-1</f>
        <v>-5.3419200291184854E-3</v>
      </c>
      <c r="G5" s="2095">
        <f>G4/F4-1</f>
        <v>-7.2155156337015969E-3</v>
      </c>
      <c r="H5" s="2096">
        <v>-0.01</v>
      </c>
      <c r="I5" s="2096">
        <v>-0.01</v>
      </c>
      <c r="J5" s="2096">
        <v>-0.01</v>
      </c>
      <c r="K5" s="2084"/>
      <c r="L5" s="2084"/>
      <c r="M5" s="2084"/>
      <c r="N5" s="2084"/>
      <c r="O5" s="2084"/>
      <c r="P5" s="2084"/>
      <c r="Q5" s="2084"/>
      <c r="R5" s="2084"/>
      <c r="S5" s="2084"/>
      <c r="T5" s="2084"/>
      <c r="U5" s="2084"/>
      <c r="V5" s="2084"/>
      <c r="W5" s="2084"/>
    </row>
    <row r="6" spans="1:23">
      <c r="A6" s="2084"/>
      <c r="B6" s="2085" t="s">
        <v>726</v>
      </c>
      <c r="C6" s="2093">
        <f>'yrP&amp;L'!AB30</f>
        <v>84.573000000000093</v>
      </c>
      <c r="D6" s="2093">
        <f>'yrP&amp;L'!AC30</f>
        <v>56.551972549058519</v>
      </c>
      <c r="E6" s="2093">
        <f>'yrP&amp;L'!AD30</f>
        <v>51.81559601711956</v>
      </c>
      <c r="F6" s="2093">
        <f>'yrP&amp;L'!AE30</f>
        <v>47.011744380650043</v>
      </c>
      <c r="G6" s="2093">
        <f>'yrP&amp;L'!AF30</f>
        <v>42.52386103485037</v>
      </c>
      <c r="H6" s="2094">
        <f>H4*H7</f>
        <v>0</v>
      </c>
      <c r="I6" s="2094">
        <f>I4*I7</f>
        <v>0</v>
      </c>
      <c r="J6" s="2094">
        <f>J4*J7</f>
        <v>0</v>
      </c>
      <c r="K6" s="2084"/>
      <c r="L6" s="2084"/>
      <c r="M6" s="2084"/>
      <c r="N6" s="2084"/>
      <c r="O6" s="2084"/>
      <c r="P6" s="2084"/>
      <c r="Q6" s="2084"/>
      <c r="R6" s="2084"/>
      <c r="S6" s="2084"/>
      <c r="T6" s="2084"/>
      <c r="U6" s="2084"/>
      <c r="V6" s="2084"/>
      <c r="W6" s="2084"/>
    </row>
    <row r="7" spans="1:23">
      <c r="A7" s="2084"/>
      <c r="B7" s="2085" t="s">
        <v>673</v>
      </c>
      <c r="C7" s="2095">
        <f>C6/C4</f>
        <v>2.4214287554864614E-2</v>
      </c>
      <c r="D7" s="2095">
        <f>D6/D4</f>
        <v>1.6121500499407679E-2</v>
      </c>
      <c r="E7" s="2095">
        <f>E6/E4</f>
        <v>1.4800000000000025E-2</v>
      </c>
      <c r="F7" s="2095">
        <f>F6/F4</f>
        <v>1.3499999999999986E-2</v>
      </c>
      <c r="G7" s="2095">
        <f>G6/G4</f>
        <v>1.2300000000000037E-2</v>
      </c>
      <c r="H7" s="2096">
        <v>0</v>
      </c>
      <c r="I7" s="2096">
        <v>0</v>
      </c>
      <c r="J7" s="2096">
        <v>0</v>
      </c>
      <c r="K7" s="2084"/>
      <c r="L7" s="2084"/>
      <c r="M7" s="2084"/>
      <c r="N7" s="2084"/>
      <c r="O7" s="2084"/>
      <c r="P7" s="2084"/>
      <c r="Q7" s="2084"/>
      <c r="R7" s="2084"/>
      <c r="S7" s="2084"/>
      <c r="T7" s="2084"/>
      <c r="U7" s="2084"/>
      <c r="V7" s="2084"/>
      <c r="W7" s="2084"/>
    </row>
    <row r="8" spans="1:23" s="2071" customFormat="1">
      <c r="A8" s="2097"/>
      <c r="B8" s="2098" t="s">
        <v>303</v>
      </c>
      <c r="C8" s="2099">
        <v>0.38</v>
      </c>
      <c r="D8" s="2099">
        <v>0.38</v>
      </c>
      <c r="E8" s="2099">
        <v>0.38</v>
      </c>
      <c r="F8" s="2099">
        <v>0.38</v>
      </c>
      <c r="G8" s="2099">
        <v>0.38</v>
      </c>
      <c r="H8" s="2100">
        <f>G8</f>
        <v>0.38</v>
      </c>
      <c r="I8" s="2100">
        <f>H8</f>
        <v>0.38</v>
      </c>
      <c r="J8" s="2100">
        <f>I8</f>
        <v>0.38</v>
      </c>
      <c r="K8" s="2097"/>
      <c r="L8" s="2097"/>
      <c r="M8" s="2097"/>
      <c r="N8" s="2097"/>
      <c r="O8" s="2097"/>
      <c r="P8" s="2097"/>
      <c r="Q8" s="2097"/>
      <c r="R8" s="2097"/>
      <c r="S8" s="2097"/>
      <c r="T8" s="2097"/>
      <c r="U8" s="2097"/>
      <c r="V8" s="2097"/>
      <c r="W8" s="2097"/>
    </row>
    <row r="9" spans="1:23">
      <c r="A9" s="2084"/>
      <c r="B9" s="2085" t="s">
        <v>1450</v>
      </c>
      <c r="C9" s="2101">
        <f t="shared" ref="C9:J9" si="0">-C6*C8</f>
        <v>-32.137740000000036</v>
      </c>
      <c r="D9" s="2101">
        <f t="shared" si="0"/>
        <v>-21.489749568642239</v>
      </c>
      <c r="E9" s="2101">
        <f t="shared" si="0"/>
        <v>-19.689926486505435</v>
      </c>
      <c r="F9" s="2101">
        <f t="shared" si="0"/>
        <v>-17.864462864647017</v>
      </c>
      <c r="G9" s="2101">
        <f t="shared" si="0"/>
        <v>-16.159067193243139</v>
      </c>
      <c r="H9" s="2102">
        <f t="shared" si="0"/>
        <v>0</v>
      </c>
      <c r="I9" s="2102">
        <f t="shared" si="0"/>
        <v>0</v>
      </c>
      <c r="J9" s="2102">
        <f t="shared" si="0"/>
        <v>0</v>
      </c>
      <c r="K9" s="2084"/>
      <c r="L9" s="2084"/>
      <c r="M9" s="2084"/>
      <c r="N9" s="2084"/>
      <c r="O9" s="2084"/>
      <c r="P9" s="2084"/>
      <c r="Q9" s="2084"/>
      <c r="R9" s="2084"/>
      <c r="S9" s="2084"/>
      <c r="T9" s="2084"/>
      <c r="U9" s="2084"/>
      <c r="V9" s="2084"/>
      <c r="W9" s="2084"/>
    </row>
    <row r="10" spans="1:23">
      <c r="A10" s="2084"/>
      <c r="B10" s="2085" t="s">
        <v>1427</v>
      </c>
      <c r="C10" s="2103">
        <f>C6+C9</f>
        <v>52.435260000000056</v>
      </c>
      <c r="D10" s="2103">
        <f t="shared" ref="D10:J10" si="1">D6+D9</f>
        <v>35.06222298041628</v>
      </c>
      <c r="E10" s="2103">
        <f t="shared" si="1"/>
        <v>32.125669530614125</v>
      </c>
      <c r="F10" s="2103">
        <f t="shared" si="1"/>
        <v>29.147281516003027</v>
      </c>
      <c r="G10" s="2103">
        <f>G6+G9</f>
        <v>26.364793841607231</v>
      </c>
      <c r="H10" s="2104">
        <f t="shared" si="1"/>
        <v>0</v>
      </c>
      <c r="I10" s="2104">
        <f t="shared" si="1"/>
        <v>0</v>
      </c>
      <c r="J10" s="2104">
        <f t="shared" si="1"/>
        <v>0</v>
      </c>
      <c r="K10" s="2084"/>
      <c r="L10" s="2084"/>
      <c r="M10" s="2084"/>
      <c r="N10" s="2084"/>
      <c r="O10" s="2084"/>
      <c r="P10" s="2084"/>
      <c r="Q10" s="2084"/>
      <c r="R10" s="2084"/>
      <c r="S10" s="2084"/>
      <c r="T10" s="2084"/>
      <c r="U10" s="2084"/>
      <c r="V10" s="2084"/>
      <c r="W10" s="2084"/>
    </row>
    <row r="11" spans="1:23" s="2072" customFormat="1" hidden="1">
      <c r="A11" s="2105"/>
      <c r="B11" s="2106" t="s">
        <v>1451</v>
      </c>
      <c r="C11" s="2107">
        <f t="shared" ref="C11:J11" si="2">C10/C4</f>
        <v>1.5012858284016061E-2</v>
      </c>
      <c r="D11" s="2107">
        <f t="shared" si="2"/>
        <v>9.9953303096327606E-3</v>
      </c>
      <c r="E11" s="2107">
        <f t="shared" si="2"/>
        <v>9.176000000000014E-3</v>
      </c>
      <c r="F11" s="2107">
        <f t="shared" si="2"/>
        <v>8.369999999999992E-3</v>
      </c>
      <c r="G11" s="2107">
        <f t="shared" si="2"/>
        <v>7.6260000000000234E-3</v>
      </c>
      <c r="H11" s="2108">
        <f t="shared" si="2"/>
        <v>0</v>
      </c>
      <c r="I11" s="2108">
        <f t="shared" si="2"/>
        <v>0</v>
      </c>
      <c r="J11" s="2108">
        <f t="shared" si="2"/>
        <v>0</v>
      </c>
      <c r="K11" s="2105"/>
      <c r="L11" s="2105"/>
      <c r="M11" s="2105"/>
      <c r="N11" s="2105"/>
      <c r="O11" s="2105"/>
      <c r="P11" s="2105"/>
      <c r="Q11" s="2105"/>
      <c r="R11" s="2105"/>
      <c r="S11" s="2105"/>
      <c r="T11" s="2105"/>
      <c r="U11" s="2105"/>
      <c r="V11" s="2105"/>
      <c r="W11" s="2105"/>
    </row>
    <row r="12" spans="1:23" ht="6.75" customHeight="1">
      <c r="A12" s="2084"/>
      <c r="B12" s="2085"/>
      <c r="C12" s="2084"/>
      <c r="D12" s="2084"/>
      <c r="E12" s="2084"/>
      <c r="F12" s="2084"/>
      <c r="G12" s="2084"/>
      <c r="H12" s="2109"/>
      <c r="I12" s="2109"/>
      <c r="J12" s="2109"/>
      <c r="K12" s="2084"/>
      <c r="L12" s="2084"/>
      <c r="M12" s="2084"/>
      <c r="N12" s="2084"/>
      <c r="O12" s="2084"/>
      <c r="P12" s="2084"/>
      <c r="Q12" s="2084"/>
      <c r="R12" s="2084"/>
      <c r="S12" s="2084"/>
      <c r="T12" s="2084"/>
      <c r="U12" s="2084"/>
      <c r="V12" s="2084"/>
      <c r="W12" s="2084"/>
    </row>
    <row r="13" spans="1:23">
      <c r="A13" s="2084"/>
      <c r="B13" s="2110" t="s">
        <v>1452</v>
      </c>
      <c r="C13" s="2101">
        <f>'yrP&amp;L'!AB27</f>
        <v>192.14699999999999</v>
      </c>
      <c r="D13" s="2101">
        <f>'yrP&amp;L'!AC27</f>
        <v>180</v>
      </c>
      <c r="E13" s="2101">
        <f>'yrP&amp;L'!AD27</f>
        <v>175.05268924702526</v>
      </c>
      <c r="F13" s="2101">
        <f>'yrP&amp;L'!AE27</f>
        <v>167.15286890897809</v>
      </c>
      <c r="G13" s="2101">
        <f>'yrP&amp;L'!AF27</f>
        <v>159.03232582139114</v>
      </c>
      <c r="H13" s="2102">
        <f>H14*H4</f>
        <v>150.59669810390866</v>
      </c>
      <c r="I13" s="2102">
        <f>I14*I4</f>
        <v>145.70230541553161</v>
      </c>
      <c r="J13" s="2102">
        <f>J14*J4</f>
        <v>140.89074091111175</v>
      </c>
      <c r="K13" s="2084"/>
      <c r="L13" s="2084"/>
      <c r="M13" s="2084"/>
      <c r="N13" s="2084"/>
      <c r="O13" s="2084"/>
      <c r="P13" s="2084"/>
      <c r="Q13" s="2084"/>
      <c r="R13" s="2084"/>
      <c r="S13" s="2084"/>
      <c r="T13" s="2084"/>
      <c r="U13" s="2084"/>
      <c r="V13" s="2084"/>
      <c r="W13" s="2084"/>
    </row>
    <row r="14" spans="1:23">
      <c r="A14" s="2084"/>
      <c r="B14" s="2085"/>
      <c r="C14" s="2095">
        <f t="shared" ref="C14:G14" si="3">C13/C4</f>
        <v>5.5014043616811108E-2</v>
      </c>
      <c r="D14" s="2095">
        <f t="shared" si="3"/>
        <v>5.1313331066852291E-2</v>
      </c>
      <c r="E14" s="2095">
        <f t="shared" si="3"/>
        <v>0.05</v>
      </c>
      <c r="F14" s="2095">
        <f t="shared" si="3"/>
        <v>4.8000000000000001E-2</v>
      </c>
      <c r="G14" s="2095">
        <f t="shared" si="3"/>
        <v>4.5999999999999999E-2</v>
      </c>
      <c r="H14" s="2111">
        <v>4.3999999999999997E-2</v>
      </c>
      <c r="I14" s="2111">
        <v>4.2999999999999997E-2</v>
      </c>
      <c r="J14" s="2111">
        <v>4.2000000000000003E-2</v>
      </c>
      <c r="K14" s="2084"/>
      <c r="L14" s="2084"/>
      <c r="M14" s="2084"/>
      <c r="N14" s="2084"/>
      <c r="O14" s="2084"/>
      <c r="P14" s="2084"/>
      <c r="Q14" s="2084"/>
      <c r="R14" s="2084"/>
      <c r="S14" s="2084"/>
      <c r="T14" s="2084"/>
      <c r="U14" s="2084"/>
      <c r="V14" s="2084"/>
      <c r="W14" s="2084"/>
    </row>
    <row r="15" spans="1:23">
      <c r="A15" s="2084"/>
      <c r="B15" s="2110" t="s">
        <v>424</v>
      </c>
      <c r="C15" s="2093">
        <f>-flow!AV21</f>
        <v>-107</v>
      </c>
      <c r="D15" s="2093">
        <f>-flow!AX21</f>
        <v>-130</v>
      </c>
      <c r="E15" s="2093">
        <f>-flow!AZ21</f>
        <v>-100</v>
      </c>
      <c r="F15" s="2093">
        <f>-flow!BB21</f>
        <v>-100</v>
      </c>
      <c r="G15" s="2093">
        <f>-flow!BD21</f>
        <v>-100</v>
      </c>
      <c r="H15" s="2094">
        <v>-80</v>
      </c>
      <c r="I15" s="2094">
        <v>-80</v>
      </c>
      <c r="J15" s="2094">
        <v>-80</v>
      </c>
      <c r="K15" s="2084"/>
      <c r="L15" s="2084"/>
      <c r="M15" s="2084"/>
      <c r="N15" s="2084"/>
      <c r="O15" s="2084"/>
      <c r="P15" s="2084"/>
      <c r="Q15" s="2084"/>
      <c r="R15" s="2084"/>
      <c r="S15" s="2084"/>
      <c r="T15" s="2084"/>
      <c r="U15" s="2084"/>
      <c r="V15" s="2084"/>
      <c r="W15" s="2084"/>
    </row>
    <row r="16" spans="1:23">
      <c r="A16" s="2084"/>
      <c r="B16" s="2110"/>
      <c r="C16" s="2093"/>
      <c r="D16" s="2093"/>
      <c r="E16" s="2093"/>
      <c r="F16" s="2093"/>
      <c r="G16" s="2093"/>
      <c r="H16" s="2112"/>
      <c r="I16" s="2112"/>
      <c r="J16" s="2112"/>
      <c r="K16" s="2084"/>
      <c r="L16" s="2084"/>
      <c r="M16" s="2084"/>
      <c r="N16" s="2084"/>
      <c r="O16" s="2084"/>
      <c r="P16" s="2084"/>
      <c r="Q16" s="2084"/>
      <c r="R16" s="2084"/>
      <c r="S16" s="2084"/>
      <c r="T16" s="2084"/>
      <c r="U16" s="2084"/>
      <c r="V16" s="2084"/>
      <c r="W16" s="2084"/>
    </row>
    <row r="17" spans="1:23">
      <c r="A17" s="2084"/>
      <c r="B17" s="2110" t="s">
        <v>1453</v>
      </c>
      <c r="C17" s="2101">
        <f>flow!AV30</f>
        <v>-51.429000000000052</v>
      </c>
      <c r="D17" s="2101">
        <f>flow!AX30</f>
        <v>25.179863196323947</v>
      </c>
      <c r="E17" s="2101">
        <f>flow!AZ30</f>
        <v>-4.3980898513946869</v>
      </c>
      <c r="F17" s="2101">
        <f>flow!BB30</f>
        <v>1.1373421839684763</v>
      </c>
      <c r="G17" s="2101">
        <f>flow!BD30</f>
        <v>0.90028283720532443</v>
      </c>
      <c r="H17" s="2102">
        <f>G17</f>
        <v>0.90028283720532443</v>
      </c>
      <c r="I17" s="2102">
        <f>H17</f>
        <v>0.90028283720532443</v>
      </c>
      <c r="J17" s="2102">
        <f>I17</f>
        <v>0.90028283720532443</v>
      </c>
      <c r="K17" s="2084"/>
      <c r="L17" s="2084"/>
      <c r="M17" s="2084"/>
      <c r="N17" s="2084"/>
      <c r="O17" s="2084"/>
      <c r="P17" s="2084"/>
      <c r="Q17" s="2084"/>
      <c r="R17" s="2084"/>
      <c r="S17" s="2084"/>
      <c r="T17" s="2084"/>
      <c r="U17" s="2084"/>
      <c r="V17" s="2084"/>
      <c r="W17" s="2084"/>
    </row>
    <row r="18" spans="1:23">
      <c r="A18" s="2084"/>
      <c r="B18" s="2085" t="s">
        <v>1454</v>
      </c>
      <c r="C18" s="2103">
        <f>SUM(C15:C17)</f>
        <v>-158.42900000000006</v>
      </c>
      <c r="D18" s="2103">
        <f>SUM(D15:D17)</f>
        <v>-104.82013680367605</v>
      </c>
      <c r="E18" s="2103">
        <f>SUM(E15:E17)</f>
        <v>-104.39808985139469</v>
      </c>
      <c r="F18" s="2103">
        <f>SUM(F15:F17)</f>
        <v>-98.862657816031529</v>
      </c>
      <c r="G18" s="2103">
        <f>SUM(G15:G17)</f>
        <v>-99.099717162794676</v>
      </c>
      <c r="H18" s="2104">
        <f t="shared" ref="H18:J18" si="4">SUM(H15:H17)</f>
        <v>-79.099717162794676</v>
      </c>
      <c r="I18" s="2104">
        <f t="shared" si="4"/>
        <v>-79.099717162794676</v>
      </c>
      <c r="J18" s="2104">
        <f t="shared" si="4"/>
        <v>-79.099717162794676</v>
      </c>
      <c r="K18" s="2084"/>
      <c r="L18" s="2084"/>
      <c r="M18" s="2084"/>
      <c r="N18" s="2084"/>
      <c r="O18" s="2084"/>
      <c r="P18" s="2084"/>
      <c r="Q18" s="2084"/>
      <c r="R18" s="2084"/>
      <c r="S18" s="2084"/>
      <c r="T18" s="2084"/>
      <c r="U18" s="2084"/>
      <c r="V18" s="2084"/>
      <c r="W18" s="2084"/>
    </row>
    <row r="19" spans="1:23" s="2072" customFormat="1">
      <c r="A19" s="2105"/>
      <c r="B19" s="2105" t="s">
        <v>1455</v>
      </c>
      <c r="C19" s="2113"/>
      <c r="D19" s="2113"/>
      <c r="E19" s="2113"/>
      <c r="F19" s="2113"/>
      <c r="G19" s="2113"/>
      <c r="H19" s="2114"/>
      <c r="I19" s="2114"/>
      <c r="J19" s="2114"/>
      <c r="K19" s="2105"/>
      <c r="L19" s="2105"/>
      <c r="M19" s="2105"/>
      <c r="N19" s="2105"/>
      <c r="O19" s="2105"/>
      <c r="P19" s="2105"/>
      <c r="Q19" s="2105"/>
      <c r="R19" s="2105"/>
      <c r="S19" s="2105"/>
      <c r="T19" s="2105"/>
      <c r="U19" s="2105"/>
      <c r="V19" s="2105"/>
      <c r="W19" s="2105"/>
    </row>
    <row r="20" spans="1:23" ht="9" customHeight="1">
      <c r="A20" s="2084"/>
      <c r="B20" s="2085"/>
      <c r="C20" s="2115"/>
      <c r="D20" s="2115"/>
      <c r="E20" s="2115"/>
      <c r="F20" s="2115"/>
      <c r="G20" s="2115"/>
      <c r="H20" s="2116"/>
      <c r="I20" s="2116"/>
      <c r="J20" s="2116"/>
      <c r="K20" s="2084"/>
      <c r="L20" s="2084"/>
      <c r="M20" s="2084"/>
      <c r="N20" s="2084"/>
      <c r="O20" s="2084"/>
      <c r="P20" s="2084"/>
      <c r="Q20" s="2084"/>
      <c r="R20" s="2084"/>
      <c r="S20" s="2084"/>
      <c r="T20" s="2084"/>
      <c r="U20" s="2084"/>
      <c r="V20" s="2084"/>
      <c r="W20" s="2084"/>
    </row>
    <row r="21" spans="1:23">
      <c r="A21" s="2084"/>
      <c r="B21" s="2091" t="s">
        <v>1456</v>
      </c>
      <c r="C21" s="2117">
        <f t="shared" ref="C21:J21" si="5">C10+C13+C18</f>
        <v>86.153259999999989</v>
      </c>
      <c r="D21" s="2117">
        <f t="shared" si="5"/>
        <v>110.24208617674022</v>
      </c>
      <c r="E21" s="2117">
        <f t="shared" si="5"/>
        <v>102.78026892624469</v>
      </c>
      <c r="F21" s="2117">
        <f t="shared" si="5"/>
        <v>97.437492608949597</v>
      </c>
      <c r="G21" s="2117">
        <f t="shared" si="5"/>
        <v>86.297402500203688</v>
      </c>
      <c r="H21" s="2118">
        <f t="shared" si="5"/>
        <v>71.496980941113989</v>
      </c>
      <c r="I21" s="2118">
        <f t="shared" si="5"/>
        <v>66.602588252736936</v>
      </c>
      <c r="J21" s="2118">
        <f t="shared" si="5"/>
        <v>61.791023748317073</v>
      </c>
      <c r="K21" s="2084"/>
      <c r="L21" s="2084"/>
      <c r="M21" s="2084"/>
      <c r="N21" s="2084"/>
      <c r="O21" s="2084"/>
      <c r="P21" s="2084"/>
      <c r="Q21" s="2084"/>
      <c r="R21" s="2084"/>
      <c r="S21" s="2084"/>
      <c r="T21" s="2084"/>
      <c r="U21" s="2084"/>
      <c r="V21" s="2084"/>
      <c r="W21" s="2084"/>
    </row>
    <row r="22" spans="1:23" s="2073" customFormat="1">
      <c r="A22" s="2119"/>
      <c r="B22" s="2113"/>
      <c r="C22" s="2113"/>
      <c r="D22" s="2113"/>
      <c r="E22" s="2113"/>
      <c r="F22" s="2113"/>
      <c r="G22" s="2113"/>
      <c r="H22" s="2114"/>
      <c r="I22" s="2114"/>
      <c r="J22" s="2114"/>
      <c r="K22" s="2119"/>
      <c r="L22" s="2119"/>
      <c r="M22" s="2119"/>
      <c r="N22" s="2119"/>
      <c r="O22" s="2119"/>
      <c r="P22" s="2119"/>
      <c r="Q22" s="2119"/>
      <c r="R22" s="2119"/>
      <c r="S22" s="2119"/>
      <c r="T22" s="2119"/>
      <c r="U22" s="2119"/>
      <c r="V22" s="2119"/>
      <c r="W22" s="2119"/>
    </row>
    <row r="23" spans="1:23" s="2074" customFormat="1" ht="11.25">
      <c r="A23" s="2120"/>
      <c r="B23" s="2121"/>
      <c r="C23" s="2122">
        <v>0</v>
      </c>
      <c r="D23" s="2122">
        <v>1</v>
      </c>
      <c r="E23" s="2122">
        <f t="shared" ref="E23:J23" si="6">D23+1</f>
        <v>2</v>
      </c>
      <c r="F23" s="2122">
        <f t="shared" si="6"/>
        <v>3</v>
      </c>
      <c r="G23" s="2122">
        <f t="shared" si="6"/>
        <v>4</v>
      </c>
      <c r="H23" s="2122">
        <f t="shared" si="6"/>
        <v>5</v>
      </c>
      <c r="I23" s="2122">
        <f t="shared" si="6"/>
        <v>6</v>
      </c>
      <c r="J23" s="2122">
        <f t="shared" si="6"/>
        <v>7</v>
      </c>
      <c r="K23" s="2120"/>
      <c r="L23" s="2120"/>
      <c r="M23" s="2120"/>
      <c r="N23" s="2120"/>
      <c r="O23" s="2120"/>
      <c r="P23" s="2120"/>
      <c r="Q23" s="2120"/>
      <c r="R23" s="2120"/>
      <c r="S23" s="2120"/>
      <c r="T23" s="2120"/>
      <c r="U23" s="2120"/>
      <c r="V23" s="2120"/>
      <c r="W23" s="2120"/>
    </row>
    <row r="24" spans="1:23">
      <c r="A24" s="2084"/>
      <c r="B24" s="2123" t="s">
        <v>1457</v>
      </c>
      <c r="C24" s="2124">
        <f>1/(1+$H$39)^C23</f>
        <v>1</v>
      </c>
      <c r="D24" s="2124">
        <f t="shared" ref="D24:J24" si="7">1/(1+$H$39)^D23</f>
        <v>0.92393351698681891</v>
      </c>
      <c r="E24" s="2124">
        <f t="shared" si="7"/>
        <v>0.85365314381163249</v>
      </c>
      <c r="F24" s="2124">
        <f t="shared" si="7"/>
        <v>0.78871875144873638</v>
      </c>
      <c r="G24" s="2124">
        <f t="shared" si="7"/>
        <v>0.72872368993948378</v>
      </c>
      <c r="H24" s="2124">
        <f t="shared" si="7"/>
        <v>0.67329224175739932</v>
      </c>
      <c r="I24" s="2124">
        <f>1/(1+$H$39)^I23</f>
        <v>0.62207726888685366</v>
      </c>
      <c r="J24" s="2124">
        <f t="shared" si="7"/>
        <v>0.57475803888018573</v>
      </c>
      <c r="K24" s="2084"/>
      <c r="L24" s="2084"/>
      <c r="M24" s="2084"/>
      <c r="N24" s="2084"/>
      <c r="O24" s="2084"/>
      <c r="P24" s="2084"/>
      <c r="Q24" s="2084"/>
      <c r="R24" s="2084"/>
      <c r="S24" s="2084"/>
      <c r="T24" s="2084"/>
      <c r="U24" s="2084"/>
      <c r="V24" s="2084"/>
      <c r="W24" s="2084"/>
    </row>
    <row r="25" spans="1:23">
      <c r="B25" s="2081" t="s">
        <v>1458</v>
      </c>
      <c r="C25" s="2075">
        <f t="shared" ref="C25:J25" si="8">C21*C24</f>
        <v>86.153259999999989</v>
      </c>
      <c r="D25" s="2075">
        <f t="shared" si="8"/>
        <v>101.85635840123956</v>
      </c>
      <c r="E25" s="2075">
        <f t="shared" si="8"/>
        <v>87.738699690693821</v>
      </c>
      <c r="F25" s="2075">
        <f t="shared" si="8"/>
        <v>76.850777514826206</v>
      </c>
      <c r="G25" s="2075">
        <f t="shared" si="8"/>
        <v>62.886961582141268</v>
      </c>
      <c r="H25" s="2075">
        <f t="shared" si="8"/>
        <v>48.138362576728689</v>
      </c>
      <c r="I25" s="2075">
        <f t="shared" si="8"/>
        <v>41.431956201058235</v>
      </c>
      <c r="J25" s="2076">
        <f t="shared" si="8"/>
        <v>35.514887629981708</v>
      </c>
      <c r="K25" s="2084"/>
      <c r="L25" s="2084"/>
      <c r="M25" s="2084"/>
      <c r="N25" s="2084"/>
      <c r="O25" s="2084"/>
      <c r="P25" s="2084"/>
      <c r="Q25" s="2084"/>
      <c r="R25" s="2084"/>
      <c r="S25" s="2084"/>
      <c r="T25" s="2084"/>
      <c r="U25" s="2084"/>
      <c r="V25" s="2084"/>
      <c r="W25" s="2084"/>
    </row>
    <row r="26" spans="1:23">
      <c r="A26" s="2084"/>
      <c r="B26" s="2123" t="s">
        <v>1459</v>
      </c>
      <c r="C26" s="2084"/>
      <c r="D26" s="2084"/>
      <c r="E26" s="2084"/>
      <c r="F26" s="2084"/>
      <c r="G26" s="2084"/>
      <c r="H26" s="2084"/>
      <c r="I26" s="2084"/>
      <c r="J26" s="2123">
        <f>(J21*(1+C28))/(H39-C28)</f>
        <v>533.58719343826237</v>
      </c>
      <c r="K26" s="2084"/>
      <c r="L26" s="2084"/>
      <c r="M26" s="2084"/>
      <c r="N26" s="2084"/>
      <c r="O26" s="2084"/>
      <c r="P26" s="2084"/>
      <c r="Q26" s="2084"/>
      <c r="R26" s="2084"/>
      <c r="S26" s="2084"/>
      <c r="T26" s="2084"/>
      <c r="U26" s="2084"/>
      <c r="V26" s="2084"/>
      <c r="W26" s="2084"/>
    </row>
    <row r="27" spans="1:23">
      <c r="B27" s="2077" t="s">
        <v>1460</v>
      </c>
      <c r="C27" s="2078"/>
      <c r="D27" s="2078"/>
      <c r="E27" s="2078"/>
      <c r="F27" s="2078"/>
      <c r="G27" s="2078"/>
      <c r="H27" s="2078"/>
      <c r="I27" s="2078"/>
      <c r="J27" s="2076">
        <f>J26*J24</f>
        <v>306.68352887215798</v>
      </c>
      <c r="K27" s="2084"/>
      <c r="L27" s="2084"/>
      <c r="M27" s="2084"/>
      <c r="N27" s="2084"/>
      <c r="O27" s="2084"/>
      <c r="P27" s="2084"/>
      <c r="Q27" s="2084"/>
      <c r="R27" s="2084"/>
      <c r="S27" s="2084"/>
      <c r="T27" s="2084"/>
      <c r="U27" s="2084"/>
      <c r="V27" s="2084"/>
      <c r="W27" s="2084"/>
    </row>
    <row r="28" spans="1:23">
      <c r="A28" s="2084"/>
      <c r="B28" s="2123" t="s">
        <v>1461</v>
      </c>
      <c r="C28" s="2125">
        <v>-0.03</v>
      </c>
      <c r="D28" s="2084"/>
      <c r="E28" s="2084"/>
      <c r="F28" s="2084"/>
      <c r="G28" s="2084"/>
      <c r="H28" s="2084"/>
      <c r="I28" s="2084"/>
      <c r="J28" s="2084"/>
      <c r="K28" s="2084"/>
      <c r="L28" s="2084"/>
      <c r="M28" s="2084"/>
      <c r="N28" s="2084"/>
      <c r="O28" s="2084"/>
      <c r="P28" s="2084"/>
      <c r="Q28" s="2084"/>
      <c r="R28" s="2084"/>
      <c r="S28" s="2084"/>
      <c r="T28" s="2084"/>
      <c r="U28" s="2084"/>
      <c r="V28" s="2084"/>
      <c r="W28" s="2084"/>
    </row>
    <row r="29" spans="1:23">
      <c r="A29" s="2084"/>
      <c r="B29" s="2123"/>
      <c r="C29" s="2084"/>
      <c r="D29" s="2084"/>
      <c r="E29" s="2084"/>
      <c r="F29" s="2084"/>
      <c r="G29" s="2084"/>
      <c r="H29" s="2095"/>
      <c r="I29" s="2084"/>
      <c r="J29" s="2084"/>
      <c r="K29" s="2084"/>
      <c r="L29" s="2084"/>
      <c r="M29" s="2084"/>
      <c r="N29" s="2084"/>
      <c r="O29" s="2084"/>
      <c r="P29" s="2084"/>
      <c r="Q29" s="2084"/>
      <c r="R29" s="2084"/>
      <c r="S29" s="2084"/>
      <c r="T29" s="2084"/>
      <c r="U29" s="2084"/>
      <c r="V29" s="2084"/>
      <c r="W29" s="2084"/>
    </row>
    <row r="30" spans="1:23">
      <c r="A30" s="2084"/>
      <c r="B30" s="2123" t="s">
        <v>1462</v>
      </c>
      <c r="C30" s="2123">
        <f>bal!BA42</f>
        <v>300.339</v>
      </c>
      <c r="D30" s="2123"/>
      <c r="E30" s="2123" t="s">
        <v>1463</v>
      </c>
      <c r="F30" s="2123"/>
      <c r="G30" s="2084"/>
      <c r="H30" s="2126">
        <v>2.4E-2</v>
      </c>
      <c r="I30" s="2084"/>
      <c r="J30" s="2084"/>
      <c r="K30" s="2084"/>
      <c r="L30" s="2084"/>
      <c r="M30" s="2084"/>
      <c r="N30" s="2084"/>
      <c r="O30" s="2084"/>
      <c r="P30" s="2084"/>
      <c r="Q30" s="2084"/>
      <c r="R30" s="2084"/>
      <c r="S30" s="2084"/>
      <c r="T30" s="2084"/>
      <c r="U30" s="2084"/>
      <c r="V30" s="2084"/>
      <c r="W30" s="2084"/>
    </row>
    <row r="31" spans="1:23">
      <c r="A31" s="2084"/>
      <c r="B31" s="2123" t="s">
        <v>1464</v>
      </c>
      <c r="C31" s="2127">
        <f>bal!BA9</f>
        <v>700.67991216555538</v>
      </c>
      <c r="D31" s="2123"/>
      <c r="E31" s="2123" t="s">
        <v>1465</v>
      </c>
      <c r="F31" s="2123"/>
      <c r="G31" s="2084"/>
      <c r="H31" s="2126">
        <v>5.1299999999999998E-2</v>
      </c>
      <c r="I31" s="2084"/>
      <c r="J31" s="2084"/>
      <c r="K31" s="2084"/>
      <c r="L31" s="2084"/>
      <c r="M31" s="2084"/>
      <c r="N31" s="2084"/>
      <c r="O31" s="2084"/>
      <c r="P31" s="2084"/>
      <c r="Q31" s="2084"/>
      <c r="R31" s="2084"/>
      <c r="S31" s="2084"/>
      <c r="T31" s="2084"/>
      <c r="U31" s="2084"/>
      <c r="V31" s="2084"/>
      <c r="W31" s="2084"/>
    </row>
    <row r="32" spans="1:23">
      <c r="A32" s="2084"/>
      <c r="B32" s="2128" t="s">
        <v>1466</v>
      </c>
      <c r="C32" s="2128">
        <f>C30-C31</f>
        <v>-400.34091216555538</v>
      </c>
      <c r="D32" s="2128"/>
      <c r="E32" s="2123" t="s">
        <v>1467</v>
      </c>
      <c r="F32" s="2128"/>
      <c r="G32" s="2084"/>
      <c r="H32" s="2144">
        <v>1.5329999999999999</v>
      </c>
      <c r="I32" s="2084"/>
      <c r="J32" s="2084"/>
      <c r="K32" s="2084"/>
      <c r="L32" s="2084"/>
      <c r="M32" s="2084"/>
      <c r="N32" s="2084"/>
      <c r="O32" s="2084"/>
      <c r="P32" s="2084"/>
      <c r="Q32" s="2084"/>
      <c r="R32" s="2084"/>
      <c r="S32" s="2084"/>
      <c r="T32" s="2084"/>
      <c r="U32" s="2084"/>
      <c r="V32" s="2084"/>
      <c r="W32" s="2084"/>
    </row>
    <row r="33" spans="1:23">
      <c r="A33" s="2084"/>
      <c r="B33" s="2129" t="s">
        <v>1468</v>
      </c>
      <c r="C33" s="2130">
        <v>4.4999999999999998E-2</v>
      </c>
      <c r="D33" s="2123"/>
      <c r="E33" s="2123" t="s">
        <v>1469</v>
      </c>
      <c r="F33" s="2123"/>
      <c r="G33" s="2084"/>
      <c r="H33" s="2131">
        <f>H30+H32*(H31)</f>
        <v>0.10264289999999998</v>
      </c>
      <c r="I33" s="2084"/>
      <c r="J33" s="2084"/>
      <c r="K33" s="2084"/>
      <c r="L33" s="2084"/>
      <c r="M33" s="2084"/>
      <c r="N33" s="2084"/>
      <c r="O33" s="2084"/>
      <c r="P33" s="2084"/>
      <c r="Q33" s="2084"/>
      <c r="R33" s="2084"/>
      <c r="S33" s="2084"/>
      <c r="T33" s="2084"/>
      <c r="U33" s="2084"/>
      <c r="V33" s="2084"/>
      <c r="W33" s="2084"/>
    </row>
    <row r="34" spans="1:23">
      <c r="A34" s="2084"/>
      <c r="B34" s="2129" t="s">
        <v>1470</v>
      </c>
      <c r="C34" s="2132">
        <f>C33*(1-0.35)</f>
        <v>2.9249999999999998E-2</v>
      </c>
      <c r="D34" s="2123"/>
      <c r="E34" s="2123"/>
      <c r="F34" s="2123"/>
      <c r="G34" s="2123"/>
      <c r="H34" s="2123"/>
      <c r="I34" s="2084"/>
      <c r="J34" s="2084"/>
      <c r="K34" s="2084"/>
      <c r="L34" s="2084"/>
      <c r="M34" s="2084"/>
      <c r="N34" s="2084"/>
      <c r="O34" s="2084"/>
      <c r="P34" s="2084"/>
      <c r="Q34" s="2084"/>
      <c r="R34" s="2084"/>
      <c r="S34" s="2084"/>
      <c r="T34" s="2084"/>
      <c r="U34" s="2084"/>
      <c r="V34" s="2084"/>
      <c r="W34" s="2084"/>
    </row>
    <row r="35" spans="1:23">
      <c r="A35" s="2084"/>
      <c r="B35" s="2123"/>
      <c r="C35" s="2123"/>
      <c r="D35" s="2123"/>
      <c r="E35" s="2123"/>
      <c r="F35" s="2123"/>
      <c r="G35" s="2123"/>
      <c r="H35" s="2123"/>
      <c r="I35" s="2084"/>
      <c r="J35" s="2084"/>
      <c r="K35" s="2084"/>
      <c r="L35" s="2084"/>
      <c r="M35" s="2084"/>
      <c r="N35" s="2084"/>
      <c r="O35" s="2084"/>
      <c r="P35" s="2084"/>
      <c r="Q35" s="2084"/>
      <c r="R35" s="2084"/>
      <c r="S35" s="2084"/>
      <c r="T35" s="2084"/>
      <c r="U35" s="2084"/>
      <c r="V35" s="2084"/>
      <c r="W35" s="2084"/>
    </row>
    <row r="36" spans="1:23">
      <c r="A36" s="2084"/>
      <c r="B36" s="2123" t="s">
        <v>1471</v>
      </c>
      <c r="C36" s="2123">
        <f>'yrP&amp;L'!AC61</f>
        <v>71.019499999999994</v>
      </c>
      <c r="D36" s="2123"/>
      <c r="E36" s="2123"/>
      <c r="F36" s="2133"/>
      <c r="G36" s="2134"/>
      <c r="H36" s="2134"/>
      <c r="I36" s="2084"/>
      <c r="J36" s="2084"/>
      <c r="K36" s="2084"/>
      <c r="L36" s="2084"/>
      <c r="M36" s="2084"/>
      <c r="N36" s="2084"/>
      <c r="O36" s="2084"/>
      <c r="P36" s="2084"/>
      <c r="Q36" s="2084"/>
      <c r="R36" s="2084"/>
      <c r="S36" s="2084"/>
      <c r="T36" s="2084"/>
      <c r="U36" s="2084"/>
      <c r="V36" s="2084"/>
      <c r="W36" s="2084"/>
    </row>
    <row r="37" spans="1:23">
      <c r="A37" s="2084"/>
      <c r="B37" s="2123" t="s">
        <v>1472</v>
      </c>
      <c r="C37" s="2135">
        <v>11.05</v>
      </c>
      <c r="D37" s="2123"/>
      <c r="E37" s="2136"/>
      <c r="F37" s="2137"/>
      <c r="G37" s="2134"/>
      <c r="H37" s="2134"/>
      <c r="I37" s="2084"/>
      <c r="J37" s="2084"/>
      <c r="K37" s="2084"/>
      <c r="L37" s="2084"/>
      <c r="M37" s="2084"/>
      <c r="N37" s="2084"/>
      <c r="O37" s="2084"/>
      <c r="P37" s="2084"/>
      <c r="Q37" s="2084"/>
      <c r="R37" s="2084"/>
      <c r="S37" s="2084"/>
      <c r="T37" s="2084"/>
      <c r="U37" s="2084"/>
      <c r="V37" s="2084"/>
      <c r="W37" s="2084"/>
    </row>
    <row r="38" spans="1:23">
      <c r="A38" s="2084"/>
      <c r="B38" s="2128" t="s">
        <v>67</v>
      </c>
      <c r="C38" s="2128">
        <f>C36*C37</f>
        <v>784.76547499999992</v>
      </c>
      <c r="D38" s="2123"/>
      <c r="E38" s="2134"/>
      <c r="F38" s="2137"/>
      <c r="G38" s="2134"/>
      <c r="H38" s="2134"/>
      <c r="I38" s="2084"/>
      <c r="J38" s="2084"/>
      <c r="K38" s="2084"/>
      <c r="L38" s="2084"/>
      <c r="M38" s="2084"/>
      <c r="N38" s="2084"/>
      <c r="O38" s="2084"/>
      <c r="P38" s="2084"/>
      <c r="Q38" s="2084"/>
      <c r="R38" s="2084"/>
      <c r="S38" s="2084"/>
      <c r="T38" s="2084"/>
      <c r="U38" s="2084"/>
      <c r="V38" s="2084"/>
      <c r="W38" s="2084"/>
    </row>
    <row r="39" spans="1:23">
      <c r="A39" s="2084"/>
      <c r="B39" s="2128" t="s">
        <v>1473</v>
      </c>
      <c r="C39" s="2128">
        <f>C32+C38</f>
        <v>384.42456283444454</v>
      </c>
      <c r="D39" s="2123"/>
      <c r="E39" s="2081" t="s">
        <v>1426</v>
      </c>
      <c r="F39" s="2079"/>
      <c r="G39" s="2079"/>
      <c r="H39" s="2080">
        <f>(C30/(C30+C38))*C34 + (C38/(C30+C38))*H33</f>
        <v>8.2328957240617298E-2</v>
      </c>
      <c r="I39" s="2084"/>
      <c r="J39" s="2084"/>
      <c r="K39" s="2084"/>
      <c r="L39" s="2084"/>
      <c r="M39" s="2084"/>
      <c r="N39" s="2084"/>
      <c r="O39" s="2084"/>
      <c r="P39" s="2084"/>
      <c r="Q39" s="2084"/>
      <c r="R39" s="2084"/>
      <c r="S39" s="2084"/>
      <c r="T39" s="2084"/>
      <c r="U39" s="2084"/>
      <c r="V39" s="2084"/>
      <c r="W39" s="2084"/>
    </row>
    <row r="40" spans="1:23">
      <c r="A40" s="2084"/>
      <c r="B40" s="2123"/>
      <c r="C40" s="2123"/>
      <c r="D40" s="2123"/>
      <c r="E40" s="2123"/>
      <c r="F40" s="2123"/>
      <c r="G40" s="2123"/>
      <c r="H40" s="2123"/>
      <c r="I40" s="2084"/>
      <c r="J40" s="2084"/>
      <c r="K40" s="2084"/>
      <c r="L40" s="2084"/>
      <c r="M40" s="2084"/>
      <c r="N40" s="2084"/>
      <c r="O40" s="2084"/>
      <c r="P40" s="2084"/>
      <c r="Q40" s="2084"/>
      <c r="R40" s="2084"/>
      <c r="S40" s="2084"/>
      <c r="T40" s="2084"/>
      <c r="U40" s="2084"/>
      <c r="V40" s="2084"/>
      <c r="W40" s="2084"/>
    </row>
    <row r="41" spans="1:23">
      <c r="A41" s="2084"/>
      <c r="B41" s="2123" t="s">
        <v>1474</v>
      </c>
      <c r="C41" s="2123">
        <f>SUM(C25:J25)</f>
        <v>540.5712635966695</v>
      </c>
      <c r="D41" s="2123"/>
      <c r="E41" s="2123"/>
      <c r="F41" s="2123"/>
      <c r="G41" s="2123"/>
      <c r="H41" s="2123"/>
      <c r="I41" s="2084"/>
      <c r="J41" s="2084"/>
      <c r="K41" s="2084"/>
      <c r="L41" s="2084"/>
      <c r="M41" s="2084"/>
      <c r="N41" s="2084"/>
      <c r="O41" s="2084"/>
      <c r="P41" s="2084"/>
      <c r="Q41" s="2084"/>
      <c r="R41" s="2084"/>
      <c r="S41" s="2084"/>
      <c r="T41" s="2084"/>
      <c r="U41" s="2084"/>
      <c r="V41" s="2084"/>
      <c r="W41" s="2084"/>
    </row>
    <row r="42" spans="1:23">
      <c r="A42" s="2084"/>
      <c r="B42" s="2123" t="s">
        <v>1460</v>
      </c>
      <c r="C42" s="2127">
        <f>J27</f>
        <v>306.68352887215798</v>
      </c>
      <c r="D42" s="2123"/>
      <c r="E42" s="2123"/>
      <c r="F42" s="2123"/>
      <c r="G42" s="2123"/>
      <c r="H42" s="2123"/>
      <c r="I42" s="2084"/>
      <c r="J42" s="2084"/>
      <c r="K42" s="2084"/>
      <c r="L42" s="2084"/>
      <c r="M42" s="2084"/>
      <c r="N42" s="2084"/>
      <c r="O42" s="2084"/>
      <c r="P42" s="2084"/>
      <c r="Q42" s="2084"/>
      <c r="R42" s="2084"/>
      <c r="S42" s="2084"/>
      <c r="T42" s="2084"/>
      <c r="U42" s="2084"/>
      <c r="V42" s="2084"/>
      <c r="W42" s="2084"/>
    </row>
    <row r="43" spans="1:23">
      <c r="A43" s="2084"/>
      <c r="B43" s="2128" t="s">
        <v>1475</v>
      </c>
      <c r="C43" s="2128">
        <f>SUM(C41:C42)</f>
        <v>847.25479246882742</v>
      </c>
      <c r="D43" s="2123"/>
      <c r="E43" s="2123"/>
      <c r="F43" s="2123"/>
      <c r="G43" s="2123"/>
      <c r="H43" s="2123"/>
      <c r="I43" s="2084"/>
      <c r="J43" s="2084"/>
      <c r="K43" s="2084"/>
      <c r="L43" s="2084"/>
      <c r="M43" s="2084"/>
      <c r="N43" s="2084"/>
      <c r="O43" s="2084"/>
      <c r="P43" s="2084"/>
      <c r="Q43" s="2084"/>
      <c r="R43" s="2084"/>
      <c r="S43" s="2084"/>
      <c r="T43" s="2084"/>
      <c r="U43" s="2084"/>
      <c r="V43" s="2084"/>
      <c r="W43" s="2084"/>
    </row>
    <row r="44" spans="1:23">
      <c r="A44" s="2084"/>
      <c r="B44" s="2123" t="s">
        <v>1476</v>
      </c>
      <c r="C44" s="2123">
        <f>-C30</f>
        <v>-300.339</v>
      </c>
      <c r="D44" s="2136"/>
      <c r="E44" s="2136"/>
      <c r="F44" s="2136"/>
      <c r="G44" s="2136"/>
      <c r="H44" s="2136"/>
      <c r="I44" s="2136"/>
      <c r="J44" s="2136"/>
      <c r="K44" s="2136"/>
      <c r="L44" s="2084"/>
      <c r="M44" s="2084"/>
      <c r="N44" s="2084"/>
      <c r="O44" s="2084"/>
      <c r="P44" s="2084"/>
      <c r="Q44" s="2084"/>
      <c r="R44" s="2084"/>
      <c r="S44" s="2084"/>
      <c r="T44" s="2084"/>
      <c r="U44" s="2084"/>
      <c r="V44" s="2084"/>
      <c r="W44" s="2084"/>
    </row>
    <row r="45" spans="1:23">
      <c r="A45" s="2084"/>
      <c r="B45" s="2123" t="s">
        <v>1477</v>
      </c>
      <c r="C45" s="2138">
        <f>+C31</f>
        <v>700.67991216555538</v>
      </c>
      <c r="D45" s="2123"/>
      <c r="E45" s="2123"/>
      <c r="F45" s="2123"/>
      <c r="G45" s="2123"/>
      <c r="H45" s="2123"/>
      <c r="I45" s="2084"/>
      <c r="J45" s="2084"/>
      <c r="K45" s="2084"/>
      <c r="L45" s="2084"/>
      <c r="M45" s="2084"/>
      <c r="N45" s="2084"/>
      <c r="O45" s="2084"/>
      <c r="P45" s="2084"/>
      <c r="Q45" s="2084"/>
      <c r="R45" s="2084"/>
      <c r="S45" s="2084"/>
      <c r="T45" s="2084"/>
      <c r="U45" s="2084"/>
      <c r="V45" s="2084"/>
      <c r="W45" s="2084"/>
    </row>
    <row r="46" spans="1:23" hidden="1" outlineLevel="1">
      <c r="A46" s="2084"/>
      <c r="B46" s="2123" t="s">
        <v>1478</v>
      </c>
      <c r="C46" s="2138">
        <v>0</v>
      </c>
      <c r="D46" s="2123"/>
      <c r="E46" s="2123"/>
      <c r="F46" s="2123"/>
      <c r="G46" s="2123"/>
      <c r="H46" s="2123"/>
      <c r="I46" s="2084"/>
      <c r="J46" s="2084"/>
      <c r="K46" s="2084"/>
      <c r="L46" s="2084"/>
      <c r="M46" s="2084"/>
      <c r="N46" s="2084"/>
      <c r="O46" s="2084"/>
      <c r="P46" s="2084"/>
      <c r="Q46" s="2084"/>
      <c r="R46" s="2084"/>
      <c r="S46" s="2084"/>
      <c r="T46" s="2084"/>
      <c r="U46" s="2084"/>
      <c r="V46" s="2084"/>
      <c r="W46" s="2084"/>
    </row>
    <row r="47" spans="1:23" hidden="1" outlineLevel="1">
      <c r="A47" s="2084"/>
      <c r="B47" s="2123" t="s">
        <v>1479</v>
      </c>
      <c r="C47" s="2139" t="s">
        <v>251</v>
      </c>
      <c r="D47" s="2123"/>
      <c r="E47" s="2123"/>
      <c r="F47" s="2123"/>
      <c r="G47" s="2123"/>
      <c r="H47" s="2123"/>
      <c r="I47" s="2084"/>
      <c r="J47" s="2084"/>
      <c r="K47" s="2084"/>
      <c r="L47" s="2084"/>
      <c r="M47" s="2084"/>
      <c r="N47" s="2084"/>
      <c r="O47" s="2084"/>
      <c r="P47" s="2084"/>
      <c r="Q47" s="2084"/>
      <c r="R47" s="2084"/>
      <c r="S47" s="2084"/>
      <c r="T47" s="2084"/>
      <c r="U47" s="2084"/>
      <c r="V47" s="2084"/>
      <c r="W47" s="2084"/>
    </row>
    <row r="48" spans="1:23" collapsed="1">
      <c r="A48" s="2084"/>
      <c r="B48" s="2128" t="s">
        <v>18</v>
      </c>
      <c r="C48" s="2128">
        <f>SUM(C43:C47)</f>
        <v>1247.5957046343829</v>
      </c>
      <c r="D48" s="2123"/>
      <c r="E48" s="2123"/>
      <c r="F48" s="2123"/>
      <c r="G48" s="2123"/>
      <c r="H48" s="2123"/>
      <c r="I48" s="2084"/>
      <c r="J48" s="2084"/>
      <c r="K48" s="2084"/>
      <c r="L48" s="2084"/>
      <c r="M48" s="2084"/>
      <c r="N48" s="2084"/>
      <c r="O48" s="2084"/>
      <c r="P48" s="2084"/>
      <c r="Q48" s="2084"/>
      <c r="R48" s="2084"/>
      <c r="S48" s="2084"/>
      <c r="T48" s="2084"/>
      <c r="U48" s="2084"/>
      <c r="V48" s="2084"/>
      <c r="W48" s="2084"/>
    </row>
    <row r="49" spans="1:23">
      <c r="A49" s="2084"/>
      <c r="B49" s="2140" t="s">
        <v>1480</v>
      </c>
      <c r="C49" s="2141">
        <f>C48/C36</f>
        <v>17.566945763267594</v>
      </c>
      <c r="D49" s="2082"/>
      <c r="E49" s="2123"/>
      <c r="F49" s="2123"/>
      <c r="G49" s="2123"/>
      <c r="H49" s="2123"/>
      <c r="I49" s="2084"/>
      <c r="J49" s="2084"/>
      <c r="K49" s="2084"/>
      <c r="L49" s="2084"/>
      <c r="M49" s="2084"/>
      <c r="N49" s="2084"/>
      <c r="O49" s="2084"/>
      <c r="P49" s="2084"/>
      <c r="Q49" s="2084"/>
      <c r="R49" s="2084"/>
      <c r="S49" s="2084"/>
      <c r="T49" s="2084"/>
      <c r="U49" s="2084"/>
      <c r="V49" s="2084"/>
      <c r="W49" s="2084"/>
    </row>
    <row r="50" spans="1:23">
      <c r="A50" s="2084"/>
      <c r="B50" s="2123"/>
      <c r="C50" s="2142"/>
      <c r="D50" s="2084"/>
      <c r="E50" s="2084"/>
      <c r="F50" s="2084"/>
      <c r="G50" s="2084"/>
      <c r="H50" s="2084"/>
      <c r="I50" s="2084"/>
      <c r="J50" s="2084"/>
      <c r="K50" s="2084"/>
      <c r="L50" s="2084"/>
      <c r="M50" s="2084"/>
      <c r="N50" s="2084"/>
      <c r="O50" s="2084"/>
      <c r="P50" s="2084"/>
      <c r="Q50" s="2084"/>
      <c r="R50" s="2084"/>
      <c r="S50" s="2084"/>
      <c r="T50" s="2084"/>
      <c r="U50" s="2084"/>
      <c r="V50" s="2084"/>
      <c r="W50" s="2084"/>
    </row>
    <row r="51" spans="1:23">
      <c r="A51" s="2084"/>
      <c r="B51" s="2123"/>
      <c r="C51" s="2084"/>
      <c r="D51" s="2084"/>
      <c r="E51" s="2084"/>
      <c r="F51" s="2084"/>
      <c r="G51" s="2084"/>
      <c r="H51" s="2084"/>
      <c r="I51" s="2084"/>
      <c r="J51" s="2084"/>
      <c r="K51" s="2084"/>
      <c r="L51" s="2084"/>
      <c r="M51" s="2084"/>
      <c r="N51" s="2084"/>
      <c r="O51" s="2084"/>
      <c r="P51" s="2084"/>
      <c r="Q51" s="2084"/>
      <c r="R51" s="2084"/>
      <c r="S51" s="2084"/>
      <c r="T51" s="2084"/>
      <c r="U51" s="2084"/>
      <c r="V51" s="2084"/>
      <c r="W51" s="2084"/>
    </row>
    <row r="52" spans="1:23">
      <c r="A52" s="2084"/>
      <c r="B52" s="2123"/>
      <c r="C52" s="2084"/>
      <c r="D52" s="2084"/>
      <c r="E52" s="2084"/>
      <c r="F52" s="2084"/>
      <c r="G52" s="2084"/>
      <c r="H52" s="2084"/>
      <c r="I52" s="2084"/>
      <c r="J52" s="2084"/>
      <c r="K52" s="2084"/>
      <c r="L52" s="2084"/>
      <c r="M52" s="2084"/>
      <c r="N52" s="2084"/>
      <c r="O52" s="2084"/>
      <c r="P52" s="2084"/>
      <c r="Q52" s="2084"/>
      <c r="R52" s="2084"/>
      <c r="S52" s="2084"/>
      <c r="T52" s="2084"/>
      <c r="U52" s="2084"/>
      <c r="V52" s="2084"/>
      <c r="W52" s="2084"/>
    </row>
    <row r="53" spans="1:23">
      <c r="A53" s="2084"/>
      <c r="B53" s="2123"/>
      <c r="C53" s="2095"/>
      <c r="D53" s="2095"/>
      <c r="E53" s="2095"/>
      <c r="F53" s="2095"/>
      <c r="G53" s="2095"/>
      <c r="H53" s="2095"/>
      <c r="I53" s="2095"/>
      <c r="J53" s="2095"/>
      <c r="K53" s="2095"/>
      <c r="L53" s="2084"/>
      <c r="M53" s="2084"/>
      <c r="N53" s="2084"/>
      <c r="O53" s="2084"/>
      <c r="P53" s="2084"/>
      <c r="Q53" s="2084"/>
      <c r="R53" s="2084"/>
      <c r="S53" s="2084"/>
      <c r="T53" s="2084"/>
      <c r="U53" s="2084"/>
      <c r="V53" s="2084"/>
      <c r="W53" s="2084"/>
    </row>
    <row r="54" spans="1:23">
      <c r="A54" s="2084"/>
      <c r="B54" s="2123"/>
      <c r="C54" s="2084"/>
      <c r="D54" s="2084"/>
      <c r="E54" s="2084"/>
      <c r="F54" s="2084"/>
      <c r="G54" s="2084"/>
      <c r="H54" s="2084"/>
      <c r="I54" s="2084"/>
      <c r="J54" s="2084"/>
      <c r="K54" s="2084"/>
      <c r="L54" s="2084"/>
      <c r="M54" s="2084"/>
      <c r="N54" s="2084"/>
      <c r="O54" s="2084"/>
      <c r="P54" s="2084"/>
      <c r="Q54" s="2084"/>
      <c r="R54" s="2084"/>
      <c r="S54" s="2084"/>
      <c r="T54" s="2084"/>
      <c r="U54" s="2084"/>
      <c r="V54" s="2084"/>
      <c r="W54" s="2084"/>
    </row>
    <row r="55" spans="1:23">
      <c r="A55" s="2084"/>
      <c r="B55" s="2082"/>
    </row>
    <row r="56" spans="1:23">
      <c r="B56" s="2082"/>
    </row>
    <row r="57" spans="1:23">
      <c r="B57" s="2082"/>
    </row>
    <row r="58" spans="1:23">
      <c r="B58" s="2082"/>
    </row>
    <row r="59" spans="1:23">
      <c r="B59" s="2082"/>
    </row>
    <row r="60" spans="1:23">
      <c r="B60" s="2082"/>
    </row>
    <row r="61" spans="1:23">
      <c r="B61" s="2082"/>
    </row>
  </sheetData>
  <mergeCells count="2">
    <mergeCell ref="C1:G1"/>
    <mergeCell ref="H1:J1"/>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2198" bestFit="1" customWidth="1"/>
    <col min="2" max="2" width="19.85546875" style="2331" customWidth="1"/>
    <col min="3" max="3" width="12" style="2198" bestFit="1" customWidth="1"/>
    <col min="4" max="256" width="9.140625" style="2198"/>
    <col min="257" max="257" width="29.5703125" style="2198" bestFit="1" customWidth="1"/>
    <col min="258" max="258" width="19.85546875" style="2198" customWidth="1"/>
    <col min="259" max="259" width="12" style="2198" bestFit="1" customWidth="1"/>
    <col min="260" max="512" width="9.140625" style="2198"/>
    <col min="513" max="513" width="29.5703125" style="2198" bestFit="1" customWidth="1"/>
    <col min="514" max="514" width="19.85546875" style="2198" customWidth="1"/>
    <col min="515" max="515" width="12" style="2198" bestFit="1" customWidth="1"/>
    <col min="516" max="768" width="9.140625" style="2198"/>
    <col min="769" max="769" width="29.5703125" style="2198" bestFit="1" customWidth="1"/>
    <col min="770" max="770" width="19.85546875" style="2198" customWidth="1"/>
    <col min="771" max="771" width="12" style="2198" bestFit="1" customWidth="1"/>
    <col min="772" max="1024" width="9.140625" style="2198"/>
    <col min="1025" max="1025" width="29.5703125" style="2198" bestFit="1" customWidth="1"/>
    <col min="1026" max="1026" width="19.85546875" style="2198" customWidth="1"/>
    <col min="1027" max="1027" width="12" style="2198" bestFit="1" customWidth="1"/>
    <col min="1028" max="1280" width="9.140625" style="2198"/>
    <col min="1281" max="1281" width="29.5703125" style="2198" bestFit="1" customWidth="1"/>
    <col min="1282" max="1282" width="19.85546875" style="2198" customWidth="1"/>
    <col min="1283" max="1283" width="12" style="2198" bestFit="1" customWidth="1"/>
    <col min="1284" max="1536" width="9.140625" style="2198"/>
    <col min="1537" max="1537" width="29.5703125" style="2198" bestFit="1" customWidth="1"/>
    <col min="1538" max="1538" width="19.85546875" style="2198" customWidth="1"/>
    <col min="1539" max="1539" width="12" style="2198" bestFit="1" customWidth="1"/>
    <col min="1540" max="1792" width="9.140625" style="2198"/>
    <col min="1793" max="1793" width="29.5703125" style="2198" bestFit="1" customWidth="1"/>
    <col min="1794" max="1794" width="19.85546875" style="2198" customWidth="1"/>
    <col min="1795" max="1795" width="12" style="2198" bestFit="1" customWidth="1"/>
    <col min="1796" max="2048" width="9.140625" style="2198"/>
    <col min="2049" max="2049" width="29.5703125" style="2198" bestFit="1" customWidth="1"/>
    <col min="2050" max="2050" width="19.85546875" style="2198" customWidth="1"/>
    <col min="2051" max="2051" width="12" style="2198" bestFit="1" customWidth="1"/>
    <col min="2052" max="2304" width="9.140625" style="2198"/>
    <col min="2305" max="2305" width="29.5703125" style="2198" bestFit="1" customWidth="1"/>
    <col min="2306" max="2306" width="19.85546875" style="2198" customWidth="1"/>
    <col min="2307" max="2307" width="12" style="2198" bestFit="1" customWidth="1"/>
    <col min="2308" max="2560" width="9.140625" style="2198"/>
    <col min="2561" max="2561" width="29.5703125" style="2198" bestFit="1" customWidth="1"/>
    <col min="2562" max="2562" width="19.85546875" style="2198" customWidth="1"/>
    <col min="2563" max="2563" width="12" style="2198" bestFit="1" customWidth="1"/>
    <col min="2564" max="2816" width="9.140625" style="2198"/>
    <col min="2817" max="2817" width="29.5703125" style="2198" bestFit="1" customWidth="1"/>
    <col min="2818" max="2818" width="19.85546875" style="2198" customWidth="1"/>
    <col min="2819" max="2819" width="12" style="2198" bestFit="1" customWidth="1"/>
    <col min="2820" max="3072" width="9.140625" style="2198"/>
    <col min="3073" max="3073" width="29.5703125" style="2198" bestFit="1" customWidth="1"/>
    <col min="3074" max="3074" width="19.85546875" style="2198" customWidth="1"/>
    <col min="3075" max="3075" width="12" style="2198" bestFit="1" customWidth="1"/>
    <col min="3076" max="3328" width="9.140625" style="2198"/>
    <col min="3329" max="3329" width="29.5703125" style="2198" bestFit="1" customWidth="1"/>
    <col min="3330" max="3330" width="19.85546875" style="2198" customWidth="1"/>
    <col min="3331" max="3331" width="12" style="2198" bestFit="1" customWidth="1"/>
    <col min="3332" max="3584" width="9.140625" style="2198"/>
    <col min="3585" max="3585" width="29.5703125" style="2198" bestFit="1" customWidth="1"/>
    <col min="3586" max="3586" width="19.85546875" style="2198" customWidth="1"/>
    <col min="3587" max="3587" width="12" style="2198" bestFit="1" customWidth="1"/>
    <col min="3588" max="3840" width="9.140625" style="2198"/>
    <col min="3841" max="3841" width="29.5703125" style="2198" bestFit="1" customWidth="1"/>
    <col min="3842" max="3842" width="19.85546875" style="2198" customWidth="1"/>
    <col min="3843" max="3843" width="12" style="2198" bestFit="1" customWidth="1"/>
    <col min="3844" max="4096" width="9.140625" style="2198"/>
    <col min="4097" max="4097" width="29.5703125" style="2198" bestFit="1" customWidth="1"/>
    <col min="4098" max="4098" width="19.85546875" style="2198" customWidth="1"/>
    <col min="4099" max="4099" width="12" style="2198" bestFit="1" customWidth="1"/>
    <col min="4100" max="4352" width="9.140625" style="2198"/>
    <col min="4353" max="4353" width="29.5703125" style="2198" bestFit="1" customWidth="1"/>
    <col min="4354" max="4354" width="19.85546875" style="2198" customWidth="1"/>
    <col min="4355" max="4355" width="12" style="2198" bestFit="1" customWidth="1"/>
    <col min="4356" max="4608" width="9.140625" style="2198"/>
    <col min="4609" max="4609" width="29.5703125" style="2198" bestFit="1" customWidth="1"/>
    <col min="4610" max="4610" width="19.85546875" style="2198" customWidth="1"/>
    <col min="4611" max="4611" width="12" style="2198" bestFit="1" customWidth="1"/>
    <col min="4612" max="4864" width="9.140625" style="2198"/>
    <col min="4865" max="4865" width="29.5703125" style="2198" bestFit="1" customWidth="1"/>
    <col min="4866" max="4866" width="19.85546875" style="2198" customWidth="1"/>
    <col min="4867" max="4867" width="12" style="2198" bestFit="1" customWidth="1"/>
    <col min="4868" max="5120" width="9.140625" style="2198"/>
    <col min="5121" max="5121" width="29.5703125" style="2198" bestFit="1" customWidth="1"/>
    <col min="5122" max="5122" width="19.85546875" style="2198" customWidth="1"/>
    <col min="5123" max="5123" width="12" style="2198" bestFit="1" customWidth="1"/>
    <col min="5124" max="5376" width="9.140625" style="2198"/>
    <col min="5377" max="5377" width="29.5703125" style="2198" bestFit="1" customWidth="1"/>
    <col min="5378" max="5378" width="19.85546875" style="2198" customWidth="1"/>
    <col min="5379" max="5379" width="12" style="2198" bestFit="1" customWidth="1"/>
    <col min="5380" max="5632" width="9.140625" style="2198"/>
    <col min="5633" max="5633" width="29.5703125" style="2198" bestFit="1" customWidth="1"/>
    <col min="5634" max="5634" width="19.85546875" style="2198" customWidth="1"/>
    <col min="5635" max="5635" width="12" style="2198" bestFit="1" customWidth="1"/>
    <col min="5636" max="5888" width="9.140625" style="2198"/>
    <col min="5889" max="5889" width="29.5703125" style="2198" bestFit="1" customWidth="1"/>
    <col min="5890" max="5890" width="19.85546875" style="2198" customWidth="1"/>
    <col min="5891" max="5891" width="12" style="2198" bestFit="1" customWidth="1"/>
    <col min="5892" max="6144" width="9.140625" style="2198"/>
    <col min="6145" max="6145" width="29.5703125" style="2198" bestFit="1" customWidth="1"/>
    <col min="6146" max="6146" width="19.85546875" style="2198" customWidth="1"/>
    <col min="6147" max="6147" width="12" style="2198" bestFit="1" customWidth="1"/>
    <col min="6148" max="6400" width="9.140625" style="2198"/>
    <col min="6401" max="6401" width="29.5703125" style="2198" bestFit="1" customWidth="1"/>
    <col min="6402" max="6402" width="19.85546875" style="2198" customWidth="1"/>
    <col min="6403" max="6403" width="12" style="2198" bestFit="1" customWidth="1"/>
    <col min="6404" max="6656" width="9.140625" style="2198"/>
    <col min="6657" max="6657" width="29.5703125" style="2198" bestFit="1" customWidth="1"/>
    <col min="6658" max="6658" width="19.85546875" style="2198" customWidth="1"/>
    <col min="6659" max="6659" width="12" style="2198" bestFit="1" customWidth="1"/>
    <col min="6660" max="6912" width="9.140625" style="2198"/>
    <col min="6913" max="6913" width="29.5703125" style="2198" bestFit="1" customWidth="1"/>
    <col min="6914" max="6914" width="19.85546875" style="2198" customWidth="1"/>
    <col min="6915" max="6915" width="12" style="2198" bestFit="1" customWidth="1"/>
    <col min="6916" max="7168" width="9.140625" style="2198"/>
    <col min="7169" max="7169" width="29.5703125" style="2198" bestFit="1" customWidth="1"/>
    <col min="7170" max="7170" width="19.85546875" style="2198" customWidth="1"/>
    <col min="7171" max="7171" width="12" style="2198" bestFit="1" customWidth="1"/>
    <col min="7172" max="7424" width="9.140625" style="2198"/>
    <col min="7425" max="7425" width="29.5703125" style="2198" bestFit="1" customWidth="1"/>
    <col min="7426" max="7426" width="19.85546875" style="2198" customWidth="1"/>
    <col min="7427" max="7427" width="12" style="2198" bestFit="1" customWidth="1"/>
    <col min="7428" max="7680" width="9.140625" style="2198"/>
    <col min="7681" max="7681" width="29.5703125" style="2198" bestFit="1" customWidth="1"/>
    <col min="7682" max="7682" width="19.85546875" style="2198" customWidth="1"/>
    <col min="7683" max="7683" width="12" style="2198" bestFit="1" customWidth="1"/>
    <col min="7684" max="7936" width="9.140625" style="2198"/>
    <col min="7937" max="7937" width="29.5703125" style="2198" bestFit="1" customWidth="1"/>
    <col min="7938" max="7938" width="19.85546875" style="2198" customWidth="1"/>
    <col min="7939" max="7939" width="12" style="2198" bestFit="1" customWidth="1"/>
    <col min="7940" max="8192" width="9.140625" style="2198"/>
    <col min="8193" max="8193" width="29.5703125" style="2198" bestFit="1" customWidth="1"/>
    <col min="8194" max="8194" width="19.85546875" style="2198" customWidth="1"/>
    <col min="8195" max="8195" width="12" style="2198" bestFit="1" customWidth="1"/>
    <col min="8196" max="8448" width="9.140625" style="2198"/>
    <col min="8449" max="8449" width="29.5703125" style="2198" bestFit="1" customWidth="1"/>
    <col min="8450" max="8450" width="19.85546875" style="2198" customWidth="1"/>
    <col min="8451" max="8451" width="12" style="2198" bestFit="1" customWidth="1"/>
    <col min="8452" max="8704" width="9.140625" style="2198"/>
    <col min="8705" max="8705" width="29.5703125" style="2198" bestFit="1" customWidth="1"/>
    <col min="8706" max="8706" width="19.85546875" style="2198" customWidth="1"/>
    <col min="8707" max="8707" width="12" style="2198" bestFit="1" customWidth="1"/>
    <col min="8708" max="8960" width="9.140625" style="2198"/>
    <col min="8961" max="8961" width="29.5703125" style="2198" bestFit="1" customWidth="1"/>
    <col min="8962" max="8962" width="19.85546875" style="2198" customWidth="1"/>
    <col min="8963" max="8963" width="12" style="2198" bestFit="1" customWidth="1"/>
    <col min="8964" max="9216" width="9.140625" style="2198"/>
    <col min="9217" max="9217" width="29.5703125" style="2198" bestFit="1" customWidth="1"/>
    <col min="9218" max="9218" width="19.85546875" style="2198" customWidth="1"/>
    <col min="9219" max="9219" width="12" style="2198" bestFit="1" customWidth="1"/>
    <col min="9220" max="9472" width="9.140625" style="2198"/>
    <col min="9473" max="9473" width="29.5703125" style="2198" bestFit="1" customWidth="1"/>
    <col min="9474" max="9474" width="19.85546875" style="2198" customWidth="1"/>
    <col min="9475" max="9475" width="12" style="2198" bestFit="1" customWidth="1"/>
    <col min="9476" max="9728" width="9.140625" style="2198"/>
    <col min="9729" max="9729" width="29.5703125" style="2198" bestFit="1" customWidth="1"/>
    <col min="9730" max="9730" width="19.85546875" style="2198" customWidth="1"/>
    <col min="9731" max="9731" width="12" style="2198" bestFit="1" customWidth="1"/>
    <col min="9732" max="9984" width="9.140625" style="2198"/>
    <col min="9985" max="9985" width="29.5703125" style="2198" bestFit="1" customWidth="1"/>
    <col min="9986" max="9986" width="19.85546875" style="2198" customWidth="1"/>
    <col min="9987" max="9987" width="12" style="2198" bestFit="1" customWidth="1"/>
    <col min="9988" max="10240" width="9.140625" style="2198"/>
    <col min="10241" max="10241" width="29.5703125" style="2198" bestFit="1" customWidth="1"/>
    <col min="10242" max="10242" width="19.85546875" style="2198" customWidth="1"/>
    <col min="10243" max="10243" width="12" style="2198" bestFit="1" customWidth="1"/>
    <col min="10244" max="10496" width="9.140625" style="2198"/>
    <col min="10497" max="10497" width="29.5703125" style="2198" bestFit="1" customWidth="1"/>
    <col min="10498" max="10498" width="19.85546875" style="2198" customWidth="1"/>
    <col min="10499" max="10499" width="12" style="2198" bestFit="1" customWidth="1"/>
    <col min="10500" max="10752" width="9.140625" style="2198"/>
    <col min="10753" max="10753" width="29.5703125" style="2198" bestFit="1" customWidth="1"/>
    <col min="10754" max="10754" width="19.85546875" style="2198" customWidth="1"/>
    <col min="10755" max="10755" width="12" style="2198" bestFit="1" customWidth="1"/>
    <col min="10756" max="11008" width="9.140625" style="2198"/>
    <col min="11009" max="11009" width="29.5703125" style="2198" bestFit="1" customWidth="1"/>
    <col min="11010" max="11010" width="19.85546875" style="2198" customWidth="1"/>
    <col min="11011" max="11011" width="12" style="2198" bestFit="1" customWidth="1"/>
    <col min="11012" max="11264" width="9.140625" style="2198"/>
    <col min="11265" max="11265" width="29.5703125" style="2198" bestFit="1" customWidth="1"/>
    <col min="11266" max="11266" width="19.85546875" style="2198" customWidth="1"/>
    <col min="11267" max="11267" width="12" style="2198" bestFit="1" customWidth="1"/>
    <col min="11268" max="11520" width="9.140625" style="2198"/>
    <col min="11521" max="11521" width="29.5703125" style="2198" bestFit="1" customWidth="1"/>
    <col min="11522" max="11522" width="19.85546875" style="2198" customWidth="1"/>
    <col min="11523" max="11523" width="12" style="2198" bestFit="1" customWidth="1"/>
    <col min="11524" max="11776" width="9.140625" style="2198"/>
    <col min="11777" max="11777" width="29.5703125" style="2198" bestFit="1" customWidth="1"/>
    <col min="11778" max="11778" width="19.85546875" style="2198" customWidth="1"/>
    <col min="11779" max="11779" width="12" style="2198" bestFit="1" customWidth="1"/>
    <col min="11780" max="12032" width="9.140625" style="2198"/>
    <col min="12033" max="12033" width="29.5703125" style="2198" bestFit="1" customWidth="1"/>
    <col min="12034" max="12034" width="19.85546875" style="2198" customWidth="1"/>
    <col min="12035" max="12035" width="12" style="2198" bestFit="1" customWidth="1"/>
    <col min="12036" max="12288" width="9.140625" style="2198"/>
    <col min="12289" max="12289" width="29.5703125" style="2198" bestFit="1" customWidth="1"/>
    <col min="12290" max="12290" width="19.85546875" style="2198" customWidth="1"/>
    <col min="12291" max="12291" width="12" style="2198" bestFit="1" customWidth="1"/>
    <col min="12292" max="12544" width="9.140625" style="2198"/>
    <col min="12545" max="12545" width="29.5703125" style="2198" bestFit="1" customWidth="1"/>
    <col min="12546" max="12546" width="19.85546875" style="2198" customWidth="1"/>
    <col min="12547" max="12547" width="12" style="2198" bestFit="1" customWidth="1"/>
    <col min="12548" max="12800" width="9.140625" style="2198"/>
    <col min="12801" max="12801" width="29.5703125" style="2198" bestFit="1" customWidth="1"/>
    <col min="12802" max="12802" width="19.85546875" style="2198" customWidth="1"/>
    <col min="12803" max="12803" width="12" style="2198" bestFit="1" customWidth="1"/>
    <col min="12804" max="13056" width="9.140625" style="2198"/>
    <col min="13057" max="13057" width="29.5703125" style="2198" bestFit="1" customWidth="1"/>
    <col min="13058" max="13058" width="19.85546875" style="2198" customWidth="1"/>
    <col min="13059" max="13059" width="12" style="2198" bestFit="1" customWidth="1"/>
    <col min="13060" max="13312" width="9.140625" style="2198"/>
    <col min="13313" max="13313" width="29.5703125" style="2198" bestFit="1" customWidth="1"/>
    <col min="13314" max="13314" width="19.85546875" style="2198" customWidth="1"/>
    <col min="13315" max="13315" width="12" style="2198" bestFit="1" customWidth="1"/>
    <col min="13316" max="13568" width="9.140625" style="2198"/>
    <col min="13569" max="13569" width="29.5703125" style="2198" bestFit="1" customWidth="1"/>
    <col min="13570" max="13570" width="19.85546875" style="2198" customWidth="1"/>
    <col min="13571" max="13571" width="12" style="2198" bestFit="1" customWidth="1"/>
    <col min="13572" max="13824" width="9.140625" style="2198"/>
    <col min="13825" max="13825" width="29.5703125" style="2198" bestFit="1" customWidth="1"/>
    <col min="13826" max="13826" width="19.85546875" style="2198" customWidth="1"/>
    <col min="13827" max="13827" width="12" style="2198" bestFit="1" customWidth="1"/>
    <col min="13828" max="14080" width="9.140625" style="2198"/>
    <col min="14081" max="14081" width="29.5703125" style="2198" bestFit="1" customWidth="1"/>
    <col min="14082" max="14082" width="19.85546875" style="2198" customWidth="1"/>
    <col min="14083" max="14083" width="12" style="2198" bestFit="1" customWidth="1"/>
    <col min="14084" max="14336" width="9.140625" style="2198"/>
    <col min="14337" max="14337" width="29.5703125" style="2198" bestFit="1" customWidth="1"/>
    <col min="14338" max="14338" width="19.85546875" style="2198" customWidth="1"/>
    <col min="14339" max="14339" width="12" style="2198" bestFit="1" customWidth="1"/>
    <col min="14340" max="14592" width="9.140625" style="2198"/>
    <col min="14593" max="14593" width="29.5703125" style="2198" bestFit="1" customWidth="1"/>
    <col min="14594" max="14594" width="19.85546875" style="2198" customWidth="1"/>
    <col min="14595" max="14595" width="12" style="2198" bestFit="1" customWidth="1"/>
    <col min="14596" max="14848" width="9.140625" style="2198"/>
    <col min="14849" max="14849" width="29.5703125" style="2198" bestFit="1" customWidth="1"/>
    <col min="14850" max="14850" width="19.85546875" style="2198" customWidth="1"/>
    <col min="14851" max="14851" width="12" style="2198" bestFit="1" customWidth="1"/>
    <col min="14852" max="15104" width="9.140625" style="2198"/>
    <col min="15105" max="15105" width="29.5703125" style="2198" bestFit="1" customWidth="1"/>
    <col min="15106" max="15106" width="19.85546875" style="2198" customWidth="1"/>
    <col min="15107" max="15107" width="12" style="2198" bestFit="1" customWidth="1"/>
    <col min="15108" max="15360" width="9.140625" style="2198"/>
    <col min="15361" max="15361" width="29.5703125" style="2198" bestFit="1" customWidth="1"/>
    <col min="15362" max="15362" width="19.85546875" style="2198" customWidth="1"/>
    <col min="15363" max="15363" width="12" style="2198" bestFit="1" customWidth="1"/>
    <col min="15364" max="15616" width="9.140625" style="2198"/>
    <col min="15617" max="15617" width="29.5703125" style="2198" bestFit="1" customWidth="1"/>
    <col min="15618" max="15618" width="19.85546875" style="2198" customWidth="1"/>
    <col min="15619" max="15619" width="12" style="2198" bestFit="1" customWidth="1"/>
    <col min="15620" max="15872" width="9.140625" style="2198"/>
    <col min="15873" max="15873" width="29.5703125" style="2198" bestFit="1" customWidth="1"/>
    <col min="15874" max="15874" width="19.85546875" style="2198" customWidth="1"/>
    <col min="15875" max="15875" width="12" style="2198" bestFit="1" customWidth="1"/>
    <col min="15876" max="16128" width="9.140625" style="2198"/>
    <col min="16129" max="16129" width="29.5703125" style="2198" bestFit="1" customWidth="1"/>
    <col min="16130" max="16130" width="19.85546875" style="2198" customWidth="1"/>
    <col min="16131" max="16131" width="12" style="2198" bestFit="1" customWidth="1"/>
    <col min="16132" max="16384" width="9.140625" style="2198"/>
  </cols>
  <sheetData>
    <row r="1" spans="1:2">
      <c r="A1" s="2198" t="s">
        <v>1798</v>
      </c>
      <c r="B1" s="2330">
        <v>6.1</v>
      </c>
    </row>
    <row r="2" spans="1:2">
      <c r="A2" s="2198" t="s">
        <v>1799</v>
      </c>
      <c r="B2" s="2333">
        <v>43172.551030092596</v>
      </c>
    </row>
    <row r="3" spans="1:2">
      <c r="A3" s="2198" t="s">
        <v>1800</v>
      </c>
      <c r="B3" s="2331" t="s">
        <v>1509</v>
      </c>
    </row>
    <row r="4" spans="1:2">
      <c r="A4" s="2198" t="s">
        <v>1801</v>
      </c>
      <c r="B4" s="2331" t="s">
        <v>1802</v>
      </c>
    </row>
    <row r="5" spans="1:2">
      <c r="A5" s="2198" t="s">
        <v>1803</v>
      </c>
      <c r="B5" s="2331" t="s">
        <v>1447</v>
      </c>
    </row>
    <row r="6" spans="1:2">
      <c r="A6" s="2198" t="s">
        <v>1804</v>
      </c>
    </row>
    <row r="7" spans="1:2">
      <c r="A7" s="2198" t="s">
        <v>1805</v>
      </c>
      <c r="B7" s="2331" t="s">
        <v>421</v>
      </c>
    </row>
    <row r="8" spans="1:2">
      <c r="A8" s="2198" t="s">
        <v>1806</v>
      </c>
      <c r="B8" s="2331" t="s">
        <v>1807</v>
      </c>
    </row>
    <row r="9" spans="1:2">
      <c r="A9" s="2198" t="s">
        <v>1808</v>
      </c>
      <c r="B9" s="2331" t="s">
        <v>1845</v>
      </c>
    </row>
    <row r="10" spans="1:2">
      <c r="A10" s="2198" t="s">
        <v>1809</v>
      </c>
    </row>
    <row r="11" spans="1:2">
      <c r="A11" s="2198" t="s">
        <v>1810</v>
      </c>
    </row>
    <row r="12" spans="1:2">
      <c r="A12" s="2198" t="s">
        <v>1811</v>
      </c>
    </row>
    <row r="13" spans="1:2">
      <c r="A13" s="2198" t="s">
        <v>1812</v>
      </c>
    </row>
    <row r="14" spans="1:2">
      <c r="A14" s="2198" t="s">
        <v>1813</v>
      </c>
    </row>
    <row r="15" spans="1:2">
      <c r="A15" s="2198" t="s">
        <v>1814</v>
      </c>
    </row>
    <row r="16" spans="1:2">
      <c r="A16" s="2198" t="s">
        <v>1815</v>
      </c>
    </row>
    <row r="17" spans="1:4">
      <c r="A17" s="2198" t="s">
        <v>1816</v>
      </c>
      <c r="B17" s="2331" t="s">
        <v>1846</v>
      </c>
    </row>
    <row r="18" spans="1:4">
      <c r="A18" s="2198" t="s">
        <v>1817</v>
      </c>
      <c r="B18" s="2331" t="s">
        <v>1508</v>
      </c>
    </row>
    <row r="19" spans="1:4">
      <c r="A19" s="2198" t="s">
        <v>1818</v>
      </c>
      <c r="B19" s="2331" t="s">
        <v>420</v>
      </c>
    </row>
    <row r="20" spans="1:4">
      <c r="A20" s="2198" t="s">
        <v>1819</v>
      </c>
      <c r="B20" s="2332">
        <v>2896207</v>
      </c>
    </row>
    <row r="21" spans="1:4">
      <c r="A21" s="2198" t="s">
        <v>1820</v>
      </c>
      <c r="B21" s="2331" t="s">
        <v>420</v>
      </c>
    </row>
    <row r="22" spans="1:4">
      <c r="A22" s="2198" t="s">
        <v>1821</v>
      </c>
      <c r="B22" s="2332">
        <v>2004185</v>
      </c>
    </row>
    <row r="23" spans="1:4">
      <c r="A23" s="2198" t="s">
        <v>414</v>
      </c>
      <c r="B23" s="2330">
        <v>22.34</v>
      </c>
    </row>
    <row r="24" spans="1:4">
      <c r="A24" s="2198" t="s">
        <v>413</v>
      </c>
      <c r="B24" s="2331" t="s">
        <v>419</v>
      </c>
      <c r="D24" s="2198" t="s">
        <v>696</v>
      </c>
    </row>
    <row r="25" spans="1:4">
      <c r="A25" s="2198" t="s">
        <v>1822</v>
      </c>
      <c r="B25" s="2331" t="s">
        <v>1849</v>
      </c>
    </row>
    <row r="26" spans="1:4">
      <c r="A26" s="2198" t="s">
        <v>1823</v>
      </c>
      <c r="B26" s="2331">
        <v>0</v>
      </c>
    </row>
    <row r="27" spans="1:4">
      <c r="A27" s="2198" t="s">
        <v>1824</v>
      </c>
      <c r="B27" s="2331" t="s">
        <v>1825</v>
      </c>
    </row>
    <row r="28" spans="1:4">
      <c r="A28" s="2198" t="s">
        <v>1826</v>
      </c>
      <c r="B28" s="2331" t="s">
        <v>1827</v>
      </c>
    </row>
    <row r="29" spans="1:4">
      <c r="A29" s="2198" t="s">
        <v>1828</v>
      </c>
    </row>
    <row r="30" spans="1:4">
      <c r="A30" s="2198" t="s">
        <v>1829</v>
      </c>
    </row>
    <row r="31" spans="1:4">
      <c r="A31" s="2198" t="s">
        <v>1830</v>
      </c>
    </row>
    <row r="32" spans="1:4">
      <c r="A32" s="2198" t="s">
        <v>1831</v>
      </c>
      <c r="B32" s="2330"/>
    </row>
    <row r="33" spans="1:2">
      <c r="A33" s="2198" t="s">
        <v>1832</v>
      </c>
      <c r="B33" s="2330"/>
    </row>
    <row r="34" spans="1:2">
      <c r="A34" s="2198" t="s">
        <v>1833</v>
      </c>
      <c r="B34" s="2330"/>
    </row>
    <row r="35" spans="1:2">
      <c r="A35" s="2198" t="s">
        <v>1834</v>
      </c>
      <c r="B35" s="2331">
        <v>1000000</v>
      </c>
    </row>
    <row r="36" spans="1:2">
      <c r="A36" s="2198" t="s">
        <v>1835</v>
      </c>
      <c r="B36" s="2331" t="s">
        <v>1847</v>
      </c>
    </row>
    <row r="37" spans="1:2">
      <c r="A37" s="2198" t="s">
        <v>1836</v>
      </c>
      <c r="B37" s="2331" t="s">
        <v>1837</v>
      </c>
    </row>
    <row r="38" spans="1:2">
      <c r="A38" s="2198" t="s">
        <v>1838</v>
      </c>
      <c r="B38" s="2331" t="s">
        <v>1839</v>
      </c>
    </row>
    <row r="39" spans="1:2">
      <c r="A39" s="2198" t="s">
        <v>1840</v>
      </c>
      <c r="B39" s="2331" t="s">
        <v>1848</v>
      </c>
    </row>
    <row r="40" spans="1:2">
      <c r="A40" s="2198" t="s">
        <v>1841</v>
      </c>
      <c r="B40" s="2331">
        <v>5208</v>
      </c>
    </row>
    <row r="41" spans="1:2">
      <c r="A41" s="2198" t="s">
        <v>1842</v>
      </c>
      <c r="B41" s="2331">
        <v>1</v>
      </c>
    </row>
    <row r="42" spans="1:2">
      <c r="A42" s="2199" t="s">
        <v>1843</v>
      </c>
    </row>
    <row r="43" spans="1:2">
      <c r="A43" s="2198" t="s">
        <v>1844</v>
      </c>
    </row>
  </sheetData>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cols>
    <col min="1" max="1" width="28.5703125" style="2198" bestFit="1" customWidth="1"/>
    <col min="2" max="256" width="9.140625" style="2198"/>
    <col min="257" max="257" width="28.5703125" style="2198" bestFit="1" customWidth="1"/>
    <col min="258" max="512" width="9.140625" style="2198"/>
    <col min="513" max="513" width="28.5703125" style="2198" bestFit="1" customWidth="1"/>
    <col min="514" max="768" width="9.140625" style="2198"/>
    <col min="769" max="769" width="28.5703125" style="2198" bestFit="1" customWidth="1"/>
    <col min="770" max="1024" width="9.140625" style="2198"/>
    <col min="1025" max="1025" width="28.5703125" style="2198" bestFit="1" customWidth="1"/>
    <col min="1026" max="1280" width="9.140625" style="2198"/>
    <col min="1281" max="1281" width="28.5703125" style="2198" bestFit="1" customWidth="1"/>
    <col min="1282" max="1536" width="9.140625" style="2198"/>
    <col min="1537" max="1537" width="28.5703125" style="2198" bestFit="1" customWidth="1"/>
    <col min="1538" max="1792" width="9.140625" style="2198"/>
    <col min="1793" max="1793" width="28.5703125" style="2198" bestFit="1" customWidth="1"/>
    <col min="1794" max="2048" width="9.140625" style="2198"/>
    <col min="2049" max="2049" width="28.5703125" style="2198" bestFit="1" customWidth="1"/>
    <col min="2050" max="2304" width="9.140625" style="2198"/>
    <col min="2305" max="2305" width="28.5703125" style="2198" bestFit="1" customWidth="1"/>
    <col min="2306" max="2560" width="9.140625" style="2198"/>
    <col min="2561" max="2561" width="28.5703125" style="2198" bestFit="1" customWidth="1"/>
    <col min="2562" max="2816" width="9.140625" style="2198"/>
    <col min="2817" max="2817" width="28.5703125" style="2198" bestFit="1" customWidth="1"/>
    <col min="2818" max="3072" width="9.140625" style="2198"/>
    <col min="3073" max="3073" width="28.5703125" style="2198" bestFit="1" customWidth="1"/>
    <col min="3074" max="3328" width="9.140625" style="2198"/>
    <col min="3329" max="3329" width="28.5703125" style="2198" bestFit="1" customWidth="1"/>
    <col min="3330" max="3584" width="9.140625" style="2198"/>
    <col min="3585" max="3585" width="28.5703125" style="2198" bestFit="1" customWidth="1"/>
    <col min="3586" max="3840" width="9.140625" style="2198"/>
    <col min="3841" max="3841" width="28.5703125" style="2198" bestFit="1" customWidth="1"/>
    <col min="3842" max="4096" width="9.140625" style="2198"/>
    <col min="4097" max="4097" width="28.5703125" style="2198" bestFit="1" customWidth="1"/>
    <col min="4098" max="4352" width="9.140625" style="2198"/>
    <col min="4353" max="4353" width="28.5703125" style="2198" bestFit="1" customWidth="1"/>
    <col min="4354" max="4608" width="9.140625" style="2198"/>
    <col min="4609" max="4609" width="28.5703125" style="2198" bestFit="1" customWidth="1"/>
    <col min="4610" max="4864" width="9.140625" style="2198"/>
    <col min="4865" max="4865" width="28.5703125" style="2198" bestFit="1" customWidth="1"/>
    <col min="4866" max="5120" width="9.140625" style="2198"/>
    <col min="5121" max="5121" width="28.5703125" style="2198" bestFit="1" customWidth="1"/>
    <col min="5122" max="5376" width="9.140625" style="2198"/>
    <col min="5377" max="5377" width="28.5703125" style="2198" bestFit="1" customWidth="1"/>
    <col min="5378" max="5632" width="9.140625" style="2198"/>
    <col min="5633" max="5633" width="28.5703125" style="2198" bestFit="1" customWidth="1"/>
    <col min="5634" max="5888" width="9.140625" style="2198"/>
    <col min="5889" max="5889" width="28.5703125" style="2198" bestFit="1" customWidth="1"/>
    <col min="5890" max="6144" width="9.140625" style="2198"/>
    <col min="6145" max="6145" width="28.5703125" style="2198" bestFit="1" customWidth="1"/>
    <col min="6146" max="6400" width="9.140625" style="2198"/>
    <col min="6401" max="6401" width="28.5703125" style="2198" bestFit="1" customWidth="1"/>
    <col min="6402" max="6656" width="9.140625" style="2198"/>
    <col min="6657" max="6657" width="28.5703125" style="2198" bestFit="1" customWidth="1"/>
    <col min="6658" max="6912" width="9.140625" style="2198"/>
    <col min="6913" max="6913" width="28.5703125" style="2198" bestFit="1" customWidth="1"/>
    <col min="6914" max="7168" width="9.140625" style="2198"/>
    <col min="7169" max="7169" width="28.5703125" style="2198" bestFit="1" customWidth="1"/>
    <col min="7170" max="7424" width="9.140625" style="2198"/>
    <col min="7425" max="7425" width="28.5703125" style="2198" bestFit="1" customWidth="1"/>
    <col min="7426" max="7680" width="9.140625" style="2198"/>
    <col min="7681" max="7681" width="28.5703125" style="2198" bestFit="1" customWidth="1"/>
    <col min="7682" max="7936" width="9.140625" style="2198"/>
    <col min="7937" max="7937" width="28.5703125" style="2198" bestFit="1" customWidth="1"/>
    <col min="7938" max="8192" width="9.140625" style="2198"/>
    <col min="8193" max="8193" width="28.5703125" style="2198" bestFit="1" customWidth="1"/>
    <col min="8194" max="8448" width="9.140625" style="2198"/>
    <col min="8449" max="8449" width="28.5703125" style="2198" bestFit="1" customWidth="1"/>
    <col min="8450" max="8704" width="9.140625" style="2198"/>
    <col min="8705" max="8705" width="28.5703125" style="2198" bestFit="1" customWidth="1"/>
    <col min="8706" max="8960" width="9.140625" style="2198"/>
    <col min="8961" max="8961" width="28.5703125" style="2198" bestFit="1" customWidth="1"/>
    <col min="8962" max="9216" width="9.140625" style="2198"/>
    <col min="9217" max="9217" width="28.5703125" style="2198" bestFit="1" customWidth="1"/>
    <col min="9218" max="9472" width="9.140625" style="2198"/>
    <col min="9473" max="9473" width="28.5703125" style="2198" bestFit="1" customWidth="1"/>
    <col min="9474" max="9728" width="9.140625" style="2198"/>
    <col min="9729" max="9729" width="28.5703125" style="2198" bestFit="1" customWidth="1"/>
    <col min="9730" max="9984" width="9.140625" style="2198"/>
    <col min="9985" max="9985" width="28.5703125" style="2198" bestFit="1" customWidth="1"/>
    <col min="9986" max="10240" width="9.140625" style="2198"/>
    <col min="10241" max="10241" width="28.5703125" style="2198" bestFit="1" customWidth="1"/>
    <col min="10242" max="10496" width="9.140625" style="2198"/>
    <col min="10497" max="10497" width="28.5703125" style="2198" bestFit="1" customWidth="1"/>
    <col min="10498" max="10752" width="9.140625" style="2198"/>
    <col min="10753" max="10753" width="28.5703125" style="2198" bestFit="1" customWidth="1"/>
    <col min="10754" max="11008" width="9.140625" style="2198"/>
    <col min="11009" max="11009" width="28.5703125" style="2198" bestFit="1" customWidth="1"/>
    <col min="11010" max="11264" width="9.140625" style="2198"/>
    <col min="11265" max="11265" width="28.5703125" style="2198" bestFit="1" customWidth="1"/>
    <col min="11266" max="11520" width="9.140625" style="2198"/>
    <col min="11521" max="11521" width="28.5703125" style="2198" bestFit="1" customWidth="1"/>
    <col min="11522" max="11776" width="9.140625" style="2198"/>
    <col min="11777" max="11777" width="28.5703125" style="2198" bestFit="1" customWidth="1"/>
    <col min="11778" max="12032" width="9.140625" style="2198"/>
    <col min="12033" max="12033" width="28.5703125" style="2198" bestFit="1" customWidth="1"/>
    <col min="12034" max="12288" width="9.140625" style="2198"/>
    <col min="12289" max="12289" width="28.5703125" style="2198" bestFit="1" customWidth="1"/>
    <col min="12290" max="12544" width="9.140625" style="2198"/>
    <col min="12545" max="12545" width="28.5703125" style="2198" bestFit="1" customWidth="1"/>
    <col min="12546" max="12800" width="9.140625" style="2198"/>
    <col min="12801" max="12801" width="28.5703125" style="2198" bestFit="1" customWidth="1"/>
    <col min="12802" max="13056" width="9.140625" style="2198"/>
    <col min="13057" max="13057" width="28.5703125" style="2198" bestFit="1" customWidth="1"/>
    <col min="13058" max="13312" width="9.140625" style="2198"/>
    <col min="13313" max="13313" width="28.5703125" style="2198" bestFit="1" customWidth="1"/>
    <col min="13314" max="13568" width="9.140625" style="2198"/>
    <col min="13569" max="13569" width="28.5703125" style="2198" bestFit="1" customWidth="1"/>
    <col min="13570" max="13824" width="9.140625" style="2198"/>
    <col min="13825" max="13825" width="28.5703125" style="2198" bestFit="1" customWidth="1"/>
    <col min="13826" max="14080" width="9.140625" style="2198"/>
    <col min="14081" max="14081" width="28.5703125" style="2198" bestFit="1" customWidth="1"/>
    <col min="14082" max="14336" width="9.140625" style="2198"/>
    <col min="14337" max="14337" width="28.5703125" style="2198" bestFit="1" customWidth="1"/>
    <col min="14338" max="14592" width="9.140625" style="2198"/>
    <col min="14593" max="14593" width="28.5703125" style="2198" bestFit="1" customWidth="1"/>
    <col min="14594" max="14848" width="9.140625" style="2198"/>
    <col min="14849" max="14849" width="28.5703125" style="2198" bestFit="1" customWidth="1"/>
    <col min="14850" max="15104" width="9.140625" style="2198"/>
    <col min="15105" max="15105" width="28.5703125" style="2198" bestFit="1" customWidth="1"/>
    <col min="15106" max="15360" width="9.140625" style="2198"/>
    <col min="15361" max="15361" width="28.5703125" style="2198" bestFit="1" customWidth="1"/>
    <col min="15362" max="15616" width="9.140625" style="2198"/>
    <col min="15617" max="15617" width="28.5703125" style="2198" bestFit="1" customWidth="1"/>
    <col min="15618" max="15872" width="9.140625" style="2198"/>
    <col min="15873" max="15873" width="28.5703125" style="2198" bestFit="1" customWidth="1"/>
    <col min="15874" max="16128" width="9.140625" style="2198"/>
    <col min="16129" max="16129" width="28.5703125" style="2198" bestFit="1" customWidth="1"/>
    <col min="16130" max="16384" width="9.140625" style="2198"/>
  </cols>
  <sheetData>
    <row r="1" spans="1:1">
      <c r="A1" s="2334" t="s">
        <v>1850</v>
      </c>
    </row>
    <row r="2" spans="1:1">
      <c r="A2" s="2334" t="s">
        <v>1855</v>
      </c>
    </row>
    <row r="3" spans="1:1">
      <c r="A3" s="2334" t="s">
        <v>1856</v>
      </c>
    </row>
    <row r="4" spans="1:1">
      <c r="A4" s="2334" t="s">
        <v>1857</v>
      </c>
    </row>
    <row r="5" spans="1:1">
      <c r="A5" s="2334" t="s">
        <v>1858</v>
      </c>
    </row>
    <row r="6" spans="1:1">
      <c r="A6" s="2334" t="s">
        <v>1851</v>
      </c>
    </row>
    <row r="7" spans="1:1">
      <c r="A7" s="2334" t="s">
        <v>1859</v>
      </c>
    </row>
    <row r="8" spans="1:1">
      <c r="A8" s="2334" t="s">
        <v>1860</v>
      </c>
    </row>
    <row r="9" spans="1:1">
      <c r="A9" s="2334" t="s">
        <v>1861</v>
      </c>
    </row>
    <row r="10" spans="1:1">
      <c r="A10" s="2334" t="s">
        <v>1852</v>
      </c>
    </row>
    <row r="11" spans="1:1">
      <c r="A11" s="2334" t="s">
        <v>1862</v>
      </c>
    </row>
    <row r="12" spans="1:1">
      <c r="A12" s="2334" t="s">
        <v>1853</v>
      </c>
    </row>
    <row r="13" spans="1:1">
      <c r="A13" s="2334" t="s">
        <v>1854</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d07537a6-1813-4792-b57b-9d96942d995e</GUID>
    <SOURCE_ALTADDRESS>$O$121:$W$124</SOURCE_ALTADDRESS>
    <SOURCETYPE>Table</SOURCETYPE>
    <SOURCE_OBJECTNAME>Linking_Range_22</SOURCE_OBJECTNAME>
    <OBJECTTYPE>Native</OBJECTTYPE>
    <SOURCE_SHEETCODE>Sheet45</SOURCE_SHEETCODE>
    <SOURCE_SHEETNAME>FX</SOURCE_SHEETNAME>
    <SOURCEAPPLICATION>EXCEL_SOURCE</SOURCEAPPLICATION>
    <UPDATEDAT>2/25/2015 12:44:46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/MSResearch/Content/ExternalAssets/2015-02/Images/i_Vvx-OSfCgl2hUYi5dg--.png</TARGET_BINARYFULLNAME>
    <TARGET_STORYFULLNAME>/MSResearch/Content/ExternalAssets/2015-02/Sections/20150225_122746_Linking_Range_22.xml</TARGET_STORYFULLNAME>
    <TARGET_UUID>9cf11352-bd13-11e4-a5e9-e3b3f180109b</TARGET_UUID>
    <TRANSPARENTBACKGROUND>False</TRANSPARENTBACKGROUND>
    <TRANSPARENTPLOTAREA>False</TRANSPARENTPLOTAREA>
    <LINKSTATUS>Unknown</LINKSTATUS>
  </Link>
  <Link>
    <GUID>80b98c95-7bed-41bb-9b1c-3741023c284b</GUID>
    <SOURCE_ALTADDRESS>$A$36:$D$60</SOURCE_ALTADDRESS>
    <SOURCETYPE>Table</SOURCETYPE>
    <SOURCE_OBJECTNAME>Linking_Range_23</SOURCE_OBJECTNAME>
    <OBJECTTYPE>Native</OBJECTTYPE>
    <SOURCE_SHEETCODE>Sheet45</SOURCE_SHEETCODE>
    <SOURCE_SHEETNAME>FX</SOURCE_SHEETNAME>
    <SOURCEAPPLICATION>EXCEL_SOURCE</SOURCEAPPLICATION>
    <UPDATEDAT>2/25/2015 12:44:46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/MSResearch/Content/ExternalAssets/2015-02/Images/qNdyyfL_EG2Vcv3N_VmkA--.png</TARGET_BINARYFULLNAME>
    <TARGET_STORYFULLNAME>/MSResearch/Content/ExternalAssets/2015-02/Sections/20150225_123917_Linking_Range_23.xml</TARGET_STORYFULLNAME>
    <TARGET_UUID>38c632f2-bd15-11e4-a5e9-e3b3f180109b</TARGET_UUID>
    <LINKSTATUS>Unknown</LINKSTATUS>
  </Link>
  <Link>
    <GUID>e125b29a-f5ba-4dc9-9ddf-3739e06b9edf</GUID>
    <SOURCE_ALTADDRESS>$A$35:$F$64</SOURCE_ALTADDRESS>
    <SOURCETYPE>Table</SOURCETYPE>
    <SOURCE_OBJECTNAME>Linking_Range_24</SOURCE_OBJECTNAME>
    <OBJECTTYPE>Native</OBJECTTYPE>
    <SOURCE_SHEETCODE>Sheet45</SOURCE_SHEETCODE>
    <SOURCE_SHEETNAME>FX</SOURCE_SHEETNAME>
    <SOURCEAPPLICATION>EXCEL_SOURCE</SOURCEAPPLICATION>
    <UPDATEDAT>2/25/2015 12:46:39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/MSResearch/Content/ExternalAssets/2015-02/Images/FE1LvF4PeuZMg2fwMtGbw--.png</TARGET_BINARYFULLNAME>
    <TARGET_STORYFULLNAME>/MSResearch/Content/ExternalAssets/2015-02/Sections/20150225_124636_Linking_Range_24.xml</TARGET_STORYFULLNAME>
    <TARGET_UUID>3e721058-bd16-11e4-a5e9-e3b3f180109b</TARGET_UUID>
  </Link>
  <Link>
    <GUID>4c478362-ad2f-496a-9b5a-aa5e05dd3880</GUID>
    <SOURCETYPE>Chart</SOURCETYPE>
    <SOURCE_OBJECTNAME>MWA_Risk_Reward</SOURCE_OBJECTNAME>
    <SOURCE_SHEETCODE>MWRSSData</SOURCE_SHEETCODE>
    <SOURCE_SHEETNAME>MWA RR</SOURCE_SHEETNAME>
    <OBJECTTYPE>Native</OBJECTTYPE>
    <SOURCEAPPLICATION>EXCEL_SOURCE</SOURCEAPPLICATION>
    <UPDATEDAT>5/28/2015 4:51:17 PM</UPDATEDAT>
    <SOURCE_ISOUTOFDATE>False</SOURCE_ISOUTOFDATE>
    <SOURCE_WORKBOOKNAME>ANF.xls</SOURCE_WORKBOOKNAME>
    <SOURCE_WORKBOOKPATH>\\MSAD\ROOT\NA\NY\LIB\ER\RETAIL\Greenberger\Companies\ANF\Models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/MSResearch/Content/ExternalAssets/2014-08/Images/n-cdtxkIn6AkESCvfGw9w--.png</TARGET_BINARYFULLNAME>
    <TARGET_STORYFULLNAME>/MSResearch/Content/ExternalAssets/2014-08/Sections/MWA_Risk_Reward-513.xml</TARGET_STORYFULLNAME>
    <TARGET_UUID>8f4c8804-2ef6-11e4-8fd1-f8d3a0aeecbc</TARGET_UUID>
    <HIDEGRIDLINES>False</HIDEGRIDLINES>
    <LINKSTATUS>Unknown</LINKSTATUS>
  </Link>
  <Link>
    <GUID>ce56c49e-0342-4a2c-a816-84b4f360c377</GUID>
    <SOURCE_ALTADDRESS>$A$5:$DB$61</SOURCE_ALTADDRESS>
    <SOURCETYPE>Table</SOURCETYPE>
    <SOURCE_OBJECTNAME>Linking_Range_19</SOURCE_OBJECTNAME>
    <OBJECTTYPE>Native</OBJECTTYPE>
    <SOURCE_SHEETCODE>Sheet2</SOURCE_SHEETCODE>
    <SOURCE_SHEETNAME>sumry</SOURCE_SHEETNAME>
    <SOURCEAPPLICATION>EXCEL_SOURCE</SOURCEAPPLICATION>
    <UPDATEDAT>5/28/2015 4:58:10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/MSResearch/Content/ExternalAssets/2015-02/Images/psVV5LrzPE_TbXCz1Ma6Uw--.png</TARGET_BINARYFULLNAME>
    <TARGET_STORYFULLNAME>/MSResearch/Content/ExternalAssets/2015-02/Sections/20150225_113028_Linking_Range_19.xml</TARGET_STORYFULLNAME>
    <TARGET_UUID>9bdedac4-bd0b-11e4-a5e9-e3b3f180109b</TARGET_UUID>
    <TRANSPARENTBACKGROUND>False</TRANSPARENTBACKGROUND>
    <TRANSPARENTPLOTAREA>False</TRANSPARENTPLOTAREA>
    <LINKSTATUS>Unknown</LINKSTATUS>
  </Link>
  <Link>
    <GUID>b71ce61d-d888-4edd-a466-9a97ec2e292e</GUID>
    <SOURCE_ALTADDRESS>$A$5:$CU$61</SOURCE_ALTADDRESS>
    <SOURCETYPE>Table</SOURCETYPE>
    <SOURCE_OBJECTNAME>Linking_Range_15</SOURCE_OBJECTNAME>
    <OBJECTTYPE>Native</OBJECTTYPE>
    <SOURCE_SHEETCODE>Sheet2</SOURCE_SHEETCODE>
    <SOURCE_SHEETNAME>sumry</SOURCE_SHEETNAME>
    <SOURCEAPPLICATION>EXCEL_SOURCE</SOURCEAPPLICATION>
    <UPDATEDAT>5/28/2015 4:58:13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/MSResearch/Content/ExternalAssets/2014-12/Images/bT6FTfpEeEGil7EW1eDHwQ--.png</TARGET_BINARYFULLNAME>
    <TARGET_STORYFULLNAME>/MSResearch/Content/ExternalAssets/2014-12/Sections/20141202_095644_Linking_Range_15.xml</TARGET_STORYFULLNAME>
    <TARGET_UUID>6ed8eda0-7a33-11e4-a118-f2cb50997d55</TARGET_UUID>
    <TRANSPARENTBACKGROUND>False</TRANSPARENTBACKGROUND>
    <TRANSPARENTPLOTAREA>False</TRANSPARENTPLOTAREA>
    <LINKSTATUS>Unknown</LINKSTATUS>
  </Link>
  <Link>
    <GUID>7b88832d-0ea0-44d4-98b3-9960a8e7d741</GUID>
    <SOURCE_ALTADDRESS>$A$5:$AY$57</SOURCE_ALTADDRESS>
    <SOURCETYPE>Table</SOURCETYPE>
    <SOURCE_OBJECTNAME>Linking_Range_18</SOURCE_OBJECTNAME>
    <OBJECTTYPE>Native</OBJECTTYPE>
    <SOURCE_SHEETCODE>Sheet12</SOURCE_SHEETCODE>
    <SOURCE_SHEETNAME>bal</SOURCE_SHEETNAME>
    <SOURCEAPPLICATION>EXCEL_SOURCE</SOURCEAPPLICATION>
    <UPDATEDAT>5/28/2015 5:00:38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/MSResearch/Content/ExternalAssets/2014-12/Images/tw3wxlMIE6cGCE8Bey-kg--.png</TARGET_BINARYFULLNAME>
    <TARGET_STORYFULLNAME>/MSResearch/Content/ExternalAssets/2014-12/Sections/20141203_035251_Linking_Range_18.xml</TARGET_STORYFULLNAME>
    <TARGET_UUID>586cec8c-7b2e-11e4-a118-f2cb50997d55</TARGET_UUID>
    <LINKSTATUS>Unknown</LINKSTATUS>
  </Link>
  <Link>
    <GUID>f6857325-f71e-4c69-a0da-3a39ed4e75e7</GUID>
    <SOURCE_ALTADDRESS>$A$6:$BC$57</SOURCE_ALTADDRESS>
    <SOURCETYPE>Table</SOURCETYPE>
    <SOURCE_OBJECTNAME>Linking_Range_20</SOURCE_OBJECTNAME>
    <OBJECTTYPE>Native</OBJECTTYPE>
    <SOURCE_SHEETCODE>Sheet12</SOURCE_SHEETCODE>
    <SOURCE_SHEETNAME>bal</SOURCE_SHEETNAME>
    <SOURCEAPPLICATION>EXCEL_SOURCE</SOURCEAPPLICATION>
    <UPDATEDAT>5/28/2015 5:00:40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/MSResearch/Content/ExternalAssets/2015-02/Images/CkRwj-s-OUu7lILbLkjhpg--.png</TARGET_BINARYFULLNAME>
    <TARGET_STORYFULLNAME>/MSResearch/Content/ExternalAssets/2015-02/Sections/20150225_113054_Linking_Range_2.xml</TARGET_STORYFULLNAME>
    <TARGET_UUID>ab8f076e-bd0b-11e4-a5e9-e3b3f180109b</TARGET_UUID>
    <LINKSTATUS>Unknown</LINKSTATUS>
  </Link>
  <Link>
    <GUID>6f2489bc-781b-4511-85e4-f67a34d842d1</GUID>
    <SOURCE_ALTADDRESS>$A$5:$BC$57</SOURCE_ALTADDRESS>
    <SOURCETYPE>Table</SOURCETYPE>
    <SOURCE_OBJECTNAME>Linking_Range_25</SOURCE_OBJECTNAME>
    <OBJECTTYPE>Native</OBJECTTYPE>
    <SOURCE_SHEETCODE>Sheet12</SOURCE_SHEETCODE>
    <SOURCE_SHEETNAME>bal</SOURCE_SHEETNAME>
    <SOURCEAPPLICATION>EXCEL_SOURCE</SOURCEAPPLICATION>
    <UPDATEDAT>5/28/2015 5:00:43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/MSResearch/Content/ExternalAssets/2015-03/Images/NsrW4Kq_WUyD4_AL435CNg--.png</TARGET_BINARYFULLNAME>
    <TARGET_STORYFULLNAME>/MSResearch/Content/ExternalAssets/2015-03/Sections/20150304_055701_Linking_Range_25.xml</TARGET_STORYFULLNAME>
    <TARGET_UUID>c50373f4-c2c1-11e4-88af-319e7ae7f514</TARGET_UUID>
    <LINKSTATUS>Unknown</LINKSTATUS>
  </Link>
  <Link>
    <GUID>d20f3005-dc7b-4e1f-8335-70538f5d5c16</GUID>
    <SOURCE_ALTADDRESS>$A$6:$BA$57</SOURCE_ALTADDRESS>
    <SOURCETYPE>Table</SOURCETYPE>
    <SOURCE_OBJECTNAME>Linking_Range_16</SOURCE_OBJECTNAME>
    <OBJECTTYPE>Native</OBJECTTYPE>
    <SOURCE_SHEETCODE>Sheet12</SOURCE_SHEETCODE>
    <SOURCE_SHEETNAME>bal</SOURCE_SHEETNAME>
    <SOURCEAPPLICATION>EXCEL_SOURCE</SOURCEAPPLICATION>
    <UPDATEDAT>5/28/2015 5:00:45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/MSResearch/Content/ExternalAssets/2014-12/Images/pW_CxagNUyY3eMVn-JR7Q--.png</TARGET_BINARYFULLNAME>
    <TARGET_STORYFULLNAME>/MSResearch/Content/ExternalAssets/2014-12/Sections/20141202_095731_Linking_Range_16.xml</TARGET_STORYFULLNAME>
    <TARGET_UUID>8a804f62-7a33-11e4-a118-f2cb50997d55</TARGET_UUID>
    <LINKSTATUS>Unknown</LINKSTATUS>
  </Link>
  <Link>
    <GUID>ade1c068-2e2f-438a-b96b-ce91951f9b5f</GUID>
    <SOURCE_ALTADDRESS>$A$8:$AX$57</SOURCE_ALTADDRESS>
    <SOURCETYPE>Table</SOURCETYPE>
    <SOURCE_OBJECTNAME>Linking_Range_17</SOURCE_OBJECTNAME>
    <OBJECTTYPE>Native</OBJECTTYPE>
    <SOURCE_SHEETCODE>Sheet13</SOURCE_SHEETCODE>
    <SOURCE_SHEETNAME>flow</SOURCE_SHEETNAME>
    <SOURCEAPPLICATION>EXCEL_SOURCE</SOURCEAPPLICATION>
    <UPDATEDAT>5/28/2015 5:03:23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/MSResearch/Content/ExternalAssets/2014-12/Images/gwbeWUYq9ka3BCcGoQC29Q--.png</TARGET_BINARYFULLNAME>
    <TARGET_STORYFULLNAME>/MSResearch/Content/ExternalAssets/2014-12/Sections/20141202_095803_Linking_Range_17.xml</TARGET_STORYFULLNAME>
    <TARGET_UUID>9da8cd94-7a33-11e4-a118-f2cb50997d55</TARGET_UUID>
    <TRANSPARENTBACKGROUND>False</TRANSPARENTBACKGROUND>
    <TRANSPARENTPLOTAREA>False</TRANSPARENTPLOTAREA>
    <LINKSTATUS>Unknown</LINKSTATUS>
  </Link>
  <Link>
    <GUID>7317d324-ba5c-438e-a4ed-07da097bf319</GUID>
    <SOURCE_ALTADDRESS>$A$8:$AZ$57</SOURCE_ALTADDRESS>
    <SOURCETYPE>Table</SOURCETYPE>
    <SOURCE_OBJECTNAME>Linking_Range_21</SOURCE_OBJECTNAME>
    <OBJECTTYPE>Native</OBJECTTYPE>
    <SOURCE_SHEETCODE>Sheet13</SOURCE_SHEETCODE>
    <SOURCE_SHEETNAME>flow</SOURCE_SHEETNAME>
    <SOURCEAPPLICATION>EXCEL_SOURCE</SOURCEAPPLICATION>
    <UPDATEDAT>5/28/2015 5:03:26 PM</UPDATEDAT>
    <SOURCE_ISOUTOFDATE>False</SOURCE_ISOUTOFDATE>
    <SOURCE_WORKBOOKNAME>ANF.xls</SOURCE_WORKBOOKNAME>
    <SOURCE_WORKBOOKPATH>\\MSAD\ROOT\NA\NY\LIB\ER\RETAIL\Greenberger\Companies\ANF\Models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/MSResearch/Content/ExternalAssets/2015-02/Images/X3cu2iDZEUO_St2vNvUjWA--.png</TARGET_BINARYFULLNAME>
    <TARGET_STORYFULLNAME>/MSResearch/Content/ExternalAssets/2015-02/Sections/20150225_113118_Linking_Range_21.xml</TARGET_STORYFULLNAME>
    <TARGET_UUID>b997e2e0-bd0b-11e4-a5e9-e3b3f180109b</TARGET_UUID>
    <TRANSPARENTBACKGROUND>False</TRANSPARENTBACKGROUND>
    <TRANSPARENTPLOTAREA>False</TRANSPARENTPLOTAREA>
    <LINKSTATUS>Unknown</LINKSTATUS>
  </Link>
</lk:Links>
</file>

<file path=customXml/item2.xml><?xml version="1.0" encoding="utf-8"?>
<lkmtd:Metadata xmlns:lkmtd="thomsonreuters.linking.metadatachange">
  <MetadataChanged>1</MetadataChanged>
</lkmtd:Metadata>
</file>

<file path=customXml/itemProps1.xml><?xml version="1.0" encoding="utf-8"?>
<ds:datastoreItem xmlns:ds="http://schemas.openxmlformats.org/officeDocument/2006/customXml" ds:itemID="{57F6FEF4-4896-4FBD-9EF1-972CB257D057}">
  <ds:schemaRefs>
    <ds:schemaRef ds:uri="thomsonreuters.linking.metadata"/>
  </ds:schemaRefs>
</ds:datastoreItem>
</file>

<file path=customXml/itemProps2.xml><?xml version="1.0" encoding="utf-8"?>
<ds:datastoreItem xmlns:ds="http://schemas.openxmlformats.org/officeDocument/2006/customXml" ds:itemID="{6062EED0-991E-4FE6-BC89-72E118C83870}">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116</vt:i4>
      </vt:variant>
    </vt:vector>
  </HeadingPairs>
  <TitlesOfParts>
    <vt:vector size="139" baseType="lpstr">
      <vt:lpstr>ImportantDisclosures</vt:lpstr>
      <vt:lpstr>earnings</vt:lpstr>
      <vt:lpstr>BullBaseBear</vt:lpstr>
      <vt:lpstr>sumry</vt:lpstr>
      <vt:lpstr>SegqtrSales</vt:lpstr>
      <vt:lpstr>intlsales&amp;OM</vt:lpstr>
      <vt:lpstr>qtrSales</vt:lpstr>
      <vt:lpstr>qtrP&amp;L</vt:lpstr>
      <vt:lpstr>yrP&amp;L</vt:lpstr>
      <vt:lpstr>yrSales</vt:lpstr>
      <vt:lpstr>S&amp;D Costs</vt:lpstr>
      <vt:lpstr>squft</vt:lpstr>
      <vt:lpstr>bal</vt:lpstr>
      <vt:lpstr>flow</vt:lpstr>
      <vt:lpstr>dtc</vt:lpstr>
      <vt:lpstr>work</vt:lpstr>
      <vt:lpstr>turn</vt:lpstr>
      <vt:lpstr>Inv to Sales</vt:lpstr>
      <vt:lpstr>MWA Lease</vt:lpstr>
      <vt:lpstr>Valuation</vt:lpstr>
      <vt:lpstr>DCF</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'MWA Lease'!FSTicker</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Linking_2</vt:lpstr>
      <vt:lpstr>Linking_3</vt:lpstr>
      <vt:lpstr>Linking_4</vt:lpstr>
      <vt:lpstr>Linking_5</vt:lpstr>
      <vt:lpstr>Linking_6</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Linking_Range_25</vt:lpstr>
      <vt:lpstr>Linking_Range_3</vt:lpstr>
      <vt:lpstr>Linking_Range_4</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earnings!Print_Area</vt:lpstr>
      <vt:lpstr>flow!Print_Area</vt:lpstr>
      <vt:lpstr>'intlsales&amp;OM'!Print_Area</vt:lpstr>
      <vt:lpstr>'qtrP&amp;L'!Print_Area</vt:lpstr>
      <vt:lpstr>qtrSales!Print_Area</vt:lpstr>
      <vt:lpstr>'S&amp;D Costs'!Print_Area</vt:lpstr>
      <vt:lpstr>SegqtrSales!Print_Area</vt:lpstr>
      <vt:lpstr>squft!Print_Area</vt:lpstr>
      <vt:lpstr>sumry!Print_Area</vt:lpstr>
      <vt:lpstr>turn!Print_Area</vt:lpstr>
      <vt:lpstr>work!Print_Area</vt:lpstr>
      <vt:lpstr>'yrP&amp;L'!Print_Area</vt:lpstr>
      <vt:lpstr>yrSales!Print_Area</vt:lpstr>
      <vt:lpstr>bal!Print_Titles</vt:lpstr>
      <vt:lpstr>'qtrP&amp;L'!Print_Titles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Lease'!rngAppName</vt:lpstr>
      <vt:lpstr>'MWA Lease'!rngCompany</vt:lpstr>
      <vt:lpstr>'MWA Lease'!rngTicker</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2000-03-06T17:12:04Z</dcterms:created>
  <dc:creator>Cassel, Lauren (Research)</dc:creator>
  <cp:lastModifiedBy>Roberts, Cynthia (Research)</cp:lastModifiedBy>
  <cp:lastPrinted>2018-03-08T01:33:39Z</cp:lastPrinted>
  <dcterms:modified xsi:type="dcterms:W3CDTF">2018-03-13T17:13:33Z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DealMaven.PresLink.LastVersion" pid="2">
    <vt:lpwstr/>
  </property>
  <property fmtid="{D5CDD505-2E9C-101B-9397-08002B2CF9AE}" name="LinkingAutoNameNumberLinking_Range_" pid="3">
    <vt:lpwstr>25</vt:lpwstr>
  </property>
  <property fmtid="{D5CDD505-2E9C-101B-9397-08002B2CF9AE}" name="LinkingAutoNameNumberLinking_Text_" pid="4">
    <vt:lpwstr>1</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755999</vt:lpwstr>
  </property>
  <property fmtid="{D5CDD505-2E9C-101B-9397-08002B2CF9AE}" name="ERModPubCompanyName" pid="8">
    <vt:lpwstr>Abercrombie &amp; Fitch Co.</vt:lpwstr>
  </property>
  <property fmtid="{D5CDD505-2E9C-101B-9397-08002B2CF9AE}" name="MSDH34TAG" pid="9">
    <vt:lpwstr>.TEZUF76X5TAHATHESADREYAK-00-INB160+*94600-06=dfcbc7ea/-26e1/-11e8/-97c7/-b3450f688ad8,MD=20180313131433/-0400,ZZ=000Z-4ea4.</vt:lpwstr>
  </property>
</Properties>
</file>